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turm\Desktop\Transparancy Star\"/>
    </mc:Choice>
  </mc:AlternateContent>
  <xr:revisionPtr revIDLastSave="0" documentId="13_ncr:1_{196EF796-1A2B-4D7C-9453-31A93D52E213}" xr6:coauthVersionLast="47" xr6:coauthVersionMax="47" xr10:uidLastSave="{00000000-0000-0000-0000-000000000000}"/>
  <bookViews>
    <workbookView xWindow="28680" yWindow="1320" windowWidth="20730" windowHeight="11160" activeTab="5" xr2:uid="{92583EDD-A65C-4C63-9DB9-98A557ACE8AB}"/>
  </bookViews>
  <sheets>
    <sheet name="FY2018" sheetId="1" r:id="rId1"/>
    <sheet name="FY2019" sheetId="2" r:id="rId2"/>
    <sheet name="FY2020" sheetId="3" r:id="rId3"/>
    <sheet name="FY2021" sheetId="4" r:id="rId4"/>
    <sheet name="FY2022" sheetId="5" r:id="rId5"/>
    <sheet name="FY2023" sheetId="6" r:id="rId6"/>
  </sheets>
  <definedNames>
    <definedName name="_xlnm._FilterDatabase" localSheetId="0" hidden="1">'FY2018'!$A$4:$I$490</definedName>
    <definedName name="_xlnm._FilterDatabase" localSheetId="1" hidden="1">'FY2019'!$A$4:$I$5263</definedName>
    <definedName name="_xlnm._FilterDatabase" localSheetId="2" hidden="1">'FY2020'!$A$4:$I$209</definedName>
    <definedName name="_xlnm._FilterDatabase" localSheetId="3" hidden="1">'FY2021'!$A$4:$I$4685</definedName>
    <definedName name="_xlnm._FilterDatabase" localSheetId="4" hidden="1">'FY2022'!$A$4:$I$4831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708" i="5" l="1"/>
  <c r="H4708" i="5"/>
  <c r="I4707" i="5"/>
  <c r="H4707" i="5"/>
  <c r="I4706" i="5"/>
  <c r="H4706" i="5"/>
  <c r="I4705" i="5"/>
  <c r="H4705" i="5"/>
  <c r="I4704" i="5"/>
  <c r="H4704" i="5"/>
  <c r="I4703" i="5"/>
  <c r="H4703" i="5"/>
  <c r="I4702" i="5"/>
  <c r="H4702" i="5"/>
  <c r="I4701" i="5"/>
  <c r="H4701" i="5"/>
  <c r="I4700" i="5"/>
  <c r="H4700" i="5"/>
  <c r="I4699" i="5"/>
  <c r="H4699" i="5"/>
  <c r="I4698" i="5"/>
  <c r="H4698" i="5"/>
  <c r="I4697" i="5"/>
  <c r="H4697" i="5"/>
  <c r="I4696" i="5"/>
  <c r="H4696" i="5"/>
  <c r="I4695" i="5"/>
  <c r="H4695" i="5"/>
  <c r="I4694" i="5"/>
  <c r="H4694" i="5"/>
  <c r="I4693" i="5"/>
  <c r="H4693" i="5"/>
  <c r="I4692" i="5"/>
  <c r="H4692" i="5"/>
  <c r="I4691" i="5"/>
  <c r="H4691" i="5"/>
  <c r="I4690" i="5"/>
  <c r="H4690" i="5"/>
  <c r="I4689" i="5"/>
  <c r="H4689" i="5"/>
  <c r="I4688" i="5"/>
  <c r="H4688" i="5"/>
  <c r="I4687" i="5"/>
  <c r="H4687" i="5"/>
  <c r="I4686" i="5"/>
  <c r="H4686" i="5"/>
  <c r="I4685" i="5"/>
  <c r="H4685" i="5"/>
  <c r="I4684" i="5"/>
  <c r="H4684" i="5"/>
  <c r="I4683" i="5"/>
  <c r="H4683" i="5"/>
  <c r="I4682" i="5"/>
  <c r="H4682" i="5"/>
  <c r="I4681" i="5"/>
  <c r="H4681" i="5"/>
  <c r="I4680" i="5"/>
  <c r="H4680" i="5"/>
  <c r="I4679" i="5"/>
  <c r="H4679" i="5"/>
  <c r="I4678" i="5"/>
  <c r="H4678" i="5"/>
  <c r="I4677" i="5"/>
  <c r="H4677" i="5"/>
  <c r="I4676" i="5"/>
  <c r="H4676" i="5"/>
  <c r="I4675" i="5"/>
  <c r="H4675" i="5"/>
  <c r="I4674" i="5"/>
  <c r="H4674" i="5"/>
  <c r="I4673" i="5"/>
  <c r="H4673" i="5"/>
  <c r="I4672" i="5"/>
  <c r="H4672" i="5"/>
  <c r="I4671" i="5"/>
  <c r="H4671" i="5"/>
  <c r="I4670" i="5"/>
  <c r="H4670" i="5"/>
  <c r="I4669" i="5"/>
  <c r="H4669" i="5"/>
  <c r="I4668" i="5"/>
  <c r="H4668" i="5"/>
  <c r="I4667" i="5"/>
  <c r="H4667" i="5"/>
  <c r="I4666" i="5"/>
  <c r="H4666" i="5"/>
  <c r="I4665" i="5"/>
  <c r="H4665" i="5"/>
  <c r="I4664" i="5"/>
  <c r="H4664" i="5"/>
  <c r="I4663" i="5"/>
  <c r="H4663" i="5"/>
  <c r="I4662" i="5"/>
  <c r="H4662" i="5"/>
  <c r="I4661" i="5"/>
  <c r="H4661" i="5"/>
  <c r="I4660" i="5"/>
  <c r="H4660" i="5"/>
  <c r="I4659" i="5"/>
  <c r="H4659" i="5"/>
  <c r="I4658" i="5"/>
  <c r="H4658" i="5"/>
  <c r="I4657" i="5"/>
  <c r="H4657" i="5"/>
  <c r="I4656" i="5"/>
  <c r="H4656" i="5"/>
  <c r="I4655" i="5"/>
  <c r="H4655" i="5"/>
  <c r="I4654" i="5"/>
  <c r="H4654" i="5"/>
  <c r="I4653" i="5"/>
  <c r="H4653" i="5"/>
  <c r="I4652" i="5"/>
  <c r="H4652" i="5"/>
  <c r="I4651" i="5"/>
  <c r="H4651" i="5"/>
  <c r="I4650" i="5"/>
  <c r="H4650" i="5"/>
  <c r="I4649" i="5"/>
  <c r="H4649" i="5"/>
  <c r="I4648" i="5"/>
  <c r="H4648" i="5"/>
  <c r="I4647" i="5"/>
  <c r="H4647" i="5"/>
  <c r="I4646" i="5"/>
  <c r="H4646" i="5"/>
  <c r="I4645" i="5"/>
  <c r="H4645" i="5"/>
  <c r="I4644" i="5"/>
  <c r="H4644" i="5"/>
  <c r="I4643" i="5"/>
  <c r="H4643" i="5"/>
  <c r="I4642" i="5"/>
  <c r="H4642" i="5"/>
  <c r="I4641" i="5"/>
  <c r="H4641" i="5"/>
  <c r="I4640" i="5"/>
  <c r="H4640" i="5"/>
  <c r="I4639" i="5"/>
  <c r="H4639" i="5"/>
  <c r="I4638" i="5"/>
  <c r="H4638" i="5"/>
  <c r="I4637" i="5"/>
  <c r="H4637" i="5"/>
  <c r="I4636" i="5"/>
  <c r="H4636" i="5"/>
  <c r="I4635" i="5"/>
  <c r="H4635" i="5"/>
  <c r="I4634" i="5"/>
  <c r="H4634" i="5"/>
  <c r="I4633" i="5"/>
  <c r="H4633" i="5"/>
  <c r="I4632" i="5"/>
  <c r="H4632" i="5"/>
  <c r="I4631" i="5"/>
  <c r="H4631" i="5"/>
  <c r="I4630" i="5"/>
  <c r="H4630" i="5"/>
  <c r="I4629" i="5"/>
  <c r="H4629" i="5"/>
  <c r="I4628" i="5"/>
  <c r="H4628" i="5"/>
  <c r="I4627" i="5"/>
  <c r="H4627" i="5"/>
  <c r="I4626" i="5"/>
  <c r="H4626" i="5"/>
  <c r="I4625" i="5"/>
  <c r="H4625" i="5"/>
  <c r="I4624" i="5"/>
  <c r="H4624" i="5"/>
  <c r="I4623" i="5"/>
  <c r="H4623" i="5"/>
  <c r="I4622" i="5"/>
  <c r="H4622" i="5"/>
  <c r="I4621" i="5"/>
  <c r="H4621" i="5"/>
  <c r="I4620" i="5"/>
  <c r="H4620" i="5"/>
  <c r="I4619" i="5"/>
  <c r="H4619" i="5"/>
  <c r="I4618" i="5"/>
  <c r="H4618" i="5"/>
  <c r="I4617" i="5"/>
  <c r="H4617" i="5"/>
  <c r="I4616" i="5"/>
  <c r="H4616" i="5"/>
  <c r="I4615" i="5"/>
  <c r="H4615" i="5"/>
  <c r="I4614" i="5"/>
  <c r="H4614" i="5"/>
  <c r="I4613" i="5"/>
  <c r="H4613" i="5"/>
  <c r="I4612" i="5"/>
  <c r="H4612" i="5"/>
  <c r="I4611" i="5"/>
  <c r="H4611" i="5"/>
  <c r="I4610" i="5"/>
  <c r="H4610" i="5"/>
  <c r="I4609" i="5"/>
  <c r="H4609" i="5"/>
  <c r="I4608" i="5"/>
  <c r="H4608" i="5"/>
  <c r="I4607" i="5"/>
  <c r="H4607" i="5"/>
  <c r="I4606" i="5"/>
  <c r="H4606" i="5"/>
  <c r="I4605" i="5"/>
  <c r="H4605" i="5"/>
  <c r="I4604" i="5"/>
  <c r="H4604" i="5"/>
  <c r="I4603" i="5"/>
  <c r="H4603" i="5"/>
  <c r="I4602" i="5"/>
  <c r="H4602" i="5"/>
  <c r="I4601" i="5"/>
  <c r="H4601" i="5"/>
  <c r="I4600" i="5"/>
  <c r="H4600" i="5"/>
  <c r="I4599" i="5"/>
  <c r="H4599" i="5"/>
  <c r="I4598" i="5"/>
  <c r="H4598" i="5"/>
  <c r="I4597" i="5"/>
  <c r="H4597" i="5"/>
  <c r="I4596" i="5"/>
  <c r="H4596" i="5"/>
  <c r="I4595" i="5"/>
  <c r="H4595" i="5"/>
  <c r="I4594" i="5"/>
  <c r="H4594" i="5"/>
  <c r="I4593" i="5"/>
  <c r="H4593" i="5"/>
  <c r="I4592" i="5"/>
  <c r="H4592" i="5"/>
  <c r="I4591" i="5"/>
  <c r="H4591" i="5"/>
  <c r="I4590" i="5"/>
  <c r="H4590" i="5"/>
  <c r="I4589" i="5"/>
  <c r="H4589" i="5"/>
  <c r="I4588" i="5"/>
  <c r="H4588" i="5"/>
  <c r="I4587" i="5"/>
  <c r="H4587" i="5"/>
  <c r="I4586" i="5"/>
  <c r="H4586" i="5"/>
  <c r="I4585" i="5"/>
  <c r="H4585" i="5"/>
  <c r="I4584" i="5"/>
  <c r="H4584" i="5"/>
  <c r="I4583" i="5"/>
  <c r="H4583" i="5"/>
  <c r="I4582" i="5"/>
  <c r="H4582" i="5"/>
  <c r="I4581" i="5"/>
  <c r="H4581" i="5"/>
  <c r="I4580" i="5"/>
  <c r="H4580" i="5"/>
  <c r="I4579" i="5"/>
  <c r="H4579" i="5"/>
  <c r="I4578" i="5"/>
  <c r="H4578" i="5"/>
  <c r="I4577" i="5"/>
  <c r="H4577" i="5"/>
  <c r="I4576" i="5"/>
  <c r="H4576" i="5"/>
  <c r="I4575" i="5"/>
  <c r="H4575" i="5"/>
  <c r="I4574" i="5"/>
  <c r="H4574" i="5"/>
  <c r="I4573" i="5"/>
  <c r="H4573" i="5"/>
  <c r="I4572" i="5"/>
  <c r="H4572" i="5"/>
  <c r="I4571" i="5"/>
  <c r="H4571" i="5"/>
  <c r="I4570" i="5"/>
  <c r="H4570" i="5"/>
  <c r="I4569" i="5"/>
  <c r="H4569" i="5"/>
  <c r="I4568" i="5"/>
  <c r="H4568" i="5"/>
  <c r="I4567" i="5"/>
  <c r="H4567" i="5"/>
  <c r="I4566" i="5"/>
  <c r="H4566" i="5"/>
  <c r="I4565" i="5"/>
  <c r="H4565" i="5"/>
  <c r="I4564" i="5"/>
  <c r="H4564" i="5"/>
  <c r="I4563" i="5"/>
  <c r="H4563" i="5"/>
  <c r="I4562" i="5"/>
  <c r="H4562" i="5"/>
  <c r="I4561" i="5"/>
  <c r="H4561" i="5"/>
  <c r="I4560" i="5"/>
  <c r="H4560" i="5"/>
  <c r="I4559" i="5"/>
  <c r="H4559" i="5"/>
  <c r="I4558" i="5"/>
  <c r="H4558" i="5"/>
  <c r="I4557" i="5"/>
  <c r="H4557" i="5"/>
  <c r="I4556" i="5"/>
  <c r="H4556" i="5"/>
  <c r="I4555" i="5"/>
  <c r="H4555" i="5"/>
  <c r="I4554" i="5"/>
  <c r="H4554" i="5"/>
  <c r="I4553" i="5"/>
  <c r="H4553" i="5"/>
  <c r="I4552" i="5"/>
  <c r="H4552" i="5"/>
  <c r="I4551" i="5"/>
  <c r="H4551" i="5"/>
  <c r="I4550" i="5"/>
  <c r="H4550" i="5"/>
  <c r="I4549" i="5"/>
  <c r="H4549" i="5"/>
  <c r="I4548" i="5"/>
  <c r="H4548" i="5"/>
  <c r="I4547" i="5"/>
  <c r="H4547" i="5"/>
  <c r="I4546" i="5"/>
  <c r="H4546" i="5"/>
  <c r="I4545" i="5"/>
  <c r="H4545" i="5"/>
  <c r="I4544" i="5"/>
  <c r="H4544" i="5"/>
  <c r="I4543" i="5"/>
  <c r="H4543" i="5"/>
  <c r="I4542" i="5"/>
  <c r="H4542" i="5"/>
  <c r="I4541" i="5"/>
  <c r="H4541" i="5"/>
  <c r="I4540" i="5"/>
  <c r="H4540" i="5"/>
  <c r="I4539" i="5"/>
  <c r="H4539" i="5"/>
  <c r="I4538" i="5"/>
  <c r="H4538" i="5"/>
  <c r="I4537" i="5"/>
  <c r="H4537" i="5"/>
  <c r="I4536" i="5"/>
  <c r="H4536" i="5"/>
  <c r="I4535" i="5"/>
  <c r="H4535" i="5"/>
  <c r="I4534" i="5"/>
  <c r="H4534" i="5"/>
  <c r="I4533" i="5"/>
  <c r="H4533" i="5"/>
  <c r="I4532" i="5"/>
  <c r="H4532" i="5"/>
  <c r="I4531" i="5"/>
  <c r="H4531" i="5"/>
  <c r="I4530" i="5"/>
  <c r="H4530" i="5"/>
  <c r="I4529" i="5"/>
  <c r="H4529" i="5"/>
  <c r="I4528" i="5"/>
  <c r="H4528" i="5"/>
  <c r="I4527" i="5"/>
  <c r="H4527" i="5"/>
  <c r="I4526" i="5"/>
  <c r="H4526" i="5"/>
  <c r="I4525" i="5"/>
  <c r="H4525" i="5"/>
  <c r="I4524" i="5"/>
  <c r="H4524" i="5"/>
  <c r="I4523" i="5"/>
  <c r="H4523" i="5"/>
  <c r="I4522" i="5"/>
  <c r="H4522" i="5"/>
  <c r="I4521" i="5"/>
  <c r="H4521" i="5"/>
  <c r="I4520" i="5"/>
  <c r="H4520" i="5"/>
  <c r="I4519" i="5"/>
  <c r="H4519" i="5"/>
  <c r="I4518" i="5"/>
  <c r="H4518" i="5"/>
  <c r="I4517" i="5"/>
  <c r="H4517" i="5"/>
  <c r="I4516" i="5"/>
  <c r="H4516" i="5"/>
  <c r="I4515" i="5"/>
  <c r="H4515" i="5"/>
  <c r="I4514" i="5"/>
  <c r="H4514" i="5"/>
  <c r="I4513" i="5"/>
  <c r="H4513" i="5"/>
  <c r="I4512" i="5"/>
  <c r="H4512" i="5"/>
  <c r="I4511" i="5"/>
  <c r="H4511" i="5"/>
  <c r="I4510" i="5"/>
  <c r="H4510" i="5"/>
  <c r="I4509" i="5"/>
  <c r="H4509" i="5"/>
  <c r="I4508" i="5"/>
  <c r="H4508" i="5"/>
  <c r="I4507" i="5"/>
  <c r="H4507" i="5"/>
  <c r="I4506" i="5"/>
  <c r="H4506" i="5"/>
  <c r="I4505" i="5"/>
  <c r="H4505" i="5"/>
  <c r="I4504" i="5"/>
  <c r="H4504" i="5"/>
  <c r="I4503" i="5"/>
  <c r="H4503" i="5"/>
  <c r="I4502" i="5"/>
  <c r="H4502" i="5"/>
  <c r="I4501" i="5"/>
  <c r="H4501" i="5"/>
  <c r="I4500" i="5"/>
  <c r="H4500" i="5"/>
  <c r="I4499" i="5"/>
  <c r="H4499" i="5"/>
  <c r="I4498" i="5"/>
  <c r="H4498" i="5"/>
  <c r="I4497" i="5"/>
  <c r="H4497" i="5"/>
  <c r="I4496" i="5"/>
  <c r="H4496" i="5"/>
  <c r="I4495" i="5"/>
  <c r="H4495" i="5"/>
  <c r="I4494" i="5"/>
  <c r="H4494" i="5"/>
  <c r="I4493" i="5"/>
  <c r="H4493" i="5"/>
  <c r="I4492" i="5"/>
  <c r="H4492" i="5"/>
  <c r="I4491" i="5"/>
  <c r="H4491" i="5"/>
  <c r="I4490" i="5"/>
  <c r="H4490" i="5"/>
  <c r="I4489" i="5"/>
  <c r="H4489" i="5"/>
  <c r="I4488" i="5"/>
  <c r="H4488" i="5"/>
  <c r="I4487" i="5"/>
  <c r="H4487" i="5"/>
  <c r="I4486" i="5"/>
  <c r="H4486" i="5"/>
  <c r="I4485" i="5"/>
  <c r="H4485" i="5"/>
  <c r="I4484" i="5"/>
  <c r="H4484" i="5"/>
  <c r="I4483" i="5"/>
  <c r="H4483" i="5"/>
  <c r="I4482" i="5"/>
  <c r="H4482" i="5"/>
  <c r="I4481" i="5"/>
  <c r="H4481" i="5"/>
  <c r="I4480" i="5"/>
  <c r="H4480" i="5"/>
  <c r="I4479" i="5"/>
  <c r="H4479" i="5"/>
  <c r="I4478" i="5"/>
  <c r="H4478" i="5"/>
  <c r="I4477" i="5"/>
  <c r="H4477" i="5"/>
  <c r="I4476" i="5"/>
  <c r="H4476" i="5"/>
  <c r="I4475" i="5"/>
  <c r="H4475" i="5"/>
  <c r="I4474" i="5"/>
  <c r="H4474" i="5"/>
  <c r="I4473" i="5"/>
  <c r="H4473" i="5"/>
  <c r="I4472" i="5"/>
  <c r="H4472" i="5"/>
  <c r="I4471" i="5"/>
  <c r="H4471" i="5"/>
  <c r="I4470" i="5"/>
  <c r="H4470" i="5"/>
  <c r="I4469" i="5"/>
  <c r="H4469" i="5"/>
  <c r="I4468" i="5"/>
  <c r="H4468" i="5"/>
  <c r="I4467" i="5"/>
  <c r="H4467" i="5"/>
  <c r="I4466" i="5"/>
  <c r="H4466" i="5"/>
  <c r="I4465" i="5"/>
  <c r="H4465" i="5"/>
  <c r="I4464" i="5"/>
  <c r="H4464" i="5"/>
  <c r="I4463" i="5"/>
  <c r="H4463" i="5"/>
  <c r="I4462" i="5"/>
  <c r="H4462" i="5"/>
  <c r="I4461" i="5"/>
  <c r="H4461" i="5"/>
  <c r="I4460" i="5"/>
  <c r="H4460" i="5"/>
  <c r="I4459" i="5"/>
  <c r="H4459" i="5"/>
  <c r="I4458" i="5"/>
  <c r="H4458" i="5"/>
  <c r="I4457" i="5"/>
  <c r="H4457" i="5"/>
  <c r="I4456" i="5"/>
  <c r="H4456" i="5"/>
  <c r="I4455" i="5"/>
  <c r="H4455" i="5"/>
  <c r="I4454" i="5"/>
  <c r="H4454" i="5"/>
  <c r="I4453" i="5"/>
  <c r="H4453" i="5"/>
  <c r="I4452" i="5"/>
  <c r="H4452" i="5"/>
  <c r="I4451" i="5"/>
  <c r="H4451" i="5"/>
  <c r="I4450" i="5"/>
  <c r="H4450" i="5"/>
  <c r="I4449" i="5"/>
  <c r="H4449" i="5"/>
  <c r="I4448" i="5"/>
  <c r="H4448" i="5"/>
  <c r="I4447" i="5"/>
  <c r="H4447" i="5"/>
  <c r="I4446" i="5"/>
  <c r="H4446" i="5"/>
  <c r="I4445" i="5"/>
  <c r="H4445" i="5"/>
  <c r="I4444" i="5"/>
  <c r="H4444" i="5"/>
  <c r="I4443" i="5"/>
  <c r="H4443" i="5"/>
  <c r="I4442" i="5"/>
  <c r="H4442" i="5"/>
  <c r="I4441" i="5"/>
  <c r="H4441" i="5"/>
  <c r="I4440" i="5"/>
  <c r="H4440" i="5"/>
  <c r="I4439" i="5"/>
  <c r="H4439" i="5"/>
  <c r="I4438" i="5"/>
  <c r="H4438" i="5"/>
  <c r="I4437" i="5"/>
  <c r="H4437" i="5"/>
  <c r="I4436" i="5"/>
  <c r="H4436" i="5"/>
  <c r="I4435" i="5"/>
  <c r="H4435" i="5"/>
  <c r="I4434" i="5"/>
  <c r="H4434" i="5"/>
  <c r="I4433" i="5"/>
  <c r="H4433" i="5"/>
  <c r="I4432" i="5"/>
  <c r="H4432" i="5"/>
  <c r="I4431" i="5"/>
  <c r="H4431" i="5"/>
  <c r="I4430" i="5"/>
  <c r="H4430" i="5"/>
  <c r="I4429" i="5"/>
  <c r="H4429" i="5"/>
  <c r="I4428" i="5"/>
  <c r="H4428" i="5"/>
  <c r="I4427" i="5"/>
  <c r="H4427" i="5"/>
  <c r="I4426" i="5"/>
  <c r="H4426" i="5"/>
  <c r="I4425" i="5"/>
  <c r="H4425" i="5"/>
  <c r="I4424" i="5"/>
  <c r="H4424" i="5"/>
  <c r="I4423" i="5"/>
  <c r="H4423" i="5"/>
  <c r="I4422" i="5"/>
  <c r="H4422" i="5"/>
  <c r="I4421" i="5"/>
  <c r="H4421" i="5"/>
  <c r="I4420" i="5"/>
  <c r="H4420" i="5"/>
  <c r="I4419" i="5"/>
  <c r="H4419" i="5"/>
  <c r="I4418" i="5"/>
  <c r="H4418" i="5"/>
  <c r="I4417" i="5"/>
  <c r="H4417" i="5"/>
  <c r="I4416" i="5"/>
  <c r="H4416" i="5"/>
  <c r="I4415" i="5"/>
  <c r="H4415" i="5"/>
  <c r="I4414" i="5"/>
  <c r="H4414" i="5"/>
  <c r="I4413" i="5"/>
  <c r="H4413" i="5"/>
  <c r="I4412" i="5"/>
  <c r="H4412" i="5"/>
  <c r="I4411" i="5"/>
  <c r="H4411" i="5"/>
  <c r="I4410" i="5"/>
  <c r="H4410" i="5"/>
  <c r="I4409" i="5"/>
  <c r="H4409" i="5"/>
  <c r="I4408" i="5"/>
  <c r="H4408" i="5"/>
  <c r="I4407" i="5"/>
  <c r="H4407" i="5"/>
  <c r="I4406" i="5"/>
  <c r="H4406" i="5"/>
  <c r="I4405" i="5"/>
  <c r="H4405" i="5"/>
  <c r="I4404" i="5"/>
  <c r="H4404" i="5"/>
  <c r="I4403" i="5"/>
  <c r="H4403" i="5"/>
  <c r="I4402" i="5"/>
  <c r="H4402" i="5"/>
  <c r="I4401" i="5"/>
  <c r="H4401" i="5"/>
  <c r="I4400" i="5"/>
  <c r="H4400" i="5"/>
  <c r="I4399" i="5"/>
  <c r="H4399" i="5"/>
  <c r="I4398" i="5"/>
  <c r="H4398" i="5"/>
  <c r="I4397" i="5"/>
  <c r="H4397" i="5"/>
  <c r="I4396" i="5"/>
  <c r="H4396" i="5"/>
  <c r="I4395" i="5"/>
  <c r="H4395" i="5"/>
  <c r="I4394" i="5"/>
  <c r="H4394" i="5"/>
  <c r="I4393" i="5"/>
  <c r="H4393" i="5"/>
  <c r="I4392" i="5"/>
  <c r="H4392" i="5"/>
  <c r="I4391" i="5"/>
  <c r="H4391" i="5"/>
  <c r="I4390" i="5"/>
  <c r="H4390" i="5"/>
  <c r="I4389" i="5"/>
  <c r="H4389" i="5"/>
  <c r="I4388" i="5"/>
  <c r="H4388" i="5"/>
  <c r="I4387" i="5"/>
  <c r="H4387" i="5"/>
  <c r="I4386" i="5"/>
  <c r="H4386" i="5"/>
  <c r="I4385" i="5"/>
  <c r="H4385" i="5"/>
  <c r="I4384" i="5"/>
  <c r="H4384" i="5"/>
  <c r="I4383" i="5"/>
  <c r="H4383" i="5"/>
  <c r="I4382" i="5"/>
  <c r="H4382" i="5"/>
  <c r="I4381" i="5"/>
  <c r="H4381" i="5"/>
  <c r="I4380" i="5"/>
  <c r="H4380" i="5"/>
  <c r="I4379" i="5"/>
  <c r="H4379" i="5"/>
  <c r="I4378" i="5"/>
  <c r="H4378" i="5"/>
  <c r="I4377" i="5"/>
  <c r="H4377" i="5"/>
  <c r="I4376" i="5"/>
  <c r="H4376" i="5"/>
  <c r="I4375" i="5"/>
  <c r="H4375" i="5"/>
  <c r="I4374" i="5"/>
  <c r="H4374" i="5"/>
  <c r="I4373" i="5"/>
  <c r="H4373" i="5"/>
  <c r="I4372" i="5"/>
  <c r="H4372" i="5"/>
  <c r="I4371" i="5"/>
  <c r="H4371" i="5"/>
  <c r="I4370" i="5"/>
  <c r="H4370" i="5"/>
  <c r="I4369" i="5"/>
  <c r="H4369" i="5"/>
  <c r="I4368" i="5"/>
  <c r="H4368" i="5"/>
  <c r="I4367" i="5"/>
  <c r="H4367" i="5"/>
  <c r="I4366" i="5"/>
  <c r="H4366" i="5"/>
  <c r="I4365" i="5"/>
  <c r="H4365" i="5"/>
  <c r="I4364" i="5"/>
  <c r="H4364" i="5"/>
  <c r="I4363" i="5"/>
  <c r="H4363" i="5"/>
  <c r="I4362" i="5"/>
  <c r="H4362" i="5"/>
  <c r="I4361" i="5"/>
  <c r="H4361" i="5"/>
  <c r="I4360" i="5"/>
  <c r="H4360" i="5"/>
  <c r="I4359" i="5"/>
  <c r="H4359" i="5"/>
  <c r="I4358" i="5"/>
  <c r="H4358" i="5"/>
  <c r="I4357" i="5"/>
  <c r="H4357" i="5"/>
  <c r="I4356" i="5"/>
  <c r="H4356" i="5"/>
  <c r="I4355" i="5"/>
  <c r="H4355" i="5"/>
  <c r="I4354" i="5"/>
  <c r="H4354" i="5"/>
  <c r="I4353" i="5"/>
  <c r="H4353" i="5"/>
  <c r="I4352" i="5"/>
  <c r="H4352" i="5"/>
  <c r="I4351" i="5"/>
  <c r="H4351" i="5"/>
  <c r="I4350" i="5"/>
  <c r="H4350" i="5"/>
  <c r="I4349" i="5"/>
  <c r="H4349" i="5"/>
  <c r="I4348" i="5"/>
  <c r="H4348" i="5"/>
  <c r="I4347" i="5"/>
  <c r="H4347" i="5"/>
  <c r="I4346" i="5"/>
  <c r="H4346" i="5"/>
  <c r="I4345" i="5"/>
  <c r="H4345" i="5"/>
  <c r="I4344" i="5"/>
  <c r="H4344" i="5"/>
  <c r="I4343" i="5"/>
  <c r="H4343" i="5"/>
  <c r="I4342" i="5"/>
  <c r="H4342" i="5"/>
  <c r="I4341" i="5"/>
  <c r="H4341" i="5"/>
  <c r="I4340" i="5"/>
  <c r="H4340" i="5"/>
  <c r="I4339" i="5"/>
  <c r="H4339" i="5"/>
  <c r="I4338" i="5"/>
  <c r="H4338" i="5"/>
  <c r="I4337" i="5"/>
  <c r="H4337" i="5"/>
  <c r="I4336" i="5"/>
  <c r="H4336" i="5"/>
  <c r="I4335" i="5"/>
  <c r="H4335" i="5"/>
  <c r="I4334" i="5"/>
  <c r="H4334" i="5"/>
  <c r="I4333" i="5"/>
  <c r="H4333" i="5"/>
  <c r="I4332" i="5"/>
  <c r="H4332" i="5"/>
  <c r="I4331" i="5"/>
  <c r="H4331" i="5"/>
  <c r="I4330" i="5"/>
  <c r="H4330" i="5"/>
  <c r="I4329" i="5"/>
  <c r="H4329" i="5"/>
  <c r="I4328" i="5"/>
  <c r="H4328" i="5"/>
  <c r="I4327" i="5"/>
  <c r="H4327" i="5"/>
  <c r="I4326" i="5"/>
  <c r="H4326" i="5"/>
  <c r="I4325" i="5"/>
  <c r="H4325" i="5"/>
  <c r="I4324" i="5"/>
  <c r="H4324" i="5"/>
  <c r="I4323" i="5"/>
  <c r="H4323" i="5"/>
  <c r="I4322" i="5"/>
  <c r="H4322" i="5"/>
  <c r="I4321" i="5"/>
  <c r="H4321" i="5"/>
  <c r="I4320" i="5"/>
  <c r="H4320" i="5"/>
  <c r="I4319" i="5"/>
  <c r="H4319" i="5"/>
  <c r="I4318" i="5"/>
  <c r="H4318" i="5"/>
  <c r="I4317" i="5"/>
  <c r="H4317" i="5"/>
  <c r="I4316" i="5"/>
  <c r="H4316" i="5"/>
  <c r="I4315" i="5"/>
  <c r="H4315" i="5"/>
  <c r="I4314" i="5"/>
  <c r="H4314" i="5"/>
  <c r="I4313" i="5"/>
  <c r="H4313" i="5"/>
  <c r="I4312" i="5"/>
  <c r="H4312" i="5"/>
  <c r="I4311" i="5"/>
  <c r="H4311" i="5"/>
  <c r="I4310" i="5"/>
  <c r="H4310" i="5"/>
  <c r="I4309" i="5"/>
  <c r="H4309" i="5"/>
  <c r="I4308" i="5"/>
  <c r="H4308" i="5"/>
  <c r="I4307" i="5"/>
  <c r="H4307" i="5"/>
  <c r="I4306" i="5"/>
  <c r="H4306" i="5"/>
  <c r="I4305" i="5"/>
  <c r="H4305" i="5"/>
  <c r="I4304" i="5"/>
  <c r="H4304" i="5"/>
  <c r="I4303" i="5"/>
  <c r="H4303" i="5"/>
  <c r="I4302" i="5"/>
  <c r="H4302" i="5"/>
  <c r="I4301" i="5"/>
  <c r="H4301" i="5"/>
  <c r="I4300" i="5"/>
  <c r="H4300" i="5"/>
  <c r="I4299" i="5"/>
  <c r="H4299" i="5"/>
  <c r="I4298" i="5"/>
  <c r="H4298" i="5"/>
  <c r="I4297" i="5"/>
  <c r="H4297" i="5"/>
  <c r="I4296" i="5"/>
  <c r="H4296" i="5"/>
  <c r="I4295" i="5"/>
  <c r="H4295" i="5"/>
  <c r="I4294" i="5"/>
  <c r="H4294" i="5"/>
  <c r="I4293" i="5"/>
  <c r="H4293" i="5"/>
  <c r="I4292" i="5"/>
  <c r="H4292" i="5"/>
  <c r="I4291" i="5"/>
  <c r="H4291" i="5"/>
  <c r="I4290" i="5"/>
  <c r="H4290" i="5"/>
  <c r="I4289" i="5"/>
  <c r="H4289" i="5"/>
  <c r="I4288" i="5"/>
  <c r="H4288" i="5"/>
  <c r="I4287" i="5"/>
  <c r="H4287" i="5"/>
  <c r="I4286" i="5"/>
  <c r="H4286" i="5"/>
  <c r="I4285" i="5"/>
  <c r="H4285" i="5"/>
  <c r="I4284" i="5"/>
  <c r="H4284" i="5"/>
  <c r="I4283" i="5"/>
  <c r="H4283" i="5"/>
  <c r="I4282" i="5"/>
  <c r="H4282" i="5"/>
  <c r="I4281" i="5"/>
  <c r="H4281" i="5"/>
  <c r="I4280" i="5"/>
  <c r="H4280" i="5"/>
  <c r="I4279" i="5"/>
  <c r="H4279" i="5"/>
  <c r="I4278" i="5"/>
  <c r="H4278" i="5"/>
  <c r="I4277" i="5"/>
  <c r="H4277" i="5"/>
  <c r="I4276" i="5"/>
  <c r="H4276" i="5"/>
  <c r="I4275" i="5"/>
  <c r="H4275" i="5"/>
  <c r="I4274" i="5"/>
  <c r="H4274" i="5"/>
  <c r="I4273" i="5"/>
  <c r="H4273" i="5"/>
  <c r="I4272" i="5"/>
  <c r="H4272" i="5"/>
  <c r="I4271" i="5"/>
  <c r="H4271" i="5"/>
  <c r="I4270" i="5"/>
  <c r="H4270" i="5"/>
  <c r="I4269" i="5"/>
  <c r="H4269" i="5"/>
  <c r="I4268" i="5"/>
  <c r="H4268" i="5"/>
  <c r="I4267" i="5"/>
  <c r="H4267" i="5"/>
  <c r="I4266" i="5"/>
  <c r="H4266" i="5"/>
  <c r="I4265" i="5"/>
  <c r="H4265" i="5"/>
  <c r="I4264" i="5"/>
  <c r="H4264" i="5"/>
  <c r="I4263" i="5"/>
  <c r="H4263" i="5"/>
  <c r="I4262" i="5"/>
  <c r="H4262" i="5"/>
  <c r="I4261" i="5"/>
  <c r="H4261" i="5"/>
  <c r="I4260" i="5"/>
  <c r="H4260" i="5"/>
  <c r="I4259" i="5"/>
  <c r="H4259" i="5"/>
  <c r="I4258" i="5"/>
  <c r="H4258" i="5"/>
  <c r="I4257" i="5"/>
  <c r="H4257" i="5"/>
  <c r="I4256" i="5"/>
  <c r="H4256" i="5"/>
  <c r="I4255" i="5"/>
  <c r="H4255" i="5"/>
  <c r="I4254" i="5"/>
  <c r="H4254" i="5"/>
  <c r="I4253" i="5"/>
  <c r="H4253" i="5"/>
  <c r="I4252" i="5"/>
  <c r="H4252" i="5"/>
  <c r="I4251" i="5"/>
  <c r="H4251" i="5"/>
  <c r="I4250" i="5"/>
  <c r="H4250" i="5"/>
  <c r="I4249" i="5"/>
  <c r="H4249" i="5"/>
  <c r="I4248" i="5"/>
  <c r="H4248" i="5"/>
  <c r="I4247" i="5"/>
  <c r="H4247" i="5"/>
  <c r="I4246" i="5"/>
  <c r="H4246" i="5"/>
  <c r="I4245" i="5"/>
  <c r="H4245" i="5"/>
  <c r="I4244" i="5"/>
  <c r="H4244" i="5"/>
  <c r="I4243" i="5"/>
  <c r="H4243" i="5"/>
  <c r="I4242" i="5"/>
  <c r="H4242" i="5"/>
  <c r="I4241" i="5"/>
  <c r="H4241" i="5"/>
  <c r="I4240" i="5"/>
  <c r="H4240" i="5"/>
  <c r="I4239" i="5"/>
  <c r="H4239" i="5"/>
  <c r="I4238" i="5"/>
  <c r="H4238" i="5"/>
  <c r="I4237" i="5"/>
  <c r="H4237" i="5"/>
  <c r="I4236" i="5"/>
  <c r="H4236" i="5"/>
  <c r="I4235" i="5"/>
  <c r="H4235" i="5"/>
  <c r="I4234" i="5"/>
  <c r="H4234" i="5"/>
  <c r="I4233" i="5"/>
  <c r="H4233" i="5"/>
  <c r="I4232" i="5"/>
  <c r="H4232" i="5"/>
  <c r="I4231" i="5"/>
  <c r="H4231" i="5"/>
  <c r="I4230" i="5"/>
  <c r="H4230" i="5"/>
  <c r="I4229" i="5"/>
  <c r="H4229" i="5"/>
  <c r="I4228" i="5"/>
  <c r="H4228" i="5"/>
  <c r="I4227" i="5"/>
  <c r="H4227" i="5"/>
  <c r="I4226" i="5"/>
  <c r="H4226" i="5"/>
  <c r="I4225" i="5"/>
  <c r="H4225" i="5"/>
  <c r="I4224" i="5"/>
  <c r="H4224" i="5"/>
  <c r="I4223" i="5"/>
  <c r="H4223" i="5"/>
  <c r="I4222" i="5"/>
  <c r="H4222" i="5"/>
  <c r="I4221" i="5"/>
  <c r="H4221" i="5"/>
  <c r="I4220" i="5"/>
  <c r="H4220" i="5"/>
  <c r="I4219" i="5"/>
  <c r="H4219" i="5"/>
  <c r="I4218" i="5"/>
  <c r="H4218" i="5"/>
  <c r="I4217" i="5"/>
  <c r="H4217" i="5"/>
  <c r="I4216" i="5"/>
  <c r="H4216" i="5"/>
  <c r="I4215" i="5"/>
  <c r="H4215" i="5"/>
  <c r="I4214" i="5"/>
  <c r="H4214" i="5"/>
  <c r="I4213" i="5"/>
  <c r="H4213" i="5"/>
  <c r="I4212" i="5"/>
  <c r="H4212" i="5"/>
  <c r="I4211" i="5"/>
  <c r="H4211" i="5"/>
  <c r="I4210" i="5"/>
  <c r="H4210" i="5"/>
  <c r="I4209" i="5"/>
  <c r="H4209" i="5"/>
  <c r="I4208" i="5"/>
  <c r="H4208" i="5"/>
  <c r="I4207" i="5"/>
  <c r="H4207" i="5"/>
  <c r="I4206" i="5"/>
  <c r="H4206" i="5"/>
  <c r="I4205" i="5"/>
  <c r="H4205" i="5"/>
  <c r="I4204" i="5"/>
  <c r="H4204" i="5"/>
  <c r="I4203" i="5"/>
  <c r="H4203" i="5"/>
  <c r="I4202" i="5"/>
  <c r="H4202" i="5"/>
  <c r="I4201" i="5"/>
  <c r="H4201" i="5"/>
  <c r="I4200" i="5"/>
  <c r="H4200" i="5"/>
  <c r="I4199" i="5"/>
  <c r="H4199" i="5"/>
  <c r="I4198" i="5"/>
  <c r="H4198" i="5"/>
  <c r="I4197" i="5"/>
  <c r="H4197" i="5"/>
  <c r="I4196" i="5"/>
  <c r="H4196" i="5"/>
  <c r="I4195" i="5"/>
  <c r="H4195" i="5"/>
  <c r="I4194" i="5"/>
  <c r="H4194" i="5"/>
  <c r="I4193" i="5"/>
  <c r="H4193" i="5"/>
  <c r="I4192" i="5"/>
  <c r="H4192" i="5"/>
  <c r="I4191" i="5"/>
  <c r="H4191" i="5"/>
  <c r="I4190" i="5"/>
  <c r="H4190" i="5"/>
  <c r="I4189" i="5"/>
  <c r="H4189" i="5"/>
  <c r="I4188" i="5"/>
  <c r="H4188" i="5"/>
  <c r="I4187" i="5"/>
  <c r="H4187" i="5"/>
  <c r="I4186" i="5"/>
  <c r="H4186" i="5"/>
  <c r="I4185" i="5"/>
  <c r="H4185" i="5"/>
  <c r="I4184" i="5"/>
  <c r="H4184" i="5"/>
  <c r="I4183" i="5"/>
  <c r="H4183" i="5"/>
  <c r="I4182" i="5"/>
  <c r="H4182" i="5"/>
  <c r="I4181" i="5"/>
  <c r="H4181" i="5"/>
  <c r="I4180" i="5"/>
  <c r="H4180" i="5"/>
  <c r="I4179" i="5"/>
  <c r="H4179" i="5"/>
  <c r="I4178" i="5"/>
  <c r="H4178" i="5"/>
  <c r="I4177" i="5"/>
  <c r="H4177" i="5"/>
  <c r="I4176" i="5"/>
  <c r="H4176" i="5"/>
  <c r="I4175" i="5"/>
  <c r="H4175" i="5"/>
  <c r="I4174" i="5"/>
  <c r="H4174" i="5"/>
  <c r="I4173" i="5"/>
  <c r="H4173" i="5"/>
  <c r="I4172" i="5"/>
  <c r="H4172" i="5"/>
  <c r="I4171" i="5"/>
  <c r="H4171" i="5"/>
  <c r="I4170" i="5"/>
  <c r="H4170" i="5"/>
  <c r="I4169" i="5"/>
  <c r="H4169" i="5"/>
  <c r="I4168" i="5"/>
  <c r="H4168" i="5"/>
  <c r="I4167" i="5"/>
  <c r="H4167" i="5"/>
  <c r="I4166" i="5"/>
  <c r="H4166" i="5"/>
  <c r="I4165" i="5"/>
  <c r="H4165" i="5"/>
  <c r="I4164" i="5"/>
  <c r="H4164" i="5"/>
  <c r="I4163" i="5"/>
  <c r="H4163" i="5"/>
  <c r="I4162" i="5"/>
  <c r="H4162" i="5"/>
  <c r="I4161" i="5"/>
  <c r="H4161" i="5"/>
  <c r="I4160" i="5"/>
  <c r="H4160" i="5"/>
  <c r="I4159" i="5"/>
  <c r="H4159" i="5"/>
  <c r="I4158" i="5"/>
  <c r="H4158" i="5"/>
  <c r="I4157" i="5"/>
  <c r="H4157" i="5"/>
  <c r="I4156" i="5"/>
  <c r="H4156" i="5"/>
  <c r="I4155" i="5"/>
  <c r="H4155" i="5"/>
  <c r="I4154" i="5"/>
  <c r="H4154" i="5"/>
  <c r="I4153" i="5"/>
  <c r="H4153" i="5"/>
  <c r="I4152" i="5"/>
  <c r="H4152" i="5"/>
  <c r="I4151" i="5"/>
  <c r="H4151" i="5"/>
  <c r="I4150" i="5"/>
  <c r="H4150" i="5"/>
  <c r="I4149" i="5"/>
  <c r="H4149" i="5"/>
  <c r="I4148" i="5"/>
  <c r="H4148" i="5"/>
  <c r="I4147" i="5"/>
  <c r="H4147" i="5"/>
  <c r="I4146" i="5"/>
  <c r="H4146" i="5"/>
  <c r="I4145" i="5"/>
  <c r="H4145" i="5"/>
  <c r="I4144" i="5"/>
  <c r="H4144" i="5"/>
  <c r="I4143" i="5"/>
  <c r="H4143" i="5"/>
  <c r="I4142" i="5"/>
  <c r="H4142" i="5"/>
  <c r="I4141" i="5"/>
  <c r="H4141" i="5"/>
  <c r="I4140" i="5"/>
  <c r="H4140" i="5"/>
  <c r="I4139" i="5"/>
  <c r="H4139" i="5"/>
  <c r="I4138" i="5"/>
  <c r="H4138" i="5"/>
  <c r="I4137" i="5"/>
  <c r="H4137" i="5"/>
  <c r="I4136" i="5"/>
  <c r="H4136" i="5"/>
  <c r="I4135" i="5"/>
  <c r="H4135" i="5"/>
  <c r="I4134" i="5"/>
  <c r="H4134" i="5"/>
  <c r="I4133" i="5"/>
  <c r="H4133" i="5"/>
  <c r="I4132" i="5"/>
  <c r="H4132" i="5"/>
  <c r="I4131" i="5"/>
  <c r="H4131" i="5"/>
  <c r="I4130" i="5"/>
  <c r="H4130" i="5"/>
  <c r="I4129" i="5"/>
  <c r="H4129" i="5"/>
  <c r="I4128" i="5"/>
  <c r="H4128" i="5"/>
  <c r="I4127" i="5"/>
  <c r="H4127" i="5"/>
  <c r="I4126" i="5"/>
  <c r="H4126" i="5"/>
  <c r="I4125" i="5"/>
  <c r="H4125" i="5"/>
  <c r="I4124" i="5"/>
  <c r="H4124" i="5"/>
  <c r="I4123" i="5"/>
  <c r="H4123" i="5"/>
  <c r="I4122" i="5"/>
  <c r="H4122" i="5"/>
  <c r="I4121" i="5"/>
  <c r="H4121" i="5"/>
  <c r="I4120" i="5"/>
  <c r="H4120" i="5"/>
  <c r="I4119" i="5"/>
  <c r="H4119" i="5"/>
  <c r="I4118" i="5"/>
  <c r="H4118" i="5"/>
  <c r="I4117" i="5"/>
  <c r="H4117" i="5"/>
  <c r="I4116" i="5"/>
  <c r="H4116" i="5"/>
  <c r="I4115" i="5"/>
  <c r="H4115" i="5"/>
  <c r="I4114" i="5"/>
  <c r="H4114" i="5"/>
  <c r="I4113" i="5"/>
  <c r="H4113" i="5"/>
  <c r="I4112" i="5"/>
  <c r="H4112" i="5"/>
  <c r="I4111" i="5"/>
  <c r="H4111" i="5"/>
  <c r="I4110" i="5"/>
  <c r="H4110" i="5"/>
  <c r="I4109" i="5"/>
  <c r="H4109" i="5"/>
  <c r="I4108" i="5"/>
  <c r="H4108" i="5"/>
  <c r="I4107" i="5"/>
  <c r="H4107" i="5"/>
  <c r="I4106" i="5"/>
  <c r="H4106" i="5"/>
  <c r="I4105" i="5"/>
  <c r="H4105" i="5"/>
  <c r="I4104" i="5"/>
  <c r="H4104" i="5"/>
  <c r="I4103" i="5"/>
  <c r="H4103" i="5"/>
  <c r="I4102" i="5"/>
  <c r="H4102" i="5"/>
  <c r="I4101" i="5"/>
  <c r="H4101" i="5"/>
  <c r="I4100" i="5"/>
  <c r="H4100" i="5"/>
  <c r="I4099" i="5"/>
  <c r="H4099" i="5"/>
  <c r="I4098" i="5"/>
  <c r="H4098" i="5"/>
  <c r="I4097" i="5"/>
  <c r="H4097" i="5"/>
  <c r="I4096" i="5"/>
  <c r="H4096" i="5"/>
  <c r="I4095" i="5"/>
  <c r="H4095" i="5"/>
  <c r="I4094" i="5"/>
  <c r="H4094" i="5"/>
  <c r="I4093" i="5"/>
  <c r="H4093" i="5"/>
  <c r="I4092" i="5"/>
  <c r="H4092" i="5"/>
  <c r="I4091" i="5"/>
  <c r="H4091" i="5"/>
  <c r="I4090" i="5"/>
  <c r="H4090" i="5"/>
  <c r="I4089" i="5"/>
  <c r="H4089" i="5"/>
  <c r="I4088" i="5"/>
  <c r="H4088" i="5"/>
  <c r="I4087" i="5"/>
  <c r="H4087" i="5"/>
  <c r="I4086" i="5"/>
  <c r="H4086" i="5"/>
  <c r="I4085" i="5"/>
  <c r="H4085" i="5"/>
  <c r="I4084" i="5"/>
  <c r="H4084" i="5"/>
  <c r="I4083" i="5"/>
  <c r="H4083" i="5"/>
  <c r="I4082" i="5"/>
  <c r="H4082" i="5"/>
  <c r="I4081" i="5"/>
  <c r="H4081" i="5"/>
  <c r="I4080" i="5"/>
  <c r="H4080" i="5"/>
  <c r="I4079" i="5"/>
  <c r="H4079" i="5"/>
  <c r="I4078" i="5"/>
  <c r="H4078" i="5"/>
  <c r="I4077" i="5"/>
  <c r="H4077" i="5"/>
  <c r="I4076" i="5"/>
  <c r="H4076" i="5"/>
  <c r="I4075" i="5"/>
  <c r="H4075" i="5"/>
  <c r="I4074" i="5"/>
  <c r="H4074" i="5"/>
  <c r="I4073" i="5"/>
  <c r="H4073" i="5"/>
  <c r="I4072" i="5"/>
  <c r="H4072" i="5"/>
  <c r="I4071" i="5"/>
  <c r="H4071" i="5"/>
  <c r="I4070" i="5"/>
  <c r="H4070" i="5"/>
  <c r="I4069" i="5"/>
  <c r="H4069" i="5"/>
  <c r="I4068" i="5"/>
  <c r="H4068" i="5"/>
  <c r="I4067" i="5"/>
  <c r="H4067" i="5"/>
  <c r="I4066" i="5"/>
  <c r="H4066" i="5"/>
  <c r="I4065" i="5"/>
  <c r="H4065" i="5"/>
  <c r="I4064" i="5"/>
  <c r="H4064" i="5"/>
  <c r="I4063" i="5"/>
  <c r="H4063" i="5"/>
  <c r="I4062" i="5"/>
  <c r="H4062" i="5"/>
  <c r="I4061" i="5"/>
  <c r="H4061" i="5"/>
  <c r="I4060" i="5"/>
  <c r="H4060" i="5"/>
  <c r="I4059" i="5"/>
  <c r="H4059" i="5"/>
  <c r="I4058" i="5"/>
  <c r="H4058" i="5"/>
  <c r="I4057" i="5"/>
  <c r="H4057" i="5"/>
  <c r="I4056" i="5"/>
  <c r="H4056" i="5"/>
  <c r="I4055" i="5"/>
  <c r="H4055" i="5"/>
  <c r="I4054" i="5"/>
  <c r="H4054" i="5"/>
  <c r="I4053" i="5"/>
  <c r="H4053" i="5"/>
  <c r="I4052" i="5"/>
  <c r="H4052" i="5"/>
  <c r="I4051" i="5"/>
  <c r="H4051" i="5"/>
  <c r="I4050" i="5"/>
  <c r="H4050" i="5"/>
  <c r="I4049" i="5"/>
  <c r="H4049" i="5"/>
  <c r="I4048" i="5"/>
  <c r="H4048" i="5"/>
  <c r="I4047" i="5"/>
  <c r="H4047" i="5"/>
  <c r="I4046" i="5"/>
  <c r="H4046" i="5"/>
  <c r="I4045" i="5"/>
  <c r="H4045" i="5"/>
  <c r="I4044" i="5"/>
  <c r="H4044" i="5"/>
  <c r="I4043" i="5"/>
  <c r="H4043" i="5"/>
  <c r="I4042" i="5"/>
  <c r="H4042" i="5"/>
  <c r="I4041" i="5"/>
  <c r="H4041" i="5"/>
  <c r="I4040" i="5"/>
  <c r="H4040" i="5"/>
  <c r="I4039" i="5"/>
  <c r="H4039" i="5"/>
  <c r="I4038" i="5"/>
  <c r="H4038" i="5"/>
  <c r="I4037" i="5"/>
  <c r="H4037" i="5"/>
  <c r="I4036" i="5"/>
  <c r="H4036" i="5"/>
  <c r="I4035" i="5"/>
  <c r="H4035" i="5"/>
  <c r="I4034" i="5"/>
  <c r="H4034" i="5"/>
  <c r="I4033" i="5"/>
  <c r="H4033" i="5"/>
  <c r="I4032" i="5"/>
  <c r="H4032" i="5"/>
  <c r="I4031" i="5"/>
  <c r="H4031" i="5"/>
  <c r="I4030" i="5"/>
  <c r="H4030" i="5"/>
  <c r="I4029" i="5"/>
  <c r="H4029" i="5"/>
  <c r="I4028" i="5"/>
  <c r="H4028" i="5"/>
  <c r="I4027" i="5"/>
  <c r="H4027" i="5"/>
  <c r="I4026" i="5"/>
  <c r="H4026" i="5"/>
  <c r="I4025" i="5"/>
  <c r="H4025" i="5"/>
  <c r="I4024" i="5"/>
  <c r="H4024" i="5"/>
  <c r="I4023" i="5"/>
  <c r="H4023" i="5"/>
  <c r="I4022" i="5"/>
  <c r="H4022" i="5"/>
  <c r="I4021" i="5"/>
  <c r="H4021" i="5"/>
  <c r="I4020" i="5"/>
  <c r="H4020" i="5"/>
  <c r="I4019" i="5"/>
  <c r="H4019" i="5"/>
  <c r="I4018" i="5"/>
  <c r="H4018" i="5"/>
  <c r="I4017" i="5"/>
  <c r="H4017" i="5"/>
  <c r="I4016" i="5"/>
  <c r="H4016" i="5"/>
  <c r="I4015" i="5"/>
  <c r="H4015" i="5"/>
  <c r="I4014" i="5"/>
  <c r="H4014" i="5"/>
  <c r="I4013" i="5"/>
  <c r="H4013" i="5"/>
  <c r="I4012" i="5"/>
  <c r="H4012" i="5"/>
  <c r="I4011" i="5"/>
  <c r="H4011" i="5"/>
  <c r="I4010" i="5"/>
  <c r="H4010" i="5"/>
  <c r="I4009" i="5"/>
  <c r="H4009" i="5"/>
  <c r="I4008" i="5"/>
  <c r="H4008" i="5"/>
  <c r="I4007" i="5"/>
  <c r="H4007" i="5"/>
  <c r="I4006" i="5"/>
  <c r="H4006" i="5"/>
  <c r="I4005" i="5"/>
  <c r="H4005" i="5"/>
  <c r="I4004" i="5"/>
  <c r="H4004" i="5"/>
  <c r="I4003" i="5"/>
  <c r="H4003" i="5"/>
  <c r="I4002" i="5"/>
  <c r="H4002" i="5"/>
  <c r="I4001" i="5"/>
  <c r="H4001" i="5"/>
  <c r="I4000" i="5"/>
  <c r="H4000" i="5"/>
  <c r="I3999" i="5"/>
  <c r="H3999" i="5"/>
  <c r="I3998" i="5"/>
  <c r="H3998" i="5"/>
  <c r="I3997" i="5"/>
  <c r="H3997" i="5"/>
  <c r="I3996" i="5"/>
  <c r="H3996" i="5"/>
  <c r="I3995" i="5"/>
  <c r="H3995" i="5"/>
  <c r="I3994" i="5"/>
  <c r="H3994" i="5"/>
  <c r="I3993" i="5"/>
  <c r="H3993" i="5"/>
  <c r="I3992" i="5"/>
  <c r="H3992" i="5"/>
  <c r="I3991" i="5"/>
  <c r="H3991" i="5"/>
  <c r="I3990" i="5"/>
  <c r="H3990" i="5"/>
  <c r="I3989" i="5"/>
  <c r="H3989" i="5"/>
  <c r="I3988" i="5"/>
  <c r="H3988" i="5"/>
  <c r="I3987" i="5"/>
  <c r="H3987" i="5"/>
  <c r="I3986" i="5"/>
  <c r="H3986" i="5"/>
  <c r="I3985" i="5"/>
  <c r="H3985" i="5"/>
  <c r="I3984" i="5"/>
  <c r="H3984" i="5"/>
  <c r="I3983" i="5"/>
  <c r="H3983" i="5"/>
  <c r="I3982" i="5"/>
  <c r="H3982" i="5"/>
  <c r="I3981" i="5"/>
  <c r="H3981" i="5"/>
  <c r="I3980" i="5"/>
  <c r="H3980" i="5"/>
  <c r="I3979" i="5"/>
  <c r="H3979" i="5"/>
  <c r="I3978" i="5"/>
  <c r="H3978" i="5"/>
  <c r="I3977" i="5"/>
  <c r="H3977" i="5"/>
  <c r="I3976" i="5"/>
  <c r="H3976" i="5"/>
  <c r="I3975" i="5"/>
  <c r="H3975" i="5"/>
  <c r="I3974" i="5"/>
  <c r="H3974" i="5"/>
  <c r="I3973" i="5"/>
  <c r="H3973" i="5"/>
  <c r="I3972" i="5"/>
  <c r="H3972" i="5"/>
  <c r="I3971" i="5"/>
  <c r="H3971" i="5"/>
  <c r="I3970" i="5"/>
  <c r="H3970" i="5"/>
  <c r="I3969" i="5"/>
  <c r="H3969" i="5"/>
  <c r="I3968" i="5"/>
  <c r="H3968" i="5"/>
  <c r="I3967" i="5"/>
  <c r="H3967" i="5"/>
  <c r="I3966" i="5"/>
  <c r="H3966" i="5"/>
  <c r="I3965" i="5"/>
  <c r="H3965" i="5"/>
  <c r="I3964" i="5"/>
  <c r="H3964" i="5"/>
  <c r="I3963" i="5"/>
  <c r="H3963" i="5"/>
  <c r="I3962" i="5"/>
  <c r="H3962" i="5"/>
  <c r="I3961" i="5"/>
  <c r="H3961" i="5"/>
  <c r="I3960" i="5"/>
  <c r="H3960" i="5"/>
  <c r="I3959" i="5"/>
  <c r="H3959" i="5"/>
  <c r="I3958" i="5"/>
  <c r="H3958" i="5"/>
  <c r="I3957" i="5"/>
  <c r="H3957" i="5"/>
  <c r="I3956" i="5"/>
  <c r="H3956" i="5"/>
  <c r="I3955" i="5"/>
  <c r="H3955" i="5"/>
  <c r="I3954" i="5"/>
  <c r="H3954" i="5"/>
  <c r="I3953" i="5"/>
  <c r="H3953" i="5"/>
  <c r="I3952" i="5"/>
  <c r="H3952" i="5"/>
  <c r="I3951" i="5"/>
  <c r="H3951" i="5"/>
  <c r="I3950" i="5"/>
  <c r="H3950" i="5"/>
  <c r="I3949" i="5"/>
  <c r="H3949" i="5"/>
  <c r="I3948" i="5"/>
  <c r="H3948" i="5"/>
  <c r="I3947" i="5"/>
  <c r="H3947" i="5"/>
  <c r="I3946" i="5"/>
  <c r="H3946" i="5"/>
  <c r="I3945" i="5"/>
  <c r="H3945" i="5"/>
  <c r="I3944" i="5"/>
  <c r="H3944" i="5"/>
  <c r="I3943" i="5"/>
  <c r="H3943" i="5"/>
  <c r="I3942" i="5"/>
  <c r="H3942" i="5"/>
  <c r="I3941" i="5"/>
  <c r="H3941" i="5"/>
  <c r="I3940" i="5"/>
  <c r="H3940" i="5"/>
  <c r="I3939" i="5"/>
  <c r="H3939" i="5"/>
  <c r="I3938" i="5"/>
  <c r="H3938" i="5"/>
  <c r="I3937" i="5"/>
  <c r="H3937" i="5"/>
  <c r="I3936" i="5"/>
  <c r="H3936" i="5"/>
  <c r="I3935" i="5"/>
  <c r="H3935" i="5"/>
  <c r="I3934" i="5"/>
  <c r="H3934" i="5"/>
  <c r="I3933" i="5"/>
  <c r="H3933" i="5"/>
  <c r="I3932" i="5"/>
  <c r="H3932" i="5"/>
  <c r="I3931" i="5"/>
  <c r="H3931" i="5"/>
  <c r="I3930" i="5"/>
  <c r="H3930" i="5"/>
  <c r="I3929" i="5"/>
  <c r="H3929" i="5"/>
  <c r="I3928" i="5"/>
  <c r="H3928" i="5"/>
  <c r="I3927" i="5"/>
  <c r="H3927" i="5"/>
  <c r="I3926" i="5"/>
  <c r="H3926" i="5"/>
  <c r="I3925" i="5"/>
  <c r="H3925" i="5"/>
  <c r="I3924" i="5"/>
  <c r="H3924" i="5"/>
  <c r="I3923" i="5"/>
  <c r="H3923" i="5"/>
  <c r="I3922" i="5"/>
  <c r="H3922" i="5"/>
  <c r="I3921" i="5"/>
  <c r="H3921" i="5"/>
  <c r="I3920" i="5"/>
  <c r="H3920" i="5"/>
  <c r="I3919" i="5"/>
  <c r="H3919" i="5"/>
  <c r="I3918" i="5"/>
  <c r="H3918" i="5"/>
  <c r="I3917" i="5"/>
  <c r="H3917" i="5"/>
  <c r="I3916" i="5"/>
  <c r="H3916" i="5"/>
  <c r="I3915" i="5"/>
  <c r="H3915" i="5"/>
  <c r="I3914" i="5"/>
  <c r="H3914" i="5"/>
  <c r="I3913" i="5"/>
  <c r="H3913" i="5"/>
  <c r="I3912" i="5"/>
  <c r="H3912" i="5"/>
  <c r="I3911" i="5"/>
  <c r="H3911" i="5"/>
  <c r="I3910" i="5"/>
  <c r="H3910" i="5"/>
  <c r="I3909" i="5"/>
  <c r="H3909" i="5"/>
  <c r="I3908" i="5"/>
  <c r="H3908" i="5"/>
  <c r="I3907" i="5"/>
  <c r="H3907" i="5"/>
  <c r="I3906" i="5"/>
  <c r="H3906" i="5"/>
  <c r="I3905" i="5"/>
  <c r="H3905" i="5"/>
  <c r="I3904" i="5"/>
  <c r="H3904" i="5"/>
  <c r="I3903" i="5"/>
  <c r="H3903" i="5"/>
  <c r="I3902" i="5"/>
  <c r="H3902" i="5"/>
  <c r="I3901" i="5"/>
  <c r="H3901" i="5"/>
  <c r="I3900" i="5"/>
  <c r="H3900" i="5"/>
  <c r="I3899" i="5"/>
  <c r="H3899" i="5"/>
  <c r="I3898" i="5"/>
  <c r="H3898" i="5"/>
  <c r="I3897" i="5"/>
  <c r="H3897" i="5"/>
  <c r="I3896" i="5"/>
  <c r="H3896" i="5"/>
  <c r="I3895" i="5"/>
  <c r="H3895" i="5"/>
  <c r="I3894" i="5"/>
  <c r="H3894" i="5"/>
  <c r="I3893" i="5"/>
  <c r="H3893" i="5"/>
  <c r="I3892" i="5"/>
  <c r="H3892" i="5"/>
  <c r="I3891" i="5"/>
  <c r="H3891" i="5"/>
  <c r="I3890" i="5"/>
  <c r="H3890" i="5"/>
  <c r="I3889" i="5"/>
  <c r="H3889" i="5"/>
  <c r="I3888" i="5"/>
  <c r="H3888" i="5"/>
  <c r="I3887" i="5"/>
  <c r="H3887" i="5"/>
  <c r="I3886" i="5"/>
  <c r="H3886" i="5"/>
  <c r="I3885" i="5"/>
  <c r="H3885" i="5"/>
  <c r="I3884" i="5"/>
  <c r="H3884" i="5"/>
  <c r="I3883" i="5"/>
  <c r="H3883" i="5"/>
  <c r="I3882" i="5"/>
  <c r="H3882" i="5"/>
  <c r="I3881" i="5"/>
  <c r="H3881" i="5"/>
  <c r="I3880" i="5"/>
  <c r="H3880" i="5"/>
  <c r="I3879" i="5"/>
  <c r="H3879" i="5"/>
  <c r="I3878" i="5"/>
  <c r="H3878" i="5"/>
  <c r="I3877" i="5"/>
  <c r="H3877" i="5"/>
  <c r="I3876" i="5"/>
  <c r="H3876" i="5"/>
  <c r="I3875" i="5"/>
  <c r="H3875" i="5"/>
  <c r="I3874" i="5"/>
  <c r="H3874" i="5"/>
  <c r="I3873" i="5"/>
  <c r="H3873" i="5"/>
  <c r="I3872" i="5"/>
  <c r="H3872" i="5"/>
  <c r="I3871" i="5"/>
  <c r="H3871" i="5"/>
  <c r="I3870" i="5"/>
  <c r="H3870" i="5"/>
  <c r="I3869" i="5"/>
  <c r="H3869" i="5"/>
  <c r="I3868" i="5"/>
  <c r="H3868" i="5"/>
  <c r="I3867" i="5"/>
  <c r="H3867" i="5"/>
  <c r="I3866" i="5"/>
  <c r="H3866" i="5"/>
  <c r="I3865" i="5"/>
  <c r="H3865" i="5"/>
  <c r="I3864" i="5"/>
  <c r="H3864" i="5"/>
  <c r="I3863" i="5"/>
  <c r="H3863" i="5"/>
  <c r="I3862" i="5"/>
  <c r="H3862" i="5"/>
  <c r="I3861" i="5"/>
  <c r="H3861" i="5"/>
  <c r="I3860" i="5"/>
  <c r="H3860" i="5"/>
  <c r="I3859" i="5"/>
  <c r="H3859" i="5"/>
  <c r="I3858" i="5"/>
  <c r="H3858" i="5"/>
  <c r="I3857" i="5"/>
  <c r="H3857" i="5"/>
  <c r="I3856" i="5"/>
  <c r="H3856" i="5"/>
  <c r="I3855" i="5"/>
  <c r="H3855" i="5"/>
  <c r="I3854" i="5"/>
  <c r="H3854" i="5"/>
  <c r="I3853" i="5"/>
  <c r="H3853" i="5"/>
  <c r="I3852" i="5"/>
  <c r="H3852" i="5"/>
  <c r="I3851" i="5"/>
  <c r="H3851" i="5"/>
  <c r="I3850" i="5"/>
  <c r="H3850" i="5"/>
  <c r="I3849" i="5"/>
  <c r="H3849" i="5"/>
  <c r="I3848" i="5"/>
  <c r="H3848" i="5"/>
  <c r="I3847" i="5"/>
  <c r="H3847" i="5"/>
  <c r="I3846" i="5"/>
  <c r="H3846" i="5"/>
  <c r="I3845" i="5"/>
  <c r="H3845" i="5"/>
  <c r="I3844" i="5"/>
  <c r="H3844" i="5"/>
  <c r="I3843" i="5"/>
  <c r="H3843" i="5"/>
  <c r="I3842" i="5"/>
  <c r="H3842" i="5"/>
  <c r="I3841" i="5"/>
  <c r="H3841" i="5"/>
  <c r="I3840" i="5"/>
  <c r="H3840" i="5"/>
  <c r="I3839" i="5"/>
  <c r="H3839" i="5"/>
  <c r="I3838" i="5"/>
  <c r="H3838" i="5"/>
  <c r="I3837" i="5"/>
  <c r="H3837" i="5"/>
  <c r="I3836" i="5"/>
  <c r="H3836" i="5"/>
  <c r="I3835" i="5"/>
  <c r="H3835" i="5"/>
  <c r="I3834" i="5"/>
  <c r="H3834" i="5"/>
  <c r="I3833" i="5"/>
  <c r="H3833" i="5"/>
  <c r="I3832" i="5"/>
  <c r="H3832" i="5"/>
  <c r="I3831" i="5"/>
  <c r="H3831" i="5"/>
  <c r="I3830" i="5"/>
  <c r="H3830" i="5"/>
  <c r="I3829" i="5"/>
  <c r="H3829" i="5"/>
  <c r="I3828" i="5"/>
  <c r="H3828" i="5"/>
  <c r="I3827" i="5"/>
  <c r="H3827" i="5"/>
  <c r="I3826" i="5"/>
  <c r="H3826" i="5"/>
  <c r="I3825" i="5"/>
  <c r="H3825" i="5"/>
  <c r="I3824" i="5"/>
  <c r="H3824" i="5"/>
  <c r="I3823" i="5"/>
  <c r="H3823" i="5"/>
  <c r="I3822" i="5"/>
  <c r="H3822" i="5"/>
  <c r="I3821" i="5"/>
  <c r="H3821" i="5"/>
  <c r="I3820" i="5"/>
  <c r="H3820" i="5"/>
  <c r="I3819" i="5"/>
  <c r="H3819" i="5"/>
  <c r="I3818" i="5"/>
  <c r="H3818" i="5"/>
  <c r="I3817" i="5"/>
  <c r="H3817" i="5"/>
  <c r="I3816" i="5"/>
  <c r="H3816" i="5"/>
  <c r="I3815" i="5"/>
  <c r="H3815" i="5"/>
  <c r="I3814" i="5"/>
  <c r="H3814" i="5"/>
  <c r="I3813" i="5"/>
  <c r="H3813" i="5"/>
  <c r="I3812" i="5"/>
  <c r="H3812" i="5"/>
  <c r="I3811" i="5"/>
  <c r="H3811" i="5"/>
  <c r="I3810" i="5"/>
  <c r="H3810" i="5"/>
  <c r="I3809" i="5"/>
  <c r="H3809" i="5"/>
  <c r="I3808" i="5"/>
  <c r="H3808" i="5"/>
  <c r="I3807" i="5"/>
  <c r="H3807" i="5"/>
  <c r="I3806" i="5"/>
  <c r="H3806" i="5"/>
  <c r="I3805" i="5"/>
  <c r="H3805" i="5"/>
  <c r="I3804" i="5"/>
  <c r="H3804" i="5"/>
  <c r="I3803" i="5"/>
  <c r="H3803" i="5"/>
  <c r="I3802" i="5"/>
  <c r="H3802" i="5"/>
  <c r="I3801" i="5"/>
  <c r="H3801" i="5"/>
  <c r="I3800" i="5"/>
  <c r="H3800" i="5"/>
  <c r="I3799" i="5"/>
  <c r="H3799" i="5"/>
  <c r="I3798" i="5"/>
  <c r="H3798" i="5"/>
  <c r="I3797" i="5"/>
  <c r="H3797" i="5"/>
  <c r="I3796" i="5"/>
  <c r="H3796" i="5"/>
  <c r="I3795" i="5"/>
  <c r="H3795" i="5"/>
  <c r="I3794" i="5"/>
  <c r="H3794" i="5"/>
  <c r="I3793" i="5"/>
  <c r="H3793" i="5"/>
  <c r="I3792" i="5"/>
  <c r="H3792" i="5"/>
  <c r="I3791" i="5"/>
  <c r="H3791" i="5"/>
  <c r="I3790" i="5"/>
  <c r="H3790" i="5"/>
  <c r="I3789" i="5"/>
  <c r="H3789" i="5"/>
  <c r="I3788" i="5"/>
  <c r="H3788" i="5"/>
  <c r="I3787" i="5"/>
  <c r="H3787" i="5"/>
  <c r="I3786" i="5"/>
  <c r="H3786" i="5"/>
  <c r="I3785" i="5"/>
  <c r="H3785" i="5"/>
  <c r="I3784" i="5"/>
  <c r="H3784" i="5"/>
  <c r="I3783" i="5"/>
  <c r="H3783" i="5"/>
  <c r="I3782" i="5"/>
  <c r="H3782" i="5"/>
  <c r="I3781" i="5"/>
  <c r="H3781" i="5"/>
  <c r="I3780" i="5"/>
  <c r="H3780" i="5"/>
  <c r="I3779" i="5"/>
  <c r="H3779" i="5"/>
  <c r="I3778" i="5"/>
  <c r="H3778" i="5"/>
  <c r="I3777" i="5"/>
  <c r="H3777" i="5"/>
  <c r="I3776" i="5"/>
  <c r="H3776" i="5"/>
  <c r="I3775" i="5"/>
  <c r="H3775" i="5"/>
  <c r="I3774" i="5"/>
  <c r="H3774" i="5"/>
  <c r="I3773" i="5"/>
  <c r="H3773" i="5"/>
  <c r="I3772" i="5"/>
  <c r="H3772" i="5"/>
  <c r="I3771" i="5"/>
  <c r="H3771" i="5"/>
  <c r="I3770" i="5"/>
  <c r="H3770" i="5"/>
  <c r="I3769" i="5"/>
  <c r="H3769" i="5"/>
  <c r="I3768" i="5"/>
  <c r="H3768" i="5"/>
  <c r="I3767" i="5"/>
  <c r="H3767" i="5"/>
  <c r="I3766" i="5"/>
  <c r="H3766" i="5"/>
  <c r="I3765" i="5"/>
  <c r="H3765" i="5"/>
  <c r="I3764" i="5"/>
  <c r="H3764" i="5"/>
  <c r="I3763" i="5"/>
  <c r="H3763" i="5"/>
  <c r="I3762" i="5"/>
  <c r="H3762" i="5"/>
  <c r="I3761" i="5"/>
  <c r="H3761" i="5"/>
  <c r="I3760" i="5"/>
  <c r="H3760" i="5"/>
  <c r="I3759" i="5"/>
  <c r="H3759" i="5"/>
  <c r="I3758" i="5"/>
  <c r="H3758" i="5"/>
  <c r="I3757" i="5"/>
  <c r="H3757" i="5"/>
  <c r="I3756" i="5"/>
  <c r="H3756" i="5"/>
  <c r="I3755" i="5"/>
  <c r="H3755" i="5"/>
  <c r="I3754" i="5"/>
  <c r="H3754" i="5"/>
  <c r="I3753" i="5"/>
  <c r="H3753" i="5"/>
  <c r="I3752" i="5"/>
  <c r="H3752" i="5"/>
  <c r="I3751" i="5"/>
  <c r="H3751" i="5"/>
  <c r="I3750" i="5"/>
  <c r="H3750" i="5"/>
  <c r="I3749" i="5"/>
  <c r="H3749" i="5"/>
  <c r="I3748" i="5"/>
  <c r="H3748" i="5"/>
  <c r="I3747" i="5"/>
  <c r="H3747" i="5"/>
  <c r="I3746" i="5"/>
  <c r="H3746" i="5"/>
  <c r="I3745" i="5"/>
  <c r="H3745" i="5"/>
  <c r="I3744" i="5"/>
  <c r="H3744" i="5"/>
  <c r="I3743" i="5"/>
  <c r="H3743" i="5"/>
  <c r="I3742" i="5"/>
  <c r="H3742" i="5"/>
  <c r="I3741" i="5"/>
  <c r="H3741" i="5"/>
  <c r="I3740" i="5"/>
  <c r="H3740" i="5"/>
  <c r="I3739" i="5"/>
  <c r="H3739" i="5"/>
  <c r="I3738" i="5"/>
  <c r="H3738" i="5"/>
  <c r="I3737" i="5"/>
  <c r="H3737" i="5"/>
  <c r="I3736" i="5"/>
  <c r="H3736" i="5"/>
  <c r="I3735" i="5"/>
  <c r="H3735" i="5"/>
  <c r="I3734" i="5"/>
  <c r="H3734" i="5"/>
  <c r="I3733" i="5"/>
  <c r="H3733" i="5"/>
  <c r="I3732" i="5"/>
  <c r="H3732" i="5"/>
  <c r="I3731" i="5"/>
  <c r="H3731" i="5"/>
  <c r="I3730" i="5"/>
  <c r="H3730" i="5"/>
  <c r="I3729" i="5"/>
  <c r="H3729" i="5"/>
  <c r="I3728" i="5"/>
  <c r="H3728" i="5"/>
  <c r="I3727" i="5"/>
  <c r="H3727" i="5"/>
  <c r="I3726" i="5"/>
  <c r="H3726" i="5"/>
  <c r="I3725" i="5"/>
  <c r="H3725" i="5"/>
  <c r="I3724" i="5"/>
  <c r="H3724" i="5"/>
  <c r="I3723" i="5"/>
  <c r="H3723" i="5"/>
  <c r="I3722" i="5"/>
  <c r="H3722" i="5"/>
  <c r="I3721" i="5"/>
  <c r="H3721" i="5"/>
  <c r="I3720" i="5"/>
  <c r="H3720" i="5"/>
  <c r="I3719" i="5"/>
  <c r="H3719" i="5"/>
  <c r="I3718" i="5"/>
  <c r="H3718" i="5"/>
  <c r="I3717" i="5"/>
  <c r="H3717" i="5"/>
  <c r="I3716" i="5"/>
  <c r="H3716" i="5"/>
  <c r="I3715" i="5"/>
  <c r="H3715" i="5"/>
  <c r="I3714" i="5"/>
  <c r="H3714" i="5"/>
  <c r="I3713" i="5"/>
  <c r="H3713" i="5"/>
  <c r="I3712" i="5"/>
  <c r="H3712" i="5"/>
  <c r="I3711" i="5"/>
  <c r="H3711" i="5"/>
  <c r="I3710" i="5"/>
  <c r="H3710" i="5"/>
  <c r="I3709" i="5"/>
  <c r="H3709" i="5"/>
  <c r="I3708" i="5"/>
  <c r="H3708" i="5"/>
  <c r="I3707" i="5"/>
  <c r="H3707" i="5"/>
  <c r="I3706" i="5"/>
  <c r="H3706" i="5"/>
  <c r="I3705" i="5"/>
  <c r="H3705" i="5"/>
  <c r="I3704" i="5"/>
  <c r="H3704" i="5"/>
  <c r="I3703" i="5"/>
  <c r="H3703" i="5"/>
  <c r="I3702" i="5"/>
  <c r="H3702" i="5"/>
  <c r="I3701" i="5"/>
  <c r="H3701" i="5"/>
  <c r="I3700" i="5"/>
  <c r="H3700" i="5"/>
  <c r="I3699" i="5"/>
  <c r="H3699" i="5"/>
  <c r="I3698" i="5"/>
  <c r="H3698" i="5"/>
  <c r="I3697" i="5"/>
  <c r="H3697" i="5"/>
  <c r="I3696" i="5"/>
  <c r="H3696" i="5"/>
  <c r="I3695" i="5"/>
  <c r="H3695" i="5"/>
  <c r="I3694" i="5"/>
  <c r="H3694" i="5"/>
  <c r="I3693" i="5"/>
  <c r="H3693" i="5"/>
  <c r="I3692" i="5"/>
  <c r="H3692" i="5"/>
  <c r="I3691" i="5"/>
  <c r="H3691" i="5"/>
  <c r="I3690" i="5"/>
  <c r="H3690" i="5"/>
  <c r="I3689" i="5"/>
  <c r="H3689" i="5"/>
  <c r="I3688" i="5"/>
  <c r="H3688" i="5"/>
  <c r="I3687" i="5"/>
  <c r="H3687" i="5"/>
  <c r="I3686" i="5"/>
  <c r="H3686" i="5"/>
  <c r="I3685" i="5"/>
  <c r="H3685" i="5"/>
  <c r="I3684" i="5"/>
  <c r="H3684" i="5"/>
  <c r="I3683" i="5"/>
  <c r="H3683" i="5"/>
  <c r="I3682" i="5"/>
  <c r="H3682" i="5"/>
  <c r="I3681" i="5"/>
  <c r="H3681" i="5"/>
  <c r="I3680" i="5"/>
  <c r="H3680" i="5"/>
  <c r="I3679" i="5"/>
  <c r="H3679" i="5"/>
  <c r="I3678" i="5"/>
  <c r="H3678" i="5"/>
  <c r="I3677" i="5"/>
  <c r="H3677" i="5"/>
  <c r="I3676" i="5"/>
  <c r="H3676" i="5"/>
  <c r="I3675" i="5"/>
  <c r="H3675" i="5"/>
  <c r="I3674" i="5"/>
  <c r="H3674" i="5"/>
  <c r="I3673" i="5"/>
  <c r="H3673" i="5"/>
  <c r="I3672" i="5"/>
  <c r="H3672" i="5"/>
  <c r="I3671" i="5"/>
  <c r="H3671" i="5"/>
  <c r="I3670" i="5"/>
  <c r="H3670" i="5"/>
  <c r="I3669" i="5"/>
  <c r="H3669" i="5"/>
  <c r="I3668" i="5"/>
  <c r="H3668" i="5"/>
  <c r="I3667" i="5"/>
  <c r="H3667" i="5"/>
  <c r="I3666" i="5"/>
  <c r="H3666" i="5"/>
  <c r="I3665" i="5"/>
  <c r="H3665" i="5"/>
  <c r="I3664" i="5"/>
  <c r="H3664" i="5"/>
  <c r="I3663" i="5"/>
  <c r="H3663" i="5"/>
  <c r="I3662" i="5"/>
  <c r="H3662" i="5"/>
  <c r="I3661" i="5"/>
  <c r="H3661" i="5"/>
  <c r="I3660" i="5"/>
  <c r="H3660" i="5"/>
  <c r="I3659" i="5"/>
  <c r="H3659" i="5"/>
  <c r="I3658" i="5"/>
  <c r="H3658" i="5"/>
  <c r="I3657" i="5"/>
  <c r="H3657" i="5"/>
  <c r="I3656" i="5"/>
  <c r="H3656" i="5"/>
  <c r="I3655" i="5"/>
  <c r="H3655" i="5"/>
  <c r="I3654" i="5"/>
  <c r="H3654" i="5"/>
  <c r="I3653" i="5"/>
  <c r="H3653" i="5"/>
  <c r="I3652" i="5"/>
  <c r="H3652" i="5"/>
  <c r="I3651" i="5"/>
  <c r="H3651" i="5"/>
  <c r="I3650" i="5"/>
  <c r="H3650" i="5"/>
  <c r="I3649" i="5"/>
  <c r="H3649" i="5"/>
  <c r="I3648" i="5"/>
  <c r="H3648" i="5"/>
  <c r="I3647" i="5"/>
  <c r="H3647" i="5"/>
  <c r="I3646" i="5"/>
  <c r="H3646" i="5"/>
  <c r="I3645" i="5"/>
  <c r="H3645" i="5"/>
  <c r="I3644" i="5"/>
  <c r="H3644" i="5"/>
  <c r="I3643" i="5"/>
  <c r="H3643" i="5"/>
  <c r="I3642" i="5"/>
  <c r="H3642" i="5"/>
  <c r="I3641" i="5"/>
  <c r="H3641" i="5"/>
  <c r="I3640" i="5"/>
  <c r="H3640" i="5"/>
  <c r="I3639" i="5"/>
  <c r="H3639" i="5"/>
  <c r="I3638" i="5"/>
  <c r="H3638" i="5"/>
  <c r="I3637" i="5"/>
  <c r="H3637" i="5"/>
  <c r="I3636" i="5"/>
  <c r="H3636" i="5"/>
  <c r="I3635" i="5"/>
  <c r="H3635" i="5"/>
  <c r="I3634" i="5"/>
  <c r="H3634" i="5"/>
  <c r="I3633" i="5"/>
  <c r="H3633" i="5"/>
  <c r="I3632" i="5"/>
  <c r="H3632" i="5"/>
  <c r="I3631" i="5"/>
  <c r="H3631" i="5"/>
  <c r="I3630" i="5"/>
  <c r="H3630" i="5"/>
  <c r="I3629" i="5"/>
  <c r="H3629" i="5"/>
  <c r="I3628" i="5"/>
  <c r="H3628" i="5"/>
  <c r="I3627" i="5"/>
  <c r="H3627" i="5"/>
  <c r="I3626" i="5"/>
  <c r="H3626" i="5"/>
  <c r="I3625" i="5"/>
  <c r="H3625" i="5"/>
  <c r="I3624" i="5"/>
  <c r="H3624" i="5"/>
  <c r="I3623" i="5"/>
  <c r="H3623" i="5"/>
  <c r="I3622" i="5"/>
  <c r="H3622" i="5"/>
  <c r="I3621" i="5"/>
  <c r="H3621" i="5"/>
  <c r="I3620" i="5"/>
  <c r="H3620" i="5"/>
  <c r="I3619" i="5"/>
  <c r="H3619" i="5"/>
  <c r="I3618" i="5"/>
  <c r="H3618" i="5"/>
  <c r="I3617" i="5"/>
  <c r="H3617" i="5"/>
  <c r="I3616" i="5"/>
  <c r="H3616" i="5"/>
  <c r="I3615" i="5"/>
  <c r="H3615" i="5"/>
  <c r="I3614" i="5"/>
  <c r="H3614" i="5"/>
  <c r="I3613" i="5"/>
  <c r="H3613" i="5"/>
  <c r="I3612" i="5"/>
  <c r="H3612" i="5"/>
  <c r="I3611" i="5"/>
  <c r="H3611" i="5"/>
  <c r="I3610" i="5"/>
  <c r="H3610" i="5"/>
  <c r="I3609" i="5"/>
  <c r="H3609" i="5"/>
  <c r="I3608" i="5"/>
  <c r="H3608" i="5"/>
  <c r="I3607" i="5"/>
  <c r="H3607" i="5"/>
  <c r="I3606" i="5"/>
  <c r="H3606" i="5"/>
  <c r="I3605" i="5"/>
  <c r="H3605" i="5"/>
  <c r="I3604" i="5"/>
  <c r="H3604" i="5"/>
  <c r="I3603" i="5"/>
  <c r="H3603" i="5"/>
  <c r="I3602" i="5"/>
  <c r="H3602" i="5"/>
  <c r="I3601" i="5"/>
  <c r="H3601" i="5"/>
  <c r="I3600" i="5"/>
  <c r="H3600" i="5"/>
  <c r="I3599" i="5"/>
  <c r="H3599" i="5"/>
  <c r="I3598" i="5"/>
  <c r="H3598" i="5"/>
  <c r="I3597" i="5"/>
  <c r="H3597" i="5"/>
  <c r="I3596" i="5"/>
  <c r="H3596" i="5"/>
  <c r="I3595" i="5"/>
  <c r="H3595" i="5"/>
  <c r="I3594" i="5"/>
  <c r="H3594" i="5"/>
  <c r="I3593" i="5"/>
  <c r="H3593" i="5"/>
  <c r="I3592" i="5"/>
  <c r="H3592" i="5"/>
  <c r="I3591" i="5"/>
  <c r="H3591" i="5"/>
  <c r="I3590" i="5"/>
  <c r="H3590" i="5"/>
  <c r="I3589" i="5"/>
  <c r="H3589" i="5"/>
  <c r="I3588" i="5"/>
  <c r="H3588" i="5"/>
  <c r="I3587" i="5"/>
  <c r="H3587" i="5"/>
  <c r="I3586" i="5"/>
  <c r="H3586" i="5"/>
  <c r="I3585" i="5"/>
  <c r="H3585" i="5"/>
  <c r="I3584" i="5"/>
  <c r="H3584" i="5"/>
  <c r="I3583" i="5"/>
  <c r="H3583" i="5"/>
  <c r="I3582" i="5"/>
  <c r="H3582" i="5"/>
  <c r="I3581" i="5"/>
  <c r="H3581" i="5"/>
  <c r="I3580" i="5"/>
  <c r="H3580" i="5"/>
  <c r="I3579" i="5"/>
  <c r="H3579" i="5"/>
  <c r="I3578" i="5"/>
  <c r="H3578" i="5"/>
  <c r="I3577" i="5"/>
  <c r="H3577" i="5"/>
  <c r="I3576" i="5"/>
  <c r="H3576" i="5"/>
  <c r="I3575" i="5"/>
  <c r="H3575" i="5"/>
  <c r="I3574" i="5"/>
  <c r="H3574" i="5"/>
  <c r="I3573" i="5"/>
  <c r="H3573" i="5"/>
  <c r="I3572" i="5"/>
  <c r="H3572" i="5"/>
  <c r="I3571" i="5"/>
  <c r="H3571" i="5"/>
  <c r="I3570" i="5"/>
  <c r="H3570" i="5"/>
  <c r="I3569" i="5"/>
  <c r="H3569" i="5"/>
  <c r="I3568" i="5"/>
  <c r="H3568" i="5"/>
  <c r="I3567" i="5"/>
  <c r="H3567" i="5"/>
  <c r="I3566" i="5"/>
  <c r="H3566" i="5"/>
  <c r="I3565" i="5"/>
  <c r="H3565" i="5"/>
  <c r="I3564" i="5"/>
  <c r="H3564" i="5"/>
  <c r="I3563" i="5"/>
  <c r="H3563" i="5"/>
  <c r="I3562" i="5"/>
  <c r="H3562" i="5"/>
  <c r="I3561" i="5"/>
  <c r="H3561" i="5"/>
  <c r="I3560" i="5"/>
  <c r="H3560" i="5"/>
  <c r="I3559" i="5"/>
  <c r="H3559" i="5"/>
  <c r="I3558" i="5"/>
  <c r="H3558" i="5"/>
  <c r="I3557" i="5"/>
  <c r="H3557" i="5"/>
  <c r="I3556" i="5"/>
  <c r="H3556" i="5"/>
  <c r="I3555" i="5"/>
  <c r="H3555" i="5"/>
  <c r="I3554" i="5"/>
  <c r="H3554" i="5"/>
  <c r="I3553" i="5"/>
  <c r="H3553" i="5"/>
  <c r="I3552" i="5"/>
  <c r="H3552" i="5"/>
  <c r="I3551" i="5"/>
  <c r="H3551" i="5"/>
  <c r="I3550" i="5"/>
  <c r="H3550" i="5"/>
  <c r="I3549" i="5"/>
  <c r="H3549" i="5"/>
  <c r="I3548" i="5"/>
  <c r="H3548" i="5"/>
  <c r="I3547" i="5"/>
  <c r="H3547" i="5"/>
  <c r="I3546" i="5"/>
  <c r="H3546" i="5"/>
  <c r="I3545" i="5"/>
  <c r="H3545" i="5"/>
  <c r="I3544" i="5"/>
  <c r="H3544" i="5"/>
  <c r="I3543" i="5"/>
  <c r="H3543" i="5"/>
  <c r="I3542" i="5"/>
  <c r="H3542" i="5"/>
  <c r="I3541" i="5"/>
  <c r="H3541" i="5"/>
  <c r="I3540" i="5"/>
  <c r="H3540" i="5"/>
  <c r="I3539" i="5"/>
  <c r="H3539" i="5"/>
  <c r="I3538" i="5"/>
  <c r="H3538" i="5"/>
  <c r="I3537" i="5"/>
  <c r="H3537" i="5"/>
  <c r="I3536" i="5"/>
  <c r="H3536" i="5"/>
  <c r="I3535" i="5"/>
  <c r="H3535" i="5"/>
  <c r="I3534" i="5"/>
  <c r="H3534" i="5"/>
  <c r="I3533" i="5"/>
  <c r="H3533" i="5"/>
  <c r="I3532" i="5"/>
  <c r="H3532" i="5"/>
  <c r="I3531" i="5"/>
  <c r="H3531" i="5"/>
  <c r="I3530" i="5"/>
  <c r="H3530" i="5"/>
  <c r="I3529" i="5"/>
  <c r="H3529" i="5"/>
  <c r="I3528" i="5"/>
  <c r="H3528" i="5"/>
  <c r="I3527" i="5"/>
  <c r="H3527" i="5"/>
  <c r="I3526" i="5"/>
  <c r="H3526" i="5"/>
  <c r="I3525" i="5"/>
  <c r="H3525" i="5"/>
  <c r="I3524" i="5"/>
  <c r="H3524" i="5"/>
  <c r="I3523" i="5"/>
  <c r="H3523" i="5"/>
  <c r="I3522" i="5"/>
  <c r="H3522" i="5"/>
  <c r="I3521" i="5"/>
  <c r="H3521" i="5"/>
  <c r="I3520" i="5"/>
  <c r="H3520" i="5"/>
  <c r="I3519" i="5"/>
  <c r="H3519" i="5"/>
  <c r="I3518" i="5"/>
  <c r="H3518" i="5"/>
  <c r="I3517" i="5"/>
  <c r="H3517" i="5"/>
  <c r="I3516" i="5"/>
  <c r="H3516" i="5"/>
  <c r="I3515" i="5"/>
  <c r="H3515" i="5"/>
  <c r="I3514" i="5"/>
  <c r="H3514" i="5"/>
  <c r="I3513" i="5"/>
  <c r="H3513" i="5"/>
  <c r="I3512" i="5"/>
  <c r="H3512" i="5"/>
  <c r="I3511" i="5"/>
  <c r="H3511" i="5"/>
  <c r="I3510" i="5"/>
  <c r="H3510" i="5"/>
  <c r="I3509" i="5"/>
  <c r="H3509" i="5"/>
  <c r="I3508" i="5"/>
  <c r="H3508" i="5"/>
  <c r="I3507" i="5"/>
  <c r="H3507" i="5"/>
  <c r="I3506" i="5"/>
  <c r="H3506" i="5"/>
  <c r="I3505" i="5"/>
  <c r="H3505" i="5"/>
  <c r="I3504" i="5"/>
  <c r="H3504" i="5"/>
  <c r="I3503" i="5"/>
  <c r="H3503" i="5"/>
  <c r="I3502" i="5"/>
  <c r="H3502" i="5"/>
  <c r="I3501" i="5"/>
  <c r="H3501" i="5"/>
  <c r="I3500" i="5"/>
  <c r="H3500" i="5"/>
  <c r="I3499" i="5"/>
  <c r="H3499" i="5"/>
  <c r="I3498" i="5"/>
  <c r="H3498" i="5"/>
  <c r="I3497" i="5"/>
  <c r="H3497" i="5"/>
  <c r="I3496" i="5"/>
  <c r="H3496" i="5"/>
  <c r="I3495" i="5"/>
  <c r="H3495" i="5"/>
  <c r="I3494" i="5"/>
  <c r="H3494" i="5"/>
  <c r="I3493" i="5"/>
  <c r="H3493" i="5"/>
  <c r="I3492" i="5"/>
  <c r="H3492" i="5"/>
  <c r="I3491" i="5"/>
  <c r="H3491" i="5"/>
  <c r="I3490" i="5"/>
  <c r="H3490" i="5"/>
  <c r="I3489" i="5"/>
  <c r="H3489" i="5"/>
  <c r="I3488" i="5"/>
  <c r="H3488" i="5"/>
  <c r="I3487" i="5"/>
  <c r="H3487" i="5"/>
  <c r="I3486" i="5"/>
  <c r="H3486" i="5"/>
  <c r="I3485" i="5"/>
  <c r="H3485" i="5"/>
  <c r="I3484" i="5"/>
  <c r="H3484" i="5"/>
  <c r="I3483" i="5"/>
  <c r="H3483" i="5"/>
  <c r="I3482" i="5"/>
  <c r="H3482" i="5"/>
  <c r="I3481" i="5"/>
  <c r="H3481" i="5"/>
  <c r="I3480" i="5"/>
  <c r="H3480" i="5"/>
  <c r="I3479" i="5"/>
  <c r="H3479" i="5"/>
  <c r="I3478" i="5"/>
  <c r="H3478" i="5"/>
  <c r="I3477" i="5"/>
  <c r="H3477" i="5"/>
  <c r="I3476" i="5"/>
  <c r="H3476" i="5"/>
  <c r="I3475" i="5"/>
  <c r="H3475" i="5"/>
  <c r="I3474" i="5"/>
  <c r="H3474" i="5"/>
  <c r="I3473" i="5"/>
  <c r="H3473" i="5"/>
  <c r="I3472" i="5"/>
  <c r="H3472" i="5"/>
  <c r="I3471" i="5"/>
  <c r="H3471" i="5"/>
  <c r="I3470" i="5"/>
  <c r="H3470" i="5"/>
  <c r="I3469" i="5"/>
  <c r="H3469" i="5"/>
  <c r="I3468" i="5"/>
  <c r="H3468" i="5"/>
  <c r="I3467" i="5"/>
  <c r="H3467" i="5"/>
  <c r="I3466" i="5"/>
  <c r="H3466" i="5"/>
  <c r="I3465" i="5"/>
  <c r="H3465" i="5"/>
  <c r="I3464" i="5"/>
  <c r="H3464" i="5"/>
  <c r="I3463" i="5"/>
  <c r="H3463" i="5"/>
  <c r="I3462" i="5"/>
  <c r="H3462" i="5"/>
  <c r="I3461" i="5"/>
  <c r="H3461" i="5"/>
  <c r="I3460" i="5"/>
  <c r="H3460" i="5"/>
  <c r="I3459" i="5"/>
  <c r="H3459" i="5"/>
  <c r="I3458" i="5"/>
  <c r="H3458" i="5"/>
  <c r="I3457" i="5"/>
  <c r="H3457" i="5"/>
  <c r="I3456" i="5"/>
  <c r="H3456" i="5"/>
  <c r="I3455" i="5"/>
  <c r="H3455" i="5"/>
  <c r="I3454" i="5"/>
  <c r="H3454" i="5"/>
  <c r="I3453" i="5"/>
  <c r="H3453" i="5"/>
  <c r="I3452" i="5"/>
  <c r="H3452" i="5"/>
  <c r="I3451" i="5"/>
  <c r="H3451" i="5"/>
  <c r="I3450" i="5"/>
  <c r="H3450" i="5"/>
  <c r="I3449" i="5"/>
  <c r="H3449" i="5"/>
  <c r="I3448" i="5"/>
  <c r="H3448" i="5"/>
  <c r="I3447" i="5"/>
  <c r="H3447" i="5"/>
  <c r="I3446" i="5"/>
  <c r="H3446" i="5"/>
  <c r="I3445" i="5"/>
  <c r="H3445" i="5"/>
  <c r="I3444" i="5"/>
  <c r="H3444" i="5"/>
  <c r="I3443" i="5"/>
  <c r="H3443" i="5"/>
  <c r="I3442" i="5"/>
  <c r="H3442" i="5"/>
  <c r="I3441" i="5"/>
  <c r="H3441" i="5"/>
  <c r="I3440" i="5"/>
  <c r="H3440" i="5"/>
  <c r="I3439" i="5"/>
  <c r="H3439" i="5"/>
  <c r="I3438" i="5"/>
  <c r="H3438" i="5"/>
  <c r="I3437" i="5"/>
  <c r="H3437" i="5"/>
  <c r="I3436" i="5"/>
  <c r="H3436" i="5"/>
  <c r="I3435" i="5"/>
  <c r="H3435" i="5"/>
  <c r="I3434" i="5"/>
  <c r="H3434" i="5"/>
  <c r="I3433" i="5"/>
  <c r="H3433" i="5"/>
  <c r="I3432" i="5"/>
  <c r="H3432" i="5"/>
  <c r="I3431" i="5"/>
  <c r="H3431" i="5"/>
  <c r="I3430" i="5"/>
  <c r="H3430" i="5"/>
  <c r="I3429" i="5"/>
  <c r="H3429" i="5"/>
  <c r="I3428" i="5"/>
  <c r="H3428" i="5"/>
  <c r="I3427" i="5"/>
  <c r="H3427" i="5"/>
  <c r="I3426" i="5"/>
  <c r="H3426" i="5"/>
  <c r="I3425" i="5"/>
  <c r="H3425" i="5"/>
  <c r="I3424" i="5"/>
  <c r="H3424" i="5"/>
  <c r="I3423" i="5"/>
  <c r="H3423" i="5"/>
  <c r="I3422" i="5"/>
  <c r="H3422" i="5"/>
  <c r="I3421" i="5"/>
  <c r="H3421" i="5"/>
  <c r="I3420" i="5"/>
  <c r="H3420" i="5"/>
  <c r="I3419" i="5"/>
  <c r="H3419" i="5"/>
  <c r="I3418" i="5"/>
  <c r="H3418" i="5"/>
  <c r="I3417" i="5"/>
  <c r="H3417" i="5"/>
  <c r="I3416" i="5"/>
  <c r="H3416" i="5"/>
  <c r="I3415" i="5"/>
  <c r="H3415" i="5"/>
  <c r="I3414" i="5"/>
  <c r="H3414" i="5"/>
  <c r="I3413" i="5"/>
  <c r="H3413" i="5"/>
  <c r="I3412" i="5"/>
  <c r="H3412" i="5"/>
  <c r="I3411" i="5"/>
  <c r="H3411" i="5"/>
  <c r="I3410" i="5"/>
  <c r="H3410" i="5"/>
  <c r="I3409" i="5"/>
  <c r="H3409" i="5"/>
  <c r="I3408" i="5"/>
  <c r="H3408" i="5"/>
  <c r="I3407" i="5"/>
  <c r="H3407" i="5"/>
  <c r="I3406" i="5"/>
  <c r="H3406" i="5"/>
  <c r="I3405" i="5"/>
  <c r="H3405" i="5"/>
  <c r="I3404" i="5"/>
  <c r="H3404" i="5"/>
  <c r="I3403" i="5"/>
  <c r="H3403" i="5"/>
  <c r="I3402" i="5"/>
  <c r="H3402" i="5"/>
  <c r="I3401" i="5"/>
  <c r="H3401" i="5"/>
  <c r="I3400" i="5"/>
  <c r="H3400" i="5"/>
  <c r="I3399" i="5"/>
  <c r="H3399" i="5"/>
  <c r="I3398" i="5"/>
  <c r="H3398" i="5"/>
  <c r="I3397" i="5"/>
  <c r="H3397" i="5"/>
  <c r="I3396" i="5"/>
  <c r="H3396" i="5"/>
  <c r="I3395" i="5"/>
  <c r="H3395" i="5"/>
  <c r="I3394" i="5"/>
  <c r="H3394" i="5"/>
  <c r="I3393" i="5"/>
  <c r="H3393" i="5"/>
  <c r="I3392" i="5"/>
  <c r="H3392" i="5"/>
  <c r="I3391" i="5"/>
  <c r="H3391" i="5"/>
  <c r="I3390" i="5"/>
  <c r="H3390" i="5"/>
  <c r="I3389" i="5"/>
  <c r="H3389" i="5"/>
  <c r="I3388" i="5"/>
  <c r="H3388" i="5"/>
  <c r="I3387" i="5"/>
  <c r="H3387" i="5"/>
  <c r="I3386" i="5"/>
  <c r="H3386" i="5"/>
  <c r="I3385" i="5"/>
  <c r="H3385" i="5"/>
  <c r="I3384" i="5"/>
  <c r="H3384" i="5"/>
  <c r="I3383" i="5"/>
  <c r="H3383" i="5"/>
  <c r="I3382" i="5"/>
  <c r="H3382" i="5"/>
  <c r="I3381" i="5"/>
  <c r="H3381" i="5"/>
  <c r="I3380" i="5"/>
  <c r="H3380" i="5"/>
  <c r="I3379" i="5"/>
  <c r="H3379" i="5"/>
  <c r="I3378" i="5"/>
  <c r="H3378" i="5"/>
  <c r="I3377" i="5"/>
  <c r="H3377" i="5"/>
  <c r="I3376" i="5"/>
  <c r="H3376" i="5"/>
  <c r="I3375" i="5"/>
  <c r="H3375" i="5"/>
  <c r="I3374" i="5"/>
  <c r="H3374" i="5"/>
  <c r="I3373" i="5"/>
  <c r="H3373" i="5"/>
  <c r="I3372" i="5"/>
  <c r="H3372" i="5"/>
  <c r="I3371" i="5"/>
  <c r="H3371" i="5"/>
  <c r="I3370" i="5"/>
  <c r="H3370" i="5"/>
  <c r="I3369" i="5"/>
  <c r="H3369" i="5"/>
  <c r="I3368" i="5"/>
  <c r="H3368" i="5"/>
  <c r="I3367" i="5"/>
  <c r="H3367" i="5"/>
  <c r="I3366" i="5"/>
  <c r="H3366" i="5"/>
  <c r="I3365" i="5"/>
  <c r="H3365" i="5"/>
  <c r="I3364" i="5"/>
  <c r="H3364" i="5"/>
  <c r="I3363" i="5"/>
  <c r="H3363" i="5"/>
  <c r="I3362" i="5"/>
  <c r="H3362" i="5"/>
  <c r="I3361" i="5"/>
  <c r="H3361" i="5"/>
  <c r="I3360" i="5"/>
  <c r="H3360" i="5"/>
  <c r="I3359" i="5"/>
  <c r="H3359" i="5"/>
  <c r="I3358" i="5"/>
  <c r="H3358" i="5"/>
  <c r="I3357" i="5"/>
  <c r="H3357" i="5"/>
  <c r="I3356" i="5"/>
  <c r="H3356" i="5"/>
  <c r="I3355" i="5"/>
  <c r="H3355" i="5"/>
  <c r="I3354" i="5"/>
  <c r="H3354" i="5"/>
  <c r="I3353" i="5"/>
  <c r="H3353" i="5"/>
  <c r="I3352" i="5"/>
  <c r="H3352" i="5"/>
  <c r="I3351" i="5"/>
  <c r="H3351" i="5"/>
  <c r="I3350" i="5"/>
  <c r="H3350" i="5"/>
  <c r="I3349" i="5"/>
  <c r="H3349" i="5"/>
  <c r="I3348" i="5"/>
  <c r="H3348" i="5"/>
  <c r="I3347" i="5"/>
  <c r="H3347" i="5"/>
  <c r="I3346" i="5"/>
  <c r="H3346" i="5"/>
  <c r="I3345" i="5"/>
  <c r="H3345" i="5"/>
  <c r="I3344" i="5"/>
  <c r="H3344" i="5"/>
  <c r="I3343" i="5"/>
  <c r="H3343" i="5"/>
  <c r="I3342" i="5"/>
  <c r="H3342" i="5"/>
  <c r="I3341" i="5"/>
  <c r="H3341" i="5"/>
  <c r="I3340" i="5"/>
  <c r="H3340" i="5"/>
  <c r="I3339" i="5"/>
  <c r="H3339" i="5"/>
  <c r="I3338" i="5"/>
  <c r="H3338" i="5"/>
  <c r="I3337" i="5"/>
  <c r="H3337" i="5"/>
  <c r="I3336" i="5"/>
  <c r="H3336" i="5"/>
  <c r="I3335" i="5"/>
  <c r="H3335" i="5"/>
  <c r="I3334" i="5"/>
  <c r="H3334" i="5"/>
  <c r="I3333" i="5"/>
  <c r="H3333" i="5"/>
  <c r="I3332" i="5"/>
  <c r="H3332" i="5"/>
  <c r="I3331" i="5"/>
  <c r="H3331" i="5"/>
  <c r="I3330" i="5"/>
  <c r="H3330" i="5"/>
  <c r="I3329" i="5"/>
  <c r="H3329" i="5"/>
  <c r="I3328" i="5"/>
  <c r="H3328" i="5"/>
  <c r="I3327" i="5"/>
  <c r="H3327" i="5"/>
  <c r="I3326" i="5"/>
  <c r="H3326" i="5"/>
  <c r="I3325" i="5"/>
  <c r="H3325" i="5"/>
  <c r="I3324" i="5"/>
  <c r="H3324" i="5"/>
  <c r="I3323" i="5"/>
  <c r="H3323" i="5"/>
  <c r="I3322" i="5"/>
  <c r="H3322" i="5"/>
  <c r="I3321" i="5"/>
  <c r="H3321" i="5"/>
  <c r="I3320" i="5"/>
  <c r="H3320" i="5"/>
  <c r="I3319" i="5"/>
  <c r="H3319" i="5"/>
  <c r="I3318" i="5"/>
  <c r="H3318" i="5"/>
  <c r="I3317" i="5"/>
  <c r="H3317" i="5"/>
  <c r="I3316" i="5"/>
  <c r="H3316" i="5"/>
  <c r="I3315" i="5"/>
  <c r="H3315" i="5"/>
  <c r="I3314" i="5"/>
  <c r="H3314" i="5"/>
  <c r="I3313" i="5"/>
  <c r="H3313" i="5"/>
  <c r="I3312" i="5"/>
  <c r="H3312" i="5"/>
  <c r="I3311" i="5"/>
  <c r="H3311" i="5"/>
  <c r="I3310" i="5"/>
  <c r="H3310" i="5"/>
  <c r="I3309" i="5"/>
  <c r="H3309" i="5"/>
  <c r="I3308" i="5"/>
  <c r="H3308" i="5"/>
  <c r="I3307" i="5"/>
  <c r="H3307" i="5"/>
  <c r="I3306" i="5"/>
  <c r="H3306" i="5"/>
  <c r="I3305" i="5"/>
  <c r="H3305" i="5"/>
  <c r="I3304" i="5"/>
  <c r="H3304" i="5"/>
  <c r="I3303" i="5"/>
  <c r="H3303" i="5"/>
  <c r="I3302" i="5"/>
  <c r="H3302" i="5"/>
  <c r="I3301" i="5"/>
  <c r="H3301" i="5"/>
  <c r="I3300" i="5"/>
  <c r="H3300" i="5"/>
  <c r="I3299" i="5"/>
  <c r="H3299" i="5"/>
  <c r="I3298" i="5"/>
  <c r="H3298" i="5"/>
  <c r="I3297" i="5"/>
  <c r="H3297" i="5"/>
  <c r="I3296" i="5"/>
  <c r="H3296" i="5"/>
  <c r="I3295" i="5"/>
  <c r="H3295" i="5"/>
  <c r="I3294" i="5"/>
  <c r="H3294" i="5"/>
  <c r="I3293" i="5"/>
  <c r="H3293" i="5"/>
  <c r="I3292" i="5"/>
  <c r="H3292" i="5"/>
  <c r="I3291" i="5"/>
  <c r="H3291" i="5"/>
  <c r="I3290" i="5"/>
  <c r="H3290" i="5"/>
  <c r="I3289" i="5"/>
  <c r="H3289" i="5"/>
  <c r="I3288" i="5"/>
  <c r="H3288" i="5"/>
  <c r="I3287" i="5"/>
  <c r="H3287" i="5"/>
  <c r="I3286" i="5"/>
  <c r="H3286" i="5"/>
  <c r="I3285" i="5"/>
  <c r="H3285" i="5"/>
  <c r="I3284" i="5"/>
  <c r="H3284" i="5"/>
  <c r="I3283" i="5"/>
  <c r="H3283" i="5"/>
  <c r="I3282" i="5"/>
  <c r="H3282" i="5"/>
  <c r="I3281" i="5"/>
  <c r="H3281" i="5"/>
  <c r="I3280" i="5"/>
  <c r="H3280" i="5"/>
  <c r="I3279" i="5"/>
  <c r="H3279" i="5"/>
  <c r="I3278" i="5"/>
  <c r="H3278" i="5"/>
  <c r="I3277" i="5"/>
  <c r="H3277" i="5"/>
  <c r="I3276" i="5"/>
  <c r="H3276" i="5"/>
  <c r="I3275" i="5"/>
  <c r="H3275" i="5"/>
  <c r="I3274" i="5"/>
  <c r="H3274" i="5"/>
  <c r="I3273" i="5"/>
  <c r="H3273" i="5"/>
  <c r="I3272" i="5"/>
  <c r="H3272" i="5"/>
  <c r="I3271" i="5"/>
  <c r="H3271" i="5"/>
  <c r="I3270" i="5"/>
  <c r="H3270" i="5"/>
  <c r="I3269" i="5"/>
  <c r="H3269" i="5"/>
  <c r="I3268" i="5"/>
  <c r="H3268" i="5"/>
  <c r="I3267" i="5"/>
  <c r="H3267" i="5"/>
  <c r="I3266" i="5"/>
  <c r="H3266" i="5"/>
  <c r="I3265" i="5"/>
  <c r="H3265" i="5"/>
  <c r="I3264" i="5"/>
  <c r="H3264" i="5"/>
  <c r="I3263" i="5"/>
  <c r="H3263" i="5"/>
  <c r="I3262" i="5"/>
  <c r="H3262" i="5"/>
  <c r="I3261" i="5"/>
  <c r="H3261" i="5"/>
  <c r="I3260" i="5"/>
  <c r="H3260" i="5"/>
  <c r="I3259" i="5"/>
  <c r="H3259" i="5"/>
  <c r="I3258" i="5"/>
  <c r="H3258" i="5"/>
  <c r="I3257" i="5"/>
  <c r="H3257" i="5"/>
  <c r="I3256" i="5"/>
  <c r="H3256" i="5"/>
  <c r="I3255" i="5"/>
  <c r="H3255" i="5"/>
  <c r="I3254" i="5"/>
  <c r="H3254" i="5"/>
  <c r="I3253" i="5"/>
  <c r="H3253" i="5"/>
  <c r="I3252" i="5"/>
  <c r="H3252" i="5"/>
  <c r="I3251" i="5"/>
  <c r="H3251" i="5"/>
  <c r="I3250" i="5"/>
  <c r="H3250" i="5"/>
  <c r="I3249" i="5"/>
  <c r="H3249" i="5"/>
  <c r="I3248" i="5"/>
  <c r="H3248" i="5"/>
  <c r="I3247" i="5"/>
  <c r="H3247" i="5"/>
  <c r="I3246" i="5"/>
  <c r="H3246" i="5"/>
  <c r="I3245" i="5"/>
  <c r="H3245" i="5"/>
  <c r="I3244" i="5"/>
  <c r="H3244" i="5"/>
  <c r="I3243" i="5"/>
  <c r="H3243" i="5"/>
  <c r="I3242" i="5"/>
  <c r="H3242" i="5"/>
  <c r="I3241" i="5"/>
  <c r="H3241" i="5"/>
  <c r="I3240" i="5"/>
  <c r="H3240" i="5"/>
  <c r="I3239" i="5"/>
  <c r="H3239" i="5"/>
  <c r="I3238" i="5"/>
  <c r="H3238" i="5"/>
  <c r="I3237" i="5"/>
  <c r="H3237" i="5"/>
  <c r="I3236" i="5"/>
  <c r="H3236" i="5"/>
  <c r="I3235" i="5"/>
  <c r="H3235" i="5"/>
  <c r="I3234" i="5"/>
  <c r="H3234" i="5"/>
  <c r="I3233" i="5"/>
  <c r="H3233" i="5"/>
  <c r="I3232" i="5"/>
  <c r="H3232" i="5"/>
  <c r="I3231" i="5"/>
  <c r="H3231" i="5"/>
  <c r="I3230" i="5"/>
  <c r="H3230" i="5"/>
  <c r="I3229" i="5"/>
  <c r="H3229" i="5"/>
  <c r="I3228" i="5"/>
  <c r="H3228" i="5"/>
  <c r="I3227" i="5"/>
  <c r="H3227" i="5"/>
  <c r="I3226" i="5"/>
  <c r="H3226" i="5"/>
  <c r="I3225" i="5"/>
  <c r="H3225" i="5"/>
  <c r="I3224" i="5"/>
  <c r="H3224" i="5"/>
  <c r="I3223" i="5"/>
  <c r="H3223" i="5"/>
  <c r="I3222" i="5"/>
  <c r="H3222" i="5"/>
  <c r="I3221" i="5"/>
  <c r="H3221" i="5"/>
  <c r="I3220" i="5"/>
  <c r="H3220" i="5"/>
  <c r="I3219" i="5"/>
  <c r="H3219" i="5"/>
  <c r="I3218" i="5"/>
  <c r="H3218" i="5"/>
  <c r="I3217" i="5"/>
  <c r="H3217" i="5"/>
  <c r="I3216" i="5"/>
  <c r="H3216" i="5"/>
  <c r="I3215" i="5"/>
  <c r="H3215" i="5"/>
  <c r="I3214" i="5"/>
  <c r="H3214" i="5"/>
  <c r="I3213" i="5"/>
  <c r="H3213" i="5"/>
  <c r="I3212" i="5"/>
  <c r="H3212" i="5"/>
  <c r="I3211" i="5"/>
  <c r="H3211" i="5"/>
  <c r="I3210" i="5"/>
  <c r="H3210" i="5"/>
  <c r="I3209" i="5"/>
  <c r="H3209" i="5"/>
  <c r="I3208" i="5"/>
  <c r="H3208" i="5"/>
  <c r="I3207" i="5"/>
  <c r="H3207" i="5"/>
  <c r="I3206" i="5"/>
  <c r="H3206" i="5"/>
  <c r="I3205" i="5"/>
  <c r="H3205" i="5"/>
  <c r="I3204" i="5"/>
  <c r="H3204" i="5"/>
  <c r="I3203" i="5"/>
  <c r="H3203" i="5"/>
  <c r="I3202" i="5"/>
  <c r="H3202" i="5"/>
  <c r="I3201" i="5"/>
  <c r="H3201" i="5"/>
  <c r="I3200" i="5"/>
  <c r="H3200" i="5"/>
  <c r="I3199" i="5"/>
  <c r="H3199" i="5"/>
  <c r="I3198" i="5"/>
  <c r="H3198" i="5"/>
  <c r="I3197" i="5"/>
  <c r="H3197" i="5"/>
  <c r="I3196" i="5"/>
  <c r="H3196" i="5"/>
  <c r="I3195" i="5"/>
  <c r="H3195" i="5"/>
  <c r="I3194" i="5"/>
  <c r="H3194" i="5"/>
  <c r="I3193" i="5"/>
  <c r="H3193" i="5"/>
  <c r="I3192" i="5"/>
  <c r="H3192" i="5"/>
  <c r="I3191" i="5"/>
  <c r="H3191" i="5"/>
  <c r="I3190" i="5"/>
  <c r="H3190" i="5"/>
  <c r="I3189" i="5"/>
  <c r="H3189" i="5"/>
  <c r="I3188" i="5"/>
  <c r="H3188" i="5"/>
  <c r="I3187" i="5"/>
  <c r="H3187" i="5"/>
  <c r="I3186" i="5"/>
  <c r="H3186" i="5"/>
  <c r="I3185" i="5"/>
  <c r="H3185" i="5"/>
  <c r="I3184" i="5"/>
  <c r="H3184" i="5"/>
  <c r="I3183" i="5"/>
  <c r="H3183" i="5"/>
  <c r="I3182" i="5"/>
  <c r="H3182" i="5"/>
  <c r="I3181" i="5"/>
  <c r="H3181" i="5"/>
  <c r="I3180" i="5"/>
  <c r="H3180" i="5"/>
  <c r="I3179" i="5"/>
  <c r="H3179" i="5"/>
  <c r="I3178" i="5"/>
  <c r="H3178" i="5"/>
  <c r="I3177" i="5"/>
  <c r="H3177" i="5"/>
  <c r="I3176" i="5"/>
  <c r="H3176" i="5"/>
  <c r="I3175" i="5"/>
  <c r="H3175" i="5"/>
  <c r="I3174" i="5"/>
  <c r="H3174" i="5"/>
  <c r="I3173" i="5"/>
  <c r="H3173" i="5"/>
  <c r="I3172" i="5"/>
  <c r="H3172" i="5"/>
  <c r="I3171" i="5"/>
  <c r="H3171" i="5"/>
  <c r="I3170" i="5"/>
  <c r="H3170" i="5"/>
  <c r="I3169" i="5"/>
  <c r="H3169" i="5"/>
  <c r="I3168" i="5"/>
  <c r="H3168" i="5"/>
  <c r="I3167" i="5"/>
  <c r="H3167" i="5"/>
  <c r="I3166" i="5"/>
  <c r="H3166" i="5"/>
  <c r="I3165" i="5"/>
  <c r="H3165" i="5"/>
  <c r="I3164" i="5"/>
  <c r="H3164" i="5"/>
  <c r="I3163" i="5"/>
  <c r="H3163" i="5"/>
  <c r="I3162" i="5"/>
  <c r="H3162" i="5"/>
  <c r="I3161" i="5"/>
  <c r="H3161" i="5"/>
  <c r="I3160" i="5"/>
  <c r="H3160" i="5"/>
  <c r="I3159" i="5"/>
  <c r="H3159" i="5"/>
  <c r="I3158" i="5"/>
  <c r="H3158" i="5"/>
  <c r="I3157" i="5"/>
  <c r="H3157" i="5"/>
  <c r="I3156" i="5"/>
  <c r="H3156" i="5"/>
  <c r="I3155" i="5"/>
  <c r="H3155" i="5"/>
  <c r="I3154" i="5"/>
  <c r="H3154" i="5"/>
  <c r="I3153" i="5"/>
  <c r="H3153" i="5"/>
  <c r="I3152" i="5"/>
  <c r="H3152" i="5"/>
  <c r="I3151" i="5"/>
  <c r="H3151" i="5"/>
  <c r="I3150" i="5"/>
  <c r="H3150" i="5"/>
  <c r="I3149" i="5"/>
  <c r="H3149" i="5"/>
  <c r="I3148" i="5"/>
  <c r="H3148" i="5"/>
  <c r="I3147" i="5"/>
  <c r="H3147" i="5"/>
  <c r="I3146" i="5"/>
  <c r="H3146" i="5"/>
  <c r="I3145" i="5"/>
  <c r="H3145" i="5"/>
  <c r="I3144" i="5"/>
  <c r="H3144" i="5"/>
  <c r="I3143" i="5"/>
  <c r="H3143" i="5"/>
  <c r="I3142" i="5"/>
  <c r="H3142" i="5"/>
  <c r="I3141" i="5"/>
  <c r="H3141" i="5"/>
  <c r="I3140" i="5"/>
  <c r="H3140" i="5"/>
  <c r="I3139" i="5"/>
  <c r="H3139" i="5"/>
  <c r="I3138" i="5"/>
  <c r="H3138" i="5"/>
  <c r="I3137" i="5"/>
  <c r="H3137" i="5"/>
  <c r="I3136" i="5"/>
  <c r="H3136" i="5"/>
  <c r="I3135" i="5"/>
  <c r="H3135" i="5"/>
  <c r="I3134" i="5"/>
  <c r="H3134" i="5"/>
  <c r="I3133" i="5"/>
  <c r="H3133" i="5"/>
  <c r="I3132" i="5"/>
  <c r="H3132" i="5"/>
  <c r="I3131" i="5"/>
  <c r="H3131" i="5"/>
  <c r="I3130" i="5"/>
  <c r="H3130" i="5"/>
  <c r="I3129" i="5"/>
  <c r="H3129" i="5"/>
  <c r="I3128" i="5"/>
  <c r="H3128" i="5"/>
  <c r="I3127" i="5"/>
  <c r="H3127" i="5"/>
  <c r="I3126" i="5"/>
  <c r="H3126" i="5"/>
  <c r="I3125" i="5"/>
  <c r="H3125" i="5"/>
  <c r="I3124" i="5"/>
  <c r="H3124" i="5"/>
  <c r="I3123" i="5"/>
  <c r="H3123" i="5"/>
  <c r="I3122" i="5"/>
  <c r="H3122" i="5"/>
  <c r="I3121" i="5"/>
  <c r="H3121" i="5"/>
  <c r="I3120" i="5"/>
  <c r="H3120" i="5"/>
  <c r="I3119" i="5"/>
  <c r="H3119" i="5"/>
  <c r="I3118" i="5"/>
  <c r="H3118" i="5"/>
  <c r="I3117" i="5"/>
  <c r="H3117" i="5"/>
  <c r="I3116" i="5"/>
  <c r="H3116" i="5"/>
  <c r="I3115" i="5"/>
  <c r="H3115" i="5"/>
  <c r="I3114" i="5"/>
  <c r="H3114" i="5"/>
  <c r="I3113" i="5"/>
  <c r="H3113" i="5"/>
  <c r="I3112" i="5"/>
  <c r="H3112" i="5"/>
  <c r="I3111" i="5"/>
  <c r="H3111" i="5"/>
  <c r="I3110" i="5"/>
  <c r="H3110" i="5"/>
  <c r="I3109" i="5"/>
  <c r="H3109" i="5"/>
  <c r="I3108" i="5"/>
  <c r="H3108" i="5"/>
  <c r="I3107" i="5"/>
  <c r="H3107" i="5"/>
  <c r="I3106" i="5"/>
  <c r="H3106" i="5"/>
  <c r="I3105" i="5"/>
  <c r="H3105" i="5"/>
  <c r="I3104" i="5"/>
  <c r="H3104" i="5"/>
  <c r="I3103" i="5"/>
  <c r="H3103" i="5"/>
  <c r="I3102" i="5"/>
  <c r="H3102" i="5"/>
  <c r="I3101" i="5"/>
  <c r="H3101" i="5"/>
  <c r="I3100" i="5"/>
  <c r="H3100" i="5"/>
  <c r="I3099" i="5"/>
  <c r="H3099" i="5"/>
  <c r="I3098" i="5"/>
  <c r="H3098" i="5"/>
  <c r="I3097" i="5"/>
  <c r="H3097" i="5"/>
  <c r="I3096" i="5"/>
  <c r="H3096" i="5"/>
  <c r="I3095" i="5"/>
  <c r="H3095" i="5"/>
  <c r="I3094" i="5"/>
  <c r="H3094" i="5"/>
  <c r="I3093" i="5"/>
  <c r="H3093" i="5"/>
  <c r="I3092" i="5"/>
  <c r="H3092" i="5"/>
  <c r="I3091" i="5"/>
  <c r="H3091" i="5"/>
  <c r="I3090" i="5"/>
  <c r="H3090" i="5"/>
  <c r="I3089" i="5"/>
  <c r="H3089" i="5"/>
  <c r="I3088" i="5"/>
  <c r="H3088" i="5"/>
  <c r="I3087" i="5"/>
  <c r="H3087" i="5"/>
  <c r="I3086" i="5"/>
  <c r="H3086" i="5"/>
  <c r="I3085" i="5"/>
  <c r="H3085" i="5"/>
  <c r="I3084" i="5"/>
  <c r="H3084" i="5"/>
  <c r="I3083" i="5"/>
  <c r="H3083" i="5"/>
  <c r="I3082" i="5"/>
  <c r="H3082" i="5"/>
  <c r="I3081" i="5"/>
  <c r="H3081" i="5"/>
  <c r="I3080" i="5"/>
  <c r="H3080" i="5"/>
  <c r="I3079" i="5"/>
  <c r="H3079" i="5"/>
  <c r="I3078" i="5"/>
  <c r="H3078" i="5"/>
  <c r="I3077" i="5"/>
  <c r="H3077" i="5"/>
  <c r="I3076" i="5"/>
  <c r="H3076" i="5"/>
  <c r="I3075" i="5"/>
  <c r="H3075" i="5"/>
  <c r="I3074" i="5"/>
  <c r="H3074" i="5"/>
  <c r="I3073" i="5"/>
  <c r="H3073" i="5"/>
  <c r="I3072" i="5"/>
  <c r="H3072" i="5"/>
  <c r="I3071" i="5"/>
  <c r="H3071" i="5"/>
  <c r="I3070" i="5"/>
  <c r="H3070" i="5"/>
  <c r="I3069" i="5"/>
  <c r="H3069" i="5"/>
  <c r="I3068" i="5"/>
  <c r="H3068" i="5"/>
  <c r="I3067" i="5"/>
  <c r="H3067" i="5"/>
  <c r="I3066" i="5"/>
  <c r="H3066" i="5"/>
  <c r="I3065" i="5"/>
  <c r="H3065" i="5"/>
  <c r="I3064" i="5"/>
  <c r="H3064" i="5"/>
  <c r="I3063" i="5"/>
  <c r="H3063" i="5"/>
  <c r="I3062" i="5"/>
  <c r="H3062" i="5"/>
  <c r="I3061" i="5"/>
  <c r="H3061" i="5"/>
  <c r="I3060" i="5"/>
  <c r="H3060" i="5"/>
  <c r="I3059" i="5"/>
  <c r="H3059" i="5"/>
  <c r="I3058" i="5"/>
  <c r="H3058" i="5"/>
  <c r="I3057" i="5"/>
  <c r="H3057" i="5"/>
  <c r="I3056" i="5"/>
  <c r="H3056" i="5"/>
  <c r="I3055" i="5"/>
  <c r="H3055" i="5"/>
  <c r="I3054" i="5"/>
  <c r="H3054" i="5"/>
  <c r="I3053" i="5"/>
  <c r="H3053" i="5"/>
  <c r="I3052" i="5"/>
  <c r="H3052" i="5"/>
  <c r="I3051" i="5"/>
  <c r="H3051" i="5"/>
  <c r="I3050" i="5"/>
  <c r="H3050" i="5"/>
  <c r="I3049" i="5"/>
  <c r="H3049" i="5"/>
  <c r="I3048" i="5"/>
  <c r="H3048" i="5"/>
  <c r="I3047" i="5"/>
  <c r="H3047" i="5"/>
  <c r="I3046" i="5"/>
  <c r="H3046" i="5"/>
  <c r="I3045" i="5"/>
  <c r="H3045" i="5"/>
  <c r="I3044" i="5"/>
  <c r="H3044" i="5"/>
  <c r="I3043" i="5"/>
  <c r="H3043" i="5"/>
  <c r="I3042" i="5"/>
  <c r="H3042" i="5"/>
  <c r="I3041" i="5"/>
  <c r="H3041" i="5"/>
  <c r="I3040" i="5"/>
  <c r="H3040" i="5"/>
  <c r="I3039" i="5"/>
  <c r="H3039" i="5"/>
  <c r="I3038" i="5"/>
  <c r="H3038" i="5"/>
  <c r="I3037" i="5"/>
  <c r="H3037" i="5"/>
  <c r="I3036" i="5"/>
  <c r="H3036" i="5"/>
  <c r="I3035" i="5"/>
  <c r="H3035" i="5"/>
  <c r="I3034" i="5"/>
  <c r="H3034" i="5"/>
  <c r="I3033" i="5"/>
  <c r="H3033" i="5"/>
  <c r="I3032" i="5"/>
  <c r="H3032" i="5"/>
  <c r="I3031" i="5"/>
  <c r="H3031" i="5"/>
  <c r="I3030" i="5"/>
  <c r="H3030" i="5"/>
  <c r="I3029" i="5"/>
  <c r="H3029" i="5"/>
  <c r="I3028" i="5"/>
  <c r="H3028" i="5"/>
  <c r="I3027" i="5"/>
  <c r="H3027" i="5"/>
  <c r="I3026" i="5"/>
  <c r="H3026" i="5"/>
  <c r="I3025" i="5"/>
  <c r="H3025" i="5"/>
  <c r="I3024" i="5"/>
  <c r="H3024" i="5"/>
  <c r="I3023" i="5"/>
  <c r="H3023" i="5"/>
  <c r="I3022" i="5"/>
  <c r="H3022" i="5"/>
  <c r="I3021" i="5"/>
  <c r="H3021" i="5"/>
  <c r="I3020" i="5"/>
  <c r="H3020" i="5"/>
  <c r="I3019" i="5"/>
  <c r="H3019" i="5"/>
  <c r="I3018" i="5"/>
  <c r="H3018" i="5"/>
  <c r="I3017" i="5"/>
  <c r="H3017" i="5"/>
  <c r="I3016" i="5"/>
  <c r="H3016" i="5"/>
  <c r="I3015" i="5"/>
  <c r="H3015" i="5"/>
  <c r="I3014" i="5"/>
  <c r="H3014" i="5"/>
  <c r="I3013" i="5"/>
  <c r="H3013" i="5"/>
  <c r="I3012" i="5"/>
  <c r="H3012" i="5"/>
  <c r="I3011" i="5"/>
  <c r="H3011" i="5"/>
  <c r="I3010" i="5"/>
  <c r="H3010" i="5"/>
  <c r="I3009" i="5"/>
  <c r="H3009" i="5"/>
  <c r="I3008" i="5"/>
  <c r="H3008" i="5"/>
  <c r="I3007" i="5"/>
  <c r="H3007" i="5"/>
  <c r="I3006" i="5"/>
  <c r="H3006" i="5"/>
  <c r="I3005" i="5"/>
  <c r="H3005" i="5"/>
  <c r="I3004" i="5"/>
  <c r="H3004" i="5"/>
  <c r="I3003" i="5"/>
  <c r="H3003" i="5"/>
  <c r="I3002" i="5"/>
  <c r="H3002" i="5"/>
  <c r="I3001" i="5"/>
  <c r="H3001" i="5"/>
  <c r="I3000" i="5"/>
  <c r="H3000" i="5"/>
  <c r="I2999" i="5"/>
  <c r="H2999" i="5"/>
  <c r="I2998" i="5"/>
  <c r="H2998" i="5"/>
  <c r="I2997" i="5"/>
  <c r="H2997" i="5"/>
  <c r="I2996" i="5"/>
  <c r="H2996" i="5"/>
  <c r="I2995" i="5"/>
  <c r="H2995" i="5"/>
  <c r="I2994" i="5"/>
  <c r="H2994" i="5"/>
  <c r="I2993" i="5"/>
  <c r="H2993" i="5"/>
  <c r="I2992" i="5"/>
  <c r="H2992" i="5"/>
  <c r="I2991" i="5"/>
  <c r="H2991" i="5"/>
  <c r="I2990" i="5"/>
  <c r="H2990" i="5"/>
  <c r="I2989" i="5"/>
  <c r="H2989" i="5"/>
  <c r="I2988" i="5"/>
  <c r="H2988" i="5"/>
  <c r="I2987" i="5"/>
  <c r="H2987" i="5"/>
  <c r="I2986" i="5"/>
  <c r="H2986" i="5"/>
  <c r="I2985" i="5"/>
  <c r="H2985" i="5"/>
  <c r="I2984" i="5"/>
  <c r="H2984" i="5"/>
  <c r="I2983" i="5"/>
  <c r="H2983" i="5"/>
  <c r="I2982" i="5"/>
  <c r="H2982" i="5"/>
  <c r="I2981" i="5"/>
  <c r="H2981" i="5"/>
  <c r="I2980" i="5"/>
  <c r="H2980" i="5"/>
  <c r="I2979" i="5"/>
  <c r="H2979" i="5"/>
  <c r="I2978" i="5"/>
  <c r="H2978" i="5"/>
  <c r="I2977" i="5"/>
  <c r="H2977" i="5"/>
  <c r="I2976" i="5"/>
  <c r="H2976" i="5"/>
  <c r="I2975" i="5"/>
  <c r="H2975" i="5"/>
  <c r="I2974" i="5"/>
  <c r="H2974" i="5"/>
  <c r="I2973" i="5"/>
  <c r="H2973" i="5"/>
  <c r="I2972" i="5"/>
  <c r="H2972" i="5"/>
  <c r="I2971" i="5"/>
  <c r="H2971" i="5"/>
  <c r="I2970" i="5"/>
  <c r="H2970" i="5"/>
  <c r="I2969" i="5"/>
  <c r="H2969" i="5"/>
  <c r="I2968" i="5"/>
  <c r="H2968" i="5"/>
  <c r="I2967" i="5"/>
  <c r="H2967" i="5"/>
  <c r="I2966" i="5"/>
  <c r="H2966" i="5"/>
  <c r="I2965" i="5"/>
  <c r="H2965" i="5"/>
  <c r="I2964" i="5"/>
  <c r="H2964" i="5"/>
  <c r="I2963" i="5"/>
  <c r="H2963" i="5"/>
  <c r="I2962" i="5"/>
  <c r="H2962" i="5"/>
  <c r="I2961" i="5"/>
  <c r="H2961" i="5"/>
  <c r="I2960" i="5"/>
  <c r="H2960" i="5"/>
  <c r="I2959" i="5"/>
  <c r="H2959" i="5"/>
  <c r="I2958" i="5"/>
  <c r="H2958" i="5"/>
  <c r="I2957" i="5"/>
  <c r="H2957" i="5"/>
  <c r="I2956" i="5"/>
  <c r="H2956" i="5"/>
  <c r="I2955" i="5"/>
  <c r="H2955" i="5"/>
  <c r="I2954" i="5"/>
  <c r="H2954" i="5"/>
  <c r="I2953" i="5"/>
  <c r="H2953" i="5"/>
  <c r="I2952" i="5"/>
  <c r="H2952" i="5"/>
  <c r="I2951" i="5"/>
  <c r="H2951" i="5"/>
  <c r="I2950" i="5"/>
  <c r="H2950" i="5"/>
  <c r="I2949" i="5"/>
  <c r="H2949" i="5"/>
  <c r="I2948" i="5"/>
  <c r="H2948" i="5"/>
  <c r="I2947" i="5"/>
  <c r="H2947" i="5"/>
  <c r="I2946" i="5"/>
  <c r="H2946" i="5"/>
  <c r="I2945" i="5"/>
  <c r="H2945" i="5"/>
  <c r="I2944" i="5"/>
  <c r="H2944" i="5"/>
  <c r="I2943" i="5"/>
  <c r="H2943" i="5"/>
  <c r="I2942" i="5"/>
  <c r="H2942" i="5"/>
  <c r="I2941" i="5"/>
  <c r="H2941" i="5"/>
  <c r="I2940" i="5"/>
  <c r="H2940" i="5"/>
  <c r="I2939" i="5"/>
  <c r="H2939" i="5"/>
  <c r="I2938" i="5"/>
  <c r="H2938" i="5"/>
  <c r="I2937" i="5"/>
  <c r="H2937" i="5"/>
  <c r="I2936" i="5"/>
  <c r="H2936" i="5"/>
  <c r="I2935" i="5"/>
  <c r="H2935" i="5"/>
  <c r="I2934" i="5"/>
  <c r="H2934" i="5"/>
  <c r="I2933" i="5"/>
  <c r="H2933" i="5"/>
  <c r="I2932" i="5"/>
  <c r="H2932" i="5"/>
  <c r="I2931" i="5"/>
  <c r="H2931" i="5"/>
  <c r="I2930" i="5"/>
  <c r="H2930" i="5"/>
  <c r="I2929" i="5"/>
  <c r="H2929" i="5"/>
  <c r="I2928" i="5"/>
  <c r="H2928" i="5"/>
  <c r="I2927" i="5"/>
  <c r="H2927" i="5"/>
  <c r="I2926" i="5"/>
  <c r="H2926" i="5"/>
  <c r="I2925" i="5"/>
  <c r="H2925" i="5"/>
  <c r="I2924" i="5"/>
  <c r="H2924" i="5"/>
  <c r="I2923" i="5"/>
  <c r="H2923" i="5"/>
  <c r="I2922" i="5"/>
  <c r="H2922" i="5"/>
  <c r="I2921" i="5"/>
  <c r="H2921" i="5"/>
  <c r="I2920" i="5"/>
  <c r="H2920" i="5"/>
  <c r="I2919" i="5"/>
  <c r="H2919" i="5"/>
  <c r="I2918" i="5"/>
  <c r="H2918" i="5"/>
  <c r="I2917" i="5"/>
  <c r="H2917" i="5"/>
  <c r="I2916" i="5"/>
  <c r="H2916" i="5"/>
  <c r="I2915" i="5"/>
  <c r="H2915" i="5"/>
  <c r="I2914" i="5"/>
  <c r="H2914" i="5"/>
  <c r="I2913" i="5"/>
  <c r="H2913" i="5"/>
  <c r="I2912" i="5"/>
  <c r="H2912" i="5"/>
  <c r="I2911" i="5"/>
  <c r="H2911" i="5"/>
  <c r="I2910" i="5"/>
  <c r="H2910" i="5"/>
  <c r="I2909" i="5"/>
  <c r="H2909" i="5"/>
  <c r="I2908" i="5"/>
  <c r="H2908" i="5"/>
  <c r="I2907" i="5"/>
  <c r="H2907" i="5"/>
  <c r="I2906" i="5"/>
  <c r="H2906" i="5"/>
  <c r="I2905" i="5"/>
  <c r="H2905" i="5"/>
  <c r="I2904" i="5"/>
  <c r="H2904" i="5"/>
  <c r="I2903" i="5"/>
  <c r="H2903" i="5"/>
  <c r="I2902" i="5"/>
  <c r="H2902" i="5"/>
  <c r="I2901" i="5"/>
  <c r="H2901" i="5"/>
  <c r="I2900" i="5"/>
  <c r="H2900" i="5"/>
  <c r="I2899" i="5"/>
  <c r="H2899" i="5"/>
  <c r="I2898" i="5"/>
  <c r="H2898" i="5"/>
  <c r="I2897" i="5"/>
  <c r="H2897" i="5"/>
  <c r="I2896" i="5"/>
  <c r="H2896" i="5"/>
  <c r="I2895" i="5"/>
  <c r="H2895" i="5"/>
  <c r="I2894" i="5"/>
  <c r="H2894" i="5"/>
  <c r="I2893" i="5"/>
  <c r="H2893" i="5"/>
  <c r="I2892" i="5"/>
  <c r="H2892" i="5"/>
  <c r="I2891" i="5"/>
  <c r="H2891" i="5"/>
  <c r="I2890" i="5"/>
  <c r="H2890" i="5"/>
  <c r="I2889" i="5"/>
  <c r="H2889" i="5"/>
  <c r="I2888" i="5"/>
  <c r="H2888" i="5"/>
  <c r="I2887" i="5"/>
  <c r="H2887" i="5"/>
  <c r="I2886" i="5"/>
  <c r="H2886" i="5"/>
  <c r="I2885" i="5"/>
  <c r="H2885" i="5"/>
  <c r="I2884" i="5"/>
  <c r="H2884" i="5"/>
  <c r="I2883" i="5"/>
  <c r="H2883" i="5"/>
  <c r="I2882" i="5"/>
  <c r="H2882" i="5"/>
  <c r="I2881" i="5"/>
  <c r="H2881" i="5"/>
  <c r="I2880" i="5"/>
  <c r="H2880" i="5"/>
  <c r="I2879" i="5"/>
  <c r="H2879" i="5"/>
  <c r="I2878" i="5"/>
  <c r="H2878" i="5"/>
  <c r="I2877" i="5"/>
  <c r="H2877" i="5"/>
  <c r="I2876" i="5"/>
  <c r="H2876" i="5"/>
  <c r="I2875" i="5"/>
  <c r="H2875" i="5"/>
  <c r="I2874" i="5"/>
  <c r="H2874" i="5"/>
  <c r="I2873" i="5"/>
  <c r="H2873" i="5"/>
  <c r="I2872" i="5"/>
  <c r="H2872" i="5"/>
  <c r="I2871" i="5"/>
  <c r="H2871" i="5"/>
  <c r="I2870" i="5"/>
  <c r="H2870" i="5"/>
  <c r="I2869" i="5"/>
  <c r="H2869" i="5"/>
  <c r="I2868" i="5"/>
  <c r="H2868" i="5"/>
  <c r="I2867" i="5"/>
  <c r="H2867" i="5"/>
  <c r="I2866" i="5"/>
  <c r="H2866" i="5"/>
  <c r="I2865" i="5"/>
  <c r="H2865" i="5"/>
  <c r="I2864" i="5"/>
  <c r="H2864" i="5"/>
  <c r="I2863" i="5"/>
  <c r="H2863" i="5"/>
  <c r="I2862" i="5"/>
  <c r="H2862" i="5"/>
  <c r="I2861" i="5"/>
  <c r="H2861" i="5"/>
  <c r="I2860" i="5"/>
  <c r="H2860" i="5"/>
  <c r="I2859" i="5"/>
  <c r="H2859" i="5"/>
  <c r="I2858" i="5"/>
  <c r="H2858" i="5"/>
  <c r="I2857" i="5"/>
  <c r="H2857" i="5"/>
  <c r="I2856" i="5"/>
  <c r="H2856" i="5"/>
  <c r="I2855" i="5"/>
  <c r="H2855" i="5"/>
  <c r="I2854" i="5"/>
  <c r="H2854" i="5"/>
  <c r="I2853" i="5"/>
  <c r="H2853" i="5"/>
  <c r="I2852" i="5"/>
  <c r="H2852" i="5"/>
  <c r="I2851" i="5"/>
  <c r="H2851" i="5"/>
  <c r="I2850" i="5"/>
  <c r="H2850" i="5"/>
  <c r="I2849" i="5"/>
  <c r="H2849" i="5"/>
  <c r="I2848" i="5"/>
  <c r="H2848" i="5"/>
  <c r="I2847" i="5"/>
  <c r="H2847" i="5"/>
  <c r="I2846" i="5"/>
  <c r="H2846" i="5"/>
  <c r="I2845" i="5"/>
  <c r="H2845" i="5"/>
  <c r="I2844" i="5"/>
  <c r="H2844" i="5"/>
  <c r="I2843" i="5"/>
  <c r="H2843" i="5"/>
  <c r="I2842" i="5"/>
  <c r="H2842" i="5"/>
  <c r="I2841" i="5"/>
  <c r="H2841" i="5"/>
  <c r="I2840" i="5"/>
  <c r="H2840" i="5"/>
  <c r="I2839" i="5"/>
  <c r="H2839" i="5"/>
  <c r="I2838" i="5"/>
  <c r="H2838" i="5"/>
  <c r="I2837" i="5"/>
  <c r="H2837" i="5"/>
  <c r="I2836" i="5"/>
  <c r="H2836" i="5"/>
  <c r="I2835" i="5"/>
  <c r="H2835" i="5"/>
  <c r="I2834" i="5"/>
  <c r="H2834" i="5"/>
  <c r="I2833" i="5"/>
  <c r="H2833" i="5"/>
  <c r="I2832" i="5"/>
  <c r="H2832" i="5"/>
  <c r="I2831" i="5"/>
  <c r="H2831" i="5"/>
  <c r="I2830" i="5"/>
  <c r="H2830" i="5"/>
  <c r="I2829" i="5"/>
  <c r="H2829" i="5"/>
  <c r="I2828" i="5"/>
  <c r="H2828" i="5"/>
  <c r="I2827" i="5"/>
  <c r="H2827" i="5"/>
  <c r="I2826" i="5"/>
  <c r="H2826" i="5"/>
  <c r="I2825" i="5"/>
  <c r="H2825" i="5"/>
  <c r="I2824" i="5"/>
  <c r="H2824" i="5"/>
  <c r="I2823" i="5"/>
  <c r="H2823" i="5"/>
  <c r="I2822" i="5"/>
  <c r="H2822" i="5"/>
  <c r="I2821" i="5"/>
  <c r="H2821" i="5"/>
  <c r="I2820" i="5"/>
  <c r="H2820" i="5"/>
  <c r="I2819" i="5"/>
  <c r="H2819" i="5"/>
  <c r="I2818" i="5"/>
  <c r="H2818" i="5"/>
  <c r="I2817" i="5"/>
  <c r="H2817" i="5"/>
  <c r="I2816" i="5"/>
  <c r="H2816" i="5"/>
  <c r="I2815" i="5"/>
  <c r="H2815" i="5"/>
  <c r="I2814" i="5"/>
  <c r="H2814" i="5"/>
  <c r="I2813" i="5"/>
  <c r="H2813" i="5"/>
  <c r="I2812" i="5"/>
  <c r="H2812" i="5"/>
  <c r="I2811" i="5"/>
  <c r="H2811" i="5"/>
  <c r="I2810" i="5"/>
  <c r="H2810" i="5"/>
  <c r="I2809" i="5"/>
  <c r="H2809" i="5"/>
  <c r="I2808" i="5"/>
  <c r="H2808" i="5"/>
  <c r="I2807" i="5"/>
  <c r="H2807" i="5"/>
  <c r="I2806" i="5"/>
  <c r="H2806" i="5"/>
  <c r="I2805" i="5"/>
  <c r="H2805" i="5"/>
  <c r="I2804" i="5"/>
  <c r="H2804" i="5"/>
  <c r="I2803" i="5"/>
  <c r="H2803" i="5"/>
  <c r="I2802" i="5"/>
  <c r="H2802" i="5"/>
  <c r="I2801" i="5"/>
  <c r="H2801" i="5"/>
  <c r="I2800" i="5"/>
  <c r="H2800" i="5"/>
  <c r="I2799" i="5"/>
  <c r="H2799" i="5"/>
  <c r="I2798" i="5"/>
  <c r="H2798" i="5"/>
  <c r="I2797" i="5"/>
  <c r="H2797" i="5"/>
  <c r="I2796" i="5"/>
  <c r="H2796" i="5"/>
  <c r="I2795" i="5"/>
  <c r="H2795" i="5"/>
  <c r="I2794" i="5"/>
  <c r="H2794" i="5"/>
  <c r="I2793" i="5"/>
  <c r="H2793" i="5"/>
  <c r="I2792" i="5"/>
  <c r="H2792" i="5"/>
  <c r="I2791" i="5"/>
  <c r="H2791" i="5"/>
  <c r="I2790" i="5"/>
  <c r="H2790" i="5"/>
  <c r="I2789" i="5"/>
  <c r="H2789" i="5"/>
  <c r="I2788" i="5"/>
  <c r="H2788" i="5"/>
  <c r="I2787" i="5"/>
  <c r="H2787" i="5"/>
  <c r="I2786" i="5"/>
  <c r="H2786" i="5"/>
  <c r="I2785" i="5"/>
  <c r="H2785" i="5"/>
  <c r="I2784" i="5"/>
  <c r="H2784" i="5"/>
  <c r="I2783" i="5"/>
  <c r="H2783" i="5"/>
  <c r="I2782" i="5"/>
  <c r="H2782" i="5"/>
  <c r="I2781" i="5"/>
  <c r="H2781" i="5"/>
  <c r="I2780" i="5"/>
  <c r="H2780" i="5"/>
  <c r="I2779" i="5"/>
  <c r="H2779" i="5"/>
  <c r="I2778" i="5"/>
  <c r="H2778" i="5"/>
  <c r="I2777" i="5"/>
  <c r="H2777" i="5"/>
  <c r="I2776" i="5"/>
  <c r="H2776" i="5"/>
  <c r="I2775" i="5"/>
  <c r="H2775" i="5"/>
  <c r="I2774" i="5"/>
  <c r="H2774" i="5"/>
  <c r="I2773" i="5"/>
  <c r="H2773" i="5"/>
  <c r="I2772" i="5"/>
  <c r="H2772" i="5"/>
  <c r="I2771" i="5"/>
  <c r="H2771" i="5"/>
  <c r="I2770" i="5"/>
  <c r="H2770" i="5"/>
  <c r="I2769" i="5"/>
  <c r="H2769" i="5"/>
  <c r="I2768" i="5"/>
  <c r="H2768" i="5"/>
  <c r="I2767" i="5"/>
  <c r="H2767" i="5"/>
  <c r="I2766" i="5"/>
  <c r="H2766" i="5"/>
  <c r="I2765" i="5"/>
  <c r="H2765" i="5"/>
  <c r="I2764" i="5"/>
  <c r="H2764" i="5"/>
  <c r="I2763" i="5"/>
  <c r="H2763" i="5"/>
  <c r="I2762" i="5"/>
  <c r="H2762" i="5"/>
  <c r="I2761" i="5"/>
  <c r="H2761" i="5"/>
  <c r="I2760" i="5"/>
  <c r="H2760" i="5"/>
  <c r="I2759" i="5"/>
  <c r="H2759" i="5"/>
  <c r="I2758" i="5"/>
  <c r="H2758" i="5"/>
  <c r="I2757" i="5"/>
  <c r="H2757" i="5"/>
  <c r="I2756" i="5"/>
  <c r="H2756" i="5"/>
  <c r="I2755" i="5"/>
  <c r="H2755" i="5"/>
  <c r="I2754" i="5"/>
  <c r="H2754" i="5"/>
  <c r="I2753" i="5"/>
  <c r="H2753" i="5"/>
  <c r="I2752" i="5"/>
  <c r="H2752" i="5"/>
  <c r="I2751" i="5"/>
  <c r="H2751" i="5"/>
  <c r="I2750" i="5"/>
  <c r="H2750" i="5"/>
  <c r="I2749" i="5"/>
  <c r="H2749" i="5"/>
  <c r="I2748" i="5"/>
  <c r="H2748" i="5"/>
  <c r="I2747" i="5"/>
  <c r="H2747" i="5"/>
  <c r="I2746" i="5"/>
  <c r="H2746" i="5"/>
  <c r="I2745" i="5"/>
  <c r="H2745" i="5"/>
  <c r="I2744" i="5"/>
  <c r="H2744" i="5"/>
  <c r="I2743" i="5"/>
  <c r="H2743" i="5"/>
  <c r="I2742" i="5"/>
  <c r="H2742" i="5"/>
  <c r="I2741" i="5"/>
  <c r="H2741" i="5"/>
  <c r="I2740" i="5"/>
  <c r="H2740" i="5"/>
  <c r="I2739" i="5"/>
  <c r="H2739" i="5"/>
  <c r="I2738" i="5"/>
  <c r="H2738" i="5"/>
  <c r="I2737" i="5"/>
  <c r="H2737" i="5"/>
  <c r="I2736" i="5"/>
  <c r="H2736" i="5"/>
  <c r="I2735" i="5"/>
  <c r="H2735" i="5"/>
  <c r="I2734" i="5"/>
  <c r="H2734" i="5"/>
  <c r="I2733" i="5"/>
  <c r="H2733" i="5"/>
  <c r="I2732" i="5"/>
  <c r="H2732" i="5"/>
  <c r="I2731" i="5"/>
  <c r="H2731" i="5"/>
  <c r="I2730" i="5"/>
  <c r="H2730" i="5"/>
  <c r="I2729" i="5"/>
  <c r="H2729" i="5"/>
  <c r="I2728" i="5"/>
  <c r="H2728" i="5"/>
  <c r="I2727" i="5"/>
  <c r="H2727" i="5"/>
  <c r="I2726" i="5"/>
  <c r="H2726" i="5"/>
  <c r="I2725" i="5"/>
  <c r="H2725" i="5"/>
  <c r="I2724" i="5"/>
  <c r="H2724" i="5"/>
  <c r="I2723" i="5"/>
  <c r="H2723" i="5"/>
  <c r="I2722" i="5"/>
  <c r="H2722" i="5"/>
  <c r="I2721" i="5"/>
  <c r="H2721" i="5"/>
  <c r="I2720" i="5"/>
  <c r="H2720" i="5"/>
  <c r="I2719" i="5"/>
  <c r="H2719" i="5"/>
  <c r="I2718" i="5"/>
  <c r="H2718" i="5"/>
  <c r="I2717" i="5"/>
  <c r="H2717" i="5"/>
  <c r="I2716" i="5"/>
  <c r="H2716" i="5"/>
  <c r="I2715" i="5"/>
  <c r="H2715" i="5"/>
  <c r="I2714" i="5"/>
  <c r="H2714" i="5"/>
  <c r="I2713" i="5"/>
  <c r="H2713" i="5"/>
  <c r="I2712" i="5"/>
  <c r="H2712" i="5"/>
  <c r="I2711" i="5"/>
  <c r="H2711" i="5"/>
  <c r="I2710" i="5"/>
  <c r="H2710" i="5"/>
  <c r="I2709" i="5"/>
  <c r="H2709" i="5"/>
  <c r="I2708" i="5"/>
  <c r="H2708" i="5"/>
  <c r="I2707" i="5"/>
  <c r="H2707" i="5"/>
  <c r="I2706" i="5"/>
  <c r="H2706" i="5"/>
  <c r="I2705" i="5"/>
  <c r="H2705" i="5"/>
  <c r="I2704" i="5"/>
  <c r="H2704" i="5"/>
  <c r="I2703" i="5"/>
  <c r="H2703" i="5"/>
  <c r="I2702" i="5"/>
  <c r="H2702" i="5"/>
  <c r="I2701" i="5"/>
  <c r="H2701" i="5"/>
  <c r="I2700" i="5"/>
  <c r="H2700" i="5"/>
  <c r="I2699" i="5"/>
  <c r="H2699" i="5"/>
  <c r="I2698" i="5"/>
  <c r="H2698" i="5"/>
  <c r="I2697" i="5"/>
  <c r="H2697" i="5"/>
  <c r="I2696" i="5"/>
  <c r="H2696" i="5"/>
  <c r="I2695" i="5"/>
  <c r="H2695" i="5"/>
  <c r="I2694" i="5"/>
  <c r="H2694" i="5"/>
  <c r="I2693" i="5"/>
  <c r="H2693" i="5"/>
  <c r="I2692" i="5"/>
  <c r="H2692" i="5"/>
  <c r="I2691" i="5"/>
  <c r="H2691" i="5"/>
  <c r="I2690" i="5"/>
  <c r="H2690" i="5"/>
  <c r="I2689" i="5"/>
  <c r="H2689" i="5"/>
  <c r="I2688" i="5"/>
  <c r="H2688" i="5"/>
  <c r="I2687" i="5"/>
  <c r="H2687" i="5"/>
  <c r="I2686" i="5"/>
  <c r="H2686" i="5"/>
  <c r="I2685" i="5"/>
  <c r="H2685" i="5"/>
  <c r="I2684" i="5"/>
  <c r="H2684" i="5"/>
  <c r="I2683" i="5"/>
  <c r="H2683" i="5"/>
  <c r="I2682" i="5"/>
  <c r="H2682" i="5"/>
  <c r="I2681" i="5"/>
  <c r="H2681" i="5"/>
  <c r="I2680" i="5"/>
  <c r="H2680" i="5"/>
  <c r="I2679" i="5"/>
  <c r="H2679" i="5"/>
  <c r="I2678" i="5"/>
  <c r="H2678" i="5"/>
  <c r="I2677" i="5"/>
  <c r="H2677" i="5"/>
  <c r="I2676" i="5"/>
  <c r="H2676" i="5"/>
  <c r="I2675" i="5"/>
  <c r="H2675" i="5"/>
  <c r="I2674" i="5"/>
  <c r="H2674" i="5"/>
  <c r="I2673" i="5"/>
  <c r="H2673" i="5"/>
  <c r="I2672" i="5"/>
  <c r="H2672" i="5"/>
  <c r="I2671" i="5"/>
  <c r="H2671" i="5"/>
  <c r="I2670" i="5"/>
  <c r="H2670" i="5"/>
  <c r="I2669" i="5"/>
  <c r="H2669" i="5"/>
  <c r="I2668" i="5"/>
  <c r="H2668" i="5"/>
  <c r="I2667" i="5"/>
  <c r="H2667" i="5"/>
  <c r="I2666" i="5"/>
  <c r="H2666" i="5"/>
  <c r="I2665" i="5"/>
  <c r="H2665" i="5"/>
  <c r="I2664" i="5"/>
  <c r="H2664" i="5"/>
  <c r="I2663" i="5"/>
  <c r="H2663" i="5"/>
  <c r="I2662" i="5"/>
  <c r="H2662" i="5"/>
  <c r="I2661" i="5"/>
  <c r="H2661" i="5"/>
  <c r="I2660" i="5"/>
  <c r="H2660" i="5"/>
  <c r="I2659" i="5"/>
  <c r="H2659" i="5"/>
  <c r="I2658" i="5"/>
  <c r="H2658" i="5"/>
  <c r="I2657" i="5"/>
  <c r="H2657" i="5"/>
  <c r="I2656" i="5"/>
  <c r="H2656" i="5"/>
  <c r="I2655" i="5"/>
  <c r="H2655" i="5"/>
  <c r="I2654" i="5"/>
  <c r="H2654" i="5"/>
  <c r="I2653" i="5"/>
  <c r="H2653" i="5"/>
  <c r="I2652" i="5"/>
  <c r="H2652" i="5"/>
  <c r="I2651" i="5"/>
  <c r="H2651" i="5"/>
  <c r="I2650" i="5"/>
  <c r="H2650" i="5"/>
  <c r="I2649" i="5"/>
  <c r="H2649" i="5"/>
  <c r="I2648" i="5"/>
  <c r="H2648" i="5"/>
  <c r="I2647" i="5"/>
  <c r="H2647" i="5"/>
  <c r="I2646" i="5"/>
  <c r="H2646" i="5"/>
  <c r="I2645" i="5"/>
  <c r="H2645" i="5"/>
  <c r="I2644" i="5"/>
  <c r="H2644" i="5"/>
  <c r="I2643" i="5"/>
  <c r="H2643" i="5"/>
  <c r="I2642" i="5"/>
  <c r="H2642" i="5"/>
  <c r="I2641" i="5"/>
  <c r="H2641" i="5"/>
  <c r="I2640" i="5"/>
  <c r="H2640" i="5"/>
  <c r="I2639" i="5"/>
  <c r="H2639" i="5"/>
  <c r="I2638" i="5"/>
  <c r="H2638" i="5"/>
  <c r="I2637" i="5"/>
  <c r="H2637" i="5"/>
  <c r="I2636" i="5"/>
  <c r="H2636" i="5"/>
  <c r="I2635" i="5"/>
  <c r="H2635" i="5"/>
  <c r="I2634" i="5"/>
  <c r="H2634" i="5"/>
  <c r="I2633" i="5"/>
  <c r="H2633" i="5"/>
  <c r="I2632" i="5"/>
  <c r="H2632" i="5"/>
  <c r="I2631" i="5"/>
  <c r="H2631" i="5"/>
  <c r="I2630" i="5"/>
  <c r="H2630" i="5"/>
  <c r="I2629" i="5"/>
  <c r="H2629" i="5"/>
  <c r="I2628" i="5"/>
  <c r="H2628" i="5"/>
  <c r="I2627" i="5"/>
  <c r="H2627" i="5"/>
  <c r="I2626" i="5"/>
  <c r="H2626" i="5"/>
  <c r="I2625" i="5"/>
  <c r="H2625" i="5"/>
  <c r="I2624" i="5"/>
  <c r="H2624" i="5"/>
  <c r="I2623" i="5"/>
  <c r="H2623" i="5"/>
  <c r="I2622" i="5"/>
  <c r="H2622" i="5"/>
  <c r="I2621" i="5"/>
  <c r="H2621" i="5"/>
  <c r="I2620" i="5"/>
  <c r="H2620" i="5"/>
  <c r="I2619" i="5"/>
  <c r="H2619" i="5"/>
  <c r="I2618" i="5"/>
  <c r="H2618" i="5"/>
  <c r="I2617" i="5"/>
  <c r="H2617" i="5"/>
  <c r="I2616" i="5"/>
  <c r="H2616" i="5"/>
  <c r="I2615" i="5"/>
  <c r="H2615" i="5"/>
  <c r="I2614" i="5"/>
  <c r="H2614" i="5"/>
  <c r="I2613" i="5"/>
  <c r="H2613" i="5"/>
  <c r="I2612" i="5"/>
  <c r="H2612" i="5"/>
  <c r="I2611" i="5"/>
  <c r="H2611" i="5"/>
  <c r="I2610" i="5"/>
  <c r="H2610" i="5"/>
  <c r="I2609" i="5"/>
  <c r="H2609" i="5"/>
  <c r="I2608" i="5"/>
  <c r="H2608" i="5"/>
  <c r="I2607" i="5"/>
  <c r="H2607" i="5"/>
  <c r="I2606" i="5"/>
  <c r="H2606" i="5"/>
  <c r="I2605" i="5"/>
  <c r="H2605" i="5"/>
  <c r="I2604" i="5"/>
  <c r="H2604" i="5"/>
  <c r="I2603" i="5"/>
  <c r="H2603" i="5"/>
  <c r="I2602" i="5"/>
  <c r="H2602" i="5"/>
  <c r="I2601" i="5"/>
  <c r="H2601" i="5"/>
  <c r="I2600" i="5"/>
  <c r="H2600" i="5"/>
  <c r="I2599" i="5"/>
  <c r="H2599" i="5"/>
  <c r="I2598" i="5"/>
  <c r="H2598" i="5"/>
  <c r="I2597" i="5"/>
  <c r="H2597" i="5"/>
  <c r="I2596" i="5"/>
  <c r="H2596" i="5"/>
  <c r="I2595" i="5"/>
  <c r="H2595" i="5"/>
  <c r="I2594" i="5"/>
  <c r="H2594" i="5"/>
  <c r="I2593" i="5"/>
  <c r="H2593" i="5"/>
  <c r="I2592" i="5"/>
  <c r="H2592" i="5"/>
  <c r="I2591" i="5"/>
  <c r="H2591" i="5"/>
  <c r="I2590" i="5"/>
  <c r="H2590" i="5"/>
  <c r="I2589" i="5"/>
  <c r="H2589" i="5"/>
  <c r="I2588" i="5"/>
  <c r="H2588" i="5"/>
  <c r="I2587" i="5"/>
  <c r="H2587" i="5"/>
  <c r="I2586" i="5"/>
  <c r="H2586" i="5"/>
  <c r="I2585" i="5"/>
  <c r="H2585" i="5"/>
  <c r="I2584" i="5"/>
  <c r="H2584" i="5"/>
  <c r="I2583" i="5"/>
  <c r="H2583" i="5"/>
  <c r="I2582" i="5"/>
  <c r="H2582" i="5"/>
  <c r="I2581" i="5"/>
  <c r="H2581" i="5"/>
  <c r="I2580" i="5"/>
  <c r="H2580" i="5"/>
  <c r="I2579" i="5"/>
  <c r="H2579" i="5"/>
  <c r="I2578" i="5"/>
  <c r="H2578" i="5"/>
  <c r="I2577" i="5"/>
  <c r="H2577" i="5"/>
  <c r="I2576" i="5"/>
  <c r="H2576" i="5"/>
  <c r="I2575" i="5"/>
  <c r="H2575" i="5"/>
  <c r="I2574" i="5"/>
  <c r="H2574" i="5"/>
  <c r="I2573" i="5"/>
  <c r="H2573" i="5"/>
  <c r="I2572" i="5"/>
  <c r="H2572" i="5"/>
  <c r="I2571" i="5"/>
  <c r="H2571" i="5"/>
  <c r="I2570" i="5"/>
  <c r="H2570" i="5"/>
  <c r="I2569" i="5"/>
  <c r="H2569" i="5"/>
  <c r="I2568" i="5"/>
  <c r="H2568" i="5"/>
  <c r="I2567" i="5"/>
  <c r="H2567" i="5"/>
  <c r="I2566" i="5"/>
  <c r="H2566" i="5"/>
  <c r="I2565" i="5"/>
  <c r="H2565" i="5"/>
  <c r="I2564" i="5"/>
  <c r="H2564" i="5"/>
  <c r="I2563" i="5"/>
  <c r="H2563" i="5"/>
  <c r="I2562" i="5"/>
  <c r="H2562" i="5"/>
  <c r="I2561" i="5"/>
  <c r="H2561" i="5"/>
  <c r="I2560" i="5"/>
  <c r="H2560" i="5"/>
  <c r="I2559" i="5"/>
  <c r="H2559" i="5"/>
  <c r="I2558" i="5"/>
  <c r="H2558" i="5"/>
  <c r="I2557" i="5"/>
  <c r="H2557" i="5"/>
  <c r="I2556" i="5"/>
  <c r="H2556" i="5"/>
  <c r="I2555" i="5"/>
  <c r="H2555" i="5"/>
  <c r="I2554" i="5"/>
  <c r="H2554" i="5"/>
  <c r="I2553" i="5"/>
  <c r="H2553" i="5"/>
  <c r="I2552" i="5"/>
  <c r="H2552" i="5"/>
  <c r="I2551" i="5"/>
  <c r="H2551" i="5"/>
  <c r="I2550" i="5"/>
  <c r="H2550" i="5"/>
  <c r="I2549" i="5"/>
  <c r="H2549" i="5"/>
  <c r="I2548" i="5"/>
  <c r="H2548" i="5"/>
  <c r="I2547" i="5"/>
  <c r="H2547" i="5"/>
  <c r="I2546" i="5"/>
  <c r="H2546" i="5"/>
  <c r="I2545" i="5"/>
  <c r="H2545" i="5"/>
  <c r="I2544" i="5"/>
  <c r="H2544" i="5"/>
  <c r="I2543" i="5"/>
  <c r="H2543" i="5"/>
  <c r="I2542" i="5"/>
  <c r="H2542" i="5"/>
  <c r="I2541" i="5"/>
  <c r="H2541" i="5"/>
  <c r="I2540" i="5"/>
  <c r="H2540" i="5"/>
  <c r="I2539" i="5"/>
  <c r="H2539" i="5"/>
  <c r="I2538" i="5"/>
  <c r="H2538" i="5"/>
  <c r="I2537" i="5"/>
  <c r="H2537" i="5"/>
  <c r="I2536" i="5"/>
  <c r="H2536" i="5"/>
  <c r="I2535" i="5"/>
  <c r="H2535" i="5"/>
  <c r="I2534" i="5"/>
  <c r="H2534" i="5"/>
  <c r="I2533" i="5"/>
  <c r="H2533" i="5"/>
  <c r="I2532" i="5"/>
  <c r="H2532" i="5"/>
  <c r="I2531" i="5"/>
  <c r="H2531" i="5"/>
  <c r="I2530" i="5"/>
  <c r="H2530" i="5"/>
  <c r="I2529" i="5"/>
  <c r="H2529" i="5"/>
  <c r="I2528" i="5"/>
  <c r="H2528" i="5"/>
  <c r="I2527" i="5"/>
  <c r="H2527" i="5"/>
  <c r="I2526" i="5"/>
  <c r="H2526" i="5"/>
  <c r="I2525" i="5"/>
  <c r="H2525" i="5"/>
  <c r="I2524" i="5"/>
  <c r="H2524" i="5"/>
  <c r="I2523" i="5"/>
  <c r="H2523" i="5"/>
  <c r="I2522" i="5"/>
  <c r="H2522" i="5"/>
  <c r="I2521" i="5"/>
  <c r="H2521" i="5"/>
  <c r="I2520" i="5"/>
  <c r="H2520" i="5"/>
  <c r="I2519" i="5"/>
  <c r="H2519" i="5"/>
  <c r="I2518" i="5"/>
  <c r="H2518" i="5"/>
  <c r="I2517" i="5"/>
  <c r="H2517" i="5"/>
  <c r="I2516" i="5"/>
  <c r="H2516" i="5"/>
  <c r="I2515" i="5"/>
  <c r="H2515" i="5"/>
  <c r="I2514" i="5"/>
  <c r="H2514" i="5"/>
  <c r="I2513" i="5"/>
  <c r="H2513" i="5"/>
  <c r="I2512" i="5"/>
  <c r="H2512" i="5"/>
  <c r="I2511" i="5"/>
  <c r="H2511" i="5"/>
  <c r="I2510" i="5"/>
  <c r="H2510" i="5"/>
  <c r="I2509" i="5"/>
  <c r="H2509" i="5"/>
  <c r="I2508" i="5"/>
  <c r="H2508" i="5"/>
  <c r="I2507" i="5"/>
  <c r="H2507" i="5"/>
  <c r="I2506" i="5"/>
  <c r="H2506" i="5"/>
  <c r="I2505" i="5"/>
  <c r="H2505" i="5"/>
  <c r="I2504" i="5"/>
  <c r="H2504" i="5"/>
  <c r="I2503" i="5"/>
  <c r="H2503" i="5"/>
  <c r="I2502" i="5"/>
  <c r="H2502" i="5"/>
  <c r="I2501" i="5"/>
  <c r="H2501" i="5"/>
  <c r="I2500" i="5"/>
  <c r="H2500" i="5"/>
  <c r="I2499" i="5"/>
  <c r="H2499" i="5"/>
  <c r="I2498" i="5"/>
  <c r="H2498" i="5"/>
  <c r="I2497" i="5"/>
  <c r="H2497" i="5"/>
  <c r="I2496" i="5"/>
  <c r="H2496" i="5"/>
  <c r="I2495" i="5"/>
  <c r="H2495" i="5"/>
  <c r="I2494" i="5"/>
  <c r="H2494" i="5"/>
  <c r="I2493" i="5"/>
  <c r="H2493" i="5"/>
  <c r="I2492" i="5"/>
  <c r="H2492" i="5"/>
  <c r="I2491" i="5"/>
  <c r="H2491" i="5"/>
  <c r="I2490" i="5"/>
  <c r="H2490" i="5"/>
  <c r="I2489" i="5"/>
  <c r="H2489" i="5"/>
  <c r="I2488" i="5"/>
  <c r="H2488" i="5"/>
  <c r="I2487" i="5"/>
  <c r="H2487" i="5"/>
  <c r="I2486" i="5"/>
  <c r="H2486" i="5"/>
  <c r="I2485" i="5"/>
  <c r="H2485" i="5"/>
  <c r="I2484" i="5"/>
  <c r="H2484" i="5"/>
  <c r="I2483" i="5"/>
  <c r="H2483" i="5"/>
  <c r="I2482" i="5"/>
  <c r="H2482" i="5"/>
  <c r="I2481" i="5"/>
  <c r="H2481" i="5"/>
  <c r="I2480" i="5"/>
  <c r="H2480" i="5"/>
  <c r="I2479" i="5"/>
  <c r="H2479" i="5"/>
  <c r="I2478" i="5"/>
  <c r="H2478" i="5"/>
  <c r="I2477" i="5"/>
  <c r="H2477" i="5"/>
  <c r="I2476" i="5"/>
  <c r="H2476" i="5"/>
  <c r="I2475" i="5"/>
  <c r="H2475" i="5"/>
  <c r="I2474" i="5"/>
  <c r="H2474" i="5"/>
  <c r="I2473" i="5"/>
  <c r="H2473" i="5"/>
  <c r="I2472" i="5"/>
  <c r="H2472" i="5"/>
  <c r="I2471" i="5"/>
  <c r="H2471" i="5"/>
  <c r="I2470" i="5"/>
  <c r="H2470" i="5"/>
  <c r="I2469" i="5"/>
  <c r="H2469" i="5"/>
  <c r="I2468" i="5"/>
  <c r="H2468" i="5"/>
  <c r="I2467" i="5"/>
  <c r="H2467" i="5"/>
  <c r="I2466" i="5"/>
  <c r="H2466" i="5"/>
  <c r="I2465" i="5"/>
  <c r="H2465" i="5"/>
  <c r="I2464" i="5"/>
  <c r="H2464" i="5"/>
  <c r="I2463" i="5"/>
  <c r="H2463" i="5"/>
  <c r="I2462" i="5"/>
  <c r="H2462" i="5"/>
  <c r="I2461" i="5"/>
  <c r="H2461" i="5"/>
  <c r="I2460" i="5"/>
  <c r="H2460" i="5"/>
  <c r="I2459" i="5"/>
  <c r="H2459" i="5"/>
  <c r="I2458" i="5"/>
  <c r="H2458" i="5"/>
  <c r="I2457" i="5"/>
  <c r="H2457" i="5"/>
  <c r="I2456" i="5"/>
  <c r="H2456" i="5"/>
  <c r="I2455" i="5"/>
  <c r="H2455" i="5"/>
  <c r="I2454" i="5"/>
  <c r="H2454" i="5"/>
  <c r="I2453" i="5"/>
  <c r="H2453" i="5"/>
  <c r="I2452" i="5"/>
  <c r="H2452" i="5"/>
  <c r="I2451" i="5"/>
  <c r="H2451" i="5"/>
  <c r="I2450" i="5"/>
  <c r="H2450" i="5"/>
  <c r="I2449" i="5"/>
  <c r="H2449" i="5"/>
  <c r="I2448" i="5"/>
  <c r="H2448" i="5"/>
  <c r="I2447" i="5"/>
  <c r="H2447" i="5"/>
  <c r="I2446" i="5"/>
  <c r="H2446" i="5"/>
  <c r="I2445" i="5"/>
  <c r="H2445" i="5"/>
  <c r="I2444" i="5"/>
  <c r="H2444" i="5"/>
  <c r="I2443" i="5"/>
  <c r="H2443" i="5"/>
  <c r="I2442" i="5"/>
  <c r="H2442" i="5"/>
  <c r="I2441" i="5"/>
  <c r="H2441" i="5"/>
  <c r="I2440" i="5"/>
  <c r="H2440" i="5"/>
  <c r="I2439" i="5"/>
  <c r="H2439" i="5"/>
  <c r="I2438" i="5"/>
  <c r="H2438" i="5"/>
  <c r="I2437" i="5"/>
  <c r="H2437" i="5"/>
  <c r="I2436" i="5"/>
  <c r="H2436" i="5"/>
  <c r="I2435" i="5"/>
  <c r="H2435" i="5"/>
  <c r="I2434" i="5"/>
  <c r="H2434" i="5"/>
  <c r="I2433" i="5"/>
  <c r="H2433" i="5"/>
  <c r="I2432" i="5"/>
  <c r="H2432" i="5"/>
  <c r="I2431" i="5"/>
  <c r="H2431" i="5"/>
  <c r="I2430" i="5"/>
  <c r="H2430" i="5"/>
  <c r="I2429" i="5"/>
  <c r="H2429" i="5"/>
  <c r="I2428" i="5"/>
  <c r="H2428" i="5"/>
  <c r="I2427" i="5"/>
  <c r="H2427" i="5"/>
  <c r="I2426" i="5"/>
  <c r="H2426" i="5"/>
  <c r="I2425" i="5"/>
  <c r="H2425" i="5"/>
  <c r="I2424" i="5"/>
  <c r="H2424" i="5"/>
  <c r="I2423" i="5"/>
  <c r="H2423" i="5"/>
  <c r="I2422" i="5"/>
  <c r="H2422" i="5"/>
  <c r="I2421" i="5"/>
  <c r="H2421" i="5"/>
  <c r="I2420" i="5"/>
  <c r="H2420" i="5"/>
  <c r="I2419" i="5"/>
  <c r="H2419" i="5"/>
  <c r="I2418" i="5"/>
  <c r="H2418" i="5"/>
  <c r="I2417" i="5"/>
  <c r="H2417" i="5"/>
  <c r="I2416" i="5"/>
  <c r="H2416" i="5"/>
  <c r="I2415" i="5"/>
  <c r="H2415" i="5"/>
  <c r="I2414" i="5"/>
  <c r="H2414" i="5"/>
  <c r="I2413" i="5"/>
  <c r="H2413" i="5"/>
  <c r="I2412" i="5"/>
  <c r="H2412" i="5"/>
  <c r="I2411" i="5"/>
  <c r="H2411" i="5"/>
  <c r="I2410" i="5"/>
  <c r="H2410" i="5"/>
  <c r="I2409" i="5"/>
  <c r="H2409" i="5"/>
  <c r="I2408" i="5"/>
  <c r="H2408" i="5"/>
  <c r="I2407" i="5"/>
  <c r="H2407" i="5"/>
  <c r="I2406" i="5"/>
  <c r="H2406" i="5"/>
  <c r="I2405" i="5"/>
  <c r="H2405" i="5"/>
  <c r="I2404" i="5"/>
  <c r="H2404" i="5"/>
  <c r="I2403" i="5"/>
  <c r="H2403" i="5"/>
  <c r="I2402" i="5"/>
  <c r="H2402" i="5"/>
  <c r="I2401" i="5"/>
  <c r="H2401" i="5"/>
  <c r="I2400" i="5"/>
  <c r="H2400" i="5"/>
  <c r="I2399" i="5"/>
  <c r="H2399" i="5"/>
  <c r="I2398" i="5"/>
  <c r="H2398" i="5"/>
  <c r="I2397" i="5"/>
  <c r="H2397" i="5"/>
  <c r="I2396" i="5"/>
  <c r="H2396" i="5"/>
  <c r="I2395" i="5"/>
  <c r="H2395" i="5"/>
  <c r="I2394" i="5"/>
  <c r="H2394" i="5"/>
  <c r="I2393" i="5"/>
  <c r="H2393" i="5"/>
  <c r="I2392" i="5"/>
  <c r="H2392" i="5"/>
  <c r="I2391" i="5"/>
  <c r="H2391" i="5"/>
  <c r="I2390" i="5"/>
  <c r="H2390" i="5"/>
  <c r="I2389" i="5"/>
  <c r="H2389" i="5"/>
  <c r="I2388" i="5"/>
  <c r="H2388" i="5"/>
  <c r="I2387" i="5"/>
  <c r="H2387" i="5"/>
  <c r="I2386" i="5"/>
  <c r="H2386" i="5"/>
  <c r="I2385" i="5"/>
  <c r="H2385" i="5"/>
  <c r="I2384" i="5"/>
  <c r="H2384" i="5"/>
  <c r="I2383" i="5"/>
  <c r="H2383" i="5"/>
  <c r="I2382" i="5"/>
  <c r="H2382" i="5"/>
  <c r="I2381" i="5"/>
  <c r="H2381" i="5"/>
  <c r="I2380" i="5"/>
  <c r="H2380" i="5"/>
  <c r="I2379" i="5"/>
  <c r="H2379" i="5"/>
  <c r="I2378" i="5"/>
  <c r="H2378" i="5"/>
  <c r="I2377" i="5"/>
  <c r="H2377" i="5"/>
  <c r="I2376" i="5"/>
  <c r="H2376" i="5"/>
  <c r="I2375" i="5"/>
  <c r="H2375" i="5"/>
  <c r="I2374" i="5"/>
  <c r="H2374" i="5"/>
  <c r="I2373" i="5"/>
  <c r="H2373" i="5"/>
  <c r="I2372" i="5"/>
  <c r="H2372" i="5"/>
  <c r="I2371" i="5"/>
  <c r="H2371" i="5"/>
  <c r="I2370" i="5"/>
  <c r="H2370" i="5"/>
  <c r="I2369" i="5"/>
  <c r="H2369" i="5"/>
  <c r="I2368" i="5"/>
  <c r="H2368" i="5"/>
  <c r="I2367" i="5"/>
  <c r="H2367" i="5"/>
  <c r="I2366" i="5"/>
  <c r="H2366" i="5"/>
  <c r="I2365" i="5"/>
  <c r="H2365" i="5"/>
  <c r="I2364" i="5"/>
  <c r="H2364" i="5"/>
  <c r="I2363" i="5"/>
  <c r="H2363" i="5"/>
  <c r="I2362" i="5"/>
  <c r="H2362" i="5"/>
  <c r="I2361" i="5"/>
  <c r="H2361" i="5"/>
  <c r="I2360" i="5"/>
  <c r="H2360" i="5"/>
  <c r="I2359" i="5"/>
  <c r="H2359" i="5"/>
  <c r="I2358" i="5"/>
  <c r="H2358" i="5"/>
  <c r="I2357" i="5"/>
  <c r="H2357" i="5"/>
  <c r="I2356" i="5"/>
  <c r="H2356" i="5"/>
  <c r="I2355" i="5"/>
  <c r="H2355" i="5"/>
  <c r="I2354" i="5"/>
  <c r="H2354" i="5"/>
  <c r="I2353" i="5"/>
  <c r="H2353" i="5"/>
  <c r="I2352" i="5"/>
  <c r="H2352" i="5"/>
  <c r="I2351" i="5"/>
  <c r="H2351" i="5"/>
  <c r="I2350" i="5"/>
  <c r="H2350" i="5"/>
  <c r="I2349" i="5"/>
  <c r="H2349" i="5"/>
  <c r="I2348" i="5"/>
  <c r="H2348" i="5"/>
  <c r="I2347" i="5"/>
  <c r="H2347" i="5"/>
  <c r="I2346" i="5"/>
  <c r="H2346" i="5"/>
  <c r="I2345" i="5"/>
  <c r="H2345" i="5"/>
  <c r="I2344" i="5"/>
  <c r="H2344" i="5"/>
  <c r="I2343" i="5"/>
  <c r="H2343" i="5"/>
  <c r="I2342" i="5"/>
  <c r="H2342" i="5"/>
  <c r="I2341" i="5"/>
  <c r="H2341" i="5"/>
  <c r="I2340" i="5"/>
  <c r="H2340" i="5"/>
  <c r="I2339" i="5"/>
  <c r="H2339" i="5"/>
  <c r="I2338" i="5"/>
  <c r="H2338" i="5"/>
  <c r="I2337" i="5"/>
  <c r="H2337" i="5"/>
  <c r="I2336" i="5"/>
  <c r="H2336" i="5"/>
  <c r="I2335" i="5"/>
  <c r="H2335" i="5"/>
  <c r="I2334" i="5"/>
  <c r="H2334" i="5"/>
  <c r="I2333" i="5"/>
  <c r="H2333" i="5"/>
  <c r="I2332" i="5"/>
  <c r="H2332" i="5"/>
  <c r="I2331" i="5"/>
  <c r="H2331" i="5"/>
  <c r="I2330" i="5"/>
  <c r="H2330" i="5"/>
  <c r="I2329" i="5"/>
  <c r="H2329" i="5"/>
  <c r="I2328" i="5"/>
  <c r="H2328" i="5"/>
  <c r="I2327" i="5"/>
  <c r="H2327" i="5"/>
  <c r="I2326" i="5"/>
  <c r="H2326" i="5"/>
  <c r="I2325" i="5"/>
  <c r="H2325" i="5"/>
  <c r="I2324" i="5"/>
  <c r="H2324" i="5"/>
  <c r="I2323" i="5"/>
  <c r="H2323" i="5"/>
  <c r="I2322" i="5"/>
  <c r="H2322" i="5"/>
  <c r="I2321" i="5"/>
  <c r="H2321" i="5"/>
  <c r="I2320" i="5"/>
  <c r="H2320" i="5"/>
  <c r="I2319" i="5"/>
  <c r="H2319" i="5"/>
  <c r="I2318" i="5"/>
  <c r="H2318" i="5"/>
  <c r="I2317" i="5"/>
  <c r="H2317" i="5"/>
  <c r="I2316" i="5"/>
  <c r="H2316" i="5"/>
  <c r="I2315" i="5"/>
  <c r="H2315" i="5"/>
  <c r="I2314" i="5"/>
  <c r="H2314" i="5"/>
  <c r="I2313" i="5"/>
  <c r="H2313" i="5"/>
  <c r="I2312" i="5"/>
  <c r="H2312" i="5"/>
  <c r="I2311" i="5"/>
  <c r="H2311" i="5"/>
  <c r="I2310" i="5"/>
  <c r="H2310" i="5"/>
  <c r="I2309" i="5"/>
  <c r="H2309" i="5"/>
  <c r="I2308" i="5"/>
  <c r="H2308" i="5"/>
  <c r="I2307" i="5"/>
  <c r="H2307" i="5"/>
  <c r="I2306" i="5"/>
  <c r="H2306" i="5"/>
  <c r="I2305" i="5"/>
  <c r="H2305" i="5"/>
  <c r="I2304" i="5"/>
  <c r="H2304" i="5"/>
  <c r="I2303" i="5"/>
  <c r="H2303" i="5"/>
  <c r="I2302" i="5"/>
  <c r="H2302" i="5"/>
  <c r="I2301" i="5"/>
  <c r="H2301" i="5"/>
  <c r="I2300" i="5"/>
  <c r="H2300" i="5"/>
  <c r="I2299" i="5"/>
  <c r="H2299" i="5"/>
  <c r="I2298" i="5"/>
  <c r="H2298" i="5"/>
  <c r="I2297" i="5"/>
  <c r="H2297" i="5"/>
  <c r="I2296" i="5"/>
  <c r="H2296" i="5"/>
  <c r="I2295" i="5"/>
  <c r="H2295" i="5"/>
  <c r="I2294" i="5"/>
  <c r="H2294" i="5"/>
  <c r="I2293" i="5"/>
  <c r="H2293" i="5"/>
  <c r="I2292" i="5"/>
  <c r="H2292" i="5"/>
  <c r="I2291" i="5"/>
  <c r="H2291" i="5"/>
  <c r="I2290" i="5"/>
  <c r="H2290" i="5"/>
  <c r="I2289" i="5"/>
  <c r="H2289" i="5"/>
  <c r="I2288" i="5"/>
  <c r="H2288" i="5"/>
  <c r="I2287" i="5"/>
  <c r="H2287" i="5"/>
  <c r="I2286" i="5"/>
  <c r="H2286" i="5"/>
  <c r="I2285" i="5"/>
  <c r="H2285" i="5"/>
  <c r="I2284" i="5"/>
  <c r="H2284" i="5"/>
  <c r="I2283" i="5"/>
  <c r="H2283" i="5"/>
  <c r="I2282" i="5"/>
  <c r="H2282" i="5"/>
  <c r="I2281" i="5"/>
  <c r="H2281" i="5"/>
  <c r="I2280" i="5"/>
  <c r="H2280" i="5"/>
  <c r="I2279" i="5"/>
  <c r="H2279" i="5"/>
  <c r="I2278" i="5"/>
  <c r="H2278" i="5"/>
  <c r="I2277" i="5"/>
  <c r="H2277" i="5"/>
  <c r="I2276" i="5"/>
  <c r="H2276" i="5"/>
  <c r="I2275" i="5"/>
  <c r="H2275" i="5"/>
  <c r="I2274" i="5"/>
  <c r="H2274" i="5"/>
  <c r="I2273" i="5"/>
  <c r="H2273" i="5"/>
  <c r="I2272" i="5"/>
  <c r="H2272" i="5"/>
  <c r="I2271" i="5"/>
  <c r="H2271" i="5"/>
  <c r="I2270" i="5"/>
  <c r="H2270" i="5"/>
  <c r="I2269" i="5"/>
  <c r="H2269" i="5"/>
  <c r="I2268" i="5"/>
  <c r="H2268" i="5"/>
  <c r="I2267" i="5"/>
  <c r="H2267" i="5"/>
  <c r="I2266" i="5"/>
  <c r="H2266" i="5"/>
  <c r="I2265" i="5"/>
  <c r="H2265" i="5"/>
  <c r="I2264" i="5"/>
  <c r="H2264" i="5"/>
  <c r="I2263" i="5"/>
  <c r="H2263" i="5"/>
  <c r="I2262" i="5"/>
  <c r="H2262" i="5"/>
  <c r="I2261" i="5"/>
  <c r="H2261" i="5"/>
  <c r="I2260" i="5"/>
  <c r="H2260" i="5"/>
  <c r="I2259" i="5"/>
  <c r="H2259" i="5"/>
  <c r="I2258" i="5"/>
  <c r="H2258" i="5"/>
  <c r="I2257" i="5"/>
  <c r="H2257" i="5"/>
  <c r="I2256" i="5"/>
  <c r="H2256" i="5"/>
  <c r="I2255" i="5"/>
  <c r="H2255" i="5"/>
  <c r="I2254" i="5"/>
  <c r="H2254" i="5"/>
  <c r="I2253" i="5"/>
  <c r="H2253" i="5"/>
  <c r="I2252" i="5"/>
  <c r="H2252" i="5"/>
  <c r="I2251" i="5"/>
  <c r="H2251" i="5"/>
  <c r="I2250" i="5"/>
  <c r="H2250" i="5"/>
  <c r="I2249" i="5"/>
  <c r="H2249" i="5"/>
  <c r="I2248" i="5"/>
  <c r="H2248" i="5"/>
  <c r="I2247" i="5"/>
  <c r="H2247" i="5"/>
  <c r="I2246" i="5"/>
  <c r="H2246" i="5"/>
  <c r="I2245" i="5"/>
  <c r="H2245" i="5"/>
  <c r="I2244" i="5"/>
  <c r="H2244" i="5"/>
  <c r="I2243" i="5"/>
  <c r="H2243" i="5"/>
  <c r="I2242" i="5"/>
  <c r="H2242" i="5"/>
  <c r="I2241" i="5"/>
  <c r="H2241" i="5"/>
  <c r="I2240" i="5"/>
  <c r="H2240" i="5"/>
  <c r="I2239" i="5"/>
  <c r="H2239" i="5"/>
  <c r="I2238" i="5"/>
  <c r="H2238" i="5"/>
  <c r="I2237" i="5"/>
  <c r="H2237" i="5"/>
  <c r="I2236" i="5"/>
  <c r="H2236" i="5"/>
  <c r="I2235" i="5"/>
  <c r="H2235" i="5"/>
  <c r="I2234" i="5"/>
  <c r="H2234" i="5"/>
  <c r="I2233" i="5"/>
  <c r="H2233" i="5"/>
  <c r="I2232" i="5"/>
  <c r="H2232" i="5"/>
  <c r="I2231" i="5"/>
  <c r="H2231" i="5"/>
  <c r="I2230" i="5"/>
  <c r="H2230" i="5"/>
  <c r="I2229" i="5"/>
  <c r="H2229" i="5"/>
  <c r="I2228" i="5"/>
  <c r="H2228" i="5"/>
  <c r="I2227" i="5"/>
  <c r="H2227" i="5"/>
  <c r="I2226" i="5"/>
  <c r="H2226" i="5"/>
  <c r="I2225" i="5"/>
  <c r="H2225" i="5"/>
  <c r="I2224" i="5"/>
  <c r="H2224" i="5"/>
  <c r="I2223" i="5"/>
  <c r="H2223" i="5"/>
  <c r="I2222" i="5"/>
  <c r="H2222" i="5"/>
  <c r="I2221" i="5"/>
  <c r="H2221" i="5"/>
  <c r="I2220" i="5"/>
  <c r="H2220" i="5"/>
  <c r="I2219" i="5"/>
  <c r="H2219" i="5"/>
  <c r="I2218" i="5"/>
  <c r="H2218" i="5"/>
  <c r="I2217" i="5"/>
  <c r="H2217" i="5"/>
  <c r="I2216" i="5"/>
  <c r="H2216" i="5"/>
  <c r="I2215" i="5"/>
  <c r="H2215" i="5"/>
  <c r="I2214" i="5"/>
  <c r="H2214" i="5"/>
  <c r="I2213" i="5"/>
  <c r="H2213" i="5"/>
  <c r="I2212" i="5"/>
  <c r="H2212" i="5"/>
  <c r="I2211" i="5"/>
  <c r="H2211" i="5"/>
  <c r="I2210" i="5"/>
  <c r="H2210" i="5"/>
  <c r="I2209" i="5"/>
  <c r="H2209" i="5"/>
  <c r="I2208" i="5"/>
  <c r="H2208" i="5"/>
  <c r="I2207" i="5"/>
  <c r="H2207" i="5"/>
  <c r="I2206" i="5"/>
  <c r="H2206" i="5"/>
  <c r="I2205" i="5"/>
  <c r="H2205" i="5"/>
  <c r="I2204" i="5"/>
  <c r="H2204" i="5"/>
  <c r="I2203" i="5"/>
  <c r="H2203" i="5"/>
  <c r="I2202" i="5"/>
  <c r="H2202" i="5"/>
  <c r="I2201" i="5"/>
  <c r="H2201" i="5"/>
  <c r="I2200" i="5"/>
  <c r="H2200" i="5"/>
  <c r="I2199" i="5"/>
  <c r="H2199" i="5"/>
  <c r="I2198" i="5"/>
  <c r="H2198" i="5"/>
  <c r="I2197" i="5"/>
  <c r="H2197" i="5"/>
  <c r="I2196" i="5"/>
  <c r="H2196" i="5"/>
  <c r="I2195" i="5"/>
  <c r="H2195" i="5"/>
  <c r="I2194" i="5"/>
  <c r="H2194" i="5"/>
  <c r="I2193" i="5"/>
  <c r="H2193" i="5"/>
  <c r="I2192" i="5"/>
  <c r="H2192" i="5"/>
  <c r="I2191" i="5"/>
  <c r="H2191" i="5"/>
  <c r="I2190" i="5"/>
  <c r="H2190" i="5"/>
  <c r="I2189" i="5"/>
  <c r="H2189" i="5"/>
  <c r="I2188" i="5"/>
  <c r="H2188" i="5"/>
  <c r="I2187" i="5"/>
  <c r="H2187" i="5"/>
  <c r="I2186" i="5"/>
  <c r="H2186" i="5"/>
  <c r="I2185" i="5"/>
  <c r="H2185" i="5"/>
  <c r="I2184" i="5"/>
  <c r="H2184" i="5"/>
  <c r="I2183" i="5"/>
  <c r="H2183" i="5"/>
  <c r="I2182" i="5"/>
  <c r="H2182" i="5"/>
  <c r="I2181" i="5"/>
  <c r="H2181" i="5"/>
  <c r="I2180" i="5"/>
  <c r="H2180" i="5"/>
  <c r="I2179" i="5"/>
  <c r="H2179" i="5"/>
  <c r="I2178" i="5"/>
  <c r="H2178" i="5"/>
  <c r="I2177" i="5"/>
  <c r="H2177" i="5"/>
  <c r="I2176" i="5"/>
  <c r="H2176" i="5"/>
  <c r="I2175" i="5"/>
  <c r="H2175" i="5"/>
  <c r="I2174" i="5"/>
  <c r="H2174" i="5"/>
  <c r="I2173" i="5"/>
  <c r="H2173" i="5"/>
  <c r="I2172" i="5"/>
  <c r="H2172" i="5"/>
  <c r="I2171" i="5"/>
  <c r="H2171" i="5"/>
  <c r="I2170" i="5"/>
  <c r="H2170" i="5"/>
  <c r="I2169" i="5"/>
  <c r="H2169" i="5"/>
  <c r="I2168" i="5"/>
  <c r="H2168" i="5"/>
  <c r="I2167" i="5"/>
  <c r="H2167" i="5"/>
  <c r="I2166" i="5"/>
  <c r="H2166" i="5"/>
  <c r="I2165" i="5"/>
  <c r="H2165" i="5"/>
  <c r="I2164" i="5"/>
  <c r="H2164" i="5"/>
  <c r="I2163" i="5"/>
  <c r="H2163" i="5"/>
  <c r="I2162" i="5"/>
  <c r="H2162" i="5"/>
  <c r="I2161" i="5"/>
  <c r="H2161" i="5"/>
  <c r="I2160" i="5"/>
  <c r="H2160" i="5"/>
  <c r="I2159" i="5"/>
  <c r="H2159" i="5"/>
  <c r="I2158" i="5"/>
  <c r="H2158" i="5"/>
  <c r="I2157" i="5"/>
  <c r="H2157" i="5"/>
  <c r="I2156" i="5"/>
  <c r="H2156" i="5"/>
  <c r="I2155" i="5"/>
  <c r="H2155" i="5"/>
  <c r="I2154" i="5"/>
  <c r="H2154" i="5"/>
  <c r="I2153" i="5"/>
  <c r="H2153" i="5"/>
  <c r="I2152" i="5"/>
  <c r="H2152" i="5"/>
  <c r="I2151" i="5"/>
  <c r="H2151" i="5"/>
  <c r="I2150" i="5"/>
  <c r="H2150" i="5"/>
  <c r="I2149" i="5"/>
  <c r="H2149" i="5"/>
  <c r="I2148" i="5"/>
  <c r="H2148" i="5"/>
  <c r="I2147" i="5"/>
  <c r="H2147" i="5"/>
  <c r="I2146" i="5"/>
  <c r="H2146" i="5"/>
  <c r="I2145" i="5"/>
  <c r="H2145" i="5"/>
  <c r="I2144" i="5"/>
  <c r="H2144" i="5"/>
  <c r="I2143" i="5"/>
  <c r="H2143" i="5"/>
  <c r="I2142" i="5"/>
  <c r="H2142" i="5"/>
  <c r="I2141" i="5"/>
  <c r="H2141" i="5"/>
  <c r="I2140" i="5"/>
  <c r="H2140" i="5"/>
  <c r="I2139" i="5"/>
  <c r="H2139" i="5"/>
  <c r="I2138" i="5"/>
  <c r="H2138" i="5"/>
  <c r="I2137" i="5"/>
  <c r="H2137" i="5"/>
  <c r="I2136" i="5"/>
  <c r="H2136" i="5"/>
  <c r="I2135" i="5"/>
  <c r="H2135" i="5"/>
  <c r="I2134" i="5"/>
  <c r="H2134" i="5"/>
  <c r="I2133" i="5"/>
  <c r="H2133" i="5"/>
  <c r="I2132" i="5"/>
  <c r="H2132" i="5"/>
  <c r="I2131" i="5"/>
  <c r="H2131" i="5"/>
  <c r="I2130" i="5"/>
  <c r="H2130" i="5"/>
  <c r="I2129" i="5"/>
  <c r="H2129" i="5"/>
  <c r="I2128" i="5"/>
  <c r="H2128" i="5"/>
  <c r="I2127" i="5"/>
  <c r="H2127" i="5"/>
  <c r="I2126" i="5"/>
  <c r="H2126" i="5"/>
  <c r="I2125" i="5"/>
  <c r="H2125" i="5"/>
  <c r="I2124" i="5"/>
  <c r="H2124" i="5"/>
  <c r="I2123" i="5"/>
  <c r="H2123" i="5"/>
  <c r="I2122" i="5"/>
  <c r="H2122" i="5"/>
  <c r="I2121" i="5"/>
  <c r="H2121" i="5"/>
  <c r="I2120" i="5"/>
  <c r="H2120" i="5"/>
  <c r="I2119" i="5"/>
  <c r="H2119" i="5"/>
  <c r="I2118" i="5"/>
  <c r="H2118" i="5"/>
  <c r="I2117" i="5"/>
  <c r="H2117" i="5"/>
  <c r="I2116" i="5"/>
  <c r="H2116" i="5"/>
  <c r="I2115" i="5"/>
  <c r="H2115" i="5"/>
  <c r="I2114" i="5"/>
  <c r="H2114" i="5"/>
  <c r="I2113" i="5"/>
  <c r="H2113" i="5"/>
  <c r="I2112" i="5"/>
  <c r="H2112" i="5"/>
  <c r="I2111" i="5"/>
  <c r="H2111" i="5"/>
  <c r="I2110" i="5"/>
  <c r="H2110" i="5"/>
  <c r="I2109" i="5"/>
  <c r="H2109" i="5"/>
  <c r="I2108" i="5"/>
  <c r="H2108" i="5"/>
  <c r="I2107" i="5"/>
  <c r="H2107" i="5"/>
  <c r="I2106" i="5"/>
  <c r="H2106" i="5"/>
  <c r="I2105" i="5"/>
  <c r="H2105" i="5"/>
  <c r="I2104" i="5"/>
  <c r="H2104" i="5"/>
  <c r="I2103" i="5"/>
  <c r="H2103" i="5"/>
  <c r="I2102" i="5"/>
  <c r="H2102" i="5"/>
  <c r="I2101" i="5"/>
  <c r="H2101" i="5"/>
  <c r="I2100" i="5"/>
  <c r="H2100" i="5"/>
  <c r="I2099" i="5"/>
  <c r="H2099" i="5"/>
  <c r="I2098" i="5"/>
  <c r="H2098" i="5"/>
  <c r="I2097" i="5"/>
  <c r="H2097" i="5"/>
  <c r="I2096" i="5"/>
  <c r="H2096" i="5"/>
  <c r="I2095" i="5"/>
  <c r="H2095" i="5"/>
  <c r="I2094" i="5"/>
  <c r="H2094" i="5"/>
  <c r="I2093" i="5"/>
  <c r="H2093" i="5"/>
  <c r="I2092" i="5"/>
  <c r="H2092" i="5"/>
  <c r="I2091" i="5"/>
  <c r="H2091" i="5"/>
  <c r="I2090" i="5"/>
  <c r="H2090" i="5"/>
  <c r="I2089" i="5"/>
  <c r="H2089" i="5"/>
  <c r="I2088" i="5"/>
  <c r="H2088" i="5"/>
  <c r="I2087" i="5"/>
  <c r="H2087" i="5"/>
  <c r="I2086" i="5"/>
  <c r="H2086" i="5"/>
  <c r="I2085" i="5"/>
  <c r="H2085" i="5"/>
  <c r="I2084" i="5"/>
  <c r="H2084" i="5"/>
  <c r="I2083" i="5"/>
  <c r="H2083" i="5"/>
  <c r="I2082" i="5"/>
  <c r="H2082" i="5"/>
  <c r="I2081" i="5"/>
  <c r="H2081" i="5"/>
  <c r="I2080" i="5"/>
  <c r="H2080" i="5"/>
  <c r="I2079" i="5"/>
  <c r="H2079" i="5"/>
  <c r="I2078" i="5"/>
  <c r="H2078" i="5"/>
  <c r="I2077" i="5"/>
  <c r="H2077" i="5"/>
  <c r="I2076" i="5"/>
  <c r="H2076" i="5"/>
  <c r="I2075" i="5"/>
  <c r="H2075" i="5"/>
  <c r="I2074" i="5"/>
  <c r="H2074" i="5"/>
  <c r="I2073" i="5"/>
  <c r="H2073" i="5"/>
  <c r="I2072" i="5"/>
  <c r="H2072" i="5"/>
  <c r="I2071" i="5"/>
  <c r="H2071" i="5"/>
  <c r="I2070" i="5"/>
  <c r="H2070" i="5"/>
  <c r="I2069" i="5"/>
  <c r="H2069" i="5"/>
  <c r="I2068" i="5"/>
  <c r="H2068" i="5"/>
  <c r="I2067" i="5"/>
  <c r="H2067" i="5"/>
  <c r="I2066" i="5"/>
  <c r="H2066" i="5"/>
  <c r="I2065" i="5"/>
  <c r="H2065" i="5"/>
  <c r="I2064" i="5"/>
  <c r="H2064" i="5"/>
  <c r="I2063" i="5"/>
  <c r="H2063" i="5"/>
  <c r="I2062" i="5"/>
  <c r="H2062" i="5"/>
  <c r="I2061" i="5"/>
  <c r="H2061" i="5"/>
  <c r="I2060" i="5"/>
  <c r="H2060" i="5"/>
  <c r="I2059" i="5"/>
  <c r="H2059" i="5"/>
  <c r="I2058" i="5"/>
  <c r="H2058" i="5"/>
  <c r="I2057" i="5"/>
  <c r="H2057" i="5"/>
  <c r="I2056" i="5"/>
  <c r="H2056" i="5"/>
  <c r="I2055" i="5"/>
  <c r="H2055" i="5"/>
  <c r="I2054" i="5"/>
  <c r="H2054" i="5"/>
  <c r="I2053" i="5"/>
  <c r="H2053" i="5"/>
  <c r="I2052" i="5"/>
  <c r="H2052" i="5"/>
  <c r="I2051" i="5"/>
  <c r="H2051" i="5"/>
  <c r="I2050" i="5"/>
  <c r="H2050" i="5"/>
  <c r="I2049" i="5"/>
  <c r="H2049" i="5"/>
  <c r="I2048" i="5"/>
  <c r="H2048" i="5"/>
  <c r="I2047" i="5"/>
  <c r="H2047" i="5"/>
  <c r="I2046" i="5"/>
  <c r="H2046" i="5"/>
  <c r="I2045" i="5"/>
  <c r="H2045" i="5"/>
  <c r="I2044" i="5"/>
  <c r="H2044" i="5"/>
  <c r="I2043" i="5"/>
  <c r="H2043" i="5"/>
  <c r="I2042" i="5"/>
  <c r="H2042" i="5"/>
  <c r="I2041" i="5"/>
  <c r="H2041" i="5"/>
  <c r="I2040" i="5"/>
  <c r="H2040" i="5"/>
  <c r="I2039" i="5"/>
  <c r="H2039" i="5"/>
  <c r="I2038" i="5"/>
  <c r="H2038" i="5"/>
  <c r="I2037" i="5"/>
  <c r="H2037" i="5"/>
  <c r="I2036" i="5"/>
  <c r="H2036" i="5"/>
  <c r="I2035" i="5"/>
  <c r="H2035" i="5"/>
  <c r="I2034" i="5"/>
  <c r="H2034" i="5"/>
  <c r="I2033" i="5"/>
  <c r="H2033" i="5"/>
  <c r="I2032" i="5"/>
  <c r="H2032" i="5"/>
  <c r="I2031" i="5"/>
  <c r="H2031" i="5"/>
  <c r="I2030" i="5"/>
  <c r="H2030" i="5"/>
  <c r="I2029" i="5"/>
  <c r="H2029" i="5"/>
  <c r="I2028" i="5"/>
  <c r="H2028" i="5"/>
  <c r="I2027" i="5"/>
  <c r="H2027" i="5"/>
  <c r="I2026" i="5"/>
  <c r="H2026" i="5"/>
  <c r="I2025" i="5"/>
  <c r="H2025" i="5"/>
  <c r="I2024" i="5"/>
  <c r="H2024" i="5"/>
  <c r="I2023" i="5"/>
  <c r="H2023" i="5"/>
  <c r="I2022" i="5"/>
  <c r="H2022" i="5"/>
  <c r="I2021" i="5"/>
  <c r="H2021" i="5"/>
  <c r="I2020" i="5"/>
  <c r="H2020" i="5"/>
  <c r="I2019" i="5"/>
  <c r="H2019" i="5"/>
  <c r="I2018" i="5"/>
  <c r="H2018" i="5"/>
  <c r="I2017" i="5"/>
  <c r="H2017" i="5"/>
  <c r="I2016" i="5"/>
  <c r="H2016" i="5"/>
  <c r="I2015" i="5"/>
  <c r="H2015" i="5"/>
  <c r="I2014" i="5"/>
  <c r="H2014" i="5"/>
  <c r="I2013" i="5"/>
  <c r="H2013" i="5"/>
  <c r="I2012" i="5"/>
  <c r="H2012" i="5"/>
  <c r="I2011" i="5"/>
  <c r="H2011" i="5"/>
  <c r="I2010" i="5"/>
  <c r="H2010" i="5"/>
  <c r="I2009" i="5"/>
  <c r="H2009" i="5"/>
  <c r="I2008" i="5"/>
  <c r="H2008" i="5"/>
  <c r="I2007" i="5"/>
  <c r="H2007" i="5"/>
  <c r="I2006" i="5"/>
  <c r="H2006" i="5"/>
  <c r="I2005" i="5"/>
  <c r="H2005" i="5"/>
  <c r="I2004" i="5"/>
  <c r="H2004" i="5"/>
  <c r="I2003" i="5"/>
  <c r="H2003" i="5"/>
  <c r="I2002" i="5"/>
  <c r="H2002" i="5"/>
  <c r="I2001" i="5"/>
  <c r="H2001" i="5"/>
  <c r="I2000" i="5"/>
  <c r="H2000" i="5"/>
  <c r="I1999" i="5"/>
  <c r="H1999" i="5"/>
  <c r="I1998" i="5"/>
  <c r="H1998" i="5"/>
  <c r="I1997" i="5"/>
  <c r="H1997" i="5"/>
  <c r="I1996" i="5"/>
  <c r="H1996" i="5"/>
  <c r="I1995" i="5"/>
  <c r="H1995" i="5"/>
  <c r="I1994" i="5"/>
  <c r="H1994" i="5"/>
  <c r="I1993" i="5"/>
  <c r="H1993" i="5"/>
  <c r="I1992" i="5"/>
  <c r="H1992" i="5"/>
  <c r="I1991" i="5"/>
  <c r="H1991" i="5"/>
  <c r="I1990" i="5"/>
  <c r="H1990" i="5"/>
  <c r="I1989" i="5"/>
  <c r="H1989" i="5"/>
  <c r="I1988" i="5"/>
  <c r="H1988" i="5"/>
  <c r="I1987" i="5"/>
  <c r="H1987" i="5"/>
  <c r="I1986" i="5"/>
  <c r="H1986" i="5"/>
  <c r="I1985" i="5"/>
  <c r="H1985" i="5"/>
  <c r="I1984" i="5"/>
  <c r="H1984" i="5"/>
  <c r="I1983" i="5"/>
  <c r="H1983" i="5"/>
  <c r="I1982" i="5"/>
  <c r="H1982" i="5"/>
  <c r="I1981" i="5"/>
  <c r="H1981" i="5"/>
  <c r="I1980" i="5"/>
  <c r="H1980" i="5"/>
  <c r="I1979" i="5"/>
  <c r="H1979" i="5"/>
  <c r="I1978" i="5"/>
  <c r="H1978" i="5"/>
  <c r="I1977" i="5"/>
  <c r="H1977" i="5"/>
  <c r="I1976" i="5"/>
  <c r="H1976" i="5"/>
  <c r="I1975" i="5"/>
  <c r="H1975" i="5"/>
  <c r="I1974" i="5"/>
  <c r="H1974" i="5"/>
  <c r="I1973" i="5"/>
  <c r="H1973" i="5"/>
  <c r="I1972" i="5"/>
  <c r="H1972" i="5"/>
  <c r="I1971" i="5"/>
  <c r="H1971" i="5"/>
  <c r="I1970" i="5"/>
  <c r="H1970" i="5"/>
  <c r="I1969" i="5"/>
  <c r="H1969" i="5"/>
  <c r="I1968" i="5"/>
  <c r="H1968" i="5"/>
  <c r="I1967" i="5"/>
  <c r="H1967" i="5"/>
  <c r="I1966" i="5"/>
  <c r="H1966" i="5"/>
  <c r="I1965" i="5"/>
  <c r="H1965" i="5"/>
  <c r="I1964" i="5"/>
  <c r="H1964" i="5"/>
  <c r="I1963" i="5"/>
  <c r="H1963" i="5"/>
  <c r="I1962" i="5"/>
  <c r="H1962" i="5"/>
  <c r="I1961" i="5"/>
  <c r="H1961" i="5"/>
  <c r="I1960" i="5"/>
  <c r="H1960" i="5"/>
  <c r="I1959" i="5"/>
  <c r="H1959" i="5"/>
  <c r="I1958" i="5"/>
  <c r="H1958" i="5"/>
  <c r="I1957" i="5"/>
  <c r="H1957" i="5"/>
  <c r="I1956" i="5"/>
  <c r="H1956" i="5"/>
  <c r="I1955" i="5"/>
  <c r="H1955" i="5"/>
  <c r="I1954" i="5"/>
  <c r="H1954" i="5"/>
  <c r="I1953" i="5"/>
  <c r="H1953" i="5"/>
  <c r="I1952" i="5"/>
  <c r="H1952" i="5"/>
  <c r="I1951" i="5"/>
  <c r="H1951" i="5"/>
  <c r="I1950" i="5"/>
  <c r="H1950" i="5"/>
  <c r="I1949" i="5"/>
  <c r="H1949" i="5"/>
  <c r="I1948" i="5"/>
  <c r="H1948" i="5"/>
  <c r="I1947" i="5"/>
  <c r="H1947" i="5"/>
  <c r="I1946" i="5"/>
  <c r="H1946" i="5"/>
  <c r="I1945" i="5"/>
  <c r="H1945" i="5"/>
  <c r="I1944" i="5"/>
  <c r="H1944" i="5"/>
  <c r="I1943" i="5"/>
  <c r="H1943" i="5"/>
  <c r="I1942" i="5"/>
  <c r="H1942" i="5"/>
  <c r="I1941" i="5"/>
  <c r="H1941" i="5"/>
  <c r="I1940" i="5"/>
  <c r="H1940" i="5"/>
  <c r="I1939" i="5"/>
  <c r="H1939" i="5"/>
  <c r="I1938" i="5"/>
  <c r="H1938" i="5"/>
  <c r="I1937" i="5"/>
  <c r="H1937" i="5"/>
  <c r="I1936" i="5"/>
  <c r="H1936" i="5"/>
  <c r="I1935" i="5"/>
  <c r="H1935" i="5"/>
  <c r="I1934" i="5"/>
  <c r="H1934" i="5"/>
  <c r="I1933" i="5"/>
  <c r="H1933" i="5"/>
  <c r="I1932" i="5"/>
  <c r="H1932" i="5"/>
  <c r="I1931" i="5"/>
  <c r="H1931" i="5"/>
  <c r="I1930" i="5"/>
  <c r="H1930" i="5"/>
  <c r="I1929" i="5"/>
  <c r="H1929" i="5"/>
  <c r="I1928" i="5"/>
  <c r="H1928" i="5"/>
  <c r="I1927" i="5"/>
  <c r="H1927" i="5"/>
  <c r="I1926" i="5"/>
  <c r="H1926" i="5"/>
  <c r="I1925" i="5"/>
  <c r="H1925" i="5"/>
  <c r="I1924" i="5"/>
  <c r="H1924" i="5"/>
  <c r="I1923" i="5"/>
  <c r="H1923" i="5"/>
  <c r="I1922" i="5"/>
  <c r="H1922" i="5"/>
  <c r="I1921" i="5"/>
  <c r="H1921" i="5"/>
  <c r="I1920" i="5"/>
  <c r="H1920" i="5"/>
  <c r="I1919" i="5"/>
  <c r="H1919" i="5"/>
  <c r="I1918" i="5"/>
  <c r="H1918" i="5"/>
  <c r="I1917" i="5"/>
  <c r="H1917" i="5"/>
  <c r="I1916" i="5"/>
  <c r="H1916" i="5"/>
  <c r="I1915" i="5"/>
  <c r="H1915" i="5"/>
  <c r="I1914" i="5"/>
  <c r="H1914" i="5"/>
  <c r="I1913" i="5"/>
  <c r="H1913" i="5"/>
  <c r="I1912" i="5"/>
  <c r="H1912" i="5"/>
  <c r="I1911" i="5"/>
  <c r="H1911" i="5"/>
  <c r="I1910" i="5"/>
  <c r="H1910" i="5"/>
  <c r="I1909" i="5"/>
  <c r="H1909" i="5"/>
  <c r="I1908" i="5"/>
  <c r="H1908" i="5"/>
  <c r="I1907" i="5"/>
  <c r="H1907" i="5"/>
  <c r="I1906" i="5"/>
  <c r="H1906" i="5"/>
  <c r="I1905" i="5"/>
  <c r="H1905" i="5"/>
  <c r="I1904" i="5"/>
  <c r="H1904" i="5"/>
  <c r="I1903" i="5"/>
  <c r="H1903" i="5"/>
  <c r="I1902" i="5"/>
  <c r="H1902" i="5"/>
  <c r="I1901" i="5"/>
  <c r="H1901" i="5"/>
  <c r="I1900" i="5"/>
  <c r="H1900" i="5"/>
  <c r="I1899" i="5"/>
  <c r="H1899" i="5"/>
  <c r="I1898" i="5"/>
  <c r="H1898" i="5"/>
  <c r="I1897" i="5"/>
  <c r="H1897" i="5"/>
  <c r="I1896" i="5"/>
  <c r="H1896" i="5"/>
  <c r="I1895" i="5"/>
  <c r="H1895" i="5"/>
  <c r="I1894" i="5"/>
  <c r="H1894" i="5"/>
  <c r="I1893" i="5"/>
  <c r="H1893" i="5"/>
  <c r="I1892" i="5"/>
  <c r="H1892" i="5"/>
  <c r="I1891" i="5"/>
  <c r="H1891" i="5"/>
  <c r="I1890" i="5"/>
  <c r="H1890" i="5"/>
  <c r="I1889" i="5"/>
  <c r="H1889" i="5"/>
  <c r="I1888" i="5"/>
  <c r="H1888" i="5"/>
  <c r="I1887" i="5"/>
  <c r="H1887" i="5"/>
  <c r="I1886" i="5"/>
  <c r="H1886" i="5"/>
  <c r="I1885" i="5"/>
  <c r="H1885" i="5"/>
  <c r="I1884" i="5"/>
  <c r="H1884" i="5"/>
  <c r="I1883" i="5"/>
  <c r="H1883" i="5"/>
  <c r="I1882" i="5"/>
  <c r="H1882" i="5"/>
  <c r="I1881" i="5"/>
  <c r="H1881" i="5"/>
  <c r="I1880" i="5"/>
  <c r="H1880" i="5"/>
  <c r="I1879" i="5"/>
  <c r="H1879" i="5"/>
  <c r="I1878" i="5"/>
  <c r="H1878" i="5"/>
  <c r="I1877" i="5"/>
  <c r="H1877" i="5"/>
  <c r="I1876" i="5"/>
  <c r="H1876" i="5"/>
  <c r="I1875" i="5"/>
  <c r="H1875" i="5"/>
  <c r="I1874" i="5"/>
  <c r="H1874" i="5"/>
  <c r="I1873" i="5"/>
  <c r="H1873" i="5"/>
  <c r="I1872" i="5"/>
  <c r="H1872" i="5"/>
  <c r="I1871" i="5"/>
  <c r="H1871" i="5"/>
  <c r="I1870" i="5"/>
  <c r="H1870" i="5"/>
  <c r="I1869" i="5"/>
  <c r="H1869" i="5"/>
  <c r="I1868" i="5"/>
  <c r="H1868" i="5"/>
  <c r="I1867" i="5"/>
  <c r="H1867" i="5"/>
  <c r="I1866" i="5"/>
  <c r="H1866" i="5"/>
  <c r="I1865" i="5"/>
  <c r="H1865" i="5"/>
  <c r="I1864" i="5"/>
  <c r="H1864" i="5"/>
  <c r="I1863" i="5"/>
  <c r="H1863" i="5"/>
  <c r="I1862" i="5"/>
  <c r="H1862" i="5"/>
  <c r="I1861" i="5"/>
  <c r="H1861" i="5"/>
  <c r="I1860" i="5"/>
  <c r="H1860" i="5"/>
  <c r="I1859" i="5"/>
  <c r="H1859" i="5"/>
  <c r="I1858" i="5"/>
  <c r="H1858" i="5"/>
  <c r="I1857" i="5"/>
  <c r="H1857" i="5"/>
  <c r="I1856" i="5"/>
  <c r="H1856" i="5"/>
  <c r="I1855" i="5"/>
  <c r="H1855" i="5"/>
  <c r="I1854" i="5"/>
  <c r="H1854" i="5"/>
  <c r="I1853" i="5"/>
  <c r="H1853" i="5"/>
  <c r="I1852" i="5"/>
  <c r="H1852" i="5"/>
  <c r="I1851" i="5"/>
  <c r="H1851" i="5"/>
  <c r="I1850" i="5"/>
  <c r="H1850" i="5"/>
  <c r="I1849" i="5"/>
  <c r="H1849" i="5"/>
  <c r="I1848" i="5"/>
  <c r="H1848" i="5"/>
  <c r="I1847" i="5"/>
  <c r="H1847" i="5"/>
  <c r="I1846" i="5"/>
  <c r="H1846" i="5"/>
  <c r="I1845" i="5"/>
  <c r="H1845" i="5"/>
  <c r="I1844" i="5"/>
  <c r="H1844" i="5"/>
  <c r="I1843" i="5"/>
  <c r="H1843" i="5"/>
  <c r="I1842" i="5"/>
  <c r="H1842" i="5"/>
  <c r="I1841" i="5"/>
  <c r="H1841" i="5"/>
  <c r="I1840" i="5"/>
  <c r="H1840" i="5"/>
  <c r="I1839" i="5"/>
  <c r="H1839" i="5"/>
  <c r="I1838" i="5"/>
  <c r="H1838" i="5"/>
  <c r="I1837" i="5"/>
  <c r="H1837" i="5"/>
  <c r="I1836" i="5"/>
  <c r="H1836" i="5"/>
  <c r="I1835" i="5"/>
  <c r="H1835" i="5"/>
  <c r="I1834" i="5"/>
  <c r="H1834" i="5"/>
  <c r="I1833" i="5"/>
  <c r="H1833" i="5"/>
  <c r="I1832" i="5"/>
  <c r="H1832" i="5"/>
  <c r="I1831" i="5"/>
  <c r="H1831" i="5"/>
  <c r="I1830" i="5"/>
  <c r="H1830" i="5"/>
  <c r="I1829" i="5"/>
  <c r="H1829" i="5"/>
  <c r="I1828" i="5"/>
  <c r="H1828" i="5"/>
  <c r="I1827" i="5"/>
  <c r="H1827" i="5"/>
  <c r="I1826" i="5"/>
  <c r="H1826" i="5"/>
  <c r="I1825" i="5"/>
  <c r="H1825" i="5"/>
  <c r="I1824" i="5"/>
  <c r="H1824" i="5"/>
  <c r="I1823" i="5"/>
  <c r="H1823" i="5"/>
  <c r="I1822" i="5"/>
  <c r="H1822" i="5"/>
  <c r="I1821" i="5"/>
  <c r="H1821" i="5"/>
  <c r="I1820" i="5"/>
  <c r="H1820" i="5"/>
  <c r="I1819" i="5"/>
  <c r="H1819" i="5"/>
  <c r="I1818" i="5"/>
  <c r="H1818" i="5"/>
  <c r="I1817" i="5"/>
  <c r="H1817" i="5"/>
  <c r="I1816" i="5"/>
  <c r="H1816" i="5"/>
  <c r="I1815" i="5"/>
  <c r="H1815" i="5"/>
  <c r="I1814" i="5"/>
  <c r="H1814" i="5"/>
  <c r="I1813" i="5"/>
  <c r="H1813" i="5"/>
  <c r="I1812" i="5"/>
  <c r="H1812" i="5"/>
  <c r="I1811" i="5"/>
  <c r="H1811" i="5"/>
  <c r="I1810" i="5"/>
  <c r="H1810" i="5"/>
  <c r="I1809" i="5"/>
  <c r="H1809" i="5"/>
  <c r="I1808" i="5"/>
  <c r="H1808" i="5"/>
  <c r="I1807" i="5"/>
  <c r="H1807" i="5"/>
  <c r="I1806" i="5"/>
  <c r="H1806" i="5"/>
  <c r="I1805" i="5"/>
  <c r="H1805" i="5"/>
  <c r="I1804" i="5"/>
  <c r="H1804" i="5"/>
  <c r="I1803" i="5"/>
  <c r="H1803" i="5"/>
  <c r="I1802" i="5"/>
  <c r="H1802" i="5"/>
  <c r="I1801" i="5"/>
  <c r="H1801" i="5"/>
  <c r="I1800" i="5"/>
  <c r="H1800" i="5"/>
  <c r="I1799" i="5"/>
  <c r="H1799" i="5"/>
  <c r="I1798" i="5"/>
  <c r="H1798" i="5"/>
  <c r="I1797" i="5"/>
  <c r="H1797" i="5"/>
  <c r="I1796" i="5"/>
  <c r="H1796" i="5"/>
  <c r="I1795" i="5"/>
  <c r="H1795" i="5"/>
  <c r="I1794" i="5"/>
  <c r="H1794" i="5"/>
  <c r="I1793" i="5"/>
  <c r="H1793" i="5"/>
  <c r="I1792" i="5"/>
  <c r="H1792" i="5"/>
  <c r="I1791" i="5"/>
  <c r="H1791" i="5"/>
  <c r="I1790" i="5"/>
  <c r="H1790" i="5"/>
  <c r="I1789" i="5"/>
  <c r="H1789" i="5"/>
  <c r="I1788" i="5"/>
  <c r="H1788" i="5"/>
  <c r="I1787" i="5"/>
  <c r="H1787" i="5"/>
  <c r="I1786" i="5"/>
  <c r="H1786" i="5"/>
  <c r="I1785" i="5"/>
  <c r="H1785" i="5"/>
  <c r="I1784" i="5"/>
  <c r="H1784" i="5"/>
  <c r="I1783" i="5"/>
  <c r="H1783" i="5"/>
  <c r="I1782" i="5"/>
  <c r="H1782" i="5"/>
  <c r="I1781" i="5"/>
  <c r="H1781" i="5"/>
  <c r="I1780" i="5"/>
  <c r="H1780" i="5"/>
  <c r="I1779" i="5"/>
  <c r="H1779" i="5"/>
  <c r="I1778" i="5"/>
  <c r="H1778" i="5"/>
  <c r="I1777" i="5"/>
  <c r="H1777" i="5"/>
  <c r="I1776" i="5"/>
  <c r="H1776" i="5"/>
  <c r="I1775" i="5"/>
  <c r="H1775" i="5"/>
  <c r="I1774" i="5"/>
  <c r="H1774" i="5"/>
  <c r="I1773" i="5"/>
  <c r="H1773" i="5"/>
  <c r="I1772" i="5"/>
  <c r="H1772" i="5"/>
  <c r="I1771" i="5"/>
  <c r="H1771" i="5"/>
  <c r="I1770" i="5"/>
  <c r="H1770" i="5"/>
  <c r="I1769" i="5"/>
  <c r="H1769" i="5"/>
  <c r="I1768" i="5"/>
  <c r="H1768" i="5"/>
  <c r="I1767" i="5"/>
  <c r="H1767" i="5"/>
  <c r="I1766" i="5"/>
  <c r="H1766" i="5"/>
  <c r="I1765" i="5"/>
  <c r="H1765" i="5"/>
  <c r="I1764" i="5"/>
  <c r="H1764" i="5"/>
  <c r="I1763" i="5"/>
  <c r="H1763" i="5"/>
  <c r="I1762" i="5"/>
  <c r="H1762" i="5"/>
  <c r="I1761" i="5"/>
  <c r="H1761" i="5"/>
  <c r="I1760" i="5"/>
  <c r="H1760" i="5"/>
  <c r="I1759" i="5"/>
  <c r="H1759" i="5"/>
  <c r="I1758" i="5"/>
  <c r="H1758" i="5"/>
  <c r="I1757" i="5"/>
  <c r="H1757" i="5"/>
  <c r="I1756" i="5"/>
  <c r="H1756" i="5"/>
  <c r="I1755" i="5"/>
  <c r="H1755" i="5"/>
  <c r="I1754" i="5"/>
  <c r="H1754" i="5"/>
  <c r="I1753" i="5"/>
  <c r="H1753" i="5"/>
  <c r="I1752" i="5"/>
  <c r="H1752" i="5"/>
  <c r="I1751" i="5"/>
  <c r="H1751" i="5"/>
  <c r="I1750" i="5"/>
  <c r="H1750" i="5"/>
  <c r="I1749" i="5"/>
  <c r="H1749" i="5"/>
  <c r="I1748" i="5"/>
  <c r="H1748" i="5"/>
  <c r="I1747" i="5"/>
  <c r="H1747" i="5"/>
  <c r="I1746" i="5"/>
  <c r="H1746" i="5"/>
  <c r="I1745" i="5"/>
  <c r="H1745" i="5"/>
  <c r="I1744" i="5"/>
  <c r="H1744" i="5"/>
  <c r="I1743" i="5"/>
  <c r="H1743" i="5"/>
  <c r="I1742" i="5"/>
  <c r="H1742" i="5"/>
  <c r="I1741" i="5"/>
  <c r="H1741" i="5"/>
  <c r="I1740" i="5"/>
  <c r="H1740" i="5"/>
  <c r="I1739" i="5"/>
  <c r="H1739" i="5"/>
  <c r="I1738" i="5"/>
  <c r="H1738" i="5"/>
  <c r="I1737" i="5"/>
  <c r="H1737" i="5"/>
  <c r="I1736" i="5"/>
  <c r="H1736" i="5"/>
  <c r="I1735" i="5"/>
  <c r="H1735" i="5"/>
  <c r="I1734" i="5"/>
  <c r="H1734" i="5"/>
  <c r="I1733" i="5"/>
  <c r="H1733" i="5"/>
  <c r="I1732" i="5"/>
  <c r="H1732" i="5"/>
  <c r="I1731" i="5"/>
  <c r="H1731" i="5"/>
  <c r="I1730" i="5"/>
  <c r="H1730" i="5"/>
  <c r="I1729" i="5"/>
  <c r="H1729" i="5"/>
  <c r="I1728" i="5"/>
  <c r="H1728" i="5"/>
  <c r="I1727" i="5"/>
  <c r="H1727" i="5"/>
  <c r="I1726" i="5"/>
  <c r="H1726" i="5"/>
  <c r="I1725" i="5"/>
  <c r="H1725" i="5"/>
  <c r="I1724" i="5"/>
  <c r="H1724" i="5"/>
  <c r="I1723" i="5"/>
  <c r="H1723" i="5"/>
  <c r="I1722" i="5"/>
  <c r="H1722" i="5"/>
  <c r="I1721" i="5"/>
  <c r="H1721" i="5"/>
  <c r="I1720" i="5"/>
  <c r="H1720" i="5"/>
  <c r="I1719" i="5"/>
  <c r="H1719" i="5"/>
  <c r="I1718" i="5"/>
  <c r="H1718" i="5"/>
  <c r="I1717" i="5"/>
  <c r="H1717" i="5"/>
  <c r="I1716" i="5"/>
  <c r="H1716" i="5"/>
  <c r="I1715" i="5"/>
  <c r="H1715" i="5"/>
  <c r="I1714" i="5"/>
  <c r="H1714" i="5"/>
  <c r="I1713" i="5"/>
  <c r="H1713" i="5"/>
  <c r="I1712" i="5"/>
  <c r="H1712" i="5"/>
  <c r="I1711" i="5"/>
  <c r="H1711" i="5"/>
  <c r="I1710" i="5"/>
  <c r="H1710" i="5"/>
  <c r="I1709" i="5"/>
  <c r="H1709" i="5"/>
  <c r="I1708" i="5"/>
  <c r="H1708" i="5"/>
  <c r="I1707" i="5"/>
  <c r="H1707" i="5"/>
  <c r="I1706" i="5"/>
  <c r="H1706" i="5"/>
  <c r="I1705" i="5"/>
  <c r="H1705" i="5"/>
  <c r="I1704" i="5"/>
  <c r="H1704" i="5"/>
  <c r="I1703" i="5"/>
  <c r="H1703" i="5"/>
  <c r="I1702" i="5"/>
  <c r="H1702" i="5"/>
  <c r="I1701" i="5"/>
  <c r="H1701" i="5"/>
  <c r="I1700" i="5"/>
  <c r="H1700" i="5"/>
  <c r="I1699" i="5"/>
  <c r="H1699" i="5"/>
  <c r="I1698" i="5"/>
  <c r="H1698" i="5"/>
  <c r="I1697" i="5"/>
  <c r="H1697" i="5"/>
  <c r="I1696" i="5"/>
  <c r="H1696" i="5"/>
  <c r="I1695" i="5"/>
  <c r="H1695" i="5"/>
  <c r="I1694" i="5"/>
  <c r="H1694" i="5"/>
  <c r="I1693" i="5"/>
  <c r="H1693" i="5"/>
  <c r="I1692" i="5"/>
  <c r="H1692" i="5"/>
  <c r="I1691" i="5"/>
  <c r="H1691" i="5"/>
  <c r="I1690" i="5"/>
  <c r="H1690" i="5"/>
  <c r="I1689" i="5"/>
  <c r="H1689" i="5"/>
  <c r="I1688" i="5"/>
  <c r="H1688" i="5"/>
  <c r="I1687" i="5"/>
  <c r="H1687" i="5"/>
  <c r="I1686" i="5"/>
  <c r="H1686" i="5"/>
  <c r="I1685" i="5"/>
  <c r="H1685" i="5"/>
  <c r="I1684" i="5"/>
  <c r="H1684" i="5"/>
  <c r="I1683" i="5"/>
  <c r="H1683" i="5"/>
  <c r="I1682" i="5"/>
  <c r="H1682" i="5"/>
  <c r="I1681" i="5"/>
  <c r="H1681" i="5"/>
  <c r="I1680" i="5"/>
  <c r="H1680" i="5"/>
  <c r="I1679" i="5"/>
  <c r="H1679" i="5"/>
  <c r="I1678" i="5"/>
  <c r="H1678" i="5"/>
  <c r="I1677" i="5"/>
  <c r="H1677" i="5"/>
  <c r="I1676" i="5"/>
  <c r="H1676" i="5"/>
  <c r="I1675" i="5"/>
  <c r="H1675" i="5"/>
  <c r="I1674" i="5"/>
  <c r="H1674" i="5"/>
  <c r="I1673" i="5"/>
  <c r="H1673" i="5"/>
  <c r="I1672" i="5"/>
  <c r="H1672" i="5"/>
  <c r="I1671" i="5"/>
  <c r="H1671" i="5"/>
  <c r="I1670" i="5"/>
  <c r="H1670" i="5"/>
  <c r="I1669" i="5"/>
  <c r="H1669" i="5"/>
  <c r="I1668" i="5"/>
  <c r="H1668" i="5"/>
  <c r="I1667" i="5"/>
  <c r="H1667" i="5"/>
  <c r="I1666" i="5"/>
  <c r="H1666" i="5"/>
  <c r="I1665" i="5"/>
  <c r="H1665" i="5"/>
  <c r="I1664" i="5"/>
  <c r="H1664" i="5"/>
  <c r="I1663" i="5"/>
  <c r="H1663" i="5"/>
  <c r="I1662" i="5"/>
  <c r="H1662" i="5"/>
  <c r="I1661" i="5"/>
  <c r="H1661" i="5"/>
  <c r="I1660" i="5"/>
  <c r="H1660" i="5"/>
  <c r="I1659" i="5"/>
  <c r="H1659" i="5"/>
  <c r="I1658" i="5"/>
  <c r="H1658" i="5"/>
  <c r="I1657" i="5"/>
  <c r="H1657" i="5"/>
  <c r="I1656" i="5"/>
  <c r="H1656" i="5"/>
  <c r="I1655" i="5"/>
  <c r="H1655" i="5"/>
  <c r="I1654" i="5"/>
  <c r="H1654" i="5"/>
  <c r="I1653" i="5"/>
  <c r="H1653" i="5"/>
  <c r="I1652" i="5"/>
  <c r="H1652" i="5"/>
  <c r="I1651" i="5"/>
  <c r="H1651" i="5"/>
  <c r="I1650" i="5"/>
  <c r="H1650" i="5"/>
  <c r="I1649" i="5"/>
  <c r="H1649" i="5"/>
  <c r="I1648" i="5"/>
  <c r="H1648" i="5"/>
  <c r="I1647" i="5"/>
  <c r="H1647" i="5"/>
  <c r="I1646" i="5"/>
  <c r="H1646" i="5"/>
  <c r="I1645" i="5"/>
  <c r="H1645" i="5"/>
  <c r="I1644" i="5"/>
  <c r="H1644" i="5"/>
  <c r="I1643" i="5"/>
  <c r="H1643" i="5"/>
  <c r="I1642" i="5"/>
  <c r="H1642" i="5"/>
  <c r="I1641" i="5"/>
  <c r="H1641" i="5"/>
  <c r="I1640" i="5"/>
  <c r="H1640" i="5"/>
  <c r="I1639" i="5"/>
  <c r="H1639" i="5"/>
  <c r="I1638" i="5"/>
  <c r="H1638" i="5"/>
  <c r="I1637" i="5"/>
  <c r="H1637" i="5"/>
  <c r="I1636" i="5"/>
  <c r="H1636" i="5"/>
  <c r="I1635" i="5"/>
  <c r="H1635" i="5"/>
  <c r="I1634" i="5"/>
  <c r="H1634" i="5"/>
  <c r="I1633" i="5"/>
  <c r="H1633" i="5"/>
  <c r="I1632" i="5"/>
  <c r="H1632" i="5"/>
  <c r="I1631" i="5"/>
  <c r="H1631" i="5"/>
  <c r="I1630" i="5"/>
  <c r="H1630" i="5"/>
  <c r="I1629" i="5"/>
  <c r="H1629" i="5"/>
  <c r="I1628" i="5"/>
  <c r="H1628" i="5"/>
  <c r="I1627" i="5"/>
  <c r="H1627" i="5"/>
  <c r="I1626" i="5"/>
  <c r="H1626" i="5"/>
  <c r="I1625" i="5"/>
  <c r="H1625" i="5"/>
  <c r="I1624" i="5"/>
  <c r="H1624" i="5"/>
  <c r="I1623" i="5"/>
  <c r="H1623" i="5"/>
  <c r="I1622" i="5"/>
  <c r="H1622" i="5"/>
  <c r="I1621" i="5"/>
  <c r="H1621" i="5"/>
  <c r="I1620" i="5"/>
  <c r="H1620" i="5"/>
  <c r="I1619" i="5"/>
  <c r="H1619" i="5"/>
  <c r="I1618" i="5"/>
  <c r="H1618" i="5"/>
  <c r="I1617" i="5"/>
  <c r="H1617" i="5"/>
  <c r="I1616" i="5"/>
  <c r="H1616" i="5"/>
  <c r="I1615" i="5"/>
  <c r="H1615" i="5"/>
  <c r="I1614" i="5"/>
  <c r="H1614" i="5"/>
  <c r="I1613" i="5"/>
  <c r="H1613" i="5"/>
  <c r="I1612" i="5"/>
  <c r="H1612" i="5"/>
  <c r="I1611" i="5"/>
  <c r="H1611" i="5"/>
  <c r="I1610" i="5"/>
  <c r="H1610" i="5"/>
  <c r="I1609" i="5"/>
  <c r="H1609" i="5"/>
  <c r="I1608" i="5"/>
  <c r="H1608" i="5"/>
  <c r="I1607" i="5"/>
  <c r="H1607" i="5"/>
  <c r="I1606" i="5"/>
  <c r="H1606" i="5"/>
  <c r="I1605" i="5"/>
  <c r="H1605" i="5"/>
  <c r="I1604" i="5"/>
  <c r="H1604" i="5"/>
  <c r="I1603" i="5"/>
  <c r="H1603" i="5"/>
  <c r="I1602" i="5"/>
  <c r="H1602" i="5"/>
  <c r="I1601" i="5"/>
  <c r="H1601" i="5"/>
  <c r="I1600" i="5"/>
  <c r="H1600" i="5"/>
  <c r="I1599" i="5"/>
  <c r="H1599" i="5"/>
  <c r="I1598" i="5"/>
  <c r="H1598" i="5"/>
  <c r="I1597" i="5"/>
  <c r="H1597" i="5"/>
  <c r="I1596" i="5"/>
  <c r="H1596" i="5"/>
  <c r="I1595" i="5"/>
  <c r="H1595" i="5"/>
  <c r="I1594" i="5"/>
  <c r="H1594" i="5"/>
  <c r="I1593" i="5"/>
  <c r="H1593" i="5"/>
  <c r="I1592" i="5"/>
  <c r="H1592" i="5"/>
  <c r="I1591" i="5"/>
  <c r="H1591" i="5"/>
  <c r="I1590" i="5"/>
  <c r="H1590" i="5"/>
  <c r="I1589" i="5"/>
  <c r="H1589" i="5"/>
  <c r="I1588" i="5"/>
  <c r="H1588" i="5"/>
  <c r="I1587" i="5"/>
  <c r="H1587" i="5"/>
  <c r="I1586" i="5"/>
  <c r="H1586" i="5"/>
  <c r="I1585" i="5"/>
  <c r="H1585" i="5"/>
  <c r="I1584" i="5"/>
  <c r="H1584" i="5"/>
  <c r="I1583" i="5"/>
  <c r="H1583" i="5"/>
  <c r="I1582" i="5"/>
  <c r="H1582" i="5"/>
  <c r="I1581" i="5"/>
  <c r="H1581" i="5"/>
  <c r="I1580" i="5"/>
  <c r="H1580" i="5"/>
  <c r="I1579" i="5"/>
  <c r="H1579" i="5"/>
  <c r="I1578" i="5"/>
  <c r="H1578" i="5"/>
  <c r="I1577" i="5"/>
  <c r="H1577" i="5"/>
  <c r="I1576" i="5"/>
  <c r="H1576" i="5"/>
  <c r="I1575" i="5"/>
  <c r="H1575" i="5"/>
  <c r="I1574" i="5"/>
  <c r="H1574" i="5"/>
  <c r="I1573" i="5"/>
  <c r="H1573" i="5"/>
  <c r="I1572" i="5"/>
  <c r="H1572" i="5"/>
  <c r="I1571" i="5"/>
  <c r="H1571" i="5"/>
  <c r="I1570" i="5"/>
  <c r="H1570" i="5"/>
  <c r="I1569" i="5"/>
  <c r="H1569" i="5"/>
  <c r="I1568" i="5"/>
  <c r="H1568" i="5"/>
  <c r="I1567" i="5"/>
  <c r="H1567" i="5"/>
  <c r="I1566" i="5"/>
  <c r="H1566" i="5"/>
  <c r="I1565" i="5"/>
  <c r="H1565" i="5"/>
  <c r="I1564" i="5"/>
  <c r="H1564" i="5"/>
  <c r="I1563" i="5"/>
  <c r="H1563" i="5"/>
  <c r="I1562" i="5"/>
  <c r="H1562" i="5"/>
  <c r="I1561" i="5"/>
  <c r="H1561" i="5"/>
  <c r="I1560" i="5"/>
  <c r="H1560" i="5"/>
  <c r="I1559" i="5"/>
  <c r="H1559" i="5"/>
  <c r="I1558" i="5"/>
  <c r="H1558" i="5"/>
  <c r="I1557" i="5"/>
  <c r="H1557" i="5"/>
  <c r="I1556" i="5"/>
  <c r="H1556" i="5"/>
  <c r="I1555" i="5"/>
  <c r="H1555" i="5"/>
  <c r="I1554" i="5"/>
  <c r="H1554" i="5"/>
  <c r="I1553" i="5"/>
  <c r="H1553" i="5"/>
  <c r="I1552" i="5"/>
  <c r="H1552" i="5"/>
  <c r="I1551" i="5"/>
  <c r="H1551" i="5"/>
  <c r="I1550" i="5"/>
  <c r="H1550" i="5"/>
  <c r="I1549" i="5"/>
  <c r="H1549" i="5"/>
  <c r="I1548" i="5"/>
  <c r="H1548" i="5"/>
  <c r="I1547" i="5"/>
  <c r="H1547" i="5"/>
  <c r="I1546" i="5"/>
  <c r="H1546" i="5"/>
  <c r="I1545" i="5"/>
  <c r="H1545" i="5"/>
  <c r="I1544" i="5"/>
  <c r="H1544" i="5"/>
  <c r="I1543" i="5"/>
  <c r="H1543" i="5"/>
  <c r="I1542" i="5"/>
  <c r="H1542" i="5"/>
  <c r="I1541" i="5"/>
  <c r="H1541" i="5"/>
  <c r="I1540" i="5"/>
  <c r="H1540" i="5"/>
  <c r="I1539" i="5"/>
  <c r="H1539" i="5"/>
  <c r="I1538" i="5"/>
  <c r="H1538" i="5"/>
  <c r="I1537" i="5"/>
  <c r="H1537" i="5"/>
  <c r="I1536" i="5"/>
  <c r="H1536" i="5"/>
  <c r="I1535" i="5"/>
  <c r="H1535" i="5"/>
  <c r="I1534" i="5"/>
  <c r="H1534" i="5"/>
  <c r="I1533" i="5"/>
  <c r="H1533" i="5"/>
  <c r="I1532" i="5"/>
  <c r="H1532" i="5"/>
  <c r="I1531" i="5"/>
  <c r="H1531" i="5"/>
  <c r="I1530" i="5"/>
  <c r="H1530" i="5"/>
  <c r="I1529" i="5"/>
  <c r="H1529" i="5"/>
  <c r="I1528" i="5"/>
  <c r="H1528" i="5"/>
  <c r="I1527" i="5"/>
  <c r="H1527" i="5"/>
  <c r="I1526" i="5"/>
  <c r="H1526" i="5"/>
  <c r="I1525" i="5"/>
  <c r="H1525" i="5"/>
  <c r="I1524" i="5"/>
  <c r="H1524" i="5"/>
  <c r="I1523" i="5"/>
  <c r="H1523" i="5"/>
  <c r="I1522" i="5"/>
  <c r="H1522" i="5"/>
  <c r="I1521" i="5"/>
  <c r="H1521" i="5"/>
  <c r="I1520" i="5"/>
  <c r="H1520" i="5"/>
  <c r="I1519" i="5"/>
  <c r="H1519" i="5"/>
  <c r="I1518" i="5"/>
  <c r="H1518" i="5"/>
  <c r="I1517" i="5"/>
  <c r="H1517" i="5"/>
  <c r="I1516" i="5"/>
  <c r="H1516" i="5"/>
  <c r="I1515" i="5"/>
  <c r="H1515" i="5"/>
  <c r="I1514" i="5"/>
  <c r="H1514" i="5"/>
  <c r="I1513" i="5"/>
  <c r="H1513" i="5"/>
  <c r="I1512" i="5"/>
  <c r="H1512" i="5"/>
  <c r="I1511" i="5"/>
  <c r="H1511" i="5"/>
  <c r="I1510" i="5"/>
  <c r="H1510" i="5"/>
  <c r="I1509" i="5"/>
  <c r="H1509" i="5"/>
  <c r="I1508" i="5"/>
  <c r="H1508" i="5"/>
  <c r="I1507" i="5"/>
  <c r="H1507" i="5"/>
  <c r="I1506" i="5"/>
  <c r="H1506" i="5"/>
  <c r="I1505" i="5"/>
  <c r="H1505" i="5"/>
  <c r="I1504" i="5"/>
  <c r="H1504" i="5"/>
  <c r="I1503" i="5"/>
  <c r="H1503" i="5"/>
  <c r="I1502" i="5"/>
  <c r="H1502" i="5"/>
  <c r="I1501" i="5"/>
  <c r="H1501" i="5"/>
  <c r="I1500" i="5"/>
  <c r="H1500" i="5"/>
  <c r="I1499" i="5"/>
  <c r="H1499" i="5"/>
  <c r="I1498" i="5"/>
  <c r="H1498" i="5"/>
  <c r="I1497" i="5"/>
  <c r="H1497" i="5"/>
  <c r="I1496" i="5"/>
  <c r="H1496" i="5"/>
  <c r="I1495" i="5"/>
  <c r="H1495" i="5"/>
  <c r="I1494" i="5"/>
  <c r="H1494" i="5"/>
  <c r="I1493" i="5"/>
  <c r="H1493" i="5"/>
  <c r="I1492" i="5"/>
  <c r="H1492" i="5"/>
  <c r="I1491" i="5"/>
  <c r="H1491" i="5"/>
  <c r="I1490" i="5"/>
  <c r="H1490" i="5"/>
  <c r="I1489" i="5"/>
  <c r="H1489" i="5"/>
  <c r="I1488" i="5"/>
  <c r="H1488" i="5"/>
  <c r="I1487" i="5"/>
  <c r="H1487" i="5"/>
  <c r="I1486" i="5"/>
  <c r="H1486" i="5"/>
  <c r="I1485" i="5"/>
  <c r="H1485" i="5"/>
  <c r="I1484" i="5"/>
  <c r="H1484" i="5"/>
  <c r="I1483" i="5"/>
  <c r="H1483" i="5"/>
  <c r="I1482" i="5"/>
  <c r="H1482" i="5"/>
  <c r="I1481" i="5"/>
  <c r="H1481" i="5"/>
  <c r="I1480" i="5"/>
  <c r="H1480" i="5"/>
  <c r="I1479" i="5"/>
  <c r="H1479" i="5"/>
  <c r="I1478" i="5"/>
  <c r="H1478" i="5"/>
  <c r="I1477" i="5"/>
  <c r="H1477" i="5"/>
  <c r="I1476" i="5"/>
  <c r="H1476" i="5"/>
  <c r="I1475" i="5"/>
  <c r="H1475" i="5"/>
  <c r="I1474" i="5"/>
  <c r="H1474" i="5"/>
  <c r="I1473" i="5"/>
  <c r="H1473" i="5"/>
  <c r="I1472" i="5"/>
  <c r="H1472" i="5"/>
  <c r="I1471" i="5"/>
  <c r="H1471" i="5"/>
  <c r="I1470" i="5"/>
  <c r="H1470" i="5"/>
  <c r="I1469" i="5"/>
  <c r="H1469" i="5"/>
  <c r="I1468" i="5"/>
  <c r="H1468" i="5"/>
  <c r="I1467" i="5"/>
  <c r="H1467" i="5"/>
  <c r="I1466" i="5"/>
  <c r="H1466" i="5"/>
  <c r="I1465" i="5"/>
  <c r="H1465" i="5"/>
  <c r="I1464" i="5"/>
  <c r="H1464" i="5"/>
  <c r="I1463" i="5"/>
  <c r="H1463" i="5"/>
  <c r="I1462" i="5"/>
  <c r="H1462" i="5"/>
  <c r="I1461" i="5"/>
  <c r="H1461" i="5"/>
  <c r="I1460" i="5"/>
  <c r="H1460" i="5"/>
  <c r="I1459" i="5"/>
  <c r="H1459" i="5"/>
  <c r="I1458" i="5"/>
  <c r="H1458" i="5"/>
  <c r="I1457" i="5"/>
  <c r="H1457" i="5"/>
  <c r="I1456" i="5"/>
  <c r="H1456" i="5"/>
  <c r="I1455" i="5"/>
  <c r="H1455" i="5"/>
  <c r="I1454" i="5"/>
  <c r="H1454" i="5"/>
  <c r="I1453" i="5"/>
  <c r="H1453" i="5"/>
  <c r="I1452" i="5"/>
  <c r="H1452" i="5"/>
  <c r="I1451" i="5"/>
  <c r="H1451" i="5"/>
  <c r="I1450" i="5"/>
  <c r="H1450" i="5"/>
  <c r="I1449" i="5"/>
  <c r="H1449" i="5"/>
  <c r="I1448" i="5"/>
  <c r="H1448" i="5"/>
  <c r="I1447" i="5"/>
  <c r="H1447" i="5"/>
  <c r="I1446" i="5"/>
  <c r="H1446" i="5"/>
  <c r="I1445" i="5"/>
  <c r="H1445" i="5"/>
  <c r="I1444" i="5"/>
  <c r="H1444" i="5"/>
  <c r="I1443" i="5"/>
  <c r="H1443" i="5"/>
  <c r="I1442" i="5"/>
  <c r="H1442" i="5"/>
  <c r="I1441" i="5"/>
  <c r="H1441" i="5"/>
  <c r="I1440" i="5"/>
  <c r="H1440" i="5"/>
  <c r="I1439" i="5"/>
  <c r="H1439" i="5"/>
  <c r="I1438" i="5"/>
  <c r="H1438" i="5"/>
  <c r="I1437" i="5"/>
  <c r="H1437" i="5"/>
  <c r="I1436" i="5"/>
  <c r="H1436" i="5"/>
  <c r="I1435" i="5"/>
  <c r="H1435" i="5"/>
  <c r="I1434" i="5"/>
  <c r="H1434" i="5"/>
  <c r="I1433" i="5"/>
  <c r="H1433" i="5"/>
  <c r="I1432" i="5"/>
  <c r="H1432" i="5"/>
  <c r="I1431" i="5"/>
  <c r="H1431" i="5"/>
  <c r="I1430" i="5"/>
  <c r="H1430" i="5"/>
  <c r="I1429" i="5"/>
  <c r="H1429" i="5"/>
  <c r="I1428" i="5"/>
  <c r="H1428" i="5"/>
  <c r="I1427" i="5"/>
  <c r="H1427" i="5"/>
  <c r="I1426" i="5"/>
  <c r="H1426" i="5"/>
  <c r="I1425" i="5"/>
  <c r="H1425" i="5"/>
  <c r="I1424" i="5"/>
  <c r="H1424" i="5"/>
  <c r="I1423" i="5"/>
  <c r="H1423" i="5"/>
  <c r="I1422" i="5"/>
  <c r="H1422" i="5"/>
  <c r="I1421" i="5"/>
  <c r="H1421" i="5"/>
  <c r="I1420" i="5"/>
  <c r="H1420" i="5"/>
  <c r="I1419" i="5"/>
  <c r="H1419" i="5"/>
  <c r="I1418" i="5"/>
  <c r="H1418" i="5"/>
  <c r="I1417" i="5"/>
  <c r="H1417" i="5"/>
  <c r="I1416" i="5"/>
  <c r="H1416" i="5"/>
  <c r="I1415" i="5"/>
  <c r="H1415" i="5"/>
  <c r="I1414" i="5"/>
  <c r="H1414" i="5"/>
  <c r="I1413" i="5"/>
  <c r="H1413" i="5"/>
  <c r="I1412" i="5"/>
  <c r="H1412" i="5"/>
  <c r="I1411" i="5"/>
  <c r="H1411" i="5"/>
  <c r="I1410" i="5"/>
  <c r="H1410" i="5"/>
  <c r="I1409" i="5"/>
  <c r="H1409" i="5"/>
  <c r="I1408" i="5"/>
  <c r="H1408" i="5"/>
  <c r="I1407" i="5"/>
  <c r="H1407" i="5"/>
  <c r="I1406" i="5"/>
  <c r="H1406" i="5"/>
  <c r="I1405" i="5"/>
  <c r="H1405" i="5"/>
  <c r="I1404" i="5"/>
  <c r="H1404" i="5"/>
  <c r="I1403" i="5"/>
  <c r="H1403" i="5"/>
  <c r="I1402" i="5"/>
  <c r="H1402" i="5"/>
  <c r="I1401" i="5"/>
  <c r="H1401" i="5"/>
  <c r="I1400" i="5"/>
  <c r="H1400" i="5"/>
  <c r="I1399" i="5"/>
  <c r="H1399" i="5"/>
  <c r="I1398" i="5"/>
  <c r="H1398" i="5"/>
  <c r="I1397" i="5"/>
  <c r="H1397" i="5"/>
  <c r="I1396" i="5"/>
  <c r="H1396" i="5"/>
  <c r="I1395" i="5"/>
  <c r="H1395" i="5"/>
  <c r="I1394" i="5"/>
  <c r="H1394" i="5"/>
  <c r="I1393" i="5"/>
  <c r="H1393" i="5"/>
  <c r="I1392" i="5"/>
  <c r="H1392" i="5"/>
  <c r="I1391" i="5"/>
  <c r="H1391" i="5"/>
  <c r="I1390" i="5"/>
  <c r="H1390" i="5"/>
  <c r="I1389" i="5"/>
  <c r="H1389" i="5"/>
  <c r="I1388" i="5"/>
  <c r="H1388" i="5"/>
  <c r="I1387" i="5"/>
  <c r="H1387" i="5"/>
  <c r="I1386" i="5"/>
  <c r="H1386" i="5"/>
  <c r="I1385" i="5"/>
  <c r="H1385" i="5"/>
  <c r="I1384" i="5"/>
  <c r="H1384" i="5"/>
  <c r="I1383" i="5"/>
  <c r="H1383" i="5"/>
  <c r="I1382" i="5"/>
  <c r="H1382" i="5"/>
  <c r="I1381" i="5"/>
  <c r="H1381" i="5"/>
  <c r="I1380" i="5"/>
  <c r="H1380" i="5"/>
  <c r="I1379" i="5"/>
  <c r="H1379" i="5"/>
  <c r="I1378" i="5"/>
  <c r="H1378" i="5"/>
  <c r="I1377" i="5"/>
  <c r="H1377" i="5"/>
  <c r="I1376" i="5"/>
  <c r="H1376" i="5"/>
  <c r="I1375" i="5"/>
  <c r="H1375" i="5"/>
  <c r="I1374" i="5"/>
  <c r="H1374" i="5"/>
  <c r="I1373" i="5"/>
  <c r="H1373" i="5"/>
  <c r="I1372" i="5"/>
  <c r="H1372" i="5"/>
  <c r="I1371" i="5"/>
  <c r="H1371" i="5"/>
  <c r="I1370" i="5"/>
  <c r="H1370" i="5"/>
  <c r="I1369" i="5"/>
  <c r="H1369" i="5"/>
  <c r="I1368" i="5"/>
  <c r="H1368" i="5"/>
  <c r="I1367" i="5"/>
  <c r="H1367" i="5"/>
  <c r="I1366" i="5"/>
  <c r="H1366" i="5"/>
  <c r="I1365" i="5"/>
  <c r="H1365" i="5"/>
  <c r="I1364" i="5"/>
  <c r="H1364" i="5"/>
  <c r="I1363" i="5"/>
  <c r="H1363" i="5"/>
  <c r="I1362" i="5"/>
  <c r="H1362" i="5"/>
  <c r="I1361" i="5"/>
  <c r="H1361" i="5"/>
  <c r="I1360" i="5"/>
  <c r="H1360" i="5"/>
  <c r="I1359" i="5"/>
  <c r="H1359" i="5"/>
  <c r="I1358" i="5"/>
  <c r="H1358" i="5"/>
  <c r="I1357" i="5"/>
  <c r="H1357" i="5"/>
  <c r="I1356" i="5"/>
  <c r="H1356" i="5"/>
  <c r="I1355" i="5"/>
  <c r="H1355" i="5"/>
  <c r="I1354" i="5"/>
  <c r="H1354" i="5"/>
  <c r="I1353" i="5"/>
  <c r="H1353" i="5"/>
  <c r="I1352" i="5"/>
  <c r="H1352" i="5"/>
  <c r="I1351" i="5"/>
  <c r="H1351" i="5"/>
  <c r="I1350" i="5"/>
  <c r="H1350" i="5"/>
  <c r="I1349" i="5"/>
  <c r="H1349" i="5"/>
  <c r="I1348" i="5"/>
  <c r="H1348" i="5"/>
  <c r="I1347" i="5"/>
  <c r="H1347" i="5"/>
  <c r="I1346" i="5"/>
  <c r="H1346" i="5"/>
  <c r="I1345" i="5"/>
  <c r="H1345" i="5"/>
  <c r="I1344" i="5"/>
  <c r="H1344" i="5"/>
  <c r="I1343" i="5"/>
  <c r="H1343" i="5"/>
  <c r="I1342" i="5"/>
  <c r="H1342" i="5"/>
  <c r="I1341" i="5"/>
  <c r="H1341" i="5"/>
  <c r="I1340" i="5"/>
  <c r="H1340" i="5"/>
  <c r="I1339" i="5"/>
  <c r="H1339" i="5"/>
  <c r="I1338" i="5"/>
  <c r="H1338" i="5"/>
  <c r="I1337" i="5"/>
  <c r="H1337" i="5"/>
  <c r="I1336" i="5"/>
  <c r="H1336" i="5"/>
  <c r="I1335" i="5"/>
  <c r="H1335" i="5"/>
  <c r="I1334" i="5"/>
  <c r="H1334" i="5"/>
  <c r="I1333" i="5"/>
  <c r="H1333" i="5"/>
  <c r="I1332" i="5"/>
  <c r="H1332" i="5"/>
  <c r="I1331" i="5"/>
  <c r="H1331" i="5"/>
  <c r="I1330" i="5"/>
  <c r="H1330" i="5"/>
  <c r="I1329" i="5"/>
  <c r="H1329" i="5"/>
  <c r="I1328" i="5"/>
  <c r="H1328" i="5"/>
  <c r="I1327" i="5"/>
  <c r="H1327" i="5"/>
  <c r="I1326" i="5"/>
  <c r="H1326" i="5"/>
  <c r="I1325" i="5"/>
  <c r="H1325" i="5"/>
  <c r="I1324" i="5"/>
  <c r="H1324" i="5"/>
  <c r="I1323" i="5"/>
  <c r="H1323" i="5"/>
  <c r="I1322" i="5"/>
  <c r="H1322" i="5"/>
  <c r="I1321" i="5"/>
  <c r="H1321" i="5"/>
  <c r="I1320" i="5"/>
  <c r="H1320" i="5"/>
  <c r="I1319" i="5"/>
  <c r="H1319" i="5"/>
  <c r="I1318" i="5"/>
  <c r="H1318" i="5"/>
  <c r="I1317" i="5"/>
  <c r="H1317" i="5"/>
  <c r="I1316" i="5"/>
  <c r="H1316" i="5"/>
  <c r="I1315" i="5"/>
  <c r="H1315" i="5"/>
  <c r="I1314" i="5"/>
  <c r="H1314" i="5"/>
  <c r="I1313" i="5"/>
  <c r="H1313" i="5"/>
  <c r="I1312" i="5"/>
  <c r="H1312" i="5"/>
  <c r="I1311" i="5"/>
  <c r="H1311" i="5"/>
  <c r="I1310" i="5"/>
  <c r="H1310" i="5"/>
  <c r="I1309" i="5"/>
  <c r="H1309" i="5"/>
  <c r="I1308" i="5"/>
  <c r="H1308" i="5"/>
  <c r="I1307" i="5"/>
  <c r="H1307" i="5"/>
  <c r="I1306" i="5"/>
  <c r="H1306" i="5"/>
  <c r="I1305" i="5"/>
  <c r="H1305" i="5"/>
  <c r="I1304" i="5"/>
  <c r="H1304" i="5"/>
  <c r="I1303" i="5"/>
  <c r="H1303" i="5"/>
  <c r="I1302" i="5"/>
  <c r="H1302" i="5"/>
  <c r="I1301" i="5"/>
  <c r="H1301" i="5"/>
  <c r="I1300" i="5"/>
  <c r="H1300" i="5"/>
  <c r="I1299" i="5"/>
  <c r="H1299" i="5"/>
  <c r="I1298" i="5"/>
  <c r="H1298" i="5"/>
  <c r="I1297" i="5"/>
  <c r="H1297" i="5"/>
  <c r="I1296" i="5"/>
  <c r="H1296" i="5"/>
  <c r="I1295" i="5"/>
  <c r="H1295" i="5"/>
  <c r="I1294" i="5"/>
  <c r="H1294" i="5"/>
  <c r="I1293" i="5"/>
  <c r="H1293" i="5"/>
  <c r="I1292" i="5"/>
  <c r="H1292" i="5"/>
  <c r="I1291" i="5"/>
  <c r="H1291" i="5"/>
  <c r="I1290" i="5"/>
  <c r="H1290" i="5"/>
  <c r="I1289" i="5"/>
  <c r="H1289" i="5"/>
  <c r="I1288" i="5"/>
  <c r="H1288" i="5"/>
  <c r="I1287" i="5"/>
  <c r="H1287" i="5"/>
  <c r="I1286" i="5"/>
  <c r="H1286" i="5"/>
  <c r="I1285" i="5"/>
  <c r="H1285" i="5"/>
  <c r="I1284" i="5"/>
  <c r="H1284" i="5"/>
  <c r="I1283" i="5"/>
  <c r="H1283" i="5"/>
  <c r="I1282" i="5"/>
  <c r="H1282" i="5"/>
  <c r="I1281" i="5"/>
  <c r="H1281" i="5"/>
  <c r="I1280" i="5"/>
  <c r="H1280" i="5"/>
  <c r="I1279" i="5"/>
  <c r="H1279" i="5"/>
  <c r="I1278" i="5"/>
  <c r="H1278" i="5"/>
  <c r="I1277" i="5"/>
  <c r="H1277" i="5"/>
  <c r="I1276" i="5"/>
  <c r="H1276" i="5"/>
  <c r="I1275" i="5"/>
  <c r="H1275" i="5"/>
  <c r="I1274" i="5"/>
  <c r="H1274" i="5"/>
  <c r="I1273" i="5"/>
  <c r="H1273" i="5"/>
  <c r="I1272" i="5"/>
  <c r="H1272" i="5"/>
  <c r="I1271" i="5"/>
  <c r="H1271" i="5"/>
  <c r="I1270" i="5"/>
  <c r="H1270" i="5"/>
  <c r="I1269" i="5"/>
  <c r="H1269" i="5"/>
  <c r="I1268" i="5"/>
  <c r="H1268" i="5"/>
  <c r="I1267" i="5"/>
  <c r="H1267" i="5"/>
  <c r="I1266" i="5"/>
  <c r="H1266" i="5"/>
  <c r="I1265" i="5"/>
  <c r="H1265" i="5"/>
  <c r="I1264" i="5"/>
  <c r="H1264" i="5"/>
  <c r="I1263" i="5"/>
  <c r="H1263" i="5"/>
  <c r="I1262" i="5"/>
  <c r="H1262" i="5"/>
  <c r="I1261" i="5"/>
  <c r="H1261" i="5"/>
  <c r="I1260" i="5"/>
  <c r="H1260" i="5"/>
  <c r="I1259" i="5"/>
  <c r="H1259" i="5"/>
  <c r="I1258" i="5"/>
  <c r="H1258" i="5"/>
  <c r="I1257" i="5"/>
  <c r="H1257" i="5"/>
  <c r="I1256" i="5"/>
  <c r="H1256" i="5"/>
  <c r="I1255" i="5"/>
  <c r="H1255" i="5"/>
  <c r="I1254" i="5"/>
  <c r="H1254" i="5"/>
  <c r="I1253" i="5"/>
  <c r="H1253" i="5"/>
  <c r="I1252" i="5"/>
  <c r="H1252" i="5"/>
  <c r="I1251" i="5"/>
  <c r="H1251" i="5"/>
  <c r="I1250" i="5"/>
  <c r="H1250" i="5"/>
  <c r="I1249" i="5"/>
  <c r="H1249" i="5"/>
  <c r="I1248" i="5"/>
  <c r="H1248" i="5"/>
  <c r="I1247" i="5"/>
  <c r="H1247" i="5"/>
  <c r="I1246" i="5"/>
  <c r="H1246" i="5"/>
  <c r="I1245" i="5"/>
  <c r="H1245" i="5"/>
  <c r="I1244" i="5"/>
  <c r="H1244" i="5"/>
  <c r="I1243" i="5"/>
  <c r="H1243" i="5"/>
  <c r="I1242" i="5"/>
  <c r="H1242" i="5"/>
  <c r="I1241" i="5"/>
  <c r="H1241" i="5"/>
  <c r="I1240" i="5"/>
  <c r="H1240" i="5"/>
  <c r="I1239" i="5"/>
  <c r="H1239" i="5"/>
  <c r="I1238" i="5"/>
  <c r="H1238" i="5"/>
  <c r="I1237" i="5"/>
  <c r="H1237" i="5"/>
  <c r="I1236" i="5"/>
  <c r="H1236" i="5"/>
  <c r="I1235" i="5"/>
  <c r="H1235" i="5"/>
  <c r="I1234" i="5"/>
  <c r="H1234" i="5"/>
  <c r="I1233" i="5"/>
  <c r="H1233" i="5"/>
  <c r="I1232" i="5"/>
  <c r="H1232" i="5"/>
  <c r="I1231" i="5"/>
  <c r="H1231" i="5"/>
  <c r="I1230" i="5"/>
  <c r="H1230" i="5"/>
  <c r="I1229" i="5"/>
  <c r="H1229" i="5"/>
  <c r="I1228" i="5"/>
  <c r="H1228" i="5"/>
  <c r="I1227" i="5"/>
  <c r="H1227" i="5"/>
  <c r="I1226" i="5"/>
  <c r="H1226" i="5"/>
  <c r="I1225" i="5"/>
  <c r="H1225" i="5"/>
  <c r="I1224" i="5"/>
  <c r="H1224" i="5"/>
  <c r="I1223" i="5"/>
  <c r="H1223" i="5"/>
  <c r="I1222" i="5"/>
  <c r="H1222" i="5"/>
  <c r="I1221" i="5"/>
  <c r="H1221" i="5"/>
  <c r="I1220" i="5"/>
  <c r="H1220" i="5"/>
  <c r="I1219" i="5"/>
  <c r="H1219" i="5"/>
  <c r="I1218" i="5"/>
  <c r="H1218" i="5"/>
  <c r="I1217" i="5"/>
  <c r="H1217" i="5"/>
  <c r="I1216" i="5"/>
  <c r="H1216" i="5"/>
  <c r="I1215" i="5"/>
  <c r="H1215" i="5"/>
  <c r="I1214" i="5"/>
  <c r="H1214" i="5"/>
  <c r="I1213" i="5"/>
  <c r="H1213" i="5"/>
  <c r="I1212" i="5"/>
  <c r="H1212" i="5"/>
  <c r="I1211" i="5"/>
  <c r="H1211" i="5"/>
  <c r="I1210" i="5"/>
  <c r="H1210" i="5"/>
  <c r="I1209" i="5"/>
  <c r="H1209" i="5"/>
  <c r="I1208" i="5"/>
  <c r="H1208" i="5"/>
  <c r="I1207" i="5"/>
  <c r="H1207" i="5"/>
  <c r="I1206" i="5"/>
  <c r="H1206" i="5"/>
  <c r="I1205" i="5"/>
  <c r="H1205" i="5"/>
  <c r="I1204" i="5"/>
  <c r="H1204" i="5"/>
  <c r="I1203" i="5"/>
  <c r="H1203" i="5"/>
  <c r="I1202" i="5"/>
  <c r="H1202" i="5"/>
  <c r="I1201" i="5"/>
  <c r="H1201" i="5"/>
  <c r="I1200" i="5"/>
  <c r="H1200" i="5"/>
  <c r="I1199" i="5"/>
  <c r="H1199" i="5"/>
  <c r="I1198" i="5"/>
  <c r="H1198" i="5"/>
  <c r="I1197" i="5"/>
  <c r="H1197" i="5"/>
  <c r="I1196" i="5"/>
  <c r="H1196" i="5"/>
  <c r="I1195" i="5"/>
  <c r="H1195" i="5"/>
  <c r="I1194" i="5"/>
  <c r="H1194" i="5"/>
  <c r="I1193" i="5"/>
  <c r="H1193" i="5"/>
  <c r="I1192" i="5"/>
  <c r="H1192" i="5"/>
  <c r="I1191" i="5"/>
  <c r="H1191" i="5"/>
  <c r="I1190" i="5"/>
  <c r="H1190" i="5"/>
  <c r="I1189" i="5"/>
  <c r="H1189" i="5"/>
  <c r="I1188" i="5"/>
  <c r="H1188" i="5"/>
  <c r="I1187" i="5"/>
  <c r="H1187" i="5"/>
  <c r="I1186" i="5"/>
  <c r="H1186" i="5"/>
  <c r="I1185" i="5"/>
  <c r="H1185" i="5"/>
  <c r="I1184" i="5"/>
  <c r="H1184" i="5"/>
  <c r="I1183" i="5"/>
  <c r="H1183" i="5"/>
  <c r="I1182" i="5"/>
  <c r="H1182" i="5"/>
  <c r="I1181" i="5"/>
  <c r="H1181" i="5"/>
  <c r="I1180" i="5"/>
  <c r="H1180" i="5"/>
  <c r="I1179" i="5"/>
  <c r="H1179" i="5"/>
  <c r="I1178" i="5"/>
  <c r="H1178" i="5"/>
  <c r="I1177" i="5"/>
  <c r="H1177" i="5"/>
  <c r="I1176" i="5"/>
  <c r="H1176" i="5"/>
  <c r="I1175" i="5"/>
  <c r="H1175" i="5"/>
  <c r="I1174" i="5"/>
  <c r="H1174" i="5"/>
  <c r="I1173" i="5"/>
  <c r="H1173" i="5"/>
  <c r="I1172" i="5"/>
  <c r="H1172" i="5"/>
  <c r="I1171" i="5"/>
  <c r="H1171" i="5"/>
  <c r="I1170" i="5"/>
  <c r="H1170" i="5"/>
  <c r="I1169" i="5"/>
  <c r="H1169" i="5"/>
  <c r="I1168" i="5"/>
  <c r="H1168" i="5"/>
  <c r="I1167" i="5"/>
  <c r="H1167" i="5"/>
  <c r="I1166" i="5"/>
  <c r="H1166" i="5"/>
  <c r="I1165" i="5"/>
  <c r="H1165" i="5"/>
  <c r="I1164" i="5"/>
  <c r="H1164" i="5"/>
  <c r="I1163" i="5"/>
  <c r="H1163" i="5"/>
  <c r="I1162" i="5"/>
  <c r="H1162" i="5"/>
  <c r="I1161" i="5"/>
  <c r="H1161" i="5"/>
  <c r="I1160" i="5"/>
  <c r="H1160" i="5"/>
  <c r="I1159" i="5"/>
  <c r="H1159" i="5"/>
  <c r="I1158" i="5"/>
  <c r="H1158" i="5"/>
  <c r="I1157" i="5"/>
  <c r="H1157" i="5"/>
  <c r="I1156" i="5"/>
  <c r="H1156" i="5"/>
  <c r="I1155" i="5"/>
  <c r="H1155" i="5"/>
  <c r="I1154" i="5"/>
  <c r="H1154" i="5"/>
  <c r="I1153" i="5"/>
  <c r="H1153" i="5"/>
  <c r="I1152" i="5"/>
  <c r="H1152" i="5"/>
  <c r="I1151" i="5"/>
  <c r="H1151" i="5"/>
  <c r="I1150" i="5"/>
  <c r="H1150" i="5"/>
  <c r="I1149" i="5"/>
  <c r="H1149" i="5"/>
  <c r="I1148" i="5"/>
  <c r="H1148" i="5"/>
  <c r="I1147" i="5"/>
  <c r="H1147" i="5"/>
  <c r="I1146" i="5"/>
  <c r="H1146" i="5"/>
  <c r="I1145" i="5"/>
  <c r="H1145" i="5"/>
  <c r="I1144" i="5"/>
  <c r="H1144" i="5"/>
  <c r="I1143" i="5"/>
  <c r="H1143" i="5"/>
  <c r="I1142" i="5"/>
  <c r="H1142" i="5"/>
  <c r="I1141" i="5"/>
  <c r="H1141" i="5"/>
  <c r="I1140" i="5"/>
  <c r="H1140" i="5"/>
  <c r="I1139" i="5"/>
  <c r="H1139" i="5"/>
  <c r="I1138" i="5"/>
  <c r="H1138" i="5"/>
  <c r="I1137" i="5"/>
  <c r="H1137" i="5"/>
  <c r="I1136" i="5"/>
  <c r="H1136" i="5"/>
  <c r="I1135" i="5"/>
  <c r="H1135" i="5"/>
  <c r="I1134" i="5"/>
  <c r="H1134" i="5"/>
  <c r="I1133" i="5"/>
  <c r="H1133" i="5"/>
  <c r="I1132" i="5"/>
  <c r="H1132" i="5"/>
  <c r="I1131" i="5"/>
  <c r="H1131" i="5"/>
  <c r="I1130" i="5"/>
  <c r="H1130" i="5"/>
  <c r="I1129" i="5"/>
  <c r="H1129" i="5"/>
  <c r="I1128" i="5"/>
  <c r="H1128" i="5"/>
  <c r="I1127" i="5"/>
  <c r="H1127" i="5"/>
  <c r="I1126" i="5"/>
  <c r="H1126" i="5"/>
  <c r="I1125" i="5"/>
  <c r="H1125" i="5"/>
  <c r="I1124" i="5"/>
  <c r="H1124" i="5"/>
  <c r="I1123" i="5"/>
  <c r="H1123" i="5"/>
  <c r="I1122" i="5"/>
  <c r="H1122" i="5"/>
  <c r="I1121" i="5"/>
  <c r="H1121" i="5"/>
  <c r="I1120" i="5"/>
  <c r="H1120" i="5"/>
  <c r="I1119" i="5"/>
  <c r="H1119" i="5"/>
  <c r="I1118" i="5"/>
  <c r="H1118" i="5"/>
  <c r="I1117" i="5"/>
  <c r="H1117" i="5"/>
  <c r="I1116" i="5"/>
  <c r="H1116" i="5"/>
  <c r="I1115" i="5"/>
  <c r="H1115" i="5"/>
  <c r="I1114" i="5"/>
  <c r="H1114" i="5"/>
  <c r="I1113" i="5"/>
  <c r="H1113" i="5"/>
  <c r="I1112" i="5"/>
  <c r="H1112" i="5"/>
  <c r="I1111" i="5"/>
  <c r="H1111" i="5"/>
  <c r="I1110" i="5"/>
  <c r="H1110" i="5"/>
  <c r="I1109" i="5"/>
  <c r="H1109" i="5"/>
  <c r="I1108" i="5"/>
  <c r="H1108" i="5"/>
  <c r="I1107" i="5"/>
  <c r="H1107" i="5"/>
  <c r="I1106" i="5"/>
  <c r="H1106" i="5"/>
  <c r="I1105" i="5"/>
  <c r="H1105" i="5"/>
  <c r="I1104" i="5"/>
  <c r="H1104" i="5"/>
  <c r="I1103" i="5"/>
  <c r="H1103" i="5"/>
  <c r="I1102" i="5"/>
  <c r="H1102" i="5"/>
  <c r="I1101" i="5"/>
  <c r="H1101" i="5"/>
  <c r="I1100" i="5"/>
  <c r="H1100" i="5"/>
  <c r="I1099" i="5"/>
  <c r="H1099" i="5"/>
  <c r="I1098" i="5"/>
  <c r="H1098" i="5"/>
  <c r="I1097" i="5"/>
  <c r="H1097" i="5"/>
  <c r="I1096" i="5"/>
  <c r="H1096" i="5"/>
  <c r="I1095" i="5"/>
  <c r="H1095" i="5"/>
  <c r="I1094" i="5"/>
  <c r="H1094" i="5"/>
  <c r="I1093" i="5"/>
  <c r="H1093" i="5"/>
  <c r="I1092" i="5"/>
  <c r="H1092" i="5"/>
  <c r="I1091" i="5"/>
  <c r="H1091" i="5"/>
  <c r="I1090" i="5"/>
  <c r="H1090" i="5"/>
  <c r="I1089" i="5"/>
  <c r="H1089" i="5"/>
  <c r="I1088" i="5"/>
  <c r="H1088" i="5"/>
  <c r="I1087" i="5"/>
  <c r="H1087" i="5"/>
  <c r="I1086" i="5"/>
  <c r="H1086" i="5"/>
  <c r="I1085" i="5"/>
  <c r="H1085" i="5"/>
  <c r="I1084" i="5"/>
  <c r="H1084" i="5"/>
  <c r="I1083" i="5"/>
  <c r="H1083" i="5"/>
  <c r="I1082" i="5"/>
  <c r="H1082" i="5"/>
  <c r="I1081" i="5"/>
  <c r="H1081" i="5"/>
  <c r="I1080" i="5"/>
  <c r="H1080" i="5"/>
  <c r="I1079" i="5"/>
  <c r="H1079" i="5"/>
  <c r="I1078" i="5"/>
  <c r="H1078" i="5"/>
  <c r="I1077" i="5"/>
  <c r="H1077" i="5"/>
  <c r="I1076" i="5"/>
  <c r="H1076" i="5"/>
  <c r="I1075" i="5"/>
  <c r="H1075" i="5"/>
  <c r="I1074" i="5"/>
  <c r="H1074" i="5"/>
  <c r="I1073" i="5"/>
  <c r="H1073" i="5"/>
  <c r="I1072" i="5"/>
  <c r="H1072" i="5"/>
  <c r="I1071" i="5"/>
  <c r="H1071" i="5"/>
  <c r="I1070" i="5"/>
  <c r="H1070" i="5"/>
  <c r="I1069" i="5"/>
  <c r="H1069" i="5"/>
  <c r="I1068" i="5"/>
  <c r="H1068" i="5"/>
  <c r="I1067" i="5"/>
  <c r="H1067" i="5"/>
  <c r="I1066" i="5"/>
  <c r="H1066" i="5"/>
  <c r="I1065" i="5"/>
  <c r="H1065" i="5"/>
  <c r="I1064" i="5"/>
  <c r="H1064" i="5"/>
  <c r="I1063" i="5"/>
  <c r="H1063" i="5"/>
  <c r="I1062" i="5"/>
  <c r="H1062" i="5"/>
  <c r="I1061" i="5"/>
  <c r="H1061" i="5"/>
  <c r="I1060" i="5"/>
  <c r="H1060" i="5"/>
  <c r="I1059" i="5"/>
  <c r="H1059" i="5"/>
  <c r="I1058" i="5"/>
  <c r="H1058" i="5"/>
  <c r="I1057" i="5"/>
  <c r="H1057" i="5"/>
  <c r="I1056" i="5"/>
  <c r="H1056" i="5"/>
  <c r="I1055" i="5"/>
  <c r="H1055" i="5"/>
  <c r="I1054" i="5"/>
  <c r="H1054" i="5"/>
  <c r="I1053" i="5"/>
  <c r="H1053" i="5"/>
  <c r="I1052" i="5"/>
  <c r="H1052" i="5"/>
  <c r="I1051" i="5"/>
  <c r="H1051" i="5"/>
  <c r="I1050" i="5"/>
  <c r="H1050" i="5"/>
  <c r="I1049" i="5"/>
  <c r="H1049" i="5"/>
  <c r="I1048" i="5"/>
  <c r="H1048" i="5"/>
  <c r="I1047" i="5"/>
  <c r="H1047" i="5"/>
  <c r="I1046" i="5"/>
  <c r="H1046" i="5"/>
  <c r="I1045" i="5"/>
  <c r="H1045" i="5"/>
  <c r="I1044" i="5"/>
  <c r="H1044" i="5"/>
  <c r="I1043" i="5"/>
  <c r="H1043" i="5"/>
  <c r="I1042" i="5"/>
  <c r="H1042" i="5"/>
  <c r="I1041" i="5"/>
  <c r="H1041" i="5"/>
  <c r="I1040" i="5"/>
  <c r="H1040" i="5"/>
  <c r="I1039" i="5"/>
  <c r="H1039" i="5"/>
  <c r="I1038" i="5"/>
  <c r="H1038" i="5"/>
  <c r="I1037" i="5"/>
  <c r="H1037" i="5"/>
  <c r="I1036" i="5"/>
  <c r="H1036" i="5"/>
  <c r="I1035" i="5"/>
  <c r="H1035" i="5"/>
  <c r="I1034" i="5"/>
  <c r="H1034" i="5"/>
  <c r="I1033" i="5"/>
  <c r="H1033" i="5"/>
  <c r="I1032" i="5"/>
  <c r="H1032" i="5"/>
  <c r="I1031" i="5"/>
  <c r="H1031" i="5"/>
  <c r="I1030" i="5"/>
  <c r="H1030" i="5"/>
  <c r="I1029" i="5"/>
  <c r="H1029" i="5"/>
  <c r="I1028" i="5"/>
  <c r="H1028" i="5"/>
  <c r="I1027" i="5"/>
  <c r="H1027" i="5"/>
  <c r="I1026" i="5"/>
  <c r="H1026" i="5"/>
  <c r="I1025" i="5"/>
  <c r="H1025" i="5"/>
  <c r="I1024" i="5"/>
  <c r="H1024" i="5"/>
  <c r="I1023" i="5"/>
  <c r="H1023" i="5"/>
  <c r="I1022" i="5"/>
  <c r="H1022" i="5"/>
  <c r="I1021" i="5"/>
  <c r="H1021" i="5"/>
  <c r="I1020" i="5"/>
  <c r="H1020" i="5"/>
  <c r="I1019" i="5"/>
  <c r="H1019" i="5"/>
  <c r="I1018" i="5"/>
  <c r="H1018" i="5"/>
  <c r="I1017" i="5"/>
  <c r="H1017" i="5"/>
  <c r="I1016" i="5"/>
  <c r="H1016" i="5"/>
  <c r="I1015" i="5"/>
  <c r="H1015" i="5"/>
  <c r="I1014" i="5"/>
  <c r="H1014" i="5"/>
  <c r="I1013" i="5"/>
  <c r="H1013" i="5"/>
  <c r="I1012" i="5"/>
  <c r="H1012" i="5"/>
  <c r="I1011" i="5"/>
  <c r="H1011" i="5"/>
  <c r="I1010" i="5"/>
  <c r="H1010" i="5"/>
  <c r="I1009" i="5"/>
  <c r="H1009" i="5"/>
  <c r="I1008" i="5"/>
  <c r="H1008" i="5"/>
  <c r="I1007" i="5"/>
  <c r="H1007" i="5"/>
  <c r="I1006" i="5"/>
  <c r="H1006" i="5"/>
  <c r="I1005" i="5"/>
  <c r="H1005" i="5"/>
  <c r="I1004" i="5"/>
  <c r="H1004" i="5"/>
  <c r="I1003" i="5"/>
  <c r="H1003" i="5"/>
  <c r="I1002" i="5"/>
  <c r="H1002" i="5"/>
  <c r="I1001" i="5"/>
  <c r="H1001" i="5"/>
  <c r="I1000" i="5"/>
  <c r="H1000" i="5"/>
  <c r="I999" i="5"/>
  <c r="H999" i="5"/>
  <c r="I998" i="5"/>
  <c r="H998" i="5"/>
  <c r="I997" i="5"/>
  <c r="H997" i="5"/>
  <c r="I996" i="5"/>
  <c r="H996" i="5"/>
  <c r="I995" i="5"/>
  <c r="H995" i="5"/>
  <c r="I994" i="5"/>
  <c r="H994" i="5"/>
  <c r="I993" i="5"/>
  <c r="H993" i="5"/>
  <c r="I992" i="5"/>
  <c r="H992" i="5"/>
  <c r="I991" i="5"/>
  <c r="H991" i="5"/>
  <c r="I990" i="5"/>
  <c r="H990" i="5"/>
  <c r="I989" i="5"/>
  <c r="H989" i="5"/>
  <c r="I988" i="5"/>
  <c r="H988" i="5"/>
  <c r="I987" i="5"/>
  <c r="H987" i="5"/>
  <c r="I986" i="5"/>
  <c r="H986" i="5"/>
  <c r="I985" i="5"/>
  <c r="H985" i="5"/>
  <c r="I984" i="5"/>
  <c r="H984" i="5"/>
  <c r="I983" i="5"/>
  <c r="H983" i="5"/>
  <c r="I982" i="5"/>
  <c r="H982" i="5"/>
  <c r="I981" i="5"/>
  <c r="H981" i="5"/>
  <c r="I980" i="5"/>
  <c r="H980" i="5"/>
  <c r="I979" i="5"/>
  <c r="H979" i="5"/>
  <c r="I978" i="5"/>
  <c r="H978" i="5"/>
  <c r="I977" i="5"/>
  <c r="H977" i="5"/>
  <c r="I976" i="5"/>
  <c r="H976" i="5"/>
  <c r="I975" i="5"/>
  <c r="H975" i="5"/>
  <c r="I974" i="5"/>
  <c r="H974" i="5"/>
  <c r="I973" i="5"/>
  <c r="H973" i="5"/>
  <c r="I972" i="5"/>
  <c r="H972" i="5"/>
  <c r="I971" i="5"/>
  <c r="H971" i="5"/>
  <c r="I970" i="5"/>
  <c r="H970" i="5"/>
  <c r="I969" i="5"/>
  <c r="H969" i="5"/>
  <c r="I968" i="5"/>
  <c r="H968" i="5"/>
  <c r="I967" i="5"/>
  <c r="H967" i="5"/>
  <c r="I966" i="5"/>
  <c r="H966" i="5"/>
  <c r="I965" i="5"/>
  <c r="H965" i="5"/>
  <c r="I964" i="5"/>
  <c r="H964" i="5"/>
  <c r="I963" i="5"/>
  <c r="H963" i="5"/>
  <c r="I962" i="5"/>
  <c r="H962" i="5"/>
  <c r="I961" i="5"/>
  <c r="H961" i="5"/>
  <c r="I960" i="5"/>
  <c r="H960" i="5"/>
  <c r="I959" i="5"/>
  <c r="H959" i="5"/>
  <c r="I958" i="5"/>
  <c r="H958" i="5"/>
  <c r="I957" i="5"/>
  <c r="H957" i="5"/>
  <c r="I956" i="5"/>
  <c r="H956" i="5"/>
  <c r="I955" i="5"/>
  <c r="H955" i="5"/>
  <c r="I954" i="5"/>
  <c r="H954" i="5"/>
  <c r="I953" i="5"/>
  <c r="H953" i="5"/>
  <c r="I952" i="5"/>
  <c r="H952" i="5"/>
  <c r="I951" i="5"/>
  <c r="H951" i="5"/>
  <c r="I950" i="5"/>
  <c r="H950" i="5"/>
  <c r="I949" i="5"/>
  <c r="H949" i="5"/>
  <c r="I948" i="5"/>
  <c r="H948" i="5"/>
  <c r="I947" i="5"/>
  <c r="H947" i="5"/>
  <c r="I946" i="5"/>
  <c r="H946" i="5"/>
  <c r="I945" i="5"/>
  <c r="H945" i="5"/>
  <c r="I944" i="5"/>
  <c r="H944" i="5"/>
  <c r="I943" i="5"/>
  <c r="H943" i="5"/>
  <c r="I942" i="5"/>
  <c r="H942" i="5"/>
  <c r="I941" i="5"/>
  <c r="H941" i="5"/>
  <c r="I940" i="5"/>
  <c r="H940" i="5"/>
  <c r="I939" i="5"/>
  <c r="H939" i="5"/>
  <c r="I938" i="5"/>
  <c r="H938" i="5"/>
  <c r="I937" i="5"/>
  <c r="H937" i="5"/>
  <c r="I936" i="5"/>
  <c r="H936" i="5"/>
  <c r="I935" i="5"/>
  <c r="H935" i="5"/>
  <c r="I934" i="5"/>
  <c r="H934" i="5"/>
  <c r="I933" i="5"/>
  <c r="H933" i="5"/>
  <c r="I932" i="5"/>
  <c r="H932" i="5"/>
  <c r="I931" i="5"/>
  <c r="H931" i="5"/>
  <c r="I930" i="5"/>
  <c r="H930" i="5"/>
  <c r="I929" i="5"/>
  <c r="H929" i="5"/>
  <c r="I928" i="5"/>
  <c r="H928" i="5"/>
  <c r="I927" i="5"/>
  <c r="H927" i="5"/>
  <c r="I926" i="5"/>
  <c r="H926" i="5"/>
  <c r="I925" i="5"/>
  <c r="H925" i="5"/>
  <c r="I924" i="5"/>
  <c r="H924" i="5"/>
  <c r="I923" i="5"/>
  <c r="H923" i="5"/>
  <c r="I922" i="5"/>
  <c r="H922" i="5"/>
  <c r="I921" i="5"/>
  <c r="H921" i="5"/>
  <c r="I920" i="5"/>
  <c r="H920" i="5"/>
  <c r="I919" i="5"/>
  <c r="H919" i="5"/>
  <c r="I918" i="5"/>
  <c r="H918" i="5"/>
  <c r="I917" i="5"/>
  <c r="H917" i="5"/>
  <c r="I916" i="5"/>
  <c r="H916" i="5"/>
  <c r="I915" i="5"/>
  <c r="H915" i="5"/>
  <c r="I914" i="5"/>
  <c r="H914" i="5"/>
  <c r="I913" i="5"/>
  <c r="H913" i="5"/>
  <c r="I912" i="5"/>
  <c r="H912" i="5"/>
  <c r="I911" i="5"/>
  <c r="H911" i="5"/>
  <c r="I910" i="5"/>
  <c r="H910" i="5"/>
  <c r="I909" i="5"/>
  <c r="H909" i="5"/>
  <c r="I908" i="5"/>
  <c r="H908" i="5"/>
  <c r="I907" i="5"/>
  <c r="H907" i="5"/>
  <c r="I906" i="5"/>
  <c r="H906" i="5"/>
  <c r="I905" i="5"/>
  <c r="H905" i="5"/>
  <c r="I904" i="5"/>
  <c r="H904" i="5"/>
  <c r="I903" i="5"/>
  <c r="H903" i="5"/>
  <c r="I902" i="5"/>
  <c r="H902" i="5"/>
  <c r="I901" i="5"/>
  <c r="H901" i="5"/>
  <c r="I900" i="5"/>
  <c r="H900" i="5"/>
  <c r="I899" i="5"/>
  <c r="H899" i="5"/>
  <c r="I898" i="5"/>
  <c r="H898" i="5"/>
  <c r="I897" i="5"/>
  <c r="H897" i="5"/>
  <c r="I896" i="5"/>
  <c r="H896" i="5"/>
  <c r="I895" i="5"/>
  <c r="H895" i="5"/>
  <c r="I894" i="5"/>
  <c r="H894" i="5"/>
  <c r="I893" i="5"/>
  <c r="H893" i="5"/>
  <c r="I892" i="5"/>
  <c r="H892" i="5"/>
  <c r="I891" i="5"/>
  <c r="H891" i="5"/>
  <c r="I890" i="5"/>
  <c r="H890" i="5"/>
  <c r="I889" i="5"/>
  <c r="H889" i="5"/>
  <c r="I888" i="5"/>
  <c r="H888" i="5"/>
  <c r="I887" i="5"/>
  <c r="H887" i="5"/>
  <c r="I886" i="5"/>
  <c r="H886" i="5"/>
  <c r="I885" i="5"/>
  <c r="H885" i="5"/>
  <c r="I884" i="5"/>
  <c r="H884" i="5"/>
  <c r="I883" i="5"/>
  <c r="H883" i="5"/>
  <c r="I882" i="5"/>
  <c r="H882" i="5"/>
  <c r="I881" i="5"/>
  <c r="H881" i="5"/>
  <c r="I880" i="5"/>
  <c r="H880" i="5"/>
  <c r="I879" i="5"/>
  <c r="H879" i="5"/>
  <c r="I878" i="5"/>
  <c r="H878" i="5"/>
  <c r="I877" i="5"/>
  <c r="H877" i="5"/>
  <c r="I876" i="5"/>
  <c r="H876" i="5"/>
  <c r="I875" i="5"/>
  <c r="H875" i="5"/>
  <c r="I874" i="5"/>
  <c r="H874" i="5"/>
  <c r="I873" i="5"/>
  <c r="H873" i="5"/>
  <c r="I872" i="5"/>
  <c r="H872" i="5"/>
  <c r="I871" i="5"/>
  <c r="H871" i="5"/>
  <c r="I870" i="5"/>
  <c r="H870" i="5"/>
  <c r="I869" i="5"/>
  <c r="H869" i="5"/>
  <c r="I868" i="5"/>
  <c r="H868" i="5"/>
  <c r="I867" i="5"/>
  <c r="H867" i="5"/>
  <c r="I866" i="5"/>
  <c r="H866" i="5"/>
  <c r="I865" i="5"/>
  <c r="H865" i="5"/>
  <c r="I864" i="5"/>
  <c r="H864" i="5"/>
  <c r="I863" i="5"/>
  <c r="H863" i="5"/>
  <c r="I862" i="5"/>
  <c r="H862" i="5"/>
  <c r="I861" i="5"/>
  <c r="H861" i="5"/>
  <c r="I860" i="5"/>
  <c r="H860" i="5"/>
  <c r="I859" i="5"/>
  <c r="H859" i="5"/>
  <c r="I858" i="5"/>
  <c r="H858" i="5"/>
  <c r="I857" i="5"/>
  <c r="H857" i="5"/>
  <c r="I856" i="5"/>
  <c r="H856" i="5"/>
  <c r="I855" i="5"/>
  <c r="H855" i="5"/>
  <c r="I854" i="5"/>
  <c r="H854" i="5"/>
  <c r="I853" i="5"/>
  <c r="H853" i="5"/>
  <c r="I852" i="5"/>
  <c r="H852" i="5"/>
  <c r="I851" i="5"/>
  <c r="H851" i="5"/>
  <c r="I850" i="5"/>
  <c r="H850" i="5"/>
  <c r="I849" i="5"/>
  <c r="H849" i="5"/>
  <c r="I848" i="5"/>
  <c r="H848" i="5"/>
  <c r="I847" i="5"/>
  <c r="H847" i="5"/>
  <c r="I846" i="5"/>
  <c r="H846" i="5"/>
  <c r="I845" i="5"/>
  <c r="H845" i="5"/>
  <c r="I844" i="5"/>
  <c r="H844" i="5"/>
  <c r="I843" i="5"/>
  <c r="H843" i="5"/>
  <c r="I842" i="5"/>
  <c r="H842" i="5"/>
  <c r="I841" i="5"/>
  <c r="H841" i="5"/>
  <c r="I840" i="5"/>
  <c r="H840" i="5"/>
  <c r="I839" i="5"/>
  <c r="H839" i="5"/>
  <c r="I838" i="5"/>
  <c r="H838" i="5"/>
  <c r="I837" i="5"/>
  <c r="H837" i="5"/>
  <c r="I836" i="5"/>
  <c r="H836" i="5"/>
  <c r="I835" i="5"/>
  <c r="H835" i="5"/>
  <c r="I834" i="5"/>
  <c r="H834" i="5"/>
  <c r="I833" i="5"/>
  <c r="H833" i="5"/>
  <c r="I832" i="5"/>
  <c r="H832" i="5"/>
  <c r="I831" i="5"/>
  <c r="H831" i="5"/>
  <c r="I830" i="5"/>
  <c r="H830" i="5"/>
  <c r="I829" i="5"/>
  <c r="H829" i="5"/>
  <c r="I828" i="5"/>
  <c r="H828" i="5"/>
  <c r="I827" i="5"/>
  <c r="H827" i="5"/>
  <c r="I826" i="5"/>
  <c r="H826" i="5"/>
  <c r="I825" i="5"/>
  <c r="H825" i="5"/>
  <c r="I824" i="5"/>
  <c r="H824" i="5"/>
  <c r="I823" i="5"/>
  <c r="H823" i="5"/>
  <c r="I822" i="5"/>
  <c r="H822" i="5"/>
  <c r="I821" i="5"/>
  <c r="H821" i="5"/>
  <c r="I820" i="5"/>
  <c r="H820" i="5"/>
  <c r="I819" i="5"/>
  <c r="H819" i="5"/>
  <c r="I818" i="5"/>
  <c r="H818" i="5"/>
  <c r="I817" i="5"/>
  <c r="H817" i="5"/>
  <c r="I816" i="5"/>
  <c r="H816" i="5"/>
  <c r="I815" i="5"/>
  <c r="H815" i="5"/>
  <c r="I814" i="5"/>
  <c r="H814" i="5"/>
  <c r="I813" i="5"/>
  <c r="H813" i="5"/>
  <c r="I812" i="5"/>
  <c r="H812" i="5"/>
  <c r="I811" i="5"/>
  <c r="H811" i="5"/>
  <c r="I810" i="5"/>
  <c r="H810" i="5"/>
  <c r="I809" i="5"/>
  <c r="H809" i="5"/>
  <c r="I808" i="5"/>
  <c r="H808" i="5"/>
  <c r="I807" i="5"/>
  <c r="H807" i="5"/>
  <c r="I806" i="5"/>
  <c r="H806" i="5"/>
  <c r="I805" i="5"/>
  <c r="H805" i="5"/>
  <c r="I804" i="5"/>
  <c r="H804" i="5"/>
  <c r="I803" i="5"/>
  <c r="H803" i="5"/>
  <c r="I802" i="5"/>
  <c r="H802" i="5"/>
  <c r="I801" i="5"/>
  <c r="H801" i="5"/>
  <c r="I800" i="5"/>
  <c r="H800" i="5"/>
  <c r="I799" i="5"/>
  <c r="H799" i="5"/>
  <c r="I798" i="5"/>
  <c r="H798" i="5"/>
  <c r="I797" i="5"/>
  <c r="H797" i="5"/>
  <c r="I796" i="5"/>
  <c r="H796" i="5"/>
  <c r="I795" i="5"/>
  <c r="H795" i="5"/>
  <c r="I794" i="5"/>
  <c r="H794" i="5"/>
  <c r="I793" i="5"/>
  <c r="H793" i="5"/>
  <c r="I792" i="5"/>
  <c r="H792" i="5"/>
  <c r="I791" i="5"/>
  <c r="H791" i="5"/>
  <c r="I790" i="5"/>
  <c r="H790" i="5"/>
  <c r="I789" i="5"/>
  <c r="H789" i="5"/>
  <c r="I788" i="5"/>
  <c r="H788" i="5"/>
  <c r="I787" i="5"/>
  <c r="H787" i="5"/>
  <c r="I786" i="5"/>
  <c r="H786" i="5"/>
  <c r="I785" i="5"/>
  <c r="H785" i="5"/>
  <c r="I784" i="5"/>
  <c r="H784" i="5"/>
  <c r="I783" i="5"/>
  <c r="H783" i="5"/>
  <c r="I782" i="5"/>
  <c r="H782" i="5"/>
  <c r="I781" i="5"/>
  <c r="H781" i="5"/>
  <c r="I780" i="5"/>
  <c r="H780" i="5"/>
  <c r="I779" i="5"/>
  <c r="H779" i="5"/>
  <c r="I778" i="5"/>
  <c r="H778" i="5"/>
  <c r="I777" i="5"/>
  <c r="H777" i="5"/>
  <c r="I776" i="5"/>
  <c r="H776" i="5"/>
  <c r="I775" i="5"/>
  <c r="H775" i="5"/>
  <c r="I774" i="5"/>
  <c r="H774" i="5"/>
  <c r="I773" i="5"/>
  <c r="H773" i="5"/>
  <c r="I772" i="5"/>
  <c r="H772" i="5"/>
  <c r="I771" i="5"/>
  <c r="H771" i="5"/>
  <c r="I770" i="5"/>
  <c r="H770" i="5"/>
  <c r="I769" i="5"/>
  <c r="H769" i="5"/>
  <c r="I768" i="5"/>
  <c r="H768" i="5"/>
  <c r="I767" i="5"/>
  <c r="H767" i="5"/>
  <c r="I766" i="5"/>
  <c r="H766" i="5"/>
  <c r="I765" i="5"/>
  <c r="H765" i="5"/>
  <c r="I764" i="5"/>
  <c r="H764" i="5"/>
  <c r="I763" i="5"/>
  <c r="H763" i="5"/>
  <c r="I762" i="5"/>
  <c r="H762" i="5"/>
  <c r="I761" i="5"/>
  <c r="H761" i="5"/>
  <c r="I760" i="5"/>
  <c r="H760" i="5"/>
  <c r="I759" i="5"/>
  <c r="H759" i="5"/>
  <c r="I758" i="5"/>
  <c r="H758" i="5"/>
  <c r="I757" i="5"/>
  <c r="H757" i="5"/>
  <c r="I756" i="5"/>
  <c r="H756" i="5"/>
  <c r="I755" i="5"/>
  <c r="H755" i="5"/>
  <c r="I754" i="5"/>
  <c r="H754" i="5"/>
  <c r="I753" i="5"/>
  <c r="H753" i="5"/>
  <c r="I752" i="5"/>
  <c r="H752" i="5"/>
  <c r="I751" i="5"/>
  <c r="H751" i="5"/>
  <c r="I750" i="5"/>
  <c r="H750" i="5"/>
  <c r="I749" i="5"/>
  <c r="H749" i="5"/>
  <c r="I748" i="5"/>
  <c r="H748" i="5"/>
  <c r="I747" i="5"/>
  <c r="H747" i="5"/>
  <c r="I746" i="5"/>
  <c r="H746" i="5"/>
  <c r="I745" i="5"/>
  <c r="H745" i="5"/>
  <c r="I744" i="5"/>
  <c r="H744" i="5"/>
  <c r="I743" i="5"/>
  <c r="H743" i="5"/>
  <c r="I742" i="5"/>
  <c r="H742" i="5"/>
  <c r="I741" i="5"/>
  <c r="H741" i="5"/>
  <c r="I740" i="5"/>
  <c r="H740" i="5"/>
  <c r="I739" i="5"/>
  <c r="H739" i="5"/>
  <c r="I738" i="5"/>
  <c r="H738" i="5"/>
  <c r="I737" i="5"/>
  <c r="H737" i="5"/>
  <c r="I736" i="5"/>
  <c r="H736" i="5"/>
  <c r="I735" i="5"/>
  <c r="H735" i="5"/>
  <c r="I734" i="5"/>
  <c r="H734" i="5"/>
  <c r="I733" i="5"/>
  <c r="H733" i="5"/>
  <c r="I732" i="5"/>
  <c r="H732" i="5"/>
  <c r="I731" i="5"/>
  <c r="H731" i="5"/>
  <c r="I730" i="5"/>
  <c r="H730" i="5"/>
  <c r="I729" i="5"/>
  <c r="H729" i="5"/>
  <c r="I728" i="5"/>
  <c r="H728" i="5"/>
  <c r="I727" i="5"/>
  <c r="H727" i="5"/>
  <c r="I726" i="5"/>
  <c r="H726" i="5"/>
  <c r="I725" i="5"/>
  <c r="H725" i="5"/>
  <c r="I724" i="5"/>
  <c r="H724" i="5"/>
  <c r="I723" i="5"/>
  <c r="H723" i="5"/>
  <c r="I722" i="5"/>
  <c r="H722" i="5"/>
  <c r="I721" i="5"/>
  <c r="H721" i="5"/>
  <c r="I720" i="5"/>
  <c r="H720" i="5"/>
  <c r="I719" i="5"/>
  <c r="H719" i="5"/>
  <c r="I718" i="5"/>
  <c r="H718" i="5"/>
  <c r="I717" i="5"/>
  <c r="H717" i="5"/>
  <c r="I716" i="5"/>
  <c r="H716" i="5"/>
  <c r="I715" i="5"/>
  <c r="H715" i="5"/>
  <c r="I714" i="5"/>
  <c r="H714" i="5"/>
  <c r="I713" i="5"/>
  <c r="H713" i="5"/>
  <c r="I712" i="5"/>
  <c r="H712" i="5"/>
  <c r="I711" i="5"/>
  <c r="H711" i="5"/>
  <c r="I710" i="5"/>
  <c r="H710" i="5"/>
  <c r="I709" i="5"/>
  <c r="H709" i="5"/>
  <c r="I708" i="5"/>
  <c r="H708" i="5"/>
  <c r="I707" i="5"/>
  <c r="H707" i="5"/>
  <c r="I706" i="5"/>
  <c r="H706" i="5"/>
  <c r="I705" i="5"/>
  <c r="H705" i="5"/>
  <c r="I704" i="5"/>
  <c r="H704" i="5"/>
  <c r="I703" i="5"/>
  <c r="H703" i="5"/>
  <c r="I702" i="5"/>
  <c r="H702" i="5"/>
  <c r="I701" i="5"/>
  <c r="H701" i="5"/>
  <c r="I700" i="5"/>
  <c r="H700" i="5"/>
  <c r="I699" i="5"/>
  <c r="H699" i="5"/>
  <c r="I698" i="5"/>
  <c r="H698" i="5"/>
  <c r="I697" i="5"/>
  <c r="H697" i="5"/>
  <c r="I696" i="5"/>
  <c r="H696" i="5"/>
  <c r="I695" i="5"/>
  <c r="H695" i="5"/>
  <c r="I694" i="5"/>
  <c r="H694" i="5"/>
  <c r="I693" i="5"/>
  <c r="H693" i="5"/>
  <c r="I692" i="5"/>
  <c r="H692" i="5"/>
  <c r="I691" i="5"/>
  <c r="H691" i="5"/>
  <c r="I690" i="5"/>
  <c r="H690" i="5"/>
  <c r="I689" i="5"/>
  <c r="H689" i="5"/>
  <c r="I688" i="5"/>
  <c r="H688" i="5"/>
  <c r="I687" i="5"/>
  <c r="H687" i="5"/>
  <c r="I686" i="5"/>
  <c r="H686" i="5"/>
  <c r="I685" i="5"/>
  <c r="H685" i="5"/>
  <c r="I684" i="5"/>
  <c r="H684" i="5"/>
  <c r="I683" i="5"/>
  <c r="H683" i="5"/>
  <c r="I682" i="5"/>
  <c r="H682" i="5"/>
  <c r="I681" i="5"/>
  <c r="H681" i="5"/>
  <c r="I680" i="5"/>
  <c r="H680" i="5"/>
  <c r="I679" i="5"/>
  <c r="H679" i="5"/>
  <c r="I678" i="5"/>
  <c r="H678" i="5"/>
  <c r="I677" i="5"/>
  <c r="H677" i="5"/>
  <c r="I676" i="5"/>
  <c r="H676" i="5"/>
  <c r="I675" i="5"/>
  <c r="H675" i="5"/>
  <c r="I674" i="5"/>
  <c r="H674" i="5"/>
  <c r="I673" i="5"/>
  <c r="H673" i="5"/>
  <c r="I672" i="5"/>
  <c r="H672" i="5"/>
  <c r="I671" i="5"/>
  <c r="H671" i="5"/>
  <c r="I670" i="5"/>
  <c r="H670" i="5"/>
  <c r="I669" i="5"/>
  <c r="H669" i="5"/>
  <c r="I668" i="5"/>
  <c r="H668" i="5"/>
  <c r="I667" i="5"/>
  <c r="H667" i="5"/>
  <c r="I666" i="5"/>
  <c r="H666" i="5"/>
  <c r="I665" i="5"/>
  <c r="H665" i="5"/>
  <c r="I664" i="5"/>
  <c r="H664" i="5"/>
  <c r="I663" i="5"/>
  <c r="H663" i="5"/>
  <c r="I662" i="5"/>
  <c r="H662" i="5"/>
  <c r="I661" i="5"/>
  <c r="H661" i="5"/>
  <c r="I660" i="5"/>
  <c r="H660" i="5"/>
  <c r="I659" i="5"/>
  <c r="H659" i="5"/>
  <c r="I658" i="5"/>
  <c r="H658" i="5"/>
  <c r="I657" i="5"/>
  <c r="H657" i="5"/>
  <c r="I656" i="5"/>
  <c r="H656" i="5"/>
  <c r="I655" i="5"/>
  <c r="H655" i="5"/>
  <c r="I654" i="5"/>
  <c r="H654" i="5"/>
  <c r="I653" i="5"/>
  <c r="H653" i="5"/>
  <c r="I652" i="5"/>
  <c r="H652" i="5"/>
  <c r="I651" i="5"/>
  <c r="H651" i="5"/>
  <c r="I650" i="5"/>
  <c r="H650" i="5"/>
  <c r="I649" i="5"/>
  <c r="H649" i="5"/>
  <c r="I648" i="5"/>
  <c r="H648" i="5"/>
  <c r="I647" i="5"/>
  <c r="H647" i="5"/>
  <c r="I646" i="5"/>
  <c r="H646" i="5"/>
  <c r="I645" i="5"/>
  <c r="H645" i="5"/>
  <c r="I644" i="5"/>
  <c r="H644" i="5"/>
  <c r="I643" i="5"/>
  <c r="H643" i="5"/>
  <c r="I642" i="5"/>
  <c r="H642" i="5"/>
  <c r="I641" i="5"/>
  <c r="H641" i="5"/>
  <c r="I640" i="5"/>
  <c r="H640" i="5"/>
  <c r="I639" i="5"/>
  <c r="H639" i="5"/>
  <c r="I638" i="5"/>
  <c r="H638" i="5"/>
  <c r="I637" i="5"/>
  <c r="H637" i="5"/>
  <c r="I636" i="5"/>
  <c r="H636" i="5"/>
  <c r="I635" i="5"/>
  <c r="H635" i="5"/>
  <c r="I634" i="5"/>
  <c r="H634" i="5"/>
  <c r="I633" i="5"/>
  <c r="H633" i="5"/>
  <c r="I632" i="5"/>
  <c r="H632" i="5"/>
  <c r="I631" i="5"/>
  <c r="H631" i="5"/>
  <c r="I630" i="5"/>
  <c r="H630" i="5"/>
  <c r="I629" i="5"/>
  <c r="H629" i="5"/>
  <c r="I628" i="5"/>
  <c r="H628" i="5"/>
  <c r="I627" i="5"/>
  <c r="H627" i="5"/>
  <c r="I626" i="5"/>
  <c r="H626" i="5"/>
  <c r="I625" i="5"/>
  <c r="H625" i="5"/>
  <c r="I624" i="5"/>
  <c r="H624" i="5"/>
  <c r="I623" i="5"/>
  <c r="H623" i="5"/>
  <c r="I622" i="5"/>
  <c r="H622" i="5"/>
  <c r="I621" i="5"/>
  <c r="H621" i="5"/>
  <c r="I620" i="5"/>
  <c r="H620" i="5"/>
  <c r="I619" i="5"/>
  <c r="H619" i="5"/>
  <c r="I618" i="5"/>
  <c r="H618" i="5"/>
  <c r="I617" i="5"/>
  <c r="H617" i="5"/>
  <c r="I616" i="5"/>
  <c r="H616" i="5"/>
  <c r="I615" i="5"/>
  <c r="H615" i="5"/>
  <c r="I614" i="5"/>
  <c r="H614" i="5"/>
  <c r="I613" i="5"/>
  <c r="H613" i="5"/>
  <c r="I612" i="5"/>
  <c r="H612" i="5"/>
  <c r="I611" i="5"/>
  <c r="H611" i="5"/>
  <c r="I610" i="5"/>
  <c r="H610" i="5"/>
  <c r="I609" i="5"/>
  <c r="H609" i="5"/>
  <c r="I608" i="5"/>
  <c r="H608" i="5"/>
  <c r="I607" i="5"/>
  <c r="H607" i="5"/>
  <c r="I606" i="5"/>
  <c r="H606" i="5"/>
  <c r="I605" i="5"/>
  <c r="H605" i="5"/>
  <c r="I604" i="5"/>
  <c r="H604" i="5"/>
  <c r="I603" i="5"/>
  <c r="H603" i="5"/>
  <c r="I602" i="5"/>
  <c r="H602" i="5"/>
  <c r="I601" i="5"/>
  <c r="H601" i="5"/>
  <c r="I600" i="5"/>
  <c r="H600" i="5"/>
  <c r="I599" i="5"/>
  <c r="H599" i="5"/>
  <c r="I598" i="5"/>
  <c r="H598" i="5"/>
  <c r="I597" i="5"/>
  <c r="H597" i="5"/>
  <c r="I596" i="5"/>
  <c r="H596" i="5"/>
  <c r="I595" i="5"/>
  <c r="H595" i="5"/>
  <c r="I594" i="5"/>
  <c r="H594" i="5"/>
  <c r="I593" i="5"/>
  <c r="H593" i="5"/>
  <c r="I592" i="5"/>
  <c r="H592" i="5"/>
  <c r="I591" i="5"/>
  <c r="H591" i="5"/>
  <c r="I590" i="5"/>
  <c r="H590" i="5"/>
  <c r="I589" i="5"/>
  <c r="H589" i="5"/>
  <c r="I588" i="5"/>
  <c r="H588" i="5"/>
  <c r="I587" i="5"/>
  <c r="H587" i="5"/>
  <c r="I586" i="5"/>
  <c r="H586" i="5"/>
  <c r="I585" i="5"/>
  <c r="H585" i="5"/>
  <c r="I584" i="5"/>
  <c r="H584" i="5"/>
  <c r="I583" i="5"/>
  <c r="H583" i="5"/>
  <c r="I582" i="5"/>
  <c r="H582" i="5"/>
  <c r="I581" i="5"/>
  <c r="H581" i="5"/>
  <c r="I580" i="5"/>
  <c r="H580" i="5"/>
  <c r="I579" i="5"/>
  <c r="H579" i="5"/>
  <c r="I578" i="5"/>
  <c r="H578" i="5"/>
  <c r="I577" i="5"/>
  <c r="H577" i="5"/>
  <c r="I576" i="5"/>
  <c r="H576" i="5"/>
  <c r="I575" i="5"/>
  <c r="H575" i="5"/>
  <c r="I574" i="5"/>
  <c r="H574" i="5"/>
  <c r="I573" i="5"/>
  <c r="H573" i="5"/>
  <c r="I572" i="5"/>
  <c r="H572" i="5"/>
  <c r="I571" i="5"/>
  <c r="H571" i="5"/>
  <c r="I570" i="5"/>
  <c r="H570" i="5"/>
  <c r="I569" i="5"/>
  <c r="H569" i="5"/>
  <c r="I568" i="5"/>
  <c r="H568" i="5"/>
  <c r="I567" i="5"/>
  <c r="H567" i="5"/>
  <c r="I566" i="5"/>
  <c r="H566" i="5"/>
  <c r="I565" i="5"/>
  <c r="H565" i="5"/>
  <c r="I564" i="5"/>
  <c r="H564" i="5"/>
  <c r="I563" i="5"/>
  <c r="H563" i="5"/>
  <c r="I562" i="5"/>
  <c r="H562" i="5"/>
  <c r="I561" i="5"/>
  <c r="H561" i="5"/>
  <c r="I560" i="5"/>
  <c r="H560" i="5"/>
  <c r="I559" i="5"/>
  <c r="H559" i="5"/>
  <c r="I558" i="5"/>
  <c r="H558" i="5"/>
  <c r="I557" i="5"/>
  <c r="H557" i="5"/>
  <c r="I556" i="5"/>
  <c r="H556" i="5"/>
  <c r="I555" i="5"/>
  <c r="H555" i="5"/>
  <c r="I554" i="5"/>
  <c r="H554" i="5"/>
  <c r="I553" i="5"/>
  <c r="H553" i="5"/>
  <c r="I552" i="5"/>
  <c r="H552" i="5"/>
  <c r="I551" i="5"/>
  <c r="H551" i="5"/>
  <c r="I550" i="5"/>
  <c r="H550" i="5"/>
  <c r="I549" i="5"/>
  <c r="H549" i="5"/>
  <c r="I548" i="5"/>
  <c r="H548" i="5"/>
  <c r="I547" i="5"/>
  <c r="H547" i="5"/>
  <c r="I546" i="5"/>
  <c r="H546" i="5"/>
  <c r="I545" i="5"/>
  <c r="H545" i="5"/>
  <c r="I544" i="5"/>
  <c r="H544" i="5"/>
  <c r="I543" i="5"/>
  <c r="H543" i="5"/>
  <c r="I542" i="5"/>
  <c r="H542" i="5"/>
  <c r="I541" i="5"/>
  <c r="H541" i="5"/>
  <c r="I540" i="5"/>
  <c r="H540" i="5"/>
  <c r="I539" i="5"/>
  <c r="H539" i="5"/>
  <c r="I538" i="5"/>
  <c r="H538" i="5"/>
  <c r="I537" i="5"/>
  <c r="H537" i="5"/>
  <c r="I536" i="5"/>
  <c r="H536" i="5"/>
  <c r="I535" i="5"/>
  <c r="H535" i="5"/>
  <c r="I534" i="5"/>
  <c r="H534" i="5"/>
  <c r="I533" i="5"/>
  <c r="H533" i="5"/>
  <c r="I532" i="5"/>
  <c r="H532" i="5"/>
  <c r="I531" i="5"/>
  <c r="H531" i="5"/>
  <c r="I530" i="5"/>
  <c r="H530" i="5"/>
  <c r="I529" i="5"/>
  <c r="H529" i="5"/>
  <c r="I528" i="5"/>
  <c r="H528" i="5"/>
  <c r="I527" i="5"/>
  <c r="H527" i="5"/>
  <c r="I526" i="5"/>
  <c r="H526" i="5"/>
  <c r="I525" i="5"/>
  <c r="H525" i="5"/>
  <c r="I524" i="5"/>
  <c r="H524" i="5"/>
  <c r="I523" i="5"/>
  <c r="H523" i="5"/>
  <c r="I522" i="5"/>
  <c r="H522" i="5"/>
  <c r="I521" i="5"/>
  <c r="H521" i="5"/>
  <c r="I520" i="5"/>
  <c r="H520" i="5"/>
  <c r="I519" i="5"/>
  <c r="H519" i="5"/>
  <c r="I518" i="5"/>
  <c r="H518" i="5"/>
  <c r="I517" i="5"/>
  <c r="H517" i="5"/>
  <c r="I516" i="5"/>
  <c r="H516" i="5"/>
  <c r="I515" i="5"/>
  <c r="H515" i="5"/>
  <c r="I514" i="5"/>
  <c r="H514" i="5"/>
  <c r="I513" i="5"/>
  <c r="H513" i="5"/>
  <c r="I512" i="5"/>
  <c r="H512" i="5"/>
  <c r="I511" i="5"/>
  <c r="H511" i="5"/>
  <c r="I510" i="5"/>
  <c r="H510" i="5"/>
  <c r="I509" i="5"/>
  <c r="H509" i="5"/>
  <c r="I508" i="5"/>
  <c r="H508" i="5"/>
  <c r="I507" i="5"/>
  <c r="H507" i="5"/>
  <c r="I506" i="5"/>
  <c r="H506" i="5"/>
  <c r="I505" i="5"/>
  <c r="H505" i="5"/>
  <c r="I504" i="5"/>
  <c r="H504" i="5"/>
  <c r="I503" i="5"/>
  <c r="H503" i="5"/>
  <c r="I502" i="5"/>
  <c r="H502" i="5"/>
  <c r="I501" i="5"/>
  <c r="H501" i="5"/>
  <c r="I500" i="5"/>
  <c r="H500" i="5"/>
  <c r="I499" i="5"/>
  <c r="H499" i="5"/>
  <c r="I498" i="5"/>
  <c r="H498" i="5"/>
  <c r="I497" i="5"/>
  <c r="H497" i="5"/>
  <c r="I496" i="5"/>
  <c r="H496" i="5"/>
  <c r="I495" i="5"/>
  <c r="H495" i="5"/>
  <c r="I494" i="5"/>
  <c r="H494" i="5"/>
  <c r="I493" i="5"/>
  <c r="H493" i="5"/>
  <c r="I492" i="5"/>
  <c r="H492" i="5"/>
  <c r="I491" i="5"/>
  <c r="H491" i="5"/>
  <c r="I490" i="5"/>
  <c r="H490" i="5"/>
  <c r="I489" i="5"/>
  <c r="H489" i="5"/>
  <c r="I488" i="5"/>
  <c r="H488" i="5"/>
  <c r="I487" i="5"/>
  <c r="H487" i="5"/>
  <c r="I486" i="5"/>
  <c r="H486" i="5"/>
  <c r="I485" i="5"/>
  <c r="H485" i="5"/>
  <c r="I484" i="5"/>
  <c r="H484" i="5"/>
  <c r="I483" i="5"/>
  <c r="H483" i="5"/>
  <c r="I482" i="5"/>
  <c r="H482" i="5"/>
  <c r="I481" i="5"/>
  <c r="H481" i="5"/>
  <c r="I480" i="5"/>
  <c r="H480" i="5"/>
  <c r="I479" i="5"/>
  <c r="H479" i="5"/>
  <c r="I478" i="5"/>
  <c r="H478" i="5"/>
  <c r="I477" i="5"/>
  <c r="H477" i="5"/>
  <c r="I476" i="5"/>
  <c r="H476" i="5"/>
  <c r="I475" i="5"/>
  <c r="H475" i="5"/>
  <c r="I474" i="5"/>
  <c r="H474" i="5"/>
  <c r="I473" i="5"/>
  <c r="H473" i="5"/>
  <c r="I472" i="5"/>
  <c r="H472" i="5"/>
  <c r="I471" i="5"/>
  <c r="H471" i="5"/>
  <c r="I470" i="5"/>
  <c r="H470" i="5"/>
  <c r="I469" i="5"/>
  <c r="H469" i="5"/>
  <c r="I468" i="5"/>
  <c r="H468" i="5"/>
  <c r="I467" i="5"/>
  <c r="H467" i="5"/>
  <c r="I466" i="5"/>
  <c r="H466" i="5"/>
  <c r="I465" i="5"/>
  <c r="H465" i="5"/>
  <c r="I464" i="5"/>
  <c r="H464" i="5"/>
  <c r="I463" i="5"/>
  <c r="H463" i="5"/>
  <c r="I462" i="5"/>
  <c r="H462" i="5"/>
  <c r="I461" i="5"/>
  <c r="H461" i="5"/>
  <c r="I460" i="5"/>
  <c r="H460" i="5"/>
  <c r="I459" i="5"/>
  <c r="H459" i="5"/>
  <c r="I458" i="5"/>
  <c r="H458" i="5"/>
  <c r="I457" i="5"/>
  <c r="H457" i="5"/>
  <c r="I456" i="5"/>
  <c r="H456" i="5"/>
  <c r="I455" i="5"/>
  <c r="H455" i="5"/>
  <c r="I454" i="5"/>
  <c r="H454" i="5"/>
  <c r="I453" i="5"/>
  <c r="H453" i="5"/>
  <c r="I452" i="5"/>
  <c r="H452" i="5"/>
  <c r="I451" i="5"/>
  <c r="H451" i="5"/>
  <c r="I450" i="5"/>
  <c r="H450" i="5"/>
  <c r="I449" i="5"/>
  <c r="H449" i="5"/>
  <c r="I448" i="5"/>
  <c r="H448" i="5"/>
  <c r="I447" i="5"/>
  <c r="H447" i="5"/>
  <c r="I446" i="5"/>
  <c r="H446" i="5"/>
  <c r="I445" i="5"/>
  <c r="H445" i="5"/>
  <c r="I444" i="5"/>
  <c r="H444" i="5"/>
  <c r="I443" i="5"/>
  <c r="H443" i="5"/>
  <c r="I442" i="5"/>
  <c r="H442" i="5"/>
  <c r="I441" i="5"/>
  <c r="H441" i="5"/>
  <c r="I440" i="5"/>
  <c r="H440" i="5"/>
  <c r="I439" i="5"/>
  <c r="H439" i="5"/>
  <c r="I438" i="5"/>
  <c r="H438" i="5"/>
  <c r="I437" i="5"/>
  <c r="H437" i="5"/>
  <c r="I436" i="5"/>
  <c r="H436" i="5"/>
  <c r="I435" i="5"/>
  <c r="H435" i="5"/>
  <c r="I434" i="5"/>
  <c r="H434" i="5"/>
  <c r="I433" i="5"/>
  <c r="H433" i="5"/>
  <c r="I432" i="5"/>
  <c r="H432" i="5"/>
  <c r="I431" i="5"/>
  <c r="H431" i="5"/>
  <c r="I430" i="5"/>
  <c r="H430" i="5"/>
  <c r="I429" i="5"/>
  <c r="H429" i="5"/>
  <c r="I428" i="5"/>
  <c r="H428" i="5"/>
  <c r="I427" i="5"/>
  <c r="H427" i="5"/>
  <c r="I426" i="5"/>
  <c r="H426" i="5"/>
  <c r="I425" i="5"/>
  <c r="H425" i="5"/>
  <c r="I424" i="5"/>
  <c r="H424" i="5"/>
  <c r="I423" i="5"/>
  <c r="H423" i="5"/>
  <c r="I422" i="5"/>
  <c r="H422" i="5"/>
  <c r="I421" i="5"/>
  <c r="H421" i="5"/>
  <c r="I420" i="5"/>
  <c r="H420" i="5"/>
  <c r="I419" i="5"/>
  <c r="H419" i="5"/>
  <c r="I418" i="5"/>
  <c r="H418" i="5"/>
  <c r="I417" i="5"/>
  <c r="H417" i="5"/>
  <c r="I416" i="5"/>
  <c r="H416" i="5"/>
  <c r="I415" i="5"/>
  <c r="H415" i="5"/>
  <c r="I414" i="5"/>
  <c r="H414" i="5"/>
  <c r="I413" i="5"/>
  <c r="H413" i="5"/>
  <c r="I412" i="5"/>
  <c r="H412" i="5"/>
  <c r="I411" i="5"/>
  <c r="H411" i="5"/>
  <c r="I410" i="5"/>
  <c r="H410" i="5"/>
  <c r="I409" i="5"/>
  <c r="H409" i="5"/>
  <c r="I408" i="5"/>
  <c r="H408" i="5"/>
  <c r="I407" i="5"/>
  <c r="H407" i="5"/>
  <c r="I406" i="5"/>
  <c r="H406" i="5"/>
  <c r="I405" i="5"/>
  <c r="H405" i="5"/>
  <c r="I404" i="5"/>
  <c r="H404" i="5"/>
  <c r="I403" i="5"/>
  <c r="H403" i="5"/>
  <c r="I402" i="5"/>
  <c r="H402" i="5"/>
  <c r="I401" i="5"/>
  <c r="H401" i="5"/>
  <c r="I400" i="5"/>
  <c r="H400" i="5"/>
  <c r="I399" i="5"/>
  <c r="H399" i="5"/>
  <c r="I398" i="5"/>
  <c r="H398" i="5"/>
  <c r="I397" i="5"/>
  <c r="H397" i="5"/>
  <c r="I396" i="5"/>
  <c r="H396" i="5"/>
  <c r="I395" i="5"/>
  <c r="H395" i="5"/>
  <c r="I394" i="5"/>
  <c r="H394" i="5"/>
  <c r="I393" i="5"/>
  <c r="H393" i="5"/>
  <c r="I392" i="5"/>
  <c r="H392" i="5"/>
  <c r="I391" i="5"/>
  <c r="H391" i="5"/>
  <c r="I390" i="5"/>
  <c r="H390" i="5"/>
  <c r="I389" i="5"/>
  <c r="H389" i="5"/>
  <c r="I388" i="5"/>
  <c r="H388" i="5"/>
  <c r="I387" i="5"/>
  <c r="H387" i="5"/>
  <c r="I386" i="5"/>
  <c r="H386" i="5"/>
  <c r="I385" i="5"/>
  <c r="H385" i="5"/>
  <c r="I384" i="5"/>
  <c r="H384" i="5"/>
  <c r="I383" i="5"/>
  <c r="H383" i="5"/>
  <c r="I382" i="5"/>
  <c r="H382" i="5"/>
  <c r="I381" i="5"/>
  <c r="H381" i="5"/>
  <c r="I380" i="5"/>
  <c r="H380" i="5"/>
  <c r="I379" i="5"/>
  <c r="H379" i="5"/>
  <c r="I378" i="5"/>
  <c r="H378" i="5"/>
  <c r="I377" i="5"/>
  <c r="H377" i="5"/>
  <c r="I376" i="5"/>
  <c r="H376" i="5"/>
  <c r="I375" i="5"/>
  <c r="H375" i="5"/>
  <c r="I374" i="5"/>
  <c r="H374" i="5"/>
  <c r="I373" i="5"/>
  <c r="H373" i="5"/>
  <c r="I372" i="5"/>
  <c r="H372" i="5"/>
  <c r="I371" i="5"/>
  <c r="H371" i="5"/>
  <c r="I370" i="5"/>
  <c r="H370" i="5"/>
  <c r="I369" i="5"/>
  <c r="H369" i="5"/>
  <c r="I368" i="5"/>
  <c r="H368" i="5"/>
  <c r="I367" i="5"/>
  <c r="H367" i="5"/>
  <c r="I366" i="5"/>
  <c r="H366" i="5"/>
  <c r="I365" i="5"/>
  <c r="H365" i="5"/>
  <c r="I364" i="5"/>
  <c r="H364" i="5"/>
  <c r="I363" i="5"/>
  <c r="H363" i="5"/>
  <c r="I362" i="5"/>
  <c r="H362" i="5"/>
  <c r="I361" i="5"/>
  <c r="H361" i="5"/>
  <c r="I360" i="5"/>
  <c r="H360" i="5"/>
  <c r="I359" i="5"/>
  <c r="H359" i="5"/>
  <c r="I358" i="5"/>
  <c r="H358" i="5"/>
  <c r="I357" i="5"/>
  <c r="H357" i="5"/>
  <c r="I356" i="5"/>
  <c r="H356" i="5"/>
  <c r="I355" i="5"/>
  <c r="H355" i="5"/>
  <c r="I354" i="5"/>
  <c r="H354" i="5"/>
  <c r="I353" i="5"/>
  <c r="H353" i="5"/>
  <c r="I352" i="5"/>
  <c r="H352" i="5"/>
  <c r="I351" i="5"/>
  <c r="H351" i="5"/>
  <c r="I350" i="5"/>
  <c r="H350" i="5"/>
  <c r="I349" i="5"/>
  <c r="H349" i="5"/>
  <c r="I348" i="5"/>
  <c r="H348" i="5"/>
  <c r="I347" i="5"/>
  <c r="H347" i="5"/>
  <c r="I346" i="5"/>
  <c r="H346" i="5"/>
  <c r="I345" i="5"/>
  <c r="H345" i="5"/>
  <c r="I344" i="5"/>
  <c r="H344" i="5"/>
  <c r="I343" i="5"/>
  <c r="H343" i="5"/>
  <c r="I342" i="5"/>
  <c r="H342" i="5"/>
  <c r="I341" i="5"/>
  <c r="H341" i="5"/>
  <c r="I340" i="5"/>
  <c r="H340" i="5"/>
  <c r="I339" i="5"/>
  <c r="H339" i="5"/>
  <c r="I338" i="5"/>
  <c r="H338" i="5"/>
  <c r="I337" i="5"/>
  <c r="H337" i="5"/>
  <c r="I336" i="5"/>
  <c r="H336" i="5"/>
  <c r="I335" i="5"/>
  <c r="H335" i="5"/>
  <c r="I334" i="5"/>
  <c r="H334" i="5"/>
  <c r="I333" i="5"/>
  <c r="H333" i="5"/>
  <c r="I332" i="5"/>
  <c r="H332" i="5"/>
  <c r="I331" i="5"/>
  <c r="H331" i="5"/>
  <c r="I330" i="5"/>
  <c r="H330" i="5"/>
  <c r="I329" i="5"/>
  <c r="H329" i="5"/>
  <c r="I328" i="5"/>
  <c r="H328" i="5"/>
  <c r="I327" i="5"/>
  <c r="H327" i="5"/>
  <c r="I326" i="5"/>
  <c r="H326" i="5"/>
  <c r="I325" i="5"/>
  <c r="H325" i="5"/>
  <c r="I324" i="5"/>
  <c r="H324" i="5"/>
  <c r="I323" i="5"/>
  <c r="H323" i="5"/>
  <c r="I322" i="5"/>
  <c r="H322" i="5"/>
  <c r="I321" i="5"/>
  <c r="H321" i="5"/>
  <c r="I320" i="5"/>
  <c r="H320" i="5"/>
  <c r="I319" i="5"/>
  <c r="H319" i="5"/>
  <c r="I318" i="5"/>
  <c r="H318" i="5"/>
  <c r="I317" i="5"/>
  <c r="H317" i="5"/>
  <c r="I316" i="5"/>
  <c r="H316" i="5"/>
  <c r="I315" i="5"/>
  <c r="H315" i="5"/>
  <c r="I314" i="5"/>
  <c r="H314" i="5"/>
  <c r="I313" i="5"/>
  <c r="H313" i="5"/>
  <c r="I312" i="5"/>
  <c r="H312" i="5"/>
  <c r="I311" i="5"/>
  <c r="H311" i="5"/>
  <c r="I310" i="5"/>
  <c r="H310" i="5"/>
  <c r="I309" i="5"/>
  <c r="H309" i="5"/>
  <c r="I308" i="5"/>
  <c r="H308" i="5"/>
  <c r="I307" i="5"/>
  <c r="H307" i="5"/>
  <c r="I306" i="5"/>
  <c r="H306" i="5"/>
  <c r="I305" i="5"/>
  <c r="H305" i="5"/>
  <c r="I304" i="5"/>
  <c r="H304" i="5"/>
  <c r="I303" i="5"/>
  <c r="H303" i="5"/>
  <c r="I302" i="5"/>
  <c r="H302" i="5"/>
  <c r="I301" i="5"/>
  <c r="H301" i="5"/>
  <c r="I300" i="5"/>
  <c r="H300" i="5"/>
  <c r="I299" i="5"/>
  <c r="H299" i="5"/>
  <c r="I298" i="5"/>
  <c r="H298" i="5"/>
  <c r="I297" i="5"/>
  <c r="H297" i="5"/>
  <c r="I296" i="5"/>
  <c r="H296" i="5"/>
  <c r="I295" i="5"/>
  <c r="H295" i="5"/>
  <c r="I294" i="5"/>
  <c r="H294" i="5"/>
  <c r="I293" i="5"/>
  <c r="H293" i="5"/>
  <c r="I292" i="5"/>
  <c r="H292" i="5"/>
  <c r="I291" i="5"/>
  <c r="H291" i="5"/>
  <c r="I290" i="5"/>
  <c r="H290" i="5"/>
  <c r="I289" i="5"/>
  <c r="H289" i="5"/>
  <c r="I288" i="5"/>
  <c r="H288" i="5"/>
  <c r="I287" i="5"/>
  <c r="H287" i="5"/>
  <c r="I286" i="5"/>
  <c r="H286" i="5"/>
  <c r="I285" i="5"/>
  <c r="H285" i="5"/>
  <c r="I284" i="5"/>
  <c r="H284" i="5"/>
  <c r="I283" i="5"/>
  <c r="H283" i="5"/>
  <c r="I282" i="5"/>
  <c r="H282" i="5"/>
  <c r="I281" i="5"/>
  <c r="H281" i="5"/>
  <c r="I280" i="5"/>
  <c r="H280" i="5"/>
  <c r="I279" i="5"/>
  <c r="H279" i="5"/>
  <c r="I278" i="5"/>
  <c r="H278" i="5"/>
  <c r="I277" i="5"/>
  <c r="H277" i="5"/>
  <c r="I276" i="5"/>
  <c r="H276" i="5"/>
  <c r="I275" i="5"/>
  <c r="H275" i="5"/>
  <c r="I274" i="5"/>
  <c r="H274" i="5"/>
  <c r="I273" i="5"/>
  <c r="H273" i="5"/>
  <c r="I271" i="5"/>
  <c r="H271" i="5"/>
  <c r="I270" i="5"/>
  <c r="H270" i="5"/>
  <c r="I269" i="5"/>
  <c r="H269" i="5"/>
  <c r="I268" i="5"/>
  <c r="H268" i="5"/>
  <c r="I267" i="5"/>
  <c r="H267" i="5"/>
  <c r="I266" i="5"/>
  <c r="H266" i="5"/>
  <c r="I265" i="5"/>
  <c r="H265" i="5"/>
  <c r="I264" i="5"/>
  <c r="H264" i="5"/>
  <c r="I263" i="5"/>
  <c r="H263" i="5"/>
  <c r="I262" i="5"/>
  <c r="H262" i="5"/>
  <c r="I261" i="5"/>
  <c r="H261" i="5"/>
  <c r="I260" i="5"/>
  <c r="H260" i="5"/>
  <c r="I259" i="5"/>
  <c r="H259" i="5"/>
  <c r="I258" i="5"/>
  <c r="H258" i="5"/>
  <c r="I257" i="5"/>
  <c r="H257" i="5"/>
  <c r="I256" i="5"/>
  <c r="H256" i="5"/>
  <c r="I255" i="5"/>
  <c r="H255" i="5"/>
  <c r="I254" i="5"/>
  <c r="H254" i="5"/>
  <c r="I253" i="5"/>
  <c r="H253" i="5"/>
  <c r="I252" i="5"/>
  <c r="H252" i="5"/>
  <c r="I251" i="5"/>
  <c r="H251" i="5"/>
  <c r="I250" i="5"/>
  <c r="H250" i="5"/>
  <c r="I249" i="5"/>
  <c r="H249" i="5"/>
  <c r="I248" i="5"/>
  <c r="H248" i="5"/>
  <c r="I247" i="5"/>
  <c r="H247" i="5"/>
  <c r="I246" i="5"/>
  <c r="H246" i="5"/>
  <c r="I245" i="5"/>
  <c r="H245" i="5"/>
  <c r="I244" i="5"/>
  <c r="H244" i="5"/>
  <c r="I243" i="5"/>
  <c r="H243" i="5"/>
  <c r="I242" i="5"/>
  <c r="H242" i="5"/>
  <c r="I241" i="5"/>
  <c r="H241" i="5"/>
  <c r="I240" i="5"/>
  <c r="H240" i="5"/>
  <c r="I239" i="5"/>
  <c r="H239" i="5"/>
  <c r="I238" i="5"/>
  <c r="H238" i="5"/>
  <c r="I237" i="5"/>
  <c r="H237" i="5"/>
  <c r="I236" i="5"/>
  <c r="H236" i="5"/>
  <c r="I235" i="5"/>
  <c r="H235" i="5"/>
  <c r="I234" i="5"/>
  <c r="H234" i="5"/>
  <c r="I233" i="5"/>
  <c r="H233" i="5"/>
  <c r="I232" i="5"/>
  <c r="H232" i="5"/>
  <c r="I231" i="5"/>
  <c r="H231" i="5"/>
  <c r="I230" i="5"/>
  <c r="H230" i="5"/>
  <c r="I229" i="5"/>
  <c r="H229" i="5"/>
  <c r="I228" i="5"/>
  <c r="H228" i="5"/>
  <c r="I227" i="5"/>
  <c r="H227" i="5"/>
  <c r="I226" i="5"/>
  <c r="H226" i="5"/>
  <c r="I225" i="5"/>
  <c r="H225" i="5"/>
  <c r="I224" i="5"/>
  <c r="H224" i="5"/>
  <c r="I223" i="5"/>
  <c r="H223" i="5"/>
  <c r="I222" i="5"/>
  <c r="H222" i="5"/>
  <c r="I221" i="5"/>
  <c r="H221" i="5"/>
  <c r="I220" i="5"/>
  <c r="H220" i="5"/>
  <c r="I219" i="5"/>
  <c r="H219" i="5"/>
  <c r="I218" i="5"/>
  <c r="H218" i="5"/>
  <c r="I217" i="5"/>
  <c r="H217" i="5"/>
  <c r="I216" i="5"/>
  <c r="H216" i="5"/>
  <c r="I215" i="5"/>
  <c r="H215" i="5"/>
  <c r="I214" i="5"/>
  <c r="H214" i="5"/>
  <c r="I213" i="5"/>
  <c r="H213" i="5"/>
  <c r="I212" i="5"/>
  <c r="H212" i="5"/>
  <c r="I211" i="5"/>
  <c r="H211" i="5"/>
  <c r="I210" i="5"/>
  <c r="H210" i="5"/>
  <c r="I209" i="5"/>
  <c r="H209" i="5"/>
  <c r="I208" i="5"/>
  <c r="H208" i="5"/>
  <c r="I207" i="5"/>
  <c r="H207" i="5"/>
  <c r="I206" i="5"/>
  <c r="H206" i="5"/>
  <c r="I205" i="5"/>
  <c r="H205" i="5"/>
  <c r="I204" i="5"/>
  <c r="H204" i="5"/>
  <c r="I203" i="5"/>
  <c r="H203" i="5"/>
  <c r="I202" i="5"/>
  <c r="H202" i="5"/>
  <c r="I201" i="5"/>
  <c r="H201" i="5"/>
  <c r="I200" i="5"/>
  <c r="H200" i="5"/>
  <c r="I199" i="5"/>
  <c r="H199" i="5"/>
  <c r="I198" i="5"/>
  <c r="H198" i="5"/>
  <c r="I197" i="5"/>
  <c r="H197" i="5"/>
  <c r="I196" i="5"/>
  <c r="H196" i="5"/>
  <c r="I195" i="5"/>
  <c r="H195" i="5"/>
  <c r="I194" i="5"/>
  <c r="H194" i="5"/>
  <c r="I193" i="5"/>
  <c r="H193" i="5"/>
  <c r="I192" i="5"/>
  <c r="H192" i="5"/>
  <c r="I191" i="5"/>
  <c r="H191" i="5"/>
  <c r="I190" i="5"/>
  <c r="H190" i="5"/>
  <c r="I189" i="5"/>
  <c r="H189" i="5"/>
  <c r="I188" i="5"/>
  <c r="H188" i="5"/>
  <c r="I187" i="5"/>
  <c r="H187" i="5"/>
  <c r="I186" i="5"/>
  <c r="H186" i="5"/>
  <c r="I185" i="5"/>
  <c r="H185" i="5"/>
  <c r="I184" i="5"/>
  <c r="H184" i="5"/>
  <c r="I183" i="5"/>
  <c r="H183" i="5"/>
  <c r="I182" i="5"/>
  <c r="H182" i="5"/>
  <c r="I181" i="5"/>
  <c r="H181" i="5"/>
  <c r="I180" i="5"/>
  <c r="H180" i="5"/>
  <c r="I179" i="5"/>
  <c r="H179" i="5"/>
  <c r="I178" i="5"/>
  <c r="H178" i="5"/>
  <c r="I177" i="5"/>
  <c r="H177" i="5"/>
  <c r="I176" i="5"/>
  <c r="H176" i="5"/>
  <c r="I175" i="5"/>
  <c r="H175" i="5"/>
  <c r="I174" i="5"/>
  <c r="H174" i="5"/>
  <c r="I173" i="5"/>
  <c r="H173" i="5"/>
  <c r="I172" i="5"/>
  <c r="H172" i="5"/>
  <c r="I171" i="5"/>
  <c r="H171" i="5"/>
  <c r="I170" i="5"/>
  <c r="H170" i="5"/>
  <c r="I169" i="5"/>
  <c r="H169" i="5"/>
  <c r="I168" i="5"/>
  <c r="H168" i="5"/>
  <c r="I167" i="5"/>
  <c r="H167" i="5"/>
  <c r="I166" i="5"/>
  <c r="H166" i="5"/>
  <c r="I165" i="5"/>
  <c r="H165" i="5"/>
  <c r="I164" i="5"/>
  <c r="H164" i="5"/>
  <c r="I163" i="5"/>
  <c r="H163" i="5"/>
  <c r="I162" i="5"/>
  <c r="H162" i="5"/>
  <c r="I161" i="5"/>
  <c r="H161" i="5"/>
  <c r="I160" i="5"/>
  <c r="H160" i="5"/>
  <c r="I159" i="5"/>
  <c r="H159" i="5"/>
  <c r="I158" i="5"/>
  <c r="H158" i="5"/>
  <c r="I157" i="5"/>
  <c r="H157" i="5"/>
  <c r="I156" i="5"/>
  <c r="H156" i="5"/>
  <c r="I155" i="5"/>
  <c r="H155" i="5"/>
  <c r="I154" i="5"/>
  <c r="H154" i="5"/>
  <c r="I153" i="5"/>
  <c r="H153" i="5"/>
  <c r="I152" i="5"/>
  <c r="H152" i="5"/>
  <c r="I151" i="5"/>
  <c r="H151" i="5"/>
  <c r="I150" i="5"/>
  <c r="H150" i="5"/>
  <c r="I149" i="5"/>
  <c r="H149" i="5"/>
  <c r="I148" i="5"/>
  <c r="H148" i="5"/>
  <c r="I147" i="5"/>
  <c r="H147" i="5"/>
  <c r="I146" i="5"/>
  <c r="H146" i="5"/>
  <c r="I145" i="5"/>
  <c r="H145" i="5"/>
  <c r="I144" i="5"/>
  <c r="H144" i="5"/>
  <c r="I143" i="5"/>
  <c r="H143" i="5"/>
  <c r="I142" i="5"/>
  <c r="H142" i="5"/>
  <c r="I141" i="5"/>
  <c r="H141" i="5"/>
  <c r="I140" i="5"/>
  <c r="H140" i="5"/>
  <c r="I139" i="5"/>
  <c r="H139" i="5"/>
  <c r="I138" i="5"/>
  <c r="H138" i="5"/>
  <c r="I137" i="5"/>
  <c r="H137" i="5"/>
  <c r="I136" i="5"/>
  <c r="H136" i="5"/>
  <c r="I135" i="5"/>
  <c r="H135" i="5"/>
  <c r="I134" i="5"/>
  <c r="H134" i="5"/>
  <c r="I133" i="5"/>
  <c r="H133" i="5"/>
  <c r="I132" i="5"/>
  <c r="H132" i="5"/>
  <c r="I131" i="5"/>
  <c r="H131" i="5"/>
  <c r="I130" i="5"/>
  <c r="H130" i="5"/>
  <c r="I129" i="5"/>
  <c r="H129" i="5"/>
  <c r="I128" i="5"/>
  <c r="H128" i="5"/>
  <c r="I127" i="5"/>
  <c r="H127" i="5"/>
  <c r="I126" i="5"/>
  <c r="H126" i="5"/>
  <c r="I125" i="5"/>
  <c r="H125" i="5"/>
  <c r="I124" i="5"/>
  <c r="H124" i="5"/>
  <c r="I123" i="5"/>
  <c r="H123" i="5"/>
  <c r="I122" i="5"/>
  <c r="H122" i="5"/>
  <c r="I121" i="5"/>
  <c r="H121" i="5"/>
  <c r="I120" i="5"/>
  <c r="H120" i="5"/>
  <c r="I119" i="5"/>
  <c r="H119" i="5"/>
  <c r="I118" i="5"/>
  <c r="H118" i="5"/>
  <c r="I117" i="5"/>
  <c r="H117" i="5"/>
  <c r="I116" i="5"/>
  <c r="H116" i="5"/>
  <c r="I115" i="5"/>
  <c r="H115" i="5"/>
  <c r="I114" i="5"/>
  <c r="H114" i="5"/>
  <c r="I113" i="5"/>
  <c r="H113" i="5"/>
  <c r="I112" i="5"/>
  <c r="H112" i="5"/>
  <c r="I111" i="5"/>
  <c r="H111" i="5"/>
  <c r="I110" i="5"/>
  <c r="H110" i="5"/>
  <c r="I109" i="5"/>
  <c r="H109" i="5"/>
  <c r="I108" i="5"/>
  <c r="H108" i="5"/>
  <c r="I107" i="5"/>
  <c r="H107" i="5"/>
  <c r="I106" i="5"/>
  <c r="H106" i="5"/>
  <c r="E4684" i="4"/>
  <c r="I4682" i="4"/>
  <c r="H4682" i="4"/>
  <c r="I4681" i="4"/>
  <c r="H4681" i="4"/>
  <c r="I4680" i="4"/>
  <c r="H4680" i="4"/>
  <c r="I4679" i="4"/>
  <c r="H4679" i="4"/>
  <c r="I4678" i="4"/>
  <c r="H4678" i="4"/>
  <c r="I4677" i="4"/>
  <c r="H4677" i="4"/>
  <c r="I4676" i="4"/>
  <c r="H4676" i="4"/>
  <c r="I4675" i="4"/>
  <c r="H4675" i="4"/>
  <c r="I4674" i="4"/>
  <c r="H4674" i="4"/>
  <c r="I4673" i="4"/>
  <c r="H4673" i="4"/>
  <c r="I4672" i="4"/>
  <c r="H4672" i="4"/>
  <c r="I4671" i="4"/>
  <c r="H4671" i="4"/>
  <c r="I4670" i="4"/>
  <c r="H4670" i="4"/>
  <c r="I4669" i="4"/>
  <c r="H4669" i="4"/>
  <c r="I4668" i="4"/>
  <c r="H4668" i="4"/>
  <c r="I4667" i="4"/>
  <c r="H4667" i="4"/>
  <c r="I4666" i="4"/>
  <c r="H4666" i="4"/>
  <c r="I4665" i="4"/>
  <c r="H4665" i="4"/>
  <c r="I4664" i="4"/>
  <c r="H4664" i="4"/>
  <c r="I4663" i="4"/>
  <c r="H4663" i="4"/>
  <c r="I4662" i="4"/>
  <c r="H4662" i="4"/>
  <c r="I4661" i="4"/>
  <c r="H4661" i="4"/>
  <c r="I4660" i="4"/>
  <c r="H4660" i="4"/>
  <c r="I4659" i="4"/>
  <c r="H4659" i="4"/>
  <c r="I4658" i="4"/>
  <c r="H4658" i="4"/>
  <c r="I4657" i="4"/>
  <c r="H4657" i="4"/>
  <c r="I4656" i="4"/>
  <c r="H4656" i="4"/>
  <c r="I4655" i="4"/>
  <c r="H4655" i="4"/>
  <c r="I4654" i="4"/>
  <c r="H4654" i="4"/>
  <c r="I4653" i="4"/>
  <c r="H4653" i="4"/>
  <c r="I4652" i="4"/>
  <c r="H4652" i="4"/>
  <c r="I4651" i="4"/>
  <c r="H4651" i="4"/>
  <c r="I4650" i="4"/>
  <c r="H4650" i="4"/>
  <c r="I4649" i="4"/>
  <c r="H4649" i="4"/>
  <c r="I4648" i="4"/>
  <c r="H4648" i="4"/>
  <c r="I4647" i="4"/>
  <c r="H4647" i="4"/>
  <c r="I4646" i="4"/>
  <c r="H4646" i="4"/>
  <c r="I4645" i="4"/>
  <c r="H4645" i="4"/>
  <c r="I4644" i="4"/>
  <c r="H4644" i="4"/>
  <c r="I4643" i="4"/>
  <c r="H4643" i="4"/>
  <c r="I4642" i="4"/>
  <c r="H4642" i="4"/>
  <c r="I4641" i="4"/>
  <c r="H4641" i="4"/>
  <c r="I4640" i="4"/>
  <c r="H4640" i="4"/>
  <c r="I4639" i="4"/>
  <c r="H4639" i="4"/>
  <c r="I4638" i="4"/>
  <c r="H4638" i="4"/>
  <c r="I4637" i="4"/>
  <c r="H4637" i="4"/>
  <c r="I4636" i="4"/>
  <c r="H4636" i="4"/>
  <c r="I4635" i="4"/>
  <c r="H4635" i="4"/>
  <c r="I4634" i="4"/>
  <c r="H4634" i="4"/>
  <c r="I4633" i="4"/>
  <c r="H4633" i="4"/>
  <c r="I4632" i="4"/>
  <c r="H4632" i="4"/>
  <c r="I4631" i="4"/>
  <c r="H4631" i="4"/>
  <c r="I4630" i="4"/>
  <c r="H4630" i="4"/>
  <c r="I4629" i="4"/>
  <c r="H4629" i="4"/>
  <c r="I4628" i="4"/>
  <c r="H4628" i="4"/>
  <c r="I4627" i="4"/>
  <c r="H4627" i="4"/>
  <c r="I4626" i="4"/>
  <c r="H4626" i="4"/>
  <c r="I4625" i="4"/>
  <c r="H4625" i="4"/>
  <c r="I4624" i="4"/>
  <c r="H4624" i="4"/>
  <c r="I4623" i="4"/>
  <c r="H4623" i="4"/>
  <c r="I4622" i="4"/>
  <c r="H4622" i="4"/>
  <c r="I4621" i="4"/>
  <c r="H4621" i="4"/>
  <c r="I4620" i="4"/>
  <c r="H4620" i="4"/>
  <c r="I4619" i="4"/>
  <c r="H4619" i="4"/>
  <c r="I4618" i="4"/>
  <c r="H4618" i="4"/>
  <c r="I4617" i="4"/>
  <c r="H4617" i="4"/>
  <c r="I4616" i="4"/>
  <c r="H4616" i="4"/>
  <c r="I4615" i="4"/>
  <c r="H4615" i="4"/>
  <c r="I4614" i="4"/>
  <c r="H4614" i="4"/>
  <c r="I4613" i="4"/>
  <c r="H4613" i="4"/>
  <c r="I4612" i="4"/>
  <c r="H4612" i="4"/>
  <c r="I4611" i="4"/>
  <c r="H4611" i="4"/>
  <c r="I4610" i="4"/>
  <c r="H4610" i="4"/>
  <c r="I4609" i="4"/>
  <c r="H4609" i="4"/>
  <c r="I4608" i="4"/>
  <c r="H4608" i="4"/>
  <c r="I4607" i="4"/>
  <c r="H4607" i="4"/>
  <c r="I4606" i="4"/>
  <c r="H4606" i="4"/>
  <c r="I4605" i="4"/>
  <c r="H4605" i="4"/>
  <c r="I4604" i="4"/>
  <c r="H4604" i="4"/>
  <c r="I4603" i="4"/>
  <c r="H4603" i="4"/>
  <c r="I4602" i="4"/>
  <c r="H4602" i="4"/>
  <c r="I4601" i="4"/>
  <c r="H4601" i="4"/>
  <c r="I4600" i="4"/>
  <c r="H4600" i="4"/>
  <c r="I4599" i="4"/>
  <c r="H4599" i="4"/>
  <c r="I4598" i="4"/>
  <c r="H4598" i="4"/>
  <c r="I4597" i="4"/>
  <c r="H4597" i="4"/>
  <c r="I4596" i="4"/>
  <c r="H4596" i="4"/>
  <c r="I4595" i="4"/>
  <c r="H4595" i="4"/>
  <c r="I4594" i="4"/>
  <c r="H4594" i="4"/>
  <c r="I4593" i="4"/>
  <c r="H4593" i="4"/>
  <c r="I4592" i="4"/>
  <c r="H4592" i="4"/>
  <c r="I4591" i="4"/>
  <c r="H4591" i="4"/>
  <c r="I4590" i="4"/>
  <c r="H4590" i="4"/>
  <c r="I4589" i="4"/>
  <c r="H4589" i="4"/>
  <c r="I4588" i="4"/>
  <c r="H4588" i="4"/>
  <c r="I4587" i="4"/>
  <c r="H4587" i="4"/>
  <c r="I4586" i="4"/>
  <c r="H4586" i="4"/>
  <c r="I4585" i="4"/>
  <c r="H4585" i="4"/>
  <c r="I4584" i="4"/>
  <c r="H4584" i="4"/>
  <c r="I4583" i="4"/>
  <c r="H4583" i="4"/>
  <c r="I4582" i="4"/>
  <c r="H4582" i="4"/>
  <c r="I4581" i="4"/>
  <c r="H4581" i="4"/>
  <c r="I4580" i="4"/>
  <c r="H4580" i="4"/>
  <c r="I4579" i="4"/>
  <c r="H4579" i="4"/>
  <c r="I4578" i="4"/>
  <c r="H4578" i="4"/>
  <c r="I4577" i="4"/>
  <c r="H4577" i="4"/>
  <c r="I4576" i="4"/>
  <c r="H4576" i="4"/>
  <c r="I4575" i="4"/>
  <c r="H4575" i="4"/>
  <c r="I4574" i="4"/>
  <c r="H4574" i="4"/>
  <c r="I4573" i="4"/>
  <c r="H4573" i="4"/>
  <c r="I4572" i="4"/>
  <c r="H4572" i="4"/>
  <c r="I4571" i="4"/>
  <c r="H4571" i="4"/>
  <c r="I4570" i="4"/>
  <c r="H4570" i="4"/>
  <c r="I4569" i="4"/>
  <c r="H4569" i="4"/>
  <c r="I4568" i="4"/>
  <c r="H4568" i="4"/>
  <c r="I4567" i="4"/>
  <c r="H4567" i="4"/>
  <c r="I4566" i="4"/>
  <c r="H4566" i="4"/>
  <c r="I4565" i="4"/>
  <c r="H4565" i="4"/>
  <c r="I4564" i="4"/>
  <c r="H4564" i="4"/>
  <c r="I4563" i="4"/>
  <c r="H4563" i="4"/>
  <c r="I4562" i="4"/>
  <c r="H4562" i="4"/>
  <c r="I4561" i="4"/>
  <c r="H4561" i="4"/>
  <c r="I4560" i="4"/>
  <c r="H4560" i="4"/>
  <c r="I4559" i="4"/>
  <c r="H4559" i="4"/>
  <c r="I4558" i="4"/>
  <c r="H4558" i="4"/>
  <c r="I4557" i="4"/>
  <c r="H4557" i="4"/>
  <c r="I4556" i="4"/>
  <c r="H4556" i="4"/>
  <c r="I4555" i="4"/>
  <c r="H4555" i="4"/>
  <c r="I4554" i="4"/>
  <c r="H4554" i="4"/>
  <c r="I4553" i="4"/>
  <c r="H4553" i="4"/>
  <c r="I4552" i="4"/>
  <c r="H4552" i="4"/>
  <c r="I4551" i="4"/>
  <c r="H4551" i="4"/>
  <c r="I4550" i="4"/>
  <c r="H4550" i="4"/>
  <c r="I4549" i="4"/>
  <c r="H4549" i="4"/>
  <c r="I4548" i="4"/>
  <c r="H4548" i="4"/>
  <c r="I4547" i="4"/>
  <c r="H4547" i="4"/>
  <c r="I4546" i="4"/>
  <c r="H4546" i="4"/>
  <c r="I4545" i="4"/>
  <c r="H4545" i="4"/>
  <c r="I4544" i="4"/>
  <c r="H4544" i="4"/>
  <c r="I4543" i="4"/>
  <c r="H4543" i="4"/>
  <c r="I4542" i="4"/>
  <c r="H4542" i="4"/>
  <c r="I4541" i="4"/>
  <c r="H4541" i="4"/>
  <c r="I4540" i="4"/>
  <c r="H4540" i="4"/>
  <c r="I4539" i="4"/>
  <c r="H4539" i="4"/>
  <c r="I4538" i="4"/>
  <c r="H4538" i="4"/>
  <c r="I4537" i="4"/>
  <c r="H4537" i="4"/>
  <c r="I4536" i="4"/>
  <c r="H4536" i="4"/>
  <c r="I4535" i="4"/>
  <c r="H4535" i="4"/>
  <c r="I4534" i="4"/>
  <c r="H4534" i="4"/>
  <c r="I4533" i="4"/>
  <c r="H4533" i="4"/>
  <c r="I4532" i="4"/>
  <c r="H4532" i="4"/>
  <c r="I4531" i="4"/>
  <c r="H4531" i="4"/>
  <c r="I4530" i="4"/>
  <c r="H4530" i="4"/>
  <c r="I4529" i="4"/>
  <c r="H4529" i="4"/>
  <c r="I4528" i="4"/>
  <c r="H4528" i="4"/>
  <c r="I4527" i="4"/>
  <c r="H4527" i="4"/>
  <c r="I4526" i="4"/>
  <c r="H4526" i="4"/>
  <c r="I4525" i="4"/>
  <c r="H4525" i="4"/>
  <c r="I4524" i="4"/>
  <c r="H4524" i="4"/>
  <c r="I4523" i="4"/>
  <c r="H4523" i="4"/>
  <c r="I4522" i="4"/>
  <c r="H4522" i="4"/>
  <c r="I4521" i="4"/>
  <c r="H4521" i="4"/>
  <c r="I4520" i="4"/>
  <c r="H4520" i="4"/>
  <c r="I4519" i="4"/>
  <c r="H4519" i="4"/>
  <c r="I4518" i="4"/>
  <c r="H4518" i="4"/>
  <c r="I4517" i="4"/>
  <c r="H4517" i="4"/>
  <c r="I4516" i="4"/>
  <c r="H4516" i="4"/>
  <c r="I4515" i="4"/>
  <c r="H4515" i="4"/>
  <c r="I4514" i="4"/>
  <c r="H4514" i="4"/>
  <c r="I4513" i="4"/>
  <c r="H4513" i="4"/>
  <c r="I4512" i="4"/>
  <c r="H4512" i="4"/>
  <c r="I4511" i="4"/>
  <c r="H4511" i="4"/>
  <c r="I4510" i="4"/>
  <c r="H4510" i="4"/>
  <c r="I4509" i="4"/>
  <c r="H4509" i="4"/>
  <c r="I4508" i="4"/>
  <c r="H4508" i="4"/>
  <c r="I4507" i="4"/>
  <c r="H4507" i="4"/>
  <c r="I4506" i="4"/>
  <c r="H4506" i="4"/>
  <c r="I4505" i="4"/>
  <c r="H4505" i="4"/>
  <c r="I4504" i="4"/>
  <c r="H4504" i="4"/>
  <c r="I4503" i="4"/>
  <c r="H4503" i="4"/>
  <c r="I4502" i="4"/>
  <c r="H4502" i="4"/>
  <c r="I4501" i="4"/>
  <c r="H4501" i="4"/>
  <c r="I4500" i="4"/>
  <c r="H4500" i="4"/>
  <c r="I4499" i="4"/>
  <c r="H4499" i="4"/>
  <c r="I4498" i="4"/>
  <c r="H4498" i="4"/>
  <c r="I4497" i="4"/>
  <c r="H4497" i="4"/>
  <c r="I4496" i="4"/>
  <c r="H4496" i="4"/>
  <c r="I4495" i="4"/>
  <c r="H4495" i="4"/>
  <c r="I4494" i="4"/>
  <c r="H4494" i="4"/>
  <c r="I4493" i="4"/>
  <c r="H4493" i="4"/>
  <c r="I4492" i="4"/>
  <c r="H4492" i="4"/>
  <c r="I4491" i="4"/>
  <c r="H4491" i="4"/>
  <c r="I4490" i="4"/>
  <c r="H4490" i="4"/>
  <c r="I4489" i="4"/>
  <c r="H4489" i="4"/>
  <c r="I4488" i="4"/>
  <c r="H4488" i="4"/>
  <c r="I4487" i="4"/>
  <c r="H4487" i="4"/>
  <c r="I4486" i="4"/>
  <c r="H4486" i="4"/>
  <c r="I4485" i="4"/>
  <c r="H4485" i="4"/>
  <c r="I4484" i="4"/>
  <c r="H4484" i="4"/>
  <c r="I4483" i="4"/>
  <c r="H4483" i="4"/>
  <c r="I4482" i="4"/>
  <c r="H4482" i="4"/>
  <c r="I4481" i="4"/>
  <c r="H4481" i="4"/>
  <c r="I4480" i="4"/>
  <c r="H4480" i="4"/>
  <c r="I4479" i="4"/>
  <c r="H4479" i="4"/>
  <c r="I4478" i="4"/>
  <c r="H4478" i="4"/>
  <c r="I4477" i="4"/>
  <c r="H4477" i="4"/>
  <c r="I4476" i="4"/>
  <c r="H4476" i="4"/>
  <c r="I4475" i="4"/>
  <c r="H4475" i="4"/>
  <c r="I4474" i="4"/>
  <c r="H4474" i="4"/>
  <c r="I4473" i="4"/>
  <c r="H4473" i="4"/>
  <c r="I4472" i="4"/>
  <c r="H4472" i="4"/>
  <c r="I4471" i="4"/>
  <c r="H4471" i="4"/>
  <c r="I4470" i="4"/>
  <c r="H4470" i="4"/>
  <c r="I4469" i="4"/>
  <c r="H4469" i="4"/>
  <c r="I4468" i="4"/>
  <c r="H4468" i="4"/>
  <c r="I4467" i="4"/>
  <c r="H4467" i="4"/>
  <c r="I4466" i="4"/>
  <c r="H4466" i="4"/>
  <c r="I4465" i="4"/>
  <c r="H4465" i="4"/>
  <c r="I4464" i="4"/>
  <c r="H4464" i="4"/>
  <c r="I4463" i="4"/>
  <c r="H4463" i="4"/>
  <c r="I4462" i="4"/>
  <c r="H4462" i="4"/>
  <c r="I4461" i="4"/>
  <c r="H4461" i="4"/>
  <c r="I4460" i="4"/>
  <c r="H4460" i="4"/>
  <c r="I4459" i="4"/>
  <c r="H4459" i="4"/>
  <c r="I4458" i="4"/>
  <c r="H4458" i="4"/>
  <c r="I4457" i="4"/>
  <c r="H4457" i="4"/>
  <c r="I4456" i="4"/>
  <c r="H4456" i="4"/>
  <c r="I4455" i="4"/>
  <c r="H4455" i="4"/>
  <c r="I4454" i="4"/>
  <c r="H4454" i="4"/>
  <c r="I4453" i="4"/>
  <c r="H4453" i="4"/>
  <c r="I4452" i="4"/>
  <c r="H4452" i="4"/>
  <c r="I4451" i="4"/>
  <c r="H4451" i="4"/>
  <c r="I4450" i="4"/>
  <c r="H4450" i="4"/>
  <c r="I4449" i="4"/>
  <c r="H4449" i="4"/>
  <c r="I4448" i="4"/>
  <c r="H4448" i="4"/>
  <c r="I4447" i="4"/>
  <c r="H4447" i="4"/>
  <c r="I4446" i="4"/>
  <c r="H4446" i="4"/>
  <c r="I4445" i="4"/>
  <c r="H4445" i="4"/>
  <c r="I4444" i="4"/>
  <c r="H4444" i="4"/>
  <c r="I4443" i="4"/>
  <c r="H4443" i="4"/>
  <c r="I4442" i="4"/>
  <c r="H4442" i="4"/>
  <c r="I4441" i="4"/>
  <c r="H4441" i="4"/>
  <c r="I4440" i="4"/>
  <c r="H4440" i="4"/>
  <c r="I4439" i="4"/>
  <c r="H4439" i="4"/>
  <c r="I4438" i="4"/>
  <c r="H4438" i="4"/>
  <c r="I4437" i="4"/>
  <c r="H4437" i="4"/>
  <c r="I4436" i="4"/>
  <c r="H4436" i="4"/>
  <c r="I4435" i="4"/>
  <c r="H4435" i="4"/>
  <c r="I4434" i="4"/>
  <c r="H4434" i="4"/>
  <c r="I4433" i="4"/>
  <c r="H4433" i="4"/>
  <c r="I4432" i="4"/>
  <c r="H4432" i="4"/>
  <c r="I4431" i="4"/>
  <c r="H4431" i="4"/>
  <c r="I4430" i="4"/>
  <c r="H4430" i="4"/>
  <c r="I4429" i="4"/>
  <c r="H4429" i="4"/>
  <c r="I4428" i="4"/>
  <c r="H4428" i="4"/>
  <c r="I4427" i="4"/>
  <c r="H4427" i="4"/>
  <c r="I4426" i="4"/>
  <c r="H4426" i="4"/>
  <c r="I4425" i="4"/>
  <c r="H4425" i="4"/>
  <c r="I4424" i="4"/>
  <c r="H4424" i="4"/>
  <c r="I4423" i="4"/>
  <c r="H4423" i="4"/>
  <c r="I4422" i="4"/>
  <c r="H4422" i="4"/>
  <c r="I4421" i="4"/>
  <c r="H4421" i="4"/>
  <c r="I4420" i="4"/>
  <c r="H4420" i="4"/>
  <c r="I4419" i="4"/>
  <c r="H4419" i="4"/>
  <c r="I4418" i="4"/>
  <c r="H4418" i="4"/>
  <c r="I4417" i="4"/>
  <c r="H4417" i="4"/>
  <c r="I4416" i="4"/>
  <c r="H4416" i="4"/>
  <c r="I4415" i="4"/>
  <c r="H4415" i="4"/>
  <c r="I4414" i="4"/>
  <c r="H4414" i="4"/>
  <c r="I4413" i="4"/>
  <c r="H4413" i="4"/>
  <c r="I4412" i="4"/>
  <c r="H4412" i="4"/>
  <c r="I4411" i="4"/>
  <c r="H4411" i="4"/>
  <c r="I4410" i="4"/>
  <c r="H4410" i="4"/>
  <c r="I4409" i="4"/>
  <c r="H4409" i="4"/>
  <c r="I4408" i="4"/>
  <c r="H4408" i="4"/>
  <c r="I4407" i="4"/>
  <c r="H4407" i="4"/>
  <c r="I4406" i="4"/>
  <c r="H4406" i="4"/>
  <c r="I4405" i="4"/>
  <c r="H4405" i="4"/>
  <c r="I4404" i="4"/>
  <c r="H4404" i="4"/>
  <c r="I4403" i="4"/>
  <c r="H4403" i="4"/>
  <c r="I4402" i="4"/>
  <c r="H4402" i="4"/>
  <c r="I4401" i="4"/>
  <c r="H4401" i="4"/>
  <c r="I4400" i="4"/>
  <c r="H4400" i="4"/>
  <c r="I4399" i="4"/>
  <c r="H4399" i="4"/>
  <c r="I4398" i="4"/>
  <c r="H4398" i="4"/>
  <c r="I4397" i="4"/>
  <c r="H4397" i="4"/>
  <c r="I4396" i="4"/>
  <c r="H4396" i="4"/>
  <c r="I4395" i="4"/>
  <c r="H4395" i="4"/>
  <c r="I4394" i="4"/>
  <c r="H4394" i="4"/>
  <c r="I4393" i="4"/>
  <c r="H4393" i="4"/>
  <c r="I4392" i="4"/>
  <c r="H4392" i="4"/>
  <c r="I4391" i="4"/>
  <c r="H4391" i="4"/>
  <c r="I4390" i="4"/>
  <c r="H4390" i="4"/>
  <c r="I4389" i="4"/>
  <c r="H4389" i="4"/>
  <c r="I4388" i="4"/>
  <c r="H4388" i="4"/>
  <c r="I4387" i="4"/>
  <c r="H4387" i="4"/>
  <c r="I4386" i="4"/>
  <c r="H4386" i="4"/>
  <c r="I4385" i="4"/>
  <c r="H4385" i="4"/>
  <c r="I4384" i="4"/>
  <c r="H4384" i="4"/>
  <c r="I4383" i="4"/>
  <c r="H4383" i="4"/>
  <c r="I4382" i="4"/>
  <c r="H4382" i="4"/>
  <c r="I4381" i="4"/>
  <c r="H4381" i="4"/>
  <c r="I4380" i="4"/>
  <c r="H4380" i="4"/>
  <c r="I4379" i="4"/>
  <c r="H4379" i="4"/>
  <c r="I4378" i="4"/>
  <c r="H4378" i="4"/>
  <c r="I4377" i="4"/>
  <c r="H4377" i="4"/>
  <c r="I4376" i="4"/>
  <c r="H4376" i="4"/>
  <c r="I4375" i="4"/>
  <c r="H4375" i="4"/>
  <c r="I4374" i="4"/>
  <c r="H4374" i="4"/>
  <c r="I4373" i="4"/>
  <c r="H4373" i="4"/>
  <c r="I4372" i="4"/>
  <c r="H4372" i="4"/>
  <c r="I4371" i="4"/>
  <c r="H4371" i="4"/>
  <c r="I4370" i="4"/>
  <c r="H4370" i="4"/>
  <c r="I4369" i="4"/>
  <c r="H4369" i="4"/>
  <c r="I4368" i="4"/>
  <c r="H4368" i="4"/>
  <c r="I4367" i="4"/>
  <c r="H4367" i="4"/>
  <c r="I4366" i="4"/>
  <c r="H4366" i="4"/>
  <c r="I4365" i="4"/>
  <c r="H4365" i="4"/>
  <c r="I4364" i="4"/>
  <c r="H4364" i="4"/>
  <c r="I4363" i="4"/>
  <c r="H4363" i="4"/>
  <c r="I4362" i="4"/>
  <c r="H4362" i="4"/>
  <c r="I4361" i="4"/>
  <c r="H4361" i="4"/>
  <c r="I4360" i="4"/>
  <c r="H4360" i="4"/>
  <c r="I4359" i="4"/>
  <c r="H4359" i="4"/>
  <c r="I4358" i="4"/>
  <c r="H4358" i="4"/>
  <c r="I4357" i="4"/>
  <c r="H4357" i="4"/>
  <c r="I4356" i="4"/>
  <c r="H4356" i="4"/>
  <c r="I4355" i="4"/>
  <c r="H4355" i="4"/>
  <c r="I4354" i="4"/>
  <c r="H4354" i="4"/>
  <c r="I4353" i="4"/>
  <c r="H4353" i="4"/>
  <c r="I4352" i="4"/>
  <c r="H4352" i="4"/>
  <c r="I4351" i="4"/>
  <c r="H4351" i="4"/>
  <c r="I4350" i="4"/>
  <c r="H4350" i="4"/>
  <c r="I4349" i="4"/>
  <c r="H4349" i="4"/>
  <c r="I4348" i="4"/>
  <c r="H4348" i="4"/>
  <c r="I4347" i="4"/>
  <c r="H4347" i="4"/>
  <c r="I4346" i="4"/>
  <c r="H4346" i="4"/>
  <c r="I4345" i="4"/>
  <c r="H4345" i="4"/>
  <c r="I4344" i="4"/>
  <c r="H4344" i="4"/>
  <c r="I4343" i="4"/>
  <c r="H4343" i="4"/>
  <c r="I4342" i="4"/>
  <c r="H4342" i="4"/>
  <c r="I4341" i="4"/>
  <c r="H4341" i="4"/>
  <c r="I4340" i="4"/>
  <c r="H4340" i="4"/>
  <c r="I4339" i="4"/>
  <c r="H4339" i="4"/>
  <c r="I4338" i="4"/>
  <c r="H4338" i="4"/>
  <c r="I4337" i="4"/>
  <c r="H4337" i="4"/>
  <c r="I4336" i="4"/>
  <c r="H4336" i="4"/>
  <c r="I4335" i="4"/>
  <c r="H4335" i="4"/>
  <c r="I4334" i="4"/>
  <c r="H4334" i="4"/>
  <c r="I4333" i="4"/>
  <c r="H4333" i="4"/>
  <c r="I4332" i="4"/>
  <c r="H4332" i="4"/>
  <c r="I4331" i="4"/>
  <c r="H4331" i="4"/>
  <c r="I4330" i="4"/>
  <c r="H4330" i="4"/>
  <c r="I4329" i="4"/>
  <c r="H4329" i="4"/>
  <c r="I4328" i="4"/>
  <c r="H4328" i="4"/>
  <c r="I4327" i="4"/>
  <c r="H4327" i="4"/>
  <c r="I4326" i="4"/>
  <c r="H4326" i="4"/>
  <c r="I4325" i="4"/>
  <c r="H4325" i="4"/>
  <c r="I4324" i="4"/>
  <c r="H4324" i="4"/>
  <c r="I4323" i="4"/>
  <c r="H4323" i="4"/>
  <c r="I4322" i="4"/>
  <c r="H4322" i="4"/>
  <c r="I4321" i="4"/>
  <c r="H4321" i="4"/>
  <c r="I4320" i="4"/>
  <c r="H4320" i="4"/>
  <c r="I4319" i="4"/>
  <c r="H4319" i="4"/>
  <c r="I4318" i="4"/>
  <c r="H4318" i="4"/>
  <c r="I4317" i="4"/>
  <c r="H4317" i="4"/>
  <c r="I4316" i="4"/>
  <c r="H4316" i="4"/>
  <c r="I4315" i="4"/>
  <c r="H4315" i="4"/>
  <c r="I4314" i="4"/>
  <c r="H4314" i="4"/>
  <c r="I4313" i="4"/>
  <c r="H4313" i="4"/>
  <c r="I4312" i="4"/>
  <c r="H4312" i="4"/>
  <c r="I4311" i="4"/>
  <c r="H4311" i="4"/>
  <c r="I4310" i="4"/>
  <c r="H4310" i="4"/>
  <c r="I4309" i="4"/>
  <c r="H4309" i="4"/>
  <c r="I4308" i="4"/>
  <c r="H4308" i="4"/>
  <c r="I4307" i="4"/>
  <c r="H4307" i="4"/>
  <c r="I4306" i="4"/>
  <c r="H4306" i="4"/>
  <c r="I4305" i="4"/>
  <c r="H4305" i="4"/>
  <c r="I4304" i="4"/>
  <c r="H4304" i="4"/>
  <c r="I4303" i="4"/>
  <c r="H4303" i="4"/>
  <c r="I4302" i="4"/>
  <c r="H4302" i="4"/>
  <c r="I4301" i="4"/>
  <c r="H4301" i="4"/>
  <c r="I4300" i="4"/>
  <c r="H4300" i="4"/>
  <c r="I4299" i="4"/>
  <c r="H4299" i="4"/>
  <c r="I4298" i="4"/>
  <c r="H4298" i="4"/>
  <c r="I4297" i="4"/>
  <c r="H4297" i="4"/>
  <c r="I4296" i="4"/>
  <c r="H4296" i="4"/>
  <c r="I4295" i="4"/>
  <c r="H4295" i="4"/>
  <c r="I4294" i="4"/>
  <c r="H4294" i="4"/>
  <c r="I4293" i="4"/>
  <c r="H4293" i="4"/>
  <c r="I4292" i="4"/>
  <c r="H4292" i="4"/>
  <c r="I4291" i="4"/>
  <c r="H4291" i="4"/>
  <c r="I4290" i="4"/>
  <c r="H4290" i="4"/>
  <c r="I4289" i="4"/>
  <c r="H4289" i="4"/>
  <c r="I4288" i="4"/>
  <c r="H4288" i="4"/>
  <c r="I4287" i="4"/>
  <c r="H4287" i="4"/>
  <c r="I4286" i="4"/>
  <c r="H4286" i="4"/>
  <c r="I4285" i="4"/>
  <c r="H4285" i="4"/>
  <c r="I4284" i="4"/>
  <c r="H4284" i="4"/>
  <c r="I4283" i="4"/>
  <c r="H4283" i="4"/>
  <c r="I4282" i="4"/>
  <c r="H4282" i="4"/>
  <c r="I4281" i="4"/>
  <c r="H4281" i="4"/>
  <c r="I4280" i="4"/>
  <c r="H4280" i="4"/>
  <c r="I4279" i="4"/>
  <c r="H4279" i="4"/>
  <c r="I4278" i="4"/>
  <c r="H4278" i="4"/>
  <c r="I4277" i="4"/>
  <c r="H4277" i="4"/>
  <c r="I4276" i="4"/>
  <c r="H4276" i="4"/>
  <c r="I4275" i="4"/>
  <c r="H4275" i="4"/>
  <c r="I4274" i="4"/>
  <c r="H4274" i="4"/>
  <c r="I4273" i="4"/>
  <c r="H4273" i="4"/>
  <c r="I4272" i="4"/>
  <c r="H4272" i="4"/>
  <c r="I4271" i="4"/>
  <c r="H4271" i="4"/>
  <c r="I4270" i="4"/>
  <c r="H4270" i="4"/>
  <c r="I4269" i="4"/>
  <c r="H4269" i="4"/>
  <c r="I4268" i="4"/>
  <c r="H4268" i="4"/>
  <c r="I4267" i="4"/>
  <c r="H4267" i="4"/>
  <c r="I4266" i="4"/>
  <c r="H4266" i="4"/>
  <c r="I4265" i="4"/>
  <c r="H4265" i="4"/>
  <c r="I4264" i="4"/>
  <c r="H4264" i="4"/>
  <c r="I4263" i="4"/>
  <c r="H4263" i="4"/>
  <c r="I4262" i="4"/>
  <c r="H4262" i="4"/>
  <c r="I4261" i="4"/>
  <c r="H4261" i="4"/>
  <c r="I4260" i="4"/>
  <c r="H4260" i="4"/>
  <c r="I4259" i="4"/>
  <c r="H4259" i="4"/>
  <c r="I4258" i="4"/>
  <c r="H4258" i="4"/>
  <c r="I4257" i="4"/>
  <c r="H4257" i="4"/>
  <c r="I4256" i="4"/>
  <c r="H4256" i="4"/>
  <c r="I4255" i="4"/>
  <c r="H4255" i="4"/>
  <c r="I4254" i="4"/>
  <c r="H4254" i="4"/>
  <c r="I4253" i="4"/>
  <c r="H4253" i="4"/>
  <c r="I4252" i="4"/>
  <c r="H4252" i="4"/>
  <c r="I4251" i="4"/>
  <c r="H4251" i="4"/>
  <c r="I4250" i="4"/>
  <c r="H4250" i="4"/>
  <c r="I4249" i="4"/>
  <c r="H4249" i="4"/>
  <c r="I4248" i="4"/>
  <c r="H4248" i="4"/>
  <c r="I4247" i="4"/>
  <c r="H4247" i="4"/>
  <c r="I4246" i="4"/>
  <c r="H4246" i="4"/>
  <c r="I4245" i="4"/>
  <c r="H4245" i="4"/>
  <c r="I4244" i="4"/>
  <c r="H4244" i="4"/>
  <c r="I4243" i="4"/>
  <c r="H4243" i="4"/>
  <c r="I4242" i="4"/>
  <c r="H4242" i="4"/>
  <c r="I4241" i="4"/>
  <c r="H4241" i="4"/>
  <c r="I4240" i="4"/>
  <c r="H4240" i="4"/>
  <c r="I4239" i="4"/>
  <c r="H4239" i="4"/>
  <c r="I4238" i="4"/>
  <c r="H4238" i="4"/>
  <c r="I4237" i="4"/>
  <c r="H4237" i="4"/>
  <c r="I4236" i="4"/>
  <c r="H4236" i="4"/>
  <c r="I4235" i="4"/>
  <c r="H4235" i="4"/>
  <c r="I4234" i="4"/>
  <c r="H4234" i="4"/>
  <c r="I4233" i="4"/>
  <c r="H4233" i="4"/>
  <c r="I4232" i="4"/>
  <c r="H4232" i="4"/>
  <c r="I4231" i="4"/>
  <c r="H4231" i="4"/>
  <c r="I4230" i="4"/>
  <c r="H4230" i="4"/>
  <c r="I4229" i="4"/>
  <c r="H4229" i="4"/>
  <c r="I4228" i="4"/>
  <c r="H4228" i="4"/>
  <c r="I4227" i="4"/>
  <c r="H4227" i="4"/>
  <c r="I4226" i="4"/>
  <c r="H4226" i="4"/>
  <c r="I4225" i="4"/>
  <c r="H4225" i="4"/>
  <c r="I4224" i="4"/>
  <c r="H4224" i="4"/>
  <c r="I4223" i="4"/>
  <c r="H4223" i="4"/>
  <c r="I4222" i="4"/>
  <c r="H4222" i="4"/>
  <c r="I4221" i="4"/>
  <c r="H4221" i="4"/>
  <c r="I4220" i="4"/>
  <c r="H4220" i="4"/>
  <c r="I4219" i="4"/>
  <c r="H4219" i="4"/>
  <c r="I4218" i="4"/>
  <c r="H4218" i="4"/>
  <c r="I4217" i="4"/>
  <c r="H4217" i="4"/>
  <c r="I4216" i="4"/>
  <c r="H4216" i="4"/>
  <c r="I4215" i="4"/>
  <c r="H4215" i="4"/>
  <c r="I4214" i="4"/>
  <c r="H4214" i="4"/>
  <c r="I4213" i="4"/>
  <c r="H4213" i="4"/>
  <c r="I4212" i="4"/>
  <c r="H4212" i="4"/>
  <c r="I4211" i="4"/>
  <c r="H4211" i="4"/>
  <c r="I4210" i="4"/>
  <c r="H4210" i="4"/>
  <c r="I4209" i="4"/>
  <c r="H4209" i="4"/>
  <c r="I4208" i="4"/>
  <c r="H4208" i="4"/>
  <c r="I4207" i="4"/>
  <c r="H4207" i="4"/>
  <c r="I4206" i="4"/>
  <c r="H4206" i="4"/>
  <c r="I4205" i="4"/>
  <c r="H4205" i="4"/>
  <c r="I4204" i="4"/>
  <c r="H4204" i="4"/>
  <c r="I4203" i="4"/>
  <c r="H4203" i="4"/>
  <c r="I4202" i="4"/>
  <c r="H4202" i="4"/>
  <c r="I4201" i="4"/>
  <c r="H4201" i="4"/>
  <c r="I4200" i="4"/>
  <c r="H4200" i="4"/>
  <c r="I4199" i="4"/>
  <c r="H4199" i="4"/>
  <c r="I4198" i="4"/>
  <c r="H4198" i="4"/>
  <c r="I4197" i="4"/>
  <c r="H4197" i="4"/>
  <c r="I4196" i="4"/>
  <c r="H4196" i="4"/>
  <c r="I4195" i="4"/>
  <c r="H4195" i="4"/>
  <c r="I4194" i="4"/>
  <c r="H4194" i="4"/>
  <c r="I4193" i="4"/>
  <c r="H4193" i="4"/>
  <c r="I4192" i="4"/>
  <c r="H4192" i="4"/>
  <c r="I4191" i="4"/>
  <c r="H4191" i="4"/>
  <c r="I4190" i="4"/>
  <c r="H4190" i="4"/>
  <c r="I4189" i="4"/>
  <c r="H4189" i="4"/>
  <c r="I4188" i="4"/>
  <c r="H4188" i="4"/>
  <c r="I4187" i="4"/>
  <c r="H4187" i="4"/>
  <c r="I4186" i="4"/>
  <c r="H4186" i="4"/>
  <c r="I4185" i="4"/>
  <c r="H4185" i="4"/>
  <c r="I4184" i="4"/>
  <c r="H4184" i="4"/>
  <c r="I4183" i="4"/>
  <c r="H4183" i="4"/>
  <c r="I4182" i="4"/>
  <c r="H4182" i="4"/>
  <c r="I4181" i="4"/>
  <c r="H4181" i="4"/>
  <c r="I4180" i="4"/>
  <c r="H4180" i="4"/>
  <c r="I4179" i="4"/>
  <c r="H4179" i="4"/>
  <c r="I4178" i="4"/>
  <c r="H4178" i="4"/>
  <c r="I4177" i="4"/>
  <c r="H4177" i="4"/>
  <c r="I4176" i="4"/>
  <c r="H4176" i="4"/>
  <c r="I4175" i="4"/>
  <c r="H4175" i="4"/>
  <c r="I4174" i="4"/>
  <c r="H4174" i="4"/>
  <c r="I4173" i="4"/>
  <c r="H4173" i="4"/>
  <c r="I4172" i="4"/>
  <c r="H4172" i="4"/>
  <c r="I4171" i="4"/>
  <c r="H4171" i="4"/>
  <c r="I4170" i="4"/>
  <c r="H4170" i="4"/>
  <c r="I4169" i="4"/>
  <c r="H4169" i="4"/>
  <c r="I4168" i="4"/>
  <c r="H4168" i="4"/>
  <c r="I4167" i="4"/>
  <c r="H4167" i="4"/>
  <c r="I4166" i="4"/>
  <c r="H4166" i="4"/>
  <c r="I4165" i="4"/>
  <c r="H4165" i="4"/>
  <c r="I4164" i="4"/>
  <c r="H4164" i="4"/>
  <c r="I4163" i="4"/>
  <c r="H4163" i="4"/>
  <c r="I4162" i="4"/>
  <c r="H4162" i="4"/>
  <c r="I4161" i="4"/>
  <c r="H4161" i="4"/>
  <c r="I4160" i="4"/>
  <c r="H4160" i="4"/>
  <c r="I4159" i="4"/>
  <c r="H4159" i="4"/>
  <c r="I4158" i="4"/>
  <c r="H4158" i="4"/>
  <c r="I4157" i="4"/>
  <c r="H4157" i="4"/>
  <c r="I4156" i="4"/>
  <c r="H4156" i="4"/>
  <c r="I4155" i="4"/>
  <c r="H4155" i="4"/>
  <c r="I4154" i="4"/>
  <c r="H4154" i="4"/>
  <c r="I4153" i="4"/>
  <c r="H4153" i="4"/>
  <c r="I4152" i="4"/>
  <c r="H4152" i="4"/>
  <c r="I4151" i="4"/>
  <c r="H4151" i="4"/>
  <c r="I4150" i="4"/>
  <c r="H4150" i="4"/>
  <c r="I4149" i="4"/>
  <c r="H4149" i="4"/>
  <c r="I4148" i="4"/>
  <c r="H4148" i="4"/>
  <c r="I4147" i="4"/>
  <c r="H4147" i="4"/>
  <c r="I4146" i="4"/>
  <c r="H4146" i="4"/>
  <c r="I4145" i="4"/>
  <c r="H4145" i="4"/>
  <c r="I4144" i="4"/>
  <c r="H4144" i="4"/>
  <c r="I4143" i="4"/>
  <c r="H4143" i="4"/>
  <c r="I4142" i="4"/>
  <c r="H4142" i="4"/>
  <c r="I4141" i="4"/>
  <c r="H4141" i="4"/>
  <c r="I4140" i="4"/>
  <c r="H4140" i="4"/>
  <c r="I4139" i="4"/>
  <c r="H4139" i="4"/>
  <c r="I4138" i="4"/>
  <c r="H4138" i="4"/>
  <c r="I4137" i="4"/>
  <c r="H4137" i="4"/>
  <c r="I4136" i="4"/>
  <c r="H4136" i="4"/>
  <c r="I4135" i="4"/>
  <c r="H4135" i="4"/>
  <c r="I4134" i="4"/>
  <c r="H4134" i="4"/>
  <c r="I4133" i="4"/>
  <c r="H4133" i="4"/>
  <c r="I4132" i="4"/>
  <c r="H4132" i="4"/>
  <c r="I4131" i="4"/>
  <c r="H4131" i="4"/>
  <c r="I4130" i="4"/>
  <c r="H4130" i="4"/>
  <c r="I4129" i="4"/>
  <c r="H4129" i="4"/>
  <c r="I4128" i="4"/>
  <c r="H4128" i="4"/>
  <c r="I4127" i="4"/>
  <c r="H4127" i="4"/>
  <c r="I4126" i="4"/>
  <c r="H4126" i="4"/>
  <c r="I4125" i="4"/>
  <c r="H4125" i="4"/>
  <c r="I4124" i="4"/>
  <c r="H4124" i="4"/>
  <c r="I4123" i="4"/>
  <c r="H4123" i="4"/>
  <c r="I4122" i="4"/>
  <c r="H4122" i="4"/>
  <c r="I4121" i="4"/>
  <c r="H4121" i="4"/>
  <c r="I4120" i="4"/>
  <c r="H4120" i="4"/>
  <c r="I4119" i="4"/>
  <c r="H4119" i="4"/>
  <c r="I4118" i="4"/>
  <c r="H4118" i="4"/>
  <c r="I4117" i="4"/>
  <c r="H4117" i="4"/>
  <c r="I4116" i="4"/>
  <c r="H4116" i="4"/>
  <c r="I4115" i="4"/>
  <c r="H4115" i="4"/>
  <c r="I4114" i="4"/>
  <c r="H4114" i="4"/>
  <c r="I4113" i="4"/>
  <c r="H4113" i="4"/>
  <c r="I4112" i="4"/>
  <c r="H4112" i="4"/>
  <c r="I4111" i="4"/>
  <c r="H4111" i="4"/>
  <c r="I4110" i="4"/>
  <c r="H4110" i="4"/>
  <c r="I4109" i="4"/>
  <c r="H4109" i="4"/>
  <c r="I4108" i="4"/>
  <c r="H4108" i="4"/>
  <c r="I4107" i="4"/>
  <c r="H4107" i="4"/>
  <c r="I4106" i="4"/>
  <c r="H4106" i="4"/>
  <c r="I4105" i="4"/>
  <c r="H4105" i="4"/>
  <c r="I4104" i="4"/>
  <c r="H4104" i="4"/>
  <c r="I4103" i="4"/>
  <c r="H4103" i="4"/>
  <c r="I4102" i="4"/>
  <c r="H4102" i="4"/>
  <c r="I4101" i="4"/>
  <c r="H4101" i="4"/>
  <c r="I4100" i="4"/>
  <c r="H4100" i="4"/>
  <c r="I4099" i="4"/>
  <c r="H4099" i="4"/>
  <c r="H4098" i="4"/>
  <c r="I4097" i="4"/>
  <c r="H4097" i="4"/>
  <c r="I4096" i="4"/>
  <c r="H4096" i="4"/>
  <c r="I4095" i="4"/>
  <c r="H4095" i="4"/>
  <c r="I4094" i="4"/>
  <c r="H4094" i="4"/>
  <c r="I4093" i="4"/>
  <c r="H4093" i="4"/>
  <c r="I4092" i="4"/>
  <c r="H4092" i="4"/>
  <c r="I4091" i="4"/>
  <c r="H4091" i="4"/>
  <c r="I4090" i="4"/>
  <c r="H4090" i="4"/>
  <c r="I4089" i="4"/>
  <c r="H4089" i="4"/>
  <c r="I4088" i="4"/>
  <c r="H4088" i="4"/>
  <c r="I4087" i="4"/>
  <c r="H4087" i="4"/>
  <c r="I4086" i="4"/>
  <c r="H4086" i="4"/>
  <c r="I4085" i="4"/>
  <c r="H4085" i="4"/>
  <c r="I4084" i="4"/>
  <c r="H4084" i="4"/>
  <c r="I4083" i="4"/>
  <c r="H4083" i="4"/>
  <c r="I4082" i="4"/>
  <c r="H4082" i="4"/>
  <c r="I4081" i="4"/>
  <c r="H4081" i="4"/>
  <c r="I4080" i="4"/>
  <c r="H4080" i="4"/>
  <c r="I4079" i="4"/>
  <c r="H4079" i="4"/>
  <c r="I4078" i="4"/>
  <c r="H4078" i="4"/>
  <c r="I4077" i="4"/>
  <c r="H4077" i="4"/>
  <c r="I4076" i="4"/>
  <c r="H4076" i="4"/>
  <c r="I4075" i="4"/>
  <c r="H4075" i="4"/>
  <c r="I4074" i="4"/>
  <c r="H4074" i="4"/>
  <c r="I4073" i="4"/>
  <c r="H4073" i="4"/>
  <c r="I4072" i="4"/>
  <c r="H4072" i="4"/>
  <c r="I4071" i="4"/>
  <c r="H4071" i="4"/>
  <c r="I4070" i="4"/>
  <c r="H4070" i="4"/>
  <c r="I4069" i="4"/>
  <c r="H4069" i="4"/>
  <c r="I4068" i="4"/>
  <c r="H4068" i="4"/>
  <c r="I4067" i="4"/>
  <c r="H4067" i="4"/>
  <c r="I4066" i="4"/>
  <c r="H4066" i="4"/>
  <c r="I4065" i="4"/>
  <c r="H4065" i="4"/>
  <c r="I4064" i="4"/>
  <c r="H4064" i="4"/>
  <c r="I4063" i="4"/>
  <c r="H4063" i="4"/>
  <c r="I4062" i="4"/>
  <c r="H4062" i="4"/>
  <c r="I4061" i="4"/>
  <c r="H4061" i="4"/>
  <c r="I4060" i="4"/>
  <c r="H4060" i="4"/>
  <c r="I4059" i="4"/>
  <c r="H4059" i="4"/>
  <c r="I4058" i="4"/>
  <c r="H4058" i="4"/>
  <c r="I4057" i="4"/>
  <c r="H4057" i="4"/>
  <c r="I4056" i="4"/>
  <c r="H4056" i="4"/>
  <c r="I4055" i="4"/>
  <c r="H4055" i="4"/>
  <c r="I4054" i="4"/>
  <c r="H4054" i="4"/>
  <c r="I4053" i="4"/>
  <c r="H4053" i="4"/>
  <c r="I4052" i="4"/>
  <c r="H4052" i="4"/>
  <c r="I4051" i="4"/>
  <c r="H4051" i="4"/>
  <c r="I4050" i="4"/>
  <c r="H4050" i="4"/>
  <c r="I4049" i="4"/>
  <c r="H4049" i="4"/>
  <c r="I4048" i="4"/>
  <c r="H4048" i="4"/>
  <c r="I4047" i="4"/>
  <c r="H4047" i="4"/>
  <c r="I4046" i="4"/>
  <c r="H4046" i="4"/>
  <c r="I4045" i="4"/>
  <c r="H4045" i="4"/>
  <c r="I4044" i="4"/>
  <c r="H4044" i="4"/>
  <c r="I4043" i="4"/>
  <c r="H4043" i="4"/>
  <c r="I4042" i="4"/>
  <c r="H4042" i="4"/>
  <c r="I4041" i="4"/>
  <c r="H4041" i="4"/>
  <c r="I4040" i="4"/>
  <c r="H4040" i="4"/>
  <c r="I4039" i="4"/>
  <c r="H4039" i="4"/>
  <c r="I4038" i="4"/>
  <c r="H4038" i="4"/>
  <c r="I4037" i="4"/>
  <c r="H4037" i="4"/>
  <c r="I4036" i="4"/>
  <c r="H4036" i="4"/>
  <c r="I4035" i="4"/>
  <c r="H4035" i="4"/>
  <c r="I4034" i="4"/>
  <c r="H4034" i="4"/>
  <c r="I4033" i="4"/>
  <c r="H4033" i="4"/>
  <c r="I4032" i="4"/>
  <c r="H4032" i="4"/>
  <c r="I4031" i="4"/>
  <c r="H4031" i="4"/>
  <c r="I4030" i="4"/>
  <c r="H4030" i="4"/>
  <c r="I4029" i="4"/>
  <c r="H4029" i="4"/>
  <c r="I4028" i="4"/>
  <c r="H4028" i="4"/>
  <c r="I4027" i="4"/>
  <c r="H4027" i="4"/>
  <c r="I4026" i="4"/>
  <c r="H4026" i="4"/>
  <c r="I4025" i="4"/>
  <c r="H4025" i="4"/>
  <c r="I4024" i="4"/>
  <c r="H4024" i="4"/>
  <c r="I4023" i="4"/>
  <c r="H4023" i="4"/>
  <c r="I4022" i="4"/>
  <c r="H4022" i="4"/>
  <c r="I4021" i="4"/>
  <c r="H4021" i="4"/>
  <c r="I4020" i="4"/>
  <c r="H4020" i="4"/>
  <c r="I4019" i="4"/>
  <c r="H4019" i="4"/>
  <c r="I4018" i="4"/>
  <c r="H4018" i="4"/>
  <c r="I4017" i="4"/>
  <c r="H4017" i="4"/>
  <c r="I4016" i="4"/>
  <c r="H4016" i="4"/>
  <c r="I4015" i="4"/>
  <c r="H4015" i="4"/>
  <c r="I4014" i="4"/>
  <c r="H4014" i="4"/>
  <c r="I4013" i="4"/>
  <c r="H4013" i="4"/>
  <c r="I4012" i="4"/>
  <c r="H4012" i="4"/>
  <c r="I4011" i="4"/>
  <c r="H4011" i="4"/>
  <c r="I4010" i="4"/>
  <c r="H4010" i="4"/>
  <c r="I4009" i="4"/>
  <c r="H4009" i="4"/>
  <c r="I4008" i="4"/>
  <c r="H4008" i="4"/>
  <c r="I4007" i="4"/>
  <c r="H4007" i="4"/>
  <c r="I4006" i="4"/>
  <c r="H4006" i="4"/>
  <c r="I4005" i="4"/>
  <c r="H4005" i="4"/>
  <c r="I4004" i="4"/>
  <c r="H4004" i="4"/>
  <c r="I4003" i="4"/>
  <c r="H4003" i="4"/>
  <c r="I4002" i="4"/>
  <c r="H4002" i="4"/>
  <c r="I4001" i="4"/>
  <c r="H4001" i="4"/>
  <c r="I4000" i="4"/>
  <c r="H4000" i="4"/>
  <c r="I3999" i="4"/>
  <c r="H3999" i="4"/>
  <c r="I3998" i="4"/>
  <c r="H3998" i="4"/>
  <c r="I3997" i="4"/>
  <c r="H3997" i="4"/>
  <c r="I3996" i="4"/>
  <c r="H3996" i="4"/>
  <c r="H3995" i="4"/>
  <c r="I3994" i="4"/>
  <c r="H3994" i="4"/>
  <c r="I3993" i="4"/>
  <c r="H3993" i="4"/>
  <c r="I3992" i="4"/>
  <c r="H3992" i="4"/>
  <c r="I3991" i="4"/>
  <c r="H3991" i="4"/>
  <c r="I3990" i="4"/>
  <c r="H3990" i="4"/>
  <c r="I3989" i="4"/>
  <c r="H3989" i="4"/>
  <c r="I3988" i="4"/>
  <c r="H3988" i="4"/>
  <c r="I3987" i="4"/>
  <c r="H3987" i="4"/>
  <c r="I3986" i="4"/>
  <c r="H3986" i="4"/>
  <c r="I3985" i="4"/>
  <c r="H3985" i="4"/>
  <c r="I3984" i="4"/>
  <c r="H3984" i="4"/>
  <c r="I3983" i="4"/>
  <c r="H3983" i="4"/>
  <c r="I3982" i="4"/>
  <c r="H3982" i="4"/>
  <c r="I3981" i="4"/>
  <c r="H3981" i="4"/>
  <c r="I3980" i="4"/>
  <c r="H3980" i="4"/>
  <c r="I3979" i="4"/>
  <c r="H3979" i="4"/>
  <c r="I3978" i="4"/>
  <c r="H3978" i="4"/>
  <c r="I3977" i="4"/>
  <c r="H3977" i="4"/>
  <c r="I3976" i="4"/>
  <c r="H3976" i="4"/>
  <c r="I3975" i="4"/>
  <c r="H3975" i="4"/>
  <c r="I3974" i="4"/>
  <c r="H3974" i="4"/>
  <c r="I3973" i="4"/>
  <c r="H3973" i="4"/>
  <c r="I3972" i="4"/>
  <c r="H3972" i="4"/>
  <c r="I3971" i="4"/>
  <c r="H3971" i="4"/>
  <c r="I3970" i="4"/>
  <c r="H3970" i="4"/>
  <c r="I3969" i="4"/>
  <c r="H3969" i="4"/>
  <c r="I3968" i="4"/>
  <c r="H3968" i="4"/>
  <c r="I3967" i="4"/>
  <c r="H3967" i="4"/>
  <c r="I3966" i="4"/>
  <c r="H3966" i="4"/>
  <c r="I3965" i="4"/>
  <c r="H3965" i="4"/>
  <c r="I3964" i="4"/>
  <c r="H3964" i="4"/>
  <c r="I3963" i="4"/>
  <c r="H3963" i="4"/>
  <c r="I3962" i="4"/>
  <c r="H3962" i="4"/>
  <c r="I3961" i="4"/>
  <c r="H3961" i="4"/>
  <c r="I3960" i="4"/>
  <c r="H3960" i="4"/>
  <c r="I3959" i="4"/>
  <c r="H3959" i="4"/>
  <c r="I3958" i="4"/>
  <c r="H3958" i="4"/>
  <c r="I3957" i="4"/>
  <c r="H3957" i="4"/>
  <c r="I3956" i="4"/>
  <c r="H3956" i="4"/>
  <c r="I3955" i="4"/>
  <c r="H3955" i="4"/>
  <c r="I3954" i="4"/>
  <c r="H3954" i="4"/>
  <c r="I3953" i="4"/>
  <c r="H3953" i="4"/>
  <c r="I3952" i="4"/>
  <c r="H3952" i="4"/>
  <c r="I3951" i="4"/>
  <c r="H3951" i="4"/>
  <c r="I3950" i="4"/>
  <c r="H3950" i="4"/>
  <c r="I3949" i="4"/>
  <c r="H3949" i="4"/>
  <c r="I3948" i="4"/>
  <c r="H3948" i="4"/>
  <c r="I3947" i="4"/>
  <c r="H3947" i="4"/>
  <c r="I3946" i="4"/>
  <c r="H3946" i="4"/>
  <c r="I3945" i="4"/>
  <c r="H3945" i="4"/>
  <c r="I3944" i="4"/>
  <c r="H3944" i="4"/>
  <c r="I3943" i="4"/>
  <c r="H3943" i="4"/>
  <c r="I3942" i="4"/>
  <c r="H3942" i="4"/>
  <c r="I3941" i="4"/>
  <c r="H3941" i="4"/>
  <c r="I3940" i="4"/>
  <c r="H3940" i="4"/>
  <c r="I3939" i="4"/>
  <c r="H3939" i="4"/>
  <c r="I3938" i="4"/>
  <c r="H3938" i="4"/>
  <c r="I3937" i="4"/>
  <c r="H3937" i="4"/>
  <c r="I3936" i="4"/>
  <c r="H3936" i="4"/>
  <c r="I3935" i="4"/>
  <c r="H3935" i="4"/>
  <c r="I3934" i="4"/>
  <c r="H3934" i="4"/>
  <c r="I3933" i="4"/>
  <c r="H3933" i="4"/>
  <c r="I3932" i="4"/>
  <c r="H3932" i="4"/>
  <c r="I3931" i="4"/>
  <c r="H3931" i="4"/>
  <c r="I3930" i="4"/>
  <c r="H3930" i="4"/>
  <c r="I3929" i="4"/>
  <c r="H3929" i="4"/>
  <c r="I3928" i="4"/>
  <c r="H3928" i="4"/>
  <c r="I3927" i="4"/>
  <c r="H3927" i="4"/>
  <c r="I3926" i="4"/>
  <c r="H3926" i="4"/>
  <c r="I3925" i="4"/>
  <c r="H3925" i="4"/>
  <c r="I3924" i="4"/>
  <c r="H3924" i="4"/>
  <c r="I3923" i="4"/>
  <c r="H3923" i="4"/>
  <c r="I3922" i="4"/>
  <c r="H3922" i="4"/>
  <c r="I3921" i="4"/>
  <c r="H3921" i="4"/>
  <c r="I3920" i="4"/>
  <c r="H3920" i="4"/>
  <c r="I3919" i="4"/>
  <c r="H3919" i="4"/>
  <c r="I3918" i="4"/>
  <c r="H3918" i="4"/>
  <c r="I3917" i="4"/>
  <c r="H3917" i="4"/>
  <c r="I3916" i="4"/>
  <c r="H3916" i="4"/>
  <c r="I3915" i="4"/>
  <c r="H3915" i="4"/>
  <c r="I3914" i="4"/>
  <c r="H3914" i="4"/>
  <c r="I3913" i="4"/>
  <c r="H3913" i="4"/>
  <c r="I3912" i="4"/>
  <c r="H3912" i="4"/>
  <c r="I3911" i="4"/>
  <c r="H3911" i="4"/>
  <c r="I3910" i="4"/>
  <c r="H3910" i="4"/>
  <c r="I3909" i="4"/>
  <c r="H3909" i="4"/>
  <c r="I3908" i="4"/>
  <c r="H3908" i="4"/>
  <c r="I3907" i="4"/>
  <c r="H3907" i="4"/>
  <c r="I3906" i="4"/>
  <c r="H3906" i="4"/>
  <c r="I3905" i="4"/>
  <c r="H3905" i="4"/>
  <c r="I3904" i="4"/>
  <c r="H3904" i="4"/>
  <c r="I3903" i="4"/>
  <c r="H3903" i="4"/>
  <c r="I3902" i="4"/>
  <c r="H3902" i="4"/>
  <c r="I3901" i="4"/>
  <c r="H3901" i="4"/>
  <c r="I3900" i="4"/>
  <c r="H3900" i="4"/>
  <c r="I3899" i="4"/>
  <c r="H3899" i="4"/>
  <c r="I3898" i="4"/>
  <c r="H3898" i="4"/>
  <c r="I3897" i="4"/>
  <c r="H3897" i="4"/>
  <c r="I3896" i="4"/>
  <c r="H3896" i="4"/>
  <c r="I3895" i="4"/>
  <c r="H3895" i="4"/>
  <c r="I3894" i="4"/>
  <c r="H3894" i="4"/>
  <c r="I3893" i="4"/>
  <c r="H3893" i="4"/>
  <c r="I3892" i="4"/>
  <c r="H3892" i="4"/>
  <c r="I3891" i="4"/>
  <c r="H3891" i="4"/>
  <c r="I3890" i="4"/>
  <c r="H3890" i="4"/>
  <c r="I3889" i="4"/>
  <c r="H3889" i="4"/>
  <c r="I3888" i="4"/>
  <c r="H3888" i="4"/>
  <c r="I3887" i="4"/>
  <c r="H3887" i="4"/>
  <c r="I3886" i="4"/>
  <c r="H3886" i="4"/>
  <c r="I3885" i="4"/>
  <c r="H3885" i="4"/>
  <c r="I3884" i="4"/>
  <c r="H3884" i="4"/>
  <c r="I3883" i="4"/>
  <c r="H3883" i="4"/>
  <c r="I3882" i="4"/>
  <c r="H3882" i="4"/>
  <c r="I3881" i="4"/>
  <c r="H3881" i="4"/>
  <c r="I3880" i="4"/>
  <c r="H3880" i="4"/>
  <c r="I3879" i="4"/>
  <c r="H3879" i="4"/>
  <c r="I3878" i="4"/>
  <c r="H3878" i="4"/>
  <c r="I3877" i="4"/>
  <c r="H3877" i="4"/>
  <c r="I3876" i="4"/>
  <c r="H3876" i="4"/>
  <c r="I3875" i="4"/>
  <c r="H3875" i="4"/>
  <c r="I3874" i="4"/>
  <c r="H3874" i="4"/>
  <c r="I3873" i="4"/>
  <c r="H3873" i="4"/>
  <c r="I3872" i="4"/>
  <c r="H3872" i="4"/>
  <c r="I3871" i="4"/>
  <c r="H3871" i="4"/>
  <c r="I3870" i="4"/>
  <c r="H3870" i="4"/>
  <c r="I3869" i="4"/>
  <c r="H3869" i="4"/>
  <c r="I3868" i="4"/>
  <c r="H3868" i="4"/>
  <c r="I3867" i="4"/>
  <c r="H3867" i="4"/>
  <c r="I3866" i="4"/>
  <c r="H3866" i="4"/>
  <c r="I3865" i="4"/>
  <c r="H3865" i="4"/>
  <c r="I3864" i="4"/>
  <c r="H3864" i="4"/>
  <c r="I3863" i="4"/>
  <c r="H3863" i="4"/>
  <c r="I3862" i="4"/>
  <c r="H3862" i="4"/>
  <c r="I3861" i="4"/>
  <c r="H3861" i="4"/>
  <c r="I3860" i="4"/>
  <c r="H3860" i="4"/>
  <c r="I3859" i="4"/>
  <c r="H3859" i="4"/>
  <c r="I3858" i="4"/>
  <c r="H3858" i="4"/>
  <c r="I3857" i="4"/>
  <c r="H3857" i="4"/>
  <c r="I3856" i="4"/>
  <c r="H3856" i="4"/>
  <c r="I3855" i="4"/>
  <c r="H3855" i="4"/>
  <c r="I3854" i="4"/>
  <c r="H3854" i="4"/>
  <c r="I3853" i="4"/>
  <c r="H3853" i="4"/>
  <c r="I3852" i="4"/>
  <c r="H3852" i="4"/>
  <c r="I3851" i="4"/>
  <c r="H3851" i="4"/>
  <c r="I3850" i="4"/>
  <c r="H3850" i="4"/>
  <c r="I3849" i="4"/>
  <c r="H3849" i="4"/>
  <c r="I3848" i="4"/>
  <c r="H3848" i="4"/>
  <c r="I3847" i="4"/>
  <c r="H3847" i="4"/>
  <c r="I3846" i="4"/>
  <c r="H3846" i="4"/>
  <c r="I3845" i="4"/>
  <c r="H3845" i="4"/>
  <c r="I3844" i="4"/>
  <c r="H3844" i="4"/>
  <c r="I3843" i="4"/>
  <c r="H3843" i="4"/>
  <c r="I3842" i="4"/>
  <c r="H3842" i="4"/>
  <c r="I3841" i="4"/>
  <c r="H3841" i="4"/>
  <c r="I3840" i="4"/>
  <c r="H3840" i="4"/>
  <c r="I3839" i="4"/>
  <c r="H3839" i="4"/>
  <c r="I3838" i="4"/>
  <c r="H3838" i="4"/>
  <c r="I3837" i="4"/>
  <c r="H3837" i="4"/>
  <c r="I3836" i="4"/>
  <c r="H3836" i="4"/>
  <c r="I3835" i="4"/>
  <c r="H3835" i="4"/>
  <c r="I3834" i="4"/>
  <c r="H3834" i="4"/>
  <c r="I3833" i="4"/>
  <c r="H3833" i="4"/>
  <c r="I3832" i="4"/>
  <c r="H3832" i="4"/>
  <c r="I3831" i="4"/>
  <c r="H3831" i="4"/>
  <c r="I3830" i="4"/>
  <c r="H3830" i="4"/>
  <c r="I3829" i="4"/>
  <c r="H3829" i="4"/>
  <c r="I3828" i="4"/>
  <c r="H3828" i="4"/>
  <c r="H3827" i="4"/>
  <c r="I3826" i="4"/>
  <c r="H3826" i="4"/>
  <c r="I3825" i="4"/>
  <c r="H3825" i="4"/>
  <c r="I3824" i="4"/>
  <c r="H3824" i="4"/>
  <c r="I3823" i="4"/>
  <c r="H3823" i="4"/>
  <c r="I3822" i="4"/>
  <c r="H3822" i="4"/>
  <c r="I3821" i="4"/>
  <c r="H3821" i="4"/>
  <c r="I3820" i="4"/>
  <c r="H3820" i="4"/>
  <c r="I3819" i="4"/>
  <c r="H3819" i="4"/>
  <c r="I3818" i="4"/>
  <c r="H3818" i="4"/>
  <c r="I3817" i="4"/>
  <c r="H3817" i="4"/>
  <c r="I3816" i="4"/>
  <c r="H3816" i="4"/>
  <c r="I3815" i="4"/>
  <c r="H3815" i="4"/>
  <c r="I3814" i="4"/>
  <c r="H3814" i="4"/>
  <c r="I3813" i="4"/>
  <c r="H3813" i="4"/>
  <c r="I3812" i="4"/>
  <c r="H3812" i="4"/>
  <c r="I3811" i="4"/>
  <c r="H3811" i="4"/>
  <c r="I3810" i="4"/>
  <c r="H3810" i="4"/>
  <c r="I3809" i="4"/>
  <c r="H3809" i="4"/>
  <c r="I3808" i="4"/>
  <c r="H3808" i="4"/>
  <c r="I3807" i="4"/>
  <c r="H3807" i="4"/>
  <c r="I3806" i="4"/>
  <c r="H3806" i="4"/>
  <c r="I3805" i="4"/>
  <c r="H3805" i="4"/>
  <c r="I3804" i="4"/>
  <c r="H3804" i="4"/>
  <c r="I3803" i="4"/>
  <c r="H3803" i="4"/>
  <c r="I3802" i="4"/>
  <c r="H3802" i="4"/>
  <c r="I3801" i="4"/>
  <c r="H3801" i="4"/>
  <c r="I3800" i="4"/>
  <c r="H3800" i="4"/>
  <c r="I3799" i="4"/>
  <c r="H3799" i="4"/>
  <c r="I3798" i="4"/>
  <c r="H3798" i="4"/>
  <c r="I3797" i="4"/>
  <c r="H3797" i="4"/>
  <c r="I3796" i="4"/>
  <c r="H3796" i="4"/>
  <c r="I3795" i="4"/>
  <c r="H3795" i="4"/>
  <c r="I3794" i="4"/>
  <c r="H3794" i="4"/>
  <c r="I3793" i="4"/>
  <c r="H3793" i="4"/>
  <c r="I3792" i="4"/>
  <c r="H3792" i="4"/>
  <c r="I3791" i="4"/>
  <c r="H3791" i="4"/>
  <c r="I3790" i="4"/>
  <c r="H3790" i="4"/>
  <c r="I3789" i="4"/>
  <c r="H3789" i="4"/>
  <c r="I3788" i="4"/>
  <c r="H3788" i="4"/>
  <c r="I3787" i="4"/>
  <c r="H3787" i="4"/>
  <c r="I3786" i="4"/>
  <c r="H3786" i="4"/>
  <c r="I3785" i="4"/>
  <c r="H3785" i="4"/>
  <c r="I3784" i="4"/>
  <c r="H3784" i="4"/>
  <c r="I3783" i="4"/>
  <c r="H3783" i="4"/>
  <c r="I3782" i="4"/>
  <c r="H3782" i="4"/>
  <c r="I3781" i="4"/>
  <c r="H3781" i="4"/>
  <c r="I3780" i="4"/>
  <c r="H3780" i="4"/>
  <c r="I3779" i="4"/>
  <c r="H3779" i="4"/>
  <c r="I3778" i="4"/>
  <c r="H3778" i="4"/>
  <c r="I3777" i="4"/>
  <c r="H3777" i="4"/>
  <c r="I3776" i="4"/>
  <c r="H3776" i="4"/>
  <c r="I3775" i="4"/>
  <c r="H3775" i="4"/>
  <c r="I3774" i="4"/>
  <c r="H3774" i="4"/>
  <c r="I3773" i="4"/>
  <c r="H3773" i="4"/>
  <c r="I3772" i="4"/>
  <c r="H3772" i="4"/>
  <c r="I3771" i="4"/>
  <c r="H3771" i="4"/>
  <c r="I3770" i="4"/>
  <c r="H3770" i="4"/>
  <c r="I3769" i="4"/>
  <c r="H3769" i="4"/>
  <c r="I3768" i="4"/>
  <c r="H3768" i="4"/>
  <c r="I3767" i="4"/>
  <c r="H3767" i="4"/>
  <c r="I3766" i="4"/>
  <c r="H3766" i="4"/>
  <c r="I3765" i="4"/>
  <c r="H3765" i="4"/>
  <c r="I3764" i="4"/>
  <c r="H3764" i="4"/>
  <c r="I3763" i="4"/>
  <c r="H3763" i="4"/>
  <c r="I3762" i="4"/>
  <c r="H3762" i="4"/>
  <c r="I3761" i="4"/>
  <c r="H3761" i="4"/>
  <c r="I3760" i="4"/>
  <c r="H3760" i="4"/>
  <c r="I3759" i="4"/>
  <c r="H3759" i="4"/>
  <c r="I3758" i="4"/>
  <c r="H3758" i="4"/>
  <c r="I3757" i="4"/>
  <c r="H3757" i="4"/>
  <c r="I3756" i="4"/>
  <c r="H3756" i="4"/>
  <c r="I3755" i="4"/>
  <c r="H3755" i="4"/>
  <c r="I3754" i="4"/>
  <c r="H3754" i="4"/>
  <c r="I3753" i="4"/>
  <c r="H3753" i="4"/>
  <c r="I3752" i="4"/>
  <c r="H3752" i="4"/>
  <c r="I3751" i="4"/>
  <c r="H3751" i="4"/>
  <c r="I3750" i="4"/>
  <c r="H3750" i="4"/>
  <c r="I3749" i="4"/>
  <c r="H3749" i="4"/>
  <c r="I3748" i="4"/>
  <c r="H3748" i="4"/>
  <c r="I3747" i="4"/>
  <c r="H3747" i="4"/>
  <c r="I3746" i="4"/>
  <c r="H3746" i="4"/>
  <c r="I3745" i="4"/>
  <c r="H3745" i="4"/>
  <c r="I3744" i="4"/>
  <c r="H3744" i="4"/>
  <c r="I3743" i="4"/>
  <c r="H3743" i="4"/>
  <c r="I3742" i="4"/>
  <c r="H3742" i="4"/>
  <c r="I3741" i="4"/>
  <c r="H3741" i="4"/>
  <c r="I3740" i="4"/>
  <c r="H3740" i="4"/>
  <c r="I3739" i="4"/>
  <c r="H3739" i="4"/>
  <c r="I3738" i="4"/>
  <c r="H3738" i="4"/>
  <c r="I3737" i="4"/>
  <c r="H3737" i="4"/>
  <c r="I3736" i="4"/>
  <c r="H3736" i="4"/>
  <c r="I3735" i="4"/>
  <c r="H3735" i="4"/>
  <c r="I3734" i="4"/>
  <c r="H3734" i="4"/>
  <c r="I3733" i="4"/>
  <c r="H3733" i="4"/>
  <c r="I3732" i="4"/>
  <c r="H3732" i="4"/>
  <c r="I3731" i="4"/>
  <c r="H3731" i="4"/>
  <c r="I3730" i="4"/>
  <c r="H3730" i="4"/>
  <c r="I3729" i="4"/>
  <c r="H3729" i="4"/>
  <c r="I3728" i="4"/>
  <c r="H3728" i="4"/>
  <c r="I3727" i="4"/>
  <c r="H3727" i="4"/>
  <c r="I3726" i="4"/>
  <c r="H3726" i="4"/>
  <c r="I3725" i="4"/>
  <c r="H3725" i="4"/>
  <c r="I3724" i="4"/>
  <c r="H3724" i="4"/>
  <c r="I3723" i="4"/>
  <c r="H3723" i="4"/>
  <c r="I3722" i="4"/>
  <c r="H3722" i="4"/>
  <c r="I3721" i="4"/>
  <c r="H3721" i="4"/>
  <c r="I3720" i="4"/>
  <c r="H3720" i="4"/>
  <c r="I3719" i="4"/>
  <c r="H3719" i="4"/>
  <c r="I3718" i="4"/>
  <c r="H3718" i="4"/>
  <c r="I3717" i="4"/>
  <c r="H3717" i="4"/>
  <c r="I3716" i="4"/>
  <c r="H3716" i="4"/>
  <c r="I3715" i="4"/>
  <c r="H3715" i="4"/>
  <c r="I3714" i="4"/>
  <c r="H3714" i="4"/>
  <c r="I3713" i="4"/>
  <c r="H3713" i="4"/>
  <c r="I3712" i="4"/>
  <c r="H3712" i="4"/>
  <c r="I3711" i="4"/>
  <c r="H3711" i="4"/>
  <c r="I3710" i="4"/>
  <c r="H3710" i="4"/>
  <c r="I3709" i="4"/>
  <c r="H3709" i="4"/>
  <c r="I3708" i="4"/>
  <c r="H3708" i="4"/>
  <c r="I3707" i="4"/>
  <c r="H3707" i="4"/>
  <c r="I3706" i="4"/>
  <c r="H3706" i="4"/>
  <c r="I3705" i="4"/>
  <c r="H3705" i="4"/>
  <c r="I3704" i="4"/>
  <c r="H3704" i="4"/>
  <c r="I3703" i="4"/>
  <c r="H3703" i="4"/>
  <c r="I3702" i="4"/>
  <c r="H3702" i="4"/>
  <c r="I3701" i="4"/>
  <c r="H3701" i="4"/>
  <c r="I3700" i="4"/>
  <c r="H3700" i="4"/>
  <c r="I3699" i="4"/>
  <c r="H3699" i="4"/>
  <c r="I3698" i="4"/>
  <c r="H3698" i="4"/>
  <c r="I3697" i="4"/>
  <c r="H3697" i="4"/>
  <c r="I3696" i="4"/>
  <c r="H3696" i="4"/>
  <c r="I3695" i="4"/>
  <c r="H3695" i="4"/>
  <c r="I3694" i="4"/>
  <c r="H3694" i="4"/>
  <c r="I3693" i="4"/>
  <c r="H3693" i="4"/>
  <c r="I3692" i="4"/>
  <c r="H3692" i="4"/>
  <c r="I3691" i="4"/>
  <c r="H3691" i="4"/>
  <c r="I3690" i="4"/>
  <c r="H3690" i="4"/>
  <c r="I3689" i="4"/>
  <c r="H3689" i="4"/>
  <c r="I3688" i="4"/>
  <c r="H3688" i="4"/>
  <c r="I3687" i="4"/>
  <c r="H3687" i="4"/>
  <c r="I3686" i="4"/>
  <c r="H3686" i="4"/>
  <c r="I3685" i="4"/>
  <c r="H3685" i="4"/>
  <c r="I3684" i="4"/>
  <c r="H3684" i="4"/>
  <c r="I3683" i="4"/>
  <c r="H3683" i="4"/>
  <c r="I3682" i="4"/>
  <c r="H3682" i="4"/>
  <c r="I3681" i="4"/>
  <c r="H3681" i="4"/>
  <c r="I3680" i="4"/>
  <c r="H3680" i="4"/>
  <c r="I3679" i="4"/>
  <c r="H3679" i="4"/>
  <c r="I3678" i="4"/>
  <c r="H3678" i="4"/>
  <c r="I3677" i="4"/>
  <c r="H3677" i="4"/>
  <c r="I3676" i="4"/>
  <c r="H3676" i="4"/>
  <c r="I3675" i="4"/>
  <c r="H3675" i="4"/>
  <c r="I3674" i="4"/>
  <c r="H3674" i="4"/>
  <c r="I3673" i="4"/>
  <c r="H3673" i="4"/>
  <c r="I3672" i="4"/>
  <c r="H3672" i="4"/>
  <c r="I3671" i="4"/>
  <c r="H3671" i="4"/>
  <c r="I3670" i="4"/>
  <c r="H3670" i="4"/>
  <c r="I3669" i="4"/>
  <c r="H3669" i="4"/>
  <c r="I3668" i="4"/>
  <c r="H3668" i="4"/>
  <c r="I3667" i="4"/>
  <c r="H3667" i="4"/>
  <c r="I3666" i="4"/>
  <c r="H3666" i="4"/>
  <c r="I3665" i="4"/>
  <c r="H3665" i="4"/>
  <c r="I3664" i="4"/>
  <c r="H3664" i="4"/>
  <c r="I3663" i="4"/>
  <c r="H3663" i="4"/>
  <c r="I3662" i="4"/>
  <c r="H3662" i="4"/>
  <c r="I3661" i="4"/>
  <c r="H3661" i="4"/>
  <c r="I3660" i="4"/>
  <c r="H3660" i="4"/>
  <c r="I3659" i="4"/>
  <c r="H3659" i="4"/>
  <c r="I3658" i="4"/>
  <c r="H3658" i="4"/>
  <c r="I3657" i="4"/>
  <c r="H3657" i="4"/>
  <c r="I3656" i="4"/>
  <c r="H3656" i="4"/>
  <c r="I3655" i="4"/>
  <c r="H3655" i="4"/>
  <c r="I3654" i="4"/>
  <c r="H3654" i="4"/>
  <c r="I3653" i="4"/>
  <c r="H3653" i="4"/>
  <c r="I3652" i="4"/>
  <c r="H3652" i="4"/>
  <c r="I3651" i="4"/>
  <c r="H3651" i="4"/>
  <c r="I3650" i="4"/>
  <c r="H3650" i="4"/>
  <c r="I3649" i="4"/>
  <c r="H3649" i="4"/>
  <c r="I3648" i="4"/>
  <c r="H3648" i="4"/>
  <c r="I3647" i="4"/>
  <c r="H3647" i="4"/>
  <c r="I3646" i="4"/>
  <c r="H3646" i="4"/>
  <c r="I3645" i="4"/>
  <c r="H3645" i="4"/>
  <c r="I3644" i="4"/>
  <c r="H3644" i="4"/>
  <c r="I3643" i="4"/>
  <c r="H3643" i="4"/>
  <c r="I3642" i="4"/>
  <c r="H3642" i="4"/>
  <c r="I3641" i="4"/>
  <c r="H3641" i="4"/>
  <c r="I3640" i="4"/>
  <c r="H3640" i="4"/>
  <c r="I3639" i="4"/>
  <c r="H3639" i="4"/>
  <c r="I3638" i="4"/>
  <c r="H3638" i="4"/>
  <c r="I3637" i="4"/>
  <c r="H3637" i="4"/>
  <c r="I3636" i="4"/>
  <c r="H3636" i="4"/>
  <c r="I3635" i="4"/>
  <c r="H3635" i="4"/>
  <c r="I3634" i="4"/>
  <c r="H3634" i="4"/>
  <c r="I3633" i="4"/>
  <c r="H3633" i="4"/>
  <c r="I3632" i="4"/>
  <c r="H3632" i="4"/>
  <c r="I3631" i="4"/>
  <c r="H3631" i="4"/>
  <c r="I3630" i="4"/>
  <c r="H3630" i="4"/>
  <c r="I3629" i="4"/>
  <c r="H3629" i="4"/>
  <c r="I3628" i="4"/>
  <c r="H3628" i="4"/>
  <c r="I3627" i="4"/>
  <c r="H3627" i="4"/>
  <c r="I3626" i="4"/>
  <c r="H3626" i="4"/>
  <c r="I3625" i="4"/>
  <c r="H3625" i="4"/>
  <c r="I3624" i="4"/>
  <c r="H3624" i="4"/>
  <c r="I3623" i="4"/>
  <c r="H3623" i="4"/>
  <c r="I3622" i="4"/>
  <c r="H3622" i="4"/>
  <c r="I3621" i="4"/>
  <c r="H3621" i="4"/>
  <c r="I3620" i="4"/>
  <c r="H3620" i="4"/>
  <c r="I3619" i="4"/>
  <c r="H3619" i="4"/>
  <c r="I3618" i="4"/>
  <c r="H3618" i="4"/>
  <c r="I3617" i="4"/>
  <c r="H3617" i="4"/>
  <c r="I3616" i="4"/>
  <c r="H3616" i="4"/>
  <c r="I3615" i="4"/>
  <c r="H3615" i="4"/>
  <c r="I3614" i="4"/>
  <c r="H3614" i="4"/>
  <c r="I3613" i="4"/>
  <c r="H3613" i="4"/>
  <c r="I3612" i="4"/>
  <c r="H3612" i="4"/>
  <c r="I3611" i="4"/>
  <c r="H3611" i="4"/>
  <c r="I3610" i="4"/>
  <c r="H3610" i="4"/>
  <c r="I3609" i="4"/>
  <c r="H3609" i="4"/>
  <c r="I3608" i="4"/>
  <c r="H3608" i="4"/>
  <c r="I3607" i="4"/>
  <c r="H3607" i="4"/>
  <c r="I3606" i="4"/>
  <c r="H3606" i="4"/>
  <c r="I3605" i="4"/>
  <c r="H3605" i="4"/>
  <c r="I3604" i="4"/>
  <c r="H3604" i="4"/>
  <c r="I3603" i="4"/>
  <c r="H3603" i="4"/>
  <c r="I3602" i="4"/>
  <c r="H3602" i="4"/>
  <c r="I3601" i="4"/>
  <c r="H3601" i="4"/>
  <c r="I3600" i="4"/>
  <c r="H3600" i="4"/>
  <c r="I3599" i="4"/>
  <c r="H3599" i="4"/>
  <c r="I3598" i="4"/>
  <c r="H3598" i="4"/>
  <c r="I3597" i="4"/>
  <c r="H3597" i="4"/>
  <c r="I3596" i="4"/>
  <c r="H3596" i="4"/>
  <c r="I3595" i="4"/>
  <c r="H3595" i="4"/>
  <c r="I3594" i="4"/>
  <c r="H3594" i="4"/>
  <c r="I3593" i="4"/>
  <c r="H3593" i="4"/>
  <c r="I3592" i="4"/>
  <c r="H3592" i="4"/>
  <c r="I3591" i="4"/>
  <c r="H3591" i="4"/>
  <c r="I3590" i="4"/>
  <c r="H3590" i="4"/>
  <c r="I3589" i="4"/>
  <c r="H3589" i="4"/>
  <c r="I3588" i="4"/>
  <c r="H3588" i="4"/>
  <c r="I3587" i="4"/>
  <c r="H3587" i="4"/>
  <c r="I3586" i="4"/>
  <c r="H3586" i="4"/>
  <c r="I3585" i="4"/>
  <c r="H3585" i="4"/>
  <c r="I3584" i="4"/>
  <c r="H3584" i="4"/>
  <c r="I3583" i="4"/>
  <c r="H3583" i="4"/>
  <c r="I3582" i="4"/>
  <c r="H3582" i="4"/>
  <c r="I3581" i="4"/>
  <c r="H3581" i="4"/>
  <c r="I3580" i="4"/>
  <c r="H3580" i="4"/>
  <c r="I3579" i="4"/>
  <c r="H3579" i="4"/>
  <c r="I3578" i="4"/>
  <c r="H3578" i="4"/>
  <c r="I3577" i="4"/>
  <c r="H3577" i="4"/>
  <c r="I3576" i="4"/>
  <c r="H3576" i="4"/>
  <c r="I3575" i="4"/>
  <c r="H3575" i="4"/>
  <c r="I3574" i="4"/>
  <c r="H3574" i="4"/>
  <c r="I3573" i="4"/>
  <c r="H3573" i="4"/>
  <c r="I3572" i="4"/>
  <c r="H3572" i="4"/>
  <c r="I3571" i="4"/>
  <c r="H3571" i="4"/>
  <c r="I3570" i="4"/>
  <c r="H3570" i="4"/>
  <c r="I3569" i="4"/>
  <c r="H3569" i="4"/>
  <c r="I3568" i="4"/>
  <c r="H3568" i="4"/>
  <c r="I3567" i="4"/>
  <c r="H3567" i="4"/>
  <c r="I3566" i="4"/>
  <c r="H3566" i="4"/>
  <c r="I3565" i="4"/>
  <c r="H3565" i="4"/>
  <c r="I3564" i="4"/>
  <c r="H3564" i="4"/>
  <c r="I3563" i="4"/>
  <c r="H3563" i="4"/>
  <c r="I3562" i="4"/>
  <c r="H3562" i="4"/>
  <c r="I3561" i="4"/>
  <c r="H3561" i="4"/>
  <c r="I3560" i="4"/>
  <c r="H3560" i="4"/>
  <c r="I3559" i="4"/>
  <c r="H3559" i="4"/>
  <c r="I3558" i="4"/>
  <c r="H3558" i="4"/>
  <c r="I3557" i="4"/>
  <c r="H3557" i="4"/>
  <c r="I3556" i="4"/>
  <c r="H3556" i="4"/>
  <c r="I3555" i="4"/>
  <c r="H3555" i="4"/>
  <c r="I3554" i="4"/>
  <c r="H3554" i="4"/>
  <c r="I3553" i="4"/>
  <c r="H3553" i="4"/>
  <c r="I3552" i="4"/>
  <c r="H3552" i="4"/>
  <c r="I3551" i="4"/>
  <c r="H3551" i="4"/>
  <c r="I3550" i="4"/>
  <c r="H3550" i="4"/>
  <c r="I3549" i="4"/>
  <c r="H3549" i="4"/>
  <c r="I3548" i="4"/>
  <c r="H3548" i="4"/>
  <c r="I3547" i="4"/>
  <c r="H3547" i="4"/>
  <c r="I3546" i="4"/>
  <c r="H3546" i="4"/>
  <c r="I3545" i="4"/>
  <c r="H3545" i="4"/>
  <c r="I3544" i="4"/>
  <c r="H3544" i="4"/>
  <c r="I3543" i="4"/>
  <c r="H3543" i="4"/>
  <c r="I3542" i="4"/>
  <c r="H3542" i="4"/>
  <c r="I3541" i="4"/>
  <c r="H3541" i="4"/>
  <c r="I3540" i="4"/>
  <c r="H3540" i="4"/>
  <c r="I3539" i="4"/>
  <c r="H3539" i="4"/>
  <c r="I3538" i="4"/>
  <c r="H3538" i="4"/>
  <c r="I3537" i="4"/>
  <c r="H3537" i="4"/>
  <c r="I3536" i="4"/>
  <c r="H3536" i="4"/>
  <c r="I3535" i="4"/>
  <c r="H3535" i="4"/>
  <c r="I3534" i="4"/>
  <c r="H3534" i="4"/>
  <c r="I3533" i="4"/>
  <c r="H3533" i="4"/>
  <c r="I3532" i="4"/>
  <c r="H3532" i="4"/>
  <c r="I3531" i="4"/>
  <c r="H3531" i="4"/>
  <c r="I3530" i="4"/>
  <c r="H3530" i="4"/>
  <c r="I3529" i="4"/>
  <c r="H3529" i="4"/>
  <c r="I3528" i="4"/>
  <c r="H3528" i="4"/>
  <c r="I3527" i="4"/>
  <c r="H3527" i="4"/>
  <c r="I3526" i="4"/>
  <c r="H3526" i="4"/>
  <c r="I3525" i="4"/>
  <c r="H3525" i="4"/>
  <c r="I3524" i="4"/>
  <c r="H3524" i="4"/>
  <c r="I3523" i="4"/>
  <c r="H3523" i="4"/>
  <c r="I3522" i="4"/>
  <c r="H3522" i="4"/>
  <c r="I3521" i="4"/>
  <c r="H3521" i="4"/>
  <c r="I3520" i="4"/>
  <c r="H3520" i="4"/>
  <c r="I3519" i="4"/>
  <c r="H3519" i="4"/>
  <c r="I3518" i="4"/>
  <c r="H3518" i="4"/>
  <c r="I3517" i="4"/>
  <c r="H3517" i="4"/>
  <c r="I3516" i="4"/>
  <c r="H3516" i="4"/>
  <c r="I3515" i="4"/>
  <c r="H3515" i="4"/>
  <c r="I3514" i="4"/>
  <c r="H3514" i="4"/>
  <c r="I3513" i="4"/>
  <c r="H3513" i="4"/>
  <c r="I3512" i="4"/>
  <c r="H3512" i="4"/>
  <c r="I3511" i="4"/>
  <c r="H3511" i="4"/>
  <c r="I3510" i="4"/>
  <c r="H3510" i="4"/>
  <c r="I3509" i="4"/>
  <c r="H3509" i="4"/>
  <c r="I3508" i="4"/>
  <c r="H3508" i="4"/>
  <c r="I3507" i="4"/>
  <c r="H3507" i="4"/>
  <c r="I3506" i="4"/>
  <c r="H3506" i="4"/>
  <c r="I3505" i="4"/>
  <c r="H3505" i="4"/>
  <c r="I3504" i="4"/>
  <c r="H3504" i="4"/>
  <c r="I3503" i="4"/>
  <c r="H3503" i="4"/>
  <c r="I3502" i="4"/>
  <c r="H3502" i="4"/>
  <c r="I3501" i="4"/>
  <c r="H3501" i="4"/>
  <c r="I3500" i="4"/>
  <c r="H3500" i="4"/>
  <c r="I3499" i="4"/>
  <c r="H3499" i="4"/>
  <c r="I3498" i="4"/>
  <c r="H3498" i="4"/>
  <c r="I3497" i="4"/>
  <c r="H3497" i="4"/>
  <c r="I3496" i="4"/>
  <c r="H3496" i="4"/>
  <c r="I3495" i="4"/>
  <c r="H3495" i="4"/>
  <c r="I3494" i="4"/>
  <c r="H3494" i="4"/>
  <c r="I3493" i="4"/>
  <c r="H3493" i="4"/>
  <c r="I3492" i="4"/>
  <c r="H3492" i="4"/>
  <c r="I3491" i="4"/>
  <c r="H3491" i="4"/>
  <c r="I3490" i="4"/>
  <c r="H3490" i="4"/>
  <c r="I3489" i="4"/>
  <c r="H3489" i="4"/>
  <c r="I3488" i="4"/>
  <c r="H3488" i="4"/>
  <c r="I3487" i="4"/>
  <c r="H3487" i="4"/>
  <c r="I3486" i="4"/>
  <c r="H3486" i="4"/>
  <c r="I3485" i="4"/>
  <c r="H3485" i="4"/>
  <c r="I3484" i="4"/>
  <c r="H3484" i="4"/>
  <c r="I3483" i="4"/>
  <c r="H3483" i="4"/>
  <c r="I3482" i="4"/>
  <c r="H3482" i="4"/>
  <c r="I3481" i="4"/>
  <c r="H3481" i="4"/>
  <c r="I3480" i="4"/>
  <c r="H3480" i="4"/>
  <c r="I3479" i="4"/>
  <c r="H3479" i="4"/>
  <c r="I3478" i="4"/>
  <c r="H3478" i="4"/>
  <c r="I3477" i="4"/>
  <c r="H3477" i="4"/>
  <c r="I3476" i="4"/>
  <c r="H3476" i="4"/>
  <c r="I3475" i="4"/>
  <c r="H3475" i="4"/>
  <c r="I3474" i="4"/>
  <c r="H3474" i="4"/>
  <c r="I3473" i="4"/>
  <c r="H3473" i="4"/>
  <c r="I3472" i="4"/>
  <c r="H3472" i="4"/>
  <c r="I3471" i="4"/>
  <c r="H3471" i="4"/>
  <c r="I3470" i="4"/>
  <c r="H3470" i="4"/>
  <c r="I3469" i="4"/>
  <c r="H3469" i="4"/>
  <c r="I3468" i="4"/>
  <c r="H3468" i="4"/>
  <c r="I3467" i="4"/>
  <c r="H3467" i="4"/>
  <c r="I3466" i="4"/>
  <c r="H3466" i="4"/>
  <c r="I3465" i="4"/>
  <c r="H3465" i="4"/>
  <c r="I3464" i="4"/>
  <c r="H3464" i="4"/>
  <c r="I3463" i="4"/>
  <c r="H3463" i="4"/>
  <c r="I3462" i="4"/>
  <c r="H3462" i="4"/>
  <c r="I3461" i="4"/>
  <c r="H3461" i="4"/>
  <c r="I3460" i="4"/>
  <c r="H3460" i="4"/>
  <c r="I3459" i="4"/>
  <c r="H3459" i="4"/>
  <c r="I3458" i="4"/>
  <c r="H3458" i="4"/>
  <c r="I3457" i="4"/>
  <c r="H3457" i="4"/>
  <c r="I3456" i="4"/>
  <c r="H3456" i="4"/>
  <c r="I3455" i="4"/>
  <c r="H3455" i="4"/>
  <c r="I3454" i="4"/>
  <c r="H3454" i="4"/>
  <c r="I3453" i="4"/>
  <c r="H3453" i="4"/>
  <c r="I3452" i="4"/>
  <c r="H3452" i="4"/>
  <c r="I3451" i="4"/>
  <c r="H3451" i="4"/>
  <c r="I3450" i="4"/>
  <c r="H3450" i="4"/>
  <c r="I3449" i="4"/>
  <c r="H3449" i="4"/>
  <c r="I3448" i="4"/>
  <c r="H3448" i="4"/>
  <c r="I3447" i="4"/>
  <c r="H3447" i="4"/>
  <c r="I3446" i="4"/>
  <c r="H3446" i="4"/>
  <c r="I3445" i="4"/>
  <c r="H3445" i="4"/>
  <c r="I3444" i="4"/>
  <c r="H3444" i="4"/>
  <c r="I3443" i="4"/>
  <c r="H3443" i="4"/>
  <c r="I3442" i="4"/>
  <c r="H3442" i="4"/>
  <c r="I3441" i="4"/>
  <c r="H3441" i="4"/>
  <c r="I3440" i="4"/>
  <c r="H3440" i="4"/>
  <c r="I3439" i="4"/>
  <c r="H3439" i="4"/>
  <c r="I3438" i="4"/>
  <c r="H3438" i="4"/>
  <c r="I3437" i="4"/>
  <c r="H3437" i="4"/>
  <c r="I3436" i="4"/>
  <c r="H3436" i="4"/>
  <c r="I3435" i="4"/>
  <c r="H3435" i="4"/>
  <c r="I3434" i="4"/>
  <c r="H3434" i="4"/>
  <c r="I3433" i="4"/>
  <c r="H3433" i="4"/>
  <c r="I3432" i="4"/>
  <c r="H3432" i="4"/>
  <c r="I3431" i="4"/>
  <c r="H3431" i="4"/>
  <c r="I3430" i="4"/>
  <c r="H3430" i="4"/>
  <c r="I3429" i="4"/>
  <c r="H3429" i="4"/>
  <c r="I3428" i="4"/>
  <c r="H3428" i="4"/>
  <c r="I3427" i="4"/>
  <c r="H3427" i="4"/>
  <c r="I3426" i="4"/>
  <c r="H3426" i="4"/>
  <c r="I3425" i="4"/>
  <c r="H3425" i="4"/>
  <c r="I3424" i="4"/>
  <c r="H3424" i="4"/>
  <c r="I3423" i="4"/>
  <c r="H3423" i="4"/>
  <c r="I3422" i="4"/>
  <c r="H3422" i="4"/>
  <c r="I3421" i="4"/>
  <c r="H3421" i="4"/>
  <c r="I3420" i="4"/>
  <c r="H3420" i="4"/>
  <c r="I3419" i="4"/>
  <c r="H3419" i="4"/>
  <c r="I3418" i="4"/>
  <c r="H3418" i="4"/>
  <c r="I3417" i="4"/>
  <c r="H3417" i="4"/>
  <c r="I3416" i="4"/>
  <c r="H3416" i="4"/>
  <c r="I3415" i="4"/>
  <c r="H3415" i="4"/>
  <c r="I3414" i="4"/>
  <c r="H3414" i="4"/>
  <c r="I3413" i="4"/>
  <c r="H3413" i="4"/>
  <c r="I3412" i="4"/>
  <c r="H3412" i="4"/>
  <c r="I3411" i="4"/>
  <c r="H3411" i="4"/>
  <c r="I3410" i="4"/>
  <c r="H3410" i="4"/>
  <c r="I3409" i="4"/>
  <c r="H3409" i="4"/>
  <c r="I3408" i="4"/>
  <c r="H3408" i="4"/>
  <c r="I3407" i="4"/>
  <c r="H3407" i="4"/>
  <c r="I3406" i="4"/>
  <c r="H3406" i="4"/>
  <c r="I3405" i="4"/>
  <c r="H3405" i="4"/>
  <c r="I3404" i="4"/>
  <c r="H3404" i="4"/>
  <c r="I3403" i="4"/>
  <c r="H3403" i="4"/>
  <c r="I3402" i="4"/>
  <c r="H3402" i="4"/>
  <c r="I3401" i="4"/>
  <c r="H3401" i="4"/>
  <c r="I3400" i="4"/>
  <c r="H3400" i="4"/>
  <c r="I3399" i="4"/>
  <c r="H3399" i="4"/>
  <c r="I3398" i="4"/>
  <c r="H3398" i="4"/>
  <c r="I3397" i="4"/>
  <c r="H3397" i="4"/>
  <c r="I3396" i="4"/>
  <c r="H3396" i="4"/>
  <c r="I3395" i="4"/>
  <c r="H3395" i="4"/>
  <c r="I3394" i="4"/>
  <c r="H3394" i="4"/>
  <c r="I3393" i="4"/>
  <c r="H3393" i="4"/>
  <c r="I3392" i="4"/>
  <c r="H3392" i="4"/>
  <c r="I3391" i="4"/>
  <c r="H3391" i="4"/>
  <c r="I3390" i="4"/>
  <c r="H3390" i="4"/>
  <c r="I3389" i="4"/>
  <c r="H3389" i="4"/>
  <c r="I3388" i="4"/>
  <c r="H3388" i="4"/>
  <c r="I3387" i="4"/>
  <c r="H3387" i="4"/>
  <c r="I3386" i="4"/>
  <c r="H3386" i="4"/>
  <c r="I3385" i="4"/>
  <c r="H3385" i="4"/>
  <c r="I3384" i="4"/>
  <c r="H3384" i="4"/>
  <c r="I3383" i="4"/>
  <c r="H3383" i="4"/>
  <c r="I3382" i="4"/>
  <c r="H3382" i="4"/>
  <c r="I3381" i="4"/>
  <c r="H3381" i="4"/>
  <c r="I3380" i="4"/>
  <c r="H3380" i="4"/>
  <c r="I3379" i="4"/>
  <c r="H3379" i="4"/>
  <c r="I3378" i="4"/>
  <c r="H3378" i="4"/>
  <c r="I3377" i="4"/>
  <c r="H3377" i="4"/>
  <c r="I3376" i="4"/>
  <c r="H3376" i="4"/>
  <c r="I3375" i="4"/>
  <c r="H3375" i="4"/>
  <c r="I3374" i="4"/>
  <c r="H3374" i="4"/>
  <c r="I3373" i="4"/>
  <c r="H3373" i="4"/>
  <c r="I3372" i="4"/>
  <c r="H3372" i="4"/>
  <c r="I3371" i="4"/>
  <c r="H3371" i="4"/>
  <c r="I3370" i="4"/>
  <c r="H3370" i="4"/>
  <c r="I3369" i="4"/>
  <c r="H3369" i="4"/>
  <c r="I3368" i="4"/>
  <c r="H3368" i="4"/>
  <c r="I3367" i="4"/>
  <c r="H3367" i="4"/>
  <c r="I3366" i="4"/>
  <c r="H3366" i="4"/>
  <c r="I3365" i="4"/>
  <c r="H3365" i="4"/>
  <c r="I3364" i="4"/>
  <c r="H3364" i="4"/>
  <c r="I3363" i="4"/>
  <c r="H3363" i="4"/>
  <c r="I3362" i="4"/>
  <c r="H3362" i="4"/>
  <c r="I3361" i="4"/>
  <c r="H3361" i="4"/>
  <c r="I3360" i="4"/>
  <c r="H3360" i="4"/>
  <c r="I3359" i="4"/>
  <c r="H3359" i="4"/>
  <c r="I3358" i="4"/>
  <c r="H3358" i="4"/>
  <c r="I3357" i="4"/>
  <c r="H3357" i="4"/>
  <c r="I3356" i="4"/>
  <c r="H3356" i="4"/>
  <c r="I3355" i="4"/>
  <c r="H3355" i="4"/>
  <c r="I3354" i="4"/>
  <c r="H3354" i="4"/>
  <c r="I3353" i="4"/>
  <c r="H3353" i="4"/>
  <c r="I3352" i="4"/>
  <c r="H3352" i="4"/>
  <c r="I3351" i="4"/>
  <c r="H3351" i="4"/>
  <c r="I3350" i="4"/>
  <c r="H3350" i="4"/>
  <c r="I3349" i="4"/>
  <c r="H3349" i="4"/>
  <c r="I3348" i="4"/>
  <c r="H3348" i="4"/>
  <c r="I3347" i="4"/>
  <c r="H3347" i="4"/>
  <c r="I3346" i="4"/>
  <c r="H3346" i="4"/>
  <c r="I3345" i="4"/>
  <c r="H3345" i="4"/>
  <c r="I3344" i="4"/>
  <c r="H3344" i="4"/>
  <c r="I3343" i="4"/>
  <c r="H3343" i="4"/>
  <c r="I3342" i="4"/>
  <c r="H3342" i="4"/>
  <c r="I3341" i="4"/>
  <c r="H3341" i="4"/>
  <c r="I3340" i="4"/>
  <c r="H3340" i="4"/>
  <c r="I3339" i="4"/>
  <c r="H3339" i="4"/>
  <c r="I3338" i="4"/>
  <c r="H3338" i="4"/>
  <c r="I3337" i="4"/>
  <c r="H3337" i="4"/>
  <c r="I3336" i="4"/>
  <c r="H3336" i="4"/>
  <c r="I3335" i="4"/>
  <c r="H3335" i="4"/>
  <c r="I3334" i="4"/>
  <c r="H3334" i="4"/>
  <c r="I3333" i="4"/>
  <c r="H3333" i="4"/>
  <c r="I3332" i="4"/>
  <c r="H3332" i="4"/>
  <c r="I3331" i="4"/>
  <c r="H3331" i="4"/>
  <c r="I3330" i="4"/>
  <c r="H3330" i="4"/>
  <c r="I3329" i="4"/>
  <c r="H3329" i="4"/>
  <c r="I3328" i="4"/>
  <c r="H3328" i="4"/>
  <c r="I3327" i="4"/>
  <c r="H3327" i="4"/>
  <c r="I3326" i="4"/>
  <c r="H3326" i="4"/>
  <c r="I3325" i="4"/>
  <c r="H3325" i="4"/>
  <c r="I3324" i="4"/>
  <c r="H3324" i="4"/>
  <c r="I3323" i="4"/>
  <c r="H3323" i="4"/>
  <c r="I3322" i="4"/>
  <c r="H3322" i="4"/>
  <c r="I3321" i="4"/>
  <c r="H3321" i="4"/>
  <c r="I3320" i="4"/>
  <c r="H3320" i="4"/>
  <c r="I3319" i="4"/>
  <c r="H3319" i="4"/>
  <c r="I3318" i="4"/>
  <c r="H3318" i="4"/>
  <c r="I3317" i="4"/>
  <c r="H3317" i="4"/>
  <c r="I3316" i="4"/>
  <c r="H3316" i="4"/>
  <c r="I3315" i="4"/>
  <c r="H3315" i="4"/>
  <c r="I3314" i="4"/>
  <c r="H3314" i="4"/>
  <c r="I3313" i="4"/>
  <c r="H3313" i="4"/>
  <c r="I3312" i="4"/>
  <c r="H3312" i="4"/>
  <c r="I3311" i="4"/>
  <c r="H3311" i="4"/>
  <c r="I3310" i="4"/>
  <c r="H3310" i="4"/>
  <c r="I3309" i="4"/>
  <c r="H3309" i="4"/>
  <c r="I3308" i="4"/>
  <c r="H3308" i="4"/>
  <c r="I3307" i="4"/>
  <c r="H3307" i="4"/>
  <c r="I3306" i="4"/>
  <c r="H3306" i="4"/>
  <c r="I3305" i="4"/>
  <c r="H3305" i="4"/>
  <c r="I3304" i="4"/>
  <c r="H3304" i="4"/>
  <c r="I3303" i="4"/>
  <c r="H3303" i="4"/>
  <c r="I3302" i="4"/>
  <c r="H3302" i="4"/>
  <c r="I3301" i="4"/>
  <c r="H3301" i="4"/>
  <c r="I3300" i="4"/>
  <c r="H3300" i="4"/>
  <c r="I3299" i="4"/>
  <c r="H3299" i="4"/>
  <c r="I3298" i="4"/>
  <c r="H3298" i="4"/>
  <c r="I3297" i="4"/>
  <c r="H3297" i="4"/>
  <c r="I3296" i="4"/>
  <c r="H3296" i="4"/>
  <c r="I3295" i="4"/>
  <c r="H3295" i="4"/>
  <c r="I3294" i="4"/>
  <c r="H3294" i="4"/>
  <c r="I3293" i="4"/>
  <c r="H3293" i="4"/>
  <c r="I3292" i="4"/>
  <c r="H3292" i="4"/>
  <c r="I3291" i="4"/>
  <c r="H3291" i="4"/>
  <c r="I3290" i="4"/>
  <c r="H3290" i="4"/>
  <c r="I3289" i="4"/>
  <c r="H3289" i="4"/>
  <c r="I3288" i="4"/>
  <c r="H3288" i="4"/>
  <c r="I3287" i="4"/>
  <c r="H3287" i="4"/>
  <c r="I3286" i="4"/>
  <c r="H3286" i="4"/>
  <c r="I3285" i="4"/>
  <c r="H3285" i="4"/>
  <c r="I3284" i="4"/>
  <c r="H3284" i="4"/>
  <c r="I3283" i="4"/>
  <c r="H3283" i="4"/>
  <c r="I3282" i="4"/>
  <c r="H3282" i="4"/>
  <c r="I3281" i="4"/>
  <c r="H3281" i="4"/>
  <c r="I3280" i="4"/>
  <c r="H3280" i="4"/>
  <c r="I3279" i="4"/>
  <c r="H3279" i="4"/>
  <c r="I3278" i="4"/>
  <c r="H3278" i="4"/>
  <c r="I3277" i="4"/>
  <c r="H3277" i="4"/>
  <c r="I3276" i="4"/>
  <c r="H3276" i="4"/>
  <c r="I3275" i="4"/>
  <c r="H3275" i="4"/>
  <c r="I3274" i="4"/>
  <c r="H3274" i="4"/>
  <c r="I3273" i="4"/>
  <c r="H3273" i="4"/>
  <c r="I3272" i="4"/>
  <c r="H3272" i="4"/>
  <c r="I3271" i="4"/>
  <c r="H3271" i="4"/>
  <c r="I3270" i="4"/>
  <c r="H3270" i="4"/>
  <c r="I3269" i="4"/>
  <c r="H3269" i="4"/>
  <c r="I3268" i="4"/>
  <c r="H3268" i="4"/>
  <c r="I3267" i="4"/>
  <c r="H3267" i="4"/>
  <c r="I3266" i="4"/>
  <c r="H3266" i="4"/>
  <c r="I3265" i="4"/>
  <c r="H3265" i="4"/>
  <c r="I3264" i="4"/>
  <c r="H3264" i="4"/>
  <c r="I3263" i="4"/>
  <c r="H3263" i="4"/>
  <c r="I3262" i="4"/>
  <c r="H3262" i="4"/>
  <c r="I3261" i="4"/>
  <c r="H3261" i="4"/>
  <c r="I3260" i="4"/>
  <c r="H3260" i="4"/>
  <c r="I3259" i="4"/>
  <c r="H3259" i="4"/>
  <c r="I3258" i="4"/>
  <c r="H3258" i="4"/>
  <c r="I3257" i="4"/>
  <c r="H3257" i="4"/>
  <c r="I3256" i="4"/>
  <c r="H3256" i="4"/>
  <c r="I3255" i="4"/>
  <c r="H3255" i="4"/>
  <c r="I3254" i="4"/>
  <c r="H3254" i="4"/>
  <c r="I3253" i="4"/>
  <c r="H3253" i="4"/>
  <c r="I3252" i="4"/>
  <c r="H3252" i="4"/>
  <c r="I3251" i="4"/>
  <c r="H3251" i="4"/>
  <c r="I3250" i="4"/>
  <c r="H3250" i="4"/>
  <c r="I3249" i="4"/>
  <c r="H3249" i="4"/>
  <c r="I3248" i="4"/>
  <c r="H3248" i="4"/>
  <c r="I3247" i="4"/>
  <c r="H3247" i="4"/>
  <c r="I3246" i="4"/>
  <c r="H3246" i="4"/>
  <c r="I3245" i="4"/>
  <c r="H3245" i="4"/>
  <c r="I3244" i="4"/>
  <c r="H3244" i="4"/>
  <c r="I3243" i="4"/>
  <c r="H3243" i="4"/>
  <c r="I3242" i="4"/>
  <c r="H3242" i="4"/>
  <c r="I3241" i="4"/>
  <c r="H3241" i="4"/>
  <c r="I3240" i="4"/>
  <c r="H3240" i="4"/>
  <c r="I3239" i="4"/>
  <c r="H3239" i="4"/>
  <c r="I3238" i="4"/>
  <c r="H3238" i="4"/>
  <c r="I3237" i="4"/>
  <c r="H3237" i="4"/>
  <c r="I3236" i="4"/>
  <c r="H3236" i="4"/>
  <c r="I3235" i="4"/>
  <c r="H3235" i="4"/>
  <c r="I3234" i="4"/>
  <c r="H3234" i="4"/>
  <c r="I3233" i="4"/>
  <c r="H3233" i="4"/>
  <c r="I3232" i="4"/>
  <c r="H3232" i="4"/>
  <c r="I3231" i="4"/>
  <c r="H3231" i="4"/>
  <c r="I3230" i="4"/>
  <c r="H3230" i="4"/>
  <c r="I3229" i="4"/>
  <c r="H3229" i="4"/>
  <c r="I3228" i="4"/>
  <c r="H3228" i="4"/>
  <c r="I3227" i="4"/>
  <c r="H3227" i="4"/>
  <c r="I3226" i="4"/>
  <c r="H3226" i="4"/>
  <c r="I3225" i="4"/>
  <c r="H3225" i="4"/>
  <c r="I3224" i="4"/>
  <c r="H3224" i="4"/>
  <c r="I3223" i="4"/>
  <c r="H3223" i="4"/>
  <c r="I3222" i="4"/>
  <c r="H3222" i="4"/>
  <c r="I3221" i="4"/>
  <c r="H3221" i="4"/>
  <c r="I3220" i="4"/>
  <c r="H3220" i="4"/>
  <c r="I3219" i="4"/>
  <c r="H3219" i="4"/>
  <c r="I3218" i="4"/>
  <c r="H3218" i="4"/>
  <c r="I3217" i="4"/>
  <c r="H3217" i="4"/>
  <c r="I3216" i="4"/>
  <c r="H3216" i="4"/>
  <c r="I3215" i="4"/>
  <c r="H3215" i="4"/>
  <c r="I3214" i="4"/>
  <c r="H3214" i="4"/>
  <c r="I3213" i="4"/>
  <c r="H3213" i="4"/>
  <c r="I3212" i="4"/>
  <c r="H3212" i="4"/>
  <c r="I3211" i="4"/>
  <c r="H3211" i="4"/>
  <c r="I3210" i="4"/>
  <c r="H3210" i="4"/>
  <c r="I3209" i="4"/>
  <c r="H3209" i="4"/>
  <c r="I3208" i="4"/>
  <c r="H3208" i="4"/>
  <c r="I3207" i="4"/>
  <c r="H3207" i="4"/>
  <c r="I3206" i="4"/>
  <c r="H3206" i="4"/>
  <c r="I3205" i="4"/>
  <c r="H3205" i="4"/>
  <c r="I3204" i="4"/>
  <c r="H3204" i="4"/>
  <c r="I3203" i="4"/>
  <c r="H3203" i="4"/>
  <c r="I3202" i="4"/>
  <c r="H3202" i="4"/>
  <c r="I3201" i="4"/>
  <c r="H3201" i="4"/>
  <c r="I3200" i="4"/>
  <c r="H3200" i="4"/>
  <c r="I3199" i="4"/>
  <c r="H3199" i="4"/>
  <c r="I3198" i="4"/>
  <c r="H3198" i="4"/>
  <c r="I3197" i="4"/>
  <c r="H3197" i="4"/>
  <c r="I3196" i="4"/>
  <c r="H3196" i="4"/>
  <c r="I3195" i="4"/>
  <c r="H3195" i="4"/>
  <c r="I3194" i="4"/>
  <c r="H3194" i="4"/>
  <c r="I3193" i="4"/>
  <c r="H3193" i="4"/>
  <c r="I3192" i="4"/>
  <c r="H3192" i="4"/>
  <c r="I3191" i="4"/>
  <c r="H3191" i="4"/>
  <c r="I3190" i="4"/>
  <c r="H3190" i="4"/>
  <c r="I3189" i="4"/>
  <c r="H3189" i="4"/>
  <c r="I3188" i="4"/>
  <c r="H3188" i="4"/>
  <c r="I3187" i="4"/>
  <c r="H3187" i="4"/>
  <c r="I3186" i="4"/>
  <c r="H3186" i="4"/>
  <c r="I3185" i="4"/>
  <c r="H3185" i="4"/>
  <c r="I3184" i="4"/>
  <c r="H3184" i="4"/>
  <c r="I3183" i="4"/>
  <c r="H3183" i="4"/>
  <c r="I3182" i="4"/>
  <c r="H3182" i="4"/>
  <c r="I3181" i="4"/>
  <c r="H3181" i="4"/>
  <c r="I3180" i="4"/>
  <c r="H3180" i="4"/>
  <c r="I3179" i="4"/>
  <c r="H3179" i="4"/>
  <c r="I3178" i="4"/>
  <c r="H3178" i="4"/>
  <c r="I3177" i="4"/>
  <c r="H3177" i="4"/>
  <c r="I3176" i="4"/>
  <c r="H3176" i="4"/>
  <c r="I3175" i="4"/>
  <c r="H3175" i="4"/>
  <c r="I3174" i="4"/>
  <c r="H3174" i="4"/>
  <c r="I3173" i="4"/>
  <c r="H3173" i="4"/>
  <c r="I3172" i="4"/>
  <c r="H3172" i="4"/>
  <c r="I3171" i="4"/>
  <c r="H3171" i="4"/>
  <c r="I3170" i="4"/>
  <c r="H3170" i="4"/>
  <c r="I3169" i="4"/>
  <c r="H3169" i="4"/>
  <c r="I3168" i="4"/>
  <c r="H3168" i="4"/>
  <c r="I3167" i="4"/>
  <c r="H3167" i="4"/>
  <c r="I3166" i="4"/>
  <c r="H3166" i="4"/>
  <c r="I3165" i="4"/>
  <c r="H3165" i="4"/>
  <c r="I3164" i="4"/>
  <c r="H3164" i="4"/>
  <c r="I3163" i="4"/>
  <c r="H3163" i="4"/>
  <c r="I3162" i="4"/>
  <c r="H3162" i="4"/>
  <c r="I3161" i="4"/>
  <c r="H3161" i="4"/>
  <c r="I3160" i="4"/>
  <c r="H3160" i="4"/>
  <c r="I3159" i="4"/>
  <c r="H3159" i="4"/>
  <c r="I3158" i="4"/>
  <c r="H3158" i="4"/>
  <c r="I3157" i="4"/>
  <c r="H3157" i="4"/>
  <c r="I3156" i="4"/>
  <c r="H3156" i="4"/>
  <c r="I3155" i="4"/>
  <c r="H3155" i="4"/>
  <c r="I3154" i="4"/>
  <c r="H3154" i="4"/>
  <c r="I3153" i="4"/>
  <c r="H3153" i="4"/>
  <c r="I3152" i="4"/>
  <c r="H3152" i="4"/>
  <c r="I3151" i="4"/>
  <c r="H3151" i="4"/>
  <c r="I3150" i="4"/>
  <c r="H3150" i="4"/>
  <c r="I3149" i="4"/>
  <c r="H3149" i="4"/>
  <c r="I3148" i="4"/>
  <c r="H3148" i="4"/>
  <c r="I3147" i="4"/>
  <c r="H3147" i="4"/>
  <c r="I3146" i="4"/>
  <c r="H3146" i="4"/>
  <c r="I3145" i="4"/>
  <c r="H3145" i="4"/>
  <c r="I3144" i="4"/>
  <c r="H3144" i="4"/>
  <c r="I3143" i="4"/>
  <c r="H3143" i="4"/>
  <c r="I3142" i="4"/>
  <c r="H3142" i="4"/>
  <c r="I3141" i="4"/>
  <c r="H3141" i="4"/>
  <c r="I3140" i="4"/>
  <c r="H3140" i="4"/>
  <c r="I3139" i="4"/>
  <c r="H3139" i="4"/>
  <c r="I3138" i="4"/>
  <c r="H3138" i="4"/>
  <c r="I3137" i="4"/>
  <c r="H3137" i="4"/>
  <c r="I3136" i="4"/>
  <c r="H3136" i="4"/>
  <c r="I3135" i="4"/>
  <c r="H3135" i="4"/>
  <c r="I3134" i="4"/>
  <c r="H3134" i="4"/>
  <c r="I3133" i="4"/>
  <c r="H3133" i="4"/>
  <c r="I3132" i="4"/>
  <c r="H3132" i="4"/>
  <c r="I3131" i="4"/>
  <c r="H3131" i="4"/>
  <c r="I3130" i="4"/>
  <c r="H3130" i="4"/>
  <c r="I3129" i="4"/>
  <c r="H3129" i="4"/>
  <c r="I3128" i="4"/>
  <c r="H3128" i="4"/>
  <c r="I3127" i="4"/>
  <c r="H3127" i="4"/>
  <c r="I3126" i="4"/>
  <c r="H3126" i="4"/>
  <c r="I3125" i="4"/>
  <c r="H3125" i="4"/>
  <c r="I3124" i="4"/>
  <c r="H3124" i="4"/>
  <c r="I3123" i="4"/>
  <c r="H3123" i="4"/>
  <c r="I3122" i="4"/>
  <c r="H3122" i="4"/>
  <c r="I3121" i="4"/>
  <c r="H3121" i="4"/>
  <c r="I3120" i="4"/>
  <c r="H3120" i="4"/>
  <c r="I3119" i="4"/>
  <c r="H3119" i="4"/>
  <c r="I3118" i="4"/>
  <c r="H3118" i="4"/>
  <c r="I3117" i="4"/>
  <c r="H3117" i="4"/>
  <c r="I3116" i="4"/>
  <c r="H3116" i="4"/>
  <c r="I3115" i="4"/>
  <c r="H3115" i="4"/>
  <c r="I3114" i="4"/>
  <c r="H3114" i="4"/>
  <c r="I3113" i="4"/>
  <c r="H3113" i="4"/>
  <c r="I3112" i="4"/>
  <c r="H3112" i="4"/>
  <c r="I3111" i="4"/>
  <c r="H3111" i="4"/>
  <c r="I3110" i="4"/>
  <c r="H3110" i="4"/>
  <c r="I3109" i="4"/>
  <c r="H3109" i="4"/>
  <c r="I3108" i="4"/>
  <c r="H3108" i="4"/>
  <c r="I3107" i="4"/>
  <c r="H3107" i="4"/>
  <c r="I3106" i="4"/>
  <c r="H3106" i="4"/>
  <c r="I3105" i="4"/>
  <c r="H3105" i="4"/>
  <c r="I3104" i="4"/>
  <c r="H3104" i="4"/>
  <c r="I3103" i="4"/>
  <c r="H3103" i="4"/>
  <c r="I3102" i="4"/>
  <c r="H3102" i="4"/>
  <c r="I3101" i="4"/>
  <c r="H3101" i="4"/>
  <c r="I3100" i="4"/>
  <c r="H3100" i="4"/>
  <c r="I3099" i="4"/>
  <c r="H3099" i="4"/>
  <c r="I3098" i="4"/>
  <c r="H3098" i="4"/>
  <c r="I3097" i="4"/>
  <c r="H3097" i="4"/>
  <c r="I3096" i="4"/>
  <c r="H3096" i="4"/>
  <c r="I3095" i="4"/>
  <c r="H3095" i="4"/>
  <c r="I3094" i="4"/>
  <c r="H3094" i="4"/>
  <c r="I3093" i="4"/>
  <c r="H3093" i="4"/>
  <c r="I3092" i="4"/>
  <c r="H3092" i="4"/>
  <c r="I3091" i="4"/>
  <c r="H3091" i="4"/>
  <c r="I3090" i="4"/>
  <c r="H3090" i="4"/>
  <c r="I3089" i="4"/>
  <c r="H3089" i="4"/>
  <c r="I3088" i="4"/>
  <c r="H3088" i="4"/>
  <c r="I3087" i="4"/>
  <c r="H3087" i="4"/>
  <c r="I3086" i="4"/>
  <c r="H3086" i="4"/>
  <c r="I3085" i="4"/>
  <c r="H3085" i="4"/>
  <c r="I3084" i="4"/>
  <c r="H3084" i="4"/>
  <c r="I3083" i="4"/>
  <c r="H3083" i="4"/>
  <c r="I3082" i="4"/>
  <c r="H3082" i="4"/>
  <c r="I3081" i="4"/>
  <c r="H3081" i="4"/>
  <c r="I3080" i="4"/>
  <c r="H3080" i="4"/>
  <c r="I3079" i="4"/>
  <c r="H3079" i="4"/>
  <c r="I3078" i="4"/>
  <c r="H3078" i="4"/>
  <c r="I3077" i="4"/>
  <c r="H3077" i="4"/>
  <c r="I3076" i="4"/>
  <c r="H3076" i="4"/>
  <c r="I3075" i="4"/>
  <c r="H3075" i="4"/>
  <c r="I3074" i="4"/>
  <c r="H3074" i="4"/>
  <c r="I3073" i="4"/>
  <c r="H3073" i="4"/>
  <c r="I3072" i="4"/>
  <c r="H3072" i="4"/>
  <c r="I3071" i="4"/>
  <c r="H3071" i="4"/>
  <c r="I3070" i="4"/>
  <c r="H3070" i="4"/>
  <c r="I3069" i="4"/>
  <c r="H3069" i="4"/>
  <c r="I3068" i="4"/>
  <c r="H3068" i="4"/>
  <c r="I3067" i="4"/>
  <c r="H3067" i="4"/>
  <c r="I3066" i="4"/>
  <c r="H3066" i="4"/>
  <c r="I3065" i="4"/>
  <c r="H3065" i="4"/>
  <c r="I3064" i="4"/>
  <c r="H3064" i="4"/>
  <c r="I3063" i="4"/>
  <c r="H3063" i="4"/>
  <c r="I3062" i="4"/>
  <c r="H3062" i="4"/>
  <c r="I3061" i="4"/>
  <c r="H3061" i="4"/>
  <c r="I3060" i="4"/>
  <c r="H3060" i="4"/>
  <c r="I3059" i="4"/>
  <c r="H3059" i="4"/>
  <c r="I3058" i="4"/>
  <c r="H3058" i="4"/>
  <c r="I3057" i="4"/>
  <c r="H3057" i="4"/>
  <c r="I3056" i="4"/>
  <c r="H3056" i="4"/>
  <c r="I3055" i="4"/>
  <c r="H3055" i="4"/>
  <c r="I3054" i="4"/>
  <c r="H3054" i="4"/>
  <c r="I3053" i="4"/>
  <c r="H3053" i="4"/>
  <c r="I3052" i="4"/>
  <c r="H3052" i="4"/>
  <c r="I3051" i="4"/>
  <c r="H3051" i="4"/>
  <c r="I3050" i="4"/>
  <c r="H3050" i="4"/>
  <c r="I3049" i="4"/>
  <c r="H3049" i="4"/>
  <c r="I3048" i="4"/>
  <c r="H3048" i="4"/>
  <c r="I3047" i="4"/>
  <c r="H3047" i="4"/>
  <c r="I3046" i="4"/>
  <c r="H3046" i="4"/>
  <c r="I3045" i="4"/>
  <c r="H3045" i="4"/>
  <c r="I3044" i="4"/>
  <c r="H3044" i="4"/>
  <c r="I3043" i="4"/>
  <c r="H3043" i="4"/>
  <c r="I3042" i="4"/>
  <c r="H3042" i="4"/>
  <c r="I3041" i="4"/>
  <c r="H3041" i="4"/>
  <c r="I3040" i="4"/>
  <c r="H3040" i="4"/>
  <c r="I3039" i="4"/>
  <c r="H3039" i="4"/>
  <c r="I3038" i="4"/>
  <c r="H3038" i="4"/>
  <c r="I3037" i="4"/>
  <c r="H3037" i="4"/>
  <c r="I3036" i="4"/>
  <c r="H3036" i="4"/>
  <c r="I3035" i="4"/>
  <c r="H3035" i="4"/>
  <c r="I3034" i="4"/>
  <c r="H3034" i="4"/>
  <c r="I3033" i="4"/>
  <c r="H3033" i="4"/>
  <c r="I3032" i="4"/>
  <c r="H3032" i="4"/>
  <c r="I3031" i="4"/>
  <c r="H3031" i="4"/>
  <c r="I3030" i="4"/>
  <c r="H3030" i="4"/>
  <c r="I3029" i="4"/>
  <c r="H3029" i="4"/>
  <c r="I3028" i="4"/>
  <c r="H3028" i="4"/>
  <c r="I3027" i="4"/>
  <c r="H3027" i="4"/>
  <c r="I3026" i="4"/>
  <c r="H3026" i="4"/>
  <c r="I3025" i="4"/>
  <c r="H3025" i="4"/>
  <c r="I3024" i="4"/>
  <c r="H3024" i="4"/>
  <c r="I3023" i="4"/>
  <c r="H3023" i="4"/>
  <c r="I3022" i="4"/>
  <c r="H3022" i="4"/>
  <c r="I3021" i="4"/>
  <c r="H3021" i="4"/>
  <c r="I3020" i="4"/>
  <c r="H3020" i="4"/>
  <c r="I3019" i="4"/>
  <c r="H3019" i="4"/>
  <c r="I3018" i="4"/>
  <c r="H3018" i="4"/>
  <c r="I3017" i="4"/>
  <c r="H3017" i="4"/>
  <c r="I3016" i="4"/>
  <c r="H3016" i="4"/>
  <c r="I3015" i="4"/>
  <c r="H3015" i="4"/>
  <c r="I3014" i="4"/>
  <c r="H3014" i="4"/>
  <c r="I3013" i="4"/>
  <c r="H3013" i="4"/>
  <c r="I3012" i="4"/>
  <c r="H3012" i="4"/>
  <c r="I3011" i="4"/>
  <c r="H3011" i="4"/>
  <c r="I3010" i="4"/>
  <c r="H3010" i="4"/>
  <c r="I3009" i="4"/>
  <c r="H3009" i="4"/>
  <c r="I3008" i="4"/>
  <c r="H3008" i="4"/>
  <c r="I3007" i="4"/>
  <c r="H3007" i="4"/>
  <c r="I3006" i="4"/>
  <c r="H3006" i="4"/>
  <c r="I3005" i="4"/>
  <c r="H3005" i="4"/>
  <c r="I3004" i="4"/>
  <c r="H3004" i="4"/>
  <c r="I3003" i="4"/>
  <c r="H3003" i="4"/>
  <c r="I3002" i="4"/>
  <c r="H3002" i="4"/>
  <c r="I3001" i="4"/>
  <c r="H3001" i="4"/>
  <c r="I3000" i="4"/>
  <c r="H3000" i="4"/>
  <c r="I2999" i="4"/>
  <c r="H2999" i="4"/>
  <c r="I2998" i="4"/>
  <c r="H2998" i="4"/>
  <c r="I2997" i="4"/>
  <c r="H2997" i="4"/>
  <c r="I2996" i="4"/>
  <c r="H2996" i="4"/>
  <c r="I2995" i="4"/>
  <c r="H2995" i="4"/>
  <c r="I2994" i="4"/>
  <c r="H2994" i="4"/>
  <c r="I2993" i="4"/>
  <c r="H2993" i="4"/>
  <c r="I2992" i="4"/>
  <c r="H2992" i="4"/>
  <c r="I2991" i="4"/>
  <c r="H2991" i="4"/>
  <c r="I2990" i="4"/>
  <c r="H2990" i="4"/>
  <c r="I2989" i="4"/>
  <c r="H2989" i="4"/>
  <c r="I2988" i="4"/>
  <c r="H2988" i="4"/>
  <c r="I2987" i="4"/>
  <c r="H2987" i="4"/>
  <c r="I2986" i="4"/>
  <c r="H2986" i="4"/>
  <c r="I2985" i="4"/>
  <c r="H2985" i="4"/>
  <c r="I2984" i="4"/>
  <c r="H2984" i="4"/>
  <c r="I2983" i="4"/>
  <c r="H2983" i="4"/>
  <c r="I2982" i="4"/>
  <c r="H2982" i="4"/>
  <c r="I2981" i="4"/>
  <c r="H2981" i="4"/>
  <c r="I2980" i="4"/>
  <c r="H2980" i="4"/>
  <c r="I2979" i="4"/>
  <c r="H2979" i="4"/>
  <c r="I2978" i="4"/>
  <c r="H2978" i="4"/>
  <c r="I2977" i="4"/>
  <c r="H2977" i="4"/>
  <c r="I2976" i="4"/>
  <c r="H2976" i="4"/>
  <c r="I2975" i="4"/>
  <c r="H2975" i="4"/>
  <c r="I2974" i="4"/>
  <c r="H2974" i="4"/>
  <c r="I2973" i="4"/>
  <c r="H2973" i="4"/>
  <c r="I2972" i="4"/>
  <c r="H2972" i="4"/>
  <c r="I2971" i="4"/>
  <c r="H2971" i="4"/>
  <c r="I2970" i="4"/>
  <c r="H2970" i="4"/>
  <c r="I2969" i="4"/>
  <c r="H2969" i="4"/>
  <c r="I2968" i="4"/>
  <c r="H2968" i="4"/>
  <c r="I2967" i="4"/>
  <c r="H2967" i="4"/>
  <c r="I2966" i="4"/>
  <c r="H2966" i="4"/>
  <c r="I2965" i="4"/>
  <c r="H2965" i="4"/>
  <c r="I2964" i="4"/>
  <c r="H2964" i="4"/>
  <c r="I2963" i="4"/>
  <c r="H2963" i="4"/>
  <c r="I2962" i="4"/>
  <c r="H2962" i="4"/>
  <c r="I2961" i="4"/>
  <c r="H2961" i="4"/>
  <c r="I2960" i="4"/>
  <c r="H2960" i="4"/>
  <c r="I2959" i="4"/>
  <c r="H2959" i="4"/>
  <c r="I2958" i="4"/>
  <c r="H2958" i="4"/>
  <c r="I2957" i="4"/>
  <c r="H2957" i="4"/>
  <c r="I2956" i="4"/>
  <c r="H2956" i="4"/>
  <c r="I2955" i="4"/>
  <c r="H2955" i="4"/>
  <c r="I2954" i="4"/>
  <c r="H2954" i="4"/>
  <c r="I2953" i="4"/>
  <c r="H2953" i="4"/>
  <c r="I2952" i="4"/>
  <c r="H2952" i="4"/>
  <c r="I2951" i="4"/>
  <c r="H2951" i="4"/>
  <c r="I2950" i="4"/>
  <c r="H2950" i="4"/>
  <c r="I2949" i="4"/>
  <c r="H2949" i="4"/>
  <c r="I2948" i="4"/>
  <c r="H2948" i="4"/>
  <c r="I2947" i="4"/>
  <c r="H2947" i="4"/>
  <c r="I2946" i="4"/>
  <c r="H2946" i="4"/>
  <c r="I2945" i="4"/>
  <c r="H2945" i="4"/>
  <c r="I2944" i="4"/>
  <c r="H2944" i="4"/>
  <c r="I2943" i="4"/>
  <c r="H2943" i="4"/>
  <c r="I2942" i="4"/>
  <c r="H2942" i="4"/>
  <c r="I2941" i="4"/>
  <c r="H2941" i="4"/>
  <c r="I2940" i="4"/>
  <c r="H2940" i="4"/>
  <c r="I2939" i="4"/>
  <c r="H2939" i="4"/>
  <c r="I2938" i="4"/>
  <c r="H2938" i="4"/>
  <c r="I2937" i="4"/>
  <c r="H2937" i="4"/>
  <c r="I2936" i="4"/>
  <c r="H2936" i="4"/>
  <c r="I2935" i="4"/>
  <c r="H2935" i="4"/>
  <c r="I2934" i="4"/>
  <c r="H2934" i="4"/>
  <c r="I2933" i="4"/>
  <c r="H2933" i="4"/>
  <c r="I2932" i="4"/>
  <c r="H2932" i="4"/>
  <c r="I2931" i="4"/>
  <c r="H2931" i="4"/>
  <c r="I2930" i="4"/>
  <c r="H2930" i="4"/>
  <c r="I2929" i="4"/>
  <c r="H2929" i="4"/>
  <c r="I2928" i="4"/>
  <c r="H2928" i="4"/>
  <c r="I2927" i="4"/>
  <c r="H2927" i="4"/>
  <c r="I2926" i="4"/>
  <c r="H2926" i="4"/>
  <c r="I2925" i="4"/>
  <c r="H2925" i="4"/>
  <c r="I2924" i="4"/>
  <c r="H2924" i="4"/>
  <c r="I2923" i="4"/>
  <c r="H2923" i="4"/>
  <c r="I2922" i="4"/>
  <c r="H2922" i="4"/>
  <c r="I2921" i="4"/>
  <c r="H2921" i="4"/>
  <c r="I2920" i="4"/>
  <c r="H2920" i="4"/>
  <c r="I2919" i="4"/>
  <c r="H2919" i="4"/>
  <c r="I2918" i="4"/>
  <c r="H2918" i="4"/>
  <c r="I2917" i="4"/>
  <c r="H2917" i="4"/>
  <c r="I2916" i="4"/>
  <c r="H2916" i="4"/>
  <c r="I2915" i="4"/>
  <c r="H2915" i="4"/>
  <c r="I2914" i="4"/>
  <c r="H2914" i="4"/>
  <c r="I2913" i="4"/>
  <c r="H2913" i="4"/>
  <c r="I2912" i="4"/>
  <c r="H2912" i="4"/>
  <c r="I2911" i="4"/>
  <c r="H2911" i="4"/>
  <c r="I2910" i="4"/>
  <c r="H2910" i="4"/>
  <c r="I2909" i="4"/>
  <c r="H2909" i="4"/>
  <c r="I2908" i="4"/>
  <c r="H2908" i="4"/>
  <c r="I2907" i="4"/>
  <c r="H2907" i="4"/>
  <c r="I2906" i="4"/>
  <c r="H2906" i="4"/>
  <c r="I2905" i="4"/>
  <c r="H2905" i="4"/>
  <c r="I2904" i="4"/>
  <c r="H2904" i="4"/>
  <c r="I2903" i="4"/>
  <c r="H2903" i="4"/>
  <c r="I2902" i="4"/>
  <c r="H2902" i="4"/>
  <c r="I2901" i="4"/>
  <c r="H2901" i="4"/>
  <c r="I2900" i="4"/>
  <c r="H2900" i="4"/>
  <c r="I2899" i="4"/>
  <c r="H2899" i="4"/>
  <c r="I2898" i="4"/>
  <c r="H2898" i="4"/>
  <c r="I2897" i="4"/>
  <c r="H2897" i="4"/>
  <c r="I2896" i="4"/>
  <c r="H2896" i="4"/>
  <c r="I2895" i="4"/>
  <c r="H2895" i="4"/>
  <c r="I2894" i="4"/>
  <c r="H2894" i="4"/>
  <c r="I2893" i="4"/>
  <c r="H2893" i="4"/>
  <c r="I2892" i="4"/>
  <c r="H2892" i="4"/>
  <c r="I2891" i="4"/>
  <c r="H2891" i="4"/>
  <c r="I2890" i="4"/>
  <c r="H2890" i="4"/>
  <c r="I2889" i="4"/>
  <c r="H2889" i="4"/>
  <c r="I2888" i="4"/>
  <c r="H2888" i="4"/>
  <c r="I2887" i="4"/>
  <c r="H2887" i="4"/>
  <c r="I2886" i="4"/>
  <c r="H2886" i="4"/>
  <c r="I2885" i="4"/>
  <c r="H2885" i="4"/>
  <c r="I2884" i="4"/>
  <c r="H2884" i="4"/>
  <c r="I2883" i="4"/>
  <c r="H2883" i="4"/>
  <c r="I2882" i="4"/>
  <c r="H2882" i="4"/>
  <c r="I2881" i="4"/>
  <c r="H2881" i="4"/>
  <c r="I2880" i="4"/>
  <c r="H2880" i="4"/>
  <c r="I2879" i="4"/>
  <c r="H2879" i="4"/>
  <c r="I2878" i="4"/>
  <c r="H2878" i="4"/>
  <c r="I2877" i="4"/>
  <c r="H2877" i="4"/>
  <c r="I2876" i="4"/>
  <c r="H2876" i="4"/>
  <c r="I2875" i="4"/>
  <c r="H2875" i="4"/>
  <c r="I2874" i="4"/>
  <c r="H2874" i="4"/>
  <c r="I2873" i="4"/>
  <c r="H2873" i="4"/>
  <c r="I2872" i="4"/>
  <c r="H2872" i="4"/>
  <c r="I2871" i="4"/>
  <c r="H2871" i="4"/>
  <c r="I2870" i="4"/>
  <c r="H2870" i="4"/>
  <c r="I2869" i="4"/>
  <c r="H2869" i="4"/>
  <c r="I2868" i="4"/>
  <c r="H2868" i="4"/>
  <c r="I2867" i="4"/>
  <c r="H2867" i="4"/>
  <c r="I2866" i="4"/>
  <c r="H2866" i="4"/>
  <c r="I2865" i="4"/>
  <c r="H2865" i="4"/>
  <c r="I2864" i="4"/>
  <c r="H2864" i="4"/>
  <c r="I2863" i="4"/>
  <c r="H2863" i="4"/>
  <c r="I2862" i="4"/>
  <c r="H2862" i="4"/>
  <c r="I2861" i="4"/>
  <c r="H2861" i="4"/>
  <c r="I2860" i="4"/>
  <c r="H2860" i="4"/>
  <c r="I2859" i="4"/>
  <c r="H2859" i="4"/>
  <c r="I2858" i="4"/>
  <c r="H2858" i="4"/>
  <c r="I2857" i="4"/>
  <c r="H2857" i="4"/>
  <c r="I2856" i="4"/>
  <c r="H2856" i="4"/>
  <c r="I2855" i="4"/>
  <c r="H2855" i="4"/>
  <c r="I2854" i="4"/>
  <c r="H2854" i="4"/>
  <c r="I2853" i="4"/>
  <c r="H2853" i="4"/>
  <c r="I2852" i="4"/>
  <c r="H2852" i="4"/>
  <c r="I2851" i="4"/>
  <c r="H2851" i="4"/>
  <c r="I2850" i="4"/>
  <c r="H2850" i="4"/>
  <c r="I2849" i="4"/>
  <c r="H2849" i="4"/>
  <c r="I2848" i="4"/>
  <c r="H2848" i="4"/>
  <c r="I2847" i="4"/>
  <c r="H2847" i="4"/>
  <c r="I2846" i="4"/>
  <c r="H2846" i="4"/>
  <c r="I2845" i="4"/>
  <c r="H2845" i="4"/>
  <c r="I2844" i="4"/>
  <c r="H2844" i="4"/>
  <c r="I2843" i="4"/>
  <c r="H2843" i="4"/>
  <c r="I2842" i="4"/>
  <c r="H2842" i="4"/>
  <c r="I2841" i="4"/>
  <c r="H2841" i="4"/>
  <c r="I2840" i="4"/>
  <c r="H2840" i="4"/>
  <c r="I2839" i="4"/>
  <c r="H2839" i="4"/>
  <c r="I2838" i="4"/>
  <c r="H2838" i="4"/>
  <c r="I2837" i="4"/>
  <c r="H2837" i="4"/>
  <c r="I2836" i="4"/>
  <c r="H2836" i="4"/>
  <c r="I2835" i="4"/>
  <c r="H2835" i="4"/>
  <c r="I2834" i="4"/>
  <c r="H2834" i="4"/>
  <c r="I2833" i="4"/>
  <c r="H2833" i="4"/>
  <c r="I2832" i="4"/>
  <c r="H2832" i="4"/>
  <c r="I2831" i="4"/>
  <c r="H2831" i="4"/>
  <c r="I2830" i="4"/>
  <c r="H2830" i="4"/>
  <c r="I2829" i="4"/>
  <c r="H2829" i="4"/>
  <c r="I2828" i="4"/>
  <c r="H2828" i="4"/>
  <c r="I2827" i="4"/>
  <c r="H2827" i="4"/>
  <c r="I2826" i="4"/>
  <c r="H2826" i="4"/>
  <c r="I2825" i="4"/>
  <c r="H2825" i="4"/>
  <c r="I2824" i="4"/>
  <c r="H2824" i="4"/>
  <c r="I2823" i="4"/>
  <c r="H2823" i="4"/>
  <c r="I2822" i="4"/>
  <c r="H2822" i="4"/>
  <c r="I2821" i="4"/>
  <c r="H2821" i="4"/>
  <c r="I2820" i="4"/>
  <c r="H2820" i="4"/>
  <c r="I2819" i="4"/>
  <c r="H2819" i="4"/>
  <c r="I2818" i="4"/>
  <c r="H2818" i="4"/>
  <c r="I2817" i="4"/>
  <c r="H2817" i="4"/>
  <c r="I2816" i="4"/>
  <c r="H2816" i="4"/>
  <c r="I2815" i="4"/>
  <c r="H2815" i="4"/>
  <c r="I2814" i="4"/>
  <c r="H2814" i="4"/>
  <c r="I2813" i="4"/>
  <c r="H2813" i="4"/>
  <c r="I2812" i="4"/>
  <c r="H2812" i="4"/>
  <c r="I2811" i="4"/>
  <c r="H2811" i="4"/>
  <c r="I2810" i="4"/>
  <c r="H2810" i="4"/>
  <c r="I2809" i="4"/>
  <c r="H2809" i="4"/>
  <c r="I2808" i="4"/>
  <c r="H2808" i="4"/>
  <c r="I2807" i="4"/>
  <c r="H2807" i="4"/>
  <c r="I2806" i="4"/>
  <c r="H2806" i="4"/>
  <c r="I2805" i="4"/>
  <c r="H2805" i="4"/>
  <c r="I2804" i="4"/>
  <c r="H2804" i="4"/>
  <c r="I2803" i="4"/>
  <c r="H2803" i="4"/>
  <c r="I2802" i="4"/>
  <c r="H2802" i="4"/>
  <c r="I2801" i="4"/>
  <c r="H2801" i="4"/>
  <c r="I2800" i="4"/>
  <c r="H2800" i="4"/>
  <c r="I2799" i="4"/>
  <c r="H2799" i="4"/>
  <c r="I2798" i="4"/>
  <c r="H2798" i="4"/>
  <c r="I2797" i="4"/>
  <c r="H2797" i="4"/>
  <c r="I2796" i="4"/>
  <c r="H2796" i="4"/>
  <c r="I2795" i="4"/>
  <c r="H2795" i="4"/>
  <c r="I2794" i="4"/>
  <c r="H2794" i="4"/>
  <c r="I2793" i="4"/>
  <c r="H2793" i="4"/>
  <c r="I2792" i="4"/>
  <c r="H2792" i="4"/>
  <c r="I2791" i="4"/>
  <c r="H2791" i="4"/>
  <c r="I2790" i="4"/>
  <c r="H2790" i="4"/>
  <c r="I2789" i="4"/>
  <c r="H2789" i="4"/>
  <c r="I2788" i="4"/>
  <c r="H2788" i="4"/>
  <c r="I2787" i="4"/>
  <c r="H2787" i="4"/>
  <c r="I2786" i="4"/>
  <c r="H2786" i="4"/>
  <c r="I2785" i="4"/>
  <c r="H2785" i="4"/>
  <c r="I2784" i="4"/>
  <c r="H2784" i="4"/>
  <c r="I2783" i="4"/>
  <c r="H2783" i="4"/>
  <c r="I2782" i="4"/>
  <c r="H2782" i="4"/>
  <c r="I2781" i="4"/>
  <c r="H2781" i="4"/>
  <c r="I2780" i="4"/>
  <c r="H2780" i="4"/>
  <c r="I2779" i="4"/>
  <c r="H2779" i="4"/>
  <c r="I2778" i="4"/>
  <c r="H2778" i="4"/>
  <c r="I2777" i="4"/>
  <c r="H2777" i="4"/>
  <c r="I2776" i="4"/>
  <c r="H2776" i="4"/>
  <c r="I2775" i="4"/>
  <c r="H2775" i="4"/>
  <c r="I2774" i="4"/>
  <c r="H2774" i="4"/>
  <c r="I2773" i="4"/>
  <c r="H2773" i="4"/>
  <c r="I2772" i="4"/>
  <c r="H2772" i="4"/>
  <c r="I2771" i="4"/>
  <c r="H2771" i="4"/>
  <c r="I2770" i="4"/>
  <c r="H2770" i="4"/>
  <c r="I2769" i="4"/>
  <c r="H2769" i="4"/>
  <c r="I2768" i="4"/>
  <c r="H2768" i="4"/>
  <c r="I2767" i="4"/>
  <c r="H2767" i="4"/>
  <c r="I2766" i="4"/>
  <c r="H2766" i="4"/>
  <c r="I2765" i="4"/>
  <c r="H2765" i="4"/>
  <c r="I2764" i="4"/>
  <c r="H2764" i="4"/>
  <c r="I2763" i="4"/>
  <c r="H2763" i="4"/>
  <c r="I2762" i="4"/>
  <c r="H2762" i="4"/>
  <c r="I2761" i="4"/>
  <c r="H2761" i="4"/>
  <c r="I2760" i="4"/>
  <c r="H2760" i="4"/>
  <c r="I2759" i="4"/>
  <c r="H2759" i="4"/>
  <c r="I2758" i="4"/>
  <c r="H2758" i="4"/>
  <c r="I2757" i="4"/>
  <c r="H2757" i="4"/>
  <c r="I2756" i="4"/>
  <c r="H2756" i="4"/>
  <c r="I2755" i="4"/>
  <c r="H2755" i="4"/>
  <c r="I2754" i="4"/>
  <c r="H2754" i="4"/>
  <c r="I2753" i="4"/>
  <c r="H2753" i="4"/>
  <c r="I2752" i="4"/>
  <c r="H2752" i="4"/>
  <c r="I2751" i="4"/>
  <c r="H2751" i="4"/>
  <c r="I2750" i="4"/>
  <c r="H2750" i="4"/>
  <c r="I2749" i="4"/>
  <c r="H2749" i="4"/>
  <c r="I2748" i="4"/>
  <c r="H2748" i="4"/>
  <c r="I2747" i="4"/>
  <c r="H2747" i="4"/>
  <c r="I2746" i="4"/>
  <c r="H2746" i="4"/>
  <c r="I2745" i="4"/>
  <c r="H2745" i="4"/>
  <c r="I2744" i="4"/>
  <c r="H2744" i="4"/>
  <c r="I2743" i="4"/>
  <c r="H2743" i="4"/>
  <c r="I2742" i="4"/>
  <c r="H2742" i="4"/>
  <c r="I2741" i="4"/>
  <c r="H2741" i="4"/>
  <c r="I2740" i="4"/>
  <c r="H2740" i="4"/>
  <c r="I2739" i="4"/>
  <c r="H2739" i="4"/>
  <c r="I2738" i="4"/>
  <c r="H2738" i="4"/>
  <c r="I2737" i="4"/>
  <c r="H2737" i="4"/>
  <c r="I2736" i="4"/>
  <c r="H2736" i="4"/>
  <c r="I2735" i="4"/>
  <c r="H2735" i="4"/>
  <c r="I2734" i="4"/>
  <c r="H2734" i="4"/>
  <c r="I2733" i="4"/>
  <c r="H2733" i="4"/>
  <c r="I2732" i="4"/>
  <c r="H2732" i="4"/>
  <c r="I2731" i="4"/>
  <c r="H2731" i="4"/>
  <c r="I2730" i="4"/>
  <c r="H2730" i="4"/>
  <c r="I2729" i="4"/>
  <c r="H2729" i="4"/>
  <c r="I2728" i="4"/>
  <c r="H2728" i="4"/>
  <c r="I2727" i="4"/>
  <c r="H2727" i="4"/>
  <c r="I2726" i="4"/>
  <c r="H2726" i="4"/>
  <c r="I2725" i="4"/>
  <c r="H2725" i="4"/>
  <c r="I2724" i="4"/>
  <c r="H2724" i="4"/>
  <c r="I2723" i="4"/>
  <c r="H2723" i="4"/>
  <c r="I2722" i="4"/>
  <c r="H2722" i="4"/>
  <c r="I2721" i="4"/>
  <c r="H2721" i="4"/>
  <c r="I2720" i="4"/>
  <c r="H2720" i="4"/>
  <c r="I2719" i="4"/>
  <c r="H2719" i="4"/>
  <c r="I2718" i="4"/>
  <c r="H2718" i="4"/>
  <c r="I2717" i="4"/>
  <c r="H2717" i="4"/>
  <c r="I2716" i="4"/>
  <c r="H2716" i="4"/>
  <c r="I2715" i="4"/>
  <c r="H2715" i="4"/>
  <c r="I2714" i="4"/>
  <c r="H2714" i="4"/>
  <c r="I2713" i="4"/>
  <c r="H2713" i="4"/>
  <c r="I2712" i="4"/>
  <c r="H2712" i="4"/>
  <c r="I2711" i="4"/>
  <c r="H2711" i="4"/>
  <c r="I2710" i="4"/>
  <c r="H2710" i="4"/>
  <c r="I2709" i="4"/>
  <c r="H2709" i="4"/>
  <c r="I2708" i="4"/>
  <c r="H2708" i="4"/>
  <c r="I2707" i="4"/>
  <c r="H2707" i="4"/>
  <c r="I2706" i="4"/>
  <c r="H2706" i="4"/>
  <c r="I2705" i="4"/>
  <c r="H2705" i="4"/>
  <c r="I2704" i="4"/>
  <c r="H2704" i="4"/>
  <c r="I2703" i="4"/>
  <c r="H2703" i="4"/>
  <c r="I2702" i="4"/>
  <c r="H2702" i="4"/>
  <c r="I2701" i="4"/>
  <c r="H2701" i="4"/>
  <c r="I2700" i="4"/>
  <c r="H2700" i="4"/>
  <c r="I2699" i="4"/>
  <c r="H2699" i="4"/>
  <c r="I2698" i="4"/>
  <c r="H2698" i="4"/>
  <c r="I2697" i="4"/>
  <c r="H2697" i="4"/>
  <c r="I2696" i="4"/>
  <c r="H2696" i="4"/>
  <c r="I2695" i="4"/>
  <c r="H2695" i="4"/>
  <c r="I2694" i="4"/>
  <c r="H2694" i="4"/>
  <c r="I2693" i="4"/>
  <c r="H2693" i="4"/>
  <c r="I2692" i="4"/>
  <c r="H2692" i="4"/>
  <c r="I2691" i="4"/>
  <c r="H2691" i="4"/>
  <c r="I2690" i="4"/>
  <c r="H2690" i="4"/>
  <c r="I2689" i="4"/>
  <c r="H2689" i="4"/>
  <c r="I2688" i="4"/>
  <c r="H2688" i="4"/>
  <c r="I2687" i="4"/>
  <c r="H2687" i="4"/>
  <c r="I2686" i="4"/>
  <c r="H2686" i="4"/>
  <c r="I2685" i="4"/>
  <c r="H2685" i="4"/>
  <c r="I2684" i="4"/>
  <c r="H2684" i="4"/>
  <c r="I2683" i="4"/>
  <c r="H2683" i="4"/>
  <c r="I2682" i="4"/>
  <c r="H2682" i="4"/>
  <c r="I2681" i="4"/>
  <c r="H2681" i="4"/>
  <c r="I2680" i="4"/>
  <c r="H2680" i="4"/>
  <c r="I2679" i="4"/>
  <c r="H2679" i="4"/>
  <c r="I2678" i="4"/>
  <c r="H2678" i="4"/>
  <c r="I2677" i="4"/>
  <c r="H2677" i="4"/>
  <c r="I2676" i="4"/>
  <c r="H2676" i="4"/>
  <c r="I2675" i="4"/>
  <c r="H2675" i="4"/>
  <c r="I2674" i="4"/>
  <c r="H2674" i="4"/>
  <c r="I2673" i="4"/>
  <c r="H2673" i="4"/>
  <c r="I2672" i="4"/>
  <c r="H2672" i="4"/>
  <c r="I2671" i="4"/>
  <c r="H2671" i="4"/>
  <c r="I2670" i="4"/>
  <c r="H2670" i="4"/>
  <c r="I2669" i="4"/>
  <c r="H2669" i="4"/>
  <c r="I2668" i="4"/>
  <c r="H2668" i="4"/>
  <c r="I2667" i="4"/>
  <c r="H2667" i="4"/>
  <c r="I2666" i="4"/>
  <c r="H2666" i="4"/>
  <c r="I2665" i="4"/>
  <c r="H2665" i="4"/>
  <c r="I2664" i="4"/>
  <c r="H2664" i="4"/>
  <c r="I2663" i="4"/>
  <c r="H2663" i="4"/>
  <c r="I2662" i="4"/>
  <c r="H2662" i="4"/>
  <c r="I2661" i="4"/>
  <c r="H2661" i="4"/>
  <c r="I2660" i="4"/>
  <c r="H2660" i="4"/>
  <c r="I2659" i="4"/>
  <c r="H2659" i="4"/>
  <c r="I2658" i="4"/>
  <c r="H2658" i="4"/>
  <c r="I2657" i="4"/>
  <c r="H2657" i="4"/>
  <c r="I2656" i="4"/>
  <c r="H2656" i="4"/>
  <c r="I2655" i="4"/>
  <c r="H2655" i="4"/>
  <c r="I2654" i="4"/>
  <c r="H2654" i="4"/>
  <c r="I2653" i="4"/>
  <c r="H2653" i="4"/>
  <c r="I2652" i="4"/>
  <c r="H2652" i="4"/>
  <c r="I2651" i="4"/>
  <c r="H2651" i="4"/>
  <c r="I2650" i="4"/>
  <c r="H2650" i="4"/>
  <c r="I2649" i="4"/>
  <c r="H2649" i="4"/>
  <c r="I2648" i="4"/>
  <c r="H2648" i="4"/>
  <c r="I2647" i="4"/>
  <c r="H2647" i="4"/>
  <c r="I2646" i="4"/>
  <c r="H2646" i="4"/>
  <c r="I2645" i="4"/>
  <c r="H2645" i="4"/>
  <c r="I2644" i="4"/>
  <c r="H2644" i="4"/>
  <c r="I2643" i="4"/>
  <c r="H2643" i="4"/>
  <c r="I2642" i="4"/>
  <c r="H2642" i="4"/>
  <c r="I2641" i="4"/>
  <c r="H2641" i="4"/>
  <c r="I2640" i="4"/>
  <c r="H2640" i="4"/>
  <c r="I2639" i="4"/>
  <c r="H2639" i="4"/>
  <c r="I2638" i="4"/>
  <c r="H2638" i="4"/>
  <c r="I2637" i="4"/>
  <c r="H2637" i="4"/>
  <c r="I2636" i="4"/>
  <c r="H2636" i="4"/>
  <c r="I2635" i="4"/>
  <c r="H2635" i="4"/>
  <c r="I2634" i="4"/>
  <c r="H2634" i="4"/>
  <c r="I2633" i="4"/>
  <c r="H2633" i="4"/>
  <c r="I2632" i="4"/>
  <c r="H2632" i="4"/>
  <c r="I2631" i="4"/>
  <c r="H2631" i="4"/>
  <c r="I2630" i="4"/>
  <c r="H2630" i="4"/>
  <c r="I2629" i="4"/>
  <c r="H2629" i="4"/>
  <c r="I2628" i="4"/>
  <c r="H2628" i="4"/>
  <c r="I2627" i="4"/>
  <c r="H2627" i="4"/>
  <c r="I2626" i="4"/>
  <c r="H2626" i="4"/>
  <c r="I2625" i="4"/>
  <c r="H2625" i="4"/>
  <c r="I2624" i="4"/>
  <c r="H2624" i="4"/>
  <c r="I2623" i="4"/>
  <c r="H2623" i="4"/>
  <c r="I2622" i="4"/>
  <c r="H2622" i="4"/>
  <c r="I2621" i="4"/>
  <c r="H2621" i="4"/>
  <c r="I2620" i="4"/>
  <c r="H2620" i="4"/>
  <c r="I2619" i="4"/>
  <c r="H2619" i="4"/>
  <c r="I2618" i="4"/>
  <c r="H2618" i="4"/>
  <c r="I2617" i="4"/>
  <c r="H2617" i="4"/>
  <c r="I2616" i="4"/>
  <c r="H2616" i="4"/>
  <c r="I2615" i="4"/>
  <c r="H2615" i="4"/>
  <c r="I2614" i="4"/>
  <c r="H2614" i="4"/>
  <c r="I2613" i="4"/>
  <c r="H2613" i="4"/>
  <c r="I2612" i="4"/>
  <c r="H2612" i="4"/>
  <c r="I2611" i="4"/>
  <c r="H2611" i="4"/>
  <c r="I2610" i="4"/>
  <c r="H2610" i="4"/>
  <c r="I2609" i="4"/>
  <c r="H2609" i="4"/>
  <c r="I2608" i="4"/>
  <c r="H2608" i="4"/>
  <c r="I2607" i="4"/>
  <c r="H2607" i="4"/>
  <c r="I2606" i="4"/>
  <c r="H2606" i="4"/>
  <c r="I2605" i="4"/>
  <c r="H2605" i="4"/>
  <c r="I2604" i="4"/>
  <c r="H2604" i="4"/>
  <c r="I2603" i="4"/>
  <c r="H2603" i="4"/>
  <c r="I2602" i="4"/>
  <c r="H2602" i="4"/>
  <c r="I2601" i="4"/>
  <c r="H2601" i="4"/>
  <c r="I2600" i="4"/>
  <c r="H2600" i="4"/>
  <c r="I2599" i="4"/>
  <c r="H2599" i="4"/>
  <c r="I2598" i="4"/>
  <c r="H2598" i="4"/>
  <c r="I2597" i="4"/>
  <c r="H2597" i="4"/>
  <c r="I2596" i="4"/>
  <c r="H2596" i="4"/>
  <c r="I2595" i="4"/>
  <c r="H2595" i="4"/>
  <c r="I2594" i="4"/>
  <c r="H2594" i="4"/>
  <c r="I2593" i="4"/>
  <c r="H2593" i="4"/>
  <c r="I2592" i="4"/>
  <c r="H2592" i="4"/>
  <c r="I2591" i="4"/>
  <c r="H2591" i="4"/>
  <c r="I2590" i="4"/>
  <c r="H2590" i="4"/>
  <c r="I2589" i="4"/>
  <c r="H2589" i="4"/>
  <c r="I2588" i="4"/>
  <c r="H2588" i="4"/>
  <c r="I2587" i="4"/>
  <c r="H2587" i="4"/>
  <c r="I2586" i="4"/>
  <c r="H2586" i="4"/>
  <c r="I2585" i="4"/>
  <c r="H2585" i="4"/>
  <c r="I2584" i="4"/>
  <c r="H2584" i="4"/>
  <c r="I2583" i="4"/>
  <c r="H2583" i="4"/>
  <c r="I2582" i="4"/>
  <c r="H2582" i="4"/>
  <c r="I2581" i="4"/>
  <c r="H2581" i="4"/>
  <c r="I2580" i="4"/>
  <c r="H2580" i="4"/>
  <c r="I2579" i="4"/>
  <c r="H2579" i="4"/>
  <c r="I2578" i="4"/>
  <c r="H2578" i="4"/>
  <c r="I2577" i="4"/>
  <c r="H2577" i="4"/>
  <c r="I2576" i="4"/>
  <c r="H2576" i="4"/>
  <c r="I2575" i="4"/>
  <c r="H2575" i="4"/>
  <c r="I2574" i="4"/>
  <c r="H2574" i="4"/>
  <c r="I2573" i="4"/>
  <c r="H2573" i="4"/>
  <c r="I2572" i="4"/>
  <c r="H2572" i="4"/>
  <c r="I2571" i="4"/>
  <c r="H2571" i="4"/>
  <c r="I2570" i="4"/>
  <c r="H2570" i="4"/>
  <c r="I2569" i="4"/>
  <c r="H2569" i="4"/>
  <c r="I2568" i="4"/>
  <c r="H2568" i="4"/>
  <c r="I2567" i="4"/>
  <c r="H2567" i="4"/>
  <c r="I2566" i="4"/>
  <c r="H2566" i="4"/>
  <c r="I2565" i="4"/>
  <c r="H2565" i="4"/>
  <c r="I2564" i="4"/>
  <c r="H2564" i="4"/>
  <c r="I2563" i="4"/>
  <c r="H2563" i="4"/>
  <c r="I2562" i="4"/>
  <c r="H2562" i="4"/>
  <c r="I2561" i="4"/>
  <c r="H2561" i="4"/>
  <c r="I2560" i="4"/>
  <c r="H2560" i="4"/>
  <c r="I2559" i="4"/>
  <c r="H2559" i="4"/>
  <c r="I2558" i="4"/>
  <c r="H2558" i="4"/>
  <c r="I2557" i="4"/>
  <c r="H2557" i="4"/>
  <c r="I2556" i="4"/>
  <c r="H2556" i="4"/>
  <c r="I2555" i="4"/>
  <c r="H2555" i="4"/>
  <c r="I2554" i="4"/>
  <c r="H2554" i="4"/>
  <c r="I2553" i="4"/>
  <c r="H2553" i="4"/>
  <c r="I2552" i="4"/>
  <c r="H2552" i="4"/>
  <c r="I2551" i="4"/>
  <c r="H2551" i="4"/>
  <c r="I2550" i="4"/>
  <c r="H2550" i="4"/>
  <c r="I2549" i="4"/>
  <c r="H2549" i="4"/>
  <c r="I2548" i="4"/>
  <c r="H2548" i="4"/>
  <c r="I2547" i="4"/>
  <c r="H2547" i="4"/>
  <c r="I2546" i="4"/>
  <c r="H2546" i="4"/>
  <c r="I2545" i="4"/>
  <c r="H2545" i="4"/>
  <c r="I2544" i="4"/>
  <c r="H2544" i="4"/>
  <c r="I2543" i="4"/>
  <c r="H2543" i="4"/>
  <c r="I2542" i="4"/>
  <c r="H2542" i="4"/>
  <c r="I2541" i="4"/>
  <c r="H2541" i="4"/>
  <c r="I2540" i="4"/>
  <c r="H2540" i="4"/>
  <c r="I2539" i="4"/>
  <c r="H2539" i="4"/>
  <c r="I2538" i="4"/>
  <c r="H2538" i="4"/>
  <c r="I2537" i="4"/>
  <c r="H2537" i="4"/>
  <c r="I2536" i="4"/>
  <c r="H2536" i="4"/>
  <c r="I2535" i="4"/>
  <c r="H2535" i="4"/>
  <c r="I2534" i="4"/>
  <c r="H2534" i="4"/>
  <c r="I2533" i="4"/>
  <c r="H2533" i="4"/>
  <c r="I2532" i="4"/>
  <c r="H2532" i="4"/>
  <c r="I2531" i="4"/>
  <c r="H2531" i="4"/>
  <c r="I2530" i="4"/>
  <c r="H2530" i="4"/>
  <c r="I2529" i="4"/>
  <c r="H2529" i="4"/>
  <c r="I2528" i="4"/>
  <c r="H2528" i="4"/>
  <c r="I2527" i="4"/>
  <c r="H2527" i="4"/>
  <c r="I2526" i="4"/>
  <c r="H2526" i="4"/>
  <c r="I2525" i="4"/>
  <c r="H2525" i="4"/>
  <c r="I2524" i="4"/>
  <c r="H2524" i="4"/>
  <c r="I2523" i="4"/>
  <c r="H2523" i="4"/>
  <c r="I2522" i="4"/>
  <c r="H2522" i="4"/>
  <c r="I2521" i="4"/>
  <c r="H2521" i="4"/>
  <c r="I2520" i="4"/>
  <c r="H2520" i="4"/>
  <c r="I2519" i="4"/>
  <c r="H2519" i="4"/>
  <c r="I2518" i="4"/>
  <c r="H2518" i="4"/>
  <c r="I2517" i="4"/>
  <c r="H2517" i="4"/>
  <c r="I2516" i="4"/>
  <c r="H2516" i="4"/>
  <c r="I2515" i="4"/>
  <c r="H2515" i="4"/>
  <c r="I2514" i="4"/>
  <c r="H2514" i="4"/>
  <c r="I2513" i="4"/>
  <c r="H2513" i="4"/>
  <c r="I2512" i="4"/>
  <c r="H2512" i="4"/>
  <c r="I2511" i="4"/>
  <c r="H2511" i="4"/>
  <c r="I2510" i="4"/>
  <c r="H2510" i="4"/>
  <c r="I2509" i="4"/>
  <c r="H2509" i="4"/>
  <c r="I2508" i="4"/>
  <c r="H2508" i="4"/>
  <c r="I2507" i="4"/>
  <c r="H2507" i="4"/>
  <c r="I2506" i="4"/>
  <c r="H2506" i="4"/>
  <c r="I2505" i="4"/>
  <c r="H2505" i="4"/>
  <c r="I2504" i="4"/>
  <c r="H2504" i="4"/>
  <c r="I2503" i="4"/>
  <c r="H2503" i="4"/>
  <c r="I2502" i="4"/>
  <c r="H2502" i="4"/>
  <c r="I2501" i="4"/>
  <c r="H2501" i="4"/>
  <c r="I2500" i="4"/>
  <c r="H2500" i="4"/>
  <c r="I2499" i="4"/>
  <c r="H2499" i="4"/>
  <c r="I2498" i="4"/>
  <c r="H2498" i="4"/>
  <c r="I2497" i="4"/>
  <c r="H2497" i="4"/>
  <c r="I2496" i="4"/>
  <c r="H2496" i="4"/>
  <c r="I2495" i="4"/>
  <c r="H2495" i="4"/>
  <c r="I2494" i="4"/>
  <c r="H2494" i="4"/>
  <c r="I2493" i="4"/>
  <c r="H2493" i="4"/>
  <c r="I2492" i="4"/>
  <c r="H2492" i="4"/>
  <c r="I2491" i="4"/>
  <c r="H2491" i="4"/>
  <c r="I2490" i="4"/>
  <c r="H2490" i="4"/>
  <c r="I2489" i="4"/>
  <c r="H2489" i="4"/>
  <c r="I2488" i="4"/>
  <c r="H2488" i="4"/>
  <c r="I2487" i="4"/>
  <c r="H2487" i="4"/>
  <c r="I2486" i="4"/>
  <c r="H2486" i="4"/>
  <c r="I2485" i="4"/>
  <c r="H2485" i="4"/>
  <c r="I2484" i="4"/>
  <c r="H2484" i="4"/>
  <c r="I2483" i="4"/>
  <c r="H2483" i="4"/>
  <c r="I2482" i="4"/>
  <c r="H2482" i="4"/>
  <c r="I2481" i="4"/>
  <c r="H2481" i="4"/>
  <c r="I2480" i="4"/>
  <c r="H2480" i="4"/>
  <c r="I2479" i="4"/>
  <c r="H2479" i="4"/>
  <c r="I2478" i="4"/>
  <c r="H2478" i="4"/>
  <c r="I2477" i="4"/>
  <c r="H2477" i="4"/>
  <c r="I2476" i="4"/>
  <c r="H2476" i="4"/>
  <c r="I2475" i="4"/>
  <c r="H2475" i="4"/>
  <c r="I2474" i="4"/>
  <c r="H2474" i="4"/>
  <c r="I2473" i="4"/>
  <c r="H2473" i="4"/>
  <c r="I2472" i="4"/>
  <c r="H2472" i="4"/>
  <c r="I2471" i="4"/>
  <c r="H2471" i="4"/>
  <c r="I2470" i="4"/>
  <c r="H2470" i="4"/>
  <c r="I2469" i="4"/>
  <c r="H2469" i="4"/>
  <c r="I2468" i="4"/>
  <c r="H2468" i="4"/>
  <c r="I2467" i="4"/>
  <c r="H2467" i="4"/>
  <c r="I2466" i="4"/>
  <c r="H2466" i="4"/>
  <c r="I2465" i="4"/>
  <c r="H2465" i="4"/>
  <c r="I2464" i="4"/>
  <c r="H2464" i="4"/>
  <c r="I2463" i="4"/>
  <c r="H2463" i="4"/>
  <c r="I2462" i="4"/>
  <c r="H2462" i="4"/>
  <c r="I2461" i="4"/>
  <c r="H2461" i="4"/>
  <c r="I2460" i="4"/>
  <c r="H2460" i="4"/>
  <c r="I2459" i="4"/>
  <c r="H2459" i="4"/>
  <c r="I2458" i="4"/>
  <c r="H2458" i="4"/>
  <c r="I2457" i="4"/>
  <c r="H2457" i="4"/>
  <c r="I2456" i="4"/>
  <c r="H2456" i="4"/>
  <c r="I2455" i="4"/>
  <c r="H2455" i="4"/>
  <c r="I2454" i="4"/>
  <c r="H2454" i="4"/>
  <c r="I2453" i="4"/>
  <c r="H2453" i="4"/>
  <c r="I2452" i="4"/>
  <c r="H2452" i="4"/>
  <c r="I2451" i="4"/>
  <c r="H2451" i="4"/>
  <c r="I2450" i="4"/>
  <c r="H2450" i="4"/>
  <c r="I2449" i="4"/>
  <c r="H2449" i="4"/>
  <c r="I2448" i="4"/>
  <c r="H2448" i="4"/>
  <c r="I2447" i="4"/>
  <c r="H2447" i="4"/>
  <c r="I2446" i="4"/>
  <c r="H2446" i="4"/>
  <c r="I2445" i="4"/>
  <c r="H2445" i="4"/>
  <c r="I2444" i="4"/>
  <c r="H2444" i="4"/>
  <c r="I2443" i="4"/>
  <c r="H2443" i="4"/>
  <c r="I2442" i="4"/>
  <c r="H2442" i="4"/>
  <c r="I2441" i="4"/>
  <c r="H2441" i="4"/>
  <c r="I2440" i="4"/>
  <c r="H2440" i="4"/>
  <c r="I2439" i="4"/>
  <c r="H2439" i="4"/>
  <c r="I2438" i="4"/>
  <c r="H2438" i="4"/>
  <c r="I2437" i="4"/>
  <c r="H2437" i="4"/>
  <c r="I2436" i="4"/>
  <c r="H2436" i="4"/>
  <c r="I2435" i="4"/>
  <c r="H2435" i="4"/>
  <c r="I2434" i="4"/>
  <c r="H2434" i="4"/>
  <c r="I2433" i="4"/>
  <c r="H2433" i="4"/>
  <c r="I2432" i="4"/>
  <c r="H2432" i="4"/>
  <c r="I2431" i="4"/>
  <c r="H2431" i="4"/>
  <c r="I2430" i="4"/>
  <c r="H2430" i="4"/>
  <c r="I2429" i="4"/>
  <c r="H2429" i="4"/>
  <c r="I2428" i="4"/>
  <c r="H2428" i="4"/>
  <c r="I2427" i="4"/>
  <c r="H2427" i="4"/>
  <c r="I2426" i="4"/>
  <c r="H2426" i="4"/>
  <c r="I2425" i="4"/>
  <c r="H2425" i="4"/>
  <c r="I2424" i="4"/>
  <c r="H2424" i="4"/>
  <c r="I2423" i="4"/>
  <c r="H2423" i="4"/>
  <c r="I2422" i="4"/>
  <c r="H2422" i="4"/>
  <c r="I2421" i="4"/>
  <c r="H2421" i="4"/>
  <c r="I2420" i="4"/>
  <c r="H2420" i="4"/>
  <c r="I2419" i="4"/>
  <c r="H2419" i="4"/>
  <c r="I2418" i="4"/>
  <c r="H2418" i="4"/>
  <c r="I2417" i="4"/>
  <c r="H2417" i="4"/>
  <c r="I2416" i="4"/>
  <c r="H2416" i="4"/>
  <c r="I2415" i="4"/>
  <c r="H2415" i="4"/>
  <c r="I2414" i="4"/>
  <c r="H2414" i="4"/>
  <c r="I2413" i="4"/>
  <c r="H2413" i="4"/>
  <c r="I2412" i="4"/>
  <c r="H2412" i="4"/>
  <c r="I2411" i="4"/>
  <c r="H2411" i="4"/>
  <c r="I2410" i="4"/>
  <c r="H2410" i="4"/>
  <c r="I2409" i="4"/>
  <c r="H2409" i="4"/>
  <c r="I2408" i="4"/>
  <c r="H2408" i="4"/>
  <c r="I2407" i="4"/>
  <c r="H2407" i="4"/>
  <c r="I2406" i="4"/>
  <c r="H2406" i="4"/>
  <c r="I2405" i="4"/>
  <c r="H2405" i="4"/>
  <c r="I2404" i="4"/>
  <c r="H2404" i="4"/>
  <c r="I2403" i="4"/>
  <c r="H2403" i="4"/>
  <c r="I2402" i="4"/>
  <c r="H2402" i="4"/>
  <c r="I2401" i="4"/>
  <c r="H2401" i="4"/>
  <c r="I2400" i="4"/>
  <c r="H2400" i="4"/>
  <c r="I2399" i="4"/>
  <c r="H2399" i="4"/>
  <c r="I2398" i="4"/>
  <c r="H2398" i="4"/>
  <c r="I2397" i="4"/>
  <c r="H2397" i="4"/>
  <c r="I2396" i="4"/>
  <c r="H2396" i="4"/>
  <c r="I2395" i="4"/>
  <c r="H2395" i="4"/>
  <c r="I2394" i="4"/>
  <c r="H2394" i="4"/>
  <c r="I2393" i="4"/>
  <c r="H2393" i="4"/>
  <c r="I2392" i="4"/>
  <c r="H2392" i="4"/>
  <c r="I2391" i="4"/>
  <c r="H2391" i="4"/>
  <c r="I2390" i="4"/>
  <c r="H2390" i="4"/>
  <c r="I2389" i="4"/>
  <c r="H2389" i="4"/>
  <c r="I2388" i="4"/>
  <c r="H2388" i="4"/>
  <c r="I2387" i="4"/>
  <c r="H2387" i="4"/>
  <c r="I2386" i="4"/>
  <c r="H2386" i="4"/>
  <c r="I2385" i="4"/>
  <c r="H2385" i="4"/>
  <c r="I2384" i="4"/>
  <c r="H2384" i="4"/>
  <c r="I2383" i="4"/>
  <c r="H2383" i="4"/>
  <c r="I2382" i="4"/>
  <c r="H2382" i="4"/>
  <c r="I2381" i="4"/>
  <c r="H2381" i="4"/>
  <c r="I2380" i="4"/>
  <c r="H2380" i="4"/>
  <c r="I2379" i="4"/>
  <c r="H2379" i="4"/>
  <c r="I2378" i="4"/>
  <c r="H2378" i="4"/>
  <c r="I2377" i="4"/>
  <c r="H2377" i="4"/>
  <c r="I2376" i="4"/>
  <c r="H2376" i="4"/>
  <c r="I2375" i="4"/>
  <c r="H2375" i="4"/>
  <c r="I2374" i="4"/>
  <c r="H2374" i="4"/>
  <c r="I2373" i="4"/>
  <c r="H2373" i="4"/>
  <c r="I2372" i="4"/>
  <c r="H2372" i="4"/>
  <c r="I2371" i="4"/>
  <c r="H2371" i="4"/>
  <c r="I2370" i="4"/>
  <c r="H2370" i="4"/>
  <c r="I2369" i="4"/>
  <c r="H2369" i="4"/>
  <c r="I2368" i="4"/>
  <c r="H2368" i="4"/>
  <c r="I2367" i="4"/>
  <c r="H2367" i="4"/>
  <c r="I2366" i="4"/>
  <c r="H2366" i="4"/>
  <c r="I2365" i="4"/>
  <c r="H2365" i="4"/>
  <c r="I2364" i="4"/>
  <c r="H2364" i="4"/>
  <c r="I2363" i="4"/>
  <c r="H2363" i="4"/>
  <c r="I2362" i="4"/>
  <c r="H2362" i="4"/>
  <c r="I2361" i="4"/>
  <c r="H2361" i="4"/>
  <c r="I2360" i="4"/>
  <c r="H2360" i="4"/>
  <c r="I2359" i="4"/>
  <c r="H2359" i="4"/>
  <c r="I2358" i="4"/>
  <c r="H2358" i="4"/>
  <c r="I2357" i="4"/>
  <c r="H2357" i="4"/>
  <c r="I2356" i="4"/>
  <c r="H2356" i="4"/>
  <c r="I2355" i="4"/>
  <c r="H2355" i="4"/>
  <c r="I2354" i="4"/>
  <c r="H2354" i="4"/>
  <c r="I2353" i="4"/>
  <c r="H2353" i="4"/>
  <c r="I2352" i="4"/>
  <c r="H2352" i="4"/>
  <c r="I2351" i="4"/>
  <c r="H2351" i="4"/>
  <c r="I2350" i="4"/>
  <c r="H2350" i="4"/>
  <c r="I2349" i="4"/>
  <c r="H2349" i="4"/>
  <c r="I2348" i="4"/>
  <c r="H2348" i="4"/>
  <c r="I2347" i="4"/>
  <c r="H2347" i="4"/>
  <c r="I2346" i="4"/>
  <c r="H2346" i="4"/>
  <c r="I2345" i="4"/>
  <c r="H2345" i="4"/>
  <c r="I2344" i="4"/>
  <c r="H2344" i="4"/>
  <c r="I2343" i="4"/>
  <c r="H2343" i="4"/>
  <c r="I2342" i="4"/>
  <c r="H2342" i="4"/>
  <c r="I2341" i="4"/>
  <c r="H2341" i="4"/>
  <c r="I2340" i="4"/>
  <c r="H2340" i="4"/>
  <c r="I2339" i="4"/>
  <c r="H2339" i="4"/>
  <c r="I2338" i="4"/>
  <c r="H2338" i="4"/>
  <c r="I2337" i="4"/>
  <c r="H2337" i="4"/>
  <c r="I2336" i="4"/>
  <c r="H2336" i="4"/>
  <c r="I2335" i="4"/>
  <c r="H2335" i="4"/>
  <c r="I2334" i="4"/>
  <c r="H2334" i="4"/>
  <c r="I2333" i="4"/>
  <c r="H2333" i="4"/>
  <c r="I2332" i="4"/>
  <c r="H2332" i="4"/>
  <c r="I2331" i="4"/>
  <c r="H2331" i="4"/>
  <c r="I2330" i="4"/>
  <c r="H2330" i="4"/>
  <c r="I2329" i="4"/>
  <c r="H2329" i="4"/>
  <c r="I2328" i="4"/>
  <c r="H2328" i="4"/>
  <c r="I2327" i="4"/>
  <c r="H2327" i="4"/>
  <c r="I2326" i="4"/>
  <c r="H2326" i="4"/>
  <c r="I2325" i="4"/>
  <c r="H2325" i="4"/>
  <c r="I2324" i="4"/>
  <c r="H2324" i="4"/>
  <c r="I2323" i="4"/>
  <c r="H2323" i="4"/>
  <c r="I2322" i="4"/>
  <c r="H2322" i="4"/>
  <c r="I2321" i="4"/>
  <c r="H2321" i="4"/>
  <c r="I2320" i="4"/>
  <c r="H2320" i="4"/>
  <c r="I2319" i="4"/>
  <c r="H2319" i="4"/>
  <c r="I2318" i="4"/>
  <c r="H2318" i="4"/>
  <c r="I2317" i="4"/>
  <c r="H2317" i="4"/>
  <c r="I2316" i="4"/>
  <c r="H2316" i="4"/>
  <c r="I2315" i="4"/>
  <c r="H2315" i="4"/>
  <c r="I2314" i="4"/>
  <c r="H2314" i="4"/>
  <c r="I2313" i="4"/>
  <c r="H2313" i="4"/>
  <c r="I2312" i="4"/>
  <c r="H2312" i="4"/>
  <c r="I2311" i="4"/>
  <c r="H2311" i="4"/>
  <c r="I2310" i="4"/>
  <c r="H2310" i="4"/>
  <c r="I2309" i="4"/>
  <c r="H2309" i="4"/>
  <c r="I2308" i="4"/>
  <c r="H2308" i="4"/>
  <c r="I2307" i="4"/>
  <c r="H2307" i="4"/>
  <c r="I2306" i="4"/>
  <c r="H2306" i="4"/>
  <c r="I2305" i="4"/>
  <c r="H2305" i="4"/>
  <c r="I2304" i="4"/>
  <c r="H2304" i="4"/>
  <c r="I2303" i="4"/>
  <c r="H2303" i="4"/>
  <c r="I2302" i="4"/>
  <c r="H2302" i="4"/>
  <c r="I2301" i="4"/>
  <c r="H2301" i="4"/>
  <c r="I2300" i="4"/>
  <c r="H2300" i="4"/>
  <c r="I2299" i="4"/>
  <c r="H2299" i="4"/>
  <c r="I2298" i="4"/>
  <c r="H2298" i="4"/>
  <c r="I2297" i="4"/>
  <c r="H2297" i="4"/>
  <c r="I2296" i="4"/>
  <c r="H2296" i="4"/>
  <c r="I2295" i="4"/>
  <c r="H2295" i="4"/>
  <c r="I2294" i="4"/>
  <c r="H2294" i="4"/>
  <c r="I2293" i="4"/>
  <c r="H2293" i="4"/>
  <c r="I2292" i="4"/>
  <c r="H2292" i="4"/>
  <c r="I2291" i="4"/>
  <c r="H2291" i="4"/>
  <c r="I2290" i="4"/>
  <c r="H2290" i="4"/>
  <c r="I2289" i="4"/>
  <c r="H2289" i="4"/>
  <c r="I2288" i="4"/>
  <c r="H2288" i="4"/>
  <c r="I2287" i="4"/>
  <c r="H2287" i="4"/>
  <c r="I2286" i="4"/>
  <c r="H2286" i="4"/>
  <c r="I2285" i="4"/>
  <c r="H2285" i="4"/>
  <c r="I2284" i="4"/>
  <c r="H2284" i="4"/>
  <c r="I2283" i="4"/>
  <c r="H2283" i="4"/>
  <c r="I2282" i="4"/>
  <c r="H2282" i="4"/>
  <c r="I2281" i="4"/>
  <c r="H2281" i="4"/>
  <c r="I2280" i="4"/>
  <c r="H2280" i="4"/>
  <c r="I2279" i="4"/>
  <c r="H2279" i="4"/>
  <c r="I2278" i="4"/>
  <c r="H2278" i="4"/>
  <c r="I2277" i="4"/>
  <c r="H2277" i="4"/>
  <c r="I2276" i="4"/>
  <c r="H2276" i="4"/>
  <c r="I2275" i="4"/>
  <c r="H2275" i="4"/>
  <c r="I2274" i="4"/>
  <c r="H2274" i="4"/>
  <c r="I2273" i="4"/>
  <c r="H2273" i="4"/>
  <c r="I2272" i="4"/>
  <c r="H2272" i="4"/>
  <c r="I2271" i="4"/>
  <c r="H2271" i="4"/>
  <c r="I2270" i="4"/>
  <c r="H2270" i="4"/>
  <c r="I2269" i="4"/>
  <c r="H2269" i="4"/>
  <c r="I2268" i="4"/>
  <c r="H2268" i="4"/>
  <c r="I2267" i="4"/>
  <c r="H2267" i="4"/>
  <c r="I2266" i="4"/>
  <c r="H2266" i="4"/>
  <c r="I2265" i="4"/>
  <c r="H2265" i="4"/>
  <c r="I2264" i="4"/>
  <c r="H2264" i="4"/>
  <c r="I2263" i="4"/>
  <c r="H2263" i="4"/>
  <c r="I2262" i="4"/>
  <c r="H2262" i="4"/>
  <c r="I2261" i="4"/>
  <c r="H2261" i="4"/>
  <c r="I2260" i="4"/>
  <c r="H2260" i="4"/>
  <c r="I2259" i="4"/>
  <c r="H2259" i="4"/>
  <c r="I2258" i="4"/>
  <c r="H2258" i="4"/>
  <c r="I2257" i="4"/>
  <c r="H2257" i="4"/>
  <c r="I2256" i="4"/>
  <c r="H2256" i="4"/>
  <c r="I2255" i="4"/>
  <c r="H2255" i="4"/>
  <c r="I2254" i="4"/>
  <c r="H2254" i="4"/>
  <c r="I2253" i="4"/>
  <c r="H2253" i="4"/>
  <c r="I2252" i="4"/>
  <c r="H2252" i="4"/>
  <c r="I2251" i="4"/>
  <c r="H2251" i="4"/>
  <c r="I2250" i="4"/>
  <c r="H2250" i="4"/>
  <c r="I2249" i="4"/>
  <c r="H2249" i="4"/>
  <c r="I2248" i="4"/>
  <c r="H2248" i="4"/>
  <c r="I2247" i="4"/>
  <c r="H2247" i="4"/>
  <c r="I2246" i="4"/>
  <c r="H2246" i="4"/>
  <c r="I2245" i="4"/>
  <c r="H2245" i="4"/>
  <c r="I2244" i="4"/>
  <c r="H2244" i="4"/>
  <c r="I2243" i="4"/>
  <c r="H2243" i="4"/>
  <c r="I2242" i="4"/>
  <c r="H2242" i="4"/>
  <c r="I2241" i="4"/>
  <c r="H2241" i="4"/>
  <c r="I2240" i="4"/>
  <c r="H2240" i="4"/>
  <c r="I2239" i="4"/>
  <c r="H2239" i="4"/>
  <c r="I2238" i="4"/>
  <c r="H2238" i="4"/>
  <c r="I2237" i="4"/>
  <c r="H2237" i="4"/>
  <c r="I2236" i="4"/>
  <c r="H2236" i="4"/>
  <c r="I2235" i="4"/>
  <c r="H2235" i="4"/>
  <c r="I2234" i="4"/>
  <c r="H2234" i="4"/>
  <c r="I2233" i="4"/>
  <c r="H2233" i="4"/>
  <c r="I2232" i="4"/>
  <c r="H2232" i="4"/>
  <c r="I2231" i="4"/>
  <c r="H2231" i="4"/>
  <c r="I2230" i="4"/>
  <c r="H2230" i="4"/>
  <c r="I2229" i="4"/>
  <c r="H2229" i="4"/>
  <c r="I2228" i="4"/>
  <c r="H2228" i="4"/>
  <c r="I2227" i="4"/>
  <c r="H2227" i="4"/>
  <c r="I2226" i="4"/>
  <c r="H2226" i="4"/>
  <c r="I2225" i="4"/>
  <c r="H2225" i="4"/>
  <c r="I2224" i="4"/>
  <c r="H2224" i="4"/>
  <c r="I2223" i="4"/>
  <c r="H2223" i="4"/>
  <c r="I2222" i="4"/>
  <c r="H2222" i="4"/>
  <c r="I2221" i="4"/>
  <c r="H2221" i="4"/>
  <c r="I2220" i="4"/>
  <c r="H2220" i="4"/>
  <c r="I2219" i="4"/>
  <c r="H2219" i="4"/>
  <c r="I2218" i="4"/>
  <c r="H2218" i="4"/>
  <c r="I2217" i="4"/>
  <c r="H2217" i="4"/>
  <c r="I2216" i="4"/>
  <c r="H2216" i="4"/>
  <c r="I2215" i="4"/>
  <c r="H2215" i="4"/>
  <c r="I2214" i="4"/>
  <c r="H2214" i="4"/>
  <c r="I2213" i="4"/>
  <c r="H2213" i="4"/>
  <c r="I2212" i="4"/>
  <c r="H2212" i="4"/>
  <c r="I2211" i="4"/>
  <c r="H2211" i="4"/>
  <c r="I2210" i="4"/>
  <c r="H2210" i="4"/>
  <c r="I2209" i="4"/>
  <c r="H2209" i="4"/>
  <c r="I2208" i="4"/>
  <c r="H2208" i="4"/>
  <c r="I2207" i="4"/>
  <c r="H2207" i="4"/>
  <c r="I2206" i="4"/>
  <c r="H2206" i="4"/>
  <c r="I2205" i="4"/>
  <c r="H2205" i="4"/>
  <c r="I2204" i="4"/>
  <c r="H2204" i="4"/>
  <c r="I2203" i="4"/>
  <c r="H2203" i="4"/>
  <c r="I2202" i="4"/>
  <c r="H2202" i="4"/>
  <c r="I2201" i="4"/>
  <c r="H2201" i="4"/>
  <c r="I2200" i="4"/>
  <c r="H2200" i="4"/>
  <c r="I2199" i="4"/>
  <c r="H2199" i="4"/>
  <c r="I2198" i="4"/>
  <c r="H2198" i="4"/>
  <c r="I2197" i="4"/>
  <c r="H2197" i="4"/>
  <c r="I2196" i="4"/>
  <c r="H2196" i="4"/>
  <c r="I2195" i="4"/>
  <c r="H2195" i="4"/>
  <c r="I2194" i="4"/>
  <c r="H2194" i="4"/>
  <c r="I2193" i="4"/>
  <c r="H2193" i="4"/>
  <c r="I2192" i="4"/>
  <c r="H2192" i="4"/>
  <c r="I2191" i="4"/>
  <c r="H2191" i="4"/>
  <c r="I2190" i="4"/>
  <c r="H2190" i="4"/>
  <c r="I2189" i="4"/>
  <c r="H2189" i="4"/>
  <c r="I2188" i="4"/>
  <c r="H2188" i="4"/>
  <c r="I2187" i="4"/>
  <c r="H2187" i="4"/>
  <c r="I2186" i="4"/>
  <c r="H2186" i="4"/>
  <c r="I2185" i="4"/>
  <c r="H2185" i="4"/>
  <c r="I2184" i="4"/>
  <c r="H2184" i="4"/>
  <c r="I2183" i="4"/>
  <c r="H2183" i="4"/>
  <c r="I2182" i="4"/>
  <c r="H2182" i="4"/>
  <c r="I2181" i="4"/>
  <c r="H2181" i="4"/>
  <c r="I2180" i="4"/>
  <c r="H2180" i="4"/>
  <c r="I2179" i="4"/>
  <c r="H2179" i="4"/>
  <c r="I2178" i="4"/>
  <c r="H2178" i="4"/>
  <c r="I2177" i="4"/>
  <c r="H2177" i="4"/>
  <c r="I2176" i="4"/>
  <c r="H2176" i="4"/>
  <c r="I2175" i="4"/>
  <c r="H2175" i="4"/>
  <c r="I2174" i="4"/>
  <c r="H2174" i="4"/>
  <c r="I2173" i="4"/>
  <c r="H2173" i="4"/>
  <c r="I2172" i="4"/>
  <c r="H2172" i="4"/>
  <c r="I2171" i="4"/>
  <c r="H2171" i="4"/>
  <c r="I2170" i="4"/>
  <c r="H2170" i="4"/>
  <c r="I2169" i="4"/>
  <c r="H2169" i="4"/>
  <c r="I2168" i="4"/>
  <c r="H2168" i="4"/>
  <c r="I2167" i="4"/>
  <c r="H2167" i="4"/>
  <c r="I2166" i="4"/>
  <c r="H2166" i="4"/>
  <c r="I2165" i="4"/>
  <c r="H2165" i="4"/>
  <c r="I2164" i="4"/>
  <c r="H2164" i="4"/>
  <c r="I2163" i="4"/>
  <c r="H2163" i="4"/>
  <c r="I2162" i="4"/>
  <c r="H2162" i="4"/>
  <c r="I2161" i="4"/>
  <c r="H2161" i="4"/>
  <c r="I2160" i="4"/>
  <c r="H2160" i="4"/>
  <c r="I2159" i="4"/>
  <c r="H2159" i="4"/>
  <c r="I2158" i="4"/>
  <c r="H2158" i="4"/>
  <c r="I2157" i="4"/>
  <c r="H2157" i="4"/>
  <c r="I2156" i="4"/>
  <c r="H2156" i="4"/>
  <c r="I2155" i="4"/>
  <c r="H2155" i="4"/>
  <c r="I2154" i="4"/>
  <c r="H2154" i="4"/>
  <c r="I2153" i="4"/>
  <c r="H2153" i="4"/>
  <c r="I2152" i="4"/>
  <c r="H2152" i="4"/>
  <c r="I2151" i="4"/>
  <c r="H2151" i="4"/>
  <c r="I2150" i="4"/>
  <c r="H2150" i="4"/>
  <c r="I2149" i="4"/>
  <c r="H2149" i="4"/>
  <c r="I2148" i="4"/>
  <c r="H2148" i="4"/>
  <c r="I2147" i="4"/>
  <c r="H2147" i="4"/>
  <c r="I2146" i="4"/>
  <c r="H2146" i="4"/>
  <c r="I2145" i="4"/>
  <c r="H2145" i="4"/>
  <c r="I2144" i="4"/>
  <c r="H2144" i="4"/>
  <c r="I2143" i="4"/>
  <c r="H2143" i="4"/>
  <c r="I2142" i="4"/>
  <c r="H2142" i="4"/>
  <c r="I2141" i="4"/>
  <c r="H2141" i="4"/>
  <c r="I2140" i="4"/>
  <c r="H2140" i="4"/>
  <c r="I2139" i="4"/>
  <c r="H2139" i="4"/>
  <c r="I2138" i="4"/>
  <c r="H2138" i="4"/>
  <c r="I2137" i="4"/>
  <c r="H2137" i="4"/>
  <c r="I2136" i="4"/>
  <c r="H2136" i="4"/>
  <c r="I2135" i="4"/>
  <c r="H2135" i="4"/>
  <c r="I2134" i="4"/>
  <c r="H2134" i="4"/>
  <c r="I2133" i="4"/>
  <c r="H2133" i="4"/>
  <c r="I2132" i="4"/>
  <c r="H2132" i="4"/>
  <c r="I2131" i="4"/>
  <c r="H2131" i="4"/>
  <c r="I2130" i="4"/>
  <c r="H2130" i="4"/>
  <c r="I2129" i="4"/>
  <c r="H2129" i="4"/>
  <c r="I2128" i="4"/>
  <c r="H2128" i="4"/>
  <c r="I2127" i="4"/>
  <c r="H2127" i="4"/>
  <c r="I2126" i="4"/>
  <c r="H2126" i="4"/>
  <c r="I2125" i="4"/>
  <c r="H2125" i="4"/>
  <c r="I2124" i="4"/>
  <c r="H2124" i="4"/>
  <c r="I2123" i="4"/>
  <c r="H2123" i="4"/>
  <c r="I2122" i="4"/>
  <c r="H2122" i="4"/>
  <c r="I2121" i="4"/>
  <c r="H2121" i="4"/>
  <c r="I2120" i="4"/>
  <c r="H2120" i="4"/>
  <c r="I2119" i="4"/>
  <c r="H2119" i="4"/>
  <c r="I2118" i="4"/>
  <c r="H2118" i="4"/>
  <c r="I2117" i="4"/>
  <c r="H2117" i="4"/>
  <c r="I2116" i="4"/>
  <c r="H2116" i="4"/>
  <c r="I2115" i="4"/>
  <c r="H2115" i="4"/>
  <c r="I2114" i="4"/>
  <c r="H2114" i="4"/>
  <c r="I2113" i="4"/>
  <c r="H2113" i="4"/>
  <c r="I2112" i="4"/>
  <c r="H2112" i="4"/>
  <c r="I2111" i="4"/>
  <c r="H2111" i="4"/>
  <c r="I2110" i="4"/>
  <c r="H2110" i="4"/>
  <c r="I2109" i="4"/>
  <c r="H2109" i="4"/>
  <c r="I2108" i="4"/>
  <c r="H2108" i="4"/>
  <c r="I2107" i="4"/>
  <c r="H2107" i="4"/>
  <c r="I2106" i="4"/>
  <c r="H2106" i="4"/>
  <c r="I2105" i="4"/>
  <c r="H2105" i="4"/>
  <c r="I2104" i="4"/>
  <c r="H2104" i="4"/>
  <c r="I2103" i="4"/>
  <c r="H2103" i="4"/>
  <c r="I2102" i="4"/>
  <c r="H2102" i="4"/>
  <c r="I2101" i="4"/>
  <c r="H2101" i="4"/>
  <c r="I2100" i="4"/>
  <c r="H2100" i="4"/>
  <c r="I2099" i="4"/>
  <c r="H2099" i="4"/>
  <c r="I2098" i="4"/>
  <c r="H2098" i="4"/>
  <c r="I2097" i="4"/>
  <c r="H2097" i="4"/>
  <c r="I2096" i="4"/>
  <c r="H2096" i="4"/>
  <c r="I2095" i="4"/>
  <c r="H2095" i="4"/>
  <c r="I2094" i="4"/>
  <c r="H2094" i="4"/>
  <c r="I2093" i="4"/>
  <c r="H2093" i="4"/>
  <c r="I2092" i="4"/>
  <c r="H2092" i="4"/>
  <c r="I2091" i="4"/>
  <c r="H2091" i="4"/>
  <c r="I2090" i="4"/>
  <c r="H2090" i="4"/>
  <c r="I2089" i="4"/>
  <c r="H2089" i="4"/>
  <c r="I2088" i="4"/>
  <c r="H2088" i="4"/>
  <c r="I2087" i="4"/>
  <c r="H2087" i="4"/>
  <c r="I2086" i="4"/>
  <c r="H2086" i="4"/>
  <c r="I2085" i="4"/>
  <c r="H2085" i="4"/>
  <c r="I2084" i="4"/>
  <c r="H2084" i="4"/>
  <c r="I2083" i="4"/>
  <c r="H2083" i="4"/>
  <c r="I2082" i="4"/>
  <c r="H2082" i="4"/>
  <c r="I2081" i="4"/>
  <c r="H2081" i="4"/>
  <c r="I2080" i="4"/>
  <c r="H2080" i="4"/>
  <c r="I2079" i="4"/>
  <c r="H2079" i="4"/>
  <c r="I2078" i="4"/>
  <c r="H2078" i="4"/>
  <c r="I2077" i="4"/>
  <c r="H2077" i="4"/>
  <c r="I2076" i="4"/>
  <c r="H2076" i="4"/>
  <c r="I2075" i="4"/>
  <c r="H2075" i="4"/>
  <c r="I2074" i="4"/>
  <c r="H2074" i="4"/>
  <c r="I2073" i="4"/>
  <c r="H2073" i="4"/>
  <c r="I2072" i="4"/>
  <c r="H2072" i="4"/>
  <c r="I2071" i="4"/>
  <c r="H2071" i="4"/>
  <c r="I2070" i="4"/>
  <c r="H2070" i="4"/>
  <c r="I2069" i="4"/>
  <c r="H2069" i="4"/>
  <c r="I2068" i="4"/>
  <c r="H2068" i="4"/>
  <c r="I2067" i="4"/>
  <c r="H2067" i="4"/>
  <c r="I2066" i="4"/>
  <c r="H2066" i="4"/>
  <c r="I2065" i="4"/>
  <c r="H2065" i="4"/>
  <c r="I2064" i="4"/>
  <c r="H2064" i="4"/>
  <c r="I2063" i="4"/>
  <c r="H2063" i="4"/>
  <c r="I2062" i="4"/>
  <c r="H2062" i="4"/>
  <c r="I2061" i="4"/>
  <c r="H2061" i="4"/>
  <c r="I2060" i="4"/>
  <c r="H2060" i="4"/>
  <c r="I2059" i="4"/>
  <c r="H2059" i="4"/>
  <c r="I2058" i="4"/>
  <c r="H2058" i="4"/>
  <c r="I2057" i="4"/>
  <c r="H2057" i="4"/>
  <c r="I2056" i="4"/>
  <c r="H2056" i="4"/>
  <c r="I2055" i="4"/>
  <c r="H2055" i="4"/>
  <c r="I2054" i="4"/>
  <c r="H2054" i="4"/>
  <c r="I2053" i="4"/>
  <c r="H2053" i="4"/>
  <c r="I2052" i="4"/>
  <c r="H2052" i="4"/>
  <c r="I2051" i="4"/>
  <c r="H2051" i="4"/>
  <c r="I2050" i="4"/>
  <c r="H2050" i="4"/>
  <c r="I2049" i="4"/>
  <c r="H2049" i="4"/>
  <c r="I2048" i="4"/>
  <c r="H2048" i="4"/>
  <c r="I2047" i="4"/>
  <c r="H2047" i="4"/>
  <c r="I2046" i="4"/>
  <c r="H2046" i="4"/>
  <c r="I2045" i="4"/>
  <c r="H2045" i="4"/>
  <c r="I2044" i="4"/>
  <c r="H2044" i="4"/>
  <c r="I2043" i="4"/>
  <c r="H2043" i="4"/>
  <c r="I2042" i="4"/>
  <c r="H2042" i="4"/>
  <c r="I2041" i="4"/>
  <c r="H2041" i="4"/>
  <c r="I2040" i="4"/>
  <c r="H2040" i="4"/>
  <c r="I2039" i="4"/>
  <c r="H2039" i="4"/>
  <c r="I2038" i="4"/>
  <c r="H2038" i="4"/>
  <c r="I2037" i="4"/>
  <c r="H2037" i="4"/>
  <c r="I2036" i="4"/>
  <c r="H2036" i="4"/>
  <c r="H2035" i="4"/>
  <c r="I2034" i="4"/>
  <c r="H2034" i="4"/>
  <c r="I2033" i="4"/>
  <c r="H2033" i="4"/>
  <c r="I2032" i="4"/>
  <c r="H2032" i="4"/>
  <c r="I2031" i="4"/>
  <c r="H2031" i="4"/>
  <c r="I2030" i="4"/>
  <c r="H2030" i="4"/>
  <c r="I2029" i="4"/>
  <c r="H2029" i="4"/>
  <c r="I2028" i="4"/>
  <c r="H2028" i="4"/>
  <c r="I2027" i="4"/>
  <c r="H2027" i="4"/>
  <c r="I2026" i="4"/>
  <c r="H2026" i="4"/>
  <c r="I2025" i="4"/>
  <c r="H2025" i="4"/>
  <c r="I2024" i="4"/>
  <c r="H2024" i="4"/>
  <c r="I2023" i="4"/>
  <c r="H2023" i="4"/>
  <c r="I2022" i="4"/>
  <c r="H2022" i="4"/>
  <c r="I2021" i="4"/>
  <c r="H2021" i="4"/>
  <c r="I2020" i="4"/>
  <c r="H2020" i="4"/>
  <c r="I2019" i="4"/>
  <c r="H2019" i="4"/>
  <c r="I2018" i="4"/>
  <c r="H2018" i="4"/>
  <c r="I2017" i="4"/>
  <c r="H2017" i="4"/>
  <c r="I2016" i="4"/>
  <c r="H2016" i="4"/>
  <c r="I2015" i="4"/>
  <c r="H2015" i="4"/>
  <c r="I2014" i="4"/>
  <c r="H2014" i="4"/>
  <c r="I2013" i="4"/>
  <c r="H2013" i="4"/>
  <c r="I2012" i="4"/>
  <c r="H2012" i="4"/>
  <c r="I2011" i="4"/>
  <c r="H2011" i="4"/>
  <c r="I2010" i="4"/>
  <c r="H2010" i="4"/>
  <c r="I2009" i="4"/>
  <c r="H2009" i="4"/>
  <c r="I2008" i="4"/>
  <c r="H2008" i="4"/>
  <c r="I2007" i="4"/>
  <c r="H2007" i="4"/>
  <c r="I2006" i="4"/>
  <c r="H2006" i="4"/>
  <c r="I2005" i="4"/>
  <c r="H2005" i="4"/>
  <c r="I2004" i="4"/>
  <c r="H2004" i="4"/>
  <c r="I2003" i="4"/>
  <c r="H2003" i="4"/>
  <c r="I2002" i="4"/>
  <c r="H2002" i="4"/>
  <c r="I2001" i="4"/>
  <c r="H2001" i="4"/>
  <c r="I2000" i="4"/>
  <c r="H2000" i="4"/>
  <c r="I1999" i="4"/>
  <c r="H1999" i="4"/>
  <c r="I1998" i="4"/>
  <c r="H1998" i="4"/>
  <c r="I1997" i="4"/>
  <c r="H1997" i="4"/>
  <c r="I1996" i="4"/>
  <c r="H1996" i="4"/>
  <c r="I1995" i="4"/>
  <c r="H1995" i="4"/>
  <c r="I1994" i="4"/>
  <c r="H1994" i="4"/>
  <c r="I1993" i="4"/>
  <c r="H1993" i="4"/>
  <c r="I1992" i="4"/>
  <c r="H1992" i="4"/>
  <c r="I1991" i="4"/>
  <c r="H1991" i="4"/>
  <c r="I1990" i="4"/>
  <c r="H1990" i="4"/>
  <c r="I1989" i="4"/>
  <c r="H1989" i="4"/>
  <c r="I1988" i="4"/>
  <c r="H1988" i="4"/>
  <c r="I1987" i="4"/>
  <c r="H1987" i="4"/>
  <c r="I1986" i="4"/>
  <c r="H1986" i="4"/>
  <c r="I1985" i="4"/>
  <c r="H1985" i="4"/>
  <c r="I1984" i="4"/>
  <c r="H1984" i="4"/>
  <c r="I1983" i="4"/>
  <c r="H1983" i="4"/>
  <c r="I1982" i="4"/>
  <c r="H1982" i="4"/>
  <c r="I1981" i="4"/>
  <c r="H1981" i="4"/>
  <c r="I1980" i="4"/>
  <c r="H1980" i="4"/>
  <c r="I1979" i="4"/>
  <c r="H1979" i="4"/>
  <c r="I1978" i="4"/>
  <c r="H1978" i="4"/>
  <c r="I1977" i="4"/>
  <c r="H1977" i="4"/>
  <c r="I1976" i="4"/>
  <c r="H1976" i="4"/>
  <c r="I1975" i="4"/>
  <c r="H1975" i="4"/>
  <c r="I1974" i="4"/>
  <c r="H1974" i="4"/>
  <c r="I1973" i="4"/>
  <c r="H1973" i="4"/>
  <c r="I1972" i="4"/>
  <c r="H1972" i="4"/>
  <c r="I1971" i="4"/>
  <c r="H1971" i="4"/>
  <c r="I1970" i="4"/>
  <c r="H1970" i="4"/>
  <c r="I1969" i="4"/>
  <c r="H1969" i="4"/>
  <c r="I1968" i="4"/>
  <c r="H1968" i="4"/>
  <c r="I1967" i="4"/>
  <c r="H1967" i="4"/>
  <c r="I1966" i="4"/>
  <c r="H1966" i="4"/>
  <c r="I1965" i="4"/>
  <c r="H1965" i="4"/>
  <c r="I1964" i="4"/>
  <c r="H1964" i="4"/>
  <c r="I1963" i="4"/>
  <c r="H1963" i="4"/>
  <c r="I1962" i="4"/>
  <c r="H1962" i="4"/>
  <c r="I1961" i="4"/>
  <c r="H1961" i="4"/>
  <c r="I1960" i="4"/>
  <c r="H1960" i="4"/>
  <c r="I1959" i="4"/>
  <c r="H1959" i="4"/>
  <c r="I1958" i="4"/>
  <c r="H1958" i="4"/>
  <c r="I1957" i="4"/>
  <c r="H1957" i="4"/>
  <c r="I1956" i="4"/>
  <c r="H1956" i="4"/>
  <c r="I1955" i="4"/>
  <c r="H1955" i="4"/>
  <c r="I1954" i="4"/>
  <c r="H1954" i="4"/>
  <c r="I1953" i="4"/>
  <c r="H1953" i="4"/>
  <c r="I1952" i="4"/>
  <c r="H1952" i="4"/>
  <c r="I1951" i="4"/>
  <c r="H1951" i="4"/>
  <c r="I1950" i="4"/>
  <c r="H1950" i="4"/>
  <c r="I1949" i="4"/>
  <c r="H1949" i="4"/>
  <c r="I1948" i="4"/>
  <c r="H1948" i="4"/>
  <c r="I1947" i="4"/>
  <c r="H1947" i="4"/>
  <c r="I1946" i="4"/>
  <c r="H1946" i="4"/>
  <c r="I1945" i="4"/>
  <c r="H1945" i="4"/>
  <c r="I1944" i="4"/>
  <c r="H1944" i="4"/>
  <c r="I1943" i="4"/>
  <c r="H1943" i="4"/>
  <c r="I1942" i="4"/>
  <c r="H1942" i="4"/>
  <c r="I1941" i="4"/>
  <c r="H1941" i="4"/>
  <c r="I1940" i="4"/>
  <c r="H1940" i="4"/>
  <c r="I1939" i="4"/>
  <c r="H1939" i="4"/>
  <c r="I1938" i="4"/>
  <c r="H1938" i="4"/>
  <c r="I1937" i="4"/>
  <c r="H1937" i="4"/>
  <c r="I1936" i="4"/>
  <c r="H1936" i="4"/>
  <c r="I1935" i="4"/>
  <c r="H1935" i="4"/>
  <c r="I1934" i="4"/>
  <c r="H1934" i="4"/>
  <c r="I1933" i="4"/>
  <c r="H1933" i="4"/>
  <c r="I1932" i="4"/>
  <c r="H1932" i="4"/>
  <c r="I1931" i="4"/>
  <c r="H1931" i="4"/>
  <c r="I1930" i="4"/>
  <c r="H1930" i="4"/>
  <c r="I1929" i="4"/>
  <c r="H1929" i="4"/>
  <c r="I1928" i="4"/>
  <c r="H1928" i="4"/>
  <c r="I1927" i="4"/>
  <c r="H1927" i="4"/>
  <c r="I1926" i="4"/>
  <c r="H1926" i="4"/>
  <c r="I1925" i="4"/>
  <c r="H1925" i="4"/>
  <c r="I1924" i="4"/>
  <c r="H1924" i="4"/>
  <c r="I1923" i="4"/>
  <c r="H1923" i="4"/>
  <c r="I1922" i="4"/>
  <c r="H1922" i="4"/>
  <c r="I1921" i="4"/>
  <c r="H1921" i="4"/>
  <c r="I1920" i="4"/>
  <c r="H1920" i="4"/>
  <c r="I1919" i="4"/>
  <c r="H1919" i="4"/>
  <c r="I1918" i="4"/>
  <c r="H1918" i="4"/>
  <c r="I1917" i="4"/>
  <c r="H1917" i="4"/>
  <c r="I1916" i="4"/>
  <c r="H1916" i="4"/>
  <c r="I1915" i="4"/>
  <c r="H1915" i="4"/>
  <c r="I1914" i="4"/>
  <c r="H1914" i="4"/>
  <c r="I1913" i="4"/>
  <c r="H1913" i="4"/>
  <c r="I1912" i="4"/>
  <c r="H1912" i="4"/>
  <c r="I1911" i="4"/>
  <c r="H1911" i="4"/>
  <c r="I1910" i="4"/>
  <c r="H1910" i="4"/>
  <c r="I1909" i="4"/>
  <c r="H1909" i="4"/>
  <c r="I1908" i="4"/>
  <c r="H1908" i="4"/>
  <c r="I1907" i="4"/>
  <c r="H1907" i="4"/>
  <c r="I1906" i="4"/>
  <c r="H1906" i="4"/>
  <c r="I1905" i="4"/>
  <c r="H1905" i="4"/>
  <c r="I1904" i="4"/>
  <c r="H1904" i="4"/>
  <c r="I1903" i="4"/>
  <c r="H1903" i="4"/>
  <c r="I1902" i="4"/>
  <c r="H1902" i="4"/>
  <c r="I1901" i="4"/>
  <c r="H1901" i="4"/>
  <c r="I1900" i="4"/>
  <c r="H1900" i="4"/>
  <c r="I1899" i="4"/>
  <c r="H1899" i="4"/>
  <c r="I1898" i="4"/>
  <c r="H1898" i="4"/>
  <c r="I1897" i="4"/>
  <c r="H1897" i="4"/>
  <c r="I1896" i="4"/>
  <c r="H1896" i="4"/>
  <c r="I1895" i="4"/>
  <c r="H1895" i="4"/>
  <c r="I1894" i="4"/>
  <c r="H1894" i="4"/>
  <c r="I1893" i="4"/>
  <c r="H1893" i="4"/>
  <c r="I1892" i="4"/>
  <c r="H1892" i="4"/>
  <c r="I1891" i="4"/>
  <c r="H1891" i="4"/>
  <c r="I1890" i="4"/>
  <c r="H1890" i="4"/>
  <c r="I1889" i="4"/>
  <c r="H1889" i="4"/>
  <c r="I1888" i="4"/>
  <c r="H1888" i="4"/>
  <c r="I1887" i="4"/>
  <c r="H1887" i="4"/>
  <c r="I1886" i="4"/>
  <c r="H1886" i="4"/>
  <c r="I1885" i="4"/>
  <c r="H1885" i="4"/>
  <c r="I1884" i="4"/>
  <c r="H1884" i="4"/>
  <c r="I1883" i="4"/>
  <c r="H1883" i="4"/>
  <c r="I1882" i="4"/>
  <c r="H1882" i="4"/>
  <c r="I1881" i="4"/>
  <c r="H1881" i="4"/>
  <c r="I1880" i="4"/>
  <c r="H1880" i="4"/>
  <c r="I1879" i="4"/>
  <c r="H1879" i="4"/>
  <c r="I1878" i="4"/>
  <c r="H1878" i="4"/>
  <c r="I1877" i="4"/>
  <c r="H1877" i="4"/>
  <c r="I1876" i="4"/>
  <c r="H1876" i="4"/>
  <c r="I1875" i="4"/>
  <c r="H1875" i="4"/>
  <c r="I1874" i="4"/>
  <c r="H1874" i="4"/>
  <c r="I1873" i="4"/>
  <c r="H1873" i="4"/>
  <c r="I1872" i="4"/>
  <c r="H1872" i="4"/>
  <c r="I1871" i="4"/>
  <c r="H1871" i="4"/>
  <c r="I1870" i="4"/>
  <c r="H1870" i="4"/>
  <c r="I1869" i="4"/>
  <c r="H1869" i="4"/>
  <c r="I1868" i="4"/>
  <c r="H1868" i="4"/>
  <c r="I1867" i="4"/>
  <c r="H1867" i="4"/>
  <c r="I1866" i="4"/>
  <c r="H1866" i="4"/>
  <c r="I1865" i="4"/>
  <c r="H1865" i="4"/>
  <c r="I1864" i="4"/>
  <c r="H1864" i="4"/>
  <c r="I1863" i="4"/>
  <c r="H1863" i="4"/>
  <c r="I1862" i="4"/>
  <c r="H1862" i="4"/>
  <c r="I1861" i="4"/>
  <c r="H1861" i="4"/>
  <c r="I1860" i="4"/>
  <c r="H1860" i="4"/>
  <c r="I1859" i="4"/>
  <c r="H1859" i="4"/>
  <c r="I1858" i="4"/>
  <c r="H1858" i="4"/>
  <c r="I1857" i="4"/>
  <c r="H1857" i="4"/>
  <c r="I1856" i="4"/>
  <c r="H1856" i="4"/>
  <c r="I1855" i="4"/>
  <c r="H1855" i="4"/>
  <c r="I1854" i="4"/>
  <c r="H1854" i="4"/>
  <c r="I1853" i="4"/>
  <c r="H1853" i="4"/>
  <c r="I1852" i="4"/>
  <c r="H1852" i="4"/>
  <c r="I1851" i="4"/>
  <c r="H1851" i="4"/>
  <c r="I1850" i="4"/>
  <c r="H1850" i="4"/>
  <c r="I1849" i="4"/>
  <c r="H1849" i="4"/>
  <c r="I1848" i="4"/>
  <c r="H1848" i="4"/>
  <c r="I1847" i="4"/>
  <c r="H1847" i="4"/>
  <c r="I1846" i="4"/>
  <c r="H1846" i="4"/>
  <c r="I1845" i="4"/>
  <c r="H1845" i="4"/>
  <c r="I1844" i="4"/>
  <c r="H1844" i="4"/>
  <c r="I1843" i="4"/>
  <c r="H1843" i="4"/>
  <c r="I1842" i="4"/>
  <c r="H1842" i="4"/>
  <c r="I1841" i="4"/>
  <c r="H1841" i="4"/>
  <c r="I1840" i="4"/>
  <c r="H1840" i="4"/>
  <c r="I1839" i="4"/>
  <c r="H1839" i="4"/>
  <c r="I1838" i="4"/>
  <c r="H1838" i="4"/>
  <c r="I1837" i="4"/>
  <c r="H1837" i="4"/>
  <c r="I1836" i="4"/>
  <c r="H1836" i="4"/>
  <c r="I1835" i="4"/>
  <c r="H1835" i="4"/>
  <c r="I1834" i="4"/>
  <c r="H1834" i="4"/>
  <c r="I1833" i="4"/>
  <c r="H1833" i="4"/>
  <c r="I1832" i="4"/>
  <c r="H1832" i="4"/>
  <c r="I1831" i="4"/>
  <c r="H1831" i="4"/>
  <c r="I1830" i="4"/>
  <c r="H1830" i="4"/>
  <c r="I1829" i="4"/>
  <c r="H1829" i="4"/>
  <c r="I1828" i="4"/>
  <c r="H1828" i="4"/>
  <c r="I1827" i="4"/>
  <c r="H1827" i="4"/>
  <c r="I1826" i="4"/>
  <c r="H1826" i="4"/>
  <c r="I1825" i="4"/>
  <c r="H1825" i="4"/>
  <c r="I1824" i="4"/>
  <c r="H1824" i="4"/>
  <c r="I1823" i="4"/>
  <c r="H1823" i="4"/>
  <c r="I1822" i="4"/>
  <c r="H1822" i="4"/>
  <c r="I1821" i="4"/>
  <c r="H1821" i="4"/>
  <c r="I1820" i="4"/>
  <c r="H1820" i="4"/>
  <c r="I1819" i="4"/>
  <c r="H1819" i="4"/>
  <c r="I1818" i="4"/>
  <c r="H1818" i="4"/>
  <c r="I1817" i="4"/>
  <c r="H1817" i="4"/>
  <c r="I1816" i="4"/>
  <c r="H1816" i="4"/>
  <c r="I1815" i="4"/>
  <c r="H1815" i="4"/>
  <c r="I1814" i="4"/>
  <c r="H1814" i="4"/>
  <c r="I1813" i="4"/>
  <c r="H1813" i="4"/>
  <c r="I1812" i="4"/>
  <c r="H1812" i="4"/>
  <c r="I1811" i="4"/>
  <c r="H1811" i="4"/>
  <c r="I1810" i="4"/>
  <c r="H1810" i="4"/>
  <c r="I1809" i="4"/>
  <c r="H1809" i="4"/>
  <c r="I1808" i="4"/>
  <c r="H1808" i="4"/>
  <c r="I1807" i="4"/>
  <c r="H1807" i="4"/>
  <c r="I1806" i="4"/>
  <c r="H1806" i="4"/>
  <c r="I1805" i="4"/>
  <c r="H1805" i="4"/>
  <c r="I1804" i="4"/>
  <c r="H1804" i="4"/>
  <c r="I1803" i="4"/>
  <c r="H1803" i="4"/>
  <c r="I1802" i="4"/>
  <c r="H1802" i="4"/>
  <c r="I1801" i="4"/>
  <c r="H1801" i="4"/>
  <c r="I1800" i="4"/>
  <c r="H1800" i="4"/>
  <c r="I1799" i="4"/>
  <c r="H1799" i="4"/>
  <c r="I1798" i="4"/>
  <c r="H1798" i="4"/>
  <c r="I1797" i="4"/>
  <c r="H1797" i="4"/>
  <c r="I1796" i="4"/>
  <c r="H1796" i="4"/>
  <c r="I1795" i="4"/>
  <c r="H1795" i="4"/>
  <c r="I1794" i="4"/>
  <c r="H1794" i="4"/>
  <c r="I1793" i="4"/>
  <c r="H1793" i="4"/>
  <c r="I1792" i="4"/>
  <c r="H1792" i="4"/>
  <c r="I1791" i="4"/>
  <c r="H1791" i="4"/>
  <c r="I1790" i="4"/>
  <c r="H1790" i="4"/>
  <c r="I1789" i="4"/>
  <c r="H1789" i="4"/>
  <c r="I1788" i="4"/>
  <c r="H1788" i="4"/>
  <c r="I1787" i="4"/>
  <c r="H1787" i="4"/>
  <c r="I1786" i="4"/>
  <c r="H1786" i="4"/>
  <c r="I1785" i="4"/>
  <c r="H1785" i="4"/>
  <c r="I1784" i="4"/>
  <c r="H1784" i="4"/>
  <c r="I1783" i="4"/>
  <c r="H1783" i="4"/>
  <c r="I1782" i="4"/>
  <c r="H1782" i="4"/>
  <c r="I1781" i="4"/>
  <c r="H1781" i="4"/>
  <c r="I1780" i="4"/>
  <c r="H1780" i="4"/>
  <c r="I1779" i="4"/>
  <c r="H1779" i="4"/>
  <c r="I1778" i="4"/>
  <c r="H1778" i="4"/>
  <c r="I1777" i="4"/>
  <c r="H1777" i="4"/>
  <c r="I1776" i="4"/>
  <c r="H1776" i="4"/>
  <c r="I1775" i="4"/>
  <c r="H1775" i="4"/>
  <c r="I1774" i="4"/>
  <c r="H1774" i="4"/>
  <c r="I1773" i="4"/>
  <c r="H1773" i="4"/>
  <c r="I1772" i="4"/>
  <c r="H1772" i="4"/>
  <c r="I1771" i="4"/>
  <c r="H1771" i="4"/>
  <c r="I1770" i="4"/>
  <c r="H1770" i="4"/>
  <c r="I1769" i="4"/>
  <c r="H1769" i="4"/>
  <c r="I1768" i="4"/>
  <c r="H1768" i="4"/>
  <c r="I1767" i="4"/>
  <c r="H1767" i="4"/>
  <c r="I1766" i="4"/>
  <c r="H1766" i="4"/>
  <c r="I1765" i="4"/>
  <c r="H1765" i="4"/>
  <c r="I1764" i="4"/>
  <c r="H1764" i="4"/>
  <c r="I1763" i="4"/>
  <c r="H1763" i="4"/>
  <c r="I1762" i="4"/>
  <c r="H1762" i="4"/>
  <c r="I1761" i="4"/>
  <c r="H1761" i="4"/>
  <c r="I1760" i="4"/>
  <c r="H1760" i="4"/>
  <c r="I1759" i="4"/>
  <c r="H1759" i="4"/>
  <c r="I1758" i="4"/>
  <c r="H1758" i="4"/>
  <c r="I1757" i="4"/>
  <c r="H1757" i="4"/>
  <c r="I1756" i="4"/>
  <c r="H1756" i="4"/>
  <c r="I1755" i="4"/>
  <c r="H1755" i="4"/>
  <c r="I1754" i="4"/>
  <c r="H1754" i="4"/>
  <c r="I1753" i="4"/>
  <c r="H1753" i="4"/>
  <c r="I1752" i="4"/>
  <c r="H1752" i="4"/>
  <c r="H1751" i="4"/>
  <c r="I1750" i="4"/>
  <c r="H1750" i="4"/>
  <c r="I1749" i="4"/>
  <c r="H1749" i="4"/>
  <c r="I1748" i="4"/>
  <c r="H1748" i="4"/>
  <c r="I1747" i="4"/>
  <c r="H1747" i="4"/>
  <c r="I1746" i="4"/>
  <c r="H1746" i="4"/>
  <c r="I1745" i="4"/>
  <c r="H1745" i="4"/>
  <c r="I1744" i="4"/>
  <c r="H1744" i="4"/>
  <c r="I1743" i="4"/>
  <c r="H1743" i="4"/>
  <c r="I1742" i="4"/>
  <c r="H1742" i="4"/>
  <c r="I1741" i="4"/>
  <c r="H1741" i="4"/>
  <c r="I1740" i="4"/>
  <c r="H1740" i="4"/>
  <c r="I1739" i="4"/>
  <c r="H1739" i="4"/>
  <c r="I1738" i="4"/>
  <c r="H1738" i="4"/>
  <c r="I1737" i="4"/>
  <c r="H1737" i="4"/>
  <c r="I1736" i="4"/>
  <c r="H1736" i="4"/>
  <c r="I1735" i="4"/>
  <c r="H1735" i="4"/>
  <c r="I1734" i="4"/>
  <c r="H1734" i="4"/>
  <c r="I1733" i="4"/>
  <c r="H1733" i="4"/>
  <c r="I1732" i="4"/>
  <c r="H1732" i="4"/>
  <c r="I1731" i="4"/>
  <c r="H1731" i="4"/>
  <c r="I1730" i="4"/>
  <c r="H1730" i="4"/>
  <c r="I1729" i="4"/>
  <c r="H1729" i="4"/>
  <c r="I1728" i="4"/>
  <c r="H1728" i="4"/>
  <c r="I1727" i="4"/>
  <c r="H1727" i="4"/>
  <c r="I1726" i="4"/>
  <c r="H1726" i="4"/>
  <c r="I1725" i="4"/>
  <c r="H1725" i="4"/>
  <c r="I1724" i="4"/>
  <c r="H1724" i="4"/>
  <c r="I1723" i="4"/>
  <c r="H1723" i="4"/>
  <c r="I1722" i="4"/>
  <c r="H1722" i="4"/>
  <c r="I1721" i="4"/>
  <c r="H1721" i="4"/>
  <c r="I1720" i="4"/>
  <c r="H1720" i="4"/>
  <c r="I1719" i="4"/>
  <c r="H1719" i="4"/>
  <c r="I1718" i="4"/>
  <c r="H1718" i="4"/>
  <c r="I1717" i="4"/>
  <c r="H1717" i="4"/>
  <c r="I1716" i="4"/>
  <c r="H1716" i="4"/>
  <c r="I1715" i="4"/>
  <c r="H1715" i="4"/>
  <c r="I1714" i="4"/>
  <c r="H1714" i="4"/>
  <c r="I1713" i="4"/>
  <c r="H1713" i="4"/>
  <c r="I1712" i="4"/>
  <c r="H1712" i="4"/>
  <c r="I1711" i="4"/>
  <c r="H1711" i="4"/>
  <c r="I1710" i="4"/>
  <c r="H1710" i="4"/>
  <c r="I1709" i="4"/>
  <c r="H1709" i="4"/>
  <c r="I1708" i="4"/>
  <c r="H1708" i="4"/>
  <c r="I1707" i="4"/>
  <c r="H1707" i="4"/>
  <c r="I1706" i="4"/>
  <c r="H1706" i="4"/>
  <c r="I1705" i="4"/>
  <c r="H1705" i="4"/>
  <c r="I1704" i="4"/>
  <c r="H1704" i="4"/>
  <c r="I1703" i="4"/>
  <c r="H1703" i="4"/>
  <c r="I1702" i="4"/>
  <c r="H1702" i="4"/>
  <c r="I1701" i="4"/>
  <c r="H1701" i="4"/>
  <c r="I1700" i="4"/>
  <c r="H1700" i="4"/>
  <c r="I1699" i="4"/>
  <c r="H1699" i="4"/>
  <c r="I1698" i="4"/>
  <c r="H1698" i="4"/>
  <c r="I1697" i="4"/>
  <c r="H1697" i="4"/>
  <c r="I1696" i="4"/>
  <c r="H1696" i="4"/>
  <c r="I1695" i="4"/>
  <c r="H1695" i="4"/>
  <c r="I1694" i="4"/>
  <c r="H1694" i="4"/>
  <c r="I1693" i="4"/>
  <c r="H1693" i="4"/>
  <c r="I1692" i="4"/>
  <c r="H1692" i="4"/>
  <c r="I1691" i="4"/>
  <c r="H1691" i="4"/>
  <c r="I1690" i="4"/>
  <c r="H1690" i="4"/>
  <c r="I1689" i="4"/>
  <c r="H1689" i="4"/>
  <c r="I1688" i="4"/>
  <c r="H1688" i="4"/>
  <c r="I1687" i="4"/>
  <c r="H1687" i="4"/>
  <c r="I1686" i="4"/>
  <c r="H1686" i="4"/>
  <c r="I1685" i="4"/>
  <c r="H1685" i="4"/>
  <c r="I1684" i="4"/>
  <c r="H1684" i="4"/>
  <c r="I1683" i="4"/>
  <c r="H1683" i="4"/>
  <c r="I1682" i="4"/>
  <c r="H1682" i="4"/>
  <c r="I1681" i="4"/>
  <c r="H1681" i="4"/>
  <c r="I1680" i="4"/>
  <c r="H1680" i="4"/>
  <c r="I1679" i="4"/>
  <c r="H1679" i="4"/>
  <c r="I1678" i="4"/>
  <c r="H1678" i="4"/>
  <c r="I1677" i="4"/>
  <c r="H1677" i="4"/>
  <c r="I1676" i="4"/>
  <c r="H1676" i="4"/>
  <c r="I1675" i="4"/>
  <c r="H1675" i="4"/>
  <c r="I1674" i="4"/>
  <c r="H1674" i="4"/>
  <c r="I1673" i="4"/>
  <c r="H1673" i="4"/>
  <c r="I1672" i="4"/>
  <c r="H1672" i="4"/>
  <c r="I1671" i="4"/>
  <c r="H1671" i="4"/>
  <c r="I1670" i="4"/>
  <c r="H1670" i="4"/>
  <c r="I1669" i="4"/>
  <c r="H1669" i="4"/>
  <c r="I1667" i="4"/>
  <c r="H1667" i="4"/>
  <c r="I1666" i="4"/>
  <c r="H1666" i="4"/>
  <c r="I1665" i="4"/>
  <c r="H1665" i="4"/>
  <c r="I1664" i="4"/>
  <c r="H1664" i="4"/>
  <c r="I1663" i="4"/>
  <c r="H1663" i="4"/>
  <c r="I1662" i="4"/>
  <c r="H1662" i="4"/>
  <c r="I1661" i="4"/>
  <c r="H1661" i="4"/>
  <c r="I1660" i="4"/>
  <c r="H1660" i="4"/>
  <c r="I1659" i="4"/>
  <c r="H1659" i="4"/>
  <c r="I1658" i="4"/>
  <c r="H1658" i="4"/>
  <c r="I1657" i="4"/>
  <c r="H1657" i="4"/>
  <c r="I1656" i="4"/>
  <c r="H1656" i="4"/>
  <c r="I1655" i="4"/>
  <c r="H1655" i="4"/>
  <c r="I1654" i="4"/>
  <c r="H1654" i="4"/>
  <c r="I1653" i="4"/>
  <c r="H1653" i="4"/>
  <c r="I1652" i="4"/>
  <c r="H1652" i="4"/>
  <c r="I1651" i="4"/>
  <c r="H1651" i="4"/>
  <c r="I1650" i="4"/>
  <c r="H1650" i="4"/>
  <c r="I1649" i="4"/>
  <c r="H1649" i="4"/>
  <c r="I1648" i="4"/>
  <c r="H1648" i="4"/>
  <c r="I1647" i="4"/>
  <c r="H1647" i="4"/>
  <c r="I1646" i="4"/>
  <c r="H1646" i="4"/>
  <c r="I1645" i="4"/>
  <c r="H1645" i="4"/>
  <c r="I1644" i="4"/>
  <c r="H1644" i="4"/>
  <c r="I1643" i="4"/>
  <c r="H1643" i="4"/>
  <c r="I1642" i="4"/>
  <c r="H1642" i="4"/>
  <c r="I1641" i="4"/>
  <c r="H1641" i="4"/>
  <c r="I1640" i="4"/>
  <c r="H1640" i="4"/>
  <c r="I1639" i="4"/>
  <c r="H1639" i="4"/>
  <c r="I1638" i="4"/>
  <c r="H1638" i="4"/>
  <c r="I1637" i="4"/>
  <c r="H1637" i="4"/>
  <c r="I1636" i="4"/>
  <c r="H1636" i="4"/>
  <c r="I1635" i="4"/>
  <c r="H1635" i="4"/>
  <c r="I1634" i="4"/>
  <c r="H1634" i="4"/>
  <c r="I1633" i="4"/>
  <c r="H1633" i="4"/>
  <c r="I1632" i="4"/>
  <c r="H1632" i="4"/>
  <c r="I1631" i="4"/>
  <c r="H1631" i="4"/>
  <c r="I1630" i="4"/>
  <c r="H1630" i="4"/>
  <c r="I1629" i="4"/>
  <c r="H1629" i="4"/>
  <c r="I1628" i="4"/>
  <c r="H1628" i="4"/>
  <c r="I1627" i="4"/>
  <c r="H1627" i="4"/>
  <c r="I1626" i="4"/>
  <c r="H1626" i="4"/>
  <c r="I1625" i="4"/>
  <c r="H1625" i="4"/>
  <c r="I1624" i="4"/>
  <c r="H1624" i="4"/>
  <c r="I1623" i="4"/>
  <c r="H1623" i="4"/>
  <c r="I1622" i="4"/>
  <c r="H1622" i="4"/>
  <c r="I1621" i="4"/>
  <c r="H1621" i="4"/>
  <c r="I1620" i="4"/>
  <c r="H1620" i="4"/>
  <c r="I1619" i="4"/>
  <c r="H1619" i="4"/>
  <c r="I1618" i="4"/>
  <c r="H1618" i="4"/>
  <c r="I1617" i="4"/>
  <c r="H1617" i="4"/>
  <c r="I1616" i="4"/>
  <c r="H1616" i="4"/>
  <c r="I1615" i="4"/>
  <c r="H1615" i="4"/>
  <c r="I1614" i="4"/>
  <c r="H1614" i="4"/>
  <c r="I1613" i="4"/>
  <c r="H1613" i="4"/>
  <c r="I1612" i="4"/>
  <c r="H1612" i="4"/>
  <c r="I1611" i="4"/>
  <c r="H1611" i="4"/>
  <c r="I1610" i="4"/>
  <c r="H1610" i="4"/>
  <c r="I1609" i="4"/>
  <c r="H1609" i="4"/>
  <c r="I1608" i="4"/>
  <c r="H1608" i="4"/>
  <c r="I1607" i="4"/>
  <c r="H1607" i="4"/>
  <c r="I1606" i="4"/>
  <c r="H1606" i="4"/>
  <c r="I1605" i="4"/>
  <c r="H1605" i="4"/>
  <c r="I1604" i="4"/>
  <c r="H1604" i="4"/>
  <c r="I1603" i="4"/>
  <c r="H1603" i="4"/>
  <c r="I1602" i="4"/>
  <c r="H1602" i="4"/>
  <c r="I1601" i="4"/>
  <c r="H1601" i="4"/>
  <c r="I1600" i="4"/>
  <c r="H1600" i="4"/>
  <c r="I1599" i="4"/>
  <c r="H1599" i="4"/>
  <c r="I1598" i="4"/>
  <c r="H1598" i="4"/>
  <c r="I1597" i="4"/>
  <c r="H1597" i="4"/>
  <c r="I1596" i="4"/>
  <c r="H1596" i="4"/>
  <c r="I1595" i="4"/>
  <c r="H1595" i="4"/>
  <c r="I1594" i="4"/>
  <c r="H1594" i="4"/>
  <c r="I1593" i="4"/>
  <c r="H1593" i="4"/>
  <c r="I1592" i="4"/>
  <c r="H1592" i="4"/>
  <c r="I1591" i="4"/>
  <c r="H1591" i="4"/>
  <c r="I1590" i="4"/>
  <c r="H1590" i="4"/>
  <c r="I1589" i="4"/>
  <c r="H1589" i="4"/>
  <c r="I1588" i="4"/>
  <c r="H1588" i="4"/>
  <c r="I1587" i="4"/>
  <c r="H1587" i="4"/>
  <c r="I1586" i="4"/>
  <c r="H1586" i="4"/>
  <c r="I1585" i="4"/>
  <c r="H1585" i="4"/>
  <c r="I1584" i="4"/>
  <c r="H1584" i="4"/>
  <c r="I1583" i="4"/>
  <c r="H1583" i="4"/>
  <c r="I1582" i="4"/>
  <c r="H1582" i="4"/>
  <c r="I1581" i="4"/>
  <c r="H1581" i="4"/>
  <c r="I1580" i="4"/>
  <c r="H1580" i="4"/>
  <c r="I1579" i="4"/>
  <c r="H1579" i="4"/>
  <c r="I1578" i="4"/>
  <c r="H1578" i="4"/>
  <c r="I1577" i="4"/>
  <c r="H1577" i="4"/>
  <c r="I1576" i="4"/>
  <c r="H1576" i="4"/>
  <c r="I1575" i="4"/>
  <c r="H1575" i="4"/>
  <c r="I1574" i="4"/>
  <c r="H1574" i="4"/>
  <c r="I1573" i="4"/>
  <c r="H1573" i="4"/>
  <c r="I1572" i="4"/>
  <c r="H1572" i="4"/>
  <c r="I1571" i="4"/>
  <c r="H1571" i="4"/>
  <c r="I1570" i="4"/>
  <c r="H1570" i="4"/>
  <c r="I1569" i="4"/>
  <c r="H1569" i="4"/>
  <c r="I1568" i="4"/>
  <c r="H1568" i="4"/>
  <c r="I1567" i="4"/>
  <c r="H1567" i="4"/>
  <c r="I1566" i="4"/>
  <c r="H1566" i="4"/>
  <c r="I1565" i="4"/>
  <c r="H1565" i="4"/>
  <c r="I1564" i="4"/>
  <c r="H1564" i="4"/>
  <c r="I1563" i="4"/>
  <c r="H1563" i="4"/>
  <c r="I1562" i="4"/>
  <c r="H1562" i="4"/>
  <c r="I1561" i="4"/>
  <c r="H1561" i="4"/>
  <c r="I1560" i="4"/>
  <c r="H1560" i="4"/>
  <c r="I1559" i="4"/>
  <c r="H1559" i="4"/>
  <c r="I1558" i="4"/>
  <c r="H1558" i="4"/>
  <c r="I1557" i="4"/>
  <c r="H1557" i="4"/>
  <c r="I1556" i="4"/>
  <c r="H1556" i="4"/>
  <c r="I1555" i="4"/>
  <c r="H1555" i="4"/>
  <c r="I1554" i="4"/>
  <c r="H1554" i="4"/>
  <c r="I1553" i="4"/>
  <c r="H1553" i="4"/>
  <c r="I1552" i="4"/>
  <c r="H1552" i="4"/>
  <c r="I1551" i="4"/>
  <c r="H1551" i="4"/>
  <c r="I1550" i="4"/>
  <c r="H1550" i="4"/>
  <c r="I1549" i="4"/>
  <c r="H1549" i="4"/>
  <c r="I1548" i="4"/>
  <c r="H1548" i="4"/>
  <c r="I1547" i="4"/>
  <c r="H1547" i="4"/>
  <c r="I1546" i="4"/>
  <c r="H1546" i="4"/>
  <c r="I1545" i="4"/>
  <c r="H1545" i="4"/>
  <c r="I1544" i="4"/>
  <c r="H1544" i="4"/>
  <c r="I1543" i="4"/>
  <c r="H1543" i="4"/>
  <c r="I1542" i="4"/>
  <c r="H1542" i="4"/>
  <c r="I1541" i="4"/>
  <c r="H1541" i="4"/>
  <c r="I1540" i="4"/>
  <c r="H1540" i="4"/>
  <c r="I1539" i="4"/>
  <c r="H1539" i="4"/>
  <c r="I1538" i="4"/>
  <c r="H1538" i="4"/>
  <c r="I1537" i="4"/>
  <c r="H1537" i="4"/>
  <c r="I1536" i="4"/>
  <c r="H1536" i="4"/>
  <c r="I1535" i="4"/>
  <c r="H1535" i="4"/>
  <c r="I1534" i="4"/>
  <c r="H1534" i="4"/>
  <c r="I1533" i="4"/>
  <c r="H1533" i="4"/>
  <c r="I1532" i="4"/>
  <c r="H1532" i="4"/>
  <c r="I1531" i="4"/>
  <c r="H1531" i="4"/>
  <c r="I1530" i="4"/>
  <c r="H1530" i="4"/>
  <c r="I1529" i="4"/>
  <c r="H1529" i="4"/>
  <c r="I1528" i="4"/>
  <c r="H1528" i="4"/>
  <c r="I1527" i="4"/>
  <c r="H1527" i="4"/>
  <c r="I1526" i="4"/>
  <c r="H1526" i="4"/>
  <c r="I1525" i="4"/>
  <c r="H1525" i="4"/>
  <c r="I1524" i="4"/>
  <c r="H1524" i="4"/>
  <c r="I1523" i="4"/>
  <c r="H1523" i="4"/>
  <c r="I1522" i="4"/>
  <c r="H1522" i="4"/>
  <c r="I1521" i="4"/>
  <c r="H1521" i="4"/>
  <c r="I1520" i="4"/>
  <c r="H1520" i="4"/>
  <c r="I1519" i="4"/>
  <c r="H1519" i="4"/>
  <c r="I1518" i="4"/>
  <c r="H1518" i="4"/>
  <c r="I1517" i="4"/>
  <c r="H1517" i="4"/>
  <c r="I1516" i="4"/>
  <c r="H1516" i="4"/>
  <c r="I1515" i="4"/>
  <c r="H1515" i="4"/>
  <c r="I1514" i="4"/>
  <c r="H1514" i="4"/>
  <c r="I1513" i="4"/>
  <c r="H1513" i="4"/>
  <c r="I1512" i="4"/>
  <c r="H1512" i="4"/>
  <c r="I1511" i="4"/>
  <c r="H1511" i="4"/>
  <c r="I1510" i="4"/>
  <c r="H1510" i="4"/>
  <c r="I1509" i="4"/>
  <c r="H1509" i="4"/>
  <c r="I1508" i="4"/>
  <c r="H1508" i="4"/>
  <c r="I1507" i="4"/>
  <c r="H1507" i="4"/>
  <c r="I1506" i="4"/>
  <c r="H1506" i="4"/>
  <c r="I1505" i="4"/>
  <c r="H1505" i="4"/>
  <c r="I1504" i="4"/>
  <c r="H1504" i="4"/>
  <c r="I1503" i="4"/>
  <c r="H1503" i="4"/>
  <c r="I1502" i="4"/>
  <c r="H1502" i="4"/>
  <c r="I1501" i="4"/>
  <c r="H1501" i="4"/>
  <c r="I1500" i="4"/>
  <c r="H1500" i="4"/>
  <c r="I1499" i="4"/>
  <c r="H1499" i="4"/>
  <c r="I1498" i="4"/>
  <c r="H1498" i="4"/>
  <c r="I1497" i="4"/>
  <c r="H1497" i="4"/>
  <c r="I1496" i="4"/>
  <c r="H1496" i="4"/>
  <c r="I1495" i="4"/>
  <c r="H1495" i="4"/>
  <c r="I1494" i="4"/>
  <c r="H1494" i="4"/>
  <c r="I1493" i="4"/>
  <c r="H1493" i="4"/>
  <c r="I1492" i="4"/>
  <c r="H1492" i="4"/>
  <c r="I1491" i="4"/>
  <c r="H1491" i="4"/>
  <c r="I1490" i="4"/>
  <c r="H1490" i="4"/>
  <c r="I1489" i="4"/>
  <c r="H1489" i="4"/>
  <c r="I1488" i="4"/>
  <c r="H1488" i="4"/>
  <c r="I1487" i="4"/>
  <c r="H1487" i="4"/>
  <c r="I1486" i="4"/>
  <c r="H1486" i="4"/>
  <c r="I1485" i="4"/>
  <c r="H1485" i="4"/>
  <c r="I1484" i="4"/>
  <c r="H1484" i="4"/>
  <c r="I1483" i="4"/>
  <c r="H1483" i="4"/>
  <c r="I1482" i="4"/>
  <c r="H1482" i="4"/>
  <c r="I1481" i="4"/>
  <c r="H1481" i="4"/>
  <c r="I1480" i="4"/>
  <c r="H1480" i="4"/>
  <c r="I1479" i="4"/>
  <c r="H1479" i="4"/>
  <c r="I1478" i="4"/>
  <c r="H1478" i="4"/>
  <c r="I1477" i="4"/>
  <c r="H1477" i="4"/>
  <c r="I1476" i="4"/>
  <c r="H1476" i="4"/>
  <c r="I1475" i="4"/>
  <c r="H1475" i="4"/>
  <c r="I1474" i="4"/>
  <c r="H1474" i="4"/>
  <c r="I1473" i="4"/>
  <c r="H1473" i="4"/>
  <c r="I1472" i="4"/>
  <c r="H1472" i="4"/>
  <c r="I1471" i="4"/>
  <c r="H1471" i="4"/>
  <c r="I1470" i="4"/>
  <c r="H1470" i="4"/>
  <c r="I1469" i="4"/>
  <c r="H1469" i="4"/>
  <c r="I1468" i="4"/>
  <c r="H1468" i="4"/>
  <c r="I1467" i="4"/>
  <c r="H1467" i="4"/>
  <c r="I1466" i="4"/>
  <c r="H1466" i="4"/>
  <c r="I1465" i="4"/>
  <c r="H1465" i="4"/>
  <c r="I1464" i="4"/>
  <c r="H1464" i="4"/>
  <c r="I1463" i="4"/>
  <c r="H1463" i="4"/>
  <c r="I1462" i="4"/>
  <c r="H1462" i="4"/>
  <c r="I1461" i="4"/>
  <c r="H1461" i="4"/>
  <c r="I1460" i="4"/>
  <c r="H1460" i="4"/>
  <c r="I1459" i="4"/>
  <c r="H1459" i="4"/>
  <c r="I1458" i="4"/>
  <c r="H1458" i="4"/>
  <c r="I1457" i="4"/>
  <c r="H1457" i="4"/>
  <c r="I1456" i="4"/>
  <c r="H1456" i="4"/>
  <c r="I1455" i="4"/>
  <c r="H1455" i="4"/>
  <c r="I1454" i="4"/>
  <c r="H1454" i="4"/>
  <c r="I1453" i="4"/>
  <c r="H1453" i="4"/>
  <c r="I1452" i="4"/>
  <c r="H1452" i="4"/>
  <c r="I1451" i="4"/>
  <c r="H1451" i="4"/>
  <c r="I1450" i="4"/>
  <c r="H1450" i="4"/>
  <c r="I1449" i="4"/>
  <c r="H1449" i="4"/>
  <c r="I1448" i="4"/>
  <c r="H1448" i="4"/>
  <c r="I1447" i="4"/>
  <c r="H1447" i="4"/>
  <c r="I1446" i="4"/>
  <c r="H1446" i="4"/>
  <c r="I1445" i="4"/>
  <c r="H1445" i="4"/>
  <c r="I1444" i="4"/>
  <c r="H1444" i="4"/>
  <c r="I1443" i="4"/>
  <c r="H1443" i="4"/>
  <c r="I1442" i="4"/>
  <c r="H1442" i="4"/>
  <c r="I1441" i="4"/>
  <c r="H1441" i="4"/>
  <c r="I1440" i="4"/>
  <c r="H1440" i="4"/>
  <c r="I1439" i="4"/>
  <c r="H1439" i="4"/>
  <c r="I1438" i="4"/>
  <c r="H1438" i="4"/>
  <c r="I1437" i="4"/>
  <c r="H1437" i="4"/>
  <c r="I1436" i="4"/>
  <c r="H1436" i="4"/>
  <c r="I1435" i="4"/>
  <c r="H1435" i="4"/>
  <c r="I1434" i="4"/>
  <c r="H1434" i="4"/>
  <c r="I1433" i="4"/>
  <c r="H1433" i="4"/>
  <c r="I1432" i="4"/>
  <c r="H1432" i="4"/>
  <c r="I1431" i="4"/>
  <c r="H1431" i="4"/>
  <c r="I1430" i="4"/>
  <c r="H1430" i="4"/>
  <c r="I1429" i="4"/>
  <c r="H1429" i="4"/>
  <c r="I1428" i="4"/>
  <c r="H1428" i="4"/>
  <c r="I1427" i="4"/>
  <c r="H1427" i="4"/>
  <c r="I1426" i="4"/>
  <c r="H1426" i="4"/>
  <c r="I1425" i="4"/>
  <c r="H1425" i="4"/>
  <c r="I1424" i="4"/>
  <c r="H1424" i="4"/>
  <c r="I1423" i="4"/>
  <c r="H1423" i="4"/>
  <c r="I1422" i="4"/>
  <c r="H1422" i="4"/>
  <c r="I1421" i="4"/>
  <c r="H1421" i="4"/>
  <c r="I1420" i="4"/>
  <c r="H1420" i="4"/>
  <c r="I1419" i="4"/>
  <c r="H1419" i="4"/>
  <c r="I1418" i="4"/>
  <c r="H1418" i="4"/>
  <c r="I1417" i="4"/>
  <c r="H1417" i="4"/>
  <c r="I1416" i="4"/>
  <c r="H1416" i="4"/>
  <c r="I1415" i="4"/>
  <c r="H1415" i="4"/>
  <c r="I1414" i="4"/>
  <c r="H1414" i="4"/>
  <c r="I1413" i="4"/>
  <c r="H1413" i="4"/>
  <c r="I1412" i="4"/>
  <c r="H1412" i="4"/>
  <c r="I1411" i="4"/>
  <c r="H1411" i="4"/>
  <c r="I1410" i="4"/>
  <c r="H1410" i="4"/>
  <c r="I1409" i="4"/>
  <c r="H1409" i="4"/>
  <c r="I1408" i="4"/>
  <c r="H1408" i="4"/>
  <c r="I1407" i="4"/>
  <c r="H1407" i="4"/>
  <c r="I1406" i="4"/>
  <c r="H1406" i="4"/>
  <c r="I1405" i="4"/>
  <c r="H1405" i="4"/>
  <c r="I1404" i="4"/>
  <c r="H1404" i="4"/>
  <c r="I1403" i="4"/>
  <c r="H1403" i="4"/>
  <c r="I1402" i="4"/>
  <c r="H1402" i="4"/>
  <c r="I1401" i="4"/>
  <c r="H1401" i="4"/>
  <c r="I1400" i="4"/>
  <c r="H1400" i="4"/>
  <c r="I1399" i="4"/>
  <c r="H1399" i="4"/>
  <c r="I1398" i="4"/>
  <c r="H1398" i="4"/>
  <c r="I1397" i="4"/>
  <c r="H1397" i="4"/>
  <c r="I1396" i="4"/>
  <c r="H1396" i="4"/>
  <c r="I1395" i="4"/>
  <c r="H1395" i="4"/>
  <c r="I1394" i="4"/>
  <c r="H1394" i="4"/>
  <c r="I1393" i="4"/>
  <c r="H1393" i="4"/>
  <c r="I1392" i="4"/>
  <c r="H1392" i="4"/>
  <c r="I1391" i="4"/>
  <c r="H1391" i="4"/>
  <c r="I1390" i="4"/>
  <c r="H1390" i="4"/>
  <c r="I1389" i="4"/>
  <c r="H1389" i="4"/>
  <c r="I1388" i="4"/>
  <c r="H1388" i="4"/>
  <c r="I1387" i="4"/>
  <c r="H1387" i="4"/>
  <c r="I1386" i="4"/>
  <c r="H1386" i="4"/>
  <c r="I1385" i="4"/>
  <c r="H1385" i="4"/>
  <c r="I1384" i="4"/>
  <c r="H1384" i="4"/>
  <c r="I1383" i="4"/>
  <c r="H1383" i="4"/>
  <c r="I1382" i="4"/>
  <c r="H1382" i="4"/>
  <c r="I1381" i="4"/>
  <c r="H1381" i="4"/>
  <c r="I1380" i="4"/>
  <c r="H1380" i="4"/>
  <c r="I1379" i="4"/>
  <c r="H1379" i="4"/>
  <c r="I1378" i="4"/>
  <c r="H1378" i="4"/>
  <c r="I1377" i="4"/>
  <c r="H1377" i="4"/>
  <c r="I1376" i="4"/>
  <c r="H1376" i="4"/>
  <c r="I1375" i="4"/>
  <c r="H1375" i="4"/>
  <c r="I1374" i="4"/>
  <c r="H1374" i="4"/>
  <c r="I1373" i="4"/>
  <c r="H1373" i="4"/>
  <c r="I1372" i="4"/>
  <c r="H1372" i="4"/>
  <c r="I1371" i="4"/>
  <c r="H1371" i="4"/>
  <c r="I1370" i="4"/>
  <c r="H1370" i="4"/>
  <c r="I1369" i="4"/>
  <c r="H1369" i="4"/>
  <c r="I1368" i="4"/>
  <c r="H1368" i="4"/>
  <c r="I1367" i="4"/>
  <c r="H1367" i="4"/>
  <c r="I1366" i="4"/>
  <c r="H1366" i="4"/>
  <c r="I1365" i="4"/>
  <c r="H1365" i="4"/>
  <c r="I1364" i="4"/>
  <c r="H1364" i="4"/>
  <c r="I1363" i="4"/>
  <c r="H1363" i="4"/>
  <c r="I1362" i="4"/>
  <c r="H1362" i="4"/>
  <c r="I1361" i="4"/>
  <c r="H1361" i="4"/>
  <c r="I1360" i="4"/>
  <c r="H1360" i="4"/>
  <c r="I1359" i="4"/>
  <c r="H1359" i="4"/>
  <c r="I1358" i="4"/>
  <c r="H1358" i="4"/>
  <c r="I1357" i="4"/>
  <c r="H1357" i="4"/>
  <c r="I1356" i="4"/>
  <c r="H1356" i="4"/>
  <c r="I1355" i="4"/>
  <c r="H1355" i="4"/>
  <c r="I1354" i="4"/>
  <c r="H1354" i="4"/>
  <c r="I1353" i="4"/>
  <c r="H1353" i="4"/>
  <c r="I1352" i="4"/>
  <c r="H1352" i="4"/>
  <c r="I1351" i="4"/>
  <c r="H1351" i="4"/>
  <c r="I1350" i="4"/>
  <c r="H1350" i="4"/>
  <c r="I1349" i="4"/>
  <c r="H1349" i="4"/>
  <c r="I1348" i="4"/>
  <c r="H1348" i="4"/>
  <c r="I1347" i="4"/>
  <c r="H1347" i="4"/>
  <c r="I1346" i="4"/>
  <c r="H1346" i="4"/>
  <c r="I1345" i="4"/>
  <c r="H1345" i="4"/>
  <c r="I1344" i="4"/>
  <c r="H1344" i="4"/>
  <c r="I1343" i="4"/>
  <c r="H1343" i="4"/>
  <c r="I1342" i="4"/>
  <c r="H1342" i="4"/>
  <c r="I1341" i="4"/>
  <c r="H1341" i="4"/>
  <c r="I1340" i="4"/>
  <c r="H1340" i="4"/>
  <c r="I1339" i="4"/>
  <c r="H1339" i="4"/>
  <c r="I1338" i="4"/>
  <c r="H1338" i="4"/>
  <c r="I1337" i="4"/>
  <c r="H1337" i="4"/>
  <c r="I1336" i="4"/>
  <c r="H1336" i="4"/>
  <c r="I1335" i="4"/>
  <c r="H1335" i="4"/>
  <c r="I1334" i="4"/>
  <c r="H1334" i="4"/>
  <c r="I1333" i="4"/>
  <c r="H1333" i="4"/>
  <c r="I1332" i="4"/>
  <c r="H1332" i="4"/>
  <c r="I1331" i="4"/>
  <c r="H1331" i="4"/>
  <c r="I1330" i="4"/>
  <c r="H1330" i="4"/>
  <c r="I1329" i="4"/>
  <c r="H1329" i="4"/>
  <c r="I1328" i="4"/>
  <c r="H1328" i="4"/>
  <c r="I1327" i="4"/>
  <c r="H1327" i="4"/>
  <c r="I1326" i="4"/>
  <c r="H1326" i="4"/>
  <c r="I1325" i="4"/>
  <c r="H1325" i="4"/>
  <c r="I1324" i="4"/>
  <c r="H1324" i="4"/>
  <c r="I1323" i="4"/>
  <c r="H1323" i="4"/>
  <c r="I1322" i="4"/>
  <c r="H1322" i="4"/>
  <c r="I1321" i="4"/>
  <c r="H1321" i="4"/>
  <c r="I1320" i="4"/>
  <c r="H1320" i="4"/>
  <c r="I1319" i="4"/>
  <c r="H1319" i="4"/>
  <c r="I1318" i="4"/>
  <c r="H1318" i="4"/>
  <c r="I1317" i="4"/>
  <c r="H1317" i="4"/>
  <c r="I1316" i="4"/>
  <c r="H1316" i="4"/>
  <c r="I1315" i="4"/>
  <c r="H1315" i="4"/>
  <c r="I1314" i="4"/>
  <c r="H1314" i="4"/>
  <c r="I1313" i="4"/>
  <c r="H1313" i="4"/>
  <c r="I1312" i="4"/>
  <c r="H1312" i="4"/>
  <c r="I1311" i="4"/>
  <c r="H1311" i="4"/>
  <c r="I1310" i="4"/>
  <c r="H1310" i="4"/>
  <c r="I1309" i="4"/>
  <c r="H1309" i="4"/>
  <c r="I1308" i="4"/>
  <c r="H1308" i="4"/>
  <c r="I1307" i="4"/>
  <c r="H1307" i="4"/>
  <c r="I1306" i="4"/>
  <c r="H1306" i="4"/>
  <c r="I1305" i="4"/>
  <c r="H1305" i="4"/>
  <c r="I1304" i="4"/>
  <c r="H1304" i="4"/>
  <c r="I1303" i="4"/>
  <c r="H1303" i="4"/>
  <c r="I1302" i="4"/>
  <c r="H1302" i="4"/>
  <c r="I1301" i="4"/>
  <c r="H1301" i="4"/>
  <c r="I1300" i="4"/>
  <c r="H1300" i="4"/>
  <c r="I1299" i="4"/>
  <c r="H1299" i="4"/>
  <c r="I1298" i="4"/>
  <c r="H1298" i="4"/>
  <c r="I1297" i="4"/>
  <c r="H1297" i="4"/>
  <c r="I1296" i="4"/>
  <c r="H1296" i="4"/>
  <c r="I1295" i="4"/>
  <c r="H1295" i="4"/>
  <c r="I1294" i="4"/>
  <c r="H1294" i="4"/>
  <c r="I1293" i="4"/>
  <c r="H1293" i="4"/>
  <c r="I1292" i="4"/>
  <c r="H1292" i="4"/>
  <c r="I1291" i="4"/>
  <c r="H1291" i="4"/>
  <c r="I1290" i="4"/>
  <c r="H1290" i="4"/>
  <c r="I1289" i="4"/>
  <c r="H1289" i="4"/>
  <c r="I1288" i="4"/>
  <c r="H1288" i="4"/>
  <c r="I1287" i="4"/>
  <c r="H1287" i="4"/>
  <c r="I1286" i="4"/>
  <c r="H1286" i="4"/>
  <c r="I1285" i="4"/>
  <c r="H1285" i="4"/>
  <c r="I1284" i="4"/>
  <c r="H1284" i="4"/>
  <c r="I1283" i="4"/>
  <c r="H1283" i="4"/>
  <c r="I1282" i="4"/>
  <c r="H1282" i="4"/>
  <c r="I1281" i="4"/>
  <c r="H1281" i="4"/>
  <c r="I1280" i="4"/>
  <c r="H1280" i="4"/>
  <c r="I1279" i="4"/>
  <c r="H1279" i="4"/>
  <c r="I1278" i="4"/>
  <c r="H1278" i="4"/>
  <c r="I1277" i="4"/>
  <c r="H1277" i="4"/>
  <c r="I1276" i="4"/>
  <c r="H1276" i="4"/>
  <c r="I1275" i="4"/>
  <c r="H1275" i="4"/>
  <c r="I1274" i="4"/>
  <c r="H1274" i="4"/>
  <c r="I1273" i="4"/>
  <c r="H1273" i="4"/>
  <c r="I1272" i="4"/>
  <c r="H1272" i="4"/>
  <c r="I1271" i="4"/>
  <c r="H1271" i="4"/>
  <c r="I1270" i="4"/>
  <c r="H1270" i="4"/>
  <c r="I1269" i="4"/>
  <c r="H1269" i="4"/>
  <c r="I1268" i="4"/>
  <c r="H1268" i="4"/>
  <c r="I1267" i="4"/>
  <c r="H1267" i="4"/>
  <c r="I1266" i="4"/>
  <c r="H1266" i="4"/>
  <c r="I1265" i="4"/>
  <c r="H1265" i="4"/>
  <c r="I1264" i="4"/>
  <c r="H1264" i="4"/>
  <c r="I1263" i="4"/>
  <c r="H1263" i="4"/>
  <c r="I1262" i="4"/>
  <c r="H1262" i="4"/>
  <c r="I1261" i="4"/>
  <c r="H1261" i="4"/>
  <c r="I1260" i="4"/>
  <c r="H1260" i="4"/>
  <c r="I1259" i="4"/>
  <c r="H1259" i="4"/>
  <c r="I1258" i="4"/>
  <c r="H1258" i="4"/>
  <c r="I1257" i="4"/>
  <c r="H1257" i="4"/>
  <c r="I1256" i="4"/>
  <c r="H1256" i="4"/>
  <c r="I1255" i="4"/>
  <c r="H1255" i="4"/>
  <c r="I1254" i="4"/>
  <c r="H1254" i="4"/>
  <c r="I1253" i="4"/>
  <c r="H1253" i="4"/>
  <c r="I1252" i="4"/>
  <c r="H1252" i="4"/>
  <c r="I1251" i="4"/>
  <c r="H1251" i="4"/>
  <c r="I1250" i="4"/>
  <c r="H1250" i="4"/>
  <c r="I1249" i="4"/>
  <c r="H1249" i="4"/>
  <c r="I1248" i="4"/>
  <c r="H1248" i="4"/>
  <c r="I1247" i="4"/>
  <c r="H1247" i="4"/>
  <c r="I1246" i="4"/>
  <c r="H1246" i="4"/>
  <c r="I1245" i="4"/>
  <c r="H1245" i="4"/>
  <c r="I1244" i="4"/>
  <c r="H1244" i="4"/>
  <c r="I1243" i="4"/>
  <c r="H1243" i="4"/>
  <c r="I1242" i="4"/>
  <c r="H1242" i="4"/>
  <c r="I1241" i="4"/>
  <c r="H1241" i="4"/>
  <c r="I1240" i="4"/>
  <c r="H1240" i="4"/>
  <c r="I1239" i="4"/>
  <c r="H1239" i="4"/>
  <c r="I1238" i="4"/>
  <c r="H1238" i="4"/>
  <c r="I1237" i="4"/>
  <c r="H1237" i="4"/>
  <c r="I1236" i="4"/>
  <c r="H1236" i="4"/>
  <c r="I1235" i="4"/>
  <c r="H1235" i="4"/>
  <c r="I1234" i="4"/>
  <c r="H1234" i="4"/>
  <c r="I1233" i="4"/>
  <c r="H1233" i="4"/>
  <c r="I1232" i="4"/>
  <c r="H1232" i="4"/>
  <c r="I1231" i="4"/>
  <c r="H1231" i="4"/>
  <c r="I1230" i="4"/>
  <c r="H1230" i="4"/>
  <c r="I1229" i="4"/>
  <c r="H1229" i="4"/>
  <c r="I1228" i="4"/>
  <c r="H1228" i="4"/>
  <c r="I1227" i="4"/>
  <c r="H1227" i="4"/>
  <c r="I1226" i="4"/>
  <c r="H1226" i="4"/>
  <c r="I1225" i="4"/>
  <c r="H1225" i="4"/>
  <c r="I1224" i="4"/>
  <c r="H1224" i="4"/>
  <c r="I1223" i="4"/>
  <c r="H1223" i="4"/>
  <c r="I1222" i="4"/>
  <c r="H1222" i="4"/>
  <c r="I1221" i="4"/>
  <c r="H1221" i="4"/>
  <c r="I1220" i="4"/>
  <c r="H1220" i="4"/>
  <c r="I1219" i="4"/>
  <c r="H1219" i="4"/>
  <c r="I1218" i="4"/>
  <c r="H1218" i="4"/>
  <c r="I1217" i="4"/>
  <c r="H1217" i="4"/>
  <c r="I1216" i="4"/>
  <c r="H1216" i="4"/>
  <c r="I1215" i="4"/>
  <c r="H1215" i="4"/>
  <c r="I1214" i="4"/>
  <c r="H1214" i="4"/>
  <c r="I1213" i="4"/>
  <c r="H1213" i="4"/>
  <c r="I1212" i="4"/>
  <c r="H1212" i="4"/>
  <c r="I1211" i="4"/>
  <c r="H1211" i="4"/>
  <c r="I1210" i="4"/>
  <c r="H1210" i="4"/>
  <c r="I1209" i="4"/>
  <c r="H1209" i="4"/>
  <c r="I1208" i="4"/>
  <c r="H1208" i="4"/>
  <c r="I1207" i="4"/>
  <c r="H1207" i="4"/>
  <c r="I1206" i="4"/>
  <c r="H1206" i="4"/>
  <c r="I1205" i="4"/>
  <c r="H1205" i="4"/>
  <c r="I1204" i="4"/>
  <c r="H1204" i="4"/>
  <c r="I1203" i="4"/>
  <c r="H1203" i="4"/>
  <c r="I1202" i="4"/>
  <c r="H1202" i="4"/>
  <c r="I1201" i="4"/>
  <c r="H1201" i="4"/>
  <c r="I1200" i="4"/>
  <c r="H1200" i="4"/>
  <c r="I1199" i="4"/>
  <c r="H1199" i="4"/>
  <c r="I1198" i="4"/>
  <c r="H1198" i="4"/>
  <c r="I1197" i="4"/>
  <c r="H1197" i="4"/>
  <c r="I1196" i="4"/>
  <c r="H1196" i="4"/>
  <c r="I1195" i="4"/>
  <c r="H1195" i="4"/>
  <c r="I1194" i="4"/>
  <c r="H1194" i="4"/>
  <c r="I1193" i="4"/>
  <c r="H1193" i="4"/>
  <c r="I1192" i="4"/>
  <c r="H1192" i="4"/>
  <c r="I1191" i="4"/>
  <c r="H1191" i="4"/>
  <c r="I1190" i="4"/>
  <c r="H1190" i="4"/>
  <c r="I1189" i="4"/>
  <c r="H1189" i="4"/>
  <c r="I1188" i="4"/>
  <c r="H1188" i="4"/>
  <c r="I1187" i="4"/>
  <c r="H1187" i="4"/>
  <c r="I1186" i="4"/>
  <c r="H1186" i="4"/>
  <c r="I1185" i="4"/>
  <c r="H1185" i="4"/>
  <c r="I1184" i="4"/>
  <c r="H1184" i="4"/>
  <c r="I1183" i="4"/>
  <c r="H1183" i="4"/>
  <c r="I1182" i="4"/>
  <c r="H1182" i="4"/>
  <c r="I1181" i="4"/>
  <c r="H1181" i="4"/>
  <c r="I1180" i="4"/>
  <c r="H1180" i="4"/>
  <c r="I1179" i="4"/>
  <c r="H1179" i="4"/>
  <c r="I1178" i="4"/>
  <c r="H1178" i="4"/>
  <c r="I1177" i="4"/>
  <c r="H1177" i="4"/>
  <c r="I1176" i="4"/>
  <c r="H1176" i="4"/>
  <c r="I1175" i="4"/>
  <c r="H1175" i="4"/>
  <c r="I1174" i="4"/>
  <c r="H1174" i="4"/>
  <c r="I1173" i="4"/>
  <c r="H1173" i="4"/>
  <c r="I1172" i="4"/>
  <c r="H1172" i="4"/>
  <c r="I1171" i="4"/>
  <c r="H1171" i="4"/>
  <c r="I1170" i="4"/>
  <c r="H1170" i="4"/>
  <c r="I1169" i="4"/>
  <c r="H1169" i="4"/>
  <c r="I1168" i="4"/>
  <c r="H1168" i="4"/>
  <c r="I1167" i="4"/>
  <c r="H1167" i="4"/>
  <c r="I1166" i="4"/>
  <c r="H1166" i="4"/>
  <c r="I1165" i="4"/>
  <c r="H1165" i="4"/>
  <c r="I1164" i="4"/>
  <c r="H1164" i="4"/>
  <c r="I1163" i="4"/>
  <c r="H1163" i="4"/>
  <c r="I1162" i="4"/>
  <c r="H1162" i="4"/>
  <c r="I1161" i="4"/>
  <c r="H1161" i="4"/>
  <c r="I1160" i="4"/>
  <c r="H1160" i="4"/>
  <c r="I1159" i="4"/>
  <c r="H1159" i="4"/>
  <c r="I1158" i="4"/>
  <c r="H1158" i="4"/>
  <c r="I1157" i="4"/>
  <c r="H1157" i="4"/>
  <c r="I1156" i="4"/>
  <c r="H1156" i="4"/>
  <c r="I1155" i="4"/>
  <c r="H1155" i="4"/>
  <c r="I1154" i="4"/>
  <c r="H1154" i="4"/>
  <c r="I1153" i="4"/>
  <c r="H1153" i="4"/>
  <c r="I1152" i="4"/>
  <c r="H1152" i="4"/>
  <c r="I1151" i="4"/>
  <c r="H1151" i="4"/>
  <c r="I1150" i="4"/>
  <c r="H1150" i="4"/>
  <c r="I1149" i="4"/>
  <c r="H1149" i="4"/>
  <c r="I1148" i="4"/>
  <c r="H1148" i="4"/>
  <c r="I1147" i="4"/>
  <c r="H1147" i="4"/>
  <c r="I1146" i="4"/>
  <c r="H1146" i="4"/>
  <c r="I1145" i="4"/>
  <c r="H1145" i="4"/>
  <c r="I1144" i="4"/>
  <c r="H1144" i="4"/>
  <c r="I1143" i="4"/>
  <c r="H1143" i="4"/>
  <c r="I1142" i="4"/>
  <c r="H1142" i="4"/>
  <c r="I1141" i="4"/>
  <c r="H1141" i="4"/>
  <c r="I1140" i="4"/>
  <c r="H1140" i="4"/>
  <c r="I1139" i="4"/>
  <c r="H1139" i="4"/>
  <c r="I1138" i="4"/>
  <c r="H1138" i="4"/>
  <c r="I1137" i="4"/>
  <c r="H1137" i="4"/>
  <c r="I1136" i="4"/>
  <c r="H1136" i="4"/>
  <c r="I1135" i="4"/>
  <c r="H1135" i="4"/>
  <c r="I1134" i="4"/>
  <c r="H1134" i="4"/>
  <c r="I1133" i="4"/>
  <c r="H1133" i="4"/>
  <c r="I1132" i="4"/>
  <c r="H1132" i="4"/>
  <c r="I1131" i="4"/>
  <c r="H1131" i="4"/>
  <c r="I1130" i="4"/>
  <c r="H1130" i="4"/>
  <c r="I1129" i="4"/>
  <c r="H1129" i="4"/>
  <c r="I1128" i="4"/>
  <c r="H1128" i="4"/>
  <c r="I1127" i="4"/>
  <c r="H1127" i="4"/>
  <c r="I1126" i="4"/>
  <c r="H1126" i="4"/>
  <c r="I1125" i="4"/>
  <c r="H1125" i="4"/>
  <c r="I1124" i="4"/>
  <c r="H1124" i="4"/>
  <c r="I1123" i="4"/>
  <c r="H1123" i="4"/>
  <c r="I1122" i="4"/>
  <c r="H1122" i="4"/>
  <c r="I1121" i="4"/>
  <c r="H1121" i="4"/>
  <c r="I1120" i="4"/>
  <c r="H1120" i="4"/>
  <c r="I1119" i="4"/>
  <c r="H1119" i="4"/>
  <c r="I1118" i="4"/>
  <c r="H1118" i="4"/>
  <c r="I1117" i="4"/>
  <c r="H1117" i="4"/>
  <c r="I1116" i="4"/>
  <c r="H1116" i="4"/>
  <c r="I1115" i="4"/>
  <c r="H1115" i="4"/>
  <c r="I1114" i="4"/>
  <c r="H1114" i="4"/>
  <c r="I1113" i="4"/>
  <c r="H1113" i="4"/>
  <c r="I1112" i="4"/>
  <c r="H1112" i="4"/>
  <c r="I1111" i="4"/>
  <c r="H1111" i="4"/>
  <c r="I1110" i="4"/>
  <c r="H1110" i="4"/>
  <c r="I1109" i="4"/>
  <c r="H1109" i="4"/>
  <c r="I1108" i="4"/>
  <c r="H1108" i="4"/>
  <c r="I1107" i="4"/>
  <c r="H1107" i="4"/>
  <c r="I1106" i="4"/>
  <c r="H1106" i="4"/>
  <c r="I1105" i="4"/>
  <c r="H1105" i="4"/>
  <c r="I1104" i="4"/>
  <c r="H1104" i="4"/>
  <c r="I1103" i="4"/>
  <c r="H1103" i="4"/>
  <c r="I1102" i="4"/>
  <c r="H1102" i="4"/>
  <c r="I1101" i="4"/>
  <c r="H1101" i="4"/>
  <c r="I1100" i="4"/>
  <c r="H1100" i="4"/>
  <c r="I1099" i="4"/>
  <c r="H1099" i="4"/>
  <c r="I1098" i="4"/>
  <c r="H1098" i="4"/>
  <c r="I1097" i="4"/>
  <c r="H1097" i="4"/>
  <c r="I1096" i="4"/>
  <c r="H1096" i="4"/>
  <c r="I1095" i="4"/>
  <c r="H1095" i="4"/>
  <c r="I1094" i="4"/>
  <c r="H1094" i="4"/>
  <c r="I1093" i="4"/>
  <c r="H1093" i="4"/>
  <c r="I1092" i="4"/>
  <c r="H1092" i="4"/>
  <c r="I1091" i="4"/>
  <c r="H1091" i="4"/>
  <c r="I1090" i="4"/>
  <c r="H1090" i="4"/>
  <c r="I1089" i="4"/>
  <c r="H1089" i="4"/>
  <c r="I1088" i="4"/>
  <c r="H1088" i="4"/>
  <c r="I1087" i="4"/>
  <c r="H1087" i="4"/>
  <c r="I1086" i="4"/>
  <c r="H1086" i="4"/>
  <c r="I1085" i="4"/>
  <c r="H1085" i="4"/>
  <c r="I1084" i="4"/>
  <c r="H1084" i="4"/>
  <c r="I1083" i="4"/>
  <c r="H1083" i="4"/>
  <c r="I1082" i="4"/>
  <c r="H1082" i="4"/>
  <c r="I1081" i="4"/>
  <c r="H1081" i="4"/>
  <c r="I1080" i="4"/>
  <c r="H1080" i="4"/>
  <c r="I1079" i="4"/>
  <c r="H1079" i="4"/>
  <c r="I1078" i="4"/>
  <c r="H1078" i="4"/>
  <c r="I1077" i="4"/>
  <c r="H1077" i="4"/>
  <c r="I1076" i="4"/>
  <c r="H1076" i="4"/>
  <c r="I1075" i="4"/>
  <c r="H1075" i="4"/>
  <c r="I1074" i="4"/>
  <c r="H1074" i="4"/>
  <c r="I1073" i="4"/>
  <c r="H1073" i="4"/>
  <c r="I1072" i="4"/>
  <c r="H1072" i="4"/>
  <c r="I1071" i="4"/>
  <c r="H1071" i="4"/>
  <c r="I1070" i="4"/>
  <c r="H1070" i="4"/>
  <c r="I1069" i="4"/>
  <c r="H1069" i="4"/>
  <c r="I1068" i="4"/>
  <c r="H1068" i="4"/>
  <c r="I1067" i="4"/>
  <c r="H1067" i="4"/>
  <c r="I1066" i="4"/>
  <c r="H1066" i="4"/>
  <c r="I1065" i="4"/>
  <c r="H1065" i="4"/>
  <c r="I1064" i="4"/>
  <c r="H1064" i="4"/>
  <c r="I1063" i="4"/>
  <c r="H1063" i="4"/>
  <c r="I1062" i="4"/>
  <c r="H1062" i="4"/>
  <c r="I1061" i="4"/>
  <c r="H1061" i="4"/>
  <c r="I1060" i="4"/>
  <c r="H1060" i="4"/>
  <c r="I1059" i="4"/>
  <c r="H1059" i="4"/>
  <c r="I1058" i="4"/>
  <c r="H1058" i="4"/>
  <c r="I1057" i="4"/>
  <c r="H1057" i="4"/>
  <c r="I1056" i="4"/>
  <c r="H1056" i="4"/>
  <c r="I1055" i="4"/>
  <c r="H1055" i="4"/>
  <c r="I1054" i="4"/>
  <c r="H1054" i="4"/>
  <c r="I1053" i="4"/>
  <c r="H1053" i="4"/>
  <c r="I1052" i="4"/>
  <c r="H1052" i="4"/>
  <c r="I1051" i="4"/>
  <c r="H1051" i="4"/>
  <c r="I1050" i="4"/>
  <c r="H1050" i="4"/>
  <c r="I1049" i="4"/>
  <c r="H1049" i="4"/>
  <c r="I1048" i="4"/>
  <c r="H1048" i="4"/>
  <c r="I1047" i="4"/>
  <c r="H1047" i="4"/>
  <c r="I1046" i="4"/>
  <c r="H1046" i="4"/>
  <c r="I1045" i="4"/>
  <c r="H1045" i="4"/>
  <c r="I1044" i="4"/>
  <c r="H1044" i="4"/>
  <c r="I1043" i="4"/>
  <c r="H1043" i="4"/>
  <c r="I1042" i="4"/>
  <c r="H1042" i="4"/>
  <c r="I1041" i="4"/>
  <c r="H1041" i="4"/>
  <c r="I1040" i="4"/>
  <c r="H1040" i="4"/>
  <c r="I1039" i="4"/>
  <c r="H1039" i="4"/>
  <c r="I1038" i="4"/>
  <c r="H1038" i="4"/>
  <c r="I1037" i="4"/>
  <c r="H1037" i="4"/>
  <c r="I1036" i="4"/>
  <c r="H1036" i="4"/>
  <c r="I1035" i="4"/>
  <c r="H1035" i="4"/>
  <c r="I1034" i="4"/>
  <c r="H1034" i="4"/>
  <c r="I1033" i="4"/>
  <c r="H1033" i="4"/>
  <c r="I1032" i="4"/>
  <c r="H1032" i="4"/>
  <c r="I1031" i="4"/>
  <c r="H1031" i="4"/>
  <c r="I1030" i="4"/>
  <c r="H1030" i="4"/>
  <c r="I1029" i="4"/>
  <c r="H1029" i="4"/>
  <c r="I1028" i="4"/>
  <c r="H1028" i="4"/>
  <c r="I1027" i="4"/>
  <c r="H1027" i="4"/>
  <c r="I1026" i="4"/>
  <c r="H1026" i="4"/>
  <c r="I1025" i="4"/>
  <c r="H1025" i="4"/>
  <c r="I1024" i="4"/>
  <c r="H1024" i="4"/>
  <c r="I1023" i="4"/>
  <c r="H1023" i="4"/>
  <c r="I1022" i="4"/>
  <c r="H1022" i="4"/>
  <c r="I1021" i="4"/>
  <c r="H1021" i="4"/>
  <c r="I1020" i="4"/>
  <c r="H1020" i="4"/>
  <c r="I1019" i="4"/>
  <c r="H1019" i="4"/>
  <c r="I1018" i="4"/>
  <c r="H1018" i="4"/>
  <c r="I1017" i="4"/>
  <c r="H1017" i="4"/>
  <c r="I1016" i="4"/>
  <c r="H1016" i="4"/>
  <c r="I1015" i="4"/>
  <c r="H1015" i="4"/>
  <c r="I1014" i="4"/>
  <c r="H1014" i="4"/>
  <c r="I1013" i="4"/>
  <c r="H1013" i="4"/>
  <c r="I1012" i="4"/>
  <c r="H1012" i="4"/>
  <c r="I1011" i="4"/>
  <c r="H1011" i="4"/>
  <c r="I1010" i="4"/>
  <c r="H1010" i="4"/>
  <c r="I1009" i="4"/>
  <c r="H1009" i="4"/>
  <c r="I1008" i="4"/>
  <c r="H1008" i="4"/>
  <c r="I1007" i="4"/>
  <c r="H1007" i="4"/>
  <c r="I1006" i="4"/>
  <c r="H1006" i="4"/>
  <c r="I1005" i="4"/>
  <c r="H1005" i="4"/>
  <c r="I1004" i="4"/>
  <c r="H1004" i="4"/>
  <c r="I1003" i="4"/>
  <c r="H1003" i="4"/>
  <c r="I1002" i="4"/>
  <c r="H1002" i="4"/>
  <c r="I1001" i="4"/>
  <c r="H1001" i="4"/>
  <c r="I1000" i="4"/>
  <c r="H1000" i="4"/>
  <c r="I999" i="4"/>
  <c r="H999" i="4"/>
  <c r="I998" i="4"/>
  <c r="H998" i="4"/>
  <c r="I997" i="4"/>
  <c r="H997" i="4"/>
  <c r="I996" i="4"/>
  <c r="H996" i="4"/>
  <c r="I995" i="4"/>
  <c r="H995" i="4"/>
  <c r="I994" i="4"/>
  <c r="H994" i="4"/>
  <c r="I993" i="4"/>
  <c r="H993" i="4"/>
  <c r="I992" i="4"/>
  <c r="H992" i="4"/>
  <c r="I991" i="4"/>
  <c r="H991" i="4"/>
  <c r="I990" i="4"/>
  <c r="H990" i="4"/>
  <c r="I989" i="4"/>
  <c r="H989" i="4"/>
  <c r="I988" i="4"/>
  <c r="H988" i="4"/>
  <c r="I987" i="4"/>
  <c r="H987" i="4"/>
  <c r="I986" i="4"/>
  <c r="H986" i="4"/>
  <c r="I985" i="4"/>
  <c r="H985" i="4"/>
  <c r="I984" i="4"/>
  <c r="H984" i="4"/>
  <c r="I983" i="4"/>
  <c r="H983" i="4"/>
  <c r="I982" i="4"/>
  <c r="H982" i="4"/>
  <c r="I981" i="4"/>
  <c r="H981" i="4"/>
  <c r="I980" i="4"/>
  <c r="H980" i="4"/>
  <c r="I979" i="4"/>
  <c r="H979" i="4"/>
  <c r="I978" i="4"/>
  <c r="H978" i="4"/>
  <c r="I977" i="4"/>
  <c r="H977" i="4"/>
  <c r="I976" i="4"/>
  <c r="H976" i="4"/>
  <c r="I975" i="4"/>
  <c r="H975" i="4"/>
  <c r="I974" i="4"/>
  <c r="H974" i="4"/>
  <c r="I973" i="4"/>
  <c r="H973" i="4"/>
  <c r="I972" i="4"/>
  <c r="H972" i="4"/>
  <c r="I971" i="4"/>
  <c r="H971" i="4"/>
  <c r="I970" i="4"/>
  <c r="H970" i="4"/>
  <c r="I969" i="4"/>
  <c r="H969" i="4"/>
  <c r="I968" i="4"/>
  <c r="H968" i="4"/>
  <c r="I967" i="4"/>
  <c r="H967" i="4"/>
  <c r="I966" i="4"/>
  <c r="H966" i="4"/>
  <c r="I965" i="4"/>
  <c r="H965" i="4"/>
  <c r="I964" i="4"/>
  <c r="H964" i="4"/>
  <c r="I963" i="4"/>
  <c r="H963" i="4"/>
  <c r="I962" i="4"/>
  <c r="H962" i="4"/>
  <c r="I961" i="4"/>
  <c r="H961" i="4"/>
  <c r="I960" i="4"/>
  <c r="H960" i="4"/>
  <c r="I959" i="4"/>
  <c r="H959" i="4"/>
  <c r="I958" i="4"/>
  <c r="H958" i="4"/>
  <c r="I957" i="4"/>
  <c r="H957" i="4"/>
  <c r="I956" i="4"/>
  <c r="H956" i="4"/>
  <c r="I955" i="4"/>
  <c r="H955" i="4"/>
  <c r="I954" i="4"/>
  <c r="H954" i="4"/>
  <c r="I953" i="4"/>
  <c r="H953" i="4"/>
  <c r="I952" i="4"/>
  <c r="H952" i="4"/>
  <c r="I951" i="4"/>
  <c r="H951" i="4"/>
  <c r="I950" i="4"/>
  <c r="H950" i="4"/>
  <c r="I949" i="4"/>
  <c r="H949" i="4"/>
  <c r="I948" i="4"/>
  <c r="H948" i="4"/>
  <c r="I947" i="4"/>
  <c r="H947" i="4"/>
  <c r="I946" i="4"/>
  <c r="H946" i="4"/>
  <c r="I945" i="4"/>
  <c r="H945" i="4"/>
  <c r="I944" i="4"/>
  <c r="H944" i="4"/>
  <c r="I943" i="4"/>
  <c r="H943" i="4"/>
  <c r="I942" i="4"/>
  <c r="H942" i="4"/>
  <c r="I941" i="4"/>
  <c r="H941" i="4"/>
  <c r="I940" i="4"/>
  <c r="H940" i="4"/>
  <c r="I939" i="4"/>
  <c r="H939" i="4"/>
  <c r="I938" i="4"/>
  <c r="H938" i="4"/>
  <c r="I937" i="4"/>
  <c r="H937" i="4"/>
  <c r="I936" i="4"/>
  <c r="H936" i="4"/>
  <c r="I935" i="4"/>
  <c r="H935" i="4"/>
  <c r="I934" i="4"/>
  <c r="H934" i="4"/>
  <c r="I933" i="4"/>
  <c r="H933" i="4"/>
  <c r="I932" i="4"/>
  <c r="H932" i="4"/>
  <c r="I931" i="4"/>
  <c r="H931" i="4"/>
  <c r="I930" i="4"/>
  <c r="H930" i="4"/>
  <c r="I929" i="4"/>
  <c r="H929" i="4"/>
  <c r="I928" i="4"/>
  <c r="H928" i="4"/>
  <c r="I927" i="4"/>
  <c r="H927" i="4"/>
  <c r="I926" i="4"/>
  <c r="H926" i="4"/>
  <c r="I925" i="4"/>
  <c r="H925" i="4"/>
  <c r="I924" i="4"/>
  <c r="H924" i="4"/>
  <c r="I923" i="4"/>
  <c r="H923" i="4"/>
  <c r="I922" i="4"/>
  <c r="H922" i="4"/>
  <c r="I921" i="4"/>
  <c r="H921" i="4"/>
  <c r="I920" i="4"/>
  <c r="H920" i="4"/>
  <c r="I919" i="4"/>
  <c r="H919" i="4"/>
  <c r="I918" i="4"/>
  <c r="H918" i="4"/>
  <c r="I917" i="4"/>
  <c r="H917" i="4"/>
  <c r="I916" i="4"/>
  <c r="H916" i="4"/>
  <c r="I915" i="4"/>
  <c r="H915" i="4"/>
  <c r="I914" i="4"/>
  <c r="H914" i="4"/>
  <c r="I913" i="4"/>
  <c r="H913" i="4"/>
  <c r="I912" i="4"/>
  <c r="H912" i="4"/>
  <c r="I911" i="4"/>
  <c r="H911" i="4"/>
  <c r="I910" i="4"/>
  <c r="H910" i="4"/>
  <c r="I909" i="4"/>
  <c r="H909" i="4"/>
  <c r="I908" i="4"/>
  <c r="H908" i="4"/>
  <c r="I907" i="4"/>
  <c r="H907" i="4"/>
  <c r="I906" i="4"/>
  <c r="H906" i="4"/>
  <c r="I905" i="4"/>
  <c r="H905" i="4"/>
  <c r="I904" i="4"/>
  <c r="H904" i="4"/>
  <c r="I903" i="4"/>
  <c r="H903" i="4"/>
  <c r="I902" i="4"/>
  <c r="H902" i="4"/>
  <c r="I901" i="4"/>
  <c r="H901" i="4"/>
  <c r="I900" i="4"/>
  <c r="H900" i="4"/>
  <c r="I899" i="4"/>
  <c r="H899" i="4"/>
  <c r="I898" i="4"/>
  <c r="H898" i="4"/>
  <c r="I897" i="4"/>
  <c r="H897" i="4"/>
  <c r="I896" i="4"/>
  <c r="H896" i="4"/>
  <c r="I895" i="4"/>
  <c r="H895" i="4"/>
  <c r="I894" i="4"/>
  <c r="H894" i="4"/>
  <c r="I893" i="4"/>
  <c r="H893" i="4"/>
  <c r="I892" i="4"/>
  <c r="H892" i="4"/>
  <c r="I891" i="4"/>
  <c r="H891" i="4"/>
  <c r="I890" i="4"/>
  <c r="H890" i="4"/>
  <c r="I889" i="4"/>
  <c r="H889" i="4"/>
  <c r="I888" i="4"/>
  <c r="H888" i="4"/>
  <c r="I887" i="4"/>
  <c r="H887" i="4"/>
  <c r="I886" i="4"/>
  <c r="H886" i="4"/>
  <c r="I885" i="4"/>
  <c r="H885" i="4"/>
  <c r="I884" i="4"/>
  <c r="H884" i="4"/>
  <c r="I883" i="4"/>
  <c r="H883" i="4"/>
  <c r="I882" i="4"/>
  <c r="H882" i="4"/>
  <c r="I881" i="4"/>
  <c r="H881" i="4"/>
  <c r="I880" i="4"/>
  <c r="H880" i="4"/>
  <c r="I879" i="4"/>
  <c r="H879" i="4"/>
  <c r="I878" i="4"/>
  <c r="H878" i="4"/>
  <c r="I877" i="4"/>
  <c r="H877" i="4"/>
  <c r="I876" i="4"/>
  <c r="H876" i="4"/>
  <c r="I875" i="4"/>
  <c r="H875" i="4"/>
  <c r="I874" i="4"/>
  <c r="H874" i="4"/>
  <c r="I873" i="4"/>
  <c r="H873" i="4"/>
  <c r="I872" i="4"/>
  <c r="H872" i="4"/>
  <c r="I871" i="4"/>
  <c r="H871" i="4"/>
  <c r="I870" i="4"/>
  <c r="H870" i="4"/>
  <c r="I869" i="4"/>
  <c r="H869" i="4"/>
  <c r="I868" i="4"/>
  <c r="H868" i="4"/>
  <c r="I867" i="4"/>
  <c r="H867" i="4"/>
  <c r="I866" i="4"/>
  <c r="H866" i="4"/>
  <c r="I865" i="4"/>
  <c r="H865" i="4"/>
  <c r="I864" i="4"/>
  <c r="H864" i="4"/>
  <c r="I863" i="4"/>
  <c r="H863" i="4"/>
  <c r="I862" i="4"/>
  <c r="H862" i="4"/>
  <c r="I861" i="4"/>
  <c r="H861" i="4"/>
  <c r="I860" i="4"/>
  <c r="H860" i="4"/>
  <c r="I859" i="4"/>
  <c r="H859" i="4"/>
  <c r="I858" i="4"/>
  <c r="H858" i="4"/>
  <c r="I857" i="4"/>
  <c r="H857" i="4"/>
  <c r="I856" i="4"/>
  <c r="H856" i="4"/>
  <c r="I855" i="4"/>
  <c r="H855" i="4"/>
  <c r="I854" i="4"/>
  <c r="H854" i="4"/>
  <c r="I853" i="4"/>
  <c r="H853" i="4"/>
  <c r="I852" i="4"/>
  <c r="H852" i="4"/>
  <c r="I851" i="4"/>
  <c r="H851" i="4"/>
  <c r="I850" i="4"/>
  <c r="H850" i="4"/>
  <c r="I849" i="4"/>
  <c r="H849" i="4"/>
  <c r="I848" i="4"/>
  <c r="H848" i="4"/>
  <c r="I847" i="4"/>
  <c r="H847" i="4"/>
  <c r="I846" i="4"/>
  <c r="H846" i="4"/>
  <c r="I845" i="4"/>
  <c r="H845" i="4"/>
  <c r="I844" i="4"/>
  <c r="H844" i="4"/>
  <c r="I843" i="4"/>
  <c r="H843" i="4"/>
  <c r="I842" i="4"/>
  <c r="H842" i="4"/>
  <c r="I841" i="4"/>
  <c r="H841" i="4"/>
  <c r="I840" i="4"/>
  <c r="H840" i="4"/>
  <c r="I839" i="4"/>
  <c r="H839" i="4"/>
  <c r="I838" i="4"/>
  <c r="H838" i="4"/>
  <c r="I837" i="4"/>
  <c r="H837" i="4"/>
  <c r="I836" i="4"/>
  <c r="H836" i="4"/>
  <c r="I835" i="4"/>
  <c r="H835" i="4"/>
  <c r="I834" i="4"/>
  <c r="H834" i="4"/>
  <c r="I833" i="4"/>
  <c r="H833" i="4"/>
  <c r="I832" i="4"/>
  <c r="H832" i="4"/>
  <c r="I831" i="4"/>
  <c r="H831" i="4"/>
  <c r="I830" i="4"/>
  <c r="H830" i="4"/>
  <c r="I829" i="4"/>
  <c r="H829" i="4"/>
  <c r="I828" i="4"/>
  <c r="H828" i="4"/>
  <c r="I827" i="4"/>
  <c r="H827" i="4"/>
  <c r="I826" i="4"/>
  <c r="H826" i="4"/>
  <c r="I825" i="4"/>
  <c r="H825" i="4"/>
  <c r="I824" i="4"/>
  <c r="H824" i="4"/>
  <c r="I823" i="4"/>
  <c r="H823" i="4"/>
  <c r="I822" i="4"/>
  <c r="H822" i="4"/>
  <c r="I821" i="4"/>
  <c r="H821" i="4"/>
  <c r="I820" i="4"/>
  <c r="H820" i="4"/>
  <c r="I819" i="4"/>
  <c r="H819" i="4"/>
  <c r="I818" i="4"/>
  <c r="H818" i="4"/>
  <c r="I817" i="4"/>
  <c r="H817" i="4"/>
  <c r="I816" i="4"/>
  <c r="H816" i="4"/>
  <c r="I815" i="4"/>
  <c r="H815" i="4"/>
  <c r="I814" i="4"/>
  <c r="H814" i="4"/>
  <c r="I813" i="4"/>
  <c r="H813" i="4"/>
  <c r="I812" i="4"/>
  <c r="H812" i="4"/>
  <c r="I811" i="4"/>
  <c r="H811" i="4"/>
  <c r="I810" i="4"/>
  <c r="H810" i="4"/>
  <c r="I809" i="4"/>
  <c r="H809" i="4"/>
  <c r="I808" i="4"/>
  <c r="H808" i="4"/>
  <c r="I807" i="4"/>
  <c r="H807" i="4"/>
  <c r="I806" i="4"/>
  <c r="H806" i="4"/>
  <c r="I805" i="4"/>
  <c r="H805" i="4"/>
  <c r="I804" i="4"/>
  <c r="H804" i="4"/>
  <c r="I803" i="4"/>
  <c r="H803" i="4"/>
  <c r="I802" i="4"/>
  <c r="H802" i="4"/>
  <c r="I801" i="4"/>
  <c r="H801" i="4"/>
  <c r="I800" i="4"/>
  <c r="H800" i="4"/>
  <c r="I799" i="4"/>
  <c r="H799" i="4"/>
  <c r="I798" i="4"/>
  <c r="H798" i="4"/>
  <c r="I797" i="4"/>
  <c r="H797" i="4"/>
  <c r="I796" i="4"/>
  <c r="H796" i="4"/>
  <c r="I795" i="4"/>
  <c r="H795" i="4"/>
  <c r="I794" i="4"/>
  <c r="H794" i="4"/>
  <c r="I793" i="4"/>
  <c r="H793" i="4"/>
  <c r="I792" i="4"/>
  <c r="H792" i="4"/>
  <c r="I791" i="4"/>
  <c r="H791" i="4"/>
  <c r="I790" i="4"/>
  <c r="H790" i="4"/>
  <c r="I789" i="4"/>
  <c r="H789" i="4"/>
  <c r="I788" i="4"/>
  <c r="H788" i="4"/>
  <c r="I787" i="4"/>
  <c r="H787" i="4"/>
  <c r="I786" i="4"/>
  <c r="H786" i="4"/>
  <c r="I785" i="4"/>
  <c r="H785" i="4"/>
  <c r="I784" i="4"/>
  <c r="H784" i="4"/>
  <c r="I783" i="4"/>
  <c r="H783" i="4"/>
  <c r="I782" i="4"/>
  <c r="H782" i="4"/>
  <c r="I781" i="4"/>
  <c r="H781" i="4"/>
  <c r="I780" i="4"/>
  <c r="H780" i="4"/>
  <c r="I779" i="4"/>
  <c r="H779" i="4"/>
  <c r="I778" i="4"/>
  <c r="H778" i="4"/>
  <c r="I777" i="4"/>
  <c r="H777" i="4"/>
  <c r="I776" i="4"/>
  <c r="H776" i="4"/>
  <c r="I775" i="4"/>
  <c r="H775" i="4"/>
  <c r="I774" i="4"/>
  <c r="H774" i="4"/>
  <c r="I773" i="4"/>
  <c r="H773" i="4"/>
  <c r="I772" i="4"/>
  <c r="H772" i="4"/>
  <c r="I771" i="4"/>
  <c r="H771" i="4"/>
  <c r="I770" i="4"/>
  <c r="H770" i="4"/>
  <c r="I769" i="4"/>
  <c r="H769" i="4"/>
  <c r="I768" i="4"/>
  <c r="H768" i="4"/>
  <c r="I767" i="4"/>
  <c r="H767" i="4"/>
  <c r="I766" i="4"/>
  <c r="H766" i="4"/>
  <c r="I765" i="4"/>
  <c r="H765" i="4"/>
  <c r="I764" i="4"/>
  <c r="H764" i="4"/>
  <c r="I763" i="4"/>
  <c r="H763" i="4"/>
  <c r="I762" i="4"/>
  <c r="H762" i="4"/>
  <c r="I761" i="4"/>
  <c r="H761" i="4"/>
  <c r="I760" i="4"/>
  <c r="H760" i="4"/>
  <c r="I759" i="4"/>
  <c r="H759" i="4"/>
  <c r="I758" i="4"/>
  <c r="H758" i="4"/>
  <c r="I757" i="4"/>
  <c r="H757" i="4"/>
  <c r="I756" i="4"/>
  <c r="H756" i="4"/>
  <c r="I755" i="4"/>
  <c r="H755" i="4"/>
  <c r="I754" i="4"/>
  <c r="H754" i="4"/>
  <c r="I753" i="4"/>
  <c r="H753" i="4"/>
  <c r="I752" i="4"/>
  <c r="H752" i="4"/>
  <c r="I751" i="4"/>
  <c r="H751" i="4"/>
  <c r="I750" i="4"/>
  <c r="H750" i="4"/>
  <c r="I749" i="4"/>
  <c r="H749" i="4"/>
  <c r="I748" i="4"/>
  <c r="H748" i="4"/>
  <c r="I747" i="4"/>
  <c r="H747" i="4"/>
  <c r="I746" i="4"/>
  <c r="H746" i="4"/>
  <c r="I745" i="4"/>
  <c r="H745" i="4"/>
  <c r="I744" i="4"/>
  <c r="H744" i="4"/>
  <c r="I743" i="4"/>
  <c r="H743" i="4"/>
  <c r="I742" i="4"/>
  <c r="H742" i="4"/>
  <c r="I741" i="4"/>
  <c r="H741" i="4"/>
  <c r="I740" i="4"/>
  <c r="H740" i="4"/>
  <c r="I739" i="4"/>
  <c r="H739" i="4"/>
  <c r="I738" i="4"/>
  <c r="H738" i="4"/>
  <c r="I737" i="4"/>
  <c r="H737" i="4"/>
  <c r="I736" i="4"/>
  <c r="H736" i="4"/>
  <c r="I735" i="4"/>
  <c r="H735" i="4"/>
  <c r="I734" i="4"/>
  <c r="H734" i="4"/>
  <c r="I733" i="4"/>
  <c r="H733" i="4"/>
  <c r="I732" i="4"/>
  <c r="H732" i="4"/>
  <c r="I731" i="4"/>
  <c r="H731" i="4"/>
  <c r="I730" i="4"/>
  <c r="H730" i="4"/>
  <c r="I729" i="4"/>
  <c r="H729" i="4"/>
  <c r="I728" i="4"/>
  <c r="H728" i="4"/>
  <c r="I727" i="4"/>
  <c r="H727" i="4"/>
  <c r="I726" i="4"/>
  <c r="H726" i="4"/>
  <c r="I725" i="4"/>
  <c r="H725" i="4"/>
  <c r="I724" i="4"/>
  <c r="H724" i="4"/>
  <c r="I723" i="4"/>
  <c r="H723" i="4"/>
  <c r="I722" i="4"/>
  <c r="H722" i="4"/>
  <c r="I721" i="4"/>
  <c r="H721" i="4"/>
  <c r="I720" i="4"/>
  <c r="H720" i="4"/>
  <c r="I719" i="4"/>
  <c r="H719" i="4"/>
  <c r="I718" i="4"/>
  <c r="H718" i="4"/>
  <c r="I717" i="4"/>
  <c r="H717" i="4"/>
  <c r="I716" i="4"/>
  <c r="H716" i="4"/>
  <c r="I715" i="4"/>
  <c r="H715" i="4"/>
  <c r="I714" i="4"/>
  <c r="H714" i="4"/>
  <c r="I713" i="4"/>
  <c r="H713" i="4"/>
  <c r="I712" i="4"/>
  <c r="H712" i="4"/>
  <c r="I711" i="4"/>
  <c r="H711" i="4"/>
  <c r="I710" i="4"/>
  <c r="H710" i="4"/>
  <c r="I709" i="4"/>
  <c r="H709" i="4"/>
  <c r="I708" i="4"/>
  <c r="H708" i="4"/>
  <c r="I707" i="4"/>
  <c r="H707" i="4"/>
  <c r="I706" i="4"/>
  <c r="H706" i="4"/>
  <c r="I705" i="4"/>
  <c r="H705" i="4"/>
  <c r="I704" i="4"/>
  <c r="H704" i="4"/>
  <c r="I703" i="4"/>
  <c r="H703" i="4"/>
  <c r="I702" i="4"/>
  <c r="H702" i="4"/>
  <c r="I701" i="4"/>
  <c r="H701" i="4"/>
  <c r="I700" i="4"/>
  <c r="H700" i="4"/>
  <c r="I699" i="4"/>
  <c r="H699" i="4"/>
  <c r="I698" i="4"/>
  <c r="H698" i="4"/>
  <c r="I697" i="4"/>
  <c r="H697" i="4"/>
  <c r="I696" i="4"/>
  <c r="H696" i="4"/>
  <c r="I695" i="4"/>
  <c r="H695" i="4"/>
  <c r="I694" i="4"/>
  <c r="H694" i="4"/>
  <c r="I693" i="4"/>
  <c r="H693" i="4"/>
  <c r="I692" i="4"/>
  <c r="H692" i="4"/>
  <c r="I691" i="4"/>
  <c r="H691" i="4"/>
  <c r="I690" i="4"/>
  <c r="H690" i="4"/>
  <c r="I689" i="4"/>
  <c r="H689" i="4"/>
  <c r="I688" i="4"/>
  <c r="H688" i="4"/>
  <c r="I687" i="4"/>
  <c r="H687" i="4"/>
  <c r="I686" i="4"/>
  <c r="H686" i="4"/>
  <c r="I685" i="4"/>
  <c r="H685" i="4"/>
  <c r="I684" i="4"/>
  <c r="H684" i="4"/>
  <c r="I683" i="4"/>
  <c r="H683" i="4"/>
  <c r="I682" i="4"/>
  <c r="H682" i="4"/>
  <c r="I681" i="4"/>
  <c r="H681" i="4"/>
  <c r="I680" i="4"/>
  <c r="H680" i="4"/>
  <c r="I679" i="4"/>
  <c r="H679" i="4"/>
  <c r="I678" i="4"/>
  <c r="H678" i="4"/>
  <c r="I677" i="4"/>
  <c r="H677" i="4"/>
  <c r="I676" i="4"/>
  <c r="H676" i="4"/>
  <c r="I675" i="4"/>
  <c r="H675" i="4"/>
  <c r="I674" i="4"/>
  <c r="H674" i="4"/>
  <c r="I673" i="4"/>
  <c r="H673" i="4"/>
  <c r="I672" i="4"/>
  <c r="H672" i="4"/>
  <c r="I671" i="4"/>
  <c r="H671" i="4"/>
  <c r="I670" i="4"/>
  <c r="H670" i="4"/>
  <c r="I669" i="4"/>
  <c r="H669" i="4"/>
  <c r="I668" i="4"/>
  <c r="H668" i="4"/>
  <c r="I667" i="4"/>
  <c r="H667" i="4"/>
  <c r="I666" i="4"/>
  <c r="H666" i="4"/>
  <c r="I665" i="4"/>
  <c r="H665" i="4"/>
  <c r="I664" i="4"/>
  <c r="H664" i="4"/>
  <c r="I663" i="4"/>
  <c r="H663" i="4"/>
  <c r="I662" i="4"/>
  <c r="H662" i="4"/>
  <c r="I661" i="4"/>
  <c r="H661" i="4"/>
  <c r="I660" i="4"/>
  <c r="H660" i="4"/>
  <c r="I659" i="4"/>
  <c r="H659" i="4"/>
  <c r="I658" i="4"/>
  <c r="H658" i="4"/>
  <c r="I657" i="4"/>
  <c r="H657" i="4"/>
  <c r="I656" i="4"/>
  <c r="H656" i="4"/>
  <c r="I655" i="4"/>
  <c r="H655" i="4"/>
  <c r="I654" i="4"/>
  <c r="H654" i="4"/>
  <c r="I653" i="4"/>
  <c r="H653" i="4"/>
  <c r="I652" i="4"/>
  <c r="H652" i="4"/>
  <c r="I651" i="4"/>
  <c r="H651" i="4"/>
  <c r="I650" i="4"/>
  <c r="H650" i="4"/>
  <c r="I649" i="4"/>
  <c r="H649" i="4"/>
  <c r="I648" i="4"/>
  <c r="H648" i="4"/>
  <c r="I647" i="4"/>
  <c r="H647" i="4"/>
  <c r="I646" i="4"/>
  <c r="H646" i="4"/>
  <c r="I645" i="4"/>
  <c r="H645" i="4"/>
  <c r="I644" i="4"/>
  <c r="H644" i="4"/>
  <c r="I643" i="4"/>
  <c r="H643" i="4"/>
  <c r="I642" i="4"/>
  <c r="H642" i="4"/>
  <c r="I641" i="4"/>
  <c r="H641" i="4"/>
  <c r="I640" i="4"/>
  <c r="H640" i="4"/>
  <c r="I639" i="4"/>
  <c r="H639" i="4"/>
  <c r="I638" i="4"/>
  <c r="H638" i="4"/>
  <c r="I637" i="4"/>
  <c r="H637" i="4"/>
  <c r="I636" i="4"/>
  <c r="H636" i="4"/>
  <c r="I635" i="4"/>
  <c r="H635" i="4"/>
  <c r="I634" i="4"/>
  <c r="H634" i="4"/>
  <c r="I633" i="4"/>
  <c r="H633" i="4"/>
  <c r="I632" i="4"/>
  <c r="H632" i="4"/>
  <c r="I631" i="4"/>
  <c r="H631" i="4"/>
  <c r="I630" i="4"/>
  <c r="H630" i="4"/>
  <c r="I629" i="4"/>
  <c r="H629" i="4"/>
  <c r="I628" i="4"/>
  <c r="H628" i="4"/>
  <c r="I627" i="4"/>
  <c r="H627" i="4"/>
  <c r="I626" i="4"/>
  <c r="H626" i="4"/>
  <c r="I625" i="4"/>
  <c r="H625" i="4"/>
  <c r="I624" i="4"/>
  <c r="H624" i="4"/>
  <c r="I623" i="4"/>
  <c r="H623" i="4"/>
  <c r="I622" i="4"/>
  <c r="H622" i="4"/>
  <c r="I621" i="4"/>
  <c r="H621" i="4"/>
  <c r="I620" i="4"/>
  <c r="H620" i="4"/>
  <c r="I619" i="4"/>
  <c r="H619" i="4"/>
  <c r="I618" i="4"/>
  <c r="H618" i="4"/>
  <c r="I617" i="4"/>
  <c r="H617" i="4"/>
  <c r="I616" i="4"/>
  <c r="H616" i="4"/>
  <c r="I615" i="4"/>
  <c r="H615" i="4"/>
  <c r="I614" i="4"/>
  <c r="H614" i="4"/>
  <c r="I613" i="4"/>
  <c r="H613" i="4"/>
  <c r="I612" i="4"/>
  <c r="H612" i="4"/>
  <c r="I611" i="4"/>
  <c r="H611" i="4"/>
  <c r="I610" i="4"/>
  <c r="H610" i="4"/>
  <c r="I609" i="4"/>
  <c r="H609" i="4"/>
  <c r="I608" i="4"/>
  <c r="H608" i="4"/>
  <c r="I607" i="4"/>
  <c r="H607" i="4"/>
  <c r="I606" i="4"/>
  <c r="H606" i="4"/>
  <c r="I605" i="4"/>
  <c r="H605" i="4"/>
  <c r="I604" i="4"/>
  <c r="H604" i="4"/>
  <c r="I603" i="4"/>
  <c r="H603" i="4"/>
  <c r="I602" i="4"/>
  <c r="H602" i="4"/>
  <c r="I601" i="4"/>
  <c r="H601" i="4"/>
  <c r="I600" i="4"/>
  <c r="H600" i="4"/>
  <c r="I599" i="4"/>
  <c r="H599" i="4"/>
  <c r="I598" i="4"/>
  <c r="H598" i="4"/>
  <c r="I597" i="4"/>
  <c r="H597" i="4"/>
  <c r="I596" i="4"/>
  <c r="H596" i="4"/>
  <c r="I595" i="4"/>
  <c r="H595" i="4"/>
  <c r="I594" i="4"/>
  <c r="H594" i="4"/>
  <c r="I593" i="4"/>
  <c r="H593" i="4"/>
  <c r="I592" i="4"/>
  <c r="H592" i="4"/>
  <c r="I591" i="4"/>
  <c r="H591" i="4"/>
  <c r="I590" i="4"/>
  <c r="H590" i="4"/>
  <c r="I589" i="4"/>
  <c r="H589" i="4"/>
  <c r="I588" i="4"/>
  <c r="H588" i="4"/>
  <c r="I587" i="4"/>
  <c r="H587" i="4"/>
  <c r="I586" i="4"/>
  <c r="H586" i="4"/>
  <c r="I585" i="4"/>
  <c r="H585" i="4"/>
  <c r="I584" i="4"/>
  <c r="H584" i="4"/>
  <c r="I583" i="4"/>
  <c r="H583" i="4"/>
  <c r="I582" i="4"/>
  <c r="H582" i="4"/>
  <c r="I581" i="4"/>
  <c r="H581" i="4"/>
  <c r="I580" i="4"/>
  <c r="H580" i="4"/>
  <c r="I579" i="4"/>
  <c r="H579" i="4"/>
  <c r="I578" i="4"/>
  <c r="H578" i="4"/>
  <c r="I577" i="4"/>
  <c r="H577" i="4"/>
  <c r="I576" i="4"/>
  <c r="H576" i="4"/>
  <c r="I575" i="4"/>
  <c r="H575" i="4"/>
  <c r="I574" i="4"/>
  <c r="H574" i="4"/>
  <c r="I573" i="4"/>
  <c r="H573" i="4"/>
  <c r="I572" i="4"/>
  <c r="H572" i="4"/>
  <c r="I571" i="4"/>
  <c r="H571" i="4"/>
  <c r="I570" i="4"/>
  <c r="H570" i="4"/>
  <c r="I569" i="4"/>
  <c r="H569" i="4"/>
  <c r="I568" i="4"/>
  <c r="H568" i="4"/>
  <c r="I567" i="4"/>
  <c r="H567" i="4"/>
  <c r="I566" i="4"/>
  <c r="H566" i="4"/>
  <c r="I565" i="4"/>
  <c r="H565" i="4"/>
  <c r="I564" i="4"/>
  <c r="H564" i="4"/>
  <c r="I563" i="4"/>
  <c r="H563" i="4"/>
  <c r="I562" i="4"/>
  <c r="H562" i="4"/>
  <c r="I561" i="4"/>
  <c r="H561" i="4"/>
  <c r="I560" i="4"/>
  <c r="H560" i="4"/>
  <c r="I559" i="4"/>
  <c r="H559" i="4"/>
  <c r="I558" i="4"/>
  <c r="H558" i="4"/>
  <c r="I557" i="4"/>
  <c r="H557" i="4"/>
  <c r="I556" i="4"/>
  <c r="H556" i="4"/>
  <c r="I555" i="4"/>
  <c r="H555" i="4"/>
  <c r="I554" i="4"/>
  <c r="H554" i="4"/>
  <c r="I553" i="4"/>
  <c r="H553" i="4"/>
  <c r="I552" i="4"/>
  <c r="H552" i="4"/>
  <c r="I551" i="4"/>
  <c r="H551" i="4"/>
  <c r="I550" i="4"/>
  <c r="H550" i="4"/>
  <c r="I549" i="4"/>
  <c r="H549" i="4"/>
  <c r="I548" i="4"/>
  <c r="H548" i="4"/>
  <c r="I547" i="4"/>
  <c r="H547" i="4"/>
  <c r="I546" i="4"/>
  <c r="H546" i="4"/>
  <c r="I545" i="4"/>
  <c r="H545" i="4"/>
  <c r="I544" i="4"/>
  <c r="H544" i="4"/>
  <c r="I543" i="4"/>
  <c r="H543" i="4"/>
  <c r="I542" i="4"/>
  <c r="H542" i="4"/>
  <c r="I541" i="4"/>
  <c r="H541" i="4"/>
  <c r="I540" i="4"/>
  <c r="H540" i="4"/>
  <c r="I539" i="4"/>
  <c r="H539" i="4"/>
  <c r="I538" i="4"/>
  <c r="H538" i="4"/>
  <c r="I537" i="4"/>
  <c r="H537" i="4"/>
  <c r="I536" i="4"/>
  <c r="H536" i="4"/>
  <c r="I535" i="4"/>
  <c r="H535" i="4"/>
  <c r="I534" i="4"/>
  <c r="H534" i="4"/>
  <c r="I533" i="4"/>
  <c r="H533" i="4"/>
  <c r="I532" i="4"/>
  <c r="H532" i="4"/>
  <c r="I531" i="4"/>
  <c r="H531" i="4"/>
  <c r="I530" i="4"/>
  <c r="H530" i="4"/>
  <c r="I529" i="4"/>
  <c r="H529" i="4"/>
  <c r="I528" i="4"/>
  <c r="H528" i="4"/>
  <c r="I527" i="4"/>
  <c r="H527" i="4"/>
  <c r="I526" i="4"/>
  <c r="H526" i="4"/>
  <c r="I525" i="4"/>
  <c r="H525" i="4"/>
  <c r="I524" i="4"/>
  <c r="H524" i="4"/>
  <c r="I523" i="4"/>
  <c r="H523" i="4"/>
  <c r="I522" i="4"/>
  <c r="H522" i="4"/>
  <c r="I521" i="4"/>
  <c r="H521" i="4"/>
  <c r="I520" i="4"/>
  <c r="H520" i="4"/>
  <c r="I519" i="4"/>
  <c r="H519" i="4"/>
  <c r="I518" i="4"/>
  <c r="H518" i="4"/>
  <c r="I517" i="4"/>
  <c r="H517" i="4"/>
  <c r="I516" i="4"/>
  <c r="H516" i="4"/>
  <c r="I515" i="4"/>
  <c r="H515" i="4"/>
  <c r="I514" i="4"/>
  <c r="H514" i="4"/>
  <c r="I513" i="4"/>
  <c r="H513" i="4"/>
  <c r="I512" i="4"/>
  <c r="H512" i="4"/>
  <c r="I511" i="4"/>
  <c r="H511" i="4"/>
  <c r="I510" i="4"/>
  <c r="H510" i="4"/>
  <c r="I509" i="4"/>
  <c r="H509" i="4"/>
  <c r="I508" i="4"/>
  <c r="H508" i="4"/>
  <c r="I507" i="4"/>
  <c r="H507" i="4"/>
  <c r="I506" i="4"/>
  <c r="H506" i="4"/>
  <c r="I505" i="4"/>
  <c r="H505" i="4"/>
  <c r="I504" i="4"/>
  <c r="H504" i="4"/>
  <c r="I503" i="4"/>
  <c r="H503" i="4"/>
  <c r="I502" i="4"/>
  <c r="H502" i="4"/>
  <c r="I501" i="4"/>
  <c r="H501" i="4"/>
  <c r="I500" i="4"/>
  <c r="H500" i="4"/>
  <c r="I499" i="4"/>
  <c r="H499" i="4"/>
  <c r="I498" i="4"/>
  <c r="H498" i="4"/>
  <c r="I497" i="4"/>
  <c r="H497" i="4"/>
  <c r="I496" i="4"/>
  <c r="H496" i="4"/>
  <c r="I495" i="4"/>
  <c r="H495" i="4"/>
  <c r="I494" i="4"/>
  <c r="H494" i="4"/>
  <c r="I493" i="4"/>
  <c r="H493" i="4"/>
  <c r="I492" i="4"/>
  <c r="H492" i="4"/>
  <c r="I491" i="4"/>
  <c r="H491" i="4"/>
  <c r="I490" i="4"/>
  <c r="H490" i="4"/>
  <c r="I489" i="4"/>
  <c r="H489" i="4"/>
  <c r="I488" i="4"/>
  <c r="H488" i="4"/>
  <c r="I487" i="4"/>
  <c r="H487" i="4"/>
  <c r="I486" i="4"/>
  <c r="H486" i="4"/>
  <c r="I485" i="4"/>
  <c r="H485" i="4"/>
  <c r="I484" i="4"/>
  <c r="H484" i="4"/>
  <c r="I483" i="4"/>
  <c r="H483" i="4"/>
  <c r="I482" i="4"/>
  <c r="H482" i="4"/>
  <c r="I481" i="4"/>
  <c r="H481" i="4"/>
  <c r="I480" i="4"/>
  <c r="H480" i="4"/>
  <c r="I479" i="4"/>
  <c r="H479" i="4"/>
  <c r="I478" i="4"/>
  <c r="H478" i="4"/>
  <c r="I477" i="4"/>
  <c r="H477" i="4"/>
  <c r="I476" i="4"/>
  <c r="H476" i="4"/>
  <c r="I475" i="4"/>
  <c r="H475" i="4"/>
  <c r="I474" i="4"/>
  <c r="H474" i="4"/>
  <c r="I473" i="4"/>
  <c r="H473" i="4"/>
  <c r="I472" i="4"/>
  <c r="H472" i="4"/>
  <c r="I471" i="4"/>
  <c r="H471" i="4"/>
  <c r="I470" i="4"/>
  <c r="H470" i="4"/>
  <c r="I469" i="4"/>
  <c r="H469" i="4"/>
  <c r="I468" i="4"/>
  <c r="H468" i="4"/>
  <c r="I467" i="4"/>
  <c r="H467" i="4"/>
  <c r="I466" i="4"/>
  <c r="H466" i="4"/>
  <c r="I465" i="4"/>
  <c r="H465" i="4"/>
  <c r="I464" i="4"/>
  <c r="H464" i="4"/>
  <c r="I463" i="4"/>
  <c r="H463" i="4"/>
  <c r="I462" i="4"/>
  <c r="H462" i="4"/>
  <c r="I461" i="4"/>
  <c r="H461" i="4"/>
  <c r="I460" i="4"/>
  <c r="H460" i="4"/>
  <c r="I459" i="4"/>
  <c r="H459" i="4"/>
  <c r="I458" i="4"/>
  <c r="H458" i="4"/>
  <c r="I457" i="4"/>
  <c r="H457" i="4"/>
  <c r="I456" i="4"/>
  <c r="H456" i="4"/>
  <c r="I455" i="4"/>
  <c r="H455" i="4"/>
  <c r="I454" i="4"/>
  <c r="H454" i="4"/>
  <c r="I453" i="4"/>
  <c r="H453" i="4"/>
  <c r="I452" i="4"/>
  <c r="H452" i="4"/>
  <c r="I451" i="4"/>
  <c r="H451" i="4"/>
  <c r="I450" i="4"/>
  <c r="H450" i="4"/>
  <c r="I449" i="4"/>
  <c r="H449" i="4"/>
  <c r="I448" i="4"/>
  <c r="H448" i="4"/>
  <c r="I447" i="4"/>
  <c r="H447" i="4"/>
  <c r="I446" i="4"/>
  <c r="H446" i="4"/>
  <c r="I445" i="4"/>
  <c r="H445" i="4"/>
  <c r="I444" i="4"/>
  <c r="H444" i="4"/>
  <c r="I443" i="4"/>
  <c r="H443" i="4"/>
  <c r="I442" i="4"/>
  <c r="H442" i="4"/>
  <c r="I441" i="4"/>
  <c r="H441" i="4"/>
  <c r="I440" i="4"/>
  <c r="H440" i="4"/>
  <c r="I439" i="4"/>
  <c r="H439" i="4"/>
  <c r="I438" i="4"/>
  <c r="H438" i="4"/>
  <c r="I437" i="4"/>
  <c r="H437" i="4"/>
  <c r="I436" i="4"/>
  <c r="H436" i="4"/>
  <c r="I435" i="4"/>
  <c r="H435" i="4"/>
  <c r="I434" i="4"/>
  <c r="H434" i="4"/>
  <c r="I433" i="4"/>
  <c r="H433" i="4"/>
  <c r="I432" i="4"/>
  <c r="H432" i="4"/>
  <c r="I431" i="4"/>
  <c r="H431" i="4"/>
  <c r="I430" i="4"/>
  <c r="H430" i="4"/>
  <c r="I429" i="4"/>
  <c r="H429" i="4"/>
  <c r="I428" i="4"/>
  <c r="H428" i="4"/>
  <c r="I427" i="4"/>
  <c r="H427" i="4"/>
  <c r="I426" i="4"/>
  <c r="H426" i="4"/>
  <c r="I425" i="4"/>
  <c r="H425" i="4"/>
  <c r="I424" i="4"/>
  <c r="H424" i="4"/>
  <c r="I423" i="4"/>
  <c r="H423" i="4"/>
  <c r="I422" i="4"/>
  <c r="H422" i="4"/>
  <c r="I421" i="4"/>
  <c r="H421" i="4"/>
  <c r="I420" i="4"/>
  <c r="H420" i="4"/>
  <c r="I419" i="4"/>
  <c r="H419" i="4"/>
  <c r="I418" i="4"/>
  <c r="H418" i="4"/>
  <c r="I417" i="4"/>
  <c r="H417" i="4"/>
  <c r="I416" i="4"/>
  <c r="H416" i="4"/>
  <c r="I415" i="4"/>
  <c r="H415" i="4"/>
  <c r="I414" i="4"/>
  <c r="H414" i="4"/>
  <c r="I413" i="4"/>
  <c r="H413" i="4"/>
  <c r="I412" i="4"/>
  <c r="H412" i="4"/>
  <c r="I411" i="4"/>
  <c r="H411" i="4"/>
  <c r="I410" i="4"/>
  <c r="H410" i="4"/>
  <c r="I409" i="4"/>
  <c r="H409" i="4"/>
  <c r="I408" i="4"/>
  <c r="H408" i="4"/>
  <c r="I407" i="4"/>
  <c r="H407" i="4"/>
  <c r="I406" i="4"/>
  <c r="H406" i="4"/>
  <c r="I405" i="4"/>
  <c r="H405" i="4"/>
  <c r="I404" i="4"/>
  <c r="H404" i="4"/>
  <c r="I403" i="4"/>
  <c r="H403" i="4"/>
  <c r="I402" i="4"/>
  <c r="H402" i="4"/>
  <c r="I401" i="4"/>
  <c r="H401" i="4"/>
  <c r="I400" i="4"/>
  <c r="H400" i="4"/>
  <c r="I399" i="4"/>
  <c r="H399" i="4"/>
  <c r="I398" i="4"/>
  <c r="H398" i="4"/>
  <c r="I397" i="4"/>
  <c r="H397" i="4"/>
  <c r="I396" i="4"/>
  <c r="H396" i="4"/>
  <c r="I395" i="4"/>
  <c r="H395" i="4"/>
  <c r="I394" i="4"/>
  <c r="H394" i="4"/>
  <c r="I393" i="4"/>
  <c r="H393" i="4"/>
  <c r="I392" i="4"/>
  <c r="H392" i="4"/>
  <c r="I391" i="4"/>
  <c r="H391" i="4"/>
  <c r="I390" i="4"/>
  <c r="H390" i="4"/>
  <c r="I389" i="4"/>
  <c r="H389" i="4"/>
  <c r="I388" i="4"/>
  <c r="H388" i="4"/>
  <c r="I387" i="4"/>
  <c r="H387" i="4"/>
  <c r="I386" i="4"/>
  <c r="H386" i="4"/>
  <c r="I385" i="4"/>
  <c r="H385" i="4"/>
  <c r="I384" i="4"/>
  <c r="H384" i="4"/>
  <c r="I383" i="4"/>
  <c r="H383" i="4"/>
  <c r="I382" i="4"/>
  <c r="H382" i="4"/>
  <c r="I381" i="4"/>
  <c r="H381" i="4"/>
  <c r="I380" i="4"/>
  <c r="H380" i="4"/>
  <c r="I379" i="4"/>
  <c r="H379" i="4"/>
  <c r="I378" i="4"/>
  <c r="H378" i="4"/>
  <c r="I377" i="4"/>
  <c r="H377" i="4"/>
  <c r="I376" i="4"/>
  <c r="H376" i="4"/>
  <c r="I375" i="4"/>
  <c r="H375" i="4"/>
  <c r="I374" i="4"/>
  <c r="H374" i="4"/>
  <c r="I373" i="4"/>
  <c r="H373" i="4"/>
  <c r="I372" i="4"/>
  <c r="H372" i="4"/>
  <c r="I371" i="4"/>
  <c r="H371" i="4"/>
  <c r="I370" i="4"/>
  <c r="H370" i="4"/>
  <c r="I369" i="4"/>
  <c r="H369" i="4"/>
  <c r="I368" i="4"/>
  <c r="H368" i="4"/>
  <c r="I367" i="4"/>
  <c r="H367" i="4"/>
  <c r="I366" i="4"/>
  <c r="H366" i="4"/>
  <c r="I365" i="4"/>
  <c r="H365" i="4"/>
  <c r="I364" i="4"/>
  <c r="H364" i="4"/>
  <c r="I363" i="4"/>
  <c r="H363" i="4"/>
  <c r="I362" i="4"/>
  <c r="H362" i="4"/>
  <c r="I361" i="4"/>
  <c r="H361" i="4"/>
  <c r="I360" i="4"/>
  <c r="H360" i="4"/>
  <c r="I359" i="4"/>
  <c r="H359" i="4"/>
  <c r="I358" i="4"/>
  <c r="H358" i="4"/>
  <c r="I357" i="4"/>
  <c r="H357" i="4"/>
  <c r="I356" i="4"/>
  <c r="H356" i="4"/>
  <c r="I355" i="4"/>
  <c r="H355" i="4"/>
  <c r="I354" i="4"/>
  <c r="H354" i="4"/>
  <c r="I353" i="4"/>
  <c r="H353" i="4"/>
  <c r="I352" i="4"/>
  <c r="H352" i="4"/>
  <c r="I351" i="4"/>
  <c r="H351" i="4"/>
  <c r="I350" i="4"/>
  <c r="H350" i="4"/>
  <c r="I349" i="4"/>
  <c r="H349" i="4"/>
  <c r="I348" i="4"/>
  <c r="H348" i="4"/>
  <c r="I347" i="4"/>
  <c r="H347" i="4"/>
  <c r="I346" i="4"/>
  <c r="H346" i="4"/>
  <c r="I345" i="4"/>
  <c r="H345" i="4"/>
  <c r="I344" i="4"/>
  <c r="H344" i="4"/>
  <c r="I343" i="4"/>
  <c r="H343" i="4"/>
  <c r="I342" i="4"/>
  <c r="H342" i="4"/>
  <c r="I341" i="4"/>
  <c r="H341" i="4"/>
  <c r="I340" i="4"/>
  <c r="H340" i="4"/>
  <c r="I339" i="4"/>
  <c r="H339" i="4"/>
  <c r="I338" i="4"/>
  <c r="H338" i="4"/>
  <c r="I337" i="4"/>
  <c r="H337" i="4"/>
  <c r="I336" i="4"/>
  <c r="H336" i="4"/>
  <c r="I335" i="4"/>
  <c r="H335" i="4"/>
  <c r="I334" i="4"/>
  <c r="H334" i="4"/>
  <c r="I333" i="4"/>
  <c r="H333" i="4"/>
  <c r="I332" i="4"/>
  <c r="H332" i="4"/>
  <c r="I331" i="4"/>
  <c r="H331" i="4"/>
  <c r="I330" i="4"/>
  <c r="H330" i="4"/>
  <c r="I329" i="4"/>
  <c r="H329" i="4"/>
  <c r="I328" i="4"/>
  <c r="H328" i="4"/>
  <c r="I327" i="4"/>
  <c r="H327" i="4"/>
  <c r="I326" i="4"/>
  <c r="H326" i="4"/>
  <c r="I325" i="4"/>
  <c r="H325" i="4"/>
  <c r="I324" i="4"/>
  <c r="H324" i="4"/>
  <c r="I323" i="4"/>
  <c r="H323" i="4"/>
  <c r="I322" i="4"/>
  <c r="H322" i="4"/>
  <c r="I321" i="4"/>
  <c r="H321" i="4"/>
  <c r="I320" i="4"/>
  <c r="H320" i="4"/>
  <c r="I319" i="4"/>
  <c r="H319" i="4"/>
  <c r="I318" i="4"/>
  <c r="H318" i="4"/>
  <c r="I317" i="4"/>
  <c r="H317" i="4"/>
  <c r="I316" i="4"/>
  <c r="H316" i="4"/>
  <c r="I315" i="4"/>
  <c r="H315" i="4"/>
  <c r="I314" i="4"/>
  <c r="H314" i="4"/>
  <c r="I313" i="4"/>
  <c r="H313" i="4"/>
  <c r="I312" i="4"/>
  <c r="H312" i="4"/>
  <c r="I311" i="4"/>
  <c r="H311" i="4"/>
  <c r="I310" i="4"/>
  <c r="H310" i="4"/>
  <c r="I309" i="4"/>
  <c r="H309" i="4"/>
  <c r="I308" i="4"/>
  <c r="H308" i="4"/>
  <c r="I307" i="4"/>
  <c r="H307" i="4"/>
  <c r="I306" i="4"/>
  <c r="H306" i="4"/>
  <c r="I305" i="4"/>
  <c r="H305" i="4"/>
  <c r="I304" i="4"/>
  <c r="H304" i="4"/>
  <c r="I303" i="4"/>
  <c r="H303" i="4"/>
  <c r="I302" i="4"/>
  <c r="H302" i="4"/>
  <c r="I301" i="4"/>
  <c r="H301" i="4"/>
  <c r="I300" i="4"/>
  <c r="H300" i="4"/>
  <c r="I299" i="4"/>
  <c r="H299" i="4"/>
  <c r="I298" i="4"/>
  <c r="H298" i="4"/>
  <c r="I297" i="4"/>
  <c r="H297" i="4"/>
  <c r="I296" i="4"/>
  <c r="H296" i="4"/>
  <c r="I295" i="4"/>
  <c r="H295" i="4"/>
  <c r="I294" i="4"/>
  <c r="H294" i="4"/>
  <c r="I293" i="4"/>
  <c r="H293" i="4"/>
  <c r="I292" i="4"/>
  <c r="H292" i="4"/>
  <c r="I291" i="4"/>
  <c r="H291" i="4"/>
  <c r="I290" i="4"/>
  <c r="H290" i="4"/>
  <c r="I289" i="4"/>
  <c r="H289" i="4"/>
  <c r="I288" i="4"/>
  <c r="H288" i="4"/>
  <c r="I287" i="4"/>
  <c r="H287" i="4"/>
  <c r="I286" i="4"/>
  <c r="H286" i="4"/>
  <c r="I285" i="4"/>
  <c r="H285" i="4"/>
  <c r="I284" i="4"/>
  <c r="H284" i="4"/>
  <c r="I283" i="4"/>
  <c r="H283" i="4"/>
  <c r="I282" i="4"/>
  <c r="H282" i="4"/>
  <c r="I281" i="4"/>
  <c r="H281" i="4"/>
  <c r="I280" i="4"/>
  <c r="H280" i="4"/>
  <c r="I279" i="4"/>
  <c r="H279" i="4"/>
  <c r="I278" i="4"/>
  <c r="H278" i="4"/>
  <c r="I277" i="4"/>
  <c r="H277" i="4"/>
  <c r="I276" i="4"/>
  <c r="H276" i="4"/>
  <c r="I275" i="4"/>
  <c r="H275" i="4"/>
  <c r="I274" i="4"/>
  <c r="H274" i="4"/>
  <c r="I273" i="4"/>
  <c r="H273" i="4"/>
  <c r="I272" i="4"/>
  <c r="H272" i="4"/>
  <c r="I271" i="4"/>
  <c r="H271" i="4"/>
  <c r="I270" i="4"/>
  <c r="H270" i="4"/>
  <c r="I269" i="4"/>
  <c r="H269" i="4"/>
  <c r="I268" i="4"/>
  <c r="H268" i="4"/>
  <c r="I267" i="4"/>
  <c r="H267" i="4"/>
  <c r="I266" i="4"/>
  <c r="H266" i="4"/>
  <c r="I265" i="4"/>
  <c r="H265" i="4"/>
  <c r="I264" i="4"/>
  <c r="H264" i="4"/>
  <c r="I263" i="4"/>
  <c r="H263" i="4"/>
  <c r="I262" i="4"/>
  <c r="H262" i="4"/>
  <c r="I261" i="4"/>
  <c r="H261" i="4"/>
  <c r="I260" i="4"/>
  <c r="H260" i="4"/>
  <c r="I259" i="4"/>
  <c r="H259" i="4"/>
  <c r="I258" i="4"/>
  <c r="H258" i="4"/>
  <c r="I257" i="4"/>
  <c r="H257" i="4"/>
  <c r="I256" i="4"/>
  <c r="H256" i="4"/>
  <c r="I255" i="4"/>
  <c r="H255" i="4"/>
  <c r="I254" i="4"/>
  <c r="H254" i="4"/>
  <c r="I253" i="4"/>
  <c r="H253" i="4"/>
  <c r="I252" i="4"/>
  <c r="H252" i="4"/>
  <c r="I251" i="4"/>
  <c r="H251" i="4"/>
  <c r="I250" i="4"/>
  <c r="H250" i="4"/>
  <c r="I249" i="4"/>
  <c r="H249" i="4"/>
  <c r="I248" i="4"/>
  <c r="H248" i="4"/>
  <c r="I247" i="4"/>
  <c r="H247" i="4"/>
  <c r="I246" i="4"/>
  <c r="H246" i="4"/>
  <c r="I245" i="4"/>
  <c r="H245" i="4"/>
  <c r="I244" i="4"/>
  <c r="H244" i="4"/>
  <c r="I243" i="4"/>
  <c r="H243" i="4"/>
  <c r="I242" i="4"/>
  <c r="H242" i="4"/>
  <c r="I241" i="4"/>
  <c r="H241" i="4"/>
  <c r="I240" i="4"/>
  <c r="H240" i="4"/>
  <c r="I239" i="4"/>
  <c r="H239" i="4"/>
  <c r="I238" i="4"/>
  <c r="H238" i="4"/>
  <c r="I237" i="4"/>
  <c r="H237" i="4"/>
  <c r="I236" i="4"/>
  <c r="H236" i="4"/>
  <c r="I235" i="4"/>
  <c r="H235" i="4"/>
  <c r="I234" i="4"/>
  <c r="H234" i="4"/>
  <c r="I233" i="4"/>
  <c r="H233" i="4"/>
  <c r="I232" i="4"/>
  <c r="H232" i="4"/>
  <c r="I231" i="4"/>
  <c r="H231" i="4"/>
  <c r="I230" i="4"/>
  <c r="H230" i="4"/>
  <c r="I229" i="4"/>
  <c r="H229" i="4"/>
  <c r="I228" i="4"/>
  <c r="H228" i="4"/>
  <c r="I227" i="4"/>
  <c r="H227" i="4"/>
  <c r="I226" i="4"/>
  <c r="H226" i="4"/>
  <c r="I225" i="4"/>
  <c r="H225" i="4"/>
  <c r="I224" i="4"/>
  <c r="H224" i="4"/>
  <c r="I223" i="4"/>
  <c r="H223" i="4"/>
  <c r="I222" i="4"/>
  <c r="H222" i="4"/>
  <c r="I221" i="4"/>
  <c r="H221" i="4"/>
  <c r="I220" i="4"/>
  <c r="H220" i="4"/>
  <c r="I219" i="4"/>
  <c r="H219" i="4"/>
  <c r="I218" i="4"/>
  <c r="H218" i="4"/>
  <c r="I217" i="4"/>
  <c r="H217" i="4"/>
  <c r="I216" i="4"/>
  <c r="H216" i="4"/>
  <c r="I215" i="4"/>
  <c r="H215" i="4"/>
  <c r="I214" i="4"/>
  <c r="H214" i="4"/>
  <c r="I213" i="4"/>
  <c r="H213" i="4"/>
  <c r="I212" i="4"/>
  <c r="H212" i="4"/>
  <c r="I211" i="4"/>
  <c r="H211" i="4"/>
  <c r="I210" i="4"/>
  <c r="H210" i="4"/>
  <c r="I209" i="4"/>
  <c r="H209" i="4"/>
  <c r="I208" i="4"/>
  <c r="H208" i="4"/>
  <c r="I207" i="4"/>
  <c r="H207" i="4"/>
  <c r="I206" i="4"/>
  <c r="H206" i="4"/>
  <c r="I205" i="4"/>
  <c r="H205" i="4"/>
  <c r="I204" i="4"/>
  <c r="H204" i="4"/>
  <c r="I203" i="4"/>
  <c r="H203" i="4"/>
  <c r="I202" i="4"/>
  <c r="H202" i="4"/>
  <c r="I201" i="4"/>
  <c r="H201" i="4"/>
  <c r="I200" i="4"/>
  <c r="H200" i="4"/>
  <c r="I199" i="4"/>
  <c r="H199" i="4"/>
  <c r="I198" i="4"/>
  <c r="H198" i="4"/>
  <c r="I197" i="4"/>
  <c r="H197" i="4"/>
  <c r="I196" i="4"/>
  <c r="H196" i="4"/>
  <c r="I195" i="4"/>
  <c r="H195" i="4"/>
  <c r="I194" i="4"/>
  <c r="H194" i="4"/>
  <c r="I193" i="4"/>
  <c r="H193" i="4"/>
  <c r="I192" i="4"/>
  <c r="H192" i="4"/>
  <c r="I191" i="4"/>
  <c r="H191" i="4"/>
  <c r="I190" i="4"/>
  <c r="H190" i="4"/>
  <c r="I189" i="4"/>
  <c r="H189" i="4"/>
  <c r="I188" i="4"/>
  <c r="H188" i="4"/>
  <c r="I187" i="4"/>
  <c r="H187" i="4"/>
  <c r="I186" i="4"/>
  <c r="H186" i="4"/>
  <c r="I185" i="4"/>
  <c r="H185" i="4"/>
  <c r="I184" i="4"/>
  <c r="H184" i="4"/>
  <c r="I183" i="4"/>
  <c r="H183" i="4"/>
  <c r="I182" i="4"/>
  <c r="H182" i="4"/>
  <c r="I181" i="4"/>
  <c r="H181" i="4"/>
  <c r="I180" i="4"/>
  <c r="H180" i="4"/>
  <c r="I179" i="4"/>
  <c r="H179" i="4"/>
  <c r="I178" i="4"/>
  <c r="H178" i="4"/>
  <c r="E4989" i="3"/>
  <c r="I4987" i="3"/>
  <c r="H4987" i="3"/>
  <c r="I4986" i="3"/>
  <c r="H4986" i="3"/>
  <c r="I4985" i="3"/>
  <c r="H4985" i="3"/>
  <c r="I4984" i="3"/>
  <c r="H4984" i="3"/>
  <c r="I4983" i="3"/>
  <c r="H4983" i="3"/>
  <c r="I4982" i="3"/>
  <c r="H4982" i="3"/>
  <c r="I4981" i="3"/>
  <c r="H4981" i="3"/>
  <c r="I4980" i="3"/>
  <c r="H4980" i="3"/>
  <c r="I4979" i="3"/>
  <c r="H4979" i="3"/>
  <c r="I4978" i="3"/>
  <c r="H4978" i="3"/>
  <c r="I4977" i="3"/>
  <c r="H4977" i="3"/>
  <c r="I4976" i="3"/>
  <c r="H4976" i="3"/>
  <c r="I4975" i="3"/>
  <c r="H4975" i="3"/>
  <c r="I4974" i="3"/>
  <c r="H4974" i="3"/>
  <c r="I4973" i="3"/>
  <c r="H4973" i="3"/>
  <c r="I4972" i="3"/>
  <c r="H4972" i="3"/>
  <c r="I4971" i="3"/>
  <c r="H4971" i="3"/>
  <c r="I4970" i="3"/>
  <c r="H4970" i="3"/>
  <c r="I4969" i="3"/>
  <c r="H4969" i="3"/>
  <c r="I4968" i="3"/>
  <c r="H4968" i="3"/>
  <c r="I4967" i="3"/>
  <c r="H4967" i="3"/>
  <c r="I4966" i="3"/>
  <c r="H4966" i="3"/>
  <c r="I4965" i="3"/>
  <c r="H4965" i="3"/>
  <c r="I4964" i="3"/>
  <c r="H4964" i="3"/>
  <c r="I4963" i="3"/>
  <c r="H4963" i="3"/>
  <c r="I4962" i="3"/>
  <c r="H4962" i="3"/>
  <c r="I4961" i="3"/>
  <c r="H4961" i="3"/>
  <c r="I4960" i="3"/>
  <c r="H4960" i="3"/>
  <c r="I4959" i="3"/>
  <c r="H4959" i="3"/>
  <c r="I4958" i="3"/>
  <c r="H4958" i="3"/>
  <c r="I4957" i="3"/>
  <c r="H4957" i="3"/>
  <c r="I4956" i="3"/>
  <c r="H4956" i="3"/>
  <c r="I4955" i="3"/>
  <c r="H4955" i="3"/>
  <c r="I4954" i="3"/>
  <c r="H4954" i="3"/>
  <c r="I4953" i="3"/>
  <c r="H4953" i="3"/>
  <c r="I4952" i="3"/>
  <c r="H4952" i="3"/>
  <c r="I4951" i="3"/>
  <c r="H4951" i="3"/>
  <c r="I4950" i="3"/>
  <c r="H4950" i="3"/>
  <c r="I4949" i="3"/>
  <c r="H4949" i="3"/>
  <c r="I4948" i="3"/>
  <c r="H4948" i="3"/>
  <c r="I4947" i="3"/>
  <c r="H4947" i="3"/>
  <c r="I4946" i="3"/>
  <c r="H4946" i="3"/>
  <c r="I4945" i="3"/>
  <c r="H4945" i="3"/>
  <c r="I4944" i="3"/>
  <c r="H4944" i="3"/>
  <c r="I4943" i="3"/>
  <c r="H4943" i="3"/>
  <c r="I4942" i="3"/>
  <c r="H4942" i="3"/>
  <c r="I4941" i="3"/>
  <c r="H4941" i="3"/>
  <c r="I4940" i="3"/>
  <c r="H4940" i="3"/>
  <c r="I4939" i="3"/>
  <c r="H4939" i="3"/>
  <c r="I4938" i="3"/>
  <c r="H4938" i="3"/>
  <c r="I4937" i="3"/>
  <c r="H4937" i="3"/>
  <c r="I4936" i="3"/>
  <c r="H4936" i="3"/>
  <c r="I4935" i="3"/>
  <c r="H4935" i="3"/>
  <c r="I4934" i="3"/>
  <c r="H4934" i="3"/>
  <c r="I4933" i="3"/>
  <c r="H4933" i="3"/>
  <c r="I4932" i="3"/>
  <c r="H4932" i="3"/>
  <c r="I4931" i="3"/>
  <c r="H4931" i="3"/>
  <c r="I4930" i="3"/>
  <c r="H4930" i="3"/>
  <c r="I4929" i="3"/>
  <c r="H4929" i="3"/>
  <c r="I4928" i="3"/>
  <c r="H4928" i="3"/>
  <c r="I4927" i="3"/>
  <c r="H4927" i="3"/>
  <c r="I4926" i="3"/>
  <c r="H4926" i="3"/>
  <c r="I4925" i="3"/>
  <c r="H4925" i="3"/>
  <c r="I4924" i="3"/>
  <c r="H4924" i="3"/>
  <c r="I4923" i="3"/>
  <c r="H4923" i="3"/>
  <c r="I4922" i="3"/>
  <c r="H4922" i="3"/>
  <c r="I4921" i="3"/>
  <c r="H4921" i="3"/>
  <c r="I4920" i="3"/>
  <c r="H4920" i="3"/>
  <c r="I4919" i="3"/>
  <c r="H4919" i="3"/>
  <c r="I4918" i="3"/>
  <c r="H4918" i="3"/>
  <c r="I4917" i="3"/>
  <c r="H4917" i="3"/>
  <c r="I4916" i="3"/>
  <c r="H4916" i="3"/>
  <c r="I4915" i="3"/>
  <c r="H4915" i="3"/>
  <c r="I4914" i="3"/>
  <c r="H4914" i="3"/>
  <c r="I4913" i="3"/>
  <c r="H4913" i="3"/>
  <c r="I4912" i="3"/>
  <c r="H4912" i="3"/>
  <c r="I4911" i="3"/>
  <c r="H4911" i="3"/>
  <c r="I4910" i="3"/>
  <c r="H4910" i="3"/>
  <c r="I4909" i="3"/>
  <c r="H4909" i="3"/>
  <c r="I4908" i="3"/>
  <c r="H4908" i="3"/>
  <c r="I4907" i="3"/>
  <c r="H4907" i="3"/>
  <c r="I4906" i="3"/>
  <c r="H4906" i="3"/>
  <c r="I4905" i="3"/>
  <c r="H4905" i="3"/>
  <c r="I4904" i="3"/>
  <c r="H4904" i="3"/>
  <c r="I4903" i="3"/>
  <c r="H4903" i="3"/>
  <c r="I4902" i="3"/>
  <c r="H4902" i="3"/>
  <c r="I4901" i="3"/>
  <c r="H4901" i="3"/>
  <c r="I4900" i="3"/>
  <c r="H4900" i="3"/>
  <c r="I4899" i="3"/>
  <c r="H4899" i="3"/>
  <c r="I4898" i="3"/>
  <c r="H4898" i="3"/>
  <c r="I4897" i="3"/>
  <c r="H4897" i="3"/>
  <c r="I4896" i="3"/>
  <c r="H4896" i="3"/>
  <c r="I4895" i="3"/>
  <c r="H4895" i="3"/>
  <c r="I4894" i="3"/>
  <c r="H4894" i="3"/>
  <c r="I4893" i="3"/>
  <c r="H4893" i="3"/>
  <c r="I4892" i="3"/>
  <c r="H4892" i="3"/>
  <c r="I4891" i="3"/>
  <c r="H4891" i="3"/>
  <c r="I4890" i="3"/>
  <c r="H4890" i="3"/>
  <c r="I4889" i="3"/>
  <c r="H4889" i="3"/>
  <c r="I4888" i="3"/>
  <c r="H4888" i="3"/>
  <c r="I4887" i="3"/>
  <c r="H4887" i="3"/>
  <c r="I4886" i="3"/>
  <c r="H4886" i="3"/>
  <c r="I4885" i="3"/>
  <c r="H4885" i="3"/>
  <c r="I4884" i="3"/>
  <c r="H4884" i="3"/>
  <c r="I4883" i="3"/>
  <c r="H4883" i="3"/>
  <c r="I4882" i="3"/>
  <c r="H4882" i="3"/>
  <c r="I4881" i="3"/>
  <c r="H4881" i="3"/>
  <c r="I4880" i="3"/>
  <c r="H4880" i="3"/>
  <c r="I4879" i="3"/>
  <c r="H4879" i="3"/>
  <c r="I4878" i="3"/>
  <c r="H4878" i="3"/>
  <c r="I4877" i="3"/>
  <c r="H4877" i="3"/>
  <c r="I4876" i="3"/>
  <c r="H4876" i="3"/>
  <c r="I4875" i="3"/>
  <c r="H4875" i="3"/>
  <c r="I4874" i="3"/>
  <c r="H4874" i="3"/>
  <c r="I4873" i="3"/>
  <c r="H4873" i="3"/>
  <c r="I4872" i="3"/>
  <c r="H4872" i="3"/>
  <c r="I4871" i="3"/>
  <c r="H4871" i="3"/>
  <c r="I4870" i="3"/>
  <c r="H4870" i="3"/>
  <c r="I4869" i="3"/>
  <c r="H4869" i="3"/>
  <c r="I4868" i="3"/>
  <c r="H4868" i="3"/>
  <c r="I4867" i="3"/>
  <c r="H4867" i="3"/>
  <c r="I4866" i="3"/>
  <c r="H4866" i="3"/>
  <c r="I4865" i="3"/>
  <c r="H4865" i="3"/>
  <c r="I4864" i="3"/>
  <c r="H4864" i="3"/>
  <c r="I4863" i="3"/>
  <c r="H4863" i="3"/>
  <c r="I4862" i="3"/>
  <c r="H4862" i="3"/>
  <c r="I4861" i="3"/>
  <c r="H4861" i="3"/>
  <c r="I4860" i="3"/>
  <c r="H4860" i="3"/>
  <c r="I4859" i="3"/>
  <c r="H4859" i="3"/>
  <c r="I4858" i="3"/>
  <c r="H4858" i="3"/>
  <c r="I4857" i="3"/>
  <c r="H4857" i="3"/>
  <c r="I4856" i="3"/>
  <c r="H4856" i="3"/>
  <c r="I4855" i="3"/>
  <c r="H4855" i="3"/>
  <c r="I4854" i="3"/>
  <c r="H4854" i="3"/>
  <c r="I4853" i="3"/>
  <c r="H4853" i="3"/>
  <c r="I4852" i="3"/>
  <c r="H4852" i="3"/>
  <c r="I4851" i="3"/>
  <c r="H4851" i="3"/>
  <c r="I4850" i="3"/>
  <c r="H4850" i="3"/>
  <c r="I4849" i="3"/>
  <c r="H4849" i="3"/>
  <c r="I4848" i="3"/>
  <c r="H4848" i="3"/>
  <c r="I4847" i="3"/>
  <c r="H4847" i="3"/>
  <c r="I4846" i="3"/>
  <c r="H4846" i="3"/>
  <c r="I4845" i="3"/>
  <c r="H4845" i="3"/>
  <c r="I4844" i="3"/>
  <c r="H4844" i="3"/>
  <c r="I4843" i="3"/>
  <c r="H4843" i="3"/>
  <c r="I4842" i="3"/>
  <c r="H4842" i="3"/>
  <c r="I4841" i="3"/>
  <c r="H4841" i="3"/>
  <c r="I4840" i="3"/>
  <c r="H4840" i="3"/>
  <c r="I4839" i="3"/>
  <c r="H4839" i="3"/>
  <c r="I4838" i="3"/>
  <c r="H4838" i="3"/>
  <c r="I4837" i="3"/>
  <c r="H4837" i="3"/>
  <c r="I4836" i="3"/>
  <c r="H4836" i="3"/>
  <c r="I4835" i="3"/>
  <c r="H4835" i="3"/>
  <c r="I4834" i="3"/>
  <c r="H4834" i="3"/>
  <c r="I4833" i="3"/>
  <c r="H4833" i="3"/>
  <c r="I4832" i="3"/>
  <c r="H4832" i="3"/>
  <c r="I4831" i="3"/>
  <c r="H4831" i="3"/>
  <c r="I4830" i="3"/>
  <c r="H4830" i="3"/>
  <c r="I4829" i="3"/>
  <c r="H4829" i="3"/>
  <c r="I4828" i="3"/>
  <c r="H4828" i="3"/>
  <c r="I4827" i="3"/>
  <c r="H4827" i="3"/>
  <c r="I4826" i="3"/>
  <c r="H4826" i="3"/>
  <c r="I4825" i="3"/>
  <c r="H4825" i="3"/>
  <c r="I4824" i="3"/>
  <c r="H4824" i="3"/>
  <c r="I4823" i="3"/>
  <c r="H4823" i="3"/>
  <c r="I4822" i="3"/>
  <c r="H4822" i="3"/>
  <c r="I4821" i="3"/>
  <c r="H4821" i="3"/>
  <c r="I4820" i="3"/>
  <c r="H4820" i="3"/>
  <c r="I4819" i="3"/>
  <c r="H4819" i="3"/>
  <c r="I4818" i="3"/>
  <c r="H4818" i="3"/>
  <c r="I4817" i="3"/>
  <c r="H4817" i="3"/>
  <c r="I4816" i="3"/>
  <c r="H4816" i="3"/>
  <c r="I4815" i="3"/>
  <c r="H4815" i="3"/>
  <c r="I4814" i="3"/>
  <c r="H4814" i="3"/>
  <c r="I4813" i="3"/>
  <c r="H4813" i="3"/>
  <c r="I4812" i="3"/>
  <c r="H4812" i="3"/>
  <c r="I4811" i="3"/>
  <c r="H4811" i="3"/>
  <c r="I4810" i="3"/>
  <c r="H4810" i="3"/>
  <c r="I4809" i="3"/>
  <c r="H4809" i="3"/>
  <c r="I4808" i="3"/>
  <c r="H4808" i="3"/>
  <c r="I4807" i="3"/>
  <c r="H4807" i="3"/>
  <c r="I4806" i="3"/>
  <c r="H4806" i="3"/>
  <c r="I4805" i="3"/>
  <c r="H4805" i="3"/>
  <c r="I4804" i="3"/>
  <c r="H4804" i="3"/>
  <c r="I4803" i="3"/>
  <c r="H4803" i="3"/>
  <c r="I4802" i="3"/>
  <c r="H4802" i="3"/>
  <c r="I4801" i="3"/>
  <c r="H4801" i="3"/>
  <c r="I4800" i="3"/>
  <c r="H4800" i="3"/>
  <c r="I4799" i="3"/>
  <c r="H4799" i="3"/>
  <c r="I4798" i="3"/>
  <c r="H4798" i="3"/>
  <c r="I4797" i="3"/>
  <c r="H4797" i="3"/>
  <c r="I4796" i="3"/>
  <c r="H4796" i="3"/>
  <c r="I4795" i="3"/>
  <c r="H4795" i="3"/>
  <c r="I4794" i="3"/>
  <c r="H4794" i="3"/>
  <c r="I4793" i="3"/>
  <c r="H4793" i="3"/>
  <c r="I4792" i="3"/>
  <c r="H4792" i="3"/>
  <c r="I4791" i="3"/>
  <c r="H4791" i="3"/>
  <c r="I4790" i="3"/>
  <c r="H4790" i="3"/>
  <c r="I4789" i="3"/>
  <c r="H4789" i="3"/>
  <c r="I4788" i="3"/>
  <c r="H4788" i="3"/>
  <c r="I4787" i="3"/>
  <c r="H4787" i="3"/>
  <c r="I4786" i="3"/>
  <c r="H4786" i="3"/>
  <c r="I4785" i="3"/>
  <c r="H4785" i="3"/>
  <c r="I4784" i="3"/>
  <c r="H4784" i="3"/>
  <c r="I4783" i="3"/>
  <c r="H4783" i="3"/>
  <c r="I4782" i="3"/>
  <c r="H4782" i="3"/>
  <c r="I4781" i="3"/>
  <c r="H4781" i="3"/>
  <c r="I4780" i="3"/>
  <c r="H4780" i="3"/>
  <c r="I4779" i="3"/>
  <c r="H4779" i="3"/>
  <c r="I4778" i="3"/>
  <c r="H4778" i="3"/>
  <c r="I4777" i="3"/>
  <c r="H4777" i="3"/>
  <c r="I4776" i="3"/>
  <c r="H4776" i="3"/>
  <c r="I4775" i="3"/>
  <c r="H4775" i="3"/>
  <c r="I4774" i="3"/>
  <c r="H4774" i="3"/>
  <c r="I4773" i="3"/>
  <c r="H4773" i="3"/>
  <c r="I4772" i="3"/>
  <c r="H4772" i="3"/>
  <c r="I4771" i="3"/>
  <c r="H4771" i="3"/>
  <c r="I4770" i="3"/>
  <c r="H4770" i="3"/>
  <c r="I4769" i="3"/>
  <c r="H4769" i="3"/>
  <c r="I4768" i="3"/>
  <c r="H4768" i="3"/>
  <c r="I4767" i="3"/>
  <c r="H4767" i="3"/>
  <c r="I4766" i="3"/>
  <c r="H4766" i="3"/>
  <c r="I4765" i="3"/>
  <c r="H4765" i="3"/>
  <c r="I4764" i="3"/>
  <c r="H4764" i="3"/>
  <c r="I4763" i="3"/>
  <c r="H4763" i="3"/>
  <c r="I4762" i="3"/>
  <c r="H4762" i="3"/>
  <c r="I4761" i="3"/>
  <c r="H4761" i="3"/>
  <c r="I4760" i="3"/>
  <c r="H4760" i="3"/>
  <c r="I4759" i="3"/>
  <c r="H4759" i="3"/>
  <c r="I4758" i="3"/>
  <c r="H4758" i="3"/>
  <c r="I4757" i="3"/>
  <c r="H4757" i="3"/>
  <c r="I4756" i="3"/>
  <c r="H4756" i="3"/>
  <c r="I4755" i="3"/>
  <c r="H4755" i="3"/>
  <c r="I4754" i="3"/>
  <c r="H4754" i="3"/>
  <c r="I4753" i="3"/>
  <c r="H4753" i="3"/>
  <c r="I4752" i="3"/>
  <c r="H4752" i="3"/>
  <c r="I4751" i="3"/>
  <c r="H4751" i="3"/>
  <c r="I4750" i="3"/>
  <c r="H4750" i="3"/>
  <c r="I4749" i="3"/>
  <c r="H4749" i="3"/>
  <c r="I4748" i="3"/>
  <c r="H4748" i="3"/>
  <c r="I4747" i="3"/>
  <c r="H4747" i="3"/>
  <c r="I4746" i="3"/>
  <c r="H4746" i="3"/>
  <c r="I4745" i="3"/>
  <c r="H4745" i="3"/>
  <c r="I4744" i="3"/>
  <c r="H4744" i="3"/>
  <c r="I4743" i="3"/>
  <c r="H4743" i="3"/>
  <c r="I4742" i="3"/>
  <c r="H4742" i="3"/>
  <c r="I4741" i="3"/>
  <c r="H4741" i="3"/>
  <c r="I4740" i="3"/>
  <c r="H4740" i="3"/>
  <c r="I4739" i="3"/>
  <c r="H4739" i="3"/>
  <c r="I4738" i="3"/>
  <c r="H4738" i="3"/>
  <c r="I4737" i="3"/>
  <c r="H4737" i="3"/>
  <c r="I4736" i="3"/>
  <c r="H4736" i="3"/>
  <c r="I4735" i="3"/>
  <c r="H4735" i="3"/>
  <c r="I4734" i="3"/>
  <c r="H4734" i="3"/>
  <c r="I4733" i="3"/>
  <c r="H4733" i="3"/>
  <c r="I4732" i="3"/>
  <c r="H4732" i="3"/>
  <c r="I4731" i="3"/>
  <c r="H4731" i="3"/>
  <c r="I4730" i="3"/>
  <c r="H4730" i="3"/>
  <c r="I4729" i="3"/>
  <c r="H4729" i="3"/>
  <c r="I4728" i="3"/>
  <c r="H4728" i="3"/>
  <c r="I4727" i="3"/>
  <c r="H4727" i="3"/>
  <c r="I4726" i="3"/>
  <c r="H4726" i="3"/>
  <c r="I4725" i="3"/>
  <c r="H4725" i="3"/>
  <c r="I4724" i="3"/>
  <c r="H4724" i="3"/>
  <c r="I4723" i="3"/>
  <c r="H4723" i="3"/>
  <c r="I4722" i="3"/>
  <c r="H4722" i="3"/>
  <c r="I4721" i="3"/>
  <c r="H4721" i="3"/>
  <c r="I4720" i="3"/>
  <c r="H4720" i="3"/>
  <c r="I4719" i="3"/>
  <c r="H4719" i="3"/>
  <c r="I4718" i="3"/>
  <c r="H4718" i="3"/>
  <c r="I4717" i="3"/>
  <c r="H4717" i="3"/>
  <c r="I4716" i="3"/>
  <c r="H4716" i="3"/>
  <c r="I4715" i="3"/>
  <c r="H4715" i="3"/>
  <c r="I4714" i="3"/>
  <c r="H4714" i="3"/>
  <c r="I4713" i="3"/>
  <c r="H4713" i="3"/>
  <c r="I4712" i="3"/>
  <c r="H4712" i="3"/>
  <c r="I4711" i="3"/>
  <c r="H4711" i="3"/>
  <c r="I4710" i="3"/>
  <c r="H4710" i="3"/>
  <c r="I4709" i="3"/>
  <c r="H4709" i="3"/>
  <c r="I4708" i="3"/>
  <c r="H4708" i="3"/>
  <c r="I4707" i="3"/>
  <c r="H4707" i="3"/>
  <c r="I4706" i="3"/>
  <c r="H4706" i="3"/>
  <c r="I4705" i="3"/>
  <c r="H4705" i="3"/>
  <c r="I4704" i="3"/>
  <c r="H4704" i="3"/>
  <c r="I4703" i="3"/>
  <c r="H4703" i="3"/>
  <c r="I4702" i="3"/>
  <c r="H4702" i="3"/>
  <c r="I4701" i="3"/>
  <c r="H4701" i="3"/>
  <c r="I4700" i="3"/>
  <c r="H4700" i="3"/>
  <c r="I4699" i="3"/>
  <c r="H4699" i="3"/>
  <c r="I4698" i="3"/>
  <c r="H4698" i="3"/>
  <c r="I4697" i="3"/>
  <c r="H4697" i="3"/>
  <c r="I4696" i="3"/>
  <c r="H4696" i="3"/>
  <c r="I4695" i="3"/>
  <c r="H4695" i="3"/>
  <c r="I4694" i="3"/>
  <c r="H4694" i="3"/>
  <c r="I4693" i="3"/>
  <c r="H4693" i="3"/>
  <c r="I4692" i="3"/>
  <c r="H4692" i="3"/>
  <c r="I4691" i="3"/>
  <c r="H4691" i="3"/>
  <c r="I4690" i="3"/>
  <c r="H4690" i="3"/>
  <c r="I4689" i="3"/>
  <c r="H4689" i="3"/>
  <c r="I4688" i="3"/>
  <c r="H4688" i="3"/>
  <c r="I4687" i="3"/>
  <c r="H4687" i="3"/>
  <c r="I4686" i="3"/>
  <c r="H4686" i="3"/>
  <c r="I4685" i="3"/>
  <c r="H4685" i="3"/>
  <c r="I4684" i="3"/>
  <c r="H4684" i="3"/>
  <c r="I4683" i="3"/>
  <c r="H4683" i="3"/>
  <c r="I4682" i="3"/>
  <c r="H4682" i="3"/>
  <c r="I4681" i="3"/>
  <c r="H4681" i="3"/>
  <c r="I4680" i="3"/>
  <c r="H4680" i="3"/>
  <c r="I4679" i="3"/>
  <c r="H4679" i="3"/>
  <c r="I4678" i="3"/>
  <c r="H4678" i="3"/>
  <c r="I4677" i="3"/>
  <c r="H4677" i="3"/>
  <c r="I4676" i="3"/>
  <c r="H4676" i="3"/>
  <c r="I4675" i="3"/>
  <c r="H4675" i="3"/>
  <c r="I4674" i="3"/>
  <c r="H4674" i="3"/>
  <c r="I4673" i="3"/>
  <c r="H4673" i="3"/>
  <c r="I4672" i="3"/>
  <c r="H4672" i="3"/>
  <c r="I4671" i="3"/>
  <c r="H4671" i="3"/>
  <c r="I4670" i="3"/>
  <c r="H4670" i="3"/>
  <c r="I4669" i="3"/>
  <c r="H4669" i="3"/>
  <c r="I4668" i="3"/>
  <c r="H4668" i="3"/>
  <c r="I4667" i="3"/>
  <c r="H4667" i="3"/>
  <c r="I4666" i="3"/>
  <c r="H4666" i="3"/>
  <c r="I4665" i="3"/>
  <c r="H4665" i="3"/>
  <c r="I4664" i="3"/>
  <c r="H4664" i="3"/>
  <c r="I4663" i="3"/>
  <c r="H4663" i="3"/>
  <c r="I4662" i="3"/>
  <c r="H4662" i="3"/>
  <c r="I4661" i="3"/>
  <c r="H4661" i="3"/>
  <c r="I4660" i="3"/>
  <c r="H4660" i="3"/>
  <c r="I4659" i="3"/>
  <c r="H4659" i="3"/>
  <c r="I4658" i="3"/>
  <c r="H4658" i="3"/>
  <c r="I4657" i="3"/>
  <c r="H4657" i="3"/>
  <c r="I4656" i="3"/>
  <c r="H4656" i="3"/>
  <c r="I4655" i="3"/>
  <c r="H4655" i="3"/>
  <c r="I4654" i="3"/>
  <c r="H4654" i="3"/>
  <c r="I4653" i="3"/>
  <c r="H4653" i="3"/>
  <c r="I4652" i="3"/>
  <c r="H4652" i="3"/>
  <c r="I4651" i="3"/>
  <c r="H4651" i="3"/>
  <c r="I4650" i="3"/>
  <c r="H4650" i="3"/>
  <c r="I4649" i="3"/>
  <c r="H4649" i="3"/>
  <c r="I4648" i="3"/>
  <c r="H4648" i="3"/>
  <c r="I4647" i="3"/>
  <c r="H4647" i="3"/>
  <c r="I4646" i="3"/>
  <c r="H4646" i="3"/>
  <c r="I4645" i="3"/>
  <c r="H4645" i="3"/>
  <c r="I4644" i="3"/>
  <c r="H4644" i="3"/>
  <c r="I4643" i="3"/>
  <c r="H4643" i="3"/>
  <c r="I4642" i="3"/>
  <c r="H4642" i="3"/>
  <c r="I4641" i="3"/>
  <c r="H4641" i="3"/>
  <c r="I4640" i="3"/>
  <c r="H4640" i="3"/>
  <c r="I4639" i="3"/>
  <c r="H4639" i="3"/>
  <c r="I4638" i="3"/>
  <c r="H4638" i="3"/>
  <c r="I4637" i="3"/>
  <c r="H4637" i="3"/>
  <c r="I4636" i="3"/>
  <c r="H4636" i="3"/>
  <c r="I4635" i="3"/>
  <c r="H4635" i="3"/>
  <c r="I4634" i="3"/>
  <c r="H4634" i="3"/>
  <c r="I4633" i="3"/>
  <c r="H4633" i="3"/>
  <c r="I4632" i="3"/>
  <c r="H4632" i="3"/>
  <c r="I4631" i="3"/>
  <c r="H4631" i="3"/>
  <c r="I4630" i="3"/>
  <c r="H4630" i="3"/>
  <c r="I4629" i="3"/>
  <c r="H4629" i="3"/>
  <c r="I4628" i="3"/>
  <c r="H4628" i="3"/>
  <c r="I4627" i="3"/>
  <c r="H4627" i="3"/>
  <c r="I4626" i="3"/>
  <c r="H4626" i="3"/>
  <c r="I4625" i="3"/>
  <c r="H4625" i="3"/>
  <c r="I4624" i="3"/>
  <c r="H4624" i="3"/>
  <c r="I4623" i="3"/>
  <c r="H4623" i="3"/>
  <c r="I4622" i="3"/>
  <c r="H4622" i="3"/>
  <c r="I4621" i="3"/>
  <c r="H4621" i="3"/>
  <c r="I4620" i="3"/>
  <c r="H4620" i="3"/>
  <c r="I4619" i="3"/>
  <c r="H4619" i="3"/>
  <c r="I4618" i="3"/>
  <c r="H4618" i="3"/>
  <c r="I4617" i="3"/>
  <c r="H4617" i="3"/>
  <c r="I4616" i="3"/>
  <c r="H4616" i="3"/>
  <c r="I4615" i="3"/>
  <c r="H4615" i="3"/>
  <c r="I4614" i="3"/>
  <c r="H4614" i="3"/>
  <c r="I4613" i="3"/>
  <c r="H4613" i="3"/>
  <c r="I4612" i="3"/>
  <c r="H4612" i="3"/>
  <c r="I4611" i="3"/>
  <c r="H4611" i="3"/>
  <c r="I4610" i="3"/>
  <c r="H4610" i="3"/>
  <c r="I4609" i="3"/>
  <c r="H4609" i="3"/>
  <c r="I4608" i="3"/>
  <c r="H4608" i="3"/>
  <c r="I4607" i="3"/>
  <c r="H4607" i="3"/>
  <c r="I4606" i="3"/>
  <c r="H4606" i="3"/>
  <c r="I4605" i="3"/>
  <c r="H4605" i="3"/>
  <c r="I4604" i="3"/>
  <c r="H4604" i="3"/>
  <c r="I4603" i="3"/>
  <c r="H4603" i="3"/>
  <c r="I4602" i="3"/>
  <c r="H4602" i="3"/>
  <c r="I4601" i="3"/>
  <c r="H4601" i="3"/>
  <c r="I4600" i="3"/>
  <c r="H4600" i="3"/>
  <c r="I4599" i="3"/>
  <c r="H4599" i="3"/>
  <c r="I4598" i="3"/>
  <c r="H4598" i="3"/>
  <c r="I4597" i="3"/>
  <c r="H4597" i="3"/>
  <c r="I4596" i="3"/>
  <c r="H4596" i="3"/>
  <c r="I4595" i="3"/>
  <c r="H4595" i="3"/>
  <c r="I4594" i="3"/>
  <c r="H4594" i="3"/>
  <c r="I4593" i="3"/>
  <c r="H4593" i="3"/>
  <c r="I4592" i="3"/>
  <c r="H4592" i="3"/>
  <c r="I4591" i="3"/>
  <c r="H4591" i="3"/>
  <c r="I4590" i="3"/>
  <c r="H4590" i="3"/>
  <c r="I4589" i="3"/>
  <c r="H4589" i="3"/>
  <c r="I4588" i="3"/>
  <c r="H4588" i="3"/>
  <c r="I4587" i="3"/>
  <c r="H4587" i="3"/>
  <c r="I4586" i="3"/>
  <c r="H4586" i="3"/>
  <c r="I4585" i="3"/>
  <c r="H4585" i="3"/>
  <c r="I4584" i="3"/>
  <c r="H4584" i="3"/>
  <c r="I4583" i="3"/>
  <c r="H4583" i="3"/>
  <c r="I4582" i="3"/>
  <c r="H4582" i="3"/>
  <c r="I4581" i="3"/>
  <c r="H4581" i="3"/>
  <c r="I4580" i="3"/>
  <c r="H4580" i="3"/>
  <c r="I4579" i="3"/>
  <c r="H4579" i="3"/>
  <c r="I4578" i="3"/>
  <c r="H4578" i="3"/>
  <c r="I4577" i="3"/>
  <c r="H4577" i="3"/>
  <c r="I4576" i="3"/>
  <c r="H4576" i="3"/>
  <c r="I4575" i="3"/>
  <c r="H4575" i="3"/>
  <c r="I4574" i="3"/>
  <c r="H4574" i="3"/>
  <c r="I4573" i="3"/>
  <c r="H4573" i="3"/>
  <c r="I4572" i="3"/>
  <c r="H4572" i="3"/>
  <c r="I4571" i="3"/>
  <c r="H4571" i="3"/>
  <c r="I4570" i="3"/>
  <c r="H4570" i="3"/>
  <c r="I4569" i="3"/>
  <c r="H4569" i="3"/>
  <c r="I4568" i="3"/>
  <c r="H4568" i="3"/>
  <c r="I4567" i="3"/>
  <c r="H4567" i="3"/>
  <c r="I4566" i="3"/>
  <c r="H4566" i="3"/>
  <c r="I4565" i="3"/>
  <c r="H4565" i="3"/>
  <c r="I4564" i="3"/>
  <c r="H4564" i="3"/>
  <c r="I4563" i="3"/>
  <c r="H4563" i="3"/>
  <c r="I4562" i="3"/>
  <c r="H4562" i="3"/>
  <c r="I4561" i="3"/>
  <c r="H4561" i="3"/>
  <c r="I4560" i="3"/>
  <c r="H4560" i="3"/>
  <c r="I4559" i="3"/>
  <c r="H4559" i="3"/>
  <c r="I4558" i="3"/>
  <c r="H4558" i="3"/>
  <c r="I4557" i="3"/>
  <c r="H4557" i="3"/>
  <c r="I4556" i="3"/>
  <c r="H4556" i="3"/>
  <c r="I4555" i="3"/>
  <c r="H4555" i="3"/>
  <c r="I4554" i="3"/>
  <c r="H4554" i="3"/>
  <c r="I4553" i="3"/>
  <c r="H4553" i="3"/>
  <c r="I4552" i="3"/>
  <c r="H4552" i="3"/>
  <c r="I4551" i="3"/>
  <c r="H4551" i="3"/>
  <c r="I4550" i="3"/>
  <c r="H4550" i="3"/>
  <c r="I4549" i="3"/>
  <c r="H4549" i="3"/>
  <c r="I4548" i="3"/>
  <c r="H4548" i="3"/>
  <c r="I4547" i="3"/>
  <c r="H4547" i="3"/>
  <c r="I4546" i="3"/>
  <c r="H4546" i="3"/>
  <c r="I4545" i="3"/>
  <c r="H4545" i="3"/>
  <c r="I4544" i="3"/>
  <c r="H4544" i="3"/>
  <c r="I4543" i="3"/>
  <c r="H4543" i="3"/>
  <c r="I4542" i="3"/>
  <c r="H4542" i="3"/>
  <c r="I4541" i="3"/>
  <c r="H4541" i="3"/>
  <c r="I4540" i="3"/>
  <c r="H4540" i="3"/>
  <c r="I4539" i="3"/>
  <c r="H4539" i="3"/>
  <c r="I4538" i="3"/>
  <c r="H4538" i="3"/>
  <c r="I4537" i="3"/>
  <c r="H4537" i="3"/>
  <c r="I4536" i="3"/>
  <c r="H4536" i="3"/>
  <c r="I4535" i="3"/>
  <c r="H4535" i="3"/>
  <c r="I4534" i="3"/>
  <c r="H4534" i="3"/>
  <c r="I4533" i="3"/>
  <c r="H4533" i="3"/>
  <c r="I4532" i="3"/>
  <c r="H4532" i="3"/>
  <c r="I4531" i="3"/>
  <c r="H4531" i="3"/>
  <c r="I4530" i="3"/>
  <c r="H4530" i="3"/>
  <c r="I4529" i="3"/>
  <c r="H4529" i="3"/>
  <c r="I4528" i="3"/>
  <c r="H4528" i="3"/>
  <c r="I4527" i="3"/>
  <c r="H4527" i="3"/>
  <c r="I4526" i="3"/>
  <c r="H4526" i="3"/>
  <c r="I4525" i="3"/>
  <c r="H4525" i="3"/>
  <c r="I4524" i="3"/>
  <c r="H4524" i="3"/>
  <c r="I4523" i="3"/>
  <c r="H4523" i="3"/>
  <c r="I4522" i="3"/>
  <c r="H4522" i="3"/>
  <c r="I4521" i="3"/>
  <c r="H4521" i="3"/>
  <c r="I4520" i="3"/>
  <c r="H4520" i="3"/>
  <c r="I4519" i="3"/>
  <c r="H4519" i="3"/>
  <c r="I4518" i="3"/>
  <c r="H4518" i="3"/>
  <c r="I4517" i="3"/>
  <c r="H4517" i="3"/>
  <c r="I4516" i="3"/>
  <c r="H4516" i="3"/>
  <c r="I4515" i="3"/>
  <c r="H4515" i="3"/>
  <c r="I4514" i="3"/>
  <c r="H4514" i="3"/>
  <c r="I4513" i="3"/>
  <c r="H4513" i="3"/>
  <c r="I4512" i="3"/>
  <c r="H4512" i="3"/>
  <c r="I4511" i="3"/>
  <c r="H4511" i="3"/>
  <c r="I4510" i="3"/>
  <c r="H4510" i="3"/>
  <c r="I4509" i="3"/>
  <c r="H4509" i="3"/>
  <c r="I4508" i="3"/>
  <c r="H4508" i="3"/>
  <c r="I4507" i="3"/>
  <c r="H4507" i="3"/>
  <c r="I4506" i="3"/>
  <c r="H4506" i="3"/>
  <c r="H4505" i="3"/>
  <c r="I4504" i="3"/>
  <c r="H4504" i="3"/>
  <c r="I4503" i="3"/>
  <c r="H4503" i="3"/>
  <c r="I4502" i="3"/>
  <c r="H4502" i="3"/>
  <c r="I4501" i="3"/>
  <c r="H4501" i="3"/>
  <c r="I4500" i="3"/>
  <c r="H4500" i="3"/>
  <c r="I4499" i="3"/>
  <c r="H4499" i="3"/>
  <c r="I4498" i="3"/>
  <c r="H4498" i="3"/>
  <c r="I4497" i="3"/>
  <c r="H4497" i="3"/>
  <c r="I4496" i="3"/>
  <c r="H4496" i="3"/>
  <c r="I4495" i="3"/>
  <c r="H4495" i="3"/>
  <c r="I4494" i="3"/>
  <c r="H4494" i="3"/>
  <c r="I4493" i="3"/>
  <c r="H4493" i="3"/>
  <c r="I4492" i="3"/>
  <c r="H4492" i="3"/>
  <c r="I4491" i="3"/>
  <c r="H4491" i="3"/>
  <c r="I4490" i="3"/>
  <c r="H4490" i="3"/>
  <c r="I4489" i="3"/>
  <c r="H4489" i="3"/>
  <c r="I4488" i="3"/>
  <c r="H4488" i="3"/>
  <c r="I4487" i="3"/>
  <c r="H4487" i="3"/>
  <c r="I4486" i="3"/>
  <c r="H4486" i="3"/>
  <c r="I4485" i="3"/>
  <c r="H4485" i="3"/>
  <c r="I4484" i="3"/>
  <c r="H4484" i="3"/>
  <c r="I4483" i="3"/>
  <c r="H4483" i="3"/>
  <c r="I4482" i="3"/>
  <c r="H4482" i="3"/>
  <c r="I4481" i="3"/>
  <c r="H4481" i="3"/>
  <c r="I4480" i="3"/>
  <c r="H4480" i="3"/>
  <c r="I4479" i="3"/>
  <c r="H4479" i="3"/>
  <c r="I4478" i="3"/>
  <c r="H4478" i="3"/>
  <c r="I4477" i="3"/>
  <c r="H4477" i="3"/>
  <c r="I4476" i="3"/>
  <c r="H4476" i="3"/>
  <c r="I4475" i="3"/>
  <c r="H4475" i="3"/>
  <c r="I4474" i="3"/>
  <c r="H4474" i="3"/>
  <c r="I4473" i="3"/>
  <c r="H4473" i="3"/>
  <c r="I4472" i="3"/>
  <c r="H4472" i="3"/>
  <c r="I4471" i="3"/>
  <c r="H4471" i="3"/>
  <c r="I4470" i="3"/>
  <c r="H4470" i="3"/>
  <c r="I4469" i="3"/>
  <c r="H4469" i="3"/>
  <c r="I4468" i="3"/>
  <c r="H4468" i="3"/>
  <c r="I4467" i="3"/>
  <c r="H4467" i="3"/>
  <c r="I4466" i="3"/>
  <c r="H4466" i="3"/>
  <c r="H4465" i="3"/>
  <c r="I4464" i="3"/>
  <c r="H4464" i="3"/>
  <c r="I4463" i="3"/>
  <c r="H4463" i="3"/>
  <c r="I4462" i="3"/>
  <c r="H4462" i="3"/>
  <c r="I4461" i="3"/>
  <c r="H4461" i="3"/>
  <c r="I4460" i="3"/>
  <c r="H4460" i="3"/>
  <c r="I4459" i="3"/>
  <c r="H4459" i="3"/>
  <c r="I4458" i="3"/>
  <c r="H4458" i="3"/>
  <c r="I4457" i="3"/>
  <c r="H4457" i="3"/>
  <c r="I4456" i="3"/>
  <c r="H4456" i="3"/>
  <c r="I4455" i="3"/>
  <c r="H4455" i="3"/>
  <c r="I4454" i="3"/>
  <c r="H4454" i="3"/>
  <c r="I4453" i="3"/>
  <c r="H4453" i="3"/>
  <c r="I4452" i="3"/>
  <c r="H4452" i="3"/>
  <c r="I4451" i="3"/>
  <c r="H4451" i="3"/>
  <c r="I4450" i="3"/>
  <c r="H4450" i="3"/>
  <c r="I4449" i="3"/>
  <c r="H4449" i="3"/>
  <c r="I4448" i="3"/>
  <c r="H4448" i="3"/>
  <c r="I4447" i="3"/>
  <c r="H4447" i="3"/>
  <c r="I4446" i="3"/>
  <c r="H4446" i="3"/>
  <c r="I4445" i="3"/>
  <c r="H4445" i="3"/>
  <c r="I4444" i="3"/>
  <c r="H4444" i="3"/>
  <c r="I4443" i="3"/>
  <c r="H4443" i="3"/>
  <c r="I4442" i="3"/>
  <c r="H4442" i="3"/>
  <c r="I4441" i="3"/>
  <c r="H4441" i="3"/>
  <c r="I4440" i="3"/>
  <c r="H4440" i="3"/>
  <c r="I4439" i="3"/>
  <c r="H4439" i="3"/>
  <c r="I4438" i="3"/>
  <c r="H4438" i="3"/>
  <c r="I4437" i="3"/>
  <c r="H4437" i="3"/>
  <c r="I4436" i="3"/>
  <c r="H4436" i="3"/>
  <c r="I4435" i="3"/>
  <c r="H4435" i="3"/>
  <c r="I4434" i="3"/>
  <c r="H4434" i="3"/>
  <c r="I4433" i="3"/>
  <c r="H4433" i="3"/>
  <c r="I4432" i="3"/>
  <c r="H4432" i="3"/>
  <c r="I4431" i="3"/>
  <c r="H4431" i="3"/>
  <c r="I4430" i="3"/>
  <c r="H4430" i="3"/>
  <c r="I4429" i="3"/>
  <c r="H4429" i="3"/>
  <c r="I4428" i="3"/>
  <c r="H4428" i="3"/>
  <c r="I4427" i="3"/>
  <c r="H4427" i="3"/>
  <c r="I4426" i="3"/>
  <c r="H4426" i="3"/>
  <c r="I4425" i="3"/>
  <c r="H4425" i="3"/>
  <c r="I4424" i="3"/>
  <c r="H4424" i="3"/>
  <c r="I4423" i="3"/>
  <c r="H4423" i="3"/>
  <c r="I4422" i="3"/>
  <c r="H4422" i="3"/>
  <c r="I4421" i="3"/>
  <c r="H4421" i="3"/>
  <c r="I4420" i="3"/>
  <c r="H4420" i="3"/>
  <c r="I4419" i="3"/>
  <c r="H4419" i="3"/>
  <c r="I4418" i="3"/>
  <c r="H4418" i="3"/>
  <c r="I4417" i="3"/>
  <c r="H4417" i="3"/>
  <c r="I4416" i="3"/>
  <c r="H4416" i="3"/>
  <c r="I4415" i="3"/>
  <c r="H4415" i="3"/>
  <c r="I4414" i="3"/>
  <c r="H4414" i="3"/>
  <c r="I4413" i="3"/>
  <c r="H4413" i="3"/>
  <c r="I4412" i="3"/>
  <c r="H4412" i="3"/>
  <c r="I4411" i="3"/>
  <c r="H4411" i="3"/>
  <c r="I4410" i="3"/>
  <c r="H4410" i="3"/>
  <c r="I4409" i="3"/>
  <c r="H4409" i="3"/>
  <c r="I4408" i="3"/>
  <c r="H4408" i="3"/>
  <c r="I4407" i="3"/>
  <c r="H4407" i="3"/>
  <c r="I4406" i="3"/>
  <c r="H4406" i="3"/>
  <c r="I4405" i="3"/>
  <c r="H4405" i="3"/>
  <c r="I4404" i="3"/>
  <c r="H4404" i="3"/>
  <c r="I4403" i="3"/>
  <c r="H4403" i="3"/>
  <c r="I4402" i="3"/>
  <c r="H4402" i="3"/>
  <c r="I4401" i="3"/>
  <c r="H4401" i="3"/>
  <c r="I4400" i="3"/>
  <c r="H4400" i="3"/>
  <c r="I4399" i="3"/>
  <c r="H4399" i="3"/>
  <c r="I4398" i="3"/>
  <c r="H4398" i="3"/>
  <c r="I4397" i="3"/>
  <c r="H4397" i="3"/>
  <c r="I4396" i="3"/>
  <c r="H4396" i="3"/>
  <c r="I4395" i="3"/>
  <c r="H4395" i="3"/>
  <c r="I4394" i="3"/>
  <c r="H4394" i="3"/>
  <c r="I4393" i="3"/>
  <c r="H4393" i="3"/>
  <c r="I4392" i="3"/>
  <c r="H4392" i="3"/>
  <c r="I4391" i="3"/>
  <c r="H4391" i="3"/>
  <c r="I4390" i="3"/>
  <c r="H4390" i="3"/>
  <c r="I4389" i="3"/>
  <c r="H4389" i="3"/>
  <c r="I4388" i="3"/>
  <c r="H4388" i="3"/>
  <c r="I4387" i="3"/>
  <c r="H4387" i="3"/>
  <c r="I4386" i="3"/>
  <c r="H4386" i="3"/>
  <c r="I4385" i="3"/>
  <c r="H4385" i="3"/>
  <c r="I4384" i="3"/>
  <c r="H4384" i="3"/>
  <c r="H4383" i="3"/>
  <c r="I4382" i="3"/>
  <c r="H4382" i="3"/>
  <c r="I4381" i="3"/>
  <c r="H4381" i="3"/>
  <c r="I4380" i="3"/>
  <c r="H4380" i="3"/>
  <c r="I4379" i="3"/>
  <c r="H4379" i="3"/>
  <c r="I4378" i="3"/>
  <c r="H4378" i="3"/>
  <c r="I4377" i="3"/>
  <c r="H4377" i="3"/>
  <c r="I4376" i="3"/>
  <c r="H4376" i="3"/>
  <c r="I4375" i="3"/>
  <c r="H4375" i="3"/>
  <c r="I4374" i="3"/>
  <c r="H4374" i="3"/>
  <c r="I4373" i="3"/>
  <c r="H4373" i="3"/>
  <c r="I4372" i="3"/>
  <c r="H4372" i="3"/>
  <c r="I4371" i="3"/>
  <c r="H4371" i="3"/>
  <c r="I4370" i="3"/>
  <c r="H4370" i="3"/>
  <c r="I4369" i="3"/>
  <c r="H4369" i="3"/>
  <c r="I4368" i="3"/>
  <c r="H4368" i="3"/>
  <c r="I4367" i="3"/>
  <c r="H4367" i="3"/>
  <c r="I4366" i="3"/>
  <c r="H4366" i="3"/>
  <c r="I4365" i="3"/>
  <c r="H4365" i="3"/>
  <c r="I4364" i="3"/>
  <c r="H4364" i="3"/>
  <c r="I4363" i="3"/>
  <c r="H4363" i="3"/>
  <c r="I4362" i="3"/>
  <c r="H4362" i="3"/>
  <c r="I4361" i="3"/>
  <c r="H4361" i="3"/>
  <c r="I4360" i="3"/>
  <c r="H4360" i="3"/>
  <c r="I4359" i="3"/>
  <c r="H4359" i="3"/>
  <c r="I4358" i="3"/>
  <c r="H4358" i="3"/>
  <c r="I4357" i="3"/>
  <c r="H4357" i="3"/>
  <c r="I4356" i="3"/>
  <c r="H4356" i="3"/>
  <c r="I4355" i="3"/>
  <c r="H4355" i="3"/>
  <c r="I4354" i="3"/>
  <c r="H4354" i="3"/>
  <c r="I4353" i="3"/>
  <c r="H4353" i="3"/>
  <c r="I4352" i="3"/>
  <c r="H4352" i="3"/>
  <c r="I4351" i="3"/>
  <c r="H4351" i="3"/>
  <c r="I4350" i="3"/>
  <c r="H4350" i="3"/>
  <c r="I4349" i="3"/>
  <c r="H4349" i="3"/>
  <c r="I4348" i="3"/>
  <c r="H4348" i="3"/>
  <c r="I4347" i="3"/>
  <c r="H4347" i="3"/>
  <c r="I4346" i="3"/>
  <c r="H4346" i="3"/>
  <c r="I4345" i="3"/>
  <c r="H4345" i="3"/>
  <c r="I4344" i="3"/>
  <c r="H4344" i="3"/>
  <c r="I4343" i="3"/>
  <c r="H4343" i="3"/>
  <c r="I4342" i="3"/>
  <c r="H4342" i="3"/>
  <c r="I4341" i="3"/>
  <c r="H4341" i="3"/>
  <c r="I4340" i="3"/>
  <c r="H4340" i="3"/>
  <c r="I4339" i="3"/>
  <c r="H4339" i="3"/>
  <c r="I4338" i="3"/>
  <c r="H4338" i="3"/>
  <c r="I4337" i="3"/>
  <c r="H4337" i="3"/>
  <c r="I4336" i="3"/>
  <c r="H4336" i="3"/>
  <c r="I4335" i="3"/>
  <c r="H4335" i="3"/>
  <c r="I4334" i="3"/>
  <c r="H4334" i="3"/>
  <c r="I4333" i="3"/>
  <c r="H4333" i="3"/>
  <c r="I4332" i="3"/>
  <c r="H4332" i="3"/>
  <c r="I4331" i="3"/>
  <c r="H4331" i="3"/>
  <c r="I4330" i="3"/>
  <c r="H4330" i="3"/>
  <c r="I4329" i="3"/>
  <c r="H4329" i="3"/>
  <c r="I4328" i="3"/>
  <c r="H4328" i="3"/>
  <c r="I4327" i="3"/>
  <c r="H4327" i="3"/>
  <c r="I4326" i="3"/>
  <c r="H4326" i="3"/>
  <c r="I4325" i="3"/>
  <c r="H4325" i="3"/>
  <c r="I4324" i="3"/>
  <c r="H4324" i="3"/>
  <c r="I4323" i="3"/>
  <c r="H4323" i="3"/>
  <c r="I4322" i="3"/>
  <c r="H4322" i="3"/>
  <c r="I4321" i="3"/>
  <c r="H4321" i="3"/>
  <c r="I4320" i="3"/>
  <c r="H4320" i="3"/>
  <c r="I4319" i="3"/>
  <c r="H4319" i="3"/>
  <c r="I4318" i="3"/>
  <c r="H4318" i="3"/>
  <c r="I4317" i="3"/>
  <c r="H4317" i="3"/>
  <c r="I4316" i="3"/>
  <c r="H4316" i="3"/>
  <c r="I4315" i="3"/>
  <c r="H4315" i="3"/>
  <c r="I4314" i="3"/>
  <c r="H4314" i="3"/>
  <c r="I4313" i="3"/>
  <c r="H4313" i="3"/>
  <c r="I4312" i="3"/>
  <c r="H4312" i="3"/>
  <c r="I4311" i="3"/>
  <c r="H4311" i="3"/>
  <c r="I4310" i="3"/>
  <c r="H4310" i="3"/>
  <c r="I4309" i="3"/>
  <c r="H4309" i="3"/>
  <c r="I4308" i="3"/>
  <c r="H4308" i="3"/>
  <c r="I4307" i="3"/>
  <c r="H4307" i="3"/>
  <c r="I4306" i="3"/>
  <c r="H4306" i="3"/>
  <c r="I4305" i="3"/>
  <c r="H4305" i="3"/>
  <c r="I4304" i="3"/>
  <c r="H4304" i="3"/>
  <c r="I4303" i="3"/>
  <c r="H4303" i="3"/>
  <c r="I4302" i="3"/>
  <c r="H4302" i="3"/>
  <c r="I4301" i="3"/>
  <c r="H4301" i="3"/>
  <c r="I4300" i="3"/>
  <c r="H4300" i="3"/>
  <c r="I4299" i="3"/>
  <c r="H4299" i="3"/>
  <c r="I4298" i="3"/>
  <c r="H4298" i="3"/>
  <c r="I4297" i="3"/>
  <c r="H4297" i="3"/>
  <c r="I4296" i="3"/>
  <c r="H4296" i="3"/>
  <c r="I4295" i="3"/>
  <c r="H4295" i="3"/>
  <c r="I4294" i="3"/>
  <c r="H4294" i="3"/>
  <c r="I4293" i="3"/>
  <c r="H4293" i="3"/>
  <c r="I4292" i="3"/>
  <c r="H4292" i="3"/>
  <c r="I4291" i="3"/>
  <c r="H4291" i="3"/>
  <c r="I4290" i="3"/>
  <c r="H4290" i="3"/>
  <c r="I4289" i="3"/>
  <c r="H4289" i="3"/>
  <c r="I4288" i="3"/>
  <c r="H4288" i="3"/>
  <c r="I4287" i="3"/>
  <c r="H4287" i="3"/>
  <c r="I4286" i="3"/>
  <c r="H4286" i="3"/>
  <c r="I4285" i="3"/>
  <c r="H4285" i="3"/>
  <c r="I4284" i="3"/>
  <c r="H4284" i="3"/>
  <c r="I4283" i="3"/>
  <c r="H4283" i="3"/>
  <c r="I4282" i="3"/>
  <c r="H4282" i="3"/>
  <c r="I4281" i="3"/>
  <c r="H4281" i="3"/>
  <c r="I4280" i="3"/>
  <c r="H4280" i="3"/>
  <c r="I4279" i="3"/>
  <c r="H4279" i="3"/>
  <c r="I4278" i="3"/>
  <c r="H4278" i="3"/>
  <c r="I4277" i="3"/>
  <c r="H4277" i="3"/>
  <c r="I4276" i="3"/>
  <c r="H4276" i="3"/>
  <c r="I4275" i="3"/>
  <c r="H4275" i="3"/>
  <c r="I4274" i="3"/>
  <c r="H4274" i="3"/>
  <c r="I4273" i="3"/>
  <c r="H4273" i="3"/>
  <c r="I4272" i="3"/>
  <c r="H4272" i="3"/>
  <c r="I4271" i="3"/>
  <c r="H4271" i="3"/>
  <c r="I4270" i="3"/>
  <c r="H4270" i="3"/>
  <c r="I4269" i="3"/>
  <c r="H4269" i="3"/>
  <c r="I4268" i="3"/>
  <c r="H4268" i="3"/>
  <c r="I4267" i="3"/>
  <c r="H4267" i="3"/>
  <c r="I4266" i="3"/>
  <c r="H4266" i="3"/>
  <c r="I4265" i="3"/>
  <c r="H4265" i="3"/>
  <c r="I4264" i="3"/>
  <c r="H4264" i="3"/>
  <c r="I4263" i="3"/>
  <c r="H4263" i="3"/>
  <c r="I4262" i="3"/>
  <c r="H4262" i="3"/>
  <c r="I4261" i="3"/>
  <c r="H4261" i="3"/>
  <c r="I4260" i="3"/>
  <c r="H4260" i="3"/>
  <c r="I4259" i="3"/>
  <c r="H4259" i="3"/>
  <c r="I4258" i="3"/>
  <c r="H4258" i="3"/>
  <c r="I4257" i="3"/>
  <c r="H4257" i="3"/>
  <c r="I4256" i="3"/>
  <c r="H4256" i="3"/>
  <c r="I4255" i="3"/>
  <c r="H4255" i="3"/>
  <c r="I4254" i="3"/>
  <c r="H4254" i="3"/>
  <c r="I4253" i="3"/>
  <c r="H4253" i="3"/>
  <c r="I4252" i="3"/>
  <c r="H4252" i="3"/>
  <c r="I4251" i="3"/>
  <c r="H4251" i="3"/>
  <c r="I4250" i="3"/>
  <c r="H4250" i="3"/>
  <c r="I4249" i="3"/>
  <c r="H4249" i="3"/>
  <c r="I4248" i="3"/>
  <c r="H4248" i="3"/>
  <c r="I4247" i="3"/>
  <c r="H4247" i="3"/>
  <c r="I4246" i="3"/>
  <c r="H4246" i="3"/>
  <c r="I4245" i="3"/>
  <c r="H4245" i="3"/>
  <c r="I4244" i="3"/>
  <c r="H4244" i="3"/>
  <c r="I4243" i="3"/>
  <c r="H4243" i="3"/>
  <c r="I4242" i="3"/>
  <c r="H4242" i="3"/>
  <c r="I4241" i="3"/>
  <c r="H4241" i="3"/>
  <c r="I4240" i="3"/>
  <c r="H4240" i="3"/>
  <c r="I4239" i="3"/>
  <c r="H4239" i="3"/>
  <c r="I4238" i="3"/>
  <c r="H4238" i="3"/>
  <c r="I4237" i="3"/>
  <c r="H4237" i="3"/>
  <c r="I4236" i="3"/>
  <c r="H4236" i="3"/>
  <c r="I4235" i="3"/>
  <c r="H4235" i="3"/>
  <c r="I4234" i="3"/>
  <c r="H4234" i="3"/>
  <c r="I4233" i="3"/>
  <c r="H4233" i="3"/>
  <c r="I4232" i="3"/>
  <c r="H4232" i="3"/>
  <c r="I4231" i="3"/>
  <c r="H4231" i="3"/>
  <c r="I4230" i="3"/>
  <c r="H4230" i="3"/>
  <c r="I4229" i="3"/>
  <c r="H4229" i="3"/>
  <c r="I4228" i="3"/>
  <c r="H4228" i="3"/>
  <c r="I4227" i="3"/>
  <c r="H4227" i="3"/>
  <c r="I4226" i="3"/>
  <c r="H4226" i="3"/>
  <c r="I4225" i="3"/>
  <c r="H4225" i="3"/>
  <c r="I4224" i="3"/>
  <c r="H4224" i="3"/>
  <c r="I4223" i="3"/>
  <c r="H4223" i="3"/>
  <c r="I4222" i="3"/>
  <c r="H4222" i="3"/>
  <c r="I4221" i="3"/>
  <c r="H4221" i="3"/>
  <c r="I4220" i="3"/>
  <c r="H4220" i="3"/>
  <c r="I4219" i="3"/>
  <c r="H4219" i="3"/>
  <c r="I4218" i="3"/>
  <c r="H4218" i="3"/>
  <c r="I4217" i="3"/>
  <c r="H4217" i="3"/>
  <c r="I4216" i="3"/>
  <c r="H4216" i="3"/>
  <c r="I4215" i="3"/>
  <c r="H4215" i="3"/>
  <c r="I4214" i="3"/>
  <c r="H4214" i="3"/>
  <c r="I4213" i="3"/>
  <c r="H4213" i="3"/>
  <c r="I4212" i="3"/>
  <c r="H4212" i="3"/>
  <c r="I4211" i="3"/>
  <c r="H4211" i="3"/>
  <c r="I4210" i="3"/>
  <c r="H4210" i="3"/>
  <c r="I4209" i="3"/>
  <c r="H4209" i="3"/>
  <c r="I4208" i="3"/>
  <c r="H4208" i="3"/>
  <c r="I4207" i="3"/>
  <c r="H4207" i="3"/>
  <c r="I4206" i="3"/>
  <c r="H4206" i="3"/>
  <c r="I4205" i="3"/>
  <c r="H4205" i="3"/>
  <c r="I4204" i="3"/>
  <c r="H4204" i="3"/>
  <c r="I4203" i="3"/>
  <c r="H4203" i="3"/>
  <c r="I4202" i="3"/>
  <c r="H4202" i="3"/>
  <c r="I4201" i="3"/>
  <c r="H4201" i="3"/>
  <c r="I4200" i="3"/>
  <c r="H4200" i="3"/>
  <c r="I4199" i="3"/>
  <c r="H4199" i="3"/>
  <c r="I4198" i="3"/>
  <c r="H4198" i="3"/>
  <c r="I4197" i="3"/>
  <c r="H4197" i="3"/>
  <c r="I4196" i="3"/>
  <c r="H4196" i="3"/>
  <c r="I4195" i="3"/>
  <c r="H4195" i="3"/>
  <c r="I4194" i="3"/>
  <c r="H4194" i="3"/>
  <c r="I4193" i="3"/>
  <c r="H4193" i="3"/>
  <c r="I4192" i="3"/>
  <c r="H4192" i="3"/>
  <c r="I4191" i="3"/>
  <c r="H4191" i="3"/>
  <c r="I4190" i="3"/>
  <c r="H4190" i="3"/>
  <c r="I4189" i="3"/>
  <c r="H4189" i="3"/>
  <c r="I4188" i="3"/>
  <c r="H4188" i="3"/>
  <c r="I4187" i="3"/>
  <c r="H4187" i="3"/>
  <c r="I4186" i="3"/>
  <c r="H4186" i="3"/>
  <c r="I4185" i="3"/>
  <c r="H4185" i="3"/>
  <c r="I4184" i="3"/>
  <c r="H4184" i="3"/>
  <c r="H4183" i="3"/>
  <c r="I4182" i="3"/>
  <c r="H4182" i="3"/>
  <c r="I4181" i="3"/>
  <c r="H4181" i="3"/>
  <c r="I4180" i="3"/>
  <c r="H4180" i="3"/>
  <c r="I4179" i="3"/>
  <c r="H4179" i="3"/>
  <c r="I4178" i="3"/>
  <c r="H4178" i="3"/>
  <c r="I4177" i="3"/>
  <c r="H4177" i="3"/>
  <c r="I4176" i="3"/>
  <c r="H4176" i="3"/>
  <c r="I4175" i="3"/>
  <c r="H4175" i="3"/>
  <c r="I4174" i="3"/>
  <c r="H4174" i="3"/>
  <c r="I4173" i="3"/>
  <c r="H4173" i="3"/>
  <c r="I4172" i="3"/>
  <c r="H4172" i="3"/>
  <c r="I4171" i="3"/>
  <c r="H4171" i="3"/>
  <c r="I4170" i="3"/>
  <c r="H4170" i="3"/>
  <c r="I4169" i="3"/>
  <c r="H4169" i="3"/>
  <c r="I4168" i="3"/>
  <c r="H4168" i="3"/>
  <c r="I4167" i="3"/>
  <c r="H4167" i="3"/>
  <c r="I4166" i="3"/>
  <c r="H4166" i="3"/>
  <c r="I4165" i="3"/>
  <c r="H4165" i="3"/>
  <c r="I4164" i="3"/>
  <c r="H4164" i="3"/>
  <c r="I4163" i="3"/>
  <c r="H4163" i="3"/>
  <c r="I4162" i="3"/>
  <c r="H4162" i="3"/>
  <c r="I4161" i="3"/>
  <c r="H4161" i="3"/>
  <c r="I4160" i="3"/>
  <c r="H4160" i="3"/>
  <c r="I4159" i="3"/>
  <c r="H4159" i="3"/>
  <c r="I4158" i="3"/>
  <c r="H4158" i="3"/>
  <c r="I4157" i="3"/>
  <c r="H4157" i="3"/>
  <c r="I4156" i="3"/>
  <c r="H4156" i="3"/>
  <c r="I4155" i="3"/>
  <c r="H4155" i="3"/>
  <c r="I4154" i="3"/>
  <c r="H4154" i="3"/>
  <c r="I4153" i="3"/>
  <c r="H4153" i="3"/>
  <c r="I4152" i="3"/>
  <c r="H4152" i="3"/>
  <c r="I4151" i="3"/>
  <c r="H4151" i="3"/>
  <c r="I4150" i="3"/>
  <c r="H4150" i="3"/>
  <c r="I4149" i="3"/>
  <c r="H4149" i="3"/>
  <c r="I4148" i="3"/>
  <c r="H4148" i="3"/>
  <c r="I4147" i="3"/>
  <c r="H4147" i="3"/>
  <c r="I4146" i="3"/>
  <c r="H4146" i="3"/>
  <c r="I4145" i="3"/>
  <c r="H4145" i="3"/>
  <c r="I4144" i="3"/>
  <c r="H4144" i="3"/>
  <c r="I4143" i="3"/>
  <c r="H4143" i="3"/>
  <c r="I4142" i="3"/>
  <c r="H4142" i="3"/>
  <c r="I4141" i="3"/>
  <c r="H4141" i="3"/>
  <c r="I4140" i="3"/>
  <c r="H4140" i="3"/>
  <c r="I4139" i="3"/>
  <c r="H4139" i="3"/>
  <c r="I4138" i="3"/>
  <c r="H4138" i="3"/>
  <c r="I4137" i="3"/>
  <c r="H4137" i="3"/>
  <c r="I4136" i="3"/>
  <c r="H4136" i="3"/>
  <c r="I4135" i="3"/>
  <c r="H4135" i="3"/>
  <c r="I4134" i="3"/>
  <c r="H4134" i="3"/>
  <c r="I4133" i="3"/>
  <c r="H4133" i="3"/>
  <c r="I4132" i="3"/>
  <c r="H4132" i="3"/>
  <c r="I4131" i="3"/>
  <c r="H4131" i="3"/>
  <c r="I4130" i="3"/>
  <c r="H4130" i="3"/>
  <c r="I4129" i="3"/>
  <c r="H4129" i="3"/>
  <c r="I4128" i="3"/>
  <c r="H4128" i="3"/>
  <c r="I4127" i="3"/>
  <c r="H4127" i="3"/>
  <c r="I4126" i="3"/>
  <c r="H4126" i="3"/>
  <c r="I4125" i="3"/>
  <c r="H4125" i="3"/>
  <c r="I4124" i="3"/>
  <c r="H4124" i="3"/>
  <c r="I4123" i="3"/>
  <c r="H4123" i="3"/>
  <c r="I4122" i="3"/>
  <c r="H4122" i="3"/>
  <c r="I4121" i="3"/>
  <c r="H4121" i="3"/>
  <c r="I4120" i="3"/>
  <c r="H4120" i="3"/>
  <c r="I4119" i="3"/>
  <c r="H4119" i="3"/>
  <c r="I4118" i="3"/>
  <c r="H4118" i="3"/>
  <c r="I4117" i="3"/>
  <c r="H4117" i="3"/>
  <c r="I4116" i="3"/>
  <c r="H4116" i="3"/>
  <c r="I4115" i="3"/>
  <c r="H4115" i="3"/>
  <c r="I4114" i="3"/>
  <c r="H4114" i="3"/>
  <c r="I4113" i="3"/>
  <c r="H4113" i="3"/>
  <c r="I4112" i="3"/>
  <c r="H4112" i="3"/>
  <c r="I4111" i="3"/>
  <c r="H4111" i="3"/>
  <c r="I4110" i="3"/>
  <c r="H4110" i="3"/>
  <c r="I4109" i="3"/>
  <c r="H4109" i="3"/>
  <c r="I4108" i="3"/>
  <c r="H4108" i="3"/>
  <c r="I4107" i="3"/>
  <c r="H4107" i="3"/>
  <c r="I4106" i="3"/>
  <c r="H4106" i="3"/>
  <c r="I4105" i="3"/>
  <c r="H4105" i="3"/>
  <c r="I4104" i="3"/>
  <c r="H4104" i="3"/>
  <c r="I4103" i="3"/>
  <c r="H4103" i="3"/>
  <c r="I4102" i="3"/>
  <c r="H4102" i="3"/>
  <c r="I4101" i="3"/>
  <c r="H4101" i="3"/>
  <c r="I4100" i="3"/>
  <c r="H4100" i="3"/>
  <c r="I4099" i="3"/>
  <c r="H4099" i="3"/>
  <c r="I4098" i="3"/>
  <c r="H4098" i="3"/>
  <c r="I4097" i="3"/>
  <c r="H4097" i="3"/>
  <c r="I4096" i="3"/>
  <c r="H4096" i="3"/>
  <c r="I4095" i="3"/>
  <c r="H4095" i="3"/>
  <c r="I4094" i="3"/>
  <c r="H4094" i="3"/>
  <c r="I4093" i="3"/>
  <c r="H4093" i="3"/>
  <c r="I4092" i="3"/>
  <c r="H4092" i="3"/>
  <c r="I4091" i="3"/>
  <c r="H4091" i="3"/>
  <c r="I4090" i="3"/>
  <c r="H4090" i="3"/>
  <c r="I4089" i="3"/>
  <c r="H4089" i="3"/>
  <c r="I4088" i="3"/>
  <c r="H4088" i="3"/>
  <c r="I4087" i="3"/>
  <c r="H4087" i="3"/>
  <c r="I4086" i="3"/>
  <c r="H4086" i="3"/>
  <c r="I4085" i="3"/>
  <c r="H4085" i="3"/>
  <c r="I4084" i="3"/>
  <c r="H4084" i="3"/>
  <c r="I4083" i="3"/>
  <c r="H4083" i="3"/>
  <c r="I4082" i="3"/>
  <c r="H4082" i="3"/>
  <c r="I4081" i="3"/>
  <c r="H4081" i="3"/>
  <c r="I4080" i="3"/>
  <c r="H4080" i="3"/>
  <c r="I4079" i="3"/>
  <c r="H4079" i="3"/>
  <c r="I4078" i="3"/>
  <c r="H4078" i="3"/>
  <c r="I4077" i="3"/>
  <c r="H4077" i="3"/>
  <c r="I4076" i="3"/>
  <c r="H4076" i="3"/>
  <c r="I4075" i="3"/>
  <c r="H4075" i="3"/>
  <c r="I4074" i="3"/>
  <c r="H4074" i="3"/>
  <c r="I4073" i="3"/>
  <c r="H4073" i="3"/>
  <c r="I4072" i="3"/>
  <c r="H4072" i="3"/>
  <c r="I4071" i="3"/>
  <c r="H4071" i="3"/>
  <c r="I4070" i="3"/>
  <c r="H4070" i="3"/>
  <c r="I4069" i="3"/>
  <c r="H4069" i="3"/>
  <c r="I4068" i="3"/>
  <c r="H4068" i="3"/>
  <c r="I4067" i="3"/>
  <c r="H4067" i="3"/>
  <c r="I4066" i="3"/>
  <c r="H4066" i="3"/>
  <c r="I4065" i="3"/>
  <c r="H4065" i="3"/>
  <c r="I4064" i="3"/>
  <c r="H4064" i="3"/>
  <c r="I4063" i="3"/>
  <c r="H4063" i="3"/>
  <c r="I4062" i="3"/>
  <c r="H4062" i="3"/>
  <c r="I4061" i="3"/>
  <c r="H4061" i="3"/>
  <c r="I4060" i="3"/>
  <c r="H4060" i="3"/>
  <c r="I4059" i="3"/>
  <c r="H4059" i="3"/>
  <c r="I4058" i="3"/>
  <c r="H4058" i="3"/>
  <c r="I4057" i="3"/>
  <c r="H4057" i="3"/>
  <c r="I4056" i="3"/>
  <c r="H4056" i="3"/>
  <c r="I4055" i="3"/>
  <c r="H4055" i="3"/>
  <c r="I4054" i="3"/>
  <c r="H4054" i="3"/>
  <c r="I4053" i="3"/>
  <c r="H4053" i="3"/>
  <c r="I4052" i="3"/>
  <c r="H4052" i="3"/>
  <c r="I4051" i="3"/>
  <c r="H4051" i="3"/>
  <c r="I4050" i="3"/>
  <c r="H4050" i="3"/>
  <c r="I4049" i="3"/>
  <c r="H4049" i="3"/>
  <c r="I4048" i="3"/>
  <c r="H4048" i="3"/>
  <c r="I4047" i="3"/>
  <c r="H4047" i="3"/>
  <c r="I4046" i="3"/>
  <c r="H4046" i="3"/>
  <c r="I4045" i="3"/>
  <c r="H4045" i="3"/>
  <c r="I4044" i="3"/>
  <c r="H4044" i="3"/>
  <c r="I4043" i="3"/>
  <c r="H4043" i="3"/>
  <c r="I4042" i="3"/>
  <c r="H4042" i="3"/>
  <c r="I4041" i="3"/>
  <c r="H4041" i="3"/>
  <c r="I4040" i="3"/>
  <c r="H4040" i="3"/>
  <c r="I4039" i="3"/>
  <c r="H4039" i="3"/>
  <c r="I4038" i="3"/>
  <c r="H4038" i="3"/>
  <c r="I4037" i="3"/>
  <c r="H4037" i="3"/>
  <c r="I4036" i="3"/>
  <c r="H4036" i="3"/>
  <c r="I4035" i="3"/>
  <c r="H4035" i="3"/>
  <c r="I4034" i="3"/>
  <c r="H4034" i="3"/>
  <c r="I4033" i="3"/>
  <c r="H4033" i="3"/>
  <c r="I4032" i="3"/>
  <c r="H4032" i="3"/>
  <c r="I4031" i="3"/>
  <c r="H4031" i="3"/>
  <c r="I4030" i="3"/>
  <c r="H4030" i="3"/>
  <c r="I4029" i="3"/>
  <c r="H4029" i="3"/>
  <c r="I4028" i="3"/>
  <c r="H4028" i="3"/>
  <c r="I4027" i="3"/>
  <c r="H4027" i="3"/>
  <c r="I4026" i="3"/>
  <c r="H4026" i="3"/>
  <c r="I4025" i="3"/>
  <c r="H4025" i="3"/>
  <c r="I4024" i="3"/>
  <c r="H4024" i="3"/>
  <c r="I4023" i="3"/>
  <c r="H4023" i="3"/>
  <c r="I4022" i="3"/>
  <c r="H4022" i="3"/>
  <c r="I4021" i="3"/>
  <c r="H4021" i="3"/>
  <c r="I4020" i="3"/>
  <c r="H4020" i="3"/>
  <c r="I4019" i="3"/>
  <c r="H4019" i="3"/>
  <c r="I4018" i="3"/>
  <c r="H4018" i="3"/>
  <c r="I4017" i="3"/>
  <c r="H4017" i="3"/>
  <c r="I4016" i="3"/>
  <c r="H4016" i="3"/>
  <c r="I4015" i="3"/>
  <c r="H4015" i="3"/>
  <c r="I4014" i="3"/>
  <c r="H4014" i="3"/>
  <c r="I4013" i="3"/>
  <c r="H4013" i="3"/>
  <c r="I4012" i="3"/>
  <c r="H4012" i="3"/>
  <c r="I4011" i="3"/>
  <c r="H4011" i="3"/>
  <c r="I4010" i="3"/>
  <c r="H4010" i="3"/>
  <c r="I4009" i="3"/>
  <c r="H4009" i="3"/>
  <c r="I4008" i="3"/>
  <c r="H4008" i="3"/>
  <c r="I4007" i="3"/>
  <c r="H4007" i="3"/>
  <c r="I4006" i="3"/>
  <c r="H4006" i="3"/>
  <c r="I4005" i="3"/>
  <c r="H4005" i="3"/>
  <c r="I4004" i="3"/>
  <c r="H4004" i="3"/>
  <c r="I4003" i="3"/>
  <c r="H4003" i="3"/>
  <c r="I4002" i="3"/>
  <c r="H4002" i="3"/>
  <c r="I4001" i="3"/>
  <c r="H4001" i="3"/>
  <c r="I4000" i="3"/>
  <c r="H4000" i="3"/>
  <c r="I3999" i="3"/>
  <c r="H3999" i="3"/>
  <c r="I3998" i="3"/>
  <c r="H3998" i="3"/>
  <c r="I3997" i="3"/>
  <c r="H3997" i="3"/>
  <c r="I3996" i="3"/>
  <c r="H3996" i="3"/>
  <c r="I3995" i="3"/>
  <c r="H3995" i="3"/>
  <c r="I3994" i="3"/>
  <c r="H3994" i="3"/>
  <c r="I3993" i="3"/>
  <c r="H3993" i="3"/>
  <c r="I3992" i="3"/>
  <c r="H3992" i="3"/>
  <c r="I3991" i="3"/>
  <c r="H3991" i="3"/>
  <c r="I3990" i="3"/>
  <c r="H3990" i="3"/>
  <c r="I3989" i="3"/>
  <c r="H3989" i="3"/>
  <c r="I3988" i="3"/>
  <c r="H3988" i="3"/>
  <c r="I3987" i="3"/>
  <c r="H3987" i="3"/>
  <c r="I3986" i="3"/>
  <c r="H3986" i="3"/>
  <c r="I3985" i="3"/>
  <c r="H3985" i="3"/>
  <c r="I3984" i="3"/>
  <c r="H3984" i="3"/>
  <c r="I3983" i="3"/>
  <c r="H3983" i="3"/>
  <c r="I3982" i="3"/>
  <c r="H3982" i="3"/>
  <c r="I3981" i="3"/>
  <c r="H3981" i="3"/>
  <c r="I3980" i="3"/>
  <c r="H3980" i="3"/>
  <c r="I3979" i="3"/>
  <c r="H3979" i="3"/>
  <c r="I3978" i="3"/>
  <c r="H3978" i="3"/>
  <c r="I3977" i="3"/>
  <c r="H3977" i="3"/>
  <c r="I3976" i="3"/>
  <c r="H3976" i="3"/>
  <c r="I3975" i="3"/>
  <c r="H3975" i="3"/>
  <c r="I3974" i="3"/>
  <c r="H3974" i="3"/>
  <c r="I3973" i="3"/>
  <c r="H3973" i="3"/>
  <c r="I3972" i="3"/>
  <c r="H3972" i="3"/>
  <c r="I3971" i="3"/>
  <c r="H3971" i="3"/>
  <c r="I3970" i="3"/>
  <c r="H3970" i="3"/>
  <c r="I3969" i="3"/>
  <c r="H3969" i="3"/>
  <c r="I3968" i="3"/>
  <c r="H3968" i="3"/>
  <c r="I3967" i="3"/>
  <c r="H3967" i="3"/>
  <c r="I3966" i="3"/>
  <c r="H3966" i="3"/>
  <c r="I3965" i="3"/>
  <c r="H3965" i="3"/>
  <c r="I3964" i="3"/>
  <c r="H3964" i="3"/>
  <c r="I3963" i="3"/>
  <c r="H3963" i="3"/>
  <c r="I3962" i="3"/>
  <c r="H3962" i="3"/>
  <c r="I3961" i="3"/>
  <c r="H3961" i="3"/>
  <c r="I3960" i="3"/>
  <c r="H3960" i="3"/>
  <c r="I3959" i="3"/>
  <c r="H3959" i="3"/>
  <c r="I3958" i="3"/>
  <c r="H3958" i="3"/>
  <c r="I3957" i="3"/>
  <c r="H3957" i="3"/>
  <c r="I3956" i="3"/>
  <c r="H3956" i="3"/>
  <c r="I3955" i="3"/>
  <c r="H3955" i="3"/>
  <c r="I3954" i="3"/>
  <c r="H3954" i="3"/>
  <c r="I3953" i="3"/>
  <c r="H3953" i="3"/>
  <c r="I3952" i="3"/>
  <c r="H3952" i="3"/>
  <c r="I3951" i="3"/>
  <c r="H3951" i="3"/>
  <c r="I3950" i="3"/>
  <c r="H3950" i="3"/>
  <c r="I3949" i="3"/>
  <c r="H3949" i="3"/>
  <c r="I3948" i="3"/>
  <c r="H3948" i="3"/>
  <c r="I3947" i="3"/>
  <c r="H3947" i="3"/>
  <c r="I3946" i="3"/>
  <c r="H3946" i="3"/>
  <c r="I3945" i="3"/>
  <c r="H3945" i="3"/>
  <c r="I3944" i="3"/>
  <c r="H3944" i="3"/>
  <c r="I3943" i="3"/>
  <c r="H3943" i="3"/>
  <c r="I3942" i="3"/>
  <c r="H3942" i="3"/>
  <c r="I3941" i="3"/>
  <c r="H3941" i="3"/>
  <c r="I3940" i="3"/>
  <c r="H3940" i="3"/>
  <c r="I3939" i="3"/>
  <c r="H3939" i="3"/>
  <c r="I3938" i="3"/>
  <c r="H3938" i="3"/>
  <c r="I3937" i="3"/>
  <c r="H3937" i="3"/>
  <c r="I3936" i="3"/>
  <c r="H3936" i="3"/>
  <c r="I3935" i="3"/>
  <c r="H3935" i="3"/>
  <c r="I3934" i="3"/>
  <c r="H3934" i="3"/>
  <c r="I3933" i="3"/>
  <c r="H3933" i="3"/>
  <c r="I3932" i="3"/>
  <c r="H3932" i="3"/>
  <c r="I3931" i="3"/>
  <c r="H3931" i="3"/>
  <c r="I3930" i="3"/>
  <c r="H3930" i="3"/>
  <c r="I3929" i="3"/>
  <c r="H3929" i="3"/>
  <c r="I3928" i="3"/>
  <c r="H3928" i="3"/>
  <c r="I3927" i="3"/>
  <c r="H3927" i="3"/>
  <c r="I3926" i="3"/>
  <c r="H3926" i="3"/>
  <c r="I3925" i="3"/>
  <c r="H3925" i="3"/>
  <c r="I3924" i="3"/>
  <c r="H3924" i="3"/>
  <c r="I3923" i="3"/>
  <c r="H3923" i="3"/>
  <c r="I3922" i="3"/>
  <c r="H3922" i="3"/>
  <c r="I3921" i="3"/>
  <c r="H3921" i="3"/>
  <c r="I3920" i="3"/>
  <c r="H3920" i="3"/>
  <c r="I3919" i="3"/>
  <c r="H3919" i="3"/>
  <c r="I3918" i="3"/>
  <c r="H3918" i="3"/>
  <c r="I3917" i="3"/>
  <c r="H3917" i="3"/>
  <c r="I3916" i="3"/>
  <c r="H3916" i="3"/>
  <c r="I3915" i="3"/>
  <c r="H3915" i="3"/>
  <c r="I3914" i="3"/>
  <c r="H3914" i="3"/>
  <c r="I3913" i="3"/>
  <c r="H3913" i="3"/>
  <c r="I3912" i="3"/>
  <c r="H3912" i="3"/>
  <c r="I3911" i="3"/>
  <c r="H3911" i="3"/>
  <c r="I3910" i="3"/>
  <c r="H3910" i="3"/>
  <c r="I3909" i="3"/>
  <c r="H3909" i="3"/>
  <c r="I3908" i="3"/>
  <c r="H3908" i="3"/>
  <c r="I3907" i="3"/>
  <c r="H3907" i="3"/>
  <c r="I3906" i="3"/>
  <c r="H3906" i="3"/>
  <c r="I3905" i="3"/>
  <c r="H3905" i="3"/>
  <c r="I3904" i="3"/>
  <c r="H3904" i="3"/>
  <c r="I3903" i="3"/>
  <c r="H3903" i="3"/>
  <c r="I3902" i="3"/>
  <c r="H3902" i="3"/>
  <c r="I3901" i="3"/>
  <c r="H3901" i="3"/>
  <c r="I3900" i="3"/>
  <c r="H3900" i="3"/>
  <c r="I3899" i="3"/>
  <c r="H3899" i="3"/>
  <c r="I3898" i="3"/>
  <c r="H3898" i="3"/>
  <c r="I3897" i="3"/>
  <c r="H3897" i="3"/>
  <c r="I3896" i="3"/>
  <c r="H3896" i="3"/>
  <c r="I3895" i="3"/>
  <c r="H3895" i="3"/>
  <c r="I3894" i="3"/>
  <c r="H3894" i="3"/>
  <c r="I3893" i="3"/>
  <c r="H3893" i="3"/>
  <c r="I3892" i="3"/>
  <c r="H3892" i="3"/>
  <c r="I3891" i="3"/>
  <c r="H3891" i="3"/>
  <c r="I3890" i="3"/>
  <c r="H3890" i="3"/>
  <c r="I3889" i="3"/>
  <c r="H3889" i="3"/>
  <c r="I3888" i="3"/>
  <c r="H3888" i="3"/>
  <c r="I3887" i="3"/>
  <c r="H3887" i="3"/>
  <c r="I3886" i="3"/>
  <c r="H3886" i="3"/>
  <c r="I3885" i="3"/>
  <c r="H3885" i="3"/>
  <c r="I3884" i="3"/>
  <c r="H3884" i="3"/>
  <c r="I3883" i="3"/>
  <c r="H3883" i="3"/>
  <c r="I3882" i="3"/>
  <c r="H3882" i="3"/>
  <c r="I3881" i="3"/>
  <c r="H3881" i="3"/>
  <c r="I3880" i="3"/>
  <c r="H3880" i="3"/>
  <c r="I3879" i="3"/>
  <c r="H3879" i="3"/>
  <c r="I3878" i="3"/>
  <c r="H3878" i="3"/>
  <c r="I3877" i="3"/>
  <c r="H3877" i="3"/>
  <c r="I3876" i="3"/>
  <c r="H3876" i="3"/>
  <c r="I3875" i="3"/>
  <c r="H3875" i="3"/>
  <c r="I3874" i="3"/>
  <c r="H3874" i="3"/>
  <c r="I3873" i="3"/>
  <c r="H3873" i="3"/>
  <c r="I3872" i="3"/>
  <c r="H3872" i="3"/>
  <c r="I3871" i="3"/>
  <c r="H3871" i="3"/>
  <c r="I3870" i="3"/>
  <c r="H3870" i="3"/>
  <c r="I3869" i="3"/>
  <c r="H3869" i="3"/>
  <c r="I3868" i="3"/>
  <c r="H3868" i="3"/>
  <c r="I3867" i="3"/>
  <c r="H3867" i="3"/>
  <c r="I3866" i="3"/>
  <c r="H3866" i="3"/>
  <c r="I3865" i="3"/>
  <c r="H3865" i="3"/>
  <c r="I3864" i="3"/>
  <c r="H3864" i="3"/>
  <c r="I3863" i="3"/>
  <c r="H3863" i="3"/>
  <c r="I3862" i="3"/>
  <c r="H3862" i="3"/>
  <c r="I3861" i="3"/>
  <c r="H3861" i="3"/>
  <c r="I3860" i="3"/>
  <c r="H3860" i="3"/>
  <c r="I3859" i="3"/>
  <c r="H3859" i="3"/>
  <c r="I3858" i="3"/>
  <c r="H3858" i="3"/>
  <c r="I3857" i="3"/>
  <c r="H3857" i="3"/>
  <c r="I3856" i="3"/>
  <c r="H3856" i="3"/>
  <c r="I3855" i="3"/>
  <c r="H3855" i="3"/>
  <c r="I3854" i="3"/>
  <c r="H3854" i="3"/>
  <c r="I3853" i="3"/>
  <c r="H3853" i="3"/>
  <c r="I3852" i="3"/>
  <c r="H3852" i="3"/>
  <c r="I3851" i="3"/>
  <c r="H3851" i="3"/>
  <c r="I3850" i="3"/>
  <c r="H3850" i="3"/>
  <c r="I3849" i="3"/>
  <c r="H3849" i="3"/>
  <c r="I3848" i="3"/>
  <c r="H3848" i="3"/>
  <c r="I3847" i="3"/>
  <c r="H3847" i="3"/>
  <c r="I3846" i="3"/>
  <c r="H3846" i="3"/>
  <c r="I3845" i="3"/>
  <c r="H3845" i="3"/>
  <c r="I3844" i="3"/>
  <c r="H3844" i="3"/>
  <c r="I3843" i="3"/>
  <c r="H3843" i="3"/>
  <c r="I3842" i="3"/>
  <c r="H3842" i="3"/>
  <c r="I3841" i="3"/>
  <c r="H3841" i="3"/>
  <c r="I3840" i="3"/>
  <c r="H3840" i="3"/>
  <c r="I3839" i="3"/>
  <c r="H3839" i="3"/>
  <c r="I3838" i="3"/>
  <c r="H3838" i="3"/>
  <c r="I3837" i="3"/>
  <c r="H3837" i="3"/>
  <c r="I3836" i="3"/>
  <c r="H3836" i="3"/>
  <c r="I3835" i="3"/>
  <c r="H3835" i="3"/>
  <c r="I3834" i="3"/>
  <c r="H3834" i="3"/>
  <c r="I3833" i="3"/>
  <c r="H3833" i="3"/>
  <c r="I3832" i="3"/>
  <c r="H3832" i="3"/>
  <c r="I3831" i="3"/>
  <c r="H3831" i="3"/>
  <c r="I3830" i="3"/>
  <c r="H3830" i="3"/>
  <c r="I3829" i="3"/>
  <c r="H3829" i="3"/>
  <c r="I3828" i="3"/>
  <c r="H3828" i="3"/>
  <c r="I3827" i="3"/>
  <c r="H3827" i="3"/>
  <c r="I3826" i="3"/>
  <c r="H3826" i="3"/>
  <c r="I3825" i="3"/>
  <c r="H3825" i="3"/>
  <c r="I3824" i="3"/>
  <c r="H3824" i="3"/>
  <c r="I3823" i="3"/>
  <c r="H3823" i="3"/>
  <c r="I3822" i="3"/>
  <c r="H3822" i="3"/>
  <c r="I3821" i="3"/>
  <c r="H3821" i="3"/>
  <c r="I3820" i="3"/>
  <c r="H3820" i="3"/>
  <c r="I3819" i="3"/>
  <c r="H3819" i="3"/>
  <c r="I3818" i="3"/>
  <c r="H3818" i="3"/>
  <c r="I3817" i="3"/>
  <c r="H3817" i="3"/>
  <c r="I3816" i="3"/>
  <c r="H3816" i="3"/>
  <c r="I3815" i="3"/>
  <c r="H3815" i="3"/>
  <c r="I3814" i="3"/>
  <c r="H3814" i="3"/>
  <c r="I3813" i="3"/>
  <c r="H3813" i="3"/>
  <c r="I3812" i="3"/>
  <c r="H3812" i="3"/>
  <c r="I3811" i="3"/>
  <c r="H3811" i="3"/>
  <c r="I3810" i="3"/>
  <c r="H3810" i="3"/>
  <c r="I3809" i="3"/>
  <c r="H3809" i="3"/>
  <c r="I3808" i="3"/>
  <c r="H3808" i="3"/>
  <c r="I3807" i="3"/>
  <c r="H3807" i="3"/>
  <c r="I3806" i="3"/>
  <c r="H3806" i="3"/>
  <c r="I3805" i="3"/>
  <c r="H3805" i="3"/>
  <c r="I3804" i="3"/>
  <c r="H3804" i="3"/>
  <c r="I3803" i="3"/>
  <c r="H3803" i="3"/>
  <c r="I3802" i="3"/>
  <c r="H3802" i="3"/>
  <c r="I3801" i="3"/>
  <c r="H3801" i="3"/>
  <c r="I3800" i="3"/>
  <c r="H3800" i="3"/>
  <c r="I3799" i="3"/>
  <c r="H3799" i="3"/>
  <c r="I3798" i="3"/>
  <c r="H3798" i="3"/>
  <c r="I3797" i="3"/>
  <c r="H3797" i="3"/>
  <c r="I3796" i="3"/>
  <c r="H3796" i="3"/>
  <c r="I3795" i="3"/>
  <c r="H3795" i="3"/>
  <c r="I3794" i="3"/>
  <c r="H3794" i="3"/>
  <c r="I3793" i="3"/>
  <c r="H3793" i="3"/>
  <c r="I3792" i="3"/>
  <c r="H3792" i="3"/>
  <c r="I3791" i="3"/>
  <c r="H3791" i="3"/>
  <c r="I3790" i="3"/>
  <c r="H3790" i="3"/>
  <c r="I3789" i="3"/>
  <c r="H3789" i="3"/>
  <c r="I3788" i="3"/>
  <c r="H3788" i="3"/>
  <c r="I3787" i="3"/>
  <c r="H3787" i="3"/>
  <c r="I3786" i="3"/>
  <c r="H3786" i="3"/>
  <c r="I3785" i="3"/>
  <c r="H3785" i="3"/>
  <c r="I3784" i="3"/>
  <c r="H3784" i="3"/>
  <c r="I3783" i="3"/>
  <c r="H3783" i="3"/>
  <c r="I3782" i="3"/>
  <c r="H3782" i="3"/>
  <c r="I3781" i="3"/>
  <c r="H3781" i="3"/>
  <c r="I3780" i="3"/>
  <c r="H3780" i="3"/>
  <c r="I3779" i="3"/>
  <c r="H3779" i="3"/>
  <c r="I3778" i="3"/>
  <c r="H3778" i="3"/>
  <c r="I3777" i="3"/>
  <c r="H3777" i="3"/>
  <c r="I3776" i="3"/>
  <c r="H3776" i="3"/>
  <c r="I3775" i="3"/>
  <c r="H3775" i="3"/>
  <c r="I3774" i="3"/>
  <c r="H3774" i="3"/>
  <c r="I3773" i="3"/>
  <c r="H3773" i="3"/>
  <c r="I3772" i="3"/>
  <c r="H3772" i="3"/>
  <c r="I3771" i="3"/>
  <c r="H3771" i="3"/>
  <c r="I3770" i="3"/>
  <c r="H3770" i="3"/>
  <c r="I3769" i="3"/>
  <c r="H3769" i="3"/>
  <c r="I3768" i="3"/>
  <c r="H3768" i="3"/>
  <c r="I3767" i="3"/>
  <c r="H3767" i="3"/>
  <c r="I3766" i="3"/>
  <c r="H3766" i="3"/>
  <c r="I3765" i="3"/>
  <c r="H3765" i="3"/>
  <c r="I3764" i="3"/>
  <c r="H3764" i="3"/>
  <c r="I3763" i="3"/>
  <c r="H3763" i="3"/>
  <c r="I3762" i="3"/>
  <c r="H3762" i="3"/>
  <c r="I3761" i="3"/>
  <c r="H3761" i="3"/>
  <c r="I3760" i="3"/>
  <c r="H3760" i="3"/>
  <c r="I3759" i="3"/>
  <c r="H3759" i="3"/>
  <c r="I3758" i="3"/>
  <c r="H3758" i="3"/>
  <c r="I3757" i="3"/>
  <c r="H3757" i="3"/>
  <c r="I3756" i="3"/>
  <c r="H3756" i="3"/>
  <c r="I3755" i="3"/>
  <c r="H3755" i="3"/>
  <c r="I3754" i="3"/>
  <c r="H3754" i="3"/>
  <c r="I3753" i="3"/>
  <c r="H3753" i="3"/>
  <c r="I3752" i="3"/>
  <c r="H3752" i="3"/>
  <c r="I3751" i="3"/>
  <c r="H3751" i="3"/>
  <c r="I3750" i="3"/>
  <c r="H3750" i="3"/>
  <c r="I3749" i="3"/>
  <c r="H3749" i="3"/>
  <c r="I3748" i="3"/>
  <c r="H3748" i="3"/>
  <c r="I3747" i="3"/>
  <c r="H3747" i="3"/>
  <c r="I3746" i="3"/>
  <c r="H3746" i="3"/>
  <c r="I3745" i="3"/>
  <c r="H3745" i="3"/>
  <c r="I3744" i="3"/>
  <c r="H3744" i="3"/>
  <c r="I3743" i="3"/>
  <c r="H3743" i="3"/>
  <c r="I3742" i="3"/>
  <c r="H3742" i="3"/>
  <c r="I3741" i="3"/>
  <c r="H3741" i="3"/>
  <c r="I3740" i="3"/>
  <c r="H3740" i="3"/>
  <c r="I3739" i="3"/>
  <c r="H3739" i="3"/>
  <c r="I3738" i="3"/>
  <c r="H3738" i="3"/>
  <c r="I3737" i="3"/>
  <c r="H3737" i="3"/>
  <c r="I3736" i="3"/>
  <c r="H3736" i="3"/>
  <c r="I3735" i="3"/>
  <c r="H3735" i="3"/>
  <c r="I3734" i="3"/>
  <c r="H3734" i="3"/>
  <c r="I3733" i="3"/>
  <c r="H3733" i="3"/>
  <c r="I3732" i="3"/>
  <c r="H3732" i="3"/>
  <c r="I3731" i="3"/>
  <c r="H3731" i="3"/>
  <c r="I3730" i="3"/>
  <c r="H3730" i="3"/>
  <c r="I3729" i="3"/>
  <c r="H3729" i="3"/>
  <c r="I3728" i="3"/>
  <c r="H3728" i="3"/>
  <c r="I3727" i="3"/>
  <c r="H3727" i="3"/>
  <c r="I3726" i="3"/>
  <c r="H3726" i="3"/>
  <c r="I3725" i="3"/>
  <c r="H3725" i="3"/>
  <c r="I3724" i="3"/>
  <c r="H3724" i="3"/>
  <c r="I3723" i="3"/>
  <c r="H3723" i="3"/>
  <c r="I3722" i="3"/>
  <c r="H3722" i="3"/>
  <c r="I3721" i="3"/>
  <c r="H3721" i="3"/>
  <c r="I3720" i="3"/>
  <c r="H3720" i="3"/>
  <c r="I3719" i="3"/>
  <c r="H3719" i="3"/>
  <c r="I3718" i="3"/>
  <c r="H3718" i="3"/>
  <c r="I3717" i="3"/>
  <c r="H3717" i="3"/>
  <c r="I3716" i="3"/>
  <c r="H3716" i="3"/>
  <c r="I3715" i="3"/>
  <c r="H3715" i="3"/>
  <c r="I3714" i="3"/>
  <c r="H3714" i="3"/>
  <c r="I3713" i="3"/>
  <c r="H3713" i="3"/>
  <c r="I3712" i="3"/>
  <c r="H3712" i="3"/>
  <c r="I3711" i="3"/>
  <c r="H3711" i="3"/>
  <c r="I3710" i="3"/>
  <c r="H3710" i="3"/>
  <c r="I3709" i="3"/>
  <c r="H3709" i="3"/>
  <c r="I3708" i="3"/>
  <c r="H3708" i="3"/>
  <c r="I3707" i="3"/>
  <c r="H3707" i="3"/>
  <c r="I3706" i="3"/>
  <c r="H3706" i="3"/>
  <c r="I3705" i="3"/>
  <c r="H3705" i="3"/>
  <c r="I3704" i="3"/>
  <c r="H3704" i="3"/>
  <c r="I3703" i="3"/>
  <c r="H3703" i="3"/>
  <c r="I3702" i="3"/>
  <c r="H3702" i="3"/>
  <c r="I3701" i="3"/>
  <c r="H3701" i="3"/>
  <c r="I3700" i="3"/>
  <c r="H3700" i="3"/>
  <c r="I3699" i="3"/>
  <c r="H3699" i="3"/>
  <c r="I3698" i="3"/>
  <c r="H3698" i="3"/>
  <c r="I3697" i="3"/>
  <c r="H3697" i="3"/>
  <c r="I3696" i="3"/>
  <c r="H3696" i="3"/>
  <c r="I3695" i="3"/>
  <c r="H3695" i="3"/>
  <c r="I3694" i="3"/>
  <c r="H3694" i="3"/>
  <c r="I3693" i="3"/>
  <c r="H3693" i="3"/>
  <c r="I3692" i="3"/>
  <c r="H3692" i="3"/>
  <c r="I3691" i="3"/>
  <c r="H3691" i="3"/>
  <c r="I3690" i="3"/>
  <c r="H3690" i="3"/>
  <c r="I3689" i="3"/>
  <c r="H3689" i="3"/>
  <c r="I3688" i="3"/>
  <c r="H3688" i="3"/>
  <c r="I3687" i="3"/>
  <c r="H3687" i="3"/>
  <c r="I3686" i="3"/>
  <c r="H3686" i="3"/>
  <c r="I3685" i="3"/>
  <c r="H3685" i="3"/>
  <c r="I3684" i="3"/>
  <c r="H3684" i="3"/>
  <c r="I3683" i="3"/>
  <c r="H3683" i="3"/>
  <c r="I3682" i="3"/>
  <c r="H3682" i="3"/>
  <c r="I3681" i="3"/>
  <c r="H3681" i="3"/>
  <c r="I3680" i="3"/>
  <c r="H3680" i="3"/>
  <c r="I3679" i="3"/>
  <c r="H3679" i="3"/>
  <c r="I3678" i="3"/>
  <c r="H3678" i="3"/>
  <c r="I3677" i="3"/>
  <c r="H3677" i="3"/>
  <c r="I3676" i="3"/>
  <c r="H3676" i="3"/>
  <c r="I3675" i="3"/>
  <c r="H3675" i="3"/>
  <c r="I3674" i="3"/>
  <c r="H3674" i="3"/>
  <c r="I3673" i="3"/>
  <c r="H3673" i="3"/>
  <c r="I3672" i="3"/>
  <c r="H3672" i="3"/>
  <c r="I3671" i="3"/>
  <c r="H3671" i="3"/>
  <c r="I3670" i="3"/>
  <c r="H3670" i="3"/>
  <c r="I3669" i="3"/>
  <c r="H3669" i="3"/>
  <c r="I3668" i="3"/>
  <c r="H3668" i="3"/>
  <c r="I3667" i="3"/>
  <c r="H3667" i="3"/>
  <c r="I3666" i="3"/>
  <c r="H3666" i="3"/>
  <c r="I3665" i="3"/>
  <c r="H3665" i="3"/>
  <c r="I3664" i="3"/>
  <c r="H3664" i="3"/>
  <c r="I3663" i="3"/>
  <c r="H3663" i="3"/>
  <c r="I3662" i="3"/>
  <c r="H3662" i="3"/>
  <c r="I3661" i="3"/>
  <c r="H3661" i="3"/>
  <c r="I3660" i="3"/>
  <c r="H3660" i="3"/>
  <c r="I3659" i="3"/>
  <c r="H3659" i="3"/>
  <c r="I3658" i="3"/>
  <c r="H3658" i="3"/>
  <c r="I3657" i="3"/>
  <c r="H3657" i="3"/>
  <c r="I3656" i="3"/>
  <c r="H3656" i="3"/>
  <c r="I3655" i="3"/>
  <c r="H3655" i="3"/>
  <c r="I3654" i="3"/>
  <c r="H3654" i="3"/>
  <c r="I3653" i="3"/>
  <c r="H3653" i="3"/>
  <c r="I3652" i="3"/>
  <c r="H3652" i="3"/>
  <c r="I3651" i="3"/>
  <c r="H3651" i="3"/>
  <c r="I3650" i="3"/>
  <c r="H3650" i="3"/>
  <c r="I3649" i="3"/>
  <c r="H3649" i="3"/>
  <c r="I3648" i="3"/>
  <c r="H3648" i="3"/>
  <c r="I3647" i="3"/>
  <c r="H3647" i="3"/>
  <c r="I3646" i="3"/>
  <c r="H3646" i="3"/>
  <c r="I3645" i="3"/>
  <c r="H3645" i="3"/>
  <c r="I3644" i="3"/>
  <c r="H3644" i="3"/>
  <c r="I3643" i="3"/>
  <c r="H3643" i="3"/>
  <c r="I3642" i="3"/>
  <c r="H3642" i="3"/>
  <c r="I3641" i="3"/>
  <c r="H3641" i="3"/>
  <c r="I3640" i="3"/>
  <c r="H3640" i="3"/>
  <c r="I3639" i="3"/>
  <c r="H3639" i="3"/>
  <c r="I3638" i="3"/>
  <c r="H3638" i="3"/>
  <c r="I3637" i="3"/>
  <c r="H3637" i="3"/>
  <c r="I3636" i="3"/>
  <c r="H3636" i="3"/>
  <c r="I3635" i="3"/>
  <c r="H3635" i="3"/>
  <c r="I3634" i="3"/>
  <c r="H3634" i="3"/>
  <c r="I3633" i="3"/>
  <c r="H3633" i="3"/>
  <c r="I3632" i="3"/>
  <c r="H3632" i="3"/>
  <c r="I3631" i="3"/>
  <c r="H3631" i="3"/>
  <c r="I3630" i="3"/>
  <c r="H3630" i="3"/>
  <c r="I3629" i="3"/>
  <c r="H3629" i="3"/>
  <c r="I3628" i="3"/>
  <c r="H3628" i="3"/>
  <c r="I3627" i="3"/>
  <c r="H3627" i="3"/>
  <c r="I3626" i="3"/>
  <c r="H3626" i="3"/>
  <c r="I3625" i="3"/>
  <c r="H3625" i="3"/>
  <c r="I3624" i="3"/>
  <c r="H3624" i="3"/>
  <c r="I3623" i="3"/>
  <c r="H3623" i="3"/>
  <c r="I3622" i="3"/>
  <c r="H3622" i="3"/>
  <c r="I3621" i="3"/>
  <c r="H3621" i="3"/>
  <c r="I3620" i="3"/>
  <c r="H3620" i="3"/>
  <c r="I3619" i="3"/>
  <c r="H3619" i="3"/>
  <c r="I3618" i="3"/>
  <c r="H3618" i="3"/>
  <c r="I3617" i="3"/>
  <c r="H3617" i="3"/>
  <c r="I3616" i="3"/>
  <c r="H3616" i="3"/>
  <c r="I3615" i="3"/>
  <c r="H3615" i="3"/>
  <c r="I3614" i="3"/>
  <c r="H3614" i="3"/>
  <c r="I3613" i="3"/>
  <c r="H3613" i="3"/>
  <c r="I3612" i="3"/>
  <c r="H3612" i="3"/>
  <c r="I3611" i="3"/>
  <c r="H3611" i="3"/>
  <c r="I3610" i="3"/>
  <c r="H3610" i="3"/>
  <c r="I3609" i="3"/>
  <c r="H3609" i="3"/>
  <c r="I3608" i="3"/>
  <c r="H3608" i="3"/>
  <c r="I3607" i="3"/>
  <c r="H3607" i="3"/>
  <c r="I3606" i="3"/>
  <c r="H3606" i="3"/>
  <c r="I3605" i="3"/>
  <c r="H3605" i="3"/>
  <c r="I3604" i="3"/>
  <c r="H3604" i="3"/>
  <c r="I3603" i="3"/>
  <c r="H3603" i="3"/>
  <c r="I3602" i="3"/>
  <c r="H3602" i="3"/>
  <c r="I3601" i="3"/>
  <c r="H3601" i="3"/>
  <c r="I3600" i="3"/>
  <c r="H3600" i="3"/>
  <c r="I3599" i="3"/>
  <c r="H3599" i="3"/>
  <c r="I3598" i="3"/>
  <c r="H3598" i="3"/>
  <c r="I3597" i="3"/>
  <c r="H3597" i="3"/>
  <c r="I3596" i="3"/>
  <c r="H3596" i="3"/>
  <c r="I3595" i="3"/>
  <c r="H3595" i="3"/>
  <c r="I3594" i="3"/>
  <c r="H3594" i="3"/>
  <c r="I3593" i="3"/>
  <c r="H3593" i="3"/>
  <c r="I3592" i="3"/>
  <c r="H3592" i="3"/>
  <c r="I3591" i="3"/>
  <c r="H3591" i="3"/>
  <c r="I3590" i="3"/>
  <c r="H3590" i="3"/>
  <c r="I3589" i="3"/>
  <c r="H3589" i="3"/>
  <c r="I3588" i="3"/>
  <c r="H3588" i="3"/>
  <c r="I3587" i="3"/>
  <c r="H3587" i="3"/>
  <c r="I3586" i="3"/>
  <c r="H3586" i="3"/>
  <c r="I3585" i="3"/>
  <c r="H3585" i="3"/>
  <c r="I3584" i="3"/>
  <c r="H3584" i="3"/>
  <c r="I3583" i="3"/>
  <c r="H3583" i="3"/>
  <c r="I3582" i="3"/>
  <c r="H3582" i="3"/>
  <c r="I3581" i="3"/>
  <c r="H3581" i="3"/>
  <c r="I3580" i="3"/>
  <c r="H3580" i="3"/>
  <c r="I3579" i="3"/>
  <c r="H3579" i="3"/>
  <c r="I3578" i="3"/>
  <c r="H3578" i="3"/>
  <c r="I3577" i="3"/>
  <c r="H3577" i="3"/>
  <c r="I3576" i="3"/>
  <c r="H3576" i="3"/>
  <c r="I3575" i="3"/>
  <c r="H3575" i="3"/>
  <c r="I3574" i="3"/>
  <c r="H3574" i="3"/>
  <c r="I3573" i="3"/>
  <c r="H3573" i="3"/>
  <c r="I3572" i="3"/>
  <c r="H3572" i="3"/>
  <c r="I3571" i="3"/>
  <c r="H3571" i="3"/>
  <c r="I3570" i="3"/>
  <c r="H3570" i="3"/>
  <c r="I3569" i="3"/>
  <c r="H3569" i="3"/>
  <c r="I3568" i="3"/>
  <c r="H3568" i="3"/>
  <c r="I3567" i="3"/>
  <c r="H3567" i="3"/>
  <c r="I3566" i="3"/>
  <c r="H3566" i="3"/>
  <c r="I3565" i="3"/>
  <c r="H3565" i="3"/>
  <c r="I3564" i="3"/>
  <c r="H3564" i="3"/>
  <c r="I3563" i="3"/>
  <c r="H3563" i="3"/>
  <c r="I3562" i="3"/>
  <c r="H3562" i="3"/>
  <c r="I3561" i="3"/>
  <c r="H3561" i="3"/>
  <c r="I3560" i="3"/>
  <c r="H3560" i="3"/>
  <c r="I3559" i="3"/>
  <c r="H3559" i="3"/>
  <c r="I3558" i="3"/>
  <c r="H3558" i="3"/>
  <c r="I3557" i="3"/>
  <c r="H3557" i="3"/>
  <c r="I3556" i="3"/>
  <c r="H3556" i="3"/>
  <c r="I3555" i="3"/>
  <c r="H3555" i="3"/>
  <c r="I3554" i="3"/>
  <c r="H3554" i="3"/>
  <c r="I3553" i="3"/>
  <c r="H3553" i="3"/>
  <c r="I3552" i="3"/>
  <c r="H3552" i="3"/>
  <c r="I3551" i="3"/>
  <c r="H3551" i="3"/>
  <c r="I3550" i="3"/>
  <c r="H3550" i="3"/>
  <c r="I3549" i="3"/>
  <c r="H3549" i="3"/>
  <c r="I3548" i="3"/>
  <c r="H3548" i="3"/>
  <c r="I3547" i="3"/>
  <c r="H3547" i="3"/>
  <c r="I3546" i="3"/>
  <c r="H3546" i="3"/>
  <c r="I3545" i="3"/>
  <c r="H3545" i="3"/>
  <c r="I3544" i="3"/>
  <c r="H3544" i="3"/>
  <c r="I3543" i="3"/>
  <c r="H3543" i="3"/>
  <c r="I3542" i="3"/>
  <c r="H3542" i="3"/>
  <c r="I3541" i="3"/>
  <c r="H3541" i="3"/>
  <c r="I3540" i="3"/>
  <c r="H3540" i="3"/>
  <c r="I3539" i="3"/>
  <c r="H3539" i="3"/>
  <c r="I3538" i="3"/>
  <c r="H3538" i="3"/>
  <c r="I3537" i="3"/>
  <c r="H3537" i="3"/>
  <c r="I3536" i="3"/>
  <c r="H3536" i="3"/>
  <c r="I3535" i="3"/>
  <c r="H3535" i="3"/>
  <c r="I3534" i="3"/>
  <c r="H3534" i="3"/>
  <c r="I3533" i="3"/>
  <c r="H3533" i="3"/>
  <c r="I3532" i="3"/>
  <c r="H3532" i="3"/>
  <c r="I3531" i="3"/>
  <c r="H3531" i="3"/>
  <c r="I3530" i="3"/>
  <c r="H3530" i="3"/>
  <c r="I3529" i="3"/>
  <c r="H3529" i="3"/>
  <c r="I3528" i="3"/>
  <c r="H3528" i="3"/>
  <c r="I3527" i="3"/>
  <c r="H3527" i="3"/>
  <c r="I3526" i="3"/>
  <c r="H3526" i="3"/>
  <c r="I3525" i="3"/>
  <c r="H3525" i="3"/>
  <c r="I3524" i="3"/>
  <c r="H3524" i="3"/>
  <c r="I3523" i="3"/>
  <c r="H3523" i="3"/>
  <c r="I3522" i="3"/>
  <c r="H3522" i="3"/>
  <c r="I3521" i="3"/>
  <c r="H3521" i="3"/>
  <c r="I3520" i="3"/>
  <c r="H3520" i="3"/>
  <c r="I3519" i="3"/>
  <c r="H3519" i="3"/>
  <c r="I3518" i="3"/>
  <c r="H3518" i="3"/>
  <c r="I3517" i="3"/>
  <c r="H3517" i="3"/>
  <c r="I3516" i="3"/>
  <c r="H3516" i="3"/>
  <c r="I3515" i="3"/>
  <c r="H3515" i="3"/>
  <c r="I3514" i="3"/>
  <c r="H3514" i="3"/>
  <c r="I3513" i="3"/>
  <c r="H3513" i="3"/>
  <c r="I3512" i="3"/>
  <c r="H3512" i="3"/>
  <c r="I3511" i="3"/>
  <c r="H3511" i="3"/>
  <c r="I3510" i="3"/>
  <c r="H3510" i="3"/>
  <c r="I3509" i="3"/>
  <c r="H3509" i="3"/>
  <c r="I3508" i="3"/>
  <c r="H3508" i="3"/>
  <c r="I3507" i="3"/>
  <c r="H3507" i="3"/>
  <c r="I3506" i="3"/>
  <c r="H3506" i="3"/>
  <c r="I3505" i="3"/>
  <c r="H3505" i="3"/>
  <c r="I3504" i="3"/>
  <c r="H3504" i="3"/>
  <c r="I3503" i="3"/>
  <c r="H3503" i="3"/>
  <c r="I3502" i="3"/>
  <c r="H3502" i="3"/>
  <c r="I3501" i="3"/>
  <c r="H3501" i="3"/>
  <c r="I3500" i="3"/>
  <c r="H3500" i="3"/>
  <c r="I3499" i="3"/>
  <c r="H3499" i="3"/>
  <c r="I3498" i="3"/>
  <c r="H3498" i="3"/>
  <c r="I3497" i="3"/>
  <c r="H3497" i="3"/>
  <c r="I3496" i="3"/>
  <c r="H3496" i="3"/>
  <c r="I3495" i="3"/>
  <c r="H3495" i="3"/>
  <c r="I3494" i="3"/>
  <c r="H3494" i="3"/>
  <c r="I3493" i="3"/>
  <c r="H3493" i="3"/>
  <c r="I3492" i="3"/>
  <c r="H3492" i="3"/>
  <c r="I3491" i="3"/>
  <c r="H3491" i="3"/>
  <c r="I3490" i="3"/>
  <c r="H3490" i="3"/>
  <c r="I3489" i="3"/>
  <c r="H3489" i="3"/>
  <c r="I3488" i="3"/>
  <c r="H3488" i="3"/>
  <c r="I3487" i="3"/>
  <c r="H3487" i="3"/>
  <c r="I3486" i="3"/>
  <c r="H3486" i="3"/>
  <c r="I3485" i="3"/>
  <c r="H3485" i="3"/>
  <c r="I3484" i="3"/>
  <c r="H3484" i="3"/>
  <c r="I3483" i="3"/>
  <c r="H3483" i="3"/>
  <c r="I3482" i="3"/>
  <c r="H3482" i="3"/>
  <c r="I3481" i="3"/>
  <c r="H3481" i="3"/>
  <c r="I3480" i="3"/>
  <c r="H3480" i="3"/>
  <c r="I3479" i="3"/>
  <c r="H3479" i="3"/>
  <c r="I3478" i="3"/>
  <c r="H3478" i="3"/>
  <c r="I3477" i="3"/>
  <c r="H3477" i="3"/>
  <c r="I3476" i="3"/>
  <c r="H3476" i="3"/>
  <c r="I3475" i="3"/>
  <c r="H3475" i="3"/>
  <c r="I3474" i="3"/>
  <c r="H3474" i="3"/>
  <c r="I3473" i="3"/>
  <c r="H3473" i="3"/>
  <c r="I3472" i="3"/>
  <c r="H3472" i="3"/>
  <c r="I3471" i="3"/>
  <c r="H3471" i="3"/>
  <c r="I3470" i="3"/>
  <c r="H3470" i="3"/>
  <c r="I3469" i="3"/>
  <c r="H3469" i="3"/>
  <c r="I3468" i="3"/>
  <c r="H3468" i="3"/>
  <c r="I3467" i="3"/>
  <c r="H3467" i="3"/>
  <c r="I3466" i="3"/>
  <c r="H3466" i="3"/>
  <c r="I3465" i="3"/>
  <c r="H3465" i="3"/>
  <c r="I3464" i="3"/>
  <c r="H3464" i="3"/>
  <c r="I3463" i="3"/>
  <c r="H3463" i="3"/>
  <c r="I3462" i="3"/>
  <c r="H3462" i="3"/>
  <c r="I3461" i="3"/>
  <c r="H3461" i="3"/>
  <c r="I3460" i="3"/>
  <c r="H3460" i="3"/>
  <c r="I3459" i="3"/>
  <c r="H3459" i="3"/>
  <c r="I3458" i="3"/>
  <c r="H3458" i="3"/>
  <c r="I3457" i="3"/>
  <c r="H3457" i="3"/>
  <c r="I3456" i="3"/>
  <c r="H3456" i="3"/>
  <c r="I3455" i="3"/>
  <c r="H3455" i="3"/>
  <c r="I3454" i="3"/>
  <c r="H3454" i="3"/>
  <c r="I3453" i="3"/>
  <c r="H3453" i="3"/>
  <c r="I3452" i="3"/>
  <c r="H3452" i="3"/>
  <c r="I3451" i="3"/>
  <c r="H3451" i="3"/>
  <c r="I3450" i="3"/>
  <c r="H3450" i="3"/>
  <c r="I3449" i="3"/>
  <c r="H3449" i="3"/>
  <c r="I3448" i="3"/>
  <c r="H3448" i="3"/>
  <c r="I3447" i="3"/>
  <c r="H3447" i="3"/>
  <c r="I3446" i="3"/>
  <c r="H3446" i="3"/>
  <c r="I3445" i="3"/>
  <c r="H3445" i="3"/>
  <c r="I3444" i="3"/>
  <c r="H3444" i="3"/>
  <c r="I3443" i="3"/>
  <c r="H3443" i="3"/>
  <c r="I3442" i="3"/>
  <c r="H3442" i="3"/>
  <c r="I3441" i="3"/>
  <c r="H3441" i="3"/>
  <c r="I3440" i="3"/>
  <c r="H3440" i="3"/>
  <c r="I3439" i="3"/>
  <c r="H3439" i="3"/>
  <c r="I3438" i="3"/>
  <c r="H3438" i="3"/>
  <c r="I3437" i="3"/>
  <c r="H3437" i="3"/>
  <c r="I3436" i="3"/>
  <c r="H3436" i="3"/>
  <c r="I3435" i="3"/>
  <c r="H3435" i="3"/>
  <c r="I3434" i="3"/>
  <c r="H3434" i="3"/>
  <c r="I3433" i="3"/>
  <c r="H3433" i="3"/>
  <c r="I3432" i="3"/>
  <c r="H3432" i="3"/>
  <c r="I3431" i="3"/>
  <c r="H3431" i="3"/>
  <c r="I3430" i="3"/>
  <c r="H3430" i="3"/>
  <c r="I3429" i="3"/>
  <c r="H3429" i="3"/>
  <c r="I3428" i="3"/>
  <c r="H3428" i="3"/>
  <c r="I3427" i="3"/>
  <c r="H3427" i="3"/>
  <c r="I3426" i="3"/>
  <c r="H3426" i="3"/>
  <c r="I3425" i="3"/>
  <c r="H3425" i="3"/>
  <c r="I3424" i="3"/>
  <c r="H3424" i="3"/>
  <c r="I3423" i="3"/>
  <c r="H3423" i="3"/>
  <c r="I3422" i="3"/>
  <c r="H3422" i="3"/>
  <c r="I3421" i="3"/>
  <c r="H3421" i="3"/>
  <c r="I3420" i="3"/>
  <c r="H3420" i="3"/>
  <c r="I3419" i="3"/>
  <c r="H3419" i="3"/>
  <c r="I3418" i="3"/>
  <c r="H3418" i="3"/>
  <c r="I3417" i="3"/>
  <c r="H3417" i="3"/>
  <c r="I3416" i="3"/>
  <c r="H3416" i="3"/>
  <c r="I3415" i="3"/>
  <c r="H3415" i="3"/>
  <c r="I3414" i="3"/>
  <c r="H3414" i="3"/>
  <c r="I3413" i="3"/>
  <c r="H3413" i="3"/>
  <c r="I3412" i="3"/>
  <c r="H3412" i="3"/>
  <c r="I3411" i="3"/>
  <c r="H3411" i="3"/>
  <c r="I3410" i="3"/>
  <c r="H3410" i="3"/>
  <c r="I3409" i="3"/>
  <c r="H3409" i="3"/>
  <c r="I3408" i="3"/>
  <c r="H3408" i="3"/>
  <c r="I3407" i="3"/>
  <c r="H3407" i="3"/>
  <c r="I3406" i="3"/>
  <c r="H3406" i="3"/>
  <c r="I3405" i="3"/>
  <c r="H3405" i="3"/>
  <c r="I3404" i="3"/>
  <c r="H3404" i="3"/>
  <c r="I3403" i="3"/>
  <c r="H3403" i="3"/>
  <c r="I3402" i="3"/>
  <c r="H3402" i="3"/>
  <c r="I3401" i="3"/>
  <c r="H3401" i="3"/>
  <c r="I3400" i="3"/>
  <c r="H3400" i="3"/>
  <c r="I3399" i="3"/>
  <c r="H3399" i="3"/>
  <c r="I3398" i="3"/>
  <c r="H3398" i="3"/>
  <c r="I3397" i="3"/>
  <c r="H3397" i="3"/>
  <c r="I3396" i="3"/>
  <c r="H3396" i="3"/>
  <c r="I3395" i="3"/>
  <c r="H3395" i="3"/>
  <c r="I3394" i="3"/>
  <c r="H3394" i="3"/>
  <c r="I3393" i="3"/>
  <c r="H3393" i="3"/>
  <c r="I3392" i="3"/>
  <c r="H3392" i="3"/>
  <c r="I3391" i="3"/>
  <c r="H3391" i="3"/>
  <c r="I3390" i="3"/>
  <c r="H3390" i="3"/>
  <c r="I3389" i="3"/>
  <c r="H3389" i="3"/>
  <c r="I3388" i="3"/>
  <c r="H3388" i="3"/>
  <c r="I3387" i="3"/>
  <c r="H3387" i="3"/>
  <c r="I3386" i="3"/>
  <c r="H3386" i="3"/>
  <c r="I3385" i="3"/>
  <c r="H3385" i="3"/>
  <c r="I3384" i="3"/>
  <c r="H3384" i="3"/>
  <c r="I3383" i="3"/>
  <c r="H3383" i="3"/>
  <c r="I3382" i="3"/>
  <c r="H3382" i="3"/>
  <c r="I3381" i="3"/>
  <c r="H3381" i="3"/>
  <c r="I3380" i="3"/>
  <c r="H3380" i="3"/>
  <c r="I3379" i="3"/>
  <c r="H3379" i="3"/>
  <c r="I3378" i="3"/>
  <c r="H3378" i="3"/>
  <c r="I3377" i="3"/>
  <c r="H3377" i="3"/>
  <c r="I3376" i="3"/>
  <c r="H3376" i="3"/>
  <c r="I3375" i="3"/>
  <c r="H3375" i="3"/>
  <c r="I3374" i="3"/>
  <c r="H3374" i="3"/>
  <c r="I3373" i="3"/>
  <c r="H3373" i="3"/>
  <c r="I3372" i="3"/>
  <c r="H3372" i="3"/>
  <c r="I3371" i="3"/>
  <c r="H3371" i="3"/>
  <c r="I3370" i="3"/>
  <c r="H3370" i="3"/>
  <c r="I3369" i="3"/>
  <c r="H3369" i="3"/>
  <c r="I3368" i="3"/>
  <c r="H3368" i="3"/>
  <c r="I3367" i="3"/>
  <c r="H3367" i="3"/>
  <c r="I3366" i="3"/>
  <c r="H3366" i="3"/>
  <c r="I3365" i="3"/>
  <c r="H3365" i="3"/>
  <c r="I3364" i="3"/>
  <c r="H3364" i="3"/>
  <c r="I3363" i="3"/>
  <c r="H3363" i="3"/>
  <c r="I3362" i="3"/>
  <c r="H3362" i="3"/>
  <c r="I3361" i="3"/>
  <c r="H3361" i="3"/>
  <c r="I3360" i="3"/>
  <c r="H3360" i="3"/>
  <c r="I3359" i="3"/>
  <c r="H3359" i="3"/>
  <c r="I3358" i="3"/>
  <c r="H3358" i="3"/>
  <c r="I3357" i="3"/>
  <c r="H3357" i="3"/>
  <c r="I3356" i="3"/>
  <c r="H3356" i="3"/>
  <c r="I3355" i="3"/>
  <c r="H3355" i="3"/>
  <c r="I3354" i="3"/>
  <c r="H3354" i="3"/>
  <c r="I3353" i="3"/>
  <c r="H3353" i="3"/>
  <c r="I3352" i="3"/>
  <c r="H3352" i="3"/>
  <c r="I3351" i="3"/>
  <c r="H3351" i="3"/>
  <c r="I3350" i="3"/>
  <c r="H3350" i="3"/>
  <c r="I3349" i="3"/>
  <c r="H3349" i="3"/>
  <c r="I3348" i="3"/>
  <c r="H3348" i="3"/>
  <c r="I3347" i="3"/>
  <c r="H3347" i="3"/>
  <c r="I3346" i="3"/>
  <c r="H3346" i="3"/>
  <c r="I3345" i="3"/>
  <c r="H3345" i="3"/>
  <c r="I3344" i="3"/>
  <c r="H3344" i="3"/>
  <c r="I3343" i="3"/>
  <c r="H3343" i="3"/>
  <c r="I3342" i="3"/>
  <c r="H3342" i="3"/>
  <c r="I3341" i="3"/>
  <c r="H3341" i="3"/>
  <c r="I3340" i="3"/>
  <c r="H3340" i="3"/>
  <c r="I3339" i="3"/>
  <c r="H3339" i="3"/>
  <c r="I3338" i="3"/>
  <c r="H3338" i="3"/>
  <c r="I3337" i="3"/>
  <c r="H3337" i="3"/>
  <c r="I3336" i="3"/>
  <c r="H3336" i="3"/>
  <c r="I3335" i="3"/>
  <c r="H3335" i="3"/>
  <c r="I3334" i="3"/>
  <c r="H3334" i="3"/>
  <c r="I3333" i="3"/>
  <c r="H3333" i="3"/>
  <c r="I3332" i="3"/>
  <c r="H3332" i="3"/>
  <c r="I3331" i="3"/>
  <c r="H3331" i="3"/>
  <c r="I3330" i="3"/>
  <c r="H3330" i="3"/>
  <c r="I3329" i="3"/>
  <c r="H3329" i="3"/>
  <c r="I3328" i="3"/>
  <c r="H3328" i="3"/>
  <c r="I3327" i="3"/>
  <c r="H3327" i="3"/>
  <c r="I3326" i="3"/>
  <c r="H3326" i="3"/>
  <c r="I3325" i="3"/>
  <c r="H3325" i="3"/>
  <c r="I3324" i="3"/>
  <c r="H3324" i="3"/>
  <c r="I3323" i="3"/>
  <c r="H3323" i="3"/>
  <c r="I3322" i="3"/>
  <c r="H3322" i="3"/>
  <c r="I3321" i="3"/>
  <c r="H3321" i="3"/>
  <c r="I3320" i="3"/>
  <c r="H3320" i="3"/>
  <c r="I3319" i="3"/>
  <c r="H3319" i="3"/>
  <c r="I3318" i="3"/>
  <c r="H3318" i="3"/>
  <c r="I3317" i="3"/>
  <c r="H3317" i="3"/>
  <c r="I3316" i="3"/>
  <c r="H3316" i="3"/>
  <c r="I3315" i="3"/>
  <c r="H3315" i="3"/>
  <c r="I3314" i="3"/>
  <c r="H3314" i="3"/>
  <c r="I3313" i="3"/>
  <c r="H3313" i="3"/>
  <c r="I3312" i="3"/>
  <c r="H3312" i="3"/>
  <c r="I3311" i="3"/>
  <c r="H3311" i="3"/>
  <c r="I3310" i="3"/>
  <c r="H3310" i="3"/>
  <c r="I3309" i="3"/>
  <c r="H3309" i="3"/>
  <c r="I3308" i="3"/>
  <c r="H3308" i="3"/>
  <c r="I3307" i="3"/>
  <c r="H3307" i="3"/>
  <c r="I3306" i="3"/>
  <c r="H3306" i="3"/>
  <c r="I3305" i="3"/>
  <c r="H3305" i="3"/>
  <c r="I3304" i="3"/>
  <c r="H3304" i="3"/>
  <c r="I3303" i="3"/>
  <c r="H3303" i="3"/>
  <c r="I3302" i="3"/>
  <c r="H3302" i="3"/>
  <c r="I3301" i="3"/>
  <c r="H3301" i="3"/>
  <c r="I3300" i="3"/>
  <c r="H3300" i="3"/>
  <c r="I3299" i="3"/>
  <c r="H3299" i="3"/>
  <c r="I3298" i="3"/>
  <c r="H3298" i="3"/>
  <c r="I3297" i="3"/>
  <c r="H3297" i="3"/>
  <c r="I3296" i="3"/>
  <c r="H3296" i="3"/>
  <c r="I3295" i="3"/>
  <c r="H3295" i="3"/>
  <c r="I3294" i="3"/>
  <c r="H3294" i="3"/>
  <c r="I3293" i="3"/>
  <c r="H3293" i="3"/>
  <c r="I3292" i="3"/>
  <c r="H3292" i="3"/>
  <c r="I3291" i="3"/>
  <c r="H3291" i="3"/>
  <c r="I3290" i="3"/>
  <c r="H3290" i="3"/>
  <c r="I3289" i="3"/>
  <c r="H3289" i="3"/>
  <c r="I3288" i="3"/>
  <c r="H3288" i="3"/>
  <c r="I3287" i="3"/>
  <c r="H3287" i="3"/>
  <c r="I3286" i="3"/>
  <c r="H3286" i="3"/>
  <c r="I3285" i="3"/>
  <c r="H3285" i="3"/>
  <c r="I3284" i="3"/>
  <c r="H3284" i="3"/>
  <c r="I3283" i="3"/>
  <c r="H3283" i="3"/>
  <c r="I3282" i="3"/>
  <c r="H3282" i="3"/>
  <c r="I3281" i="3"/>
  <c r="H3281" i="3"/>
  <c r="I3280" i="3"/>
  <c r="H3280" i="3"/>
  <c r="I3279" i="3"/>
  <c r="H3279" i="3"/>
  <c r="I3278" i="3"/>
  <c r="H3278" i="3"/>
  <c r="I3277" i="3"/>
  <c r="H3277" i="3"/>
  <c r="I3276" i="3"/>
  <c r="H3276" i="3"/>
  <c r="I3275" i="3"/>
  <c r="H3275" i="3"/>
  <c r="I3274" i="3"/>
  <c r="H3274" i="3"/>
  <c r="I3273" i="3"/>
  <c r="H3273" i="3"/>
  <c r="I3272" i="3"/>
  <c r="H3272" i="3"/>
  <c r="I3271" i="3"/>
  <c r="H3271" i="3"/>
  <c r="I3270" i="3"/>
  <c r="H3270" i="3"/>
  <c r="I3269" i="3"/>
  <c r="H3269" i="3"/>
  <c r="I3268" i="3"/>
  <c r="H3268" i="3"/>
  <c r="I3267" i="3"/>
  <c r="H3267" i="3"/>
  <c r="I3266" i="3"/>
  <c r="H3266" i="3"/>
  <c r="I3265" i="3"/>
  <c r="H3265" i="3"/>
  <c r="I3264" i="3"/>
  <c r="H3264" i="3"/>
  <c r="I3263" i="3"/>
  <c r="H3263" i="3"/>
  <c r="I3262" i="3"/>
  <c r="H3262" i="3"/>
  <c r="I3261" i="3"/>
  <c r="H3261" i="3"/>
  <c r="I3260" i="3"/>
  <c r="H3260" i="3"/>
  <c r="I3259" i="3"/>
  <c r="H3259" i="3"/>
  <c r="I3258" i="3"/>
  <c r="H3258" i="3"/>
  <c r="I3257" i="3"/>
  <c r="H3257" i="3"/>
  <c r="I3256" i="3"/>
  <c r="H3256" i="3"/>
  <c r="I3255" i="3"/>
  <c r="H3255" i="3"/>
  <c r="I3254" i="3"/>
  <c r="H3254" i="3"/>
  <c r="I3253" i="3"/>
  <c r="H3253" i="3"/>
  <c r="I3252" i="3"/>
  <c r="H3252" i="3"/>
  <c r="I3251" i="3"/>
  <c r="H3251" i="3"/>
  <c r="I3250" i="3"/>
  <c r="H3250" i="3"/>
  <c r="I3249" i="3"/>
  <c r="H3249" i="3"/>
  <c r="I3248" i="3"/>
  <c r="H3248" i="3"/>
  <c r="I3247" i="3"/>
  <c r="H3247" i="3"/>
  <c r="I3246" i="3"/>
  <c r="H3246" i="3"/>
  <c r="I3245" i="3"/>
  <c r="H3245" i="3"/>
  <c r="I3244" i="3"/>
  <c r="H3244" i="3"/>
  <c r="I3243" i="3"/>
  <c r="H3243" i="3"/>
  <c r="I3242" i="3"/>
  <c r="H3242" i="3"/>
  <c r="I3241" i="3"/>
  <c r="H3241" i="3"/>
  <c r="I3240" i="3"/>
  <c r="H3240" i="3"/>
  <c r="I3239" i="3"/>
  <c r="H3239" i="3"/>
  <c r="I3238" i="3"/>
  <c r="H3238" i="3"/>
  <c r="I3237" i="3"/>
  <c r="H3237" i="3"/>
  <c r="I3236" i="3"/>
  <c r="H3236" i="3"/>
  <c r="I3235" i="3"/>
  <c r="H3235" i="3"/>
  <c r="I3234" i="3"/>
  <c r="H3234" i="3"/>
  <c r="I3233" i="3"/>
  <c r="H3233" i="3"/>
  <c r="I3232" i="3"/>
  <c r="H3232" i="3"/>
  <c r="I3231" i="3"/>
  <c r="H3231" i="3"/>
  <c r="I3230" i="3"/>
  <c r="H3230" i="3"/>
  <c r="I3229" i="3"/>
  <c r="H3229" i="3"/>
  <c r="I3228" i="3"/>
  <c r="H3228" i="3"/>
  <c r="I3227" i="3"/>
  <c r="H3227" i="3"/>
  <c r="I3226" i="3"/>
  <c r="H3226" i="3"/>
  <c r="I3224" i="3"/>
  <c r="H3224" i="3"/>
  <c r="I3223" i="3"/>
  <c r="H3223" i="3"/>
  <c r="I3222" i="3"/>
  <c r="H3222" i="3"/>
  <c r="I3221" i="3"/>
  <c r="H3221" i="3"/>
  <c r="I3220" i="3"/>
  <c r="H3220" i="3"/>
  <c r="I3219" i="3"/>
  <c r="H3219" i="3"/>
  <c r="I3218" i="3"/>
  <c r="H3218" i="3"/>
  <c r="I3217" i="3"/>
  <c r="H3217" i="3"/>
  <c r="I3216" i="3"/>
  <c r="H3216" i="3"/>
  <c r="I3215" i="3"/>
  <c r="H3215" i="3"/>
  <c r="I3214" i="3"/>
  <c r="H3214" i="3"/>
  <c r="I3213" i="3"/>
  <c r="H3213" i="3"/>
  <c r="I3212" i="3"/>
  <c r="H3212" i="3"/>
  <c r="I3211" i="3"/>
  <c r="H3211" i="3"/>
  <c r="I3210" i="3"/>
  <c r="H3210" i="3"/>
  <c r="I3209" i="3"/>
  <c r="H3209" i="3"/>
  <c r="I3208" i="3"/>
  <c r="H3208" i="3"/>
  <c r="I3207" i="3"/>
  <c r="H3207" i="3"/>
  <c r="I3206" i="3"/>
  <c r="H3206" i="3"/>
  <c r="I3205" i="3"/>
  <c r="H3205" i="3"/>
  <c r="I3204" i="3"/>
  <c r="H3204" i="3"/>
  <c r="I3203" i="3"/>
  <c r="H3203" i="3"/>
  <c r="I3202" i="3"/>
  <c r="H3202" i="3"/>
  <c r="I3201" i="3"/>
  <c r="H3201" i="3"/>
  <c r="I3200" i="3"/>
  <c r="H3200" i="3"/>
  <c r="I3199" i="3"/>
  <c r="H3199" i="3"/>
  <c r="I3198" i="3"/>
  <c r="H3198" i="3"/>
  <c r="I3197" i="3"/>
  <c r="H3197" i="3"/>
  <c r="I3196" i="3"/>
  <c r="H3196" i="3"/>
  <c r="I3195" i="3"/>
  <c r="H3195" i="3"/>
  <c r="I3194" i="3"/>
  <c r="H3194" i="3"/>
  <c r="I3193" i="3"/>
  <c r="H3193" i="3"/>
  <c r="I3192" i="3"/>
  <c r="H3192" i="3"/>
  <c r="I3191" i="3"/>
  <c r="H3191" i="3"/>
  <c r="I3190" i="3"/>
  <c r="H3190" i="3"/>
  <c r="I3189" i="3"/>
  <c r="H3189" i="3"/>
  <c r="I3188" i="3"/>
  <c r="H3188" i="3"/>
  <c r="I3187" i="3"/>
  <c r="H3187" i="3"/>
  <c r="I3186" i="3"/>
  <c r="H3186" i="3"/>
  <c r="I3185" i="3"/>
  <c r="H3185" i="3"/>
  <c r="I3184" i="3"/>
  <c r="H3184" i="3"/>
  <c r="I3183" i="3"/>
  <c r="H3183" i="3"/>
  <c r="I3182" i="3"/>
  <c r="H3182" i="3"/>
  <c r="I3181" i="3"/>
  <c r="H3181" i="3"/>
  <c r="I3180" i="3"/>
  <c r="H3180" i="3"/>
  <c r="I3179" i="3"/>
  <c r="H3179" i="3"/>
  <c r="I3178" i="3"/>
  <c r="H3178" i="3"/>
  <c r="I3177" i="3"/>
  <c r="H3177" i="3"/>
  <c r="I3176" i="3"/>
  <c r="H3176" i="3"/>
  <c r="I3175" i="3"/>
  <c r="H3175" i="3"/>
  <c r="I3174" i="3"/>
  <c r="H3174" i="3"/>
  <c r="I3173" i="3"/>
  <c r="H3173" i="3"/>
  <c r="I3172" i="3"/>
  <c r="H3172" i="3"/>
  <c r="I3171" i="3"/>
  <c r="H3171" i="3"/>
  <c r="I3170" i="3"/>
  <c r="H3170" i="3"/>
  <c r="I3169" i="3"/>
  <c r="H3169" i="3"/>
  <c r="I3168" i="3"/>
  <c r="H3168" i="3"/>
  <c r="I3167" i="3"/>
  <c r="H3167" i="3"/>
  <c r="I3166" i="3"/>
  <c r="H3166" i="3"/>
  <c r="I3165" i="3"/>
  <c r="H3165" i="3"/>
  <c r="I3164" i="3"/>
  <c r="H3164" i="3"/>
  <c r="I3163" i="3"/>
  <c r="H3163" i="3"/>
  <c r="I3162" i="3"/>
  <c r="H3162" i="3"/>
  <c r="I3161" i="3"/>
  <c r="H3161" i="3"/>
  <c r="I3160" i="3"/>
  <c r="H3160" i="3"/>
  <c r="I3159" i="3"/>
  <c r="H3159" i="3"/>
  <c r="I3158" i="3"/>
  <c r="H3158" i="3"/>
  <c r="I3157" i="3"/>
  <c r="H3157" i="3"/>
  <c r="I3156" i="3"/>
  <c r="H3156" i="3"/>
  <c r="I3155" i="3"/>
  <c r="H3155" i="3"/>
  <c r="I3154" i="3"/>
  <c r="H3154" i="3"/>
  <c r="I3153" i="3"/>
  <c r="H3153" i="3"/>
  <c r="I3152" i="3"/>
  <c r="H3152" i="3"/>
  <c r="I3151" i="3"/>
  <c r="H3151" i="3"/>
  <c r="I3150" i="3"/>
  <c r="H3150" i="3"/>
  <c r="I3149" i="3"/>
  <c r="H3149" i="3"/>
  <c r="I3148" i="3"/>
  <c r="H3148" i="3"/>
  <c r="I3147" i="3"/>
  <c r="H3147" i="3"/>
  <c r="I3146" i="3"/>
  <c r="H3146" i="3"/>
  <c r="I3145" i="3"/>
  <c r="H3145" i="3"/>
  <c r="I3144" i="3"/>
  <c r="H3144" i="3"/>
  <c r="I3143" i="3"/>
  <c r="H3143" i="3"/>
  <c r="I3142" i="3"/>
  <c r="H3142" i="3"/>
  <c r="I3141" i="3"/>
  <c r="H3141" i="3"/>
  <c r="I3140" i="3"/>
  <c r="H3140" i="3"/>
  <c r="I3139" i="3"/>
  <c r="H3139" i="3"/>
  <c r="I3138" i="3"/>
  <c r="H3138" i="3"/>
  <c r="I3137" i="3"/>
  <c r="H3137" i="3"/>
  <c r="I3136" i="3"/>
  <c r="H3136" i="3"/>
  <c r="I3135" i="3"/>
  <c r="H3135" i="3"/>
  <c r="I3134" i="3"/>
  <c r="H3134" i="3"/>
  <c r="I3133" i="3"/>
  <c r="H3133" i="3"/>
  <c r="I3132" i="3"/>
  <c r="H3132" i="3"/>
  <c r="I3131" i="3"/>
  <c r="H3131" i="3"/>
  <c r="I3130" i="3"/>
  <c r="H3130" i="3"/>
  <c r="I3129" i="3"/>
  <c r="H3129" i="3"/>
  <c r="I3128" i="3"/>
  <c r="H3128" i="3"/>
  <c r="I3127" i="3"/>
  <c r="H3127" i="3"/>
  <c r="I3126" i="3"/>
  <c r="H3126" i="3"/>
  <c r="I3125" i="3"/>
  <c r="H3125" i="3"/>
  <c r="I3124" i="3"/>
  <c r="H3124" i="3"/>
  <c r="I3123" i="3"/>
  <c r="H3123" i="3"/>
  <c r="I3122" i="3"/>
  <c r="H3122" i="3"/>
  <c r="I3121" i="3"/>
  <c r="H3121" i="3"/>
  <c r="I3120" i="3"/>
  <c r="H3120" i="3"/>
  <c r="I3119" i="3"/>
  <c r="H3119" i="3"/>
  <c r="I3118" i="3"/>
  <c r="H3118" i="3"/>
  <c r="I3117" i="3"/>
  <c r="H3117" i="3"/>
  <c r="I3116" i="3"/>
  <c r="H3116" i="3"/>
  <c r="I3115" i="3"/>
  <c r="H3115" i="3"/>
  <c r="I3114" i="3"/>
  <c r="H3114" i="3"/>
  <c r="I3113" i="3"/>
  <c r="H3113" i="3"/>
  <c r="I3112" i="3"/>
  <c r="H3112" i="3"/>
  <c r="I3111" i="3"/>
  <c r="H3111" i="3"/>
  <c r="I3110" i="3"/>
  <c r="H3110" i="3"/>
  <c r="I3109" i="3"/>
  <c r="H3109" i="3"/>
  <c r="I3108" i="3"/>
  <c r="H3108" i="3"/>
  <c r="I3107" i="3"/>
  <c r="H3107" i="3"/>
  <c r="I3106" i="3"/>
  <c r="H3106" i="3"/>
  <c r="I3105" i="3"/>
  <c r="H3105" i="3"/>
  <c r="I3104" i="3"/>
  <c r="H3104" i="3"/>
  <c r="I3103" i="3"/>
  <c r="H3103" i="3"/>
  <c r="I3102" i="3"/>
  <c r="H3102" i="3"/>
  <c r="I3101" i="3"/>
  <c r="H3101" i="3"/>
  <c r="I3100" i="3"/>
  <c r="H3100" i="3"/>
  <c r="I3099" i="3"/>
  <c r="H3099" i="3"/>
  <c r="I3098" i="3"/>
  <c r="H3098" i="3"/>
  <c r="I3097" i="3"/>
  <c r="H3097" i="3"/>
  <c r="I3096" i="3"/>
  <c r="H3096" i="3"/>
  <c r="I3095" i="3"/>
  <c r="H3095" i="3"/>
  <c r="I3094" i="3"/>
  <c r="H3094" i="3"/>
  <c r="I3093" i="3"/>
  <c r="H3093" i="3"/>
  <c r="I3092" i="3"/>
  <c r="H3092" i="3"/>
  <c r="I3091" i="3"/>
  <c r="H3091" i="3"/>
  <c r="I3090" i="3"/>
  <c r="H3090" i="3"/>
  <c r="I3089" i="3"/>
  <c r="H3089" i="3"/>
  <c r="I3088" i="3"/>
  <c r="H3088" i="3"/>
  <c r="I3087" i="3"/>
  <c r="H3087" i="3"/>
  <c r="I3086" i="3"/>
  <c r="H3086" i="3"/>
  <c r="I3085" i="3"/>
  <c r="H3085" i="3"/>
  <c r="I3084" i="3"/>
  <c r="H3084" i="3"/>
  <c r="I3083" i="3"/>
  <c r="H3083" i="3"/>
  <c r="I3082" i="3"/>
  <c r="H3082" i="3"/>
  <c r="I3081" i="3"/>
  <c r="H3081" i="3"/>
  <c r="I3080" i="3"/>
  <c r="H3080" i="3"/>
  <c r="I3079" i="3"/>
  <c r="H3079" i="3"/>
  <c r="I3078" i="3"/>
  <c r="H3078" i="3"/>
  <c r="I3077" i="3"/>
  <c r="H3077" i="3"/>
  <c r="I3076" i="3"/>
  <c r="H3076" i="3"/>
  <c r="I3075" i="3"/>
  <c r="H3075" i="3"/>
  <c r="I3074" i="3"/>
  <c r="H3074" i="3"/>
  <c r="I3073" i="3"/>
  <c r="H3073" i="3"/>
  <c r="I3072" i="3"/>
  <c r="H3072" i="3"/>
  <c r="I3071" i="3"/>
  <c r="H3071" i="3"/>
  <c r="I3070" i="3"/>
  <c r="H3070" i="3"/>
  <c r="I3069" i="3"/>
  <c r="H3069" i="3"/>
  <c r="I3068" i="3"/>
  <c r="H3068" i="3"/>
  <c r="I3067" i="3"/>
  <c r="H3067" i="3"/>
  <c r="I3066" i="3"/>
  <c r="H3066" i="3"/>
  <c r="I3065" i="3"/>
  <c r="H3065" i="3"/>
  <c r="I3064" i="3"/>
  <c r="H3064" i="3"/>
  <c r="I3063" i="3"/>
  <c r="H3063" i="3"/>
  <c r="I3062" i="3"/>
  <c r="H3062" i="3"/>
  <c r="I3061" i="3"/>
  <c r="H3061" i="3"/>
  <c r="I3060" i="3"/>
  <c r="H3060" i="3"/>
  <c r="I3059" i="3"/>
  <c r="H3059" i="3"/>
  <c r="I3058" i="3"/>
  <c r="H3058" i="3"/>
  <c r="I3057" i="3"/>
  <c r="H3057" i="3"/>
  <c r="I3056" i="3"/>
  <c r="H3056" i="3"/>
  <c r="I3055" i="3"/>
  <c r="H3055" i="3"/>
  <c r="I3054" i="3"/>
  <c r="H3054" i="3"/>
  <c r="I3053" i="3"/>
  <c r="H3053" i="3"/>
  <c r="I3052" i="3"/>
  <c r="H3052" i="3"/>
  <c r="I3051" i="3"/>
  <c r="H3051" i="3"/>
  <c r="I3050" i="3"/>
  <c r="H3050" i="3"/>
  <c r="I3049" i="3"/>
  <c r="H3049" i="3"/>
  <c r="I3048" i="3"/>
  <c r="H3048" i="3"/>
  <c r="I3047" i="3"/>
  <c r="H3047" i="3"/>
  <c r="I3046" i="3"/>
  <c r="H3046" i="3"/>
  <c r="I3045" i="3"/>
  <c r="H3045" i="3"/>
  <c r="I3044" i="3"/>
  <c r="H3044" i="3"/>
  <c r="I3043" i="3"/>
  <c r="H3043" i="3"/>
  <c r="I3042" i="3"/>
  <c r="H3042" i="3"/>
  <c r="H3041" i="3"/>
  <c r="I3040" i="3"/>
  <c r="H3040" i="3"/>
  <c r="I3039" i="3"/>
  <c r="H3039" i="3"/>
  <c r="I3038" i="3"/>
  <c r="H3038" i="3"/>
  <c r="I3037" i="3"/>
  <c r="H3037" i="3"/>
  <c r="I3036" i="3"/>
  <c r="H3036" i="3"/>
  <c r="I3035" i="3"/>
  <c r="H3035" i="3"/>
  <c r="I3034" i="3"/>
  <c r="H3034" i="3"/>
  <c r="I3033" i="3"/>
  <c r="H3033" i="3"/>
  <c r="I3032" i="3"/>
  <c r="H3032" i="3"/>
  <c r="I3031" i="3"/>
  <c r="H3031" i="3"/>
  <c r="I3030" i="3"/>
  <c r="H3030" i="3"/>
  <c r="I3029" i="3"/>
  <c r="H3029" i="3"/>
  <c r="I3028" i="3"/>
  <c r="H3028" i="3"/>
  <c r="I3027" i="3"/>
  <c r="H3027" i="3"/>
  <c r="I3026" i="3"/>
  <c r="H3026" i="3"/>
  <c r="I3025" i="3"/>
  <c r="H3025" i="3"/>
  <c r="I3024" i="3"/>
  <c r="H3024" i="3"/>
  <c r="I3023" i="3"/>
  <c r="H3023" i="3"/>
  <c r="I3022" i="3"/>
  <c r="H3022" i="3"/>
  <c r="I3021" i="3"/>
  <c r="H3021" i="3"/>
  <c r="I3020" i="3"/>
  <c r="H3020" i="3"/>
  <c r="I3019" i="3"/>
  <c r="H3019" i="3"/>
  <c r="I3018" i="3"/>
  <c r="H3018" i="3"/>
  <c r="I3017" i="3"/>
  <c r="H3017" i="3"/>
  <c r="I3016" i="3"/>
  <c r="H3016" i="3"/>
  <c r="I3015" i="3"/>
  <c r="H3015" i="3"/>
  <c r="I3014" i="3"/>
  <c r="H3014" i="3"/>
  <c r="I3013" i="3"/>
  <c r="H3013" i="3"/>
  <c r="I3012" i="3"/>
  <c r="H3012" i="3"/>
  <c r="I3011" i="3"/>
  <c r="H3011" i="3"/>
  <c r="I3010" i="3"/>
  <c r="H3010" i="3"/>
  <c r="I3009" i="3"/>
  <c r="H3009" i="3"/>
  <c r="I3008" i="3"/>
  <c r="H3008" i="3"/>
  <c r="I3007" i="3"/>
  <c r="H3007" i="3"/>
  <c r="I3006" i="3"/>
  <c r="H3006" i="3"/>
  <c r="I3005" i="3"/>
  <c r="H3005" i="3"/>
  <c r="I3004" i="3"/>
  <c r="H3004" i="3"/>
  <c r="I3003" i="3"/>
  <c r="H3003" i="3"/>
  <c r="I3002" i="3"/>
  <c r="H3002" i="3"/>
  <c r="I3001" i="3"/>
  <c r="H3001" i="3"/>
  <c r="I3000" i="3"/>
  <c r="H3000" i="3"/>
  <c r="I2999" i="3"/>
  <c r="H2999" i="3"/>
  <c r="I2998" i="3"/>
  <c r="H2998" i="3"/>
  <c r="I2997" i="3"/>
  <c r="H2997" i="3"/>
  <c r="I2996" i="3"/>
  <c r="H2996" i="3"/>
  <c r="I2995" i="3"/>
  <c r="H2995" i="3"/>
  <c r="I2994" i="3"/>
  <c r="H2994" i="3"/>
  <c r="I2993" i="3"/>
  <c r="H2993" i="3"/>
  <c r="I2992" i="3"/>
  <c r="H2992" i="3"/>
  <c r="I2991" i="3"/>
  <c r="H2991" i="3"/>
  <c r="I2990" i="3"/>
  <c r="H2990" i="3"/>
  <c r="I2989" i="3"/>
  <c r="H2989" i="3"/>
  <c r="I2988" i="3"/>
  <c r="H2988" i="3"/>
  <c r="I2987" i="3"/>
  <c r="H2987" i="3"/>
  <c r="I2986" i="3"/>
  <c r="H2986" i="3"/>
  <c r="I2985" i="3"/>
  <c r="H2985" i="3"/>
  <c r="I2984" i="3"/>
  <c r="H2984" i="3"/>
  <c r="I2983" i="3"/>
  <c r="H2983" i="3"/>
  <c r="I2982" i="3"/>
  <c r="H2982" i="3"/>
  <c r="I2981" i="3"/>
  <c r="H2981" i="3"/>
  <c r="I2980" i="3"/>
  <c r="H2980" i="3"/>
  <c r="I2979" i="3"/>
  <c r="H2979" i="3"/>
  <c r="I2978" i="3"/>
  <c r="H2978" i="3"/>
  <c r="I2977" i="3"/>
  <c r="H2977" i="3"/>
  <c r="I2976" i="3"/>
  <c r="H2976" i="3"/>
  <c r="I2975" i="3"/>
  <c r="H2975" i="3"/>
  <c r="I2974" i="3"/>
  <c r="H2974" i="3"/>
  <c r="I2973" i="3"/>
  <c r="H2973" i="3"/>
  <c r="I2972" i="3"/>
  <c r="H2972" i="3"/>
  <c r="I2971" i="3"/>
  <c r="H2971" i="3"/>
  <c r="I2970" i="3"/>
  <c r="H2970" i="3"/>
  <c r="I2969" i="3"/>
  <c r="H2969" i="3"/>
  <c r="I2968" i="3"/>
  <c r="H2968" i="3"/>
  <c r="I2967" i="3"/>
  <c r="H2967" i="3"/>
  <c r="I2966" i="3"/>
  <c r="H2966" i="3"/>
  <c r="I2965" i="3"/>
  <c r="H2965" i="3"/>
  <c r="I2964" i="3"/>
  <c r="H2964" i="3"/>
  <c r="I2963" i="3"/>
  <c r="H2963" i="3"/>
  <c r="I2962" i="3"/>
  <c r="H2962" i="3"/>
  <c r="I2961" i="3"/>
  <c r="H2961" i="3"/>
  <c r="I2960" i="3"/>
  <c r="H2960" i="3"/>
  <c r="I2959" i="3"/>
  <c r="H2959" i="3"/>
  <c r="I2958" i="3"/>
  <c r="H2958" i="3"/>
  <c r="I2957" i="3"/>
  <c r="H2957" i="3"/>
  <c r="I2956" i="3"/>
  <c r="H2956" i="3"/>
  <c r="I2955" i="3"/>
  <c r="H2955" i="3"/>
  <c r="I2954" i="3"/>
  <c r="H2954" i="3"/>
  <c r="I2953" i="3"/>
  <c r="H2953" i="3"/>
  <c r="I2952" i="3"/>
  <c r="H2952" i="3"/>
  <c r="I2951" i="3"/>
  <c r="H2951" i="3"/>
  <c r="I2950" i="3"/>
  <c r="H2950" i="3"/>
  <c r="I2949" i="3"/>
  <c r="H2949" i="3"/>
  <c r="I2948" i="3"/>
  <c r="H2948" i="3"/>
  <c r="I2947" i="3"/>
  <c r="H2947" i="3"/>
  <c r="I2946" i="3"/>
  <c r="H2946" i="3"/>
  <c r="I2945" i="3"/>
  <c r="H2945" i="3"/>
  <c r="I2944" i="3"/>
  <c r="H2944" i="3"/>
  <c r="I2943" i="3"/>
  <c r="H2943" i="3"/>
  <c r="I2942" i="3"/>
  <c r="H2942" i="3"/>
  <c r="I2941" i="3"/>
  <c r="H2941" i="3"/>
  <c r="I2940" i="3"/>
  <c r="H2940" i="3"/>
  <c r="I2939" i="3"/>
  <c r="H2939" i="3"/>
  <c r="I2938" i="3"/>
  <c r="H2938" i="3"/>
  <c r="I2937" i="3"/>
  <c r="H2937" i="3"/>
  <c r="I2936" i="3"/>
  <c r="H2936" i="3"/>
  <c r="I2935" i="3"/>
  <c r="H2935" i="3"/>
  <c r="I2934" i="3"/>
  <c r="H2934" i="3"/>
  <c r="I2933" i="3"/>
  <c r="H2933" i="3"/>
  <c r="I2932" i="3"/>
  <c r="H2932" i="3"/>
  <c r="I2931" i="3"/>
  <c r="H2931" i="3"/>
  <c r="I2930" i="3"/>
  <c r="H2930" i="3"/>
  <c r="I2929" i="3"/>
  <c r="H2929" i="3"/>
  <c r="I2928" i="3"/>
  <c r="H2928" i="3"/>
  <c r="I2927" i="3"/>
  <c r="H2927" i="3"/>
  <c r="I2926" i="3"/>
  <c r="H2926" i="3"/>
  <c r="I2925" i="3"/>
  <c r="H2925" i="3"/>
  <c r="I2924" i="3"/>
  <c r="H2924" i="3"/>
  <c r="I2923" i="3"/>
  <c r="H2923" i="3"/>
  <c r="I2922" i="3"/>
  <c r="H2922" i="3"/>
  <c r="I2921" i="3"/>
  <c r="H2921" i="3"/>
  <c r="I2920" i="3"/>
  <c r="H2920" i="3"/>
  <c r="I2919" i="3"/>
  <c r="H2919" i="3"/>
  <c r="I2918" i="3"/>
  <c r="H2918" i="3"/>
  <c r="I2917" i="3"/>
  <c r="H2917" i="3"/>
  <c r="I2916" i="3"/>
  <c r="H2916" i="3"/>
  <c r="I2915" i="3"/>
  <c r="H2915" i="3"/>
  <c r="I2914" i="3"/>
  <c r="H2914" i="3"/>
  <c r="I2913" i="3"/>
  <c r="H2913" i="3"/>
  <c r="I2912" i="3"/>
  <c r="H2912" i="3"/>
  <c r="I2911" i="3"/>
  <c r="H2911" i="3"/>
  <c r="I2910" i="3"/>
  <c r="H2910" i="3"/>
  <c r="I2909" i="3"/>
  <c r="H2909" i="3"/>
  <c r="I2908" i="3"/>
  <c r="H2908" i="3"/>
  <c r="I2907" i="3"/>
  <c r="H2907" i="3"/>
  <c r="I2906" i="3"/>
  <c r="H2906" i="3"/>
  <c r="I2905" i="3"/>
  <c r="H2905" i="3"/>
  <c r="I2904" i="3"/>
  <c r="H2904" i="3"/>
  <c r="I2903" i="3"/>
  <c r="H2903" i="3"/>
  <c r="I2902" i="3"/>
  <c r="H2902" i="3"/>
  <c r="I2901" i="3"/>
  <c r="H2901" i="3"/>
  <c r="I2900" i="3"/>
  <c r="H2900" i="3"/>
  <c r="I2899" i="3"/>
  <c r="H2899" i="3"/>
  <c r="I2898" i="3"/>
  <c r="H2898" i="3"/>
  <c r="I2897" i="3"/>
  <c r="H2897" i="3"/>
  <c r="I2896" i="3"/>
  <c r="H2896" i="3"/>
  <c r="I2895" i="3"/>
  <c r="H2895" i="3"/>
  <c r="I2894" i="3"/>
  <c r="H2894" i="3"/>
  <c r="I2893" i="3"/>
  <c r="H2893" i="3"/>
  <c r="I2892" i="3"/>
  <c r="H2892" i="3"/>
  <c r="I2891" i="3"/>
  <c r="H2891" i="3"/>
  <c r="I2890" i="3"/>
  <c r="H2890" i="3"/>
  <c r="I2889" i="3"/>
  <c r="H2889" i="3"/>
  <c r="I2888" i="3"/>
  <c r="H2888" i="3"/>
  <c r="I2887" i="3"/>
  <c r="H2887" i="3"/>
  <c r="I2886" i="3"/>
  <c r="H2886" i="3"/>
  <c r="I2885" i="3"/>
  <c r="H2885" i="3"/>
  <c r="I2884" i="3"/>
  <c r="H2884" i="3"/>
  <c r="I2883" i="3"/>
  <c r="H2883" i="3"/>
  <c r="I2882" i="3"/>
  <c r="H2882" i="3"/>
  <c r="I2881" i="3"/>
  <c r="H2881" i="3"/>
  <c r="I2880" i="3"/>
  <c r="H2880" i="3"/>
  <c r="I2879" i="3"/>
  <c r="H2879" i="3"/>
  <c r="I2878" i="3"/>
  <c r="H2878" i="3"/>
  <c r="I2877" i="3"/>
  <c r="H2877" i="3"/>
  <c r="I2876" i="3"/>
  <c r="H2876" i="3"/>
  <c r="I2875" i="3"/>
  <c r="H2875" i="3"/>
  <c r="I2874" i="3"/>
  <c r="H2874" i="3"/>
  <c r="I2873" i="3"/>
  <c r="H2873" i="3"/>
  <c r="I2872" i="3"/>
  <c r="H2872" i="3"/>
  <c r="I2871" i="3"/>
  <c r="H2871" i="3"/>
  <c r="I2870" i="3"/>
  <c r="H2870" i="3"/>
  <c r="I2869" i="3"/>
  <c r="H2869" i="3"/>
  <c r="I2868" i="3"/>
  <c r="H2868" i="3"/>
  <c r="I2867" i="3"/>
  <c r="H2867" i="3"/>
  <c r="I2866" i="3"/>
  <c r="H2866" i="3"/>
  <c r="I2865" i="3"/>
  <c r="H2865" i="3"/>
  <c r="I2864" i="3"/>
  <c r="H2864" i="3"/>
  <c r="I2863" i="3"/>
  <c r="H2863" i="3"/>
  <c r="I2862" i="3"/>
  <c r="H2862" i="3"/>
  <c r="I2861" i="3"/>
  <c r="H2861" i="3"/>
  <c r="I2860" i="3"/>
  <c r="H2860" i="3"/>
  <c r="I2859" i="3"/>
  <c r="H2859" i="3"/>
  <c r="I2858" i="3"/>
  <c r="H2858" i="3"/>
  <c r="I2857" i="3"/>
  <c r="H2857" i="3"/>
  <c r="I2856" i="3"/>
  <c r="H2856" i="3"/>
  <c r="I2855" i="3"/>
  <c r="H2855" i="3"/>
  <c r="I2854" i="3"/>
  <c r="H2854" i="3"/>
  <c r="I2853" i="3"/>
  <c r="H2853" i="3"/>
  <c r="I2852" i="3"/>
  <c r="H2852" i="3"/>
  <c r="I2851" i="3"/>
  <c r="H2851" i="3"/>
  <c r="I2850" i="3"/>
  <c r="H2850" i="3"/>
  <c r="I2849" i="3"/>
  <c r="H2849" i="3"/>
  <c r="I2848" i="3"/>
  <c r="H2848" i="3"/>
  <c r="I2847" i="3"/>
  <c r="H2847" i="3"/>
  <c r="I2846" i="3"/>
  <c r="H2846" i="3"/>
  <c r="I2845" i="3"/>
  <c r="H2845" i="3"/>
  <c r="I2844" i="3"/>
  <c r="H2844" i="3"/>
  <c r="I2843" i="3"/>
  <c r="H2843" i="3"/>
  <c r="I2842" i="3"/>
  <c r="H2842" i="3"/>
  <c r="I2841" i="3"/>
  <c r="H2841" i="3"/>
  <c r="I2840" i="3"/>
  <c r="H2840" i="3"/>
  <c r="I2839" i="3"/>
  <c r="H2839" i="3"/>
  <c r="I2838" i="3"/>
  <c r="H2838" i="3"/>
  <c r="I2837" i="3"/>
  <c r="H2837" i="3"/>
  <c r="I2836" i="3"/>
  <c r="H2836" i="3"/>
  <c r="I2835" i="3"/>
  <c r="H2835" i="3"/>
  <c r="I2834" i="3"/>
  <c r="H2834" i="3"/>
  <c r="I2833" i="3"/>
  <c r="H2833" i="3"/>
  <c r="I2832" i="3"/>
  <c r="H2832" i="3"/>
  <c r="I2831" i="3"/>
  <c r="H2831" i="3"/>
  <c r="I2830" i="3"/>
  <c r="H2830" i="3"/>
  <c r="I2829" i="3"/>
  <c r="H2829" i="3"/>
  <c r="I2828" i="3"/>
  <c r="H2828" i="3"/>
  <c r="I2827" i="3"/>
  <c r="H2827" i="3"/>
  <c r="I2826" i="3"/>
  <c r="H2826" i="3"/>
  <c r="I2825" i="3"/>
  <c r="H2825" i="3"/>
  <c r="I2824" i="3"/>
  <c r="H2824" i="3"/>
  <c r="I2823" i="3"/>
  <c r="H2823" i="3"/>
  <c r="I2822" i="3"/>
  <c r="H2822" i="3"/>
  <c r="I2821" i="3"/>
  <c r="H2821" i="3"/>
  <c r="I2820" i="3"/>
  <c r="H2820" i="3"/>
  <c r="I2819" i="3"/>
  <c r="H2819" i="3"/>
  <c r="I2818" i="3"/>
  <c r="H2818" i="3"/>
  <c r="I2817" i="3"/>
  <c r="H2817" i="3"/>
  <c r="I2816" i="3"/>
  <c r="H2816" i="3"/>
  <c r="I2815" i="3"/>
  <c r="H2815" i="3"/>
  <c r="I2814" i="3"/>
  <c r="H2814" i="3"/>
  <c r="I2813" i="3"/>
  <c r="H2813" i="3"/>
  <c r="I2812" i="3"/>
  <c r="H2812" i="3"/>
  <c r="I2811" i="3"/>
  <c r="H2811" i="3"/>
  <c r="I2810" i="3"/>
  <c r="H2810" i="3"/>
  <c r="I2809" i="3"/>
  <c r="H2809" i="3"/>
  <c r="I2808" i="3"/>
  <c r="H2808" i="3"/>
  <c r="I2807" i="3"/>
  <c r="H2807" i="3"/>
  <c r="I2806" i="3"/>
  <c r="H2806" i="3"/>
  <c r="I2805" i="3"/>
  <c r="H2805" i="3"/>
  <c r="I2804" i="3"/>
  <c r="H2804" i="3"/>
  <c r="I2803" i="3"/>
  <c r="H2803" i="3"/>
  <c r="I2802" i="3"/>
  <c r="H2802" i="3"/>
  <c r="I2801" i="3"/>
  <c r="H2801" i="3"/>
  <c r="I2800" i="3"/>
  <c r="H2800" i="3"/>
  <c r="I2799" i="3"/>
  <c r="H2799" i="3"/>
  <c r="I2798" i="3"/>
  <c r="H2798" i="3"/>
  <c r="I2797" i="3"/>
  <c r="H2797" i="3"/>
  <c r="I2796" i="3"/>
  <c r="H2796" i="3"/>
  <c r="I2795" i="3"/>
  <c r="H2795" i="3"/>
  <c r="I2794" i="3"/>
  <c r="H2794" i="3"/>
  <c r="I2793" i="3"/>
  <c r="H2793" i="3"/>
  <c r="I2792" i="3"/>
  <c r="H2792" i="3"/>
  <c r="I2791" i="3"/>
  <c r="H2791" i="3"/>
  <c r="I2790" i="3"/>
  <c r="H2790" i="3"/>
  <c r="I2789" i="3"/>
  <c r="H2789" i="3"/>
  <c r="I2788" i="3"/>
  <c r="H2788" i="3"/>
  <c r="I2787" i="3"/>
  <c r="H2787" i="3"/>
  <c r="I2786" i="3"/>
  <c r="H2786" i="3"/>
  <c r="I2785" i="3"/>
  <c r="H2785" i="3"/>
  <c r="I2784" i="3"/>
  <c r="H2784" i="3"/>
  <c r="I2783" i="3"/>
  <c r="H2783" i="3"/>
  <c r="I2782" i="3"/>
  <c r="H2782" i="3"/>
  <c r="I2781" i="3"/>
  <c r="H2781" i="3"/>
  <c r="I2780" i="3"/>
  <c r="H2780" i="3"/>
  <c r="I2779" i="3"/>
  <c r="H2779" i="3"/>
  <c r="I2778" i="3"/>
  <c r="H2778" i="3"/>
  <c r="I2777" i="3"/>
  <c r="H2777" i="3"/>
  <c r="I2776" i="3"/>
  <c r="H2776" i="3"/>
  <c r="I2775" i="3"/>
  <c r="H2775" i="3"/>
  <c r="I2774" i="3"/>
  <c r="H2774" i="3"/>
  <c r="I2773" i="3"/>
  <c r="H2773" i="3"/>
  <c r="I2772" i="3"/>
  <c r="H2772" i="3"/>
  <c r="I2771" i="3"/>
  <c r="H2771" i="3"/>
  <c r="I2770" i="3"/>
  <c r="H2770" i="3"/>
  <c r="I2769" i="3"/>
  <c r="H2769" i="3"/>
  <c r="I2768" i="3"/>
  <c r="H2768" i="3"/>
  <c r="I2767" i="3"/>
  <c r="H2767" i="3"/>
  <c r="I2766" i="3"/>
  <c r="H2766" i="3"/>
  <c r="I2765" i="3"/>
  <c r="H2765" i="3"/>
  <c r="I2764" i="3"/>
  <c r="H2764" i="3"/>
  <c r="I2763" i="3"/>
  <c r="H2763" i="3"/>
  <c r="I2762" i="3"/>
  <c r="H2762" i="3"/>
  <c r="I2761" i="3"/>
  <c r="H2761" i="3"/>
  <c r="I2760" i="3"/>
  <c r="H2760" i="3"/>
  <c r="I2759" i="3"/>
  <c r="H2759" i="3"/>
  <c r="I2758" i="3"/>
  <c r="H2758" i="3"/>
  <c r="I2757" i="3"/>
  <c r="H2757" i="3"/>
  <c r="I2756" i="3"/>
  <c r="H2756" i="3"/>
  <c r="I2755" i="3"/>
  <c r="H2755" i="3"/>
  <c r="I2754" i="3"/>
  <c r="H2754" i="3"/>
  <c r="I2753" i="3"/>
  <c r="H2753" i="3"/>
  <c r="I2752" i="3"/>
  <c r="H2752" i="3"/>
  <c r="I2751" i="3"/>
  <c r="H2751" i="3"/>
  <c r="I2750" i="3"/>
  <c r="H2750" i="3"/>
  <c r="I2749" i="3"/>
  <c r="H2749" i="3"/>
  <c r="I2748" i="3"/>
  <c r="H2748" i="3"/>
  <c r="I2747" i="3"/>
  <c r="H2747" i="3"/>
  <c r="I2746" i="3"/>
  <c r="H2746" i="3"/>
  <c r="I2745" i="3"/>
  <c r="H2745" i="3"/>
  <c r="I2744" i="3"/>
  <c r="H2744" i="3"/>
  <c r="I2743" i="3"/>
  <c r="H2743" i="3"/>
  <c r="I2742" i="3"/>
  <c r="H2742" i="3"/>
  <c r="I2741" i="3"/>
  <c r="H2741" i="3"/>
  <c r="I2740" i="3"/>
  <c r="H2740" i="3"/>
  <c r="I2739" i="3"/>
  <c r="H2739" i="3"/>
  <c r="I2738" i="3"/>
  <c r="H2738" i="3"/>
  <c r="I2737" i="3"/>
  <c r="H2737" i="3"/>
  <c r="I2736" i="3"/>
  <c r="H2736" i="3"/>
  <c r="I2735" i="3"/>
  <c r="H2735" i="3"/>
  <c r="I2734" i="3"/>
  <c r="H2734" i="3"/>
  <c r="I2733" i="3"/>
  <c r="H2733" i="3"/>
  <c r="I2732" i="3"/>
  <c r="H2732" i="3"/>
  <c r="I2731" i="3"/>
  <c r="H2731" i="3"/>
  <c r="I2730" i="3"/>
  <c r="H2730" i="3"/>
  <c r="I2729" i="3"/>
  <c r="H2729" i="3"/>
  <c r="I2728" i="3"/>
  <c r="H2728" i="3"/>
  <c r="I2727" i="3"/>
  <c r="H2727" i="3"/>
  <c r="I2726" i="3"/>
  <c r="H2726" i="3"/>
  <c r="I2725" i="3"/>
  <c r="H2725" i="3"/>
  <c r="I2724" i="3"/>
  <c r="H2724" i="3"/>
  <c r="I2723" i="3"/>
  <c r="H2723" i="3"/>
  <c r="I2722" i="3"/>
  <c r="H2722" i="3"/>
  <c r="I2721" i="3"/>
  <c r="H2721" i="3"/>
  <c r="I2720" i="3"/>
  <c r="H2720" i="3"/>
  <c r="I2719" i="3"/>
  <c r="H2719" i="3"/>
  <c r="I2718" i="3"/>
  <c r="H2718" i="3"/>
  <c r="I2717" i="3"/>
  <c r="H2717" i="3"/>
  <c r="I2716" i="3"/>
  <c r="H2716" i="3"/>
  <c r="I2715" i="3"/>
  <c r="H2715" i="3"/>
  <c r="I2714" i="3"/>
  <c r="H2714" i="3"/>
  <c r="I2713" i="3"/>
  <c r="H2713" i="3"/>
  <c r="I2712" i="3"/>
  <c r="H2712" i="3"/>
  <c r="I2711" i="3"/>
  <c r="H2711" i="3"/>
  <c r="I2710" i="3"/>
  <c r="H2710" i="3"/>
  <c r="I2709" i="3"/>
  <c r="H2709" i="3"/>
  <c r="I2708" i="3"/>
  <c r="H2708" i="3"/>
  <c r="I2707" i="3"/>
  <c r="H2707" i="3"/>
  <c r="I2706" i="3"/>
  <c r="H2706" i="3"/>
  <c r="I2705" i="3"/>
  <c r="H2705" i="3"/>
  <c r="I2704" i="3"/>
  <c r="H2704" i="3"/>
  <c r="I2703" i="3"/>
  <c r="H2703" i="3"/>
  <c r="I2702" i="3"/>
  <c r="H2702" i="3"/>
  <c r="I2701" i="3"/>
  <c r="H2701" i="3"/>
  <c r="I2700" i="3"/>
  <c r="H2700" i="3"/>
  <c r="I2699" i="3"/>
  <c r="H2699" i="3"/>
  <c r="I2698" i="3"/>
  <c r="H2698" i="3"/>
  <c r="I2697" i="3"/>
  <c r="H2697" i="3"/>
  <c r="I2696" i="3"/>
  <c r="H2696" i="3"/>
  <c r="I2695" i="3"/>
  <c r="H2695" i="3"/>
  <c r="I2694" i="3"/>
  <c r="H2694" i="3"/>
  <c r="I2693" i="3"/>
  <c r="H2693" i="3"/>
  <c r="I2692" i="3"/>
  <c r="H2692" i="3"/>
  <c r="I2691" i="3"/>
  <c r="H2691" i="3"/>
  <c r="I2690" i="3"/>
  <c r="H2690" i="3"/>
  <c r="I2689" i="3"/>
  <c r="H2689" i="3"/>
  <c r="I2688" i="3"/>
  <c r="H2688" i="3"/>
  <c r="I2687" i="3"/>
  <c r="H2687" i="3"/>
  <c r="I2686" i="3"/>
  <c r="H2686" i="3"/>
  <c r="I2685" i="3"/>
  <c r="H2685" i="3"/>
  <c r="I2684" i="3"/>
  <c r="H2684" i="3"/>
  <c r="I2683" i="3"/>
  <c r="H2683" i="3"/>
  <c r="I2682" i="3"/>
  <c r="H2682" i="3"/>
  <c r="I2681" i="3"/>
  <c r="H2681" i="3"/>
  <c r="I2680" i="3"/>
  <c r="H2680" i="3"/>
  <c r="I2679" i="3"/>
  <c r="H2679" i="3"/>
  <c r="I2678" i="3"/>
  <c r="H2678" i="3"/>
  <c r="I2677" i="3"/>
  <c r="H2677" i="3"/>
  <c r="I2676" i="3"/>
  <c r="H2676" i="3"/>
  <c r="I2675" i="3"/>
  <c r="H2675" i="3"/>
  <c r="I2674" i="3"/>
  <c r="H2674" i="3"/>
  <c r="I2673" i="3"/>
  <c r="H2673" i="3"/>
  <c r="I2672" i="3"/>
  <c r="H2672" i="3"/>
  <c r="I2671" i="3"/>
  <c r="H2671" i="3"/>
  <c r="I2670" i="3"/>
  <c r="H2670" i="3"/>
  <c r="I2669" i="3"/>
  <c r="H2669" i="3"/>
  <c r="I2668" i="3"/>
  <c r="H2668" i="3"/>
  <c r="I2667" i="3"/>
  <c r="H2667" i="3"/>
  <c r="I2666" i="3"/>
  <c r="H2666" i="3"/>
  <c r="I2665" i="3"/>
  <c r="H2665" i="3"/>
  <c r="I2664" i="3"/>
  <c r="H2664" i="3"/>
  <c r="I2663" i="3"/>
  <c r="H2663" i="3"/>
  <c r="I2662" i="3"/>
  <c r="H2662" i="3"/>
  <c r="I2661" i="3"/>
  <c r="H2661" i="3"/>
  <c r="I2660" i="3"/>
  <c r="H2660" i="3"/>
  <c r="I2659" i="3"/>
  <c r="H2659" i="3"/>
  <c r="I2658" i="3"/>
  <c r="H2658" i="3"/>
  <c r="I2657" i="3"/>
  <c r="H2657" i="3"/>
  <c r="I2656" i="3"/>
  <c r="H2656" i="3"/>
  <c r="I2655" i="3"/>
  <c r="H2655" i="3"/>
  <c r="I2654" i="3"/>
  <c r="H2654" i="3"/>
  <c r="I2653" i="3"/>
  <c r="H2653" i="3"/>
  <c r="I2652" i="3"/>
  <c r="H2652" i="3"/>
  <c r="I2651" i="3"/>
  <c r="H2651" i="3"/>
  <c r="I2650" i="3"/>
  <c r="H2650" i="3"/>
  <c r="I2649" i="3"/>
  <c r="H2649" i="3"/>
  <c r="I2648" i="3"/>
  <c r="H2648" i="3"/>
  <c r="I2647" i="3"/>
  <c r="H2647" i="3"/>
  <c r="I2646" i="3"/>
  <c r="H2646" i="3"/>
  <c r="I2645" i="3"/>
  <c r="H2645" i="3"/>
  <c r="I2644" i="3"/>
  <c r="H2644" i="3"/>
  <c r="I2643" i="3"/>
  <c r="H2643" i="3"/>
  <c r="I2642" i="3"/>
  <c r="H2642" i="3"/>
  <c r="I2641" i="3"/>
  <c r="H2641" i="3"/>
  <c r="I2640" i="3"/>
  <c r="H2640" i="3"/>
  <c r="I2639" i="3"/>
  <c r="H2639" i="3"/>
  <c r="I2638" i="3"/>
  <c r="H2638" i="3"/>
  <c r="I2637" i="3"/>
  <c r="H2637" i="3"/>
  <c r="I2636" i="3"/>
  <c r="H2636" i="3"/>
  <c r="I2635" i="3"/>
  <c r="H2635" i="3"/>
  <c r="I2634" i="3"/>
  <c r="H2634" i="3"/>
  <c r="I2633" i="3"/>
  <c r="H2633" i="3"/>
  <c r="I2632" i="3"/>
  <c r="H2632" i="3"/>
  <c r="I2631" i="3"/>
  <c r="H2631" i="3"/>
  <c r="I2630" i="3"/>
  <c r="H2630" i="3"/>
  <c r="I2629" i="3"/>
  <c r="H2629" i="3"/>
  <c r="I2628" i="3"/>
  <c r="H2628" i="3"/>
  <c r="I2627" i="3"/>
  <c r="H2627" i="3"/>
  <c r="I2626" i="3"/>
  <c r="H2626" i="3"/>
  <c r="I2625" i="3"/>
  <c r="H2625" i="3"/>
  <c r="I2624" i="3"/>
  <c r="H2624" i="3"/>
  <c r="I2623" i="3"/>
  <c r="H2623" i="3"/>
  <c r="I2622" i="3"/>
  <c r="H2622" i="3"/>
  <c r="I2621" i="3"/>
  <c r="H2621" i="3"/>
  <c r="I2620" i="3"/>
  <c r="H2620" i="3"/>
  <c r="I2619" i="3"/>
  <c r="H2619" i="3"/>
  <c r="I2618" i="3"/>
  <c r="H2618" i="3"/>
  <c r="I2617" i="3"/>
  <c r="H2617" i="3"/>
  <c r="I2616" i="3"/>
  <c r="H2616" i="3"/>
  <c r="I2615" i="3"/>
  <c r="H2615" i="3"/>
  <c r="I2614" i="3"/>
  <c r="H2614" i="3"/>
  <c r="I2613" i="3"/>
  <c r="H2613" i="3"/>
  <c r="I2612" i="3"/>
  <c r="H2612" i="3"/>
  <c r="I2611" i="3"/>
  <c r="H2611" i="3"/>
  <c r="I2610" i="3"/>
  <c r="H2610" i="3"/>
  <c r="I2609" i="3"/>
  <c r="H2609" i="3"/>
  <c r="I2608" i="3"/>
  <c r="H2608" i="3"/>
  <c r="I2607" i="3"/>
  <c r="H2607" i="3"/>
  <c r="I2606" i="3"/>
  <c r="H2606" i="3"/>
  <c r="I2605" i="3"/>
  <c r="H2605" i="3"/>
  <c r="I2604" i="3"/>
  <c r="H2604" i="3"/>
  <c r="I2603" i="3"/>
  <c r="H2603" i="3"/>
  <c r="I2602" i="3"/>
  <c r="H2602" i="3"/>
  <c r="I2601" i="3"/>
  <c r="H2601" i="3"/>
  <c r="I2600" i="3"/>
  <c r="H2600" i="3"/>
  <c r="I2599" i="3"/>
  <c r="H2599" i="3"/>
  <c r="I2598" i="3"/>
  <c r="H2598" i="3"/>
  <c r="I2597" i="3"/>
  <c r="H2597" i="3"/>
  <c r="I2596" i="3"/>
  <c r="H2596" i="3"/>
  <c r="I2595" i="3"/>
  <c r="H2595" i="3"/>
  <c r="I2594" i="3"/>
  <c r="H2594" i="3"/>
  <c r="I2593" i="3"/>
  <c r="H2593" i="3"/>
  <c r="I2592" i="3"/>
  <c r="H2592" i="3"/>
  <c r="I2591" i="3"/>
  <c r="H2591" i="3"/>
  <c r="I2590" i="3"/>
  <c r="H2590" i="3"/>
  <c r="I2589" i="3"/>
  <c r="H2589" i="3"/>
  <c r="I2588" i="3"/>
  <c r="H2588" i="3"/>
  <c r="I2587" i="3"/>
  <c r="H2587" i="3"/>
  <c r="I2586" i="3"/>
  <c r="H2586" i="3"/>
  <c r="I2585" i="3"/>
  <c r="H2585" i="3"/>
  <c r="I2584" i="3"/>
  <c r="H2584" i="3"/>
  <c r="I2583" i="3"/>
  <c r="H2583" i="3"/>
  <c r="I2582" i="3"/>
  <c r="H2582" i="3"/>
  <c r="I2581" i="3"/>
  <c r="H2581" i="3"/>
  <c r="I2580" i="3"/>
  <c r="H2580" i="3"/>
  <c r="I2579" i="3"/>
  <c r="H2579" i="3"/>
  <c r="I2578" i="3"/>
  <c r="H2578" i="3"/>
  <c r="I2577" i="3"/>
  <c r="H2577" i="3"/>
  <c r="I2576" i="3"/>
  <c r="H2576" i="3"/>
  <c r="I2575" i="3"/>
  <c r="H2575" i="3"/>
  <c r="I2574" i="3"/>
  <c r="H2574" i="3"/>
  <c r="I2573" i="3"/>
  <c r="H2573" i="3"/>
  <c r="I2572" i="3"/>
  <c r="H2572" i="3"/>
  <c r="I2571" i="3"/>
  <c r="H2571" i="3"/>
  <c r="I2570" i="3"/>
  <c r="H2570" i="3"/>
  <c r="I2569" i="3"/>
  <c r="H2569" i="3"/>
  <c r="I2568" i="3"/>
  <c r="H2568" i="3"/>
  <c r="I2567" i="3"/>
  <c r="H2567" i="3"/>
  <c r="I2566" i="3"/>
  <c r="H2566" i="3"/>
  <c r="I2565" i="3"/>
  <c r="H2565" i="3"/>
  <c r="I2564" i="3"/>
  <c r="H2564" i="3"/>
  <c r="I2563" i="3"/>
  <c r="H2563" i="3"/>
  <c r="I2562" i="3"/>
  <c r="H2562" i="3"/>
  <c r="I2561" i="3"/>
  <c r="H2561" i="3"/>
  <c r="I2560" i="3"/>
  <c r="H2560" i="3"/>
  <c r="I2559" i="3"/>
  <c r="H2559" i="3"/>
  <c r="I2558" i="3"/>
  <c r="H2558" i="3"/>
  <c r="I2557" i="3"/>
  <c r="H2557" i="3"/>
  <c r="I2556" i="3"/>
  <c r="H2556" i="3"/>
  <c r="I2555" i="3"/>
  <c r="H2555" i="3"/>
  <c r="I2554" i="3"/>
  <c r="H2554" i="3"/>
  <c r="I2553" i="3"/>
  <c r="H2553" i="3"/>
  <c r="I2552" i="3"/>
  <c r="H2552" i="3"/>
  <c r="I2551" i="3"/>
  <c r="H2551" i="3"/>
  <c r="I2550" i="3"/>
  <c r="H2550" i="3"/>
  <c r="I2549" i="3"/>
  <c r="H2549" i="3"/>
  <c r="I2548" i="3"/>
  <c r="H2548" i="3"/>
  <c r="I2547" i="3"/>
  <c r="H2547" i="3"/>
  <c r="I2546" i="3"/>
  <c r="H2546" i="3"/>
  <c r="I2545" i="3"/>
  <c r="H2545" i="3"/>
  <c r="I2544" i="3"/>
  <c r="H2544" i="3"/>
  <c r="I2543" i="3"/>
  <c r="H2543" i="3"/>
  <c r="I2542" i="3"/>
  <c r="H2542" i="3"/>
  <c r="I2541" i="3"/>
  <c r="H2541" i="3"/>
  <c r="I2540" i="3"/>
  <c r="H2540" i="3"/>
  <c r="I2539" i="3"/>
  <c r="H2539" i="3"/>
  <c r="I2538" i="3"/>
  <c r="H2538" i="3"/>
  <c r="I2537" i="3"/>
  <c r="H2537" i="3"/>
  <c r="I2536" i="3"/>
  <c r="H2536" i="3"/>
  <c r="I2535" i="3"/>
  <c r="H2535" i="3"/>
  <c r="I2534" i="3"/>
  <c r="H2534" i="3"/>
  <c r="I2533" i="3"/>
  <c r="H2533" i="3"/>
  <c r="I2532" i="3"/>
  <c r="H2532" i="3"/>
  <c r="I2531" i="3"/>
  <c r="H2531" i="3"/>
  <c r="I2530" i="3"/>
  <c r="H2530" i="3"/>
  <c r="I2529" i="3"/>
  <c r="H2529" i="3"/>
  <c r="I2528" i="3"/>
  <c r="H2528" i="3"/>
  <c r="I2527" i="3"/>
  <c r="H2527" i="3"/>
  <c r="I2526" i="3"/>
  <c r="H2526" i="3"/>
  <c r="I2525" i="3"/>
  <c r="H2525" i="3"/>
  <c r="I2524" i="3"/>
  <c r="H2524" i="3"/>
  <c r="I2523" i="3"/>
  <c r="H2523" i="3"/>
  <c r="I2522" i="3"/>
  <c r="H2522" i="3"/>
  <c r="I2521" i="3"/>
  <c r="H2521" i="3"/>
  <c r="I2520" i="3"/>
  <c r="H2520" i="3"/>
  <c r="I2519" i="3"/>
  <c r="H2519" i="3"/>
  <c r="I2518" i="3"/>
  <c r="H2518" i="3"/>
  <c r="I2517" i="3"/>
  <c r="H2517" i="3"/>
  <c r="I2516" i="3"/>
  <c r="H2516" i="3"/>
  <c r="I2515" i="3"/>
  <c r="H2515" i="3"/>
  <c r="I2514" i="3"/>
  <c r="H2514" i="3"/>
  <c r="I2513" i="3"/>
  <c r="H2513" i="3"/>
  <c r="I2512" i="3"/>
  <c r="H2512" i="3"/>
  <c r="I2511" i="3"/>
  <c r="H2511" i="3"/>
  <c r="I2510" i="3"/>
  <c r="H2510" i="3"/>
  <c r="I2509" i="3"/>
  <c r="H2509" i="3"/>
  <c r="I2508" i="3"/>
  <c r="H2508" i="3"/>
  <c r="I2507" i="3"/>
  <c r="H2507" i="3"/>
  <c r="I2506" i="3"/>
  <c r="H2506" i="3"/>
  <c r="I2505" i="3"/>
  <c r="H2505" i="3"/>
  <c r="I2504" i="3"/>
  <c r="H2504" i="3"/>
  <c r="I2503" i="3"/>
  <c r="H2503" i="3"/>
  <c r="I2502" i="3"/>
  <c r="H2502" i="3"/>
  <c r="I2501" i="3"/>
  <c r="H2501" i="3"/>
  <c r="I2500" i="3"/>
  <c r="H2500" i="3"/>
  <c r="I2499" i="3"/>
  <c r="H2499" i="3"/>
  <c r="I2498" i="3"/>
  <c r="H2498" i="3"/>
  <c r="I2497" i="3"/>
  <c r="H2497" i="3"/>
  <c r="I2496" i="3"/>
  <c r="H2496" i="3"/>
  <c r="I2495" i="3"/>
  <c r="H2495" i="3"/>
  <c r="I2494" i="3"/>
  <c r="H2494" i="3"/>
  <c r="I2493" i="3"/>
  <c r="H2493" i="3"/>
  <c r="I2492" i="3"/>
  <c r="H2492" i="3"/>
  <c r="I2491" i="3"/>
  <c r="H2491" i="3"/>
  <c r="I2490" i="3"/>
  <c r="H2490" i="3"/>
  <c r="I2489" i="3"/>
  <c r="H2489" i="3"/>
  <c r="I2488" i="3"/>
  <c r="H2488" i="3"/>
  <c r="I2487" i="3"/>
  <c r="H2487" i="3"/>
  <c r="I2486" i="3"/>
  <c r="H2486" i="3"/>
  <c r="I2485" i="3"/>
  <c r="H2485" i="3"/>
  <c r="I2484" i="3"/>
  <c r="H2484" i="3"/>
  <c r="I2483" i="3"/>
  <c r="H2483" i="3"/>
  <c r="I2482" i="3"/>
  <c r="H2482" i="3"/>
  <c r="I2481" i="3"/>
  <c r="H2481" i="3"/>
  <c r="I2480" i="3"/>
  <c r="H2480" i="3"/>
  <c r="I2479" i="3"/>
  <c r="H2479" i="3"/>
  <c r="I2478" i="3"/>
  <c r="H2478" i="3"/>
  <c r="I2477" i="3"/>
  <c r="H2477" i="3"/>
  <c r="I2476" i="3"/>
  <c r="H2476" i="3"/>
  <c r="I2475" i="3"/>
  <c r="H2475" i="3"/>
  <c r="I2474" i="3"/>
  <c r="H2474" i="3"/>
  <c r="I2473" i="3"/>
  <c r="H2473" i="3"/>
  <c r="I2472" i="3"/>
  <c r="H2472" i="3"/>
  <c r="I2471" i="3"/>
  <c r="H2471" i="3"/>
  <c r="I2470" i="3"/>
  <c r="H2470" i="3"/>
  <c r="I2469" i="3"/>
  <c r="H2469" i="3"/>
  <c r="I2468" i="3"/>
  <c r="H2468" i="3"/>
  <c r="I2467" i="3"/>
  <c r="H2467" i="3"/>
  <c r="I2466" i="3"/>
  <c r="H2466" i="3"/>
  <c r="I2465" i="3"/>
  <c r="H2465" i="3"/>
  <c r="I2464" i="3"/>
  <c r="H2464" i="3"/>
  <c r="I2463" i="3"/>
  <c r="H2463" i="3"/>
  <c r="I2462" i="3"/>
  <c r="H2462" i="3"/>
  <c r="I2461" i="3"/>
  <c r="H2461" i="3"/>
  <c r="I2460" i="3"/>
  <c r="H2460" i="3"/>
  <c r="I2459" i="3"/>
  <c r="H2459" i="3"/>
  <c r="I2458" i="3"/>
  <c r="H2458" i="3"/>
  <c r="I2457" i="3"/>
  <c r="H2457" i="3"/>
  <c r="I2456" i="3"/>
  <c r="H2456" i="3"/>
  <c r="I2455" i="3"/>
  <c r="H2455" i="3"/>
  <c r="I2454" i="3"/>
  <c r="H2454" i="3"/>
  <c r="I2453" i="3"/>
  <c r="H2453" i="3"/>
  <c r="I2452" i="3"/>
  <c r="H2452" i="3"/>
  <c r="I2451" i="3"/>
  <c r="H2451" i="3"/>
  <c r="I2450" i="3"/>
  <c r="H2450" i="3"/>
  <c r="I2449" i="3"/>
  <c r="H2449" i="3"/>
  <c r="I2448" i="3"/>
  <c r="H2448" i="3"/>
  <c r="I2447" i="3"/>
  <c r="H2447" i="3"/>
  <c r="I2446" i="3"/>
  <c r="H2446" i="3"/>
  <c r="I2445" i="3"/>
  <c r="H2445" i="3"/>
  <c r="I2444" i="3"/>
  <c r="H2444" i="3"/>
  <c r="I2443" i="3"/>
  <c r="H2443" i="3"/>
  <c r="I2442" i="3"/>
  <c r="H2442" i="3"/>
  <c r="I2441" i="3"/>
  <c r="H2441" i="3"/>
  <c r="I2440" i="3"/>
  <c r="H2440" i="3"/>
  <c r="I2439" i="3"/>
  <c r="H2439" i="3"/>
  <c r="I2438" i="3"/>
  <c r="H2438" i="3"/>
  <c r="I2437" i="3"/>
  <c r="H2437" i="3"/>
  <c r="I2436" i="3"/>
  <c r="H2436" i="3"/>
  <c r="I2435" i="3"/>
  <c r="H2435" i="3"/>
  <c r="I2434" i="3"/>
  <c r="H2434" i="3"/>
  <c r="I2433" i="3"/>
  <c r="H2433" i="3"/>
  <c r="I2432" i="3"/>
  <c r="H2432" i="3"/>
  <c r="I2431" i="3"/>
  <c r="H2431" i="3"/>
  <c r="I2430" i="3"/>
  <c r="H2430" i="3"/>
  <c r="I2429" i="3"/>
  <c r="H2429" i="3"/>
  <c r="I2428" i="3"/>
  <c r="H2428" i="3"/>
  <c r="I2427" i="3"/>
  <c r="H2427" i="3"/>
  <c r="I2426" i="3"/>
  <c r="H2426" i="3"/>
  <c r="I2425" i="3"/>
  <c r="H2425" i="3"/>
  <c r="I2424" i="3"/>
  <c r="H2424" i="3"/>
  <c r="I2423" i="3"/>
  <c r="H2423" i="3"/>
  <c r="I2422" i="3"/>
  <c r="H2422" i="3"/>
  <c r="I2421" i="3"/>
  <c r="H2421" i="3"/>
  <c r="I2420" i="3"/>
  <c r="H2420" i="3"/>
  <c r="I2419" i="3"/>
  <c r="H2419" i="3"/>
  <c r="I2418" i="3"/>
  <c r="H2418" i="3"/>
  <c r="I2417" i="3"/>
  <c r="H2417" i="3"/>
  <c r="I2416" i="3"/>
  <c r="H2416" i="3"/>
  <c r="I2415" i="3"/>
  <c r="H2415" i="3"/>
  <c r="I2414" i="3"/>
  <c r="H2414" i="3"/>
  <c r="I2413" i="3"/>
  <c r="H2413" i="3"/>
  <c r="I2412" i="3"/>
  <c r="H2412" i="3"/>
  <c r="I2411" i="3"/>
  <c r="H2411" i="3"/>
  <c r="I2410" i="3"/>
  <c r="H2410" i="3"/>
  <c r="I2409" i="3"/>
  <c r="H2409" i="3"/>
  <c r="I2408" i="3"/>
  <c r="H2408" i="3"/>
  <c r="I2407" i="3"/>
  <c r="H2407" i="3"/>
  <c r="I2406" i="3"/>
  <c r="H2406" i="3"/>
  <c r="I2405" i="3"/>
  <c r="H2405" i="3"/>
  <c r="I2404" i="3"/>
  <c r="H2404" i="3"/>
  <c r="I2403" i="3"/>
  <c r="H2403" i="3"/>
  <c r="I2402" i="3"/>
  <c r="H2402" i="3"/>
  <c r="I2401" i="3"/>
  <c r="H2401" i="3"/>
  <c r="I2400" i="3"/>
  <c r="H2400" i="3"/>
  <c r="I2399" i="3"/>
  <c r="H2399" i="3"/>
  <c r="I2398" i="3"/>
  <c r="H2398" i="3"/>
  <c r="I2397" i="3"/>
  <c r="H2397" i="3"/>
  <c r="I2396" i="3"/>
  <c r="H2396" i="3"/>
  <c r="I2395" i="3"/>
  <c r="H2395" i="3"/>
  <c r="I2394" i="3"/>
  <c r="H2394" i="3"/>
  <c r="I2393" i="3"/>
  <c r="H2393" i="3"/>
  <c r="I2392" i="3"/>
  <c r="H2392" i="3"/>
  <c r="I2391" i="3"/>
  <c r="H2391" i="3"/>
  <c r="I2390" i="3"/>
  <c r="H2390" i="3"/>
  <c r="I2389" i="3"/>
  <c r="H2389" i="3"/>
  <c r="I2388" i="3"/>
  <c r="H2388" i="3"/>
  <c r="I2387" i="3"/>
  <c r="H2387" i="3"/>
  <c r="I2386" i="3"/>
  <c r="H2386" i="3"/>
  <c r="I2385" i="3"/>
  <c r="H2385" i="3"/>
  <c r="I2384" i="3"/>
  <c r="H2384" i="3"/>
  <c r="I2383" i="3"/>
  <c r="H2383" i="3"/>
  <c r="I2382" i="3"/>
  <c r="H2382" i="3"/>
  <c r="I2381" i="3"/>
  <c r="H2381" i="3"/>
  <c r="I2380" i="3"/>
  <c r="H2380" i="3"/>
  <c r="I2379" i="3"/>
  <c r="H2379" i="3"/>
  <c r="I2378" i="3"/>
  <c r="H2378" i="3"/>
  <c r="I2377" i="3"/>
  <c r="H2377" i="3"/>
  <c r="I2376" i="3"/>
  <c r="H2376" i="3"/>
  <c r="I2375" i="3"/>
  <c r="H2375" i="3"/>
  <c r="I2374" i="3"/>
  <c r="H2374" i="3"/>
  <c r="I2373" i="3"/>
  <c r="H2373" i="3"/>
  <c r="I2372" i="3"/>
  <c r="H2372" i="3"/>
  <c r="I2371" i="3"/>
  <c r="H2371" i="3"/>
  <c r="I2370" i="3"/>
  <c r="H2370" i="3"/>
  <c r="I2369" i="3"/>
  <c r="H2369" i="3"/>
  <c r="I2368" i="3"/>
  <c r="H2368" i="3"/>
  <c r="I2367" i="3"/>
  <c r="H2367" i="3"/>
  <c r="I2366" i="3"/>
  <c r="H2366" i="3"/>
  <c r="I2365" i="3"/>
  <c r="H2365" i="3"/>
  <c r="I2364" i="3"/>
  <c r="H2364" i="3"/>
  <c r="I2363" i="3"/>
  <c r="H2363" i="3"/>
  <c r="I2362" i="3"/>
  <c r="H2362" i="3"/>
  <c r="I2361" i="3"/>
  <c r="H2361" i="3"/>
  <c r="I2360" i="3"/>
  <c r="H2360" i="3"/>
  <c r="I2359" i="3"/>
  <c r="H2359" i="3"/>
  <c r="I2358" i="3"/>
  <c r="H2358" i="3"/>
  <c r="I2357" i="3"/>
  <c r="H2357" i="3"/>
  <c r="I2356" i="3"/>
  <c r="H2356" i="3"/>
  <c r="I2355" i="3"/>
  <c r="H2355" i="3"/>
  <c r="I2354" i="3"/>
  <c r="H2354" i="3"/>
  <c r="I2353" i="3"/>
  <c r="H2353" i="3"/>
  <c r="I2352" i="3"/>
  <c r="H2352" i="3"/>
  <c r="I2351" i="3"/>
  <c r="H2351" i="3"/>
  <c r="I2350" i="3"/>
  <c r="H2350" i="3"/>
  <c r="I2349" i="3"/>
  <c r="H2349" i="3"/>
  <c r="I2348" i="3"/>
  <c r="H2348" i="3"/>
  <c r="I2347" i="3"/>
  <c r="H2347" i="3"/>
  <c r="I2346" i="3"/>
  <c r="H2346" i="3"/>
  <c r="I2345" i="3"/>
  <c r="H2345" i="3"/>
  <c r="I2344" i="3"/>
  <c r="H2344" i="3"/>
  <c r="I2343" i="3"/>
  <c r="H2343" i="3"/>
  <c r="I2342" i="3"/>
  <c r="H2342" i="3"/>
  <c r="I2341" i="3"/>
  <c r="H2341" i="3"/>
  <c r="I2340" i="3"/>
  <c r="H2340" i="3"/>
  <c r="I2339" i="3"/>
  <c r="H2339" i="3"/>
  <c r="I2338" i="3"/>
  <c r="H2338" i="3"/>
  <c r="I2337" i="3"/>
  <c r="H2337" i="3"/>
  <c r="I2336" i="3"/>
  <c r="H2336" i="3"/>
  <c r="I2335" i="3"/>
  <c r="H2335" i="3"/>
  <c r="I2334" i="3"/>
  <c r="H2334" i="3"/>
  <c r="I2333" i="3"/>
  <c r="H2333" i="3"/>
  <c r="I2332" i="3"/>
  <c r="H2332" i="3"/>
  <c r="I2331" i="3"/>
  <c r="H2331" i="3"/>
  <c r="I2330" i="3"/>
  <c r="H2330" i="3"/>
  <c r="I2329" i="3"/>
  <c r="H2329" i="3"/>
  <c r="I2328" i="3"/>
  <c r="H2328" i="3"/>
  <c r="I2327" i="3"/>
  <c r="H2327" i="3"/>
  <c r="I2326" i="3"/>
  <c r="H2326" i="3"/>
  <c r="I2325" i="3"/>
  <c r="H2325" i="3"/>
  <c r="I2324" i="3"/>
  <c r="H2324" i="3"/>
  <c r="I2323" i="3"/>
  <c r="H2323" i="3"/>
  <c r="I2322" i="3"/>
  <c r="H2322" i="3"/>
  <c r="I2321" i="3"/>
  <c r="H2321" i="3"/>
  <c r="I2320" i="3"/>
  <c r="H2320" i="3"/>
  <c r="I2319" i="3"/>
  <c r="H2319" i="3"/>
  <c r="I2318" i="3"/>
  <c r="H2318" i="3"/>
  <c r="I2317" i="3"/>
  <c r="H2317" i="3"/>
  <c r="I2316" i="3"/>
  <c r="H2316" i="3"/>
  <c r="I2315" i="3"/>
  <c r="H2315" i="3"/>
  <c r="I2314" i="3"/>
  <c r="H2314" i="3"/>
  <c r="I2313" i="3"/>
  <c r="H2313" i="3"/>
  <c r="I2312" i="3"/>
  <c r="H2312" i="3"/>
  <c r="I2311" i="3"/>
  <c r="H2311" i="3"/>
  <c r="I2310" i="3"/>
  <c r="H2310" i="3"/>
  <c r="I2309" i="3"/>
  <c r="H2309" i="3"/>
  <c r="I2308" i="3"/>
  <c r="H2308" i="3"/>
  <c r="I2307" i="3"/>
  <c r="H2307" i="3"/>
  <c r="I2306" i="3"/>
  <c r="H2306" i="3"/>
  <c r="I2305" i="3"/>
  <c r="H2305" i="3"/>
  <c r="I2304" i="3"/>
  <c r="H2304" i="3"/>
  <c r="I2303" i="3"/>
  <c r="H2303" i="3"/>
  <c r="I2302" i="3"/>
  <c r="H2302" i="3"/>
  <c r="I2301" i="3"/>
  <c r="H2301" i="3"/>
  <c r="I2300" i="3"/>
  <c r="H2300" i="3"/>
  <c r="I2299" i="3"/>
  <c r="H2299" i="3"/>
  <c r="I2298" i="3"/>
  <c r="H2298" i="3"/>
  <c r="I2297" i="3"/>
  <c r="H2297" i="3"/>
  <c r="I2296" i="3"/>
  <c r="H2296" i="3"/>
  <c r="I2295" i="3"/>
  <c r="H2295" i="3"/>
  <c r="I2294" i="3"/>
  <c r="H2294" i="3"/>
  <c r="I2293" i="3"/>
  <c r="H2293" i="3"/>
  <c r="I2292" i="3"/>
  <c r="H2292" i="3"/>
  <c r="I2291" i="3"/>
  <c r="H2291" i="3"/>
  <c r="I2290" i="3"/>
  <c r="H2290" i="3"/>
  <c r="I2289" i="3"/>
  <c r="H2289" i="3"/>
  <c r="I2288" i="3"/>
  <c r="H2288" i="3"/>
  <c r="I2287" i="3"/>
  <c r="H2287" i="3"/>
  <c r="I2286" i="3"/>
  <c r="H2286" i="3"/>
  <c r="I2285" i="3"/>
  <c r="H2285" i="3"/>
  <c r="I2284" i="3"/>
  <c r="H2284" i="3"/>
  <c r="I2283" i="3"/>
  <c r="H2283" i="3"/>
  <c r="I2282" i="3"/>
  <c r="H2282" i="3"/>
  <c r="I2281" i="3"/>
  <c r="H2281" i="3"/>
  <c r="H2280" i="3"/>
  <c r="I2279" i="3"/>
  <c r="H2279" i="3"/>
  <c r="I2278" i="3"/>
  <c r="H2278" i="3"/>
  <c r="I2277" i="3"/>
  <c r="H2277" i="3"/>
  <c r="I2276" i="3"/>
  <c r="H2276" i="3"/>
  <c r="I2275" i="3"/>
  <c r="H2275" i="3"/>
  <c r="H2274" i="3"/>
  <c r="I2273" i="3"/>
  <c r="H2273" i="3"/>
  <c r="I2272" i="3"/>
  <c r="H2272" i="3"/>
  <c r="I2271" i="3"/>
  <c r="H2271" i="3"/>
  <c r="I2270" i="3"/>
  <c r="H2270" i="3"/>
  <c r="I2269" i="3"/>
  <c r="H2269" i="3"/>
  <c r="I2268" i="3"/>
  <c r="H2268" i="3"/>
  <c r="I2267" i="3"/>
  <c r="H2267" i="3"/>
  <c r="I2266" i="3"/>
  <c r="H2266" i="3"/>
  <c r="I2265" i="3"/>
  <c r="H2265" i="3"/>
  <c r="I2264" i="3"/>
  <c r="H2264" i="3"/>
  <c r="I2263" i="3"/>
  <c r="H2263" i="3"/>
  <c r="I2262" i="3"/>
  <c r="H2262" i="3"/>
  <c r="I2261" i="3"/>
  <c r="H2261" i="3"/>
  <c r="I2260" i="3"/>
  <c r="H2260" i="3"/>
  <c r="I2259" i="3"/>
  <c r="H2259" i="3"/>
  <c r="I2258" i="3"/>
  <c r="H2258" i="3"/>
  <c r="I2257" i="3"/>
  <c r="H2257" i="3"/>
  <c r="I2256" i="3"/>
  <c r="H2256" i="3"/>
  <c r="I2255" i="3"/>
  <c r="H2255" i="3"/>
  <c r="I2254" i="3"/>
  <c r="H2254" i="3"/>
  <c r="I2253" i="3"/>
  <c r="H2253" i="3"/>
  <c r="I2252" i="3"/>
  <c r="H2252" i="3"/>
  <c r="I2251" i="3"/>
  <c r="H2251" i="3"/>
  <c r="I2250" i="3"/>
  <c r="H2250" i="3"/>
  <c r="I2249" i="3"/>
  <c r="H2249" i="3"/>
  <c r="I2248" i="3"/>
  <c r="H2248" i="3"/>
  <c r="I2247" i="3"/>
  <c r="H2247" i="3"/>
  <c r="I2246" i="3"/>
  <c r="H2246" i="3"/>
  <c r="I2245" i="3"/>
  <c r="H2245" i="3"/>
  <c r="I2244" i="3"/>
  <c r="H2244" i="3"/>
  <c r="I2243" i="3"/>
  <c r="H2243" i="3"/>
  <c r="I2242" i="3"/>
  <c r="H2242" i="3"/>
  <c r="I2241" i="3"/>
  <c r="H2241" i="3"/>
  <c r="I2240" i="3"/>
  <c r="H2240" i="3"/>
  <c r="I2239" i="3"/>
  <c r="H2239" i="3"/>
  <c r="I2238" i="3"/>
  <c r="H2238" i="3"/>
  <c r="I2237" i="3"/>
  <c r="H2237" i="3"/>
  <c r="I2236" i="3"/>
  <c r="H2236" i="3"/>
  <c r="I2235" i="3"/>
  <c r="H2235" i="3"/>
  <c r="I2234" i="3"/>
  <c r="H2234" i="3"/>
  <c r="I2233" i="3"/>
  <c r="H2233" i="3"/>
  <c r="I2232" i="3"/>
  <c r="H2232" i="3"/>
  <c r="I2231" i="3"/>
  <c r="H2231" i="3"/>
  <c r="I2230" i="3"/>
  <c r="H2230" i="3"/>
  <c r="I2229" i="3"/>
  <c r="H2229" i="3"/>
  <c r="I2228" i="3"/>
  <c r="H2228" i="3"/>
  <c r="I2227" i="3"/>
  <c r="H2227" i="3"/>
  <c r="I2226" i="3"/>
  <c r="H2226" i="3"/>
  <c r="I2225" i="3"/>
  <c r="H2225" i="3"/>
  <c r="I2224" i="3"/>
  <c r="H2224" i="3"/>
  <c r="I2223" i="3"/>
  <c r="H2223" i="3"/>
  <c r="I2222" i="3"/>
  <c r="H2222" i="3"/>
  <c r="I2221" i="3"/>
  <c r="H2221" i="3"/>
  <c r="I2220" i="3"/>
  <c r="H2220" i="3"/>
  <c r="I2219" i="3"/>
  <c r="H2219" i="3"/>
  <c r="I2218" i="3"/>
  <c r="H2218" i="3"/>
  <c r="I2217" i="3"/>
  <c r="H2217" i="3"/>
  <c r="I2216" i="3"/>
  <c r="H2216" i="3"/>
  <c r="I2215" i="3"/>
  <c r="H2215" i="3"/>
  <c r="I2214" i="3"/>
  <c r="H2214" i="3"/>
  <c r="I2213" i="3"/>
  <c r="H2213" i="3"/>
  <c r="I2212" i="3"/>
  <c r="H2212" i="3"/>
  <c r="I2211" i="3"/>
  <c r="H2211" i="3"/>
  <c r="I2210" i="3"/>
  <c r="H2210" i="3"/>
  <c r="I2209" i="3"/>
  <c r="H2209" i="3"/>
  <c r="I2208" i="3"/>
  <c r="H2208" i="3"/>
  <c r="I2207" i="3"/>
  <c r="H2207" i="3"/>
  <c r="I2206" i="3"/>
  <c r="H2206" i="3"/>
  <c r="I2205" i="3"/>
  <c r="H2205" i="3"/>
  <c r="I2204" i="3"/>
  <c r="H2204" i="3"/>
  <c r="I2203" i="3"/>
  <c r="H2203" i="3"/>
  <c r="I2202" i="3"/>
  <c r="H2202" i="3"/>
  <c r="I2201" i="3"/>
  <c r="H2201" i="3"/>
  <c r="I2200" i="3"/>
  <c r="H2200" i="3"/>
  <c r="I2199" i="3"/>
  <c r="H2199" i="3"/>
  <c r="I2198" i="3"/>
  <c r="H2198" i="3"/>
  <c r="I2197" i="3"/>
  <c r="H2197" i="3"/>
  <c r="I2196" i="3"/>
  <c r="H2196" i="3"/>
  <c r="I2195" i="3"/>
  <c r="H2195" i="3"/>
  <c r="I2194" i="3"/>
  <c r="H2194" i="3"/>
  <c r="I2193" i="3"/>
  <c r="H2193" i="3"/>
  <c r="I2192" i="3"/>
  <c r="H2192" i="3"/>
  <c r="I2191" i="3"/>
  <c r="H2191" i="3"/>
  <c r="I2190" i="3"/>
  <c r="H2190" i="3"/>
  <c r="I2189" i="3"/>
  <c r="H2189" i="3"/>
  <c r="I2188" i="3"/>
  <c r="H2188" i="3"/>
  <c r="I2187" i="3"/>
  <c r="H2187" i="3"/>
  <c r="I2186" i="3"/>
  <c r="H2186" i="3"/>
  <c r="I2185" i="3"/>
  <c r="H2185" i="3"/>
  <c r="I2184" i="3"/>
  <c r="H2184" i="3"/>
  <c r="I2183" i="3"/>
  <c r="H2183" i="3"/>
  <c r="I2182" i="3"/>
  <c r="H2182" i="3"/>
  <c r="I2181" i="3"/>
  <c r="H2181" i="3"/>
  <c r="I2180" i="3"/>
  <c r="H2180" i="3"/>
  <c r="I2179" i="3"/>
  <c r="H2179" i="3"/>
  <c r="I2178" i="3"/>
  <c r="H2178" i="3"/>
  <c r="I2177" i="3"/>
  <c r="H2177" i="3"/>
  <c r="I2176" i="3"/>
  <c r="H2176" i="3"/>
  <c r="I2175" i="3"/>
  <c r="H2175" i="3"/>
  <c r="I2174" i="3"/>
  <c r="H2174" i="3"/>
  <c r="I2173" i="3"/>
  <c r="H2173" i="3"/>
  <c r="I2172" i="3"/>
  <c r="H2172" i="3"/>
  <c r="I2171" i="3"/>
  <c r="H2171" i="3"/>
  <c r="I2170" i="3"/>
  <c r="H2170" i="3"/>
  <c r="I2169" i="3"/>
  <c r="H2169" i="3"/>
  <c r="I2168" i="3"/>
  <c r="H2168" i="3"/>
  <c r="I2167" i="3"/>
  <c r="H2167" i="3"/>
  <c r="I2166" i="3"/>
  <c r="H2166" i="3"/>
  <c r="I2165" i="3"/>
  <c r="H2165" i="3"/>
  <c r="I2164" i="3"/>
  <c r="H2164" i="3"/>
  <c r="I2163" i="3"/>
  <c r="H2163" i="3"/>
  <c r="I2162" i="3"/>
  <c r="H2162" i="3"/>
  <c r="I2161" i="3"/>
  <c r="H2161" i="3"/>
  <c r="H2160" i="3"/>
  <c r="I2159" i="3"/>
  <c r="H2159" i="3"/>
  <c r="I2158" i="3"/>
  <c r="H2158" i="3"/>
  <c r="I2157" i="3"/>
  <c r="H2157" i="3"/>
  <c r="I2156" i="3"/>
  <c r="H2156" i="3"/>
  <c r="I2155" i="3"/>
  <c r="H2155" i="3"/>
  <c r="I2154" i="3"/>
  <c r="H2154" i="3"/>
  <c r="I2153" i="3"/>
  <c r="H2153" i="3"/>
  <c r="I2152" i="3"/>
  <c r="H2152" i="3"/>
  <c r="I2151" i="3"/>
  <c r="H2151" i="3"/>
  <c r="I2150" i="3"/>
  <c r="H2150" i="3"/>
  <c r="I2149" i="3"/>
  <c r="H2149" i="3"/>
  <c r="I2148" i="3"/>
  <c r="H2148" i="3"/>
  <c r="I2147" i="3"/>
  <c r="H2147" i="3"/>
  <c r="I2146" i="3"/>
  <c r="H2146" i="3"/>
  <c r="I2145" i="3"/>
  <c r="H2145" i="3"/>
  <c r="I2144" i="3"/>
  <c r="H2144" i="3"/>
  <c r="I2143" i="3"/>
  <c r="H2143" i="3"/>
  <c r="I2142" i="3"/>
  <c r="H2142" i="3"/>
  <c r="I2141" i="3"/>
  <c r="H2141" i="3"/>
  <c r="I2140" i="3"/>
  <c r="H2140" i="3"/>
  <c r="I2139" i="3"/>
  <c r="H2139" i="3"/>
  <c r="I2138" i="3"/>
  <c r="H2138" i="3"/>
  <c r="I2137" i="3"/>
  <c r="H2137" i="3"/>
  <c r="I2136" i="3"/>
  <c r="H2136" i="3"/>
  <c r="I2135" i="3"/>
  <c r="H2135" i="3"/>
  <c r="I2134" i="3"/>
  <c r="H2134" i="3"/>
  <c r="I2133" i="3"/>
  <c r="H2133" i="3"/>
  <c r="I2132" i="3"/>
  <c r="H2132" i="3"/>
  <c r="I2131" i="3"/>
  <c r="H2131" i="3"/>
  <c r="I2130" i="3"/>
  <c r="H2130" i="3"/>
  <c r="I2129" i="3"/>
  <c r="H2129" i="3"/>
  <c r="I2128" i="3"/>
  <c r="H2128" i="3"/>
  <c r="I2127" i="3"/>
  <c r="H2127" i="3"/>
  <c r="I2126" i="3"/>
  <c r="H2126" i="3"/>
  <c r="I2125" i="3"/>
  <c r="H2125" i="3"/>
  <c r="I2124" i="3"/>
  <c r="H2124" i="3"/>
  <c r="I2123" i="3"/>
  <c r="H2123" i="3"/>
  <c r="I2122" i="3"/>
  <c r="H2122" i="3"/>
  <c r="I2121" i="3"/>
  <c r="H2121" i="3"/>
  <c r="I2120" i="3"/>
  <c r="H2120" i="3"/>
  <c r="I2119" i="3"/>
  <c r="H2119" i="3"/>
  <c r="I2118" i="3"/>
  <c r="H2118" i="3"/>
  <c r="I2117" i="3"/>
  <c r="H2117" i="3"/>
  <c r="I2116" i="3"/>
  <c r="H2116" i="3"/>
  <c r="I2115" i="3"/>
  <c r="H2115" i="3"/>
  <c r="I2114" i="3"/>
  <c r="H2114" i="3"/>
  <c r="I2113" i="3"/>
  <c r="H2113" i="3"/>
  <c r="I2112" i="3"/>
  <c r="H2112" i="3"/>
  <c r="I2111" i="3"/>
  <c r="H2111" i="3"/>
  <c r="I2110" i="3"/>
  <c r="H2110" i="3"/>
  <c r="I2109" i="3"/>
  <c r="H2109" i="3"/>
  <c r="I2108" i="3"/>
  <c r="H2108" i="3"/>
  <c r="I2107" i="3"/>
  <c r="H2107" i="3"/>
  <c r="I2106" i="3"/>
  <c r="H2106" i="3"/>
  <c r="I2105" i="3"/>
  <c r="H2105" i="3"/>
  <c r="I2104" i="3"/>
  <c r="H2104" i="3"/>
  <c r="I2103" i="3"/>
  <c r="H2103" i="3"/>
  <c r="I2102" i="3"/>
  <c r="H2102" i="3"/>
  <c r="I2101" i="3"/>
  <c r="H2101" i="3"/>
  <c r="I2100" i="3"/>
  <c r="H2100" i="3"/>
  <c r="I2099" i="3"/>
  <c r="H2099" i="3"/>
  <c r="I2098" i="3"/>
  <c r="H2098" i="3"/>
  <c r="I2097" i="3"/>
  <c r="H2097" i="3"/>
  <c r="I2096" i="3"/>
  <c r="H2096" i="3"/>
  <c r="I2095" i="3"/>
  <c r="H2095" i="3"/>
  <c r="I2094" i="3"/>
  <c r="H2094" i="3"/>
  <c r="I2093" i="3"/>
  <c r="H2093" i="3"/>
  <c r="I2092" i="3"/>
  <c r="H2092" i="3"/>
  <c r="I2091" i="3"/>
  <c r="H2091" i="3"/>
  <c r="I2090" i="3"/>
  <c r="H2090" i="3"/>
  <c r="I2089" i="3"/>
  <c r="H2089" i="3"/>
  <c r="I2088" i="3"/>
  <c r="H2088" i="3"/>
  <c r="I2087" i="3"/>
  <c r="H2087" i="3"/>
  <c r="I2086" i="3"/>
  <c r="H2086" i="3"/>
  <c r="I2085" i="3"/>
  <c r="H2085" i="3"/>
  <c r="I2084" i="3"/>
  <c r="H2084" i="3"/>
  <c r="I2083" i="3"/>
  <c r="H2083" i="3"/>
  <c r="I2082" i="3"/>
  <c r="H2082" i="3"/>
  <c r="I2081" i="3"/>
  <c r="H2081" i="3"/>
  <c r="I2080" i="3"/>
  <c r="H2080" i="3"/>
  <c r="I2079" i="3"/>
  <c r="H2079" i="3"/>
  <c r="I2078" i="3"/>
  <c r="H2078" i="3"/>
  <c r="I2077" i="3"/>
  <c r="H2077" i="3"/>
  <c r="I2076" i="3"/>
  <c r="H2076" i="3"/>
  <c r="I2075" i="3"/>
  <c r="H2075" i="3"/>
  <c r="I2074" i="3"/>
  <c r="H2074" i="3"/>
  <c r="I2073" i="3"/>
  <c r="H2073" i="3"/>
  <c r="I2072" i="3"/>
  <c r="H2072" i="3"/>
  <c r="I2071" i="3"/>
  <c r="H2071" i="3"/>
  <c r="I2070" i="3"/>
  <c r="H2070" i="3"/>
  <c r="I2069" i="3"/>
  <c r="H2069" i="3"/>
  <c r="I2068" i="3"/>
  <c r="H2068" i="3"/>
  <c r="I2067" i="3"/>
  <c r="H2067" i="3"/>
  <c r="I2066" i="3"/>
  <c r="H2066" i="3"/>
  <c r="I2065" i="3"/>
  <c r="H2065" i="3"/>
  <c r="I2064" i="3"/>
  <c r="H2064" i="3"/>
  <c r="I2063" i="3"/>
  <c r="H2063" i="3"/>
  <c r="I2062" i="3"/>
  <c r="H2062" i="3"/>
  <c r="I2061" i="3"/>
  <c r="H2061" i="3"/>
  <c r="I2060" i="3"/>
  <c r="H2060" i="3"/>
  <c r="I2059" i="3"/>
  <c r="H2059" i="3"/>
  <c r="I2058" i="3"/>
  <c r="H2058" i="3"/>
  <c r="I2057" i="3"/>
  <c r="H2057" i="3"/>
  <c r="I2056" i="3"/>
  <c r="H2056" i="3"/>
  <c r="I2055" i="3"/>
  <c r="H2055" i="3"/>
  <c r="I2054" i="3"/>
  <c r="H2054" i="3"/>
  <c r="I2053" i="3"/>
  <c r="H2053" i="3"/>
  <c r="I2052" i="3"/>
  <c r="H2052" i="3"/>
  <c r="I2051" i="3"/>
  <c r="H2051" i="3"/>
  <c r="I2050" i="3"/>
  <c r="H2050" i="3"/>
  <c r="I2049" i="3"/>
  <c r="H2049" i="3"/>
  <c r="I2048" i="3"/>
  <c r="H2048" i="3"/>
  <c r="I2047" i="3"/>
  <c r="H2047" i="3"/>
  <c r="I2046" i="3"/>
  <c r="H2046" i="3"/>
  <c r="I2045" i="3"/>
  <c r="H2045" i="3"/>
  <c r="I2044" i="3"/>
  <c r="H2044" i="3"/>
  <c r="I2043" i="3"/>
  <c r="H2043" i="3"/>
  <c r="I2042" i="3"/>
  <c r="H2042" i="3"/>
  <c r="I2041" i="3"/>
  <c r="H2041" i="3"/>
  <c r="I2040" i="3"/>
  <c r="H2040" i="3"/>
  <c r="I2039" i="3"/>
  <c r="H2039" i="3"/>
  <c r="I2038" i="3"/>
  <c r="H2038" i="3"/>
  <c r="I2037" i="3"/>
  <c r="H2037" i="3"/>
  <c r="I2036" i="3"/>
  <c r="H2036" i="3"/>
  <c r="I2035" i="3"/>
  <c r="H2035" i="3"/>
  <c r="I2034" i="3"/>
  <c r="H2034" i="3"/>
  <c r="I2033" i="3"/>
  <c r="H2033" i="3"/>
  <c r="I2032" i="3"/>
  <c r="H2032" i="3"/>
  <c r="I2031" i="3"/>
  <c r="H2031" i="3"/>
  <c r="I2030" i="3"/>
  <c r="H2030" i="3"/>
  <c r="I2029" i="3"/>
  <c r="H2029" i="3"/>
  <c r="I2028" i="3"/>
  <c r="H2028" i="3"/>
  <c r="I2027" i="3"/>
  <c r="H2027" i="3"/>
  <c r="I2026" i="3"/>
  <c r="H2026" i="3"/>
  <c r="I2025" i="3"/>
  <c r="H2025" i="3"/>
  <c r="I2024" i="3"/>
  <c r="H2024" i="3"/>
  <c r="I2023" i="3"/>
  <c r="H2023" i="3"/>
  <c r="I2022" i="3"/>
  <c r="H2022" i="3"/>
  <c r="I2021" i="3"/>
  <c r="H2021" i="3"/>
  <c r="I2020" i="3"/>
  <c r="H2020" i="3"/>
  <c r="I2019" i="3"/>
  <c r="H2019" i="3"/>
  <c r="I2018" i="3"/>
  <c r="H2018" i="3"/>
  <c r="I2017" i="3"/>
  <c r="H2017" i="3"/>
  <c r="I2016" i="3"/>
  <c r="H2016" i="3"/>
  <c r="I2015" i="3"/>
  <c r="H2015" i="3"/>
  <c r="I2014" i="3"/>
  <c r="H2014" i="3"/>
  <c r="I2013" i="3"/>
  <c r="H2013" i="3"/>
  <c r="I2012" i="3"/>
  <c r="H2012" i="3"/>
  <c r="I2011" i="3"/>
  <c r="H2011" i="3"/>
  <c r="I2010" i="3"/>
  <c r="H2010" i="3"/>
  <c r="I2009" i="3"/>
  <c r="H2009" i="3"/>
  <c r="I2008" i="3"/>
  <c r="H2008" i="3"/>
  <c r="I2007" i="3"/>
  <c r="H2007" i="3"/>
  <c r="I2006" i="3"/>
  <c r="H2006" i="3"/>
  <c r="I2005" i="3"/>
  <c r="H2005" i="3"/>
  <c r="I2004" i="3"/>
  <c r="H2004" i="3"/>
  <c r="I2003" i="3"/>
  <c r="H2003" i="3"/>
  <c r="I2002" i="3"/>
  <c r="H2002" i="3"/>
  <c r="I2001" i="3"/>
  <c r="H2001" i="3"/>
  <c r="I2000" i="3"/>
  <c r="H2000" i="3"/>
  <c r="I1999" i="3"/>
  <c r="H1999" i="3"/>
  <c r="I1998" i="3"/>
  <c r="H1998" i="3"/>
  <c r="I1997" i="3"/>
  <c r="H1997" i="3"/>
  <c r="I1996" i="3"/>
  <c r="H1996" i="3"/>
  <c r="I1995" i="3"/>
  <c r="H1995" i="3"/>
  <c r="I1994" i="3"/>
  <c r="H1994" i="3"/>
  <c r="I1993" i="3"/>
  <c r="H1993" i="3"/>
  <c r="I1992" i="3"/>
  <c r="H1992" i="3"/>
  <c r="I1991" i="3"/>
  <c r="H1991" i="3"/>
  <c r="I1990" i="3"/>
  <c r="H1990" i="3"/>
  <c r="I1989" i="3"/>
  <c r="H1989" i="3"/>
  <c r="I1988" i="3"/>
  <c r="H1988" i="3"/>
  <c r="I1987" i="3"/>
  <c r="H1987" i="3"/>
  <c r="I1986" i="3"/>
  <c r="H1986" i="3"/>
  <c r="I1985" i="3"/>
  <c r="H1985" i="3"/>
  <c r="I1984" i="3"/>
  <c r="H1984" i="3"/>
  <c r="I1983" i="3"/>
  <c r="H1983" i="3"/>
  <c r="I1982" i="3"/>
  <c r="H1982" i="3"/>
  <c r="I1981" i="3"/>
  <c r="H1981" i="3"/>
  <c r="I1980" i="3"/>
  <c r="H1980" i="3"/>
  <c r="I1979" i="3"/>
  <c r="H1979" i="3"/>
  <c r="I1978" i="3"/>
  <c r="H1978" i="3"/>
  <c r="I1977" i="3"/>
  <c r="H1977" i="3"/>
  <c r="I1976" i="3"/>
  <c r="H1976" i="3"/>
  <c r="I1975" i="3"/>
  <c r="H1975" i="3"/>
  <c r="I1974" i="3"/>
  <c r="H1974" i="3"/>
  <c r="I1973" i="3"/>
  <c r="H1973" i="3"/>
  <c r="I1972" i="3"/>
  <c r="H1972" i="3"/>
  <c r="I1971" i="3"/>
  <c r="H1971" i="3"/>
  <c r="I1970" i="3"/>
  <c r="H1970" i="3"/>
  <c r="I1969" i="3"/>
  <c r="H1969" i="3"/>
  <c r="I1968" i="3"/>
  <c r="H1968" i="3"/>
  <c r="I1967" i="3"/>
  <c r="H1967" i="3"/>
  <c r="I1966" i="3"/>
  <c r="H1966" i="3"/>
  <c r="I1965" i="3"/>
  <c r="H1965" i="3"/>
  <c r="I1964" i="3"/>
  <c r="H1964" i="3"/>
  <c r="I1963" i="3"/>
  <c r="H1963" i="3"/>
  <c r="I1962" i="3"/>
  <c r="H1962" i="3"/>
  <c r="I1961" i="3"/>
  <c r="H1961" i="3"/>
  <c r="I1960" i="3"/>
  <c r="H1960" i="3"/>
  <c r="I1959" i="3"/>
  <c r="H1959" i="3"/>
  <c r="I1958" i="3"/>
  <c r="H1958" i="3"/>
  <c r="I1957" i="3"/>
  <c r="H1957" i="3"/>
  <c r="I1956" i="3"/>
  <c r="H1956" i="3"/>
  <c r="I1955" i="3"/>
  <c r="H1955" i="3"/>
  <c r="I1954" i="3"/>
  <c r="H1954" i="3"/>
  <c r="I1953" i="3"/>
  <c r="H1953" i="3"/>
  <c r="I1952" i="3"/>
  <c r="H1952" i="3"/>
  <c r="I1951" i="3"/>
  <c r="H1951" i="3"/>
  <c r="I1950" i="3"/>
  <c r="H1950" i="3"/>
  <c r="I1949" i="3"/>
  <c r="H1949" i="3"/>
  <c r="I1948" i="3"/>
  <c r="H1948" i="3"/>
  <c r="I1947" i="3"/>
  <c r="H1947" i="3"/>
  <c r="I1946" i="3"/>
  <c r="H1946" i="3"/>
  <c r="I1945" i="3"/>
  <c r="H1945" i="3"/>
  <c r="I1944" i="3"/>
  <c r="H1944" i="3"/>
  <c r="I1943" i="3"/>
  <c r="H1943" i="3"/>
  <c r="I1942" i="3"/>
  <c r="H1942" i="3"/>
  <c r="I1941" i="3"/>
  <c r="H1941" i="3"/>
  <c r="I1940" i="3"/>
  <c r="H1940" i="3"/>
  <c r="I1939" i="3"/>
  <c r="H1939" i="3"/>
  <c r="I1938" i="3"/>
  <c r="H1938" i="3"/>
  <c r="I1937" i="3"/>
  <c r="H1937" i="3"/>
  <c r="I1936" i="3"/>
  <c r="H1936" i="3"/>
  <c r="I1935" i="3"/>
  <c r="H1935" i="3"/>
  <c r="I1934" i="3"/>
  <c r="H1934" i="3"/>
  <c r="I1933" i="3"/>
  <c r="H1933" i="3"/>
  <c r="I1932" i="3"/>
  <c r="H1932" i="3"/>
  <c r="I1931" i="3"/>
  <c r="H1931" i="3"/>
  <c r="I1930" i="3"/>
  <c r="H1930" i="3"/>
  <c r="I1929" i="3"/>
  <c r="H1929" i="3"/>
  <c r="I1928" i="3"/>
  <c r="H1928" i="3"/>
  <c r="I1927" i="3"/>
  <c r="H1927" i="3"/>
  <c r="I1926" i="3"/>
  <c r="H1926" i="3"/>
  <c r="I1925" i="3"/>
  <c r="H1925" i="3"/>
  <c r="I1924" i="3"/>
  <c r="H1924" i="3"/>
  <c r="I1923" i="3"/>
  <c r="H1923" i="3"/>
  <c r="I1922" i="3"/>
  <c r="H1922" i="3"/>
  <c r="I1921" i="3"/>
  <c r="H1921" i="3"/>
  <c r="I1920" i="3"/>
  <c r="H1920" i="3"/>
  <c r="I1919" i="3"/>
  <c r="H1919" i="3"/>
  <c r="I1918" i="3"/>
  <c r="H1918" i="3"/>
  <c r="I1917" i="3"/>
  <c r="H1917" i="3"/>
  <c r="I1916" i="3"/>
  <c r="H1916" i="3"/>
  <c r="I1915" i="3"/>
  <c r="H1915" i="3"/>
  <c r="I1914" i="3"/>
  <c r="H1914" i="3"/>
  <c r="I1913" i="3"/>
  <c r="H1913" i="3"/>
  <c r="I1912" i="3"/>
  <c r="H1912" i="3"/>
  <c r="I1911" i="3"/>
  <c r="H1911" i="3"/>
  <c r="I1910" i="3"/>
  <c r="H1910" i="3"/>
  <c r="I1909" i="3"/>
  <c r="H1909" i="3"/>
  <c r="I1908" i="3"/>
  <c r="H1908" i="3"/>
  <c r="I1907" i="3"/>
  <c r="H1907" i="3"/>
  <c r="I1906" i="3"/>
  <c r="H1906" i="3"/>
  <c r="I1905" i="3"/>
  <c r="H1905" i="3"/>
  <c r="I1904" i="3"/>
  <c r="H1904" i="3"/>
  <c r="I1903" i="3"/>
  <c r="H1903" i="3"/>
  <c r="I1902" i="3"/>
  <c r="H1902" i="3"/>
  <c r="I1901" i="3"/>
  <c r="H1901" i="3"/>
  <c r="I1900" i="3"/>
  <c r="H1900" i="3"/>
  <c r="I1899" i="3"/>
  <c r="H1899" i="3"/>
  <c r="I1898" i="3"/>
  <c r="H1898" i="3"/>
  <c r="I1897" i="3"/>
  <c r="H1897" i="3"/>
  <c r="I1896" i="3"/>
  <c r="H1896" i="3"/>
  <c r="I1895" i="3"/>
  <c r="H1895" i="3"/>
  <c r="I1894" i="3"/>
  <c r="H1894" i="3"/>
  <c r="I1893" i="3"/>
  <c r="H1893" i="3"/>
  <c r="I1892" i="3"/>
  <c r="H1892" i="3"/>
  <c r="I1891" i="3"/>
  <c r="H1891" i="3"/>
  <c r="I1890" i="3"/>
  <c r="H1890" i="3"/>
  <c r="I1889" i="3"/>
  <c r="H1889" i="3"/>
  <c r="I1887" i="3"/>
  <c r="H1887" i="3"/>
  <c r="I1886" i="3"/>
  <c r="H1886" i="3"/>
  <c r="I1885" i="3"/>
  <c r="H1885" i="3"/>
  <c r="I1884" i="3"/>
  <c r="H1884" i="3"/>
  <c r="I1883" i="3"/>
  <c r="H1883" i="3"/>
  <c r="I1882" i="3"/>
  <c r="H1882" i="3"/>
  <c r="I1881" i="3"/>
  <c r="H1881" i="3"/>
  <c r="I1880" i="3"/>
  <c r="H1880" i="3"/>
  <c r="I1879" i="3"/>
  <c r="H1879" i="3"/>
  <c r="I1878" i="3"/>
  <c r="H1878" i="3"/>
  <c r="I1877" i="3"/>
  <c r="H1877" i="3"/>
  <c r="I1876" i="3"/>
  <c r="H1876" i="3"/>
  <c r="I1875" i="3"/>
  <c r="H1875" i="3"/>
  <c r="I1874" i="3"/>
  <c r="H1874" i="3"/>
  <c r="I1873" i="3"/>
  <c r="H1873" i="3"/>
  <c r="I1872" i="3"/>
  <c r="H1872" i="3"/>
  <c r="I1871" i="3"/>
  <c r="H1871" i="3"/>
  <c r="I1870" i="3"/>
  <c r="H1870" i="3"/>
  <c r="I1869" i="3"/>
  <c r="H1869" i="3"/>
  <c r="I1868" i="3"/>
  <c r="H1868" i="3"/>
  <c r="I1867" i="3"/>
  <c r="H1867" i="3"/>
  <c r="I1866" i="3"/>
  <c r="H1866" i="3"/>
  <c r="I1865" i="3"/>
  <c r="H1865" i="3"/>
  <c r="I1864" i="3"/>
  <c r="H1864" i="3"/>
  <c r="I1863" i="3"/>
  <c r="H1863" i="3"/>
  <c r="I1862" i="3"/>
  <c r="H1862" i="3"/>
  <c r="I1861" i="3"/>
  <c r="H1861" i="3"/>
  <c r="I1860" i="3"/>
  <c r="H1860" i="3"/>
  <c r="I1859" i="3"/>
  <c r="H1859" i="3"/>
  <c r="I1858" i="3"/>
  <c r="H1858" i="3"/>
  <c r="I1857" i="3"/>
  <c r="H1857" i="3"/>
  <c r="I1856" i="3"/>
  <c r="H1856" i="3"/>
  <c r="I1855" i="3"/>
  <c r="H1855" i="3"/>
  <c r="I1854" i="3"/>
  <c r="H1854" i="3"/>
  <c r="I1853" i="3"/>
  <c r="H1853" i="3"/>
  <c r="I1852" i="3"/>
  <c r="H1852" i="3"/>
  <c r="I1851" i="3"/>
  <c r="H1851" i="3"/>
  <c r="I1850" i="3"/>
  <c r="H1850" i="3"/>
  <c r="I1849" i="3"/>
  <c r="H1849" i="3"/>
  <c r="I1848" i="3"/>
  <c r="H1848" i="3"/>
  <c r="I1847" i="3"/>
  <c r="H1847" i="3"/>
  <c r="I1846" i="3"/>
  <c r="H1846" i="3"/>
  <c r="I1845" i="3"/>
  <c r="H1845" i="3"/>
  <c r="I1844" i="3"/>
  <c r="H1844" i="3"/>
  <c r="I1843" i="3"/>
  <c r="H1843" i="3"/>
  <c r="I1842" i="3"/>
  <c r="H1842" i="3"/>
  <c r="I1841" i="3"/>
  <c r="H1841" i="3"/>
  <c r="I1840" i="3"/>
  <c r="H1840" i="3"/>
  <c r="I1839" i="3"/>
  <c r="H1839" i="3"/>
  <c r="I1838" i="3"/>
  <c r="H1838" i="3"/>
  <c r="I1837" i="3"/>
  <c r="H1837" i="3"/>
  <c r="I1836" i="3"/>
  <c r="H1836" i="3"/>
  <c r="I1835" i="3"/>
  <c r="H1835" i="3"/>
  <c r="I1834" i="3"/>
  <c r="H1834" i="3"/>
  <c r="I1833" i="3"/>
  <c r="H1833" i="3"/>
  <c r="I1832" i="3"/>
  <c r="H1832" i="3"/>
  <c r="I1831" i="3"/>
  <c r="H1831" i="3"/>
  <c r="I1830" i="3"/>
  <c r="H1830" i="3"/>
  <c r="I1829" i="3"/>
  <c r="H1829" i="3"/>
  <c r="I1828" i="3"/>
  <c r="H1828" i="3"/>
  <c r="I1827" i="3"/>
  <c r="H1827" i="3"/>
  <c r="I1826" i="3"/>
  <c r="H1826" i="3"/>
  <c r="I1825" i="3"/>
  <c r="H1825" i="3"/>
  <c r="I1824" i="3"/>
  <c r="H1824" i="3"/>
  <c r="I1823" i="3"/>
  <c r="H1823" i="3"/>
  <c r="I1822" i="3"/>
  <c r="H1822" i="3"/>
  <c r="I1821" i="3"/>
  <c r="H1821" i="3"/>
  <c r="I1820" i="3"/>
  <c r="H1820" i="3"/>
  <c r="I1819" i="3"/>
  <c r="H1819" i="3"/>
  <c r="I1818" i="3"/>
  <c r="H1818" i="3"/>
  <c r="I1817" i="3"/>
  <c r="H1817" i="3"/>
  <c r="I1816" i="3"/>
  <c r="H1816" i="3"/>
  <c r="I1815" i="3"/>
  <c r="H1815" i="3"/>
  <c r="I1814" i="3"/>
  <c r="H1814" i="3"/>
  <c r="I1813" i="3"/>
  <c r="H1813" i="3"/>
  <c r="I1812" i="3"/>
  <c r="H1812" i="3"/>
  <c r="I1811" i="3"/>
  <c r="H1811" i="3"/>
  <c r="I1810" i="3"/>
  <c r="H1810" i="3"/>
  <c r="I1809" i="3"/>
  <c r="H1809" i="3"/>
  <c r="I1808" i="3"/>
  <c r="H1808" i="3"/>
  <c r="I1807" i="3"/>
  <c r="H1807" i="3"/>
  <c r="I1806" i="3"/>
  <c r="H1806" i="3"/>
  <c r="I1805" i="3"/>
  <c r="H1805" i="3"/>
  <c r="I1804" i="3"/>
  <c r="H1804" i="3"/>
  <c r="I1803" i="3"/>
  <c r="H1803" i="3"/>
  <c r="I1802" i="3"/>
  <c r="H1802" i="3"/>
  <c r="I1801" i="3"/>
  <c r="H1801" i="3"/>
  <c r="I1800" i="3"/>
  <c r="H1800" i="3"/>
  <c r="I1799" i="3"/>
  <c r="H1799" i="3"/>
  <c r="I1798" i="3"/>
  <c r="H1798" i="3"/>
  <c r="I1797" i="3"/>
  <c r="H1797" i="3"/>
  <c r="I1796" i="3"/>
  <c r="H1796" i="3"/>
  <c r="I1795" i="3"/>
  <c r="H1795" i="3"/>
  <c r="I1794" i="3"/>
  <c r="H1794" i="3"/>
  <c r="I1793" i="3"/>
  <c r="H1793" i="3"/>
  <c r="I1792" i="3"/>
  <c r="H1792" i="3"/>
  <c r="I1791" i="3"/>
  <c r="H1791" i="3"/>
  <c r="I1790" i="3"/>
  <c r="H1790" i="3"/>
  <c r="I1789" i="3"/>
  <c r="H1789" i="3"/>
  <c r="I1788" i="3"/>
  <c r="H1788" i="3"/>
  <c r="I1787" i="3"/>
  <c r="H1787" i="3"/>
  <c r="I1786" i="3"/>
  <c r="H1786" i="3"/>
  <c r="I1784" i="3"/>
  <c r="H1784" i="3"/>
  <c r="I1783" i="3"/>
  <c r="H1783" i="3"/>
  <c r="I1782" i="3"/>
  <c r="H1782" i="3"/>
  <c r="I1781" i="3"/>
  <c r="H1781" i="3"/>
  <c r="I1780" i="3"/>
  <c r="H1780" i="3"/>
  <c r="I1779" i="3"/>
  <c r="H1779" i="3"/>
  <c r="I1778" i="3"/>
  <c r="H1778" i="3"/>
  <c r="I1777" i="3"/>
  <c r="H1777" i="3"/>
  <c r="I1776" i="3"/>
  <c r="H1776" i="3"/>
  <c r="I1775" i="3"/>
  <c r="H1775" i="3"/>
  <c r="I1774" i="3"/>
  <c r="H1774" i="3"/>
  <c r="I1773" i="3"/>
  <c r="H1773" i="3"/>
  <c r="I1772" i="3"/>
  <c r="H1772" i="3"/>
  <c r="I1771" i="3"/>
  <c r="H1771" i="3"/>
  <c r="I1770" i="3"/>
  <c r="H1770" i="3"/>
  <c r="I1769" i="3"/>
  <c r="H1769" i="3"/>
  <c r="I1768" i="3"/>
  <c r="H1768" i="3"/>
  <c r="I1767" i="3"/>
  <c r="H1767" i="3"/>
  <c r="I1766" i="3"/>
  <c r="H1766" i="3"/>
  <c r="I1765" i="3"/>
  <c r="H1765" i="3"/>
  <c r="I1764" i="3"/>
  <c r="H1764" i="3"/>
  <c r="I1763" i="3"/>
  <c r="H1763" i="3"/>
  <c r="I1762" i="3"/>
  <c r="H1762" i="3"/>
  <c r="I1761" i="3"/>
  <c r="H1761" i="3"/>
  <c r="I1760" i="3"/>
  <c r="H1760" i="3"/>
  <c r="I1759" i="3"/>
  <c r="H1759" i="3"/>
  <c r="I1758" i="3"/>
  <c r="H1758" i="3"/>
  <c r="I1757" i="3"/>
  <c r="H1757" i="3"/>
  <c r="I1756" i="3"/>
  <c r="H1756" i="3"/>
  <c r="I1755" i="3"/>
  <c r="H1755" i="3"/>
  <c r="I1754" i="3"/>
  <c r="H1754" i="3"/>
  <c r="I1753" i="3"/>
  <c r="H1753" i="3"/>
  <c r="I1752" i="3"/>
  <c r="H1752" i="3"/>
  <c r="I1751" i="3"/>
  <c r="H1751" i="3"/>
  <c r="I1750" i="3"/>
  <c r="H1750" i="3"/>
  <c r="I1749" i="3"/>
  <c r="H1749" i="3"/>
  <c r="I1748" i="3"/>
  <c r="H1748" i="3"/>
  <c r="I1747" i="3"/>
  <c r="H1747" i="3"/>
  <c r="I1746" i="3"/>
  <c r="H1746" i="3"/>
  <c r="I1745" i="3"/>
  <c r="H1745" i="3"/>
  <c r="I1744" i="3"/>
  <c r="H1744" i="3"/>
  <c r="I1743" i="3"/>
  <c r="H1743" i="3"/>
  <c r="I1742" i="3"/>
  <c r="H1742" i="3"/>
  <c r="I1741" i="3"/>
  <c r="H1741" i="3"/>
  <c r="I1740" i="3"/>
  <c r="H1740" i="3"/>
  <c r="I1739" i="3"/>
  <c r="H1739" i="3"/>
  <c r="I1738" i="3"/>
  <c r="H1738" i="3"/>
  <c r="I1737" i="3"/>
  <c r="H1737" i="3"/>
  <c r="I1736" i="3"/>
  <c r="H1736" i="3"/>
  <c r="I1735" i="3"/>
  <c r="H1735" i="3"/>
  <c r="I1734" i="3"/>
  <c r="H1734" i="3"/>
  <c r="I1733" i="3"/>
  <c r="H1733" i="3"/>
  <c r="I1732" i="3"/>
  <c r="H1732" i="3"/>
  <c r="I1731" i="3"/>
  <c r="H1731" i="3"/>
  <c r="I1730" i="3"/>
  <c r="H1730" i="3"/>
  <c r="I1729" i="3"/>
  <c r="H1729" i="3"/>
  <c r="I1728" i="3"/>
  <c r="H1728" i="3"/>
  <c r="I1727" i="3"/>
  <c r="H1727" i="3"/>
  <c r="I1726" i="3"/>
  <c r="H1726" i="3"/>
  <c r="I1725" i="3"/>
  <c r="H1725" i="3"/>
  <c r="I1724" i="3"/>
  <c r="H1724" i="3"/>
  <c r="I1723" i="3"/>
  <c r="H1723" i="3"/>
  <c r="I1722" i="3"/>
  <c r="H1722" i="3"/>
  <c r="I1721" i="3"/>
  <c r="H1721" i="3"/>
  <c r="I1720" i="3"/>
  <c r="H1720" i="3"/>
  <c r="I1719" i="3"/>
  <c r="H1719" i="3"/>
  <c r="I1718" i="3"/>
  <c r="H1718" i="3"/>
  <c r="I1717" i="3"/>
  <c r="H1717" i="3"/>
  <c r="I1716" i="3"/>
  <c r="H1716" i="3"/>
  <c r="I1715" i="3"/>
  <c r="H1715" i="3"/>
  <c r="I1714" i="3"/>
  <c r="H1714" i="3"/>
  <c r="I1713" i="3"/>
  <c r="H1713" i="3"/>
  <c r="I1712" i="3"/>
  <c r="H1712" i="3"/>
  <c r="I1711" i="3"/>
  <c r="H1711" i="3"/>
  <c r="I1710" i="3"/>
  <c r="H1710" i="3"/>
  <c r="I1709" i="3"/>
  <c r="H1709" i="3"/>
  <c r="I1708" i="3"/>
  <c r="H1708" i="3"/>
  <c r="I1707" i="3"/>
  <c r="H1707" i="3"/>
  <c r="I1706" i="3"/>
  <c r="H1706" i="3"/>
  <c r="I1705" i="3"/>
  <c r="H1705" i="3"/>
  <c r="I1704" i="3"/>
  <c r="H1704" i="3"/>
  <c r="I1703" i="3"/>
  <c r="H1703" i="3"/>
  <c r="I1702" i="3"/>
  <c r="H1702" i="3"/>
  <c r="I1701" i="3"/>
  <c r="H1701" i="3"/>
  <c r="I1700" i="3"/>
  <c r="H1700" i="3"/>
  <c r="I1699" i="3"/>
  <c r="H1699" i="3"/>
  <c r="I1698" i="3"/>
  <c r="H1698" i="3"/>
  <c r="I1697" i="3"/>
  <c r="H1697" i="3"/>
  <c r="I1696" i="3"/>
  <c r="H1696" i="3"/>
  <c r="I1695" i="3"/>
  <c r="H1695" i="3"/>
  <c r="I1694" i="3"/>
  <c r="H1694" i="3"/>
  <c r="I1693" i="3"/>
  <c r="H1693" i="3"/>
  <c r="I1692" i="3"/>
  <c r="H1692" i="3"/>
  <c r="I1691" i="3"/>
  <c r="H1691" i="3"/>
  <c r="I1690" i="3"/>
  <c r="H1690" i="3"/>
  <c r="I1689" i="3"/>
  <c r="H1689" i="3"/>
  <c r="I1688" i="3"/>
  <c r="H1688" i="3"/>
  <c r="I1687" i="3"/>
  <c r="H1687" i="3"/>
  <c r="I1686" i="3"/>
  <c r="H1686" i="3"/>
  <c r="I1685" i="3"/>
  <c r="H1685" i="3"/>
  <c r="I1684" i="3"/>
  <c r="H1684" i="3"/>
  <c r="I1683" i="3"/>
  <c r="H1683" i="3"/>
  <c r="I1682" i="3"/>
  <c r="H1682" i="3"/>
  <c r="I1681" i="3"/>
  <c r="H1681" i="3"/>
  <c r="I1680" i="3"/>
  <c r="H1680" i="3"/>
  <c r="I1679" i="3"/>
  <c r="H1679" i="3"/>
  <c r="I1678" i="3"/>
  <c r="H1678" i="3"/>
  <c r="I1677" i="3"/>
  <c r="H1677" i="3"/>
  <c r="I1676" i="3"/>
  <c r="H1676" i="3"/>
  <c r="I1675" i="3"/>
  <c r="H1675" i="3"/>
  <c r="I1674" i="3"/>
  <c r="H1674" i="3"/>
  <c r="I1673" i="3"/>
  <c r="H1673" i="3"/>
  <c r="I1672" i="3"/>
  <c r="H1672" i="3"/>
  <c r="I1671" i="3"/>
  <c r="H1671" i="3"/>
  <c r="I1670" i="3"/>
  <c r="H1670" i="3"/>
  <c r="I1669" i="3"/>
  <c r="H1669" i="3"/>
  <c r="I1668" i="3"/>
  <c r="H1668" i="3"/>
  <c r="I1667" i="3"/>
  <c r="H1667" i="3"/>
  <c r="I1666" i="3"/>
  <c r="H1666" i="3"/>
  <c r="I1665" i="3"/>
  <c r="H1665" i="3"/>
  <c r="I1664" i="3"/>
  <c r="H1664" i="3"/>
  <c r="I1663" i="3"/>
  <c r="H1663" i="3"/>
  <c r="I1662" i="3"/>
  <c r="H1662" i="3"/>
  <c r="I1661" i="3"/>
  <c r="H1661" i="3"/>
  <c r="I1660" i="3"/>
  <c r="H1660" i="3"/>
  <c r="I1659" i="3"/>
  <c r="H1659" i="3"/>
  <c r="I1658" i="3"/>
  <c r="H1658" i="3"/>
  <c r="I1657" i="3"/>
  <c r="H1657" i="3"/>
  <c r="I1656" i="3"/>
  <c r="H1656" i="3"/>
  <c r="I1655" i="3"/>
  <c r="H1655" i="3"/>
  <c r="I1654" i="3"/>
  <c r="H1654" i="3"/>
  <c r="I1653" i="3"/>
  <c r="H1653" i="3"/>
  <c r="I1652" i="3"/>
  <c r="H1652" i="3"/>
  <c r="I1651" i="3"/>
  <c r="H1651" i="3"/>
  <c r="I1650" i="3"/>
  <c r="H1650" i="3"/>
  <c r="I1649" i="3"/>
  <c r="H1649" i="3"/>
  <c r="I1648" i="3"/>
  <c r="H1648" i="3"/>
  <c r="I1647" i="3"/>
  <c r="H1647" i="3"/>
  <c r="I1646" i="3"/>
  <c r="H1646" i="3"/>
  <c r="I1645" i="3"/>
  <c r="H1645" i="3"/>
  <c r="I1644" i="3"/>
  <c r="H1644" i="3"/>
  <c r="I1643" i="3"/>
  <c r="H1643" i="3"/>
  <c r="I1642" i="3"/>
  <c r="H1642" i="3"/>
  <c r="I1641" i="3"/>
  <c r="H1641" i="3"/>
  <c r="I1640" i="3"/>
  <c r="H1640" i="3"/>
  <c r="I1639" i="3"/>
  <c r="H1639" i="3"/>
  <c r="I1638" i="3"/>
  <c r="H1638" i="3"/>
  <c r="I1637" i="3"/>
  <c r="H1637" i="3"/>
  <c r="I1636" i="3"/>
  <c r="H1636" i="3"/>
  <c r="I1635" i="3"/>
  <c r="H1635" i="3"/>
  <c r="I1634" i="3"/>
  <c r="H1634" i="3"/>
  <c r="I1633" i="3"/>
  <c r="H1633" i="3"/>
  <c r="I1632" i="3"/>
  <c r="H1632" i="3"/>
  <c r="I1631" i="3"/>
  <c r="H1631" i="3"/>
  <c r="I1630" i="3"/>
  <c r="H1630" i="3"/>
  <c r="I1629" i="3"/>
  <c r="H1629" i="3"/>
  <c r="I1628" i="3"/>
  <c r="H1628" i="3"/>
  <c r="I1627" i="3"/>
  <c r="H1627" i="3"/>
  <c r="I1626" i="3"/>
  <c r="H1626" i="3"/>
  <c r="I1625" i="3"/>
  <c r="H1625" i="3"/>
  <c r="I1624" i="3"/>
  <c r="H1624" i="3"/>
  <c r="I1623" i="3"/>
  <c r="H1623" i="3"/>
  <c r="I1622" i="3"/>
  <c r="H1622" i="3"/>
  <c r="I1621" i="3"/>
  <c r="H1621" i="3"/>
  <c r="I1620" i="3"/>
  <c r="H1620" i="3"/>
  <c r="I1619" i="3"/>
  <c r="H1619" i="3"/>
  <c r="I1618" i="3"/>
  <c r="H1618" i="3"/>
  <c r="I1617" i="3"/>
  <c r="H1617" i="3"/>
  <c r="I1616" i="3"/>
  <c r="H1616" i="3"/>
  <c r="I1615" i="3"/>
  <c r="H1615" i="3"/>
  <c r="I1614" i="3"/>
  <c r="H1614" i="3"/>
  <c r="I1613" i="3"/>
  <c r="H1613" i="3"/>
  <c r="I1612" i="3"/>
  <c r="H1612" i="3"/>
  <c r="I1611" i="3"/>
  <c r="H1611" i="3"/>
  <c r="I1610" i="3"/>
  <c r="H1610" i="3"/>
  <c r="I1609" i="3"/>
  <c r="H1609" i="3"/>
  <c r="I1608" i="3"/>
  <c r="H1608" i="3"/>
  <c r="I1607" i="3"/>
  <c r="H1607" i="3"/>
  <c r="I1606" i="3"/>
  <c r="H1606" i="3"/>
  <c r="I1605" i="3"/>
  <c r="H1605" i="3"/>
  <c r="I1604" i="3"/>
  <c r="H1604" i="3"/>
  <c r="I1603" i="3"/>
  <c r="H1603" i="3"/>
  <c r="I1602" i="3"/>
  <c r="H1602" i="3"/>
  <c r="I1601" i="3"/>
  <c r="H1601" i="3"/>
  <c r="I1600" i="3"/>
  <c r="H1600" i="3"/>
  <c r="I1599" i="3"/>
  <c r="H1599" i="3"/>
  <c r="I1598" i="3"/>
  <c r="H1598" i="3"/>
  <c r="I1597" i="3"/>
  <c r="H1597" i="3"/>
  <c r="I1596" i="3"/>
  <c r="H1596" i="3"/>
  <c r="I1595" i="3"/>
  <c r="H1595" i="3"/>
  <c r="I1594" i="3"/>
  <c r="H1594" i="3"/>
  <c r="I1593" i="3"/>
  <c r="H1593" i="3"/>
  <c r="I1592" i="3"/>
  <c r="H1592" i="3"/>
  <c r="I1591" i="3"/>
  <c r="H1591" i="3"/>
  <c r="I1590" i="3"/>
  <c r="H1590" i="3"/>
  <c r="I1589" i="3"/>
  <c r="H1589" i="3"/>
  <c r="I1588" i="3"/>
  <c r="H1588" i="3"/>
  <c r="I1587" i="3"/>
  <c r="H1587" i="3"/>
  <c r="I1586" i="3"/>
  <c r="H1586" i="3"/>
  <c r="I1585" i="3"/>
  <c r="H1585" i="3"/>
  <c r="I1584" i="3"/>
  <c r="H1584" i="3"/>
  <c r="I1583" i="3"/>
  <c r="H1583" i="3"/>
  <c r="I1582" i="3"/>
  <c r="H1582" i="3"/>
  <c r="I1581" i="3"/>
  <c r="H1581" i="3"/>
  <c r="I1580" i="3"/>
  <c r="H1580" i="3"/>
  <c r="I1579" i="3"/>
  <c r="H1579" i="3"/>
  <c r="I1578" i="3"/>
  <c r="H1578" i="3"/>
  <c r="I1577" i="3"/>
  <c r="H1577" i="3"/>
  <c r="I1576" i="3"/>
  <c r="H1576" i="3"/>
  <c r="I1575" i="3"/>
  <c r="H1575" i="3"/>
  <c r="I1574" i="3"/>
  <c r="H1574" i="3"/>
  <c r="I1573" i="3"/>
  <c r="H1573" i="3"/>
  <c r="I1572" i="3"/>
  <c r="H1572" i="3"/>
  <c r="I1571" i="3"/>
  <c r="H1571" i="3"/>
  <c r="I1570" i="3"/>
  <c r="H1570" i="3"/>
  <c r="I1569" i="3"/>
  <c r="H1569" i="3"/>
  <c r="I1568" i="3"/>
  <c r="H1568" i="3"/>
  <c r="I1567" i="3"/>
  <c r="H1567" i="3"/>
  <c r="I1566" i="3"/>
  <c r="H1566" i="3"/>
  <c r="I1565" i="3"/>
  <c r="H1565" i="3"/>
  <c r="I1564" i="3"/>
  <c r="H1564" i="3"/>
  <c r="I1563" i="3"/>
  <c r="H1563" i="3"/>
  <c r="I1562" i="3"/>
  <c r="H1562" i="3"/>
  <c r="I1561" i="3"/>
  <c r="H1561" i="3"/>
  <c r="I1560" i="3"/>
  <c r="H1560" i="3"/>
  <c r="I1559" i="3"/>
  <c r="H1559" i="3"/>
  <c r="I1558" i="3"/>
  <c r="H1558" i="3"/>
  <c r="I1557" i="3"/>
  <c r="H1557" i="3"/>
  <c r="I1556" i="3"/>
  <c r="H1556" i="3"/>
  <c r="I1555" i="3"/>
  <c r="H1555" i="3"/>
  <c r="I1554" i="3"/>
  <c r="H1554" i="3"/>
  <c r="I1553" i="3"/>
  <c r="H1553" i="3"/>
  <c r="I1552" i="3"/>
  <c r="H1552" i="3"/>
  <c r="I1551" i="3"/>
  <c r="H1551" i="3"/>
  <c r="I1550" i="3"/>
  <c r="H1550" i="3"/>
  <c r="I1549" i="3"/>
  <c r="H1549" i="3"/>
  <c r="I1548" i="3"/>
  <c r="H1548" i="3"/>
  <c r="I1547" i="3"/>
  <c r="H1547" i="3"/>
  <c r="I1546" i="3"/>
  <c r="H1546" i="3"/>
  <c r="I1545" i="3"/>
  <c r="H1545" i="3"/>
  <c r="I1544" i="3"/>
  <c r="H1544" i="3"/>
  <c r="I1543" i="3"/>
  <c r="H1543" i="3"/>
  <c r="I1542" i="3"/>
  <c r="H1542" i="3"/>
  <c r="I1541" i="3"/>
  <c r="H1541" i="3"/>
  <c r="I1540" i="3"/>
  <c r="H1540" i="3"/>
  <c r="I1539" i="3"/>
  <c r="H1539" i="3"/>
  <c r="I1538" i="3"/>
  <c r="H1538" i="3"/>
  <c r="I1537" i="3"/>
  <c r="H1537" i="3"/>
  <c r="I1536" i="3"/>
  <c r="H1536" i="3"/>
  <c r="I1535" i="3"/>
  <c r="H1535" i="3"/>
  <c r="I1534" i="3"/>
  <c r="H1534" i="3"/>
  <c r="I1533" i="3"/>
  <c r="H1533" i="3"/>
  <c r="I1532" i="3"/>
  <c r="H1532" i="3"/>
  <c r="I1531" i="3"/>
  <c r="H1531" i="3"/>
  <c r="I1530" i="3"/>
  <c r="H1530" i="3"/>
  <c r="I1529" i="3"/>
  <c r="H1529" i="3"/>
  <c r="I1528" i="3"/>
  <c r="H1528" i="3"/>
  <c r="I1527" i="3"/>
  <c r="H1527" i="3"/>
  <c r="I1526" i="3"/>
  <c r="H1526" i="3"/>
  <c r="I1525" i="3"/>
  <c r="H1525" i="3"/>
  <c r="I1524" i="3"/>
  <c r="H1524" i="3"/>
  <c r="I1523" i="3"/>
  <c r="H1523" i="3"/>
  <c r="I1522" i="3"/>
  <c r="H1522" i="3"/>
  <c r="I1521" i="3"/>
  <c r="H1521" i="3"/>
  <c r="I1520" i="3"/>
  <c r="H1520" i="3"/>
  <c r="I1519" i="3"/>
  <c r="H1519" i="3"/>
  <c r="I1518" i="3"/>
  <c r="H1518" i="3"/>
  <c r="I1517" i="3"/>
  <c r="H1517" i="3"/>
  <c r="I1516" i="3"/>
  <c r="H1516" i="3"/>
  <c r="I1515" i="3"/>
  <c r="H1515" i="3"/>
  <c r="I1514" i="3"/>
  <c r="H1514" i="3"/>
  <c r="I1513" i="3"/>
  <c r="H1513" i="3"/>
  <c r="I1512" i="3"/>
  <c r="H1512" i="3"/>
  <c r="I1511" i="3"/>
  <c r="H1511" i="3"/>
  <c r="I1510" i="3"/>
  <c r="H1510" i="3"/>
  <c r="I1509" i="3"/>
  <c r="H1509" i="3"/>
  <c r="I1508" i="3"/>
  <c r="H1508" i="3"/>
  <c r="I1507" i="3"/>
  <c r="H1507" i="3"/>
  <c r="I1506" i="3"/>
  <c r="H1506" i="3"/>
  <c r="I1505" i="3"/>
  <c r="H1505" i="3"/>
  <c r="I1504" i="3"/>
  <c r="H1504" i="3"/>
  <c r="I1503" i="3"/>
  <c r="H1503" i="3"/>
  <c r="I1502" i="3"/>
  <c r="H1502" i="3"/>
  <c r="I1501" i="3"/>
  <c r="H1501" i="3"/>
  <c r="I1500" i="3"/>
  <c r="H1500" i="3"/>
  <c r="I1499" i="3"/>
  <c r="H1499" i="3"/>
  <c r="I1498" i="3"/>
  <c r="H1498" i="3"/>
  <c r="I1497" i="3"/>
  <c r="H1497" i="3"/>
  <c r="I1496" i="3"/>
  <c r="H1496" i="3"/>
  <c r="I1495" i="3"/>
  <c r="H1495" i="3"/>
  <c r="I1494" i="3"/>
  <c r="H1494" i="3"/>
  <c r="I1493" i="3"/>
  <c r="H1493" i="3"/>
  <c r="I1492" i="3"/>
  <c r="H1492" i="3"/>
  <c r="I1491" i="3"/>
  <c r="H1491" i="3"/>
  <c r="I1490" i="3"/>
  <c r="H1490" i="3"/>
  <c r="I1489" i="3"/>
  <c r="H1489" i="3"/>
  <c r="I1488" i="3"/>
  <c r="H1488" i="3"/>
  <c r="I1487" i="3"/>
  <c r="H1487" i="3"/>
  <c r="I1486" i="3"/>
  <c r="H1486" i="3"/>
  <c r="I1485" i="3"/>
  <c r="H1485" i="3"/>
  <c r="I1484" i="3"/>
  <c r="H1484" i="3"/>
  <c r="I1483" i="3"/>
  <c r="H1483" i="3"/>
  <c r="I1482" i="3"/>
  <c r="H1482" i="3"/>
  <c r="I1481" i="3"/>
  <c r="H1481" i="3"/>
  <c r="I1480" i="3"/>
  <c r="H1480" i="3"/>
  <c r="I1479" i="3"/>
  <c r="H1479" i="3"/>
  <c r="I1478" i="3"/>
  <c r="H1478" i="3"/>
  <c r="I1477" i="3"/>
  <c r="H1477" i="3"/>
  <c r="I1476" i="3"/>
  <c r="H1476" i="3"/>
  <c r="I1475" i="3"/>
  <c r="H1475" i="3"/>
  <c r="I1474" i="3"/>
  <c r="H1474" i="3"/>
  <c r="I1473" i="3"/>
  <c r="H1473" i="3"/>
  <c r="I1472" i="3"/>
  <c r="H1472" i="3"/>
  <c r="I1471" i="3"/>
  <c r="H1471" i="3"/>
  <c r="I1470" i="3"/>
  <c r="H1470" i="3"/>
  <c r="I1469" i="3"/>
  <c r="H1469" i="3"/>
  <c r="I1468" i="3"/>
  <c r="H1468" i="3"/>
  <c r="I1467" i="3"/>
  <c r="H1467" i="3"/>
  <c r="I1466" i="3"/>
  <c r="H1466" i="3"/>
  <c r="I1465" i="3"/>
  <c r="H1465" i="3"/>
  <c r="I1464" i="3"/>
  <c r="H1464" i="3"/>
  <c r="I1463" i="3"/>
  <c r="H1463" i="3"/>
  <c r="I1462" i="3"/>
  <c r="H1462" i="3"/>
  <c r="I1461" i="3"/>
  <c r="H1461" i="3"/>
  <c r="I1460" i="3"/>
  <c r="H1460" i="3"/>
  <c r="I1459" i="3"/>
  <c r="H1459" i="3"/>
  <c r="I1458" i="3"/>
  <c r="H1458" i="3"/>
  <c r="I1457" i="3"/>
  <c r="H1457" i="3"/>
  <c r="I1456" i="3"/>
  <c r="H1456" i="3"/>
  <c r="I1455" i="3"/>
  <c r="H1455" i="3"/>
  <c r="I1454" i="3"/>
  <c r="H1454" i="3"/>
  <c r="I1453" i="3"/>
  <c r="H1453" i="3"/>
  <c r="I1452" i="3"/>
  <c r="H1452" i="3"/>
  <c r="I1451" i="3"/>
  <c r="H1451" i="3"/>
  <c r="I1450" i="3"/>
  <c r="H1450" i="3"/>
  <c r="I1449" i="3"/>
  <c r="H1449" i="3"/>
  <c r="I1448" i="3"/>
  <c r="H1448" i="3"/>
  <c r="I1447" i="3"/>
  <c r="H1447" i="3"/>
  <c r="I1446" i="3"/>
  <c r="H1446" i="3"/>
  <c r="I1445" i="3"/>
  <c r="H1445" i="3"/>
  <c r="I1444" i="3"/>
  <c r="H1444" i="3"/>
  <c r="I1443" i="3"/>
  <c r="H1443" i="3"/>
  <c r="I1442" i="3"/>
  <c r="H1442" i="3"/>
  <c r="I1441" i="3"/>
  <c r="H1441" i="3"/>
  <c r="I1440" i="3"/>
  <c r="H1440" i="3"/>
  <c r="I1439" i="3"/>
  <c r="H1439" i="3"/>
  <c r="I1438" i="3"/>
  <c r="H1438" i="3"/>
  <c r="I1437" i="3"/>
  <c r="H1437" i="3"/>
  <c r="I1436" i="3"/>
  <c r="H1436" i="3"/>
  <c r="I1435" i="3"/>
  <c r="H1435" i="3"/>
  <c r="I1434" i="3"/>
  <c r="H1434" i="3"/>
  <c r="I1433" i="3"/>
  <c r="H1433" i="3"/>
  <c r="I1432" i="3"/>
  <c r="H1432" i="3"/>
  <c r="I1431" i="3"/>
  <c r="H1431" i="3"/>
  <c r="I1430" i="3"/>
  <c r="H1430" i="3"/>
  <c r="I1429" i="3"/>
  <c r="H1429" i="3"/>
  <c r="I1428" i="3"/>
  <c r="H1428" i="3"/>
  <c r="I1427" i="3"/>
  <c r="H1427" i="3"/>
  <c r="I1426" i="3"/>
  <c r="H1426" i="3"/>
  <c r="I1425" i="3"/>
  <c r="H1425" i="3"/>
  <c r="I1424" i="3"/>
  <c r="H1424" i="3"/>
  <c r="I1423" i="3"/>
  <c r="H1423" i="3"/>
  <c r="I1422" i="3"/>
  <c r="H1422" i="3"/>
  <c r="I1421" i="3"/>
  <c r="H1421" i="3"/>
  <c r="I1420" i="3"/>
  <c r="H1420" i="3"/>
  <c r="I1419" i="3"/>
  <c r="H1419" i="3"/>
  <c r="I1418" i="3"/>
  <c r="H1418" i="3"/>
  <c r="I1417" i="3"/>
  <c r="H1417" i="3"/>
  <c r="I1416" i="3"/>
  <c r="H1416" i="3"/>
  <c r="I1415" i="3"/>
  <c r="H1415" i="3"/>
  <c r="I1414" i="3"/>
  <c r="H1414" i="3"/>
  <c r="I1413" i="3"/>
  <c r="H1413" i="3"/>
  <c r="I1412" i="3"/>
  <c r="H1412" i="3"/>
  <c r="I1411" i="3"/>
  <c r="H1411" i="3"/>
  <c r="I1410" i="3"/>
  <c r="H1410" i="3"/>
  <c r="I1409" i="3"/>
  <c r="H1409" i="3"/>
  <c r="I1408" i="3"/>
  <c r="H1408" i="3"/>
  <c r="I1407" i="3"/>
  <c r="H1407" i="3"/>
  <c r="I1406" i="3"/>
  <c r="H1406" i="3"/>
  <c r="I1405" i="3"/>
  <c r="H1405" i="3"/>
  <c r="I1404" i="3"/>
  <c r="H1404" i="3"/>
  <c r="I1403" i="3"/>
  <c r="H1403" i="3"/>
  <c r="I1402" i="3"/>
  <c r="H1402" i="3"/>
  <c r="I1401" i="3"/>
  <c r="H1401" i="3"/>
  <c r="I1400" i="3"/>
  <c r="H1400" i="3"/>
  <c r="I1399" i="3"/>
  <c r="H1399" i="3"/>
  <c r="I1398" i="3"/>
  <c r="H1398" i="3"/>
  <c r="I1397" i="3"/>
  <c r="H1397" i="3"/>
  <c r="I1396" i="3"/>
  <c r="H1396" i="3"/>
  <c r="I1395" i="3"/>
  <c r="H1395" i="3"/>
  <c r="I1394" i="3"/>
  <c r="H1394" i="3"/>
  <c r="I1393" i="3"/>
  <c r="H1393" i="3"/>
  <c r="I1392" i="3"/>
  <c r="H1392" i="3"/>
  <c r="I1391" i="3"/>
  <c r="H1391" i="3"/>
  <c r="I1390" i="3"/>
  <c r="H1390" i="3"/>
  <c r="I1389" i="3"/>
  <c r="H1389" i="3"/>
  <c r="I1388" i="3"/>
  <c r="H1388" i="3"/>
  <c r="I1387" i="3"/>
  <c r="H1387" i="3"/>
  <c r="I1386" i="3"/>
  <c r="H1386" i="3"/>
  <c r="I1385" i="3"/>
  <c r="H1385" i="3"/>
  <c r="I1384" i="3"/>
  <c r="H1384" i="3"/>
  <c r="I1383" i="3"/>
  <c r="H1383" i="3"/>
  <c r="I1382" i="3"/>
  <c r="H1382" i="3"/>
  <c r="I1381" i="3"/>
  <c r="H1381" i="3"/>
  <c r="I1380" i="3"/>
  <c r="H1380" i="3"/>
  <c r="I1379" i="3"/>
  <c r="H1379" i="3"/>
  <c r="I1378" i="3"/>
  <c r="H1378" i="3"/>
  <c r="I1377" i="3"/>
  <c r="H1377" i="3"/>
  <c r="I1376" i="3"/>
  <c r="H1376" i="3"/>
  <c r="I1375" i="3"/>
  <c r="H1375" i="3"/>
  <c r="I1374" i="3"/>
  <c r="H1374" i="3"/>
  <c r="I1373" i="3"/>
  <c r="H1373" i="3"/>
  <c r="I1372" i="3"/>
  <c r="H1372" i="3"/>
  <c r="I1371" i="3"/>
  <c r="H1371" i="3"/>
  <c r="I1370" i="3"/>
  <c r="H1370" i="3"/>
  <c r="I1369" i="3"/>
  <c r="H1369" i="3"/>
  <c r="I1368" i="3"/>
  <c r="H1368" i="3"/>
  <c r="I1367" i="3"/>
  <c r="H1367" i="3"/>
  <c r="I1366" i="3"/>
  <c r="H1366" i="3"/>
  <c r="I1365" i="3"/>
  <c r="H1365" i="3"/>
  <c r="I1364" i="3"/>
  <c r="H1364" i="3"/>
  <c r="I1363" i="3"/>
  <c r="H1363" i="3"/>
  <c r="I1362" i="3"/>
  <c r="H1362" i="3"/>
  <c r="I1361" i="3"/>
  <c r="H1361" i="3"/>
  <c r="I1360" i="3"/>
  <c r="H1360" i="3"/>
  <c r="I1359" i="3"/>
  <c r="H1359" i="3"/>
  <c r="I1358" i="3"/>
  <c r="H1358" i="3"/>
  <c r="I1357" i="3"/>
  <c r="H1357" i="3"/>
  <c r="I1356" i="3"/>
  <c r="H1356" i="3"/>
  <c r="I1355" i="3"/>
  <c r="H1355" i="3"/>
  <c r="I1354" i="3"/>
  <c r="H1354" i="3"/>
  <c r="I1353" i="3"/>
  <c r="H1353" i="3"/>
  <c r="I1352" i="3"/>
  <c r="H1352" i="3"/>
  <c r="I1351" i="3"/>
  <c r="H1351" i="3"/>
  <c r="I1350" i="3"/>
  <c r="H1350" i="3"/>
  <c r="I1349" i="3"/>
  <c r="H1349" i="3"/>
  <c r="I1348" i="3"/>
  <c r="H1348" i="3"/>
  <c r="I1347" i="3"/>
  <c r="H1347" i="3"/>
  <c r="I1346" i="3"/>
  <c r="H1346" i="3"/>
  <c r="I1345" i="3"/>
  <c r="H1345" i="3"/>
  <c r="I1344" i="3"/>
  <c r="H1344" i="3"/>
  <c r="I1343" i="3"/>
  <c r="H1343" i="3"/>
  <c r="I1342" i="3"/>
  <c r="H1342" i="3"/>
  <c r="I1341" i="3"/>
  <c r="H1341" i="3"/>
  <c r="I1340" i="3"/>
  <c r="H1340" i="3"/>
  <c r="I1339" i="3"/>
  <c r="H1339" i="3"/>
  <c r="I1338" i="3"/>
  <c r="H1338" i="3"/>
  <c r="I1337" i="3"/>
  <c r="H1337" i="3"/>
  <c r="I1336" i="3"/>
  <c r="H1336" i="3"/>
  <c r="I1335" i="3"/>
  <c r="H1335" i="3"/>
  <c r="I1334" i="3"/>
  <c r="H1334" i="3"/>
  <c r="I1333" i="3"/>
  <c r="H1333" i="3"/>
  <c r="I1332" i="3"/>
  <c r="H1332" i="3"/>
  <c r="I1331" i="3"/>
  <c r="H1331" i="3"/>
  <c r="I1330" i="3"/>
  <c r="H1330" i="3"/>
  <c r="I1329" i="3"/>
  <c r="H1329" i="3"/>
  <c r="I1328" i="3"/>
  <c r="H1328" i="3"/>
  <c r="I1327" i="3"/>
  <c r="H1327" i="3"/>
  <c r="I1326" i="3"/>
  <c r="H1326" i="3"/>
  <c r="I1325" i="3"/>
  <c r="H1325" i="3"/>
  <c r="I1324" i="3"/>
  <c r="H1324" i="3"/>
  <c r="I1323" i="3"/>
  <c r="H1323" i="3"/>
  <c r="I1322" i="3"/>
  <c r="H1322" i="3"/>
  <c r="I1321" i="3"/>
  <c r="H1321" i="3"/>
  <c r="I1320" i="3"/>
  <c r="H1320" i="3"/>
  <c r="I1319" i="3"/>
  <c r="H1319" i="3"/>
  <c r="I1318" i="3"/>
  <c r="H1318" i="3"/>
  <c r="I1317" i="3"/>
  <c r="H1317" i="3"/>
  <c r="I1316" i="3"/>
  <c r="H1316" i="3"/>
  <c r="I1315" i="3"/>
  <c r="H1315" i="3"/>
  <c r="I1314" i="3"/>
  <c r="H1314" i="3"/>
  <c r="I1313" i="3"/>
  <c r="H1313" i="3"/>
  <c r="I1312" i="3"/>
  <c r="H1312" i="3"/>
  <c r="I1311" i="3"/>
  <c r="H1311" i="3"/>
  <c r="I1310" i="3"/>
  <c r="H1310" i="3"/>
  <c r="I1309" i="3"/>
  <c r="H1309" i="3"/>
  <c r="I1308" i="3"/>
  <c r="H1308" i="3"/>
  <c r="I1307" i="3"/>
  <c r="H1307" i="3"/>
  <c r="I1306" i="3"/>
  <c r="H1306" i="3"/>
  <c r="I1305" i="3"/>
  <c r="H1305" i="3"/>
  <c r="I1304" i="3"/>
  <c r="H1304" i="3"/>
  <c r="I1303" i="3"/>
  <c r="H1303" i="3"/>
  <c r="I1302" i="3"/>
  <c r="H1302" i="3"/>
  <c r="I1301" i="3"/>
  <c r="H1301" i="3"/>
  <c r="I1300" i="3"/>
  <c r="H1300" i="3"/>
  <c r="I1299" i="3"/>
  <c r="H1299" i="3"/>
  <c r="I1298" i="3"/>
  <c r="H1298" i="3"/>
  <c r="I1297" i="3"/>
  <c r="H1297" i="3"/>
  <c r="I1296" i="3"/>
  <c r="H1296" i="3"/>
  <c r="I1295" i="3"/>
  <c r="H1295" i="3"/>
  <c r="I1294" i="3"/>
  <c r="H1294" i="3"/>
  <c r="I1293" i="3"/>
  <c r="H1293" i="3"/>
  <c r="I1292" i="3"/>
  <c r="H1292" i="3"/>
  <c r="I1291" i="3"/>
  <c r="H1291" i="3"/>
  <c r="I1290" i="3"/>
  <c r="H1290" i="3"/>
  <c r="I1289" i="3"/>
  <c r="H1289" i="3"/>
  <c r="I1288" i="3"/>
  <c r="H1288" i="3"/>
  <c r="I1287" i="3"/>
  <c r="H1287" i="3"/>
  <c r="I1286" i="3"/>
  <c r="H1286" i="3"/>
  <c r="I1285" i="3"/>
  <c r="H1285" i="3"/>
  <c r="I1284" i="3"/>
  <c r="H1284" i="3"/>
  <c r="I1283" i="3"/>
  <c r="H1283" i="3"/>
  <c r="I1282" i="3"/>
  <c r="H1282" i="3"/>
  <c r="I1281" i="3"/>
  <c r="H1281" i="3"/>
  <c r="I1280" i="3"/>
  <c r="H1280" i="3"/>
  <c r="I1279" i="3"/>
  <c r="H1279" i="3"/>
  <c r="I1278" i="3"/>
  <c r="H1278" i="3"/>
  <c r="I1277" i="3"/>
  <c r="H1277" i="3"/>
  <c r="I1276" i="3"/>
  <c r="H1276" i="3"/>
  <c r="I1275" i="3"/>
  <c r="H1275" i="3"/>
  <c r="I1274" i="3"/>
  <c r="H1274" i="3"/>
  <c r="I1273" i="3"/>
  <c r="H1273" i="3"/>
  <c r="I1272" i="3"/>
  <c r="H1272" i="3"/>
  <c r="I1271" i="3"/>
  <c r="H1271" i="3"/>
  <c r="I1270" i="3"/>
  <c r="H1270" i="3"/>
  <c r="I1269" i="3"/>
  <c r="H1269" i="3"/>
  <c r="I1268" i="3"/>
  <c r="H1268" i="3"/>
  <c r="I1267" i="3"/>
  <c r="H1267" i="3"/>
  <c r="I1266" i="3"/>
  <c r="H1266" i="3"/>
  <c r="I1265" i="3"/>
  <c r="H1265" i="3"/>
  <c r="I1264" i="3"/>
  <c r="H1264" i="3"/>
  <c r="I1263" i="3"/>
  <c r="H1263" i="3"/>
  <c r="I1262" i="3"/>
  <c r="H1262" i="3"/>
  <c r="I1261" i="3"/>
  <c r="H1261" i="3"/>
  <c r="I1260" i="3"/>
  <c r="H1260" i="3"/>
  <c r="I1259" i="3"/>
  <c r="H1259" i="3"/>
  <c r="I1258" i="3"/>
  <c r="H1258" i="3"/>
  <c r="I1257" i="3"/>
  <c r="H1257" i="3"/>
  <c r="I1256" i="3"/>
  <c r="H1256" i="3"/>
  <c r="I1255" i="3"/>
  <c r="H1255" i="3"/>
  <c r="I1254" i="3"/>
  <c r="H1254" i="3"/>
  <c r="I1253" i="3"/>
  <c r="H1253" i="3"/>
  <c r="I1252" i="3"/>
  <c r="H1252" i="3"/>
  <c r="I1251" i="3"/>
  <c r="H1251" i="3"/>
  <c r="I1250" i="3"/>
  <c r="H1250" i="3"/>
  <c r="I1249" i="3"/>
  <c r="H1249" i="3"/>
  <c r="I1248" i="3"/>
  <c r="H1248" i="3"/>
  <c r="I1247" i="3"/>
  <c r="H1247" i="3"/>
  <c r="I1246" i="3"/>
  <c r="H1246" i="3"/>
  <c r="I1245" i="3"/>
  <c r="H1245" i="3"/>
  <c r="I1244" i="3"/>
  <c r="H1244" i="3"/>
  <c r="I1243" i="3"/>
  <c r="H1243" i="3"/>
  <c r="I1242" i="3"/>
  <c r="H1242" i="3"/>
  <c r="I1241" i="3"/>
  <c r="H1241" i="3"/>
  <c r="I1240" i="3"/>
  <c r="H1240" i="3"/>
  <c r="I1239" i="3"/>
  <c r="H1239" i="3"/>
  <c r="I1238" i="3"/>
  <c r="H1238" i="3"/>
  <c r="I1237" i="3"/>
  <c r="H1237" i="3"/>
  <c r="I1236" i="3"/>
  <c r="H1236" i="3"/>
  <c r="I1235" i="3"/>
  <c r="H1235" i="3"/>
  <c r="I1234" i="3"/>
  <c r="H1234" i="3"/>
  <c r="I1233" i="3"/>
  <c r="H1233" i="3"/>
  <c r="I1232" i="3"/>
  <c r="H1232" i="3"/>
  <c r="I1231" i="3"/>
  <c r="H1231" i="3"/>
  <c r="I1230" i="3"/>
  <c r="H1230" i="3"/>
  <c r="I1229" i="3"/>
  <c r="H1229" i="3"/>
  <c r="I1228" i="3"/>
  <c r="H1228" i="3"/>
  <c r="I1227" i="3"/>
  <c r="H1227" i="3"/>
  <c r="I1226" i="3"/>
  <c r="H1226" i="3"/>
  <c r="I1225" i="3"/>
  <c r="H1225" i="3"/>
  <c r="I1224" i="3"/>
  <c r="H1224" i="3"/>
  <c r="I1223" i="3"/>
  <c r="H1223" i="3"/>
  <c r="I1222" i="3"/>
  <c r="H1222" i="3"/>
  <c r="I1221" i="3"/>
  <c r="H1221" i="3"/>
  <c r="I1220" i="3"/>
  <c r="H1220" i="3"/>
  <c r="I1219" i="3"/>
  <c r="H1219" i="3"/>
  <c r="I1218" i="3"/>
  <c r="H1218" i="3"/>
  <c r="I1217" i="3"/>
  <c r="H1217" i="3"/>
  <c r="I1216" i="3"/>
  <c r="H1216" i="3"/>
  <c r="I1215" i="3"/>
  <c r="H1215" i="3"/>
  <c r="I1214" i="3"/>
  <c r="H1214" i="3"/>
  <c r="I1213" i="3"/>
  <c r="H1213" i="3"/>
  <c r="I1212" i="3"/>
  <c r="H1212" i="3"/>
  <c r="I1211" i="3"/>
  <c r="H1211" i="3"/>
  <c r="I1210" i="3"/>
  <c r="H1210" i="3"/>
  <c r="I1209" i="3"/>
  <c r="H1209" i="3"/>
  <c r="I1208" i="3"/>
  <c r="H1208" i="3"/>
  <c r="I1207" i="3"/>
  <c r="H1207" i="3"/>
  <c r="I1206" i="3"/>
  <c r="H1206" i="3"/>
  <c r="I1205" i="3"/>
  <c r="H1205" i="3"/>
  <c r="I1204" i="3"/>
  <c r="H1204" i="3"/>
  <c r="I1203" i="3"/>
  <c r="H1203" i="3"/>
  <c r="I1202" i="3"/>
  <c r="H1202" i="3"/>
  <c r="I1201" i="3"/>
  <c r="H1201" i="3"/>
  <c r="I1200" i="3"/>
  <c r="H1200" i="3"/>
  <c r="I1199" i="3"/>
  <c r="H1199" i="3"/>
  <c r="I1198" i="3"/>
  <c r="H1198" i="3"/>
  <c r="I1197" i="3"/>
  <c r="H1197" i="3"/>
  <c r="I1196" i="3"/>
  <c r="H1196" i="3"/>
  <c r="I1195" i="3"/>
  <c r="H1195" i="3"/>
  <c r="I1194" i="3"/>
  <c r="H1194" i="3"/>
  <c r="I1193" i="3"/>
  <c r="H1193" i="3"/>
  <c r="I1192" i="3"/>
  <c r="H1192" i="3"/>
  <c r="I1191" i="3"/>
  <c r="H1191" i="3"/>
  <c r="I1190" i="3"/>
  <c r="H1190" i="3"/>
  <c r="I1189" i="3"/>
  <c r="H1189" i="3"/>
  <c r="I1188" i="3"/>
  <c r="H1188" i="3"/>
  <c r="I1187" i="3"/>
  <c r="H1187" i="3"/>
  <c r="I1186" i="3"/>
  <c r="H1186" i="3"/>
  <c r="I1185" i="3"/>
  <c r="H1185" i="3"/>
  <c r="I1184" i="3"/>
  <c r="H1184" i="3"/>
  <c r="I1183" i="3"/>
  <c r="H1183" i="3"/>
  <c r="I1182" i="3"/>
  <c r="H1182" i="3"/>
  <c r="I1181" i="3"/>
  <c r="H1181" i="3"/>
  <c r="I1180" i="3"/>
  <c r="H1180" i="3"/>
  <c r="I1179" i="3"/>
  <c r="H1179" i="3"/>
  <c r="I1178" i="3"/>
  <c r="H1178" i="3"/>
  <c r="I1177" i="3"/>
  <c r="H1177" i="3"/>
  <c r="I1176" i="3"/>
  <c r="H1176" i="3"/>
  <c r="I1175" i="3"/>
  <c r="H1175" i="3"/>
  <c r="I1174" i="3"/>
  <c r="H1174" i="3"/>
  <c r="I1173" i="3"/>
  <c r="H1173" i="3"/>
  <c r="I1172" i="3"/>
  <c r="H1172" i="3"/>
  <c r="I1171" i="3"/>
  <c r="H1171" i="3"/>
  <c r="I1170" i="3"/>
  <c r="H1170" i="3"/>
  <c r="I1169" i="3"/>
  <c r="H1169" i="3"/>
  <c r="I1168" i="3"/>
  <c r="H1168" i="3"/>
  <c r="I1167" i="3"/>
  <c r="H1167" i="3"/>
  <c r="I1166" i="3"/>
  <c r="H1166" i="3"/>
  <c r="I1165" i="3"/>
  <c r="H1165" i="3"/>
  <c r="I1164" i="3"/>
  <c r="H1164" i="3"/>
  <c r="I1163" i="3"/>
  <c r="H1163" i="3"/>
  <c r="I1162" i="3"/>
  <c r="H1162" i="3"/>
  <c r="I1161" i="3"/>
  <c r="H1161" i="3"/>
  <c r="I1160" i="3"/>
  <c r="H1160" i="3"/>
  <c r="I1159" i="3"/>
  <c r="H1159" i="3"/>
  <c r="I1158" i="3"/>
  <c r="H1158" i="3"/>
  <c r="I1157" i="3"/>
  <c r="H1157" i="3"/>
  <c r="I1156" i="3"/>
  <c r="H1156" i="3"/>
  <c r="I1155" i="3"/>
  <c r="H1155" i="3"/>
  <c r="I1154" i="3"/>
  <c r="H1154" i="3"/>
  <c r="I1153" i="3"/>
  <c r="H1153" i="3"/>
  <c r="I1152" i="3"/>
  <c r="H1152" i="3"/>
  <c r="I1151" i="3"/>
  <c r="H1151" i="3"/>
  <c r="I1150" i="3"/>
  <c r="H1150" i="3"/>
  <c r="I1149" i="3"/>
  <c r="H1149" i="3"/>
  <c r="I1148" i="3"/>
  <c r="H1148" i="3"/>
  <c r="I1147" i="3"/>
  <c r="H1147" i="3"/>
  <c r="I1146" i="3"/>
  <c r="H1146" i="3"/>
  <c r="I1145" i="3"/>
  <c r="H1145" i="3"/>
  <c r="I1144" i="3"/>
  <c r="H1144" i="3"/>
  <c r="I1143" i="3"/>
  <c r="H1143" i="3"/>
  <c r="I1142" i="3"/>
  <c r="H1142" i="3"/>
  <c r="I1141" i="3"/>
  <c r="H1141" i="3"/>
  <c r="I1140" i="3"/>
  <c r="H1140" i="3"/>
  <c r="I1139" i="3"/>
  <c r="H1139" i="3"/>
  <c r="I1138" i="3"/>
  <c r="H1138" i="3"/>
  <c r="I1137" i="3"/>
  <c r="H1137" i="3"/>
  <c r="I1136" i="3"/>
  <c r="H1136" i="3"/>
  <c r="I1135" i="3"/>
  <c r="H1135" i="3"/>
  <c r="I1134" i="3"/>
  <c r="H1134" i="3"/>
  <c r="I1133" i="3"/>
  <c r="H1133" i="3"/>
  <c r="I1132" i="3"/>
  <c r="H1132" i="3"/>
  <c r="I1131" i="3"/>
  <c r="H1131" i="3"/>
  <c r="I1130" i="3"/>
  <c r="H1130" i="3"/>
  <c r="I1129" i="3"/>
  <c r="H1129" i="3"/>
  <c r="I1128" i="3"/>
  <c r="H1128" i="3"/>
  <c r="I1127" i="3"/>
  <c r="H1127" i="3"/>
  <c r="I1126" i="3"/>
  <c r="H1126" i="3"/>
  <c r="I1125" i="3"/>
  <c r="H1125" i="3"/>
  <c r="I1124" i="3"/>
  <c r="H1124" i="3"/>
  <c r="I1123" i="3"/>
  <c r="H1123" i="3"/>
  <c r="I1122" i="3"/>
  <c r="H1122" i="3"/>
  <c r="I1121" i="3"/>
  <c r="H1121" i="3"/>
  <c r="I1120" i="3"/>
  <c r="H1120" i="3"/>
  <c r="I1119" i="3"/>
  <c r="H1119" i="3"/>
  <c r="I1118" i="3"/>
  <c r="H1118" i="3"/>
  <c r="I1117" i="3"/>
  <c r="H1117" i="3"/>
  <c r="I1116" i="3"/>
  <c r="H1116" i="3"/>
  <c r="I1115" i="3"/>
  <c r="H1115" i="3"/>
  <c r="I1114" i="3"/>
  <c r="H1114" i="3"/>
  <c r="I1113" i="3"/>
  <c r="H1113" i="3"/>
  <c r="I1112" i="3"/>
  <c r="H1112" i="3"/>
  <c r="I1111" i="3"/>
  <c r="H1111" i="3"/>
  <c r="I1110" i="3"/>
  <c r="H1110" i="3"/>
  <c r="I1109" i="3"/>
  <c r="H1109" i="3"/>
  <c r="I1108" i="3"/>
  <c r="H1108" i="3"/>
  <c r="I1107" i="3"/>
  <c r="H1107" i="3"/>
  <c r="I1106" i="3"/>
  <c r="H1106" i="3"/>
  <c r="I1105" i="3"/>
  <c r="H1105" i="3"/>
  <c r="I1104" i="3"/>
  <c r="H1104" i="3"/>
  <c r="I1103" i="3"/>
  <c r="H1103" i="3"/>
  <c r="I1102" i="3"/>
  <c r="H1102" i="3"/>
  <c r="I1101" i="3"/>
  <c r="H1101" i="3"/>
  <c r="I1100" i="3"/>
  <c r="H1100" i="3"/>
  <c r="I1099" i="3"/>
  <c r="H1099" i="3"/>
  <c r="I1098" i="3"/>
  <c r="H1098" i="3"/>
  <c r="I1097" i="3"/>
  <c r="H1097" i="3"/>
  <c r="I1096" i="3"/>
  <c r="H1096" i="3"/>
  <c r="I1095" i="3"/>
  <c r="H1095" i="3"/>
  <c r="I1094" i="3"/>
  <c r="H1094" i="3"/>
  <c r="I1093" i="3"/>
  <c r="H1093" i="3"/>
  <c r="I1092" i="3"/>
  <c r="H1092" i="3"/>
  <c r="I1091" i="3"/>
  <c r="H1091" i="3"/>
  <c r="I1090" i="3"/>
  <c r="H1090" i="3"/>
  <c r="I1089" i="3"/>
  <c r="H1089" i="3"/>
  <c r="I1088" i="3"/>
  <c r="H1088" i="3"/>
  <c r="I1087" i="3"/>
  <c r="H1087" i="3"/>
  <c r="I1086" i="3"/>
  <c r="H1086" i="3"/>
  <c r="I1085" i="3"/>
  <c r="H1085" i="3"/>
  <c r="I1084" i="3"/>
  <c r="H1084" i="3"/>
  <c r="I1083" i="3"/>
  <c r="H1083" i="3"/>
  <c r="I1082" i="3"/>
  <c r="H1082" i="3"/>
  <c r="I1081" i="3"/>
  <c r="H1081" i="3"/>
  <c r="I1080" i="3"/>
  <c r="H1080" i="3"/>
  <c r="I1079" i="3"/>
  <c r="H1079" i="3"/>
  <c r="I1078" i="3"/>
  <c r="H1078" i="3"/>
  <c r="I1077" i="3"/>
  <c r="H1077" i="3"/>
  <c r="I1076" i="3"/>
  <c r="H1076" i="3"/>
  <c r="I1075" i="3"/>
  <c r="H1075" i="3"/>
  <c r="I1074" i="3"/>
  <c r="H1074" i="3"/>
  <c r="I1073" i="3"/>
  <c r="H1073" i="3"/>
  <c r="I1072" i="3"/>
  <c r="H1072" i="3"/>
  <c r="I1071" i="3"/>
  <c r="H1071" i="3"/>
  <c r="I1070" i="3"/>
  <c r="H1070" i="3"/>
  <c r="I1069" i="3"/>
  <c r="H1069" i="3"/>
  <c r="I1068" i="3"/>
  <c r="H1068" i="3"/>
  <c r="I1067" i="3"/>
  <c r="H1067" i="3"/>
  <c r="I1066" i="3"/>
  <c r="H1066" i="3"/>
  <c r="I1065" i="3"/>
  <c r="H1065" i="3"/>
  <c r="I1064" i="3"/>
  <c r="H1064" i="3"/>
  <c r="I1063" i="3"/>
  <c r="H1063" i="3"/>
  <c r="I1062" i="3"/>
  <c r="H1062" i="3"/>
  <c r="I1061" i="3"/>
  <c r="H1061" i="3"/>
  <c r="I1060" i="3"/>
  <c r="H1060" i="3"/>
  <c r="I1059" i="3"/>
  <c r="H1059" i="3"/>
  <c r="I1058" i="3"/>
  <c r="H1058" i="3"/>
  <c r="I1057" i="3"/>
  <c r="H1057" i="3"/>
  <c r="I1056" i="3"/>
  <c r="H1056" i="3"/>
  <c r="I1055" i="3"/>
  <c r="H1055" i="3"/>
  <c r="I1054" i="3"/>
  <c r="H1054" i="3"/>
  <c r="I1053" i="3"/>
  <c r="H1053" i="3"/>
  <c r="I1052" i="3"/>
  <c r="H1052" i="3"/>
  <c r="I1051" i="3"/>
  <c r="H1051" i="3"/>
  <c r="I1050" i="3"/>
  <c r="H1050" i="3"/>
  <c r="I1049" i="3"/>
  <c r="H1049" i="3"/>
  <c r="I1048" i="3"/>
  <c r="H1048" i="3"/>
  <c r="I1047" i="3"/>
  <c r="H1047" i="3"/>
  <c r="I1046" i="3"/>
  <c r="H1046" i="3"/>
  <c r="I1045" i="3"/>
  <c r="H1045" i="3"/>
  <c r="I1044" i="3"/>
  <c r="H1044" i="3"/>
  <c r="I1043" i="3"/>
  <c r="H1043" i="3"/>
  <c r="I1042" i="3"/>
  <c r="H1042" i="3"/>
  <c r="I1041" i="3"/>
  <c r="H1041" i="3"/>
  <c r="I1040" i="3"/>
  <c r="H1040" i="3"/>
  <c r="I1039" i="3"/>
  <c r="H1039" i="3"/>
  <c r="I1038" i="3"/>
  <c r="H1038" i="3"/>
  <c r="I1037" i="3"/>
  <c r="H1037" i="3"/>
  <c r="I1036" i="3"/>
  <c r="H1036" i="3"/>
  <c r="I1035" i="3"/>
  <c r="H1035" i="3"/>
  <c r="I1034" i="3"/>
  <c r="H1034" i="3"/>
  <c r="I1033" i="3"/>
  <c r="H1033" i="3"/>
  <c r="I1032" i="3"/>
  <c r="H1032" i="3"/>
  <c r="I1031" i="3"/>
  <c r="H1031" i="3"/>
  <c r="I1030" i="3"/>
  <c r="H1030" i="3"/>
  <c r="I1029" i="3"/>
  <c r="H1029" i="3"/>
  <c r="I1028" i="3"/>
  <c r="H1028" i="3"/>
  <c r="I1027" i="3"/>
  <c r="H1027" i="3"/>
  <c r="I1026" i="3"/>
  <c r="H1026" i="3"/>
  <c r="I1025" i="3"/>
  <c r="H1025" i="3"/>
  <c r="I1024" i="3"/>
  <c r="H1024" i="3"/>
  <c r="I1023" i="3"/>
  <c r="H1023" i="3"/>
  <c r="I1022" i="3"/>
  <c r="H1022" i="3"/>
  <c r="I1021" i="3"/>
  <c r="H1021" i="3"/>
  <c r="I1020" i="3"/>
  <c r="H1020" i="3"/>
  <c r="I1019" i="3"/>
  <c r="H1019" i="3"/>
  <c r="I1018" i="3"/>
  <c r="H1018" i="3"/>
  <c r="I1017" i="3"/>
  <c r="H1017" i="3"/>
  <c r="I1016" i="3"/>
  <c r="H1016" i="3"/>
  <c r="I1015" i="3"/>
  <c r="H1015" i="3"/>
  <c r="I1014" i="3"/>
  <c r="H1014" i="3"/>
  <c r="I1013" i="3"/>
  <c r="H1013" i="3"/>
  <c r="I1012" i="3"/>
  <c r="H1012" i="3"/>
  <c r="I1011" i="3"/>
  <c r="H1011" i="3"/>
  <c r="I1010" i="3"/>
  <c r="H1010" i="3"/>
  <c r="I1009" i="3"/>
  <c r="H1009" i="3"/>
  <c r="I1008" i="3"/>
  <c r="H1008" i="3"/>
  <c r="I1007" i="3"/>
  <c r="H1007" i="3"/>
  <c r="I1006" i="3"/>
  <c r="H1006" i="3"/>
  <c r="I1005" i="3"/>
  <c r="H1005" i="3"/>
  <c r="I1004" i="3"/>
  <c r="H1004" i="3"/>
  <c r="I1003" i="3"/>
  <c r="H1003" i="3"/>
  <c r="I1002" i="3"/>
  <c r="H1002" i="3"/>
  <c r="I1001" i="3"/>
  <c r="H1001" i="3"/>
  <c r="I1000" i="3"/>
  <c r="H1000" i="3"/>
  <c r="I999" i="3"/>
  <c r="H999" i="3"/>
  <c r="I998" i="3"/>
  <c r="H998" i="3"/>
  <c r="I997" i="3"/>
  <c r="H997" i="3"/>
  <c r="I996" i="3"/>
  <c r="H996" i="3"/>
  <c r="I995" i="3"/>
  <c r="H995" i="3"/>
  <c r="I994" i="3"/>
  <c r="H994" i="3"/>
  <c r="I993" i="3"/>
  <c r="H993" i="3"/>
  <c r="I992" i="3"/>
  <c r="H992" i="3"/>
  <c r="I991" i="3"/>
  <c r="H991" i="3"/>
  <c r="I990" i="3"/>
  <c r="H990" i="3"/>
  <c r="I989" i="3"/>
  <c r="H989" i="3"/>
  <c r="I988" i="3"/>
  <c r="H988" i="3"/>
  <c r="I987" i="3"/>
  <c r="H987" i="3"/>
  <c r="I986" i="3"/>
  <c r="H986" i="3"/>
  <c r="I985" i="3"/>
  <c r="H985" i="3"/>
  <c r="I984" i="3"/>
  <c r="H984" i="3"/>
  <c r="I983" i="3"/>
  <c r="H983" i="3"/>
  <c r="I982" i="3"/>
  <c r="H982" i="3"/>
  <c r="I981" i="3"/>
  <c r="H981" i="3"/>
  <c r="I979" i="3"/>
  <c r="H979" i="3"/>
  <c r="I978" i="3"/>
  <c r="H978" i="3"/>
  <c r="I977" i="3"/>
  <c r="H977" i="3"/>
  <c r="I976" i="3"/>
  <c r="H976" i="3"/>
  <c r="I975" i="3"/>
  <c r="H975" i="3"/>
  <c r="I974" i="3"/>
  <c r="H974" i="3"/>
  <c r="I973" i="3"/>
  <c r="H973" i="3"/>
  <c r="I972" i="3"/>
  <c r="H972" i="3"/>
  <c r="I971" i="3"/>
  <c r="H971" i="3"/>
  <c r="I970" i="3"/>
  <c r="H970" i="3"/>
  <c r="I969" i="3"/>
  <c r="H969" i="3"/>
  <c r="I968" i="3"/>
  <c r="H968" i="3"/>
  <c r="I967" i="3"/>
  <c r="H967" i="3"/>
  <c r="I966" i="3"/>
  <c r="H966" i="3"/>
  <c r="I965" i="3"/>
  <c r="H965" i="3"/>
  <c r="I964" i="3"/>
  <c r="H964" i="3"/>
  <c r="I963" i="3"/>
  <c r="H963" i="3"/>
  <c r="I962" i="3"/>
  <c r="H962" i="3"/>
  <c r="I961" i="3"/>
  <c r="H961" i="3"/>
  <c r="I960" i="3"/>
  <c r="H960" i="3"/>
  <c r="I959" i="3"/>
  <c r="H959" i="3"/>
  <c r="I958" i="3"/>
  <c r="H958" i="3"/>
  <c r="I957" i="3"/>
  <c r="H957" i="3"/>
  <c r="I956" i="3"/>
  <c r="H956" i="3"/>
  <c r="I955" i="3"/>
  <c r="H955" i="3"/>
  <c r="I954" i="3"/>
  <c r="H954" i="3"/>
  <c r="I953" i="3"/>
  <c r="H953" i="3"/>
  <c r="I952" i="3"/>
  <c r="H952" i="3"/>
  <c r="I951" i="3"/>
  <c r="H951" i="3"/>
  <c r="I950" i="3"/>
  <c r="H950" i="3"/>
  <c r="I949" i="3"/>
  <c r="H949" i="3"/>
  <c r="I948" i="3"/>
  <c r="H948" i="3"/>
  <c r="I947" i="3"/>
  <c r="H947" i="3"/>
  <c r="I946" i="3"/>
  <c r="H946" i="3"/>
  <c r="I945" i="3"/>
  <c r="H945" i="3"/>
  <c r="I944" i="3"/>
  <c r="H944" i="3"/>
  <c r="I943" i="3"/>
  <c r="H943" i="3"/>
  <c r="I942" i="3"/>
  <c r="H942" i="3"/>
  <c r="I941" i="3"/>
  <c r="H941" i="3"/>
  <c r="I940" i="3"/>
  <c r="H940" i="3"/>
  <c r="I939" i="3"/>
  <c r="H939" i="3"/>
  <c r="I938" i="3"/>
  <c r="H938" i="3"/>
  <c r="I937" i="3"/>
  <c r="H937" i="3"/>
  <c r="I936" i="3"/>
  <c r="H936" i="3"/>
  <c r="I935" i="3"/>
  <c r="H935" i="3"/>
  <c r="I934" i="3"/>
  <c r="H934" i="3"/>
  <c r="I933" i="3"/>
  <c r="H933" i="3"/>
  <c r="I932" i="3"/>
  <c r="H932" i="3"/>
  <c r="I931" i="3"/>
  <c r="H931" i="3"/>
  <c r="I930" i="3"/>
  <c r="H930" i="3"/>
  <c r="I929" i="3"/>
  <c r="H929" i="3"/>
  <c r="I928" i="3"/>
  <c r="H928" i="3"/>
  <c r="I927" i="3"/>
  <c r="H927" i="3"/>
  <c r="I926" i="3"/>
  <c r="H926" i="3"/>
  <c r="I925" i="3"/>
  <c r="H925" i="3"/>
  <c r="I924" i="3"/>
  <c r="H924" i="3"/>
  <c r="I923" i="3"/>
  <c r="H923" i="3"/>
  <c r="I922" i="3"/>
  <c r="H922" i="3"/>
  <c r="I921" i="3"/>
  <c r="H921" i="3"/>
  <c r="I920" i="3"/>
  <c r="H920" i="3"/>
  <c r="I919" i="3"/>
  <c r="H919" i="3"/>
  <c r="I918" i="3"/>
  <c r="H918" i="3"/>
  <c r="I917" i="3"/>
  <c r="H917" i="3"/>
  <c r="I916" i="3"/>
  <c r="H916" i="3"/>
  <c r="I915" i="3"/>
  <c r="H915" i="3"/>
  <c r="I914" i="3"/>
  <c r="H914" i="3"/>
  <c r="I913" i="3"/>
  <c r="H913" i="3"/>
  <c r="I912" i="3"/>
  <c r="H912" i="3"/>
  <c r="I911" i="3"/>
  <c r="H911" i="3"/>
  <c r="I910" i="3"/>
  <c r="H910" i="3"/>
  <c r="I909" i="3"/>
  <c r="H909" i="3"/>
  <c r="I908" i="3"/>
  <c r="H908" i="3"/>
  <c r="I907" i="3"/>
  <c r="H907" i="3"/>
  <c r="I906" i="3"/>
  <c r="H906" i="3"/>
  <c r="I905" i="3"/>
  <c r="H905" i="3"/>
  <c r="I904" i="3"/>
  <c r="H904" i="3"/>
  <c r="I903" i="3"/>
  <c r="H903" i="3"/>
  <c r="I902" i="3"/>
  <c r="H902" i="3"/>
  <c r="I901" i="3"/>
  <c r="H901" i="3"/>
  <c r="I900" i="3"/>
  <c r="H900" i="3"/>
  <c r="I899" i="3"/>
  <c r="H899" i="3"/>
  <c r="I898" i="3"/>
  <c r="H898" i="3"/>
  <c r="I897" i="3"/>
  <c r="H897" i="3"/>
  <c r="I896" i="3"/>
  <c r="H896" i="3"/>
  <c r="I895" i="3"/>
  <c r="H895" i="3"/>
  <c r="I894" i="3"/>
  <c r="H894" i="3"/>
  <c r="I893" i="3"/>
  <c r="H893" i="3"/>
  <c r="I892" i="3"/>
  <c r="H892" i="3"/>
  <c r="I891" i="3"/>
  <c r="H891" i="3"/>
  <c r="I890" i="3"/>
  <c r="H890" i="3"/>
  <c r="I889" i="3"/>
  <c r="H889" i="3"/>
  <c r="I888" i="3"/>
  <c r="H888" i="3"/>
  <c r="I887" i="3"/>
  <c r="H887" i="3"/>
  <c r="I886" i="3"/>
  <c r="H886" i="3"/>
  <c r="I885" i="3"/>
  <c r="H885" i="3"/>
  <c r="I884" i="3"/>
  <c r="H884" i="3"/>
  <c r="I883" i="3"/>
  <c r="H883" i="3"/>
  <c r="I882" i="3"/>
  <c r="H882" i="3"/>
  <c r="I881" i="3"/>
  <c r="H881" i="3"/>
  <c r="I880" i="3"/>
  <c r="H880" i="3"/>
  <c r="I879" i="3"/>
  <c r="H879" i="3"/>
  <c r="I878" i="3"/>
  <c r="H878" i="3"/>
  <c r="I877" i="3"/>
  <c r="H877" i="3"/>
  <c r="I876" i="3"/>
  <c r="H876" i="3"/>
  <c r="I875" i="3"/>
  <c r="H875" i="3"/>
  <c r="I874" i="3"/>
  <c r="H874" i="3"/>
  <c r="I873" i="3"/>
  <c r="H873" i="3"/>
  <c r="I872" i="3"/>
  <c r="H872" i="3"/>
  <c r="I871" i="3"/>
  <c r="H871" i="3"/>
  <c r="I870" i="3"/>
  <c r="H870" i="3"/>
  <c r="I869" i="3"/>
  <c r="H869" i="3"/>
  <c r="I868" i="3"/>
  <c r="H868" i="3"/>
  <c r="I867" i="3"/>
  <c r="H867" i="3"/>
  <c r="I866" i="3"/>
  <c r="H866" i="3"/>
  <c r="I865" i="3"/>
  <c r="H865" i="3"/>
  <c r="I864" i="3"/>
  <c r="H864" i="3"/>
  <c r="I863" i="3"/>
  <c r="H863" i="3"/>
  <c r="I862" i="3"/>
  <c r="H862" i="3"/>
  <c r="I861" i="3"/>
  <c r="H861" i="3"/>
  <c r="I860" i="3"/>
  <c r="H860" i="3"/>
  <c r="I859" i="3"/>
  <c r="H859" i="3"/>
  <c r="I858" i="3"/>
  <c r="H858" i="3"/>
  <c r="I857" i="3"/>
  <c r="H857" i="3"/>
  <c r="I856" i="3"/>
  <c r="H856" i="3"/>
  <c r="I855" i="3"/>
  <c r="H855" i="3"/>
  <c r="I854" i="3"/>
  <c r="H854" i="3"/>
  <c r="I853" i="3"/>
  <c r="H853" i="3"/>
  <c r="I852" i="3"/>
  <c r="H852" i="3"/>
  <c r="I851" i="3"/>
  <c r="H851" i="3"/>
  <c r="I850" i="3"/>
  <c r="H850" i="3"/>
  <c r="I849" i="3"/>
  <c r="H849" i="3"/>
  <c r="I848" i="3"/>
  <c r="H848" i="3"/>
  <c r="I847" i="3"/>
  <c r="H847" i="3"/>
  <c r="I846" i="3"/>
  <c r="H846" i="3"/>
  <c r="I845" i="3"/>
  <c r="H845" i="3"/>
  <c r="I844" i="3"/>
  <c r="H844" i="3"/>
  <c r="I843" i="3"/>
  <c r="H843" i="3"/>
  <c r="I842" i="3"/>
  <c r="H842" i="3"/>
  <c r="I841" i="3"/>
  <c r="H841" i="3"/>
  <c r="I840" i="3"/>
  <c r="H840" i="3"/>
  <c r="I839" i="3"/>
  <c r="H839" i="3"/>
  <c r="I838" i="3"/>
  <c r="H838" i="3"/>
  <c r="I837" i="3"/>
  <c r="H837" i="3"/>
  <c r="I836" i="3"/>
  <c r="H836" i="3"/>
  <c r="I835" i="3"/>
  <c r="H835" i="3"/>
  <c r="I834" i="3"/>
  <c r="H834" i="3"/>
  <c r="I833" i="3"/>
  <c r="H833" i="3"/>
  <c r="I832" i="3"/>
  <c r="H832" i="3"/>
  <c r="I831" i="3"/>
  <c r="H831" i="3"/>
  <c r="I830" i="3"/>
  <c r="H830" i="3"/>
  <c r="I829" i="3"/>
  <c r="H829" i="3"/>
  <c r="I828" i="3"/>
  <c r="H828" i="3"/>
  <c r="I827" i="3"/>
  <c r="H827" i="3"/>
  <c r="I826" i="3"/>
  <c r="H826" i="3"/>
  <c r="I825" i="3"/>
  <c r="H825" i="3"/>
  <c r="I824" i="3"/>
  <c r="H824" i="3"/>
  <c r="I823" i="3"/>
  <c r="H823" i="3"/>
  <c r="I822" i="3"/>
  <c r="H822" i="3"/>
  <c r="I821" i="3"/>
  <c r="H821" i="3"/>
  <c r="I820" i="3"/>
  <c r="H820" i="3"/>
  <c r="I819" i="3"/>
  <c r="H819" i="3"/>
  <c r="I818" i="3"/>
  <c r="H818" i="3"/>
  <c r="I817" i="3"/>
  <c r="H817" i="3"/>
  <c r="I816" i="3"/>
  <c r="H816" i="3"/>
  <c r="I815" i="3"/>
  <c r="H815" i="3"/>
  <c r="I814" i="3"/>
  <c r="H814" i="3"/>
  <c r="I813" i="3"/>
  <c r="H813" i="3"/>
  <c r="I812" i="3"/>
  <c r="H812" i="3"/>
  <c r="I811" i="3"/>
  <c r="H811" i="3"/>
  <c r="I810" i="3"/>
  <c r="H810" i="3"/>
  <c r="I809" i="3"/>
  <c r="H809" i="3"/>
  <c r="I808" i="3"/>
  <c r="H808" i="3"/>
  <c r="I807" i="3"/>
  <c r="H807" i="3"/>
  <c r="I806" i="3"/>
  <c r="H806" i="3"/>
  <c r="I805" i="3"/>
  <c r="H805" i="3"/>
  <c r="I804" i="3"/>
  <c r="H804" i="3"/>
  <c r="I803" i="3"/>
  <c r="H803" i="3"/>
  <c r="I802" i="3"/>
  <c r="H802" i="3"/>
  <c r="I801" i="3"/>
  <c r="H801" i="3"/>
  <c r="I800" i="3"/>
  <c r="H800" i="3"/>
  <c r="I799" i="3"/>
  <c r="H799" i="3"/>
  <c r="I798" i="3"/>
  <c r="H798" i="3"/>
  <c r="I797" i="3"/>
  <c r="H797" i="3"/>
  <c r="I796" i="3"/>
  <c r="H796" i="3"/>
  <c r="I795" i="3"/>
  <c r="H795" i="3"/>
  <c r="I794" i="3"/>
  <c r="H794" i="3"/>
  <c r="I793" i="3"/>
  <c r="H793" i="3"/>
  <c r="I792" i="3"/>
  <c r="H792" i="3"/>
  <c r="I791" i="3"/>
  <c r="H791" i="3"/>
  <c r="I790" i="3"/>
  <c r="H790" i="3"/>
  <c r="I789" i="3"/>
  <c r="H789" i="3"/>
  <c r="I788" i="3"/>
  <c r="H788" i="3"/>
  <c r="I787" i="3"/>
  <c r="H787" i="3"/>
  <c r="I786" i="3"/>
  <c r="H786" i="3"/>
  <c r="I785" i="3"/>
  <c r="H785" i="3"/>
  <c r="I784" i="3"/>
  <c r="H784" i="3"/>
  <c r="I783" i="3"/>
  <c r="H783" i="3"/>
  <c r="I782" i="3"/>
  <c r="H782" i="3"/>
  <c r="I781" i="3"/>
  <c r="H781" i="3"/>
  <c r="I780" i="3"/>
  <c r="H780" i="3"/>
  <c r="I779" i="3"/>
  <c r="H779" i="3"/>
  <c r="I778" i="3"/>
  <c r="H778" i="3"/>
  <c r="I777" i="3"/>
  <c r="H777" i="3"/>
  <c r="I776" i="3"/>
  <c r="H776" i="3"/>
  <c r="I775" i="3"/>
  <c r="H775" i="3"/>
  <c r="I774" i="3"/>
  <c r="H774" i="3"/>
  <c r="I773" i="3"/>
  <c r="H773" i="3"/>
  <c r="I772" i="3"/>
  <c r="H772" i="3"/>
  <c r="I771" i="3"/>
  <c r="H771" i="3"/>
  <c r="I770" i="3"/>
  <c r="H770" i="3"/>
  <c r="I769" i="3"/>
  <c r="H769" i="3"/>
  <c r="I768" i="3"/>
  <c r="H768" i="3"/>
  <c r="I767" i="3"/>
  <c r="H767" i="3"/>
  <c r="I766" i="3"/>
  <c r="H766" i="3"/>
  <c r="I765" i="3"/>
  <c r="H765" i="3"/>
  <c r="I764" i="3"/>
  <c r="H764" i="3"/>
  <c r="I763" i="3"/>
  <c r="H763" i="3"/>
  <c r="I762" i="3"/>
  <c r="H762" i="3"/>
  <c r="I761" i="3"/>
  <c r="H761" i="3"/>
  <c r="I760" i="3"/>
  <c r="H760" i="3"/>
  <c r="I759" i="3"/>
  <c r="H759" i="3"/>
  <c r="I758" i="3"/>
  <c r="H758" i="3"/>
  <c r="I757" i="3"/>
  <c r="H757" i="3"/>
  <c r="I756" i="3"/>
  <c r="H756" i="3"/>
  <c r="I755" i="3"/>
  <c r="H755" i="3"/>
  <c r="I754" i="3"/>
  <c r="H754" i="3"/>
  <c r="I753" i="3"/>
  <c r="H753" i="3"/>
  <c r="I752" i="3"/>
  <c r="H752" i="3"/>
  <c r="I751" i="3"/>
  <c r="H751" i="3"/>
  <c r="I750" i="3"/>
  <c r="H750" i="3"/>
  <c r="I749" i="3"/>
  <c r="H749" i="3"/>
  <c r="I748" i="3"/>
  <c r="H748" i="3"/>
  <c r="I747" i="3"/>
  <c r="H747" i="3"/>
  <c r="I746" i="3"/>
  <c r="H746" i="3"/>
  <c r="I745" i="3"/>
  <c r="H745" i="3"/>
  <c r="I744" i="3"/>
  <c r="H744" i="3"/>
  <c r="I743" i="3"/>
  <c r="H743" i="3"/>
  <c r="I742" i="3"/>
  <c r="H742" i="3"/>
  <c r="I741" i="3"/>
  <c r="H741" i="3"/>
  <c r="I740" i="3"/>
  <c r="H740" i="3"/>
  <c r="I739" i="3"/>
  <c r="H739" i="3"/>
  <c r="I738" i="3"/>
  <c r="H738" i="3"/>
  <c r="I737" i="3"/>
  <c r="H737" i="3"/>
  <c r="I736" i="3"/>
  <c r="H736" i="3"/>
  <c r="I735" i="3"/>
  <c r="H735" i="3"/>
  <c r="I734" i="3"/>
  <c r="H734" i="3"/>
  <c r="I733" i="3"/>
  <c r="H733" i="3"/>
  <c r="I732" i="3"/>
  <c r="H732" i="3"/>
  <c r="I731" i="3"/>
  <c r="H731" i="3"/>
  <c r="I730" i="3"/>
  <c r="H730" i="3"/>
  <c r="I729" i="3"/>
  <c r="H729" i="3"/>
  <c r="I728" i="3"/>
  <c r="H728" i="3"/>
  <c r="I727" i="3"/>
  <c r="H727" i="3"/>
  <c r="I726" i="3"/>
  <c r="H726" i="3"/>
  <c r="I725" i="3"/>
  <c r="H725" i="3"/>
  <c r="I724" i="3"/>
  <c r="H724" i="3"/>
  <c r="I723" i="3"/>
  <c r="H723" i="3"/>
  <c r="I722" i="3"/>
  <c r="H722" i="3"/>
  <c r="I721" i="3"/>
  <c r="H721" i="3"/>
  <c r="I720" i="3"/>
  <c r="H720" i="3"/>
  <c r="I719" i="3"/>
  <c r="H719" i="3"/>
  <c r="I718" i="3"/>
  <c r="H718" i="3"/>
  <c r="I717" i="3"/>
  <c r="H717" i="3"/>
  <c r="I716" i="3"/>
  <c r="H716" i="3"/>
  <c r="I715" i="3"/>
  <c r="H715" i="3"/>
  <c r="I714" i="3"/>
  <c r="H714" i="3"/>
  <c r="I713" i="3"/>
  <c r="H713" i="3"/>
  <c r="I712" i="3"/>
  <c r="H712" i="3"/>
  <c r="I711" i="3"/>
  <c r="H711" i="3"/>
  <c r="I710" i="3"/>
  <c r="H710" i="3"/>
  <c r="I709" i="3"/>
  <c r="H709" i="3"/>
  <c r="I708" i="3"/>
  <c r="H708" i="3"/>
  <c r="I707" i="3"/>
  <c r="H707" i="3"/>
  <c r="I706" i="3"/>
  <c r="H706" i="3"/>
  <c r="I705" i="3"/>
  <c r="H705" i="3"/>
  <c r="I704" i="3"/>
  <c r="H704" i="3"/>
  <c r="I703" i="3"/>
  <c r="H703" i="3"/>
  <c r="I702" i="3"/>
  <c r="H702" i="3"/>
  <c r="I701" i="3"/>
  <c r="H701" i="3"/>
  <c r="I700" i="3"/>
  <c r="H700" i="3"/>
  <c r="I699" i="3"/>
  <c r="H699" i="3"/>
  <c r="I698" i="3"/>
  <c r="H698" i="3"/>
  <c r="I697" i="3"/>
  <c r="H697" i="3"/>
  <c r="I696" i="3"/>
  <c r="H696" i="3"/>
  <c r="I695" i="3"/>
  <c r="H695" i="3"/>
  <c r="I694" i="3"/>
  <c r="H694" i="3"/>
  <c r="I693" i="3"/>
  <c r="H693" i="3"/>
  <c r="I692" i="3"/>
  <c r="H692" i="3"/>
  <c r="I691" i="3"/>
  <c r="H691" i="3"/>
  <c r="I690" i="3"/>
  <c r="H690" i="3"/>
  <c r="I689" i="3"/>
  <c r="H689" i="3"/>
  <c r="I688" i="3"/>
  <c r="H688" i="3"/>
  <c r="I687" i="3"/>
  <c r="H687" i="3"/>
  <c r="I686" i="3"/>
  <c r="H686" i="3"/>
  <c r="I685" i="3"/>
  <c r="H685" i="3"/>
  <c r="I684" i="3"/>
  <c r="H684" i="3"/>
  <c r="I683" i="3"/>
  <c r="H683" i="3"/>
  <c r="I682" i="3"/>
  <c r="H682" i="3"/>
  <c r="I681" i="3"/>
  <c r="H681" i="3"/>
  <c r="I680" i="3"/>
  <c r="H680" i="3"/>
  <c r="I679" i="3"/>
  <c r="H679" i="3"/>
  <c r="I678" i="3"/>
  <c r="H678" i="3"/>
  <c r="I677" i="3"/>
  <c r="H677" i="3"/>
  <c r="I676" i="3"/>
  <c r="H676" i="3"/>
  <c r="I675" i="3"/>
  <c r="H675" i="3"/>
  <c r="I674" i="3"/>
  <c r="H674" i="3"/>
  <c r="I673" i="3"/>
  <c r="H673" i="3"/>
  <c r="I672" i="3"/>
  <c r="H672" i="3"/>
  <c r="I671" i="3"/>
  <c r="H671" i="3"/>
  <c r="I670" i="3"/>
  <c r="H670" i="3"/>
  <c r="I669" i="3"/>
  <c r="H669" i="3"/>
  <c r="I668" i="3"/>
  <c r="H668" i="3"/>
  <c r="I667" i="3"/>
  <c r="H667" i="3"/>
  <c r="I666" i="3"/>
  <c r="H666" i="3"/>
  <c r="I665" i="3"/>
  <c r="H665" i="3"/>
  <c r="I664" i="3"/>
  <c r="H664" i="3"/>
  <c r="I663" i="3"/>
  <c r="H663" i="3"/>
  <c r="I662" i="3"/>
  <c r="H662" i="3"/>
  <c r="I661" i="3"/>
  <c r="H661" i="3"/>
  <c r="I660" i="3"/>
  <c r="H660" i="3"/>
  <c r="I659" i="3"/>
  <c r="H659" i="3"/>
  <c r="I658" i="3"/>
  <c r="H658" i="3"/>
  <c r="I657" i="3"/>
  <c r="H657" i="3"/>
  <c r="I656" i="3"/>
  <c r="H656" i="3"/>
  <c r="I655" i="3"/>
  <c r="H655" i="3"/>
  <c r="I654" i="3"/>
  <c r="H654" i="3"/>
  <c r="I653" i="3"/>
  <c r="H653" i="3"/>
  <c r="I652" i="3"/>
  <c r="H652" i="3"/>
  <c r="I651" i="3"/>
  <c r="H651" i="3"/>
  <c r="I650" i="3"/>
  <c r="H650" i="3"/>
  <c r="I649" i="3"/>
  <c r="H649" i="3"/>
  <c r="I648" i="3"/>
  <c r="H648" i="3"/>
  <c r="I647" i="3"/>
  <c r="H647" i="3"/>
  <c r="I646" i="3"/>
  <c r="H646" i="3"/>
  <c r="I645" i="3"/>
  <c r="H645" i="3"/>
  <c r="I644" i="3"/>
  <c r="H644" i="3"/>
  <c r="I643" i="3"/>
  <c r="H643" i="3"/>
  <c r="I642" i="3"/>
  <c r="H642" i="3"/>
  <c r="I641" i="3"/>
  <c r="H641" i="3"/>
  <c r="I640" i="3"/>
  <c r="H640" i="3"/>
  <c r="I639" i="3"/>
  <c r="H639" i="3"/>
  <c r="I638" i="3"/>
  <c r="H638" i="3"/>
  <c r="I637" i="3"/>
  <c r="H637" i="3"/>
  <c r="I636" i="3"/>
  <c r="H636" i="3"/>
  <c r="I635" i="3"/>
  <c r="H635" i="3"/>
  <c r="I634" i="3"/>
  <c r="H634" i="3"/>
  <c r="I633" i="3"/>
  <c r="H633" i="3"/>
  <c r="I632" i="3"/>
  <c r="H632" i="3"/>
  <c r="I631" i="3"/>
  <c r="H631" i="3"/>
  <c r="I630" i="3"/>
  <c r="H630" i="3"/>
  <c r="I629" i="3"/>
  <c r="H629" i="3"/>
  <c r="I628" i="3"/>
  <c r="H628" i="3"/>
  <c r="I627" i="3"/>
  <c r="H627" i="3"/>
  <c r="I626" i="3"/>
  <c r="H626" i="3"/>
  <c r="I625" i="3"/>
  <c r="H625" i="3"/>
  <c r="I624" i="3"/>
  <c r="H624" i="3"/>
  <c r="I623" i="3"/>
  <c r="H623" i="3"/>
  <c r="I622" i="3"/>
  <c r="H622" i="3"/>
  <c r="I621" i="3"/>
  <c r="H621" i="3"/>
  <c r="I620" i="3"/>
  <c r="H620" i="3"/>
  <c r="I619" i="3"/>
  <c r="H619" i="3"/>
  <c r="I618" i="3"/>
  <c r="H618" i="3"/>
  <c r="I617" i="3"/>
  <c r="H617" i="3"/>
  <c r="I616" i="3"/>
  <c r="H616" i="3"/>
  <c r="I615" i="3"/>
  <c r="H615" i="3"/>
  <c r="I614" i="3"/>
  <c r="H614" i="3"/>
  <c r="I613" i="3"/>
  <c r="H613" i="3"/>
  <c r="I612" i="3"/>
  <c r="H612" i="3"/>
  <c r="I611" i="3"/>
  <c r="H611" i="3"/>
  <c r="I610" i="3"/>
  <c r="H610" i="3"/>
  <c r="I609" i="3"/>
  <c r="H609" i="3"/>
  <c r="I608" i="3"/>
  <c r="H608" i="3"/>
  <c r="I607" i="3"/>
  <c r="H607" i="3"/>
  <c r="I606" i="3"/>
  <c r="H606" i="3"/>
  <c r="I605" i="3"/>
  <c r="H605" i="3"/>
  <c r="I604" i="3"/>
  <c r="H604" i="3"/>
  <c r="I603" i="3"/>
  <c r="H603" i="3"/>
  <c r="I602" i="3"/>
  <c r="H602" i="3"/>
  <c r="I601" i="3"/>
  <c r="H601" i="3"/>
  <c r="I600" i="3"/>
  <c r="H600" i="3"/>
  <c r="I599" i="3"/>
  <c r="H599" i="3"/>
  <c r="I598" i="3"/>
  <c r="H598" i="3"/>
  <c r="I597" i="3"/>
  <c r="H597" i="3"/>
  <c r="I596" i="3"/>
  <c r="H596" i="3"/>
  <c r="I595" i="3"/>
  <c r="H595" i="3"/>
  <c r="I594" i="3"/>
  <c r="H594" i="3"/>
  <c r="I593" i="3"/>
  <c r="H593" i="3"/>
  <c r="I592" i="3"/>
  <c r="H592" i="3"/>
  <c r="I591" i="3"/>
  <c r="H591" i="3"/>
  <c r="I590" i="3"/>
  <c r="H590" i="3"/>
  <c r="I589" i="3"/>
  <c r="H589" i="3"/>
  <c r="I588" i="3"/>
  <c r="H588" i="3"/>
  <c r="I587" i="3"/>
  <c r="H587" i="3"/>
  <c r="I586" i="3"/>
  <c r="H586" i="3"/>
  <c r="I585" i="3"/>
  <c r="H585" i="3"/>
  <c r="I584" i="3"/>
  <c r="H584" i="3"/>
  <c r="I583" i="3"/>
  <c r="H583" i="3"/>
  <c r="I582" i="3"/>
  <c r="H582" i="3"/>
  <c r="I581" i="3"/>
  <c r="H581" i="3"/>
  <c r="I580" i="3"/>
  <c r="H580" i="3"/>
  <c r="I579" i="3"/>
  <c r="H579" i="3"/>
  <c r="I578" i="3"/>
  <c r="H578" i="3"/>
  <c r="I577" i="3"/>
  <c r="H577" i="3"/>
  <c r="I576" i="3"/>
  <c r="H576" i="3"/>
  <c r="I575" i="3"/>
  <c r="H575" i="3"/>
  <c r="I574" i="3"/>
  <c r="H574" i="3"/>
  <c r="I573" i="3"/>
  <c r="H573" i="3"/>
  <c r="I572" i="3"/>
  <c r="H572" i="3"/>
  <c r="I571" i="3"/>
  <c r="H571" i="3"/>
  <c r="I570" i="3"/>
  <c r="H570" i="3"/>
  <c r="I569" i="3"/>
  <c r="H569" i="3"/>
  <c r="I568" i="3"/>
  <c r="H568" i="3"/>
  <c r="I567" i="3"/>
  <c r="H567" i="3"/>
  <c r="I566" i="3"/>
  <c r="H566" i="3"/>
  <c r="I565" i="3"/>
  <c r="H565" i="3"/>
  <c r="I564" i="3"/>
  <c r="H564" i="3"/>
  <c r="I563" i="3"/>
  <c r="H563" i="3"/>
  <c r="I562" i="3"/>
  <c r="H562" i="3"/>
  <c r="I561" i="3"/>
  <c r="H561" i="3"/>
  <c r="I560" i="3"/>
  <c r="H560" i="3"/>
  <c r="I559" i="3"/>
  <c r="H559" i="3"/>
  <c r="I558" i="3"/>
  <c r="H558" i="3"/>
  <c r="I557" i="3"/>
  <c r="H557" i="3"/>
  <c r="I556" i="3"/>
  <c r="H556" i="3"/>
  <c r="I555" i="3"/>
  <c r="H555" i="3"/>
  <c r="I554" i="3"/>
  <c r="H554" i="3"/>
  <c r="I553" i="3"/>
  <c r="H553" i="3"/>
  <c r="I552" i="3"/>
  <c r="H552" i="3"/>
  <c r="I551" i="3"/>
  <c r="H551" i="3"/>
  <c r="I550" i="3"/>
  <c r="H550" i="3"/>
  <c r="I549" i="3"/>
  <c r="H549" i="3"/>
  <c r="I548" i="3"/>
  <c r="H548" i="3"/>
  <c r="I547" i="3"/>
  <c r="H547" i="3"/>
  <c r="I546" i="3"/>
  <c r="H546" i="3"/>
  <c r="I545" i="3"/>
  <c r="H545" i="3"/>
  <c r="I544" i="3"/>
  <c r="H544" i="3"/>
  <c r="I543" i="3"/>
  <c r="H543" i="3"/>
  <c r="I542" i="3"/>
  <c r="H542" i="3"/>
  <c r="I541" i="3"/>
  <c r="H541" i="3"/>
  <c r="I540" i="3"/>
  <c r="H540" i="3"/>
  <c r="I539" i="3"/>
  <c r="H539" i="3"/>
  <c r="I538" i="3"/>
  <c r="H538" i="3"/>
  <c r="I537" i="3"/>
  <c r="H537" i="3"/>
  <c r="I536" i="3"/>
  <c r="H536" i="3"/>
  <c r="I535" i="3"/>
  <c r="H535" i="3"/>
  <c r="I534" i="3"/>
  <c r="H534" i="3"/>
  <c r="I533" i="3"/>
  <c r="H533" i="3"/>
  <c r="I532" i="3"/>
  <c r="H532" i="3"/>
  <c r="I531" i="3"/>
  <c r="H531" i="3"/>
  <c r="I530" i="3"/>
  <c r="H530" i="3"/>
  <c r="I529" i="3"/>
  <c r="H529" i="3"/>
  <c r="I528" i="3"/>
  <c r="H528" i="3"/>
  <c r="I527" i="3"/>
  <c r="H527" i="3"/>
  <c r="I526" i="3"/>
  <c r="H526" i="3"/>
  <c r="I525" i="3"/>
  <c r="H525" i="3"/>
  <c r="I524" i="3"/>
  <c r="H524" i="3"/>
  <c r="I523" i="3"/>
  <c r="H523" i="3"/>
  <c r="I522" i="3"/>
  <c r="H522" i="3"/>
  <c r="I521" i="3"/>
  <c r="H521" i="3"/>
  <c r="I520" i="3"/>
  <c r="H520" i="3"/>
  <c r="I519" i="3"/>
  <c r="H519" i="3"/>
  <c r="I518" i="3"/>
  <c r="H518" i="3"/>
  <c r="I517" i="3"/>
  <c r="H517" i="3"/>
  <c r="I516" i="3"/>
  <c r="H516" i="3"/>
  <c r="I515" i="3"/>
  <c r="H515" i="3"/>
  <c r="I514" i="3"/>
  <c r="H514" i="3"/>
  <c r="I513" i="3"/>
  <c r="H513" i="3"/>
  <c r="I512" i="3"/>
  <c r="H512" i="3"/>
  <c r="I511" i="3"/>
  <c r="H511" i="3"/>
  <c r="I510" i="3"/>
  <c r="H510" i="3"/>
  <c r="I509" i="3"/>
  <c r="H509" i="3"/>
  <c r="I508" i="3"/>
  <c r="H508" i="3"/>
  <c r="I507" i="3"/>
  <c r="H507" i="3"/>
  <c r="I506" i="3"/>
  <c r="H506" i="3"/>
  <c r="I505" i="3"/>
  <c r="H505" i="3"/>
  <c r="I504" i="3"/>
  <c r="H504" i="3"/>
  <c r="I503" i="3"/>
  <c r="H503" i="3"/>
  <c r="I502" i="3"/>
  <c r="H502" i="3"/>
  <c r="I501" i="3"/>
  <c r="H501" i="3"/>
  <c r="I500" i="3"/>
  <c r="H500" i="3"/>
  <c r="I499" i="3"/>
  <c r="H499" i="3"/>
  <c r="I498" i="3"/>
  <c r="H498" i="3"/>
  <c r="I497" i="3"/>
  <c r="H497" i="3"/>
  <c r="I496" i="3"/>
  <c r="H496" i="3"/>
  <c r="I495" i="3"/>
  <c r="H495" i="3"/>
  <c r="I494" i="3"/>
  <c r="H494" i="3"/>
  <c r="I493" i="3"/>
  <c r="H493" i="3"/>
  <c r="I492" i="3"/>
  <c r="H492" i="3"/>
  <c r="I491" i="3"/>
  <c r="H491" i="3"/>
  <c r="I490" i="3"/>
  <c r="H490" i="3"/>
  <c r="I489" i="3"/>
  <c r="H489" i="3"/>
  <c r="I488" i="3"/>
  <c r="H488" i="3"/>
  <c r="I487" i="3"/>
  <c r="H487" i="3"/>
  <c r="I486" i="3"/>
  <c r="H486" i="3"/>
  <c r="I485" i="3"/>
  <c r="H485" i="3"/>
  <c r="I484" i="3"/>
  <c r="H484" i="3"/>
  <c r="I483" i="3"/>
  <c r="H483" i="3"/>
  <c r="I482" i="3"/>
  <c r="H482" i="3"/>
  <c r="I481" i="3"/>
  <c r="H481" i="3"/>
  <c r="I480" i="3"/>
  <c r="H480" i="3"/>
  <c r="I479" i="3"/>
  <c r="H479" i="3"/>
  <c r="I478" i="3"/>
  <c r="H478" i="3"/>
  <c r="I477" i="3"/>
  <c r="H477" i="3"/>
  <c r="I476" i="3"/>
  <c r="H476" i="3"/>
  <c r="I475" i="3"/>
  <c r="H475" i="3"/>
  <c r="I474" i="3"/>
  <c r="H474" i="3"/>
  <c r="I473" i="3"/>
  <c r="H473" i="3"/>
  <c r="I472" i="3"/>
  <c r="H472" i="3"/>
  <c r="I471" i="3"/>
  <c r="H471" i="3"/>
  <c r="I470" i="3"/>
  <c r="H470" i="3"/>
  <c r="I469" i="3"/>
  <c r="H469" i="3"/>
  <c r="I468" i="3"/>
  <c r="H468" i="3"/>
  <c r="I467" i="3"/>
  <c r="H467" i="3"/>
  <c r="I466" i="3"/>
  <c r="H466" i="3"/>
  <c r="I465" i="3"/>
  <c r="H465" i="3"/>
  <c r="I464" i="3"/>
  <c r="H464" i="3"/>
  <c r="I463" i="3"/>
  <c r="H463" i="3"/>
  <c r="I462" i="3"/>
  <c r="H462" i="3"/>
  <c r="I461" i="3"/>
  <c r="H461" i="3"/>
  <c r="I460" i="3"/>
  <c r="H460" i="3"/>
  <c r="I459" i="3"/>
  <c r="H459" i="3"/>
  <c r="I458" i="3"/>
  <c r="H458" i="3"/>
  <c r="I457" i="3"/>
  <c r="H457" i="3"/>
  <c r="I456" i="3"/>
  <c r="H456" i="3"/>
  <c r="I455" i="3"/>
  <c r="H455" i="3"/>
  <c r="I454" i="3"/>
  <c r="H454" i="3"/>
  <c r="I453" i="3"/>
  <c r="H453" i="3"/>
  <c r="I452" i="3"/>
  <c r="H452" i="3"/>
  <c r="I451" i="3"/>
  <c r="H451" i="3"/>
  <c r="I450" i="3"/>
  <c r="H450" i="3"/>
  <c r="I449" i="3"/>
  <c r="H449" i="3"/>
  <c r="I448" i="3"/>
  <c r="H448" i="3"/>
  <c r="I447" i="3"/>
  <c r="H447" i="3"/>
  <c r="I446" i="3"/>
  <c r="H446" i="3"/>
  <c r="I445" i="3"/>
  <c r="H445" i="3"/>
  <c r="I444" i="3"/>
  <c r="H444" i="3"/>
  <c r="I443" i="3"/>
  <c r="H443" i="3"/>
  <c r="I442" i="3"/>
  <c r="H442" i="3"/>
  <c r="I441" i="3"/>
  <c r="H441" i="3"/>
  <c r="I440" i="3"/>
  <c r="H440" i="3"/>
  <c r="I439" i="3"/>
  <c r="H439" i="3"/>
  <c r="I438" i="3"/>
  <c r="H438" i="3"/>
  <c r="I437" i="3"/>
  <c r="H437" i="3"/>
  <c r="I436" i="3"/>
  <c r="H436" i="3"/>
  <c r="I435" i="3"/>
  <c r="H435" i="3"/>
  <c r="I434" i="3"/>
  <c r="H434" i="3"/>
  <c r="I433" i="3"/>
  <c r="H433" i="3"/>
  <c r="I432" i="3"/>
  <c r="H432" i="3"/>
  <c r="I431" i="3"/>
  <c r="H431" i="3"/>
  <c r="I430" i="3"/>
  <c r="H430" i="3"/>
  <c r="I429" i="3"/>
  <c r="H429" i="3"/>
  <c r="I428" i="3"/>
  <c r="H428" i="3"/>
  <c r="I427" i="3"/>
  <c r="H427" i="3"/>
  <c r="I426" i="3"/>
  <c r="H426" i="3"/>
  <c r="I425" i="3"/>
  <c r="H425" i="3"/>
  <c r="I424" i="3"/>
  <c r="H424" i="3"/>
  <c r="I423" i="3"/>
  <c r="H423" i="3"/>
  <c r="I422" i="3"/>
  <c r="H422" i="3"/>
  <c r="I421" i="3"/>
  <c r="H421" i="3"/>
  <c r="I420" i="3"/>
  <c r="H420" i="3"/>
  <c r="I419" i="3"/>
  <c r="H419" i="3"/>
  <c r="I418" i="3"/>
  <c r="H418" i="3"/>
  <c r="I417" i="3"/>
  <c r="H417" i="3"/>
  <c r="I416" i="3"/>
  <c r="H416" i="3"/>
  <c r="I415" i="3"/>
  <c r="H415" i="3"/>
  <c r="I414" i="3"/>
  <c r="H414" i="3"/>
  <c r="I413" i="3"/>
  <c r="H413" i="3"/>
  <c r="I412" i="3"/>
  <c r="H412" i="3"/>
  <c r="I411" i="3"/>
  <c r="H411" i="3"/>
  <c r="I410" i="3"/>
  <c r="H410" i="3"/>
  <c r="I409" i="3"/>
  <c r="H409" i="3"/>
  <c r="I408" i="3"/>
  <c r="H408" i="3"/>
  <c r="I407" i="3"/>
  <c r="H407" i="3"/>
  <c r="I406" i="3"/>
  <c r="H406" i="3"/>
  <c r="I405" i="3"/>
  <c r="H405" i="3"/>
  <c r="I404" i="3"/>
  <c r="H404" i="3"/>
  <c r="I403" i="3"/>
  <c r="H403" i="3"/>
  <c r="I402" i="3"/>
  <c r="H402" i="3"/>
  <c r="I401" i="3"/>
  <c r="H401" i="3"/>
  <c r="I400" i="3"/>
  <c r="H400" i="3"/>
  <c r="I399" i="3"/>
  <c r="H399" i="3"/>
  <c r="I398" i="3"/>
  <c r="H398" i="3"/>
  <c r="I397" i="3"/>
  <c r="H397" i="3"/>
  <c r="I396" i="3"/>
  <c r="H396" i="3"/>
  <c r="I395" i="3"/>
  <c r="H395" i="3"/>
  <c r="I394" i="3"/>
  <c r="H394" i="3"/>
  <c r="I393" i="3"/>
  <c r="H393" i="3"/>
  <c r="I392" i="3"/>
  <c r="H392" i="3"/>
  <c r="I391" i="3"/>
  <c r="H391" i="3"/>
  <c r="I390" i="3"/>
  <c r="H390" i="3"/>
  <c r="I389" i="3"/>
  <c r="H389" i="3"/>
  <c r="I388" i="3"/>
  <c r="H388" i="3"/>
  <c r="I387" i="3"/>
  <c r="H387" i="3"/>
  <c r="I386" i="3"/>
  <c r="H386" i="3"/>
  <c r="I385" i="3"/>
  <c r="H385" i="3"/>
  <c r="I384" i="3"/>
  <c r="H384" i="3"/>
  <c r="I383" i="3"/>
  <c r="H383" i="3"/>
  <c r="I382" i="3"/>
  <c r="H382" i="3"/>
  <c r="I381" i="3"/>
  <c r="H381" i="3"/>
  <c r="I380" i="3"/>
  <c r="H380" i="3"/>
  <c r="I379" i="3"/>
  <c r="H379" i="3"/>
  <c r="I378" i="3"/>
  <c r="H378" i="3"/>
  <c r="I377" i="3"/>
  <c r="H377" i="3"/>
  <c r="I376" i="3"/>
  <c r="H376" i="3"/>
  <c r="I375" i="3"/>
  <c r="H375" i="3"/>
  <c r="I374" i="3"/>
  <c r="H374" i="3"/>
  <c r="I373" i="3"/>
  <c r="H373" i="3"/>
  <c r="I372" i="3"/>
  <c r="H372" i="3"/>
  <c r="I371" i="3"/>
  <c r="H371" i="3"/>
  <c r="I370" i="3"/>
  <c r="H370" i="3"/>
  <c r="I369" i="3"/>
  <c r="H369" i="3"/>
  <c r="I368" i="3"/>
  <c r="H368" i="3"/>
  <c r="I367" i="3"/>
  <c r="H367" i="3"/>
  <c r="I366" i="3"/>
  <c r="H366" i="3"/>
  <c r="I365" i="3"/>
  <c r="H365" i="3"/>
  <c r="I364" i="3"/>
  <c r="H364" i="3"/>
  <c r="I363" i="3"/>
  <c r="H363" i="3"/>
  <c r="I362" i="3"/>
  <c r="H362" i="3"/>
  <c r="I361" i="3"/>
  <c r="H361" i="3"/>
  <c r="I360" i="3"/>
  <c r="H360" i="3"/>
  <c r="I359" i="3"/>
  <c r="H359" i="3"/>
  <c r="I358" i="3"/>
  <c r="H358" i="3"/>
  <c r="I357" i="3"/>
  <c r="H357" i="3"/>
  <c r="I356" i="3"/>
  <c r="H356" i="3"/>
  <c r="I355" i="3"/>
  <c r="H355" i="3"/>
  <c r="I354" i="3"/>
  <c r="H354" i="3"/>
  <c r="I353" i="3"/>
  <c r="H353" i="3"/>
  <c r="I352" i="3"/>
  <c r="H352" i="3"/>
  <c r="I351" i="3"/>
  <c r="H351" i="3"/>
  <c r="I350" i="3"/>
  <c r="H350" i="3"/>
  <c r="I349" i="3"/>
  <c r="H349" i="3"/>
  <c r="I348" i="3"/>
  <c r="H348" i="3"/>
  <c r="I347" i="3"/>
  <c r="H347" i="3"/>
  <c r="I346" i="3"/>
  <c r="H346" i="3"/>
  <c r="I345" i="3"/>
  <c r="H345" i="3"/>
  <c r="I344" i="3"/>
  <c r="H344" i="3"/>
  <c r="I343" i="3"/>
  <c r="H343" i="3"/>
  <c r="I342" i="3"/>
  <c r="H342" i="3"/>
  <c r="I341" i="3"/>
  <c r="H341" i="3"/>
  <c r="I340" i="3"/>
  <c r="H340" i="3"/>
  <c r="I339" i="3"/>
  <c r="H339" i="3"/>
  <c r="I338" i="3"/>
  <c r="H338" i="3"/>
  <c r="I337" i="3"/>
  <c r="H337" i="3"/>
  <c r="I336" i="3"/>
  <c r="H336" i="3"/>
  <c r="I335" i="3"/>
  <c r="H335" i="3"/>
  <c r="I334" i="3"/>
  <c r="H334" i="3"/>
  <c r="I333" i="3"/>
  <c r="H333" i="3"/>
  <c r="I332" i="3"/>
  <c r="H332" i="3"/>
  <c r="I331" i="3"/>
  <c r="H331" i="3"/>
  <c r="I330" i="3"/>
  <c r="H330" i="3"/>
  <c r="I329" i="3"/>
  <c r="H329" i="3"/>
  <c r="I328" i="3"/>
  <c r="H328" i="3"/>
  <c r="I327" i="3"/>
  <c r="H327" i="3"/>
  <c r="I326" i="3"/>
  <c r="H326" i="3"/>
  <c r="I325" i="3"/>
  <c r="H325" i="3"/>
  <c r="I324" i="3"/>
  <c r="H324" i="3"/>
  <c r="I323" i="3"/>
  <c r="H323" i="3"/>
  <c r="I322" i="3"/>
  <c r="H322" i="3"/>
  <c r="I321" i="3"/>
  <c r="H321" i="3"/>
  <c r="I320" i="3"/>
  <c r="H320" i="3"/>
  <c r="I319" i="3"/>
  <c r="H319" i="3"/>
  <c r="I318" i="3"/>
  <c r="H318" i="3"/>
  <c r="I317" i="3"/>
  <c r="H317" i="3"/>
  <c r="I316" i="3"/>
  <c r="H316" i="3"/>
  <c r="I315" i="3"/>
  <c r="H315" i="3"/>
  <c r="I314" i="3"/>
  <c r="H314" i="3"/>
  <c r="I313" i="3"/>
  <c r="H313" i="3"/>
  <c r="I312" i="3"/>
  <c r="H312" i="3"/>
  <c r="I311" i="3"/>
  <c r="H311" i="3"/>
  <c r="I310" i="3"/>
  <c r="H310" i="3"/>
  <c r="I309" i="3"/>
  <c r="H309" i="3"/>
  <c r="I308" i="3"/>
  <c r="H308" i="3"/>
  <c r="I307" i="3"/>
  <c r="H307" i="3"/>
  <c r="I306" i="3"/>
  <c r="H306" i="3"/>
  <c r="I305" i="3"/>
  <c r="H305" i="3"/>
  <c r="I304" i="3"/>
  <c r="H304" i="3"/>
  <c r="I303" i="3"/>
  <c r="H303" i="3"/>
  <c r="I302" i="3"/>
  <c r="H302" i="3"/>
  <c r="I301" i="3"/>
  <c r="H301" i="3"/>
  <c r="I300" i="3"/>
  <c r="H300" i="3"/>
  <c r="I299" i="3"/>
  <c r="H299" i="3"/>
  <c r="I298" i="3"/>
  <c r="H298" i="3"/>
  <c r="I297" i="3"/>
  <c r="H297" i="3"/>
  <c r="I296" i="3"/>
  <c r="H296" i="3"/>
  <c r="I295" i="3"/>
  <c r="H295" i="3"/>
  <c r="I294" i="3"/>
  <c r="H294" i="3"/>
  <c r="I293" i="3"/>
  <c r="H293" i="3"/>
  <c r="I292" i="3"/>
  <c r="H292" i="3"/>
  <c r="I291" i="3"/>
  <c r="H291" i="3"/>
  <c r="I290" i="3"/>
  <c r="H290" i="3"/>
  <c r="I289" i="3"/>
  <c r="H289" i="3"/>
  <c r="I288" i="3"/>
  <c r="H288" i="3"/>
  <c r="I287" i="3"/>
  <c r="H287" i="3"/>
  <c r="I286" i="3"/>
  <c r="H286" i="3"/>
  <c r="I285" i="3"/>
  <c r="H285" i="3"/>
  <c r="I284" i="3"/>
  <c r="H284" i="3"/>
  <c r="I283" i="3"/>
  <c r="H283" i="3"/>
  <c r="I282" i="3"/>
  <c r="H282" i="3"/>
  <c r="I281" i="3"/>
  <c r="H281" i="3"/>
  <c r="I280" i="3"/>
  <c r="H280" i="3"/>
  <c r="I279" i="3"/>
  <c r="H279" i="3"/>
  <c r="I278" i="3"/>
  <c r="H278" i="3"/>
  <c r="I277" i="3"/>
  <c r="H277" i="3"/>
  <c r="I276" i="3"/>
  <c r="H276" i="3"/>
  <c r="I275" i="3"/>
  <c r="H275" i="3"/>
  <c r="I274" i="3"/>
  <c r="H274" i="3"/>
  <c r="I273" i="3"/>
  <c r="H273" i="3"/>
  <c r="I272" i="3"/>
  <c r="H272" i="3"/>
  <c r="I271" i="3"/>
  <c r="H271" i="3"/>
  <c r="I270" i="3"/>
  <c r="H270" i="3"/>
  <c r="I269" i="3"/>
  <c r="H269" i="3"/>
  <c r="I268" i="3"/>
  <c r="H268" i="3"/>
  <c r="I267" i="3"/>
  <c r="H267" i="3"/>
  <c r="I266" i="3"/>
  <c r="H266" i="3"/>
  <c r="I265" i="3"/>
  <c r="H265" i="3"/>
  <c r="I264" i="3"/>
  <c r="H264" i="3"/>
  <c r="I263" i="3"/>
  <c r="H263" i="3"/>
  <c r="I262" i="3"/>
  <c r="H262" i="3"/>
  <c r="I261" i="3"/>
  <c r="H261" i="3"/>
  <c r="I260" i="3"/>
  <c r="H260" i="3"/>
  <c r="I259" i="3"/>
  <c r="H259" i="3"/>
  <c r="I258" i="3"/>
  <c r="H258" i="3"/>
  <c r="I257" i="3"/>
  <c r="H257" i="3"/>
  <c r="I256" i="3"/>
  <c r="H256" i="3"/>
  <c r="I255" i="3"/>
  <c r="H255" i="3"/>
  <c r="I254" i="3"/>
  <c r="H254" i="3"/>
  <c r="I253" i="3"/>
  <c r="H253" i="3"/>
  <c r="I252" i="3"/>
  <c r="H252" i="3"/>
  <c r="I251" i="3"/>
  <c r="H251" i="3"/>
  <c r="I250" i="3"/>
  <c r="H250" i="3"/>
  <c r="I249" i="3"/>
  <c r="H249" i="3"/>
  <c r="I248" i="3"/>
  <c r="H248" i="3"/>
  <c r="I247" i="3"/>
  <c r="H247" i="3"/>
  <c r="I246" i="3"/>
  <c r="H246" i="3"/>
  <c r="I245" i="3"/>
  <c r="H245" i="3"/>
  <c r="I244" i="3"/>
  <c r="H244" i="3"/>
  <c r="I243" i="3"/>
  <c r="H243" i="3"/>
  <c r="I242" i="3"/>
  <c r="H242" i="3"/>
  <c r="I241" i="3"/>
  <c r="H241" i="3"/>
  <c r="I240" i="3"/>
  <c r="H240" i="3"/>
  <c r="I239" i="3"/>
  <c r="H239" i="3"/>
  <c r="I238" i="3"/>
  <c r="H238" i="3"/>
  <c r="I237" i="3"/>
  <c r="H237" i="3"/>
  <c r="I236" i="3"/>
  <c r="H236" i="3"/>
  <c r="I235" i="3"/>
  <c r="H235" i="3"/>
  <c r="I234" i="3"/>
  <c r="H234" i="3"/>
  <c r="I233" i="3"/>
  <c r="H233" i="3"/>
  <c r="I232" i="3"/>
  <c r="H232" i="3"/>
  <c r="I231" i="3"/>
  <c r="H231" i="3"/>
  <c r="I230" i="3"/>
  <c r="H230" i="3"/>
  <c r="I229" i="3"/>
  <c r="H229" i="3"/>
  <c r="I228" i="3"/>
  <c r="H228" i="3"/>
  <c r="I227" i="3"/>
  <c r="H227" i="3"/>
  <c r="I226" i="3"/>
  <c r="H226" i="3"/>
  <c r="I225" i="3"/>
  <c r="H225" i="3"/>
  <c r="I224" i="3"/>
  <c r="H224" i="3"/>
  <c r="I223" i="3"/>
  <c r="H223" i="3"/>
  <c r="I222" i="3"/>
  <c r="H222" i="3"/>
  <c r="I221" i="3"/>
  <c r="H221" i="3"/>
  <c r="I220" i="3"/>
  <c r="H220" i="3"/>
  <c r="I219" i="3"/>
  <c r="H219" i="3"/>
  <c r="I218" i="3"/>
  <c r="H218" i="3"/>
  <c r="I217" i="3"/>
  <c r="H217" i="3"/>
  <c r="I216" i="3"/>
  <c r="H216" i="3"/>
  <c r="I215" i="3"/>
  <c r="H215" i="3"/>
  <c r="I214" i="3"/>
  <c r="H214" i="3"/>
  <c r="I213" i="3"/>
  <c r="H213" i="3"/>
  <c r="I212" i="3"/>
  <c r="H212" i="3"/>
  <c r="I211" i="3"/>
  <c r="H211" i="3"/>
  <c r="I210" i="3"/>
  <c r="H210" i="3"/>
  <c r="I209" i="3"/>
  <c r="H209" i="3"/>
  <c r="E5265" i="2"/>
  <c r="I4922" i="2"/>
  <c r="H4922" i="2"/>
  <c r="I4921" i="2"/>
  <c r="H4921" i="2"/>
  <c r="I4920" i="2"/>
  <c r="H4920" i="2"/>
  <c r="I4919" i="2"/>
  <c r="H4919" i="2"/>
  <c r="I4918" i="2"/>
  <c r="H4918" i="2"/>
  <c r="I4917" i="2"/>
  <c r="H4917" i="2"/>
  <c r="I4916" i="2"/>
  <c r="H4916" i="2"/>
  <c r="I4915" i="2"/>
  <c r="H4915" i="2"/>
  <c r="I4914" i="2"/>
  <c r="H4914" i="2"/>
  <c r="I4913" i="2"/>
  <c r="H4913" i="2"/>
  <c r="I4912" i="2"/>
  <c r="H4912" i="2"/>
  <c r="I4911" i="2"/>
  <c r="H4911" i="2"/>
  <c r="I4910" i="2"/>
  <c r="H4910" i="2"/>
  <c r="I4909" i="2"/>
  <c r="H4909" i="2"/>
  <c r="I4908" i="2"/>
  <c r="H4908" i="2"/>
  <c r="I4907" i="2"/>
  <c r="H4907" i="2"/>
  <c r="I4906" i="2"/>
  <c r="H4906" i="2"/>
  <c r="I4905" i="2"/>
  <c r="H4905" i="2"/>
  <c r="I4904" i="2"/>
  <c r="H4904" i="2"/>
  <c r="I4903" i="2"/>
  <c r="H4903" i="2"/>
  <c r="I4902" i="2"/>
  <c r="H4902" i="2"/>
  <c r="I4901" i="2"/>
  <c r="H4901" i="2"/>
  <c r="I4900" i="2"/>
  <c r="H4900" i="2"/>
  <c r="I4899" i="2"/>
  <c r="H4899" i="2"/>
  <c r="I4898" i="2"/>
  <c r="H4898" i="2"/>
  <c r="I4897" i="2"/>
  <c r="H4897" i="2"/>
  <c r="I4896" i="2"/>
  <c r="H4896" i="2"/>
  <c r="I4895" i="2"/>
  <c r="H4895" i="2"/>
  <c r="I4894" i="2"/>
  <c r="H4894" i="2"/>
  <c r="I4893" i="2"/>
  <c r="H4893" i="2"/>
  <c r="I4892" i="2"/>
  <c r="H4892" i="2"/>
  <c r="I4891" i="2"/>
  <c r="H4891" i="2"/>
  <c r="I4890" i="2"/>
  <c r="H4890" i="2"/>
  <c r="I4889" i="2"/>
  <c r="H4889" i="2"/>
  <c r="I4888" i="2"/>
  <c r="H4888" i="2"/>
  <c r="I4887" i="2"/>
  <c r="H4887" i="2"/>
  <c r="I4886" i="2"/>
  <c r="H4886" i="2"/>
  <c r="I4885" i="2"/>
  <c r="H4885" i="2"/>
  <c r="I4884" i="2"/>
  <c r="H4884" i="2"/>
  <c r="I4883" i="2"/>
  <c r="H4883" i="2"/>
  <c r="I4882" i="2"/>
  <c r="H4882" i="2"/>
  <c r="I4881" i="2"/>
  <c r="H4881" i="2"/>
  <c r="I4880" i="2"/>
  <c r="H4880" i="2"/>
  <c r="I4879" i="2"/>
  <c r="H4879" i="2"/>
  <c r="I4878" i="2"/>
  <c r="H4878" i="2"/>
  <c r="I4877" i="2"/>
  <c r="H4877" i="2"/>
  <c r="I4876" i="2"/>
  <c r="H4876" i="2"/>
  <c r="I4875" i="2"/>
  <c r="H4875" i="2"/>
  <c r="I4874" i="2"/>
  <c r="H4874" i="2"/>
  <c r="I4873" i="2"/>
  <c r="H4873" i="2"/>
  <c r="I4872" i="2"/>
  <c r="H4872" i="2"/>
  <c r="I4871" i="2"/>
  <c r="H4871" i="2"/>
  <c r="I4870" i="2"/>
  <c r="H4870" i="2"/>
  <c r="I4869" i="2"/>
  <c r="H4869" i="2"/>
  <c r="I4868" i="2"/>
  <c r="H4868" i="2"/>
  <c r="I4867" i="2"/>
  <c r="H4867" i="2"/>
  <c r="I4866" i="2"/>
  <c r="H4866" i="2"/>
  <c r="I4865" i="2"/>
  <c r="H4865" i="2"/>
  <c r="I4864" i="2"/>
  <c r="H4864" i="2"/>
  <c r="I4863" i="2"/>
  <c r="H4863" i="2"/>
  <c r="I4862" i="2"/>
  <c r="H4862" i="2"/>
  <c r="I4861" i="2"/>
  <c r="H4861" i="2"/>
  <c r="I4860" i="2"/>
  <c r="H4860" i="2"/>
  <c r="I4859" i="2"/>
  <c r="H4859" i="2"/>
  <c r="I4858" i="2"/>
  <c r="H4858" i="2"/>
  <c r="I4857" i="2"/>
  <c r="H4857" i="2"/>
  <c r="I4856" i="2"/>
  <c r="H4856" i="2"/>
  <c r="I4855" i="2"/>
  <c r="H4855" i="2"/>
  <c r="I4854" i="2"/>
  <c r="H4854" i="2"/>
  <c r="I4853" i="2"/>
  <c r="H4853" i="2"/>
  <c r="I4852" i="2"/>
  <c r="H4852" i="2"/>
  <c r="I4851" i="2"/>
  <c r="H4851" i="2"/>
  <c r="I4850" i="2"/>
  <c r="H4850" i="2"/>
  <c r="H4849" i="2"/>
  <c r="I4848" i="2"/>
  <c r="H4848" i="2"/>
  <c r="I4847" i="2"/>
  <c r="H4847" i="2"/>
  <c r="I4846" i="2"/>
  <c r="H4846" i="2"/>
  <c r="I4845" i="2"/>
  <c r="H4845" i="2"/>
  <c r="I4844" i="2"/>
  <c r="H4844" i="2"/>
  <c r="I4843" i="2"/>
  <c r="H4843" i="2"/>
  <c r="I4842" i="2"/>
  <c r="H4842" i="2"/>
  <c r="I4841" i="2"/>
  <c r="H4841" i="2"/>
  <c r="I4840" i="2"/>
  <c r="H4840" i="2"/>
  <c r="I4839" i="2"/>
  <c r="H4839" i="2"/>
  <c r="I4838" i="2"/>
  <c r="H4838" i="2"/>
  <c r="I4837" i="2"/>
  <c r="H4837" i="2"/>
  <c r="I4836" i="2"/>
  <c r="H4836" i="2"/>
  <c r="I4835" i="2"/>
  <c r="H4835" i="2"/>
  <c r="I4834" i="2"/>
  <c r="H4834" i="2"/>
  <c r="I4833" i="2"/>
  <c r="H4833" i="2"/>
  <c r="I4832" i="2"/>
  <c r="H4832" i="2"/>
  <c r="I4831" i="2"/>
  <c r="H4831" i="2"/>
  <c r="I4830" i="2"/>
  <c r="H4830" i="2"/>
  <c r="I4829" i="2"/>
  <c r="H4829" i="2"/>
  <c r="I4828" i="2"/>
  <c r="H4828" i="2"/>
  <c r="I4827" i="2"/>
  <c r="H4827" i="2"/>
  <c r="I4826" i="2"/>
  <c r="H4826" i="2"/>
  <c r="I4825" i="2"/>
  <c r="H4825" i="2"/>
  <c r="I4824" i="2"/>
  <c r="H4824" i="2"/>
  <c r="I4823" i="2"/>
  <c r="H4823" i="2"/>
  <c r="I4822" i="2"/>
  <c r="H4822" i="2"/>
  <c r="I4821" i="2"/>
  <c r="H4821" i="2"/>
  <c r="I4820" i="2"/>
  <c r="H4820" i="2"/>
  <c r="I4819" i="2"/>
  <c r="H4819" i="2"/>
  <c r="I4818" i="2"/>
  <c r="H4818" i="2"/>
  <c r="I4817" i="2"/>
  <c r="H4817" i="2"/>
  <c r="I4816" i="2"/>
  <c r="H4816" i="2"/>
  <c r="I4815" i="2"/>
  <c r="H4815" i="2"/>
  <c r="I4814" i="2"/>
  <c r="H4814" i="2"/>
  <c r="I4813" i="2"/>
  <c r="H4813" i="2"/>
  <c r="I4812" i="2"/>
  <c r="H4812" i="2"/>
  <c r="I4811" i="2"/>
  <c r="H4811" i="2"/>
  <c r="I4810" i="2"/>
  <c r="H4810" i="2"/>
  <c r="I4809" i="2"/>
  <c r="H4809" i="2"/>
  <c r="I4808" i="2"/>
  <c r="H4808" i="2"/>
  <c r="I4807" i="2"/>
  <c r="H4807" i="2"/>
  <c r="I4806" i="2"/>
  <c r="H4806" i="2"/>
  <c r="I4805" i="2"/>
  <c r="H4805" i="2"/>
  <c r="I4804" i="2"/>
  <c r="H4804" i="2"/>
  <c r="I4803" i="2"/>
  <c r="H4803" i="2"/>
  <c r="I4802" i="2"/>
  <c r="H4802" i="2"/>
  <c r="I4801" i="2"/>
  <c r="H4801" i="2"/>
  <c r="I4800" i="2"/>
  <c r="H4800" i="2"/>
  <c r="I4799" i="2"/>
  <c r="H4799" i="2"/>
  <c r="I4798" i="2"/>
  <c r="H4798" i="2"/>
  <c r="I4797" i="2"/>
  <c r="H4797" i="2"/>
  <c r="I4796" i="2"/>
  <c r="H4796" i="2"/>
  <c r="I4795" i="2"/>
  <c r="H4795" i="2"/>
  <c r="I4794" i="2"/>
  <c r="H4794" i="2"/>
  <c r="I4793" i="2"/>
  <c r="H4793" i="2"/>
  <c r="I4792" i="2"/>
  <c r="H4792" i="2"/>
  <c r="I4791" i="2"/>
  <c r="H4791" i="2"/>
  <c r="I4790" i="2"/>
  <c r="H4790" i="2"/>
  <c r="I4789" i="2"/>
  <c r="H4789" i="2"/>
  <c r="I4788" i="2"/>
  <c r="H4788" i="2"/>
  <c r="I4787" i="2"/>
  <c r="H4787" i="2"/>
  <c r="I4786" i="2"/>
  <c r="H4786" i="2"/>
  <c r="I4785" i="2"/>
  <c r="H4785" i="2"/>
  <c r="I4784" i="2"/>
  <c r="H4784" i="2"/>
  <c r="I4783" i="2"/>
  <c r="H4783" i="2"/>
  <c r="I4782" i="2"/>
  <c r="H4782" i="2"/>
  <c r="I4781" i="2"/>
  <c r="H4781" i="2"/>
  <c r="I4780" i="2"/>
  <c r="H4780" i="2"/>
  <c r="I4779" i="2"/>
  <c r="H4779" i="2"/>
  <c r="I4778" i="2"/>
  <c r="H4778" i="2"/>
  <c r="I4777" i="2"/>
  <c r="H4777" i="2"/>
  <c r="I4776" i="2"/>
  <c r="H4776" i="2"/>
  <c r="I4775" i="2"/>
  <c r="H4775" i="2"/>
  <c r="I4774" i="2"/>
  <c r="H4774" i="2"/>
  <c r="I4773" i="2"/>
  <c r="H4773" i="2"/>
  <c r="I4772" i="2"/>
  <c r="H4772" i="2"/>
  <c r="I4771" i="2"/>
  <c r="H4771" i="2"/>
  <c r="I4770" i="2"/>
  <c r="H4770" i="2"/>
  <c r="I4769" i="2"/>
  <c r="H4769" i="2"/>
  <c r="I4768" i="2"/>
  <c r="H4768" i="2"/>
  <c r="I4767" i="2"/>
  <c r="H4767" i="2"/>
  <c r="I4766" i="2"/>
  <c r="H4766" i="2"/>
  <c r="I4765" i="2"/>
  <c r="H4765" i="2"/>
  <c r="I4764" i="2"/>
  <c r="H4764" i="2"/>
  <c r="I4763" i="2"/>
  <c r="H4763" i="2"/>
  <c r="I4762" i="2"/>
  <c r="H4762" i="2"/>
  <c r="I4761" i="2"/>
  <c r="H4761" i="2"/>
  <c r="I4760" i="2"/>
  <c r="H4760" i="2"/>
  <c r="I4759" i="2"/>
  <c r="H4759" i="2"/>
  <c r="I4758" i="2"/>
  <c r="H4758" i="2"/>
  <c r="I4757" i="2"/>
  <c r="H4757" i="2"/>
  <c r="I4756" i="2"/>
  <c r="H4756" i="2"/>
  <c r="I4755" i="2"/>
  <c r="H4755" i="2"/>
  <c r="I4754" i="2"/>
  <c r="H4754" i="2"/>
  <c r="I4753" i="2"/>
  <c r="H4753" i="2"/>
  <c r="I4752" i="2"/>
  <c r="H4752" i="2"/>
  <c r="I4751" i="2"/>
  <c r="H4751" i="2"/>
  <c r="I4750" i="2"/>
  <c r="H4750" i="2"/>
  <c r="I4749" i="2"/>
  <c r="H4749" i="2"/>
  <c r="I4748" i="2"/>
  <c r="H4748" i="2"/>
  <c r="I4747" i="2"/>
  <c r="H4747" i="2"/>
  <c r="I4746" i="2"/>
  <c r="H4746" i="2"/>
  <c r="I4745" i="2"/>
  <c r="H4745" i="2"/>
  <c r="I4744" i="2"/>
  <c r="H4744" i="2"/>
  <c r="I4743" i="2"/>
  <c r="H4743" i="2"/>
  <c r="I4742" i="2"/>
  <c r="H4742" i="2"/>
  <c r="I4741" i="2"/>
  <c r="H4741" i="2"/>
  <c r="I4740" i="2"/>
  <c r="H4740" i="2"/>
  <c r="I4739" i="2"/>
  <c r="H4739" i="2"/>
  <c r="I4738" i="2"/>
  <c r="H4738" i="2"/>
  <c r="I4737" i="2"/>
  <c r="H4737" i="2"/>
  <c r="I4736" i="2"/>
  <c r="H4736" i="2"/>
  <c r="I4735" i="2"/>
  <c r="H4735" i="2"/>
  <c r="I4734" i="2"/>
  <c r="H4734" i="2"/>
  <c r="I4733" i="2"/>
  <c r="H4733" i="2"/>
  <c r="I4732" i="2"/>
  <c r="H4732" i="2"/>
  <c r="I4731" i="2"/>
  <c r="H4731" i="2"/>
  <c r="I4730" i="2"/>
  <c r="H4730" i="2"/>
  <c r="I4729" i="2"/>
  <c r="H4729" i="2"/>
  <c r="I4728" i="2"/>
  <c r="H4728" i="2"/>
  <c r="I4727" i="2"/>
  <c r="H4727" i="2"/>
  <c r="I4726" i="2"/>
  <c r="H4726" i="2"/>
  <c r="I4725" i="2"/>
  <c r="H4725" i="2"/>
  <c r="I4724" i="2"/>
  <c r="H4724" i="2"/>
  <c r="I4723" i="2"/>
  <c r="H4723" i="2"/>
  <c r="I4722" i="2"/>
  <c r="H4722" i="2"/>
  <c r="I4721" i="2"/>
  <c r="H4721" i="2"/>
  <c r="I4720" i="2"/>
  <c r="H4720" i="2"/>
  <c r="I4719" i="2"/>
  <c r="H4719" i="2"/>
  <c r="I4718" i="2"/>
  <c r="H4718" i="2"/>
  <c r="I4717" i="2"/>
  <c r="H4717" i="2"/>
  <c r="I4716" i="2"/>
  <c r="H4716" i="2"/>
  <c r="I4715" i="2"/>
  <c r="H4715" i="2"/>
  <c r="I4714" i="2"/>
  <c r="H4714" i="2"/>
  <c r="I4713" i="2"/>
  <c r="H4713" i="2"/>
  <c r="I4712" i="2"/>
  <c r="H4712" i="2"/>
  <c r="I4711" i="2"/>
  <c r="H4711" i="2"/>
  <c r="I4710" i="2"/>
  <c r="H4710" i="2"/>
  <c r="I4709" i="2"/>
  <c r="H4709" i="2"/>
  <c r="I4708" i="2"/>
  <c r="H4708" i="2"/>
  <c r="I4707" i="2"/>
  <c r="H4707" i="2"/>
  <c r="I4706" i="2"/>
  <c r="H4706" i="2"/>
  <c r="I4705" i="2"/>
  <c r="H4705" i="2"/>
  <c r="I4704" i="2"/>
  <c r="H4704" i="2"/>
  <c r="I4703" i="2"/>
  <c r="H4703" i="2"/>
  <c r="I4702" i="2"/>
  <c r="H4702" i="2"/>
  <c r="I4701" i="2"/>
  <c r="H4701" i="2"/>
  <c r="I4700" i="2"/>
  <c r="H4700" i="2"/>
  <c r="I4699" i="2"/>
  <c r="H4699" i="2"/>
  <c r="I4698" i="2"/>
  <c r="H4698" i="2"/>
  <c r="I4697" i="2"/>
  <c r="H4697" i="2"/>
  <c r="I4696" i="2"/>
  <c r="H4696" i="2"/>
  <c r="I4695" i="2"/>
  <c r="H4695" i="2"/>
  <c r="I4694" i="2"/>
  <c r="H4694" i="2"/>
  <c r="I4693" i="2"/>
  <c r="H4693" i="2"/>
  <c r="I4692" i="2"/>
  <c r="H4692" i="2"/>
  <c r="I4691" i="2"/>
  <c r="H4691" i="2"/>
  <c r="I4690" i="2"/>
  <c r="H4690" i="2"/>
  <c r="I4689" i="2"/>
  <c r="H4689" i="2"/>
  <c r="I4688" i="2"/>
  <c r="H4688" i="2"/>
  <c r="I4687" i="2"/>
  <c r="H4687" i="2"/>
  <c r="I4686" i="2"/>
  <c r="H4686" i="2"/>
  <c r="I4685" i="2"/>
  <c r="H4685" i="2"/>
  <c r="I4684" i="2"/>
  <c r="H4684" i="2"/>
  <c r="I4683" i="2"/>
  <c r="H4683" i="2"/>
  <c r="I4682" i="2"/>
  <c r="H4682" i="2"/>
  <c r="I4681" i="2"/>
  <c r="H4681" i="2"/>
  <c r="I4680" i="2"/>
  <c r="H4680" i="2"/>
  <c r="I4679" i="2"/>
  <c r="H4679" i="2"/>
  <c r="I4678" i="2"/>
  <c r="H4678" i="2"/>
  <c r="I4677" i="2"/>
  <c r="H4677" i="2"/>
  <c r="I4676" i="2"/>
  <c r="H4676" i="2"/>
  <c r="I4675" i="2"/>
  <c r="H4675" i="2"/>
  <c r="I4674" i="2"/>
  <c r="H4674" i="2"/>
  <c r="I4673" i="2"/>
  <c r="H4673" i="2"/>
  <c r="I4672" i="2"/>
  <c r="H4672" i="2"/>
  <c r="I4671" i="2"/>
  <c r="H4671" i="2"/>
  <c r="I4670" i="2"/>
  <c r="H4670" i="2"/>
  <c r="I4669" i="2"/>
  <c r="H4669" i="2"/>
  <c r="I4668" i="2"/>
  <c r="H4668" i="2"/>
  <c r="I4667" i="2"/>
  <c r="H4667" i="2"/>
  <c r="I4666" i="2"/>
  <c r="H4666" i="2"/>
  <c r="I4665" i="2"/>
  <c r="H4665" i="2"/>
  <c r="J4664" i="2"/>
  <c r="I4663" i="2"/>
  <c r="H4663" i="2"/>
  <c r="I4662" i="2"/>
  <c r="H4662" i="2"/>
  <c r="I4661" i="2"/>
  <c r="H4661" i="2"/>
  <c r="I4660" i="2"/>
  <c r="H4660" i="2"/>
  <c r="I4659" i="2"/>
  <c r="H4659" i="2"/>
  <c r="I4658" i="2"/>
  <c r="H4658" i="2"/>
  <c r="I4657" i="2"/>
  <c r="H4657" i="2"/>
  <c r="I4656" i="2"/>
  <c r="H4656" i="2"/>
  <c r="I4655" i="2"/>
  <c r="H4655" i="2"/>
  <c r="I4654" i="2"/>
  <c r="H4654" i="2"/>
  <c r="I4653" i="2"/>
  <c r="H4653" i="2"/>
  <c r="I4652" i="2"/>
  <c r="H4652" i="2"/>
  <c r="I4651" i="2"/>
  <c r="H4651" i="2"/>
  <c r="I4650" i="2"/>
  <c r="H4650" i="2"/>
  <c r="I4649" i="2"/>
  <c r="H4649" i="2"/>
  <c r="I4648" i="2"/>
  <c r="H4648" i="2"/>
  <c r="I4647" i="2"/>
  <c r="H4647" i="2"/>
  <c r="I4646" i="2"/>
  <c r="H4646" i="2"/>
  <c r="I4645" i="2"/>
  <c r="H4645" i="2"/>
  <c r="I4644" i="2"/>
  <c r="H4644" i="2"/>
  <c r="I4643" i="2"/>
  <c r="H4643" i="2"/>
  <c r="I4642" i="2"/>
  <c r="H4642" i="2"/>
  <c r="I4641" i="2"/>
  <c r="H4641" i="2"/>
  <c r="I4640" i="2"/>
  <c r="H4640" i="2"/>
  <c r="I4639" i="2"/>
  <c r="H4639" i="2"/>
  <c r="I4638" i="2"/>
  <c r="H4638" i="2"/>
  <c r="I4637" i="2"/>
  <c r="H4637" i="2"/>
  <c r="I4636" i="2"/>
  <c r="H4636" i="2"/>
  <c r="I4635" i="2"/>
  <c r="H4635" i="2"/>
  <c r="I4634" i="2"/>
  <c r="H4634" i="2"/>
  <c r="I4633" i="2"/>
  <c r="H4633" i="2"/>
  <c r="I4632" i="2"/>
  <c r="H4632" i="2"/>
  <c r="I4631" i="2"/>
  <c r="H4631" i="2"/>
  <c r="I4630" i="2"/>
  <c r="H4630" i="2"/>
  <c r="I4629" i="2"/>
  <c r="H4629" i="2"/>
  <c r="I4628" i="2"/>
  <c r="H4628" i="2"/>
  <c r="I4627" i="2"/>
  <c r="H4627" i="2"/>
  <c r="I4626" i="2"/>
  <c r="H4626" i="2"/>
  <c r="I4625" i="2"/>
  <c r="H4625" i="2"/>
  <c r="I4624" i="2"/>
  <c r="H4624" i="2"/>
  <c r="I4623" i="2"/>
  <c r="H4623" i="2"/>
  <c r="I4622" i="2"/>
  <c r="H4622" i="2"/>
  <c r="I4621" i="2"/>
  <c r="H4621" i="2"/>
  <c r="I4620" i="2"/>
  <c r="H4620" i="2"/>
  <c r="I4619" i="2"/>
  <c r="H4619" i="2"/>
  <c r="I4618" i="2"/>
  <c r="H4618" i="2"/>
  <c r="I4617" i="2"/>
  <c r="H4617" i="2"/>
  <c r="I4616" i="2"/>
  <c r="H4616" i="2"/>
  <c r="I4615" i="2"/>
  <c r="H4615" i="2"/>
  <c r="I4614" i="2"/>
  <c r="H4614" i="2"/>
  <c r="I4613" i="2"/>
  <c r="H4613" i="2"/>
  <c r="I4612" i="2"/>
  <c r="H4612" i="2"/>
  <c r="I4611" i="2"/>
  <c r="H4611" i="2"/>
  <c r="I4610" i="2"/>
  <c r="H4610" i="2"/>
  <c r="I4609" i="2"/>
  <c r="H4609" i="2"/>
  <c r="I4608" i="2"/>
  <c r="H4608" i="2"/>
  <c r="I4607" i="2"/>
  <c r="H4607" i="2"/>
  <c r="I4606" i="2"/>
  <c r="H4606" i="2"/>
  <c r="I4605" i="2"/>
  <c r="H4605" i="2"/>
  <c r="I4604" i="2"/>
  <c r="H4604" i="2"/>
  <c r="I4603" i="2"/>
  <c r="H4603" i="2"/>
  <c r="I4602" i="2"/>
  <c r="H4602" i="2"/>
  <c r="I4601" i="2"/>
  <c r="H4601" i="2"/>
  <c r="I4600" i="2"/>
  <c r="H4600" i="2"/>
  <c r="I4599" i="2"/>
  <c r="H4599" i="2"/>
  <c r="I4598" i="2"/>
  <c r="H4598" i="2"/>
  <c r="I4597" i="2"/>
  <c r="H4597" i="2"/>
  <c r="I4596" i="2"/>
  <c r="H4596" i="2"/>
  <c r="I4595" i="2"/>
  <c r="H4595" i="2"/>
  <c r="I4594" i="2"/>
  <c r="H4594" i="2"/>
  <c r="I4593" i="2"/>
  <c r="H4593" i="2"/>
  <c r="I4592" i="2"/>
  <c r="H4592" i="2"/>
  <c r="I4591" i="2"/>
  <c r="H4591" i="2"/>
  <c r="I4590" i="2"/>
  <c r="H4590" i="2"/>
  <c r="I4589" i="2"/>
  <c r="H4589" i="2"/>
  <c r="I4588" i="2"/>
  <c r="H4588" i="2"/>
  <c r="I4587" i="2"/>
  <c r="H4587" i="2"/>
  <c r="I4586" i="2"/>
  <c r="H4586" i="2"/>
  <c r="I4585" i="2"/>
  <c r="H4585" i="2"/>
  <c r="I4584" i="2"/>
  <c r="H4584" i="2"/>
  <c r="I4583" i="2"/>
  <c r="H4583" i="2"/>
  <c r="I4582" i="2"/>
  <c r="H4582" i="2"/>
  <c r="I4581" i="2"/>
  <c r="H4581" i="2"/>
  <c r="I4580" i="2"/>
  <c r="H4580" i="2"/>
  <c r="I4579" i="2"/>
  <c r="H4579" i="2"/>
  <c r="I4578" i="2"/>
  <c r="H4578" i="2"/>
  <c r="I4577" i="2"/>
  <c r="H4577" i="2"/>
  <c r="I4576" i="2"/>
  <c r="H4576" i="2"/>
  <c r="I4575" i="2"/>
  <c r="H4575" i="2"/>
  <c r="I4574" i="2"/>
  <c r="H4574" i="2"/>
  <c r="I4573" i="2"/>
  <c r="H4573" i="2"/>
  <c r="I4572" i="2"/>
  <c r="H4572" i="2"/>
  <c r="I4571" i="2"/>
  <c r="H4571" i="2"/>
  <c r="I4570" i="2"/>
  <c r="H4570" i="2"/>
  <c r="I4569" i="2"/>
  <c r="H4569" i="2"/>
  <c r="I4568" i="2"/>
  <c r="H4568" i="2"/>
  <c r="I4567" i="2"/>
  <c r="H4567" i="2"/>
  <c r="I4566" i="2"/>
  <c r="H4566" i="2"/>
  <c r="I4565" i="2"/>
  <c r="H4565" i="2"/>
  <c r="I4564" i="2"/>
  <c r="H4564" i="2"/>
  <c r="I4563" i="2"/>
  <c r="H4563" i="2"/>
  <c r="I4562" i="2"/>
  <c r="H4562" i="2"/>
  <c r="I4561" i="2"/>
  <c r="H4561" i="2"/>
  <c r="I4560" i="2"/>
  <c r="H4560" i="2"/>
  <c r="I4559" i="2"/>
  <c r="H4559" i="2"/>
  <c r="I4558" i="2"/>
  <c r="H4558" i="2"/>
  <c r="I4557" i="2"/>
  <c r="H4557" i="2"/>
  <c r="I4556" i="2"/>
  <c r="H4556" i="2"/>
  <c r="I4555" i="2"/>
  <c r="H4555" i="2"/>
  <c r="I4554" i="2"/>
  <c r="H4554" i="2"/>
  <c r="I4553" i="2"/>
  <c r="H4553" i="2"/>
  <c r="I4552" i="2"/>
  <c r="H4552" i="2"/>
  <c r="I4551" i="2"/>
  <c r="H4551" i="2"/>
  <c r="I4550" i="2"/>
  <c r="H4550" i="2"/>
  <c r="I4549" i="2"/>
  <c r="H4549" i="2"/>
  <c r="I4548" i="2"/>
  <c r="H4548" i="2"/>
  <c r="I4547" i="2"/>
  <c r="H4547" i="2"/>
  <c r="I4546" i="2"/>
  <c r="H4546" i="2"/>
  <c r="I4545" i="2"/>
  <c r="H4545" i="2"/>
  <c r="I4544" i="2"/>
  <c r="H4544" i="2"/>
  <c r="I4543" i="2"/>
  <c r="H4543" i="2"/>
  <c r="I4542" i="2"/>
  <c r="H4542" i="2"/>
  <c r="I4541" i="2"/>
  <c r="H4541" i="2"/>
  <c r="I4540" i="2"/>
  <c r="H4540" i="2"/>
  <c r="I4539" i="2"/>
  <c r="H4539" i="2"/>
  <c r="I4538" i="2"/>
  <c r="H4538" i="2"/>
  <c r="I4537" i="2"/>
  <c r="H4537" i="2"/>
  <c r="I4536" i="2"/>
  <c r="H4536" i="2"/>
  <c r="I4535" i="2"/>
  <c r="H4535" i="2"/>
  <c r="I4534" i="2"/>
  <c r="H4534" i="2"/>
  <c r="I4533" i="2"/>
  <c r="H4533" i="2"/>
  <c r="I4532" i="2"/>
  <c r="H4532" i="2"/>
  <c r="I4531" i="2"/>
  <c r="H4531" i="2"/>
  <c r="I4530" i="2"/>
  <c r="H4530" i="2"/>
  <c r="I4529" i="2"/>
  <c r="H4529" i="2"/>
  <c r="I4528" i="2"/>
  <c r="H4528" i="2"/>
  <c r="I4527" i="2"/>
  <c r="H4527" i="2"/>
  <c r="I4526" i="2"/>
  <c r="H4526" i="2"/>
  <c r="I4525" i="2"/>
  <c r="H4525" i="2"/>
  <c r="I4524" i="2"/>
  <c r="H4524" i="2"/>
  <c r="I4523" i="2"/>
  <c r="H4523" i="2"/>
  <c r="I4522" i="2"/>
  <c r="H4522" i="2"/>
  <c r="I4521" i="2"/>
  <c r="H4521" i="2"/>
  <c r="I4520" i="2"/>
  <c r="H4520" i="2"/>
  <c r="I4519" i="2"/>
  <c r="H4519" i="2"/>
  <c r="I4518" i="2"/>
  <c r="H4518" i="2"/>
  <c r="I4517" i="2"/>
  <c r="H4517" i="2"/>
  <c r="I4516" i="2"/>
  <c r="H4516" i="2"/>
  <c r="I4515" i="2"/>
  <c r="H4515" i="2"/>
  <c r="I4514" i="2"/>
  <c r="H4514" i="2"/>
  <c r="I4513" i="2"/>
  <c r="H4513" i="2"/>
  <c r="I4512" i="2"/>
  <c r="H4512" i="2"/>
  <c r="I4511" i="2"/>
  <c r="H4511" i="2"/>
  <c r="I4510" i="2"/>
  <c r="H4510" i="2"/>
  <c r="I4509" i="2"/>
  <c r="H4509" i="2"/>
  <c r="I4508" i="2"/>
  <c r="H4508" i="2"/>
  <c r="I4507" i="2"/>
  <c r="H4507" i="2"/>
  <c r="I4506" i="2"/>
  <c r="H4506" i="2"/>
  <c r="I4505" i="2"/>
  <c r="H4505" i="2"/>
  <c r="I4504" i="2"/>
  <c r="H4504" i="2"/>
  <c r="I4503" i="2"/>
  <c r="H4503" i="2"/>
  <c r="I4502" i="2"/>
  <c r="H4502" i="2"/>
  <c r="I4501" i="2"/>
  <c r="H4501" i="2"/>
  <c r="I4500" i="2"/>
  <c r="H4500" i="2"/>
  <c r="I4499" i="2"/>
  <c r="H4499" i="2"/>
  <c r="I4498" i="2"/>
  <c r="H4498" i="2"/>
  <c r="I4497" i="2"/>
  <c r="H4497" i="2"/>
  <c r="I4496" i="2"/>
  <c r="H4496" i="2"/>
  <c r="I4495" i="2"/>
  <c r="H4495" i="2"/>
  <c r="I4494" i="2"/>
  <c r="H4494" i="2"/>
  <c r="I4493" i="2"/>
  <c r="H4493" i="2"/>
  <c r="I4492" i="2"/>
  <c r="H4492" i="2"/>
  <c r="I4491" i="2"/>
  <c r="H4491" i="2"/>
  <c r="I4490" i="2"/>
  <c r="H4490" i="2"/>
  <c r="I4489" i="2"/>
  <c r="H4489" i="2"/>
  <c r="I4488" i="2"/>
  <c r="H4488" i="2"/>
  <c r="I4487" i="2"/>
  <c r="H4487" i="2"/>
  <c r="I4486" i="2"/>
  <c r="H4486" i="2"/>
  <c r="I4485" i="2"/>
  <c r="H4485" i="2"/>
  <c r="I4484" i="2"/>
  <c r="H4484" i="2"/>
  <c r="I4483" i="2"/>
  <c r="H4483" i="2"/>
  <c r="I4482" i="2"/>
  <c r="H4482" i="2"/>
  <c r="I4481" i="2"/>
  <c r="H4481" i="2"/>
  <c r="I4480" i="2"/>
  <c r="H4480" i="2"/>
  <c r="I4479" i="2"/>
  <c r="H4479" i="2"/>
  <c r="I4478" i="2"/>
  <c r="H4478" i="2"/>
  <c r="I4477" i="2"/>
  <c r="H4477" i="2"/>
  <c r="H4476" i="2"/>
  <c r="I4475" i="2"/>
  <c r="H4475" i="2"/>
  <c r="I4474" i="2"/>
  <c r="H4474" i="2"/>
  <c r="I4473" i="2"/>
  <c r="H4473" i="2"/>
  <c r="I4472" i="2"/>
  <c r="H4472" i="2"/>
  <c r="I4471" i="2"/>
  <c r="H4471" i="2"/>
  <c r="I4470" i="2"/>
  <c r="H4470" i="2"/>
  <c r="I4469" i="2"/>
  <c r="H4469" i="2"/>
  <c r="I4468" i="2"/>
  <c r="H4468" i="2"/>
  <c r="I4467" i="2"/>
  <c r="H4467" i="2"/>
  <c r="I4466" i="2"/>
  <c r="H4466" i="2"/>
  <c r="I4465" i="2"/>
  <c r="H4465" i="2"/>
  <c r="I4464" i="2"/>
  <c r="H4464" i="2"/>
  <c r="I4463" i="2"/>
  <c r="H4463" i="2"/>
  <c r="I4462" i="2"/>
  <c r="H4462" i="2"/>
  <c r="H4461" i="2"/>
  <c r="H4460" i="2"/>
  <c r="I4459" i="2"/>
  <c r="H4459" i="2"/>
  <c r="I4458" i="2"/>
  <c r="H4458" i="2"/>
  <c r="I4457" i="2"/>
  <c r="H4457" i="2"/>
  <c r="I4456" i="2"/>
  <c r="H4456" i="2"/>
  <c r="I4455" i="2"/>
  <c r="H4455" i="2"/>
  <c r="K4454" i="2"/>
  <c r="I4453" i="2"/>
  <c r="H4453" i="2"/>
  <c r="I4452" i="2"/>
  <c r="H4452" i="2"/>
  <c r="I4451" i="2"/>
  <c r="H4451" i="2"/>
  <c r="I4450" i="2"/>
  <c r="H4450" i="2"/>
  <c r="I4449" i="2"/>
  <c r="H4449" i="2"/>
  <c r="I4448" i="2"/>
  <c r="H4448" i="2"/>
  <c r="I4447" i="2"/>
  <c r="H4447" i="2"/>
  <c r="I4446" i="2"/>
  <c r="H4446" i="2"/>
  <c r="I4445" i="2"/>
  <c r="H4445" i="2"/>
  <c r="I4444" i="2"/>
  <c r="H4444" i="2"/>
  <c r="I4443" i="2"/>
  <c r="H4443" i="2"/>
  <c r="I4442" i="2"/>
  <c r="H4442" i="2"/>
  <c r="I4441" i="2"/>
  <c r="H4441" i="2"/>
  <c r="I4440" i="2"/>
  <c r="H4440" i="2"/>
  <c r="I4439" i="2"/>
  <c r="H4439" i="2"/>
  <c r="I4438" i="2"/>
  <c r="H4438" i="2"/>
  <c r="I4437" i="2"/>
  <c r="H4437" i="2"/>
  <c r="I4436" i="2"/>
  <c r="H4436" i="2"/>
  <c r="I4435" i="2"/>
  <c r="H4435" i="2"/>
  <c r="I4434" i="2"/>
  <c r="H4434" i="2"/>
  <c r="I4433" i="2"/>
  <c r="H4433" i="2"/>
  <c r="I4432" i="2"/>
  <c r="H4432" i="2"/>
  <c r="I4431" i="2"/>
  <c r="H4431" i="2"/>
  <c r="I4430" i="2"/>
  <c r="H4430" i="2"/>
  <c r="I4429" i="2"/>
  <c r="H4429" i="2"/>
  <c r="I4428" i="2"/>
  <c r="H4428" i="2"/>
  <c r="I4427" i="2"/>
  <c r="H4427" i="2"/>
  <c r="I4426" i="2"/>
  <c r="H4426" i="2"/>
  <c r="I4425" i="2"/>
  <c r="H4425" i="2"/>
  <c r="I4424" i="2"/>
  <c r="H4424" i="2"/>
  <c r="I4423" i="2"/>
  <c r="H4423" i="2"/>
  <c r="H4422" i="2"/>
  <c r="I4421" i="2"/>
  <c r="H4421" i="2"/>
  <c r="I4420" i="2"/>
  <c r="H4420" i="2"/>
  <c r="I4419" i="2"/>
  <c r="H4419" i="2"/>
  <c r="I4418" i="2"/>
  <c r="H4418" i="2"/>
  <c r="I4417" i="2"/>
  <c r="H4417" i="2"/>
  <c r="I4416" i="2"/>
  <c r="H4416" i="2"/>
  <c r="I4415" i="2"/>
  <c r="H4415" i="2"/>
  <c r="I4414" i="2"/>
  <c r="H4414" i="2"/>
  <c r="I4413" i="2"/>
  <c r="H4413" i="2"/>
  <c r="I4412" i="2"/>
  <c r="H4412" i="2"/>
  <c r="I4411" i="2"/>
  <c r="H4411" i="2"/>
  <c r="I4410" i="2"/>
  <c r="H4410" i="2"/>
  <c r="I4409" i="2"/>
  <c r="H4409" i="2"/>
  <c r="I4408" i="2"/>
  <c r="H4408" i="2"/>
  <c r="I4407" i="2"/>
  <c r="H4407" i="2"/>
  <c r="I4406" i="2"/>
  <c r="H4406" i="2"/>
  <c r="I4405" i="2"/>
  <c r="H4405" i="2"/>
  <c r="I4404" i="2"/>
  <c r="H4404" i="2"/>
  <c r="I4403" i="2"/>
  <c r="H4403" i="2"/>
  <c r="I4402" i="2"/>
  <c r="H4402" i="2"/>
  <c r="I4401" i="2"/>
  <c r="H4401" i="2"/>
  <c r="I4400" i="2"/>
  <c r="H4400" i="2"/>
  <c r="I4399" i="2"/>
  <c r="H4399" i="2"/>
  <c r="I4398" i="2"/>
  <c r="H4398" i="2"/>
  <c r="I4397" i="2"/>
  <c r="H4397" i="2"/>
  <c r="I4396" i="2"/>
  <c r="H4396" i="2"/>
  <c r="I4395" i="2"/>
  <c r="H4395" i="2"/>
  <c r="I4394" i="2"/>
  <c r="H4394" i="2"/>
  <c r="I4393" i="2"/>
  <c r="H4393" i="2"/>
  <c r="I4392" i="2"/>
  <c r="H4392" i="2"/>
  <c r="I4391" i="2"/>
  <c r="H4391" i="2"/>
  <c r="I4390" i="2"/>
  <c r="H4390" i="2"/>
  <c r="I4389" i="2"/>
  <c r="H4389" i="2"/>
  <c r="I4388" i="2"/>
  <c r="H4388" i="2"/>
  <c r="I4387" i="2"/>
  <c r="H4387" i="2"/>
  <c r="I4386" i="2"/>
  <c r="H4386" i="2"/>
  <c r="I4385" i="2"/>
  <c r="H4385" i="2"/>
  <c r="I4384" i="2"/>
  <c r="H4384" i="2"/>
  <c r="I4383" i="2"/>
  <c r="H4383" i="2"/>
  <c r="I4382" i="2"/>
  <c r="H4382" i="2"/>
  <c r="I4381" i="2"/>
  <c r="H4381" i="2"/>
  <c r="I4380" i="2"/>
  <c r="H4380" i="2"/>
  <c r="I4379" i="2"/>
  <c r="H4379" i="2"/>
  <c r="I4378" i="2"/>
  <c r="H4378" i="2"/>
  <c r="I4377" i="2"/>
  <c r="H4377" i="2"/>
  <c r="I4376" i="2"/>
  <c r="H4376" i="2"/>
  <c r="I4375" i="2"/>
  <c r="H4375" i="2"/>
  <c r="I4374" i="2"/>
  <c r="H4374" i="2"/>
  <c r="I4373" i="2"/>
  <c r="H4373" i="2"/>
  <c r="I4372" i="2"/>
  <c r="H4372" i="2"/>
  <c r="I4371" i="2"/>
  <c r="H4371" i="2"/>
  <c r="I4370" i="2"/>
  <c r="H4370" i="2"/>
  <c r="I4369" i="2"/>
  <c r="H4369" i="2"/>
  <c r="I4368" i="2"/>
  <c r="H4368" i="2"/>
  <c r="I4367" i="2"/>
  <c r="H4367" i="2"/>
  <c r="I4366" i="2"/>
  <c r="H4366" i="2"/>
  <c r="I4365" i="2"/>
  <c r="H4365" i="2"/>
  <c r="I4364" i="2"/>
  <c r="H4364" i="2"/>
  <c r="I4363" i="2"/>
  <c r="H4363" i="2"/>
  <c r="I4362" i="2"/>
  <c r="H4362" i="2"/>
  <c r="I4361" i="2"/>
  <c r="H4361" i="2"/>
  <c r="I4360" i="2"/>
  <c r="H4360" i="2"/>
  <c r="I4359" i="2"/>
  <c r="H4359" i="2"/>
  <c r="I4358" i="2"/>
  <c r="H4358" i="2"/>
  <c r="I4357" i="2"/>
  <c r="H4357" i="2"/>
  <c r="I4356" i="2"/>
  <c r="H4356" i="2"/>
  <c r="I4355" i="2"/>
  <c r="H4355" i="2"/>
  <c r="I4354" i="2"/>
  <c r="H4354" i="2"/>
  <c r="I4353" i="2"/>
  <c r="H4353" i="2"/>
  <c r="I4352" i="2"/>
  <c r="H4352" i="2"/>
  <c r="I4351" i="2"/>
  <c r="H4351" i="2"/>
  <c r="I4350" i="2"/>
  <c r="H4350" i="2"/>
  <c r="I4349" i="2"/>
  <c r="H4349" i="2"/>
  <c r="I4348" i="2"/>
  <c r="H4348" i="2"/>
  <c r="I4347" i="2"/>
  <c r="H4347" i="2"/>
  <c r="I4346" i="2"/>
  <c r="H4346" i="2"/>
  <c r="I4345" i="2"/>
  <c r="H4345" i="2"/>
  <c r="I4344" i="2"/>
  <c r="H4344" i="2"/>
  <c r="I4343" i="2"/>
  <c r="H4343" i="2"/>
  <c r="I4342" i="2"/>
  <c r="H4342" i="2"/>
  <c r="I4341" i="2"/>
  <c r="H4341" i="2"/>
  <c r="I4340" i="2"/>
  <c r="H4340" i="2"/>
  <c r="I4339" i="2"/>
  <c r="H4339" i="2"/>
  <c r="I4338" i="2"/>
  <c r="H4338" i="2"/>
  <c r="I4337" i="2"/>
  <c r="H4337" i="2"/>
  <c r="I4336" i="2"/>
  <c r="H4336" i="2"/>
  <c r="I4335" i="2"/>
  <c r="H4335" i="2"/>
  <c r="I4334" i="2"/>
  <c r="H4334" i="2"/>
  <c r="I4333" i="2"/>
  <c r="H4333" i="2"/>
  <c r="I4332" i="2"/>
  <c r="H4332" i="2"/>
  <c r="I4331" i="2"/>
  <c r="H4331" i="2"/>
  <c r="I4330" i="2"/>
  <c r="H4330" i="2"/>
  <c r="I4329" i="2"/>
  <c r="H4329" i="2"/>
  <c r="I4328" i="2"/>
  <c r="H4328" i="2"/>
  <c r="I4327" i="2"/>
  <c r="H4327" i="2"/>
  <c r="I4326" i="2"/>
  <c r="H4326" i="2"/>
  <c r="I4325" i="2"/>
  <c r="H4325" i="2"/>
  <c r="I4324" i="2"/>
  <c r="H4324" i="2"/>
  <c r="I4323" i="2"/>
  <c r="H4323" i="2"/>
  <c r="I4322" i="2"/>
  <c r="H4322" i="2"/>
  <c r="I4321" i="2"/>
  <c r="H4321" i="2"/>
  <c r="I4320" i="2"/>
  <c r="H4320" i="2"/>
  <c r="I4319" i="2"/>
  <c r="H4319" i="2"/>
  <c r="I4318" i="2"/>
  <c r="H4318" i="2"/>
  <c r="I4317" i="2"/>
  <c r="H4317" i="2"/>
  <c r="I4316" i="2"/>
  <c r="H4316" i="2"/>
  <c r="I4315" i="2"/>
  <c r="H4315" i="2"/>
  <c r="I4314" i="2"/>
  <c r="H4314" i="2"/>
  <c r="I4313" i="2"/>
  <c r="H4313" i="2"/>
  <c r="I4312" i="2"/>
  <c r="H4312" i="2"/>
  <c r="I4311" i="2"/>
  <c r="H4311" i="2"/>
  <c r="I4310" i="2"/>
  <c r="H4310" i="2"/>
  <c r="I4309" i="2"/>
  <c r="H4309" i="2"/>
  <c r="I4308" i="2"/>
  <c r="H4308" i="2"/>
  <c r="I4307" i="2"/>
  <c r="H4307" i="2"/>
  <c r="I4306" i="2"/>
  <c r="H4306" i="2"/>
  <c r="I4305" i="2"/>
  <c r="H4305" i="2"/>
  <c r="I4304" i="2"/>
  <c r="H4304" i="2"/>
  <c r="I4303" i="2"/>
  <c r="H4303" i="2"/>
  <c r="I4302" i="2"/>
  <c r="H4302" i="2"/>
  <c r="I4301" i="2"/>
  <c r="H4301" i="2"/>
  <c r="I4300" i="2"/>
  <c r="H4300" i="2"/>
  <c r="I4299" i="2"/>
  <c r="H4299" i="2"/>
  <c r="I4298" i="2"/>
  <c r="H4298" i="2"/>
  <c r="I4297" i="2"/>
  <c r="H4297" i="2"/>
  <c r="I4296" i="2"/>
  <c r="H4296" i="2"/>
  <c r="I4295" i="2"/>
  <c r="H4295" i="2"/>
  <c r="I4294" i="2"/>
  <c r="H4294" i="2"/>
  <c r="I4293" i="2"/>
  <c r="H4293" i="2"/>
  <c r="I4292" i="2"/>
  <c r="H4292" i="2"/>
  <c r="I4291" i="2"/>
  <c r="H4291" i="2"/>
  <c r="I4290" i="2"/>
  <c r="H4290" i="2"/>
  <c r="I4289" i="2"/>
  <c r="H4289" i="2"/>
  <c r="I4288" i="2"/>
  <c r="H4288" i="2"/>
  <c r="I4287" i="2"/>
  <c r="H4287" i="2"/>
  <c r="I4286" i="2"/>
  <c r="H4286" i="2"/>
  <c r="I4285" i="2"/>
  <c r="H4285" i="2"/>
  <c r="I4284" i="2"/>
  <c r="H4284" i="2"/>
  <c r="I4283" i="2"/>
  <c r="H4283" i="2"/>
  <c r="I4282" i="2"/>
  <c r="H4282" i="2"/>
  <c r="I4281" i="2"/>
  <c r="H4281" i="2"/>
  <c r="I4280" i="2"/>
  <c r="H4280" i="2"/>
  <c r="I4279" i="2"/>
  <c r="H4279" i="2"/>
  <c r="I4278" i="2"/>
  <c r="H4278" i="2"/>
  <c r="I4277" i="2"/>
  <c r="H4277" i="2"/>
  <c r="I4276" i="2"/>
  <c r="H4276" i="2"/>
  <c r="I4275" i="2"/>
  <c r="H4275" i="2"/>
  <c r="I4274" i="2"/>
  <c r="H4274" i="2"/>
  <c r="I4273" i="2"/>
  <c r="H4273" i="2"/>
  <c r="I4272" i="2"/>
  <c r="H4272" i="2"/>
  <c r="I4271" i="2"/>
  <c r="H4271" i="2"/>
  <c r="I4270" i="2"/>
  <c r="H4270" i="2"/>
  <c r="I4269" i="2"/>
  <c r="H4269" i="2"/>
  <c r="I4268" i="2"/>
  <c r="H4268" i="2"/>
  <c r="I4267" i="2"/>
  <c r="H4267" i="2"/>
  <c r="I4266" i="2"/>
  <c r="H4266" i="2"/>
  <c r="I4265" i="2"/>
  <c r="H4265" i="2"/>
  <c r="I4264" i="2"/>
  <c r="H4264" i="2"/>
  <c r="I4263" i="2"/>
  <c r="H4263" i="2"/>
  <c r="I4262" i="2"/>
  <c r="H4262" i="2"/>
  <c r="I4261" i="2"/>
  <c r="H4261" i="2"/>
  <c r="I4260" i="2"/>
  <c r="H4260" i="2"/>
  <c r="I4259" i="2"/>
  <c r="H4259" i="2"/>
  <c r="I4258" i="2"/>
  <c r="H4258" i="2"/>
  <c r="I4257" i="2"/>
  <c r="H4257" i="2"/>
  <c r="I4256" i="2"/>
  <c r="H4256" i="2"/>
  <c r="I4255" i="2"/>
  <c r="H4255" i="2"/>
  <c r="I4254" i="2"/>
  <c r="H4254" i="2"/>
  <c r="I4253" i="2"/>
  <c r="H4253" i="2"/>
  <c r="I4252" i="2"/>
  <c r="H4252" i="2"/>
  <c r="I4251" i="2"/>
  <c r="H4251" i="2"/>
  <c r="I4250" i="2"/>
  <c r="H4250" i="2"/>
  <c r="I4249" i="2"/>
  <c r="H4249" i="2"/>
  <c r="I4248" i="2"/>
  <c r="H4248" i="2"/>
  <c r="I4247" i="2"/>
  <c r="H4247" i="2"/>
  <c r="I4246" i="2"/>
  <c r="H4246" i="2"/>
  <c r="I4245" i="2"/>
  <c r="H4245" i="2"/>
  <c r="I4244" i="2"/>
  <c r="H4244" i="2"/>
  <c r="I4243" i="2"/>
  <c r="H4243" i="2"/>
  <c r="I4242" i="2"/>
  <c r="H4242" i="2"/>
  <c r="I4241" i="2"/>
  <c r="H4241" i="2"/>
  <c r="I4240" i="2"/>
  <c r="H4240" i="2"/>
  <c r="I4239" i="2"/>
  <c r="H4239" i="2"/>
  <c r="I4238" i="2"/>
  <c r="H4238" i="2"/>
  <c r="I4237" i="2"/>
  <c r="H4237" i="2"/>
  <c r="I4236" i="2"/>
  <c r="H4236" i="2"/>
  <c r="I4235" i="2"/>
  <c r="H4235" i="2"/>
  <c r="I4234" i="2"/>
  <c r="H4234" i="2"/>
  <c r="I4233" i="2"/>
  <c r="H4233" i="2"/>
  <c r="I4232" i="2"/>
  <c r="H4232" i="2"/>
  <c r="I4231" i="2"/>
  <c r="H4231" i="2"/>
  <c r="I4230" i="2"/>
  <c r="H4230" i="2"/>
  <c r="I4229" i="2"/>
  <c r="H4229" i="2"/>
  <c r="I4228" i="2"/>
  <c r="H4228" i="2"/>
  <c r="I4227" i="2"/>
  <c r="H4227" i="2"/>
  <c r="I4226" i="2"/>
  <c r="H4226" i="2"/>
  <c r="I4225" i="2"/>
  <c r="H4225" i="2"/>
  <c r="I4224" i="2"/>
  <c r="H4224" i="2"/>
  <c r="I4223" i="2"/>
  <c r="H4223" i="2"/>
  <c r="I4222" i="2"/>
  <c r="H4222" i="2"/>
  <c r="I4221" i="2"/>
  <c r="H4221" i="2"/>
  <c r="I4220" i="2"/>
  <c r="H4220" i="2"/>
  <c r="I4219" i="2"/>
  <c r="H4219" i="2"/>
  <c r="I4218" i="2"/>
  <c r="H4218" i="2"/>
  <c r="I4217" i="2"/>
  <c r="H4217" i="2"/>
  <c r="I4216" i="2"/>
  <c r="H4216" i="2"/>
  <c r="I4215" i="2"/>
  <c r="H4215" i="2"/>
  <c r="I4214" i="2"/>
  <c r="H4214" i="2"/>
  <c r="I4213" i="2"/>
  <c r="H4213" i="2"/>
  <c r="I4212" i="2"/>
  <c r="H4212" i="2"/>
  <c r="I4211" i="2"/>
  <c r="H4211" i="2"/>
  <c r="I4210" i="2"/>
  <c r="H4210" i="2"/>
  <c r="I4209" i="2"/>
  <c r="H4209" i="2"/>
  <c r="I4208" i="2"/>
  <c r="H4208" i="2"/>
  <c r="I4207" i="2"/>
  <c r="H4207" i="2"/>
  <c r="I4206" i="2"/>
  <c r="H4206" i="2"/>
  <c r="I4205" i="2"/>
  <c r="H4205" i="2"/>
  <c r="I4204" i="2"/>
  <c r="H4204" i="2"/>
  <c r="I4203" i="2"/>
  <c r="H4203" i="2"/>
  <c r="I4202" i="2"/>
  <c r="H4202" i="2"/>
  <c r="I4201" i="2"/>
  <c r="H4201" i="2"/>
  <c r="I4200" i="2"/>
  <c r="H4200" i="2"/>
  <c r="I4199" i="2"/>
  <c r="H4199" i="2"/>
  <c r="I4198" i="2"/>
  <c r="H4198" i="2"/>
  <c r="I4197" i="2"/>
  <c r="H4197" i="2"/>
  <c r="I4196" i="2"/>
  <c r="H4196" i="2"/>
  <c r="I4195" i="2"/>
  <c r="H4195" i="2"/>
  <c r="I4194" i="2"/>
  <c r="H4194" i="2"/>
  <c r="I4193" i="2"/>
  <c r="H4193" i="2"/>
  <c r="I4192" i="2"/>
  <c r="H4192" i="2"/>
  <c r="I4191" i="2"/>
  <c r="H4191" i="2"/>
  <c r="I4190" i="2"/>
  <c r="H4190" i="2"/>
  <c r="I4189" i="2"/>
  <c r="H4189" i="2"/>
  <c r="I4188" i="2"/>
  <c r="H4188" i="2"/>
  <c r="I4187" i="2"/>
  <c r="H4187" i="2"/>
  <c r="I4186" i="2"/>
  <c r="H4186" i="2"/>
  <c r="I4185" i="2"/>
  <c r="H4185" i="2"/>
  <c r="I4184" i="2"/>
  <c r="H4184" i="2"/>
  <c r="I4183" i="2"/>
  <c r="H4183" i="2"/>
  <c r="I4182" i="2"/>
  <c r="H4182" i="2"/>
  <c r="I4181" i="2"/>
  <c r="H4181" i="2"/>
  <c r="I4180" i="2"/>
  <c r="H4180" i="2"/>
  <c r="I4179" i="2"/>
  <c r="H4179" i="2"/>
  <c r="I4178" i="2"/>
  <c r="H4178" i="2"/>
  <c r="I4177" i="2"/>
  <c r="H4177" i="2"/>
  <c r="I4176" i="2"/>
  <c r="H4176" i="2"/>
  <c r="I4175" i="2"/>
  <c r="H4175" i="2"/>
  <c r="I4174" i="2"/>
  <c r="H4174" i="2"/>
  <c r="I4173" i="2"/>
  <c r="H4173" i="2"/>
  <c r="I4172" i="2"/>
  <c r="H4172" i="2"/>
  <c r="I4171" i="2"/>
  <c r="H4171" i="2"/>
  <c r="I4170" i="2"/>
  <c r="H4170" i="2"/>
  <c r="I4169" i="2"/>
  <c r="H4169" i="2"/>
  <c r="I4168" i="2"/>
  <c r="H4168" i="2"/>
  <c r="I4167" i="2"/>
  <c r="H4167" i="2"/>
  <c r="I4166" i="2"/>
  <c r="H4166" i="2"/>
  <c r="I4165" i="2"/>
  <c r="H4165" i="2"/>
  <c r="I4164" i="2"/>
  <c r="H4164" i="2"/>
  <c r="I4163" i="2"/>
  <c r="H4163" i="2"/>
  <c r="I4162" i="2"/>
  <c r="H4162" i="2"/>
  <c r="I4161" i="2"/>
  <c r="H4161" i="2"/>
  <c r="I4160" i="2"/>
  <c r="H4160" i="2"/>
  <c r="I4159" i="2"/>
  <c r="H4159" i="2"/>
  <c r="I4158" i="2"/>
  <c r="H4158" i="2"/>
  <c r="I4157" i="2"/>
  <c r="H4157" i="2"/>
  <c r="I4156" i="2"/>
  <c r="H4156" i="2"/>
  <c r="I4155" i="2"/>
  <c r="H4155" i="2"/>
  <c r="I4154" i="2"/>
  <c r="H4154" i="2"/>
  <c r="I4153" i="2"/>
  <c r="H4153" i="2"/>
  <c r="I4152" i="2"/>
  <c r="H4152" i="2"/>
  <c r="I4151" i="2"/>
  <c r="H4151" i="2"/>
  <c r="I4150" i="2"/>
  <c r="H4150" i="2"/>
  <c r="I4149" i="2"/>
  <c r="H4149" i="2"/>
  <c r="I4148" i="2"/>
  <c r="H4148" i="2"/>
  <c r="I4147" i="2"/>
  <c r="H4147" i="2"/>
  <c r="I4146" i="2"/>
  <c r="H4146" i="2"/>
  <c r="I4145" i="2"/>
  <c r="H4145" i="2"/>
  <c r="I4144" i="2"/>
  <c r="H4144" i="2"/>
  <c r="I4143" i="2"/>
  <c r="H4143" i="2"/>
  <c r="I4142" i="2"/>
  <c r="H4142" i="2"/>
  <c r="I4141" i="2"/>
  <c r="H4141" i="2"/>
  <c r="I4140" i="2"/>
  <c r="H4140" i="2"/>
  <c r="I4139" i="2"/>
  <c r="H4139" i="2"/>
  <c r="I4138" i="2"/>
  <c r="H4138" i="2"/>
  <c r="I4137" i="2"/>
  <c r="H4137" i="2"/>
  <c r="I4136" i="2"/>
  <c r="H4136" i="2"/>
  <c r="I4135" i="2"/>
  <c r="H4135" i="2"/>
  <c r="I4134" i="2"/>
  <c r="H4134" i="2"/>
  <c r="I4133" i="2"/>
  <c r="H4133" i="2"/>
  <c r="I4132" i="2"/>
  <c r="H4132" i="2"/>
  <c r="I4131" i="2"/>
  <c r="H4131" i="2"/>
  <c r="I4130" i="2"/>
  <c r="H4130" i="2"/>
  <c r="I4129" i="2"/>
  <c r="H4129" i="2"/>
  <c r="I4128" i="2"/>
  <c r="H4128" i="2"/>
  <c r="I4127" i="2"/>
  <c r="H4127" i="2"/>
  <c r="I4126" i="2"/>
  <c r="H4126" i="2"/>
  <c r="I4125" i="2"/>
  <c r="H4125" i="2"/>
  <c r="I4124" i="2"/>
  <c r="H4124" i="2"/>
  <c r="I4123" i="2"/>
  <c r="H4123" i="2"/>
  <c r="I4122" i="2"/>
  <c r="H4122" i="2"/>
  <c r="I4121" i="2"/>
  <c r="H4121" i="2"/>
  <c r="I4120" i="2"/>
  <c r="H4120" i="2"/>
  <c r="I4119" i="2"/>
  <c r="H4119" i="2"/>
  <c r="I4118" i="2"/>
  <c r="H4118" i="2"/>
  <c r="I4117" i="2"/>
  <c r="H4117" i="2"/>
  <c r="I4116" i="2"/>
  <c r="H4116" i="2"/>
  <c r="I4115" i="2"/>
  <c r="H4115" i="2"/>
  <c r="I4114" i="2"/>
  <c r="H4114" i="2"/>
  <c r="I4113" i="2"/>
  <c r="H4113" i="2"/>
  <c r="I4112" i="2"/>
  <c r="H4112" i="2"/>
  <c r="I4111" i="2"/>
  <c r="H4111" i="2"/>
  <c r="I4110" i="2"/>
  <c r="H4110" i="2"/>
  <c r="I4109" i="2"/>
  <c r="H4109" i="2"/>
  <c r="I4108" i="2"/>
  <c r="H4108" i="2"/>
  <c r="I4107" i="2"/>
  <c r="H4107" i="2"/>
  <c r="I4106" i="2"/>
  <c r="H4106" i="2"/>
  <c r="I4105" i="2"/>
  <c r="H4105" i="2"/>
  <c r="I4104" i="2"/>
  <c r="H4104" i="2"/>
  <c r="I4103" i="2"/>
  <c r="H4103" i="2"/>
  <c r="I4102" i="2"/>
  <c r="H4102" i="2"/>
  <c r="I4101" i="2"/>
  <c r="H4101" i="2"/>
  <c r="I4100" i="2"/>
  <c r="H4100" i="2"/>
  <c r="I4099" i="2"/>
  <c r="H4099" i="2"/>
  <c r="I4098" i="2"/>
  <c r="H4098" i="2"/>
  <c r="I4097" i="2"/>
  <c r="H4097" i="2"/>
  <c r="I4096" i="2"/>
  <c r="H4096" i="2"/>
  <c r="I4095" i="2"/>
  <c r="H4095" i="2"/>
  <c r="I4094" i="2"/>
  <c r="H4094" i="2"/>
  <c r="I4093" i="2"/>
  <c r="H4093" i="2"/>
  <c r="I4092" i="2"/>
  <c r="H4092" i="2"/>
  <c r="I4091" i="2"/>
  <c r="H4091" i="2"/>
  <c r="I4090" i="2"/>
  <c r="H4090" i="2"/>
  <c r="I4089" i="2"/>
  <c r="H4089" i="2"/>
  <c r="I4088" i="2"/>
  <c r="H4088" i="2"/>
  <c r="I4087" i="2"/>
  <c r="H4087" i="2"/>
  <c r="I4086" i="2"/>
  <c r="H4086" i="2"/>
  <c r="I4085" i="2"/>
  <c r="H4085" i="2"/>
  <c r="I4084" i="2"/>
  <c r="H4084" i="2"/>
  <c r="I4083" i="2"/>
  <c r="H4083" i="2"/>
  <c r="I4082" i="2"/>
  <c r="H4082" i="2"/>
  <c r="I4081" i="2"/>
  <c r="H4081" i="2"/>
  <c r="I4080" i="2"/>
  <c r="H4080" i="2"/>
  <c r="I4079" i="2"/>
  <c r="H4079" i="2"/>
  <c r="I4078" i="2"/>
  <c r="H4078" i="2"/>
  <c r="I4077" i="2"/>
  <c r="H4077" i="2"/>
  <c r="I4076" i="2"/>
  <c r="H4076" i="2"/>
  <c r="I4075" i="2"/>
  <c r="H4075" i="2"/>
  <c r="I4074" i="2"/>
  <c r="H4074" i="2"/>
  <c r="I4073" i="2"/>
  <c r="H4073" i="2"/>
  <c r="I4072" i="2"/>
  <c r="H4072" i="2"/>
  <c r="I4071" i="2"/>
  <c r="H4071" i="2"/>
  <c r="I4070" i="2"/>
  <c r="H4070" i="2"/>
  <c r="I4069" i="2"/>
  <c r="H4069" i="2"/>
  <c r="I4068" i="2"/>
  <c r="H4068" i="2"/>
  <c r="I4067" i="2"/>
  <c r="H4067" i="2"/>
  <c r="I4066" i="2"/>
  <c r="H4066" i="2"/>
  <c r="I4065" i="2"/>
  <c r="H4065" i="2"/>
  <c r="I4064" i="2"/>
  <c r="H4064" i="2"/>
  <c r="I4063" i="2"/>
  <c r="H4063" i="2"/>
  <c r="I4062" i="2"/>
  <c r="H4062" i="2"/>
  <c r="I4061" i="2"/>
  <c r="H4061" i="2"/>
  <c r="I4060" i="2"/>
  <c r="H4060" i="2"/>
  <c r="I4059" i="2"/>
  <c r="H4059" i="2"/>
  <c r="I4058" i="2"/>
  <c r="H4058" i="2"/>
  <c r="I4057" i="2"/>
  <c r="H4057" i="2"/>
  <c r="I4056" i="2"/>
  <c r="H4056" i="2"/>
  <c r="I4055" i="2"/>
  <c r="H4055" i="2"/>
  <c r="I4054" i="2"/>
  <c r="H4054" i="2"/>
  <c r="I4053" i="2"/>
  <c r="H4053" i="2"/>
  <c r="I4052" i="2"/>
  <c r="H4052" i="2"/>
  <c r="I4051" i="2"/>
  <c r="H4051" i="2"/>
  <c r="I4050" i="2"/>
  <c r="H4050" i="2"/>
  <c r="I4049" i="2"/>
  <c r="H4049" i="2"/>
  <c r="I4048" i="2"/>
  <c r="H4048" i="2"/>
  <c r="I4047" i="2"/>
  <c r="H4047" i="2"/>
  <c r="I4046" i="2"/>
  <c r="H4046" i="2"/>
  <c r="I4045" i="2"/>
  <c r="H4045" i="2"/>
  <c r="I4044" i="2"/>
  <c r="H4044" i="2"/>
  <c r="I4043" i="2"/>
  <c r="H4043" i="2"/>
  <c r="I4042" i="2"/>
  <c r="H4042" i="2"/>
  <c r="I4041" i="2"/>
  <c r="H4041" i="2"/>
  <c r="I4040" i="2"/>
  <c r="H4040" i="2"/>
  <c r="I4039" i="2"/>
  <c r="H4039" i="2"/>
  <c r="I4038" i="2"/>
  <c r="H4038" i="2"/>
  <c r="I4037" i="2"/>
  <c r="H4037" i="2"/>
  <c r="I4036" i="2"/>
  <c r="H4036" i="2"/>
  <c r="I4035" i="2"/>
  <c r="H4035" i="2"/>
  <c r="I4034" i="2"/>
  <c r="H4034" i="2"/>
  <c r="I4033" i="2"/>
  <c r="H4033" i="2"/>
  <c r="I4032" i="2"/>
  <c r="H4032" i="2"/>
  <c r="I4031" i="2"/>
  <c r="H4031" i="2"/>
  <c r="I4030" i="2"/>
  <c r="H4030" i="2"/>
  <c r="I4029" i="2"/>
  <c r="H4029" i="2"/>
  <c r="I4028" i="2"/>
  <c r="H4028" i="2"/>
  <c r="I4027" i="2"/>
  <c r="H4027" i="2"/>
  <c r="I4026" i="2"/>
  <c r="H4026" i="2"/>
  <c r="I4025" i="2"/>
  <c r="H4025" i="2"/>
  <c r="I4024" i="2"/>
  <c r="H4024" i="2"/>
  <c r="I4023" i="2"/>
  <c r="H4023" i="2"/>
  <c r="I4022" i="2"/>
  <c r="H4022" i="2"/>
  <c r="I4021" i="2"/>
  <c r="H4021" i="2"/>
  <c r="I4020" i="2"/>
  <c r="H4020" i="2"/>
  <c r="I4019" i="2"/>
  <c r="H4019" i="2"/>
  <c r="I4018" i="2"/>
  <c r="H4018" i="2"/>
  <c r="I4017" i="2"/>
  <c r="H4017" i="2"/>
  <c r="I4016" i="2"/>
  <c r="H4016" i="2"/>
  <c r="I4015" i="2"/>
  <c r="H4015" i="2"/>
  <c r="I4014" i="2"/>
  <c r="H4014" i="2"/>
  <c r="I4013" i="2"/>
  <c r="H4013" i="2"/>
  <c r="I4012" i="2"/>
  <c r="H4012" i="2"/>
  <c r="I4011" i="2"/>
  <c r="H4011" i="2"/>
  <c r="I4010" i="2"/>
  <c r="H4010" i="2"/>
  <c r="I4009" i="2"/>
  <c r="H4009" i="2"/>
  <c r="I4008" i="2"/>
  <c r="H4008" i="2"/>
  <c r="I4007" i="2"/>
  <c r="H4007" i="2"/>
  <c r="I4006" i="2"/>
  <c r="H4006" i="2"/>
  <c r="I4005" i="2"/>
  <c r="H4005" i="2"/>
  <c r="I4004" i="2"/>
  <c r="H4004" i="2"/>
  <c r="I4003" i="2"/>
  <c r="H4003" i="2"/>
  <c r="I4002" i="2"/>
  <c r="H4002" i="2"/>
  <c r="I4001" i="2"/>
  <c r="H4001" i="2"/>
  <c r="I4000" i="2"/>
  <c r="H4000" i="2"/>
  <c r="I3999" i="2"/>
  <c r="H3999" i="2"/>
  <c r="I3998" i="2"/>
  <c r="H3998" i="2"/>
  <c r="I3997" i="2"/>
  <c r="H3997" i="2"/>
  <c r="I3996" i="2"/>
  <c r="H3996" i="2"/>
  <c r="I3995" i="2"/>
  <c r="H3995" i="2"/>
  <c r="I3994" i="2"/>
  <c r="H3994" i="2"/>
  <c r="I3993" i="2"/>
  <c r="H3993" i="2"/>
  <c r="I3992" i="2"/>
  <c r="H3992" i="2"/>
  <c r="I3991" i="2"/>
  <c r="H3991" i="2"/>
  <c r="I3990" i="2"/>
  <c r="H3990" i="2"/>
  <c r="I3989" i="2"/>
  <c r="H3989" i="2"/>
  <c r="I3988" i="2"/>
  <c r="H3988" i="2"/>
  <c r="I3987" i="2"/>
  <c r="H3987" i="2"/>
  <c r="I3986" i="2"/>
  <c r="H3986" i="2"/>
  <c r="I3985" i="2"/>
  <c r="H3985" i="2"/>
  <c r="I3984" i="2"/>
  <c r="H3984" i="2"/>
  <c r="I3983" i="2"/>
  <c r="H3983" i="2"/>
  <c r="I3982" i="2"/>
  <c r="H3982" i="2"/>
  <c r="I3981" i="2"/>
  <c r="H3981" i="2"/>
  <c r="I3980" i="2"/>
  <c r="H3980" i="2"/>
  <c r="I3979" i="2"/>
  <c r="H3979" i="2"/>
  <c r="I3978" i="2"/>
  <c r="H3978" i="2"/>
  <c r="I3977" i="2"/>
  <c r="H3977" i="2"/>
  <c r="I3976" i="2"/>
  <c r="H3976" i="2"/>
  <c r="I3975" i="2"/>
  <c r="H3975" i="2"/>
  <c r="I3974" i="2"/>
  <c r="H3974" i="2"/>
  <c r="I3973" i="2"/>
  <c r="H3973" i="2"/>
  <c r="I3972" i="2"/>
  <c r="H3972" i="2"/>
  <c r="I3971" i="2"/>
  <c r="H3971" i="2"/>
  <c r="I3970" i="2"/>
  <c r="H3970" i="2"/>
  <c r="I3969" i="2"/>
  <c r="H3969" i="2"/>
  <c r="I3968" i="2"/>
  <c r="H3968" i="2"/>
  <c r="I3967" i="2"/>
  <c r="H3967" i="2"/>
  <c r="I3966" i="2"/>
  <c r="H3966" i="2"/>
  <c r="I3965" i="2"/>
  <c r="H3965" i="2"/>
  <c r="I3964" i="2"/>
  <c r="H3964" i="2"/>
  <c r="I3963" i="2"/>
  <c r="H3963" i="2"/>
  <c r="I3962" i="2"/>
  <c r="H3962" i="2"/>
  <c r="I3961" i="2"/>
  <c r="H3961" i="2"/>
  <c r="I3960" i="2"/>
  <c r="H3960" i="2"/>
  <c r="I3959" i="2"/>
  <c r="H3959" i="2"/>
  <c r="I3958" i="2"/>
  <c r="H3958" i="2"/>
  <c r="I3957" i="2"/>
  <c r="H3957" i="2"/>
  <c r="I3956" i="2"/>
  <c r="H3956" i="2"/>
  <c r="I3955" i="2"/>
  <c r="H3955" i="2"/>
  <c r="I3954" i="2"/>
  <c r="H3954" i="2"/>
  <c r="I3953" i="2"/>
  <c r="H3953" i="2"/>
  <c r="I3952" i="2"/>
  <c r="H3952" i="2"/>
  <c r="I3951" i="2"/>
  <c r="H3951" i="2"/>
  <c r="I3950" i="2"/>
  <c r="H3950" i="2"/>
  <c r="I3949" i="2"/>
  <c r="H3949" i="2"/>
  <c r="I3948" i="2"/>
  <c r="H3948" i="2"/>
  <c r="I3947" i="2"/>
  <c r="H3947" i="2"/>
  <c r="I3946" i="2"/>
  <c r="H3946" i="2"/>
  <c r="I3945" i="2"/>
  <c r="H3945" i="2"/>
  <c r="I3944" i="2"/>
  <c r="H3944" i="2"/>
  <c r="I3943" i="2"/>
  <c r="H3943" i="2"/>
  <c r="I3942" i="2"/>
  <c r="H3942" i="2"/>
  <c r="I3941" i="2"/>
  <c r="H3941" i="2"/>
  <c r="I3940" i="2"/>
  <c r="H3940" i="2"/>
  <c r="I3939" i="2"/>
  <c r="H3939" i="2"/>
  <c r="I3938" i="2"/>
  <c r="H3938" i="2"/>
  <c r="I3937" i="2"/>
  <c r="H3937" i="2"/>
  <c r="I3936" i="2"/>
  <c r="H3936" i="2"/>
  <c r="I3935" i="2"/>
  <c r="H3935" i="2"/>
  <c r="I3934" i="2"/>
  <c r="H3934" i="2"/>
  <c r="I3933" i="2"/>
  <c r="H3933" i="2"/>
  <c r="I3932" i="2"/>
  <c r="H3932" i="2"/>
  <c r="I3931" i="2"/>
  <c r="H3931" i="2"/>
  <c r="I3930" i="2"/>
  <c r="H3930" i="2"/>
  <c r="I3929" i="2"/>
  <c r="H3929" i="2"/>
  <c r="I3928" i="2"/>
  <c r="H3928" i="2"/>
  <c r="I3927" i="2"/>
  <c r="H3927" i="2"/>
  <c r="I3926" i="2"/>
  <c r="H3926" i="2"/>
  <c r="I3925" i="2"/>
  <c r="H3925" i="2"/>
  <c r="I3924" i="2"/>
  <c r="H3924" i="2"/>
  <c r="I3923" i="2"/>
  <c r="H3923" i="2"/>
  <c r="I3922" i="2"/>
  <c r="H3922" i="2"/>
  <c r="I3921" i="2"/>
  <c r="H3921" i="2"/>
  <c r="I3920" i="2"/>
  <c r="H3920" i="2"/>
  <c r="I3919" i="2"/>
  <c r="H3919" i="2"/>
  <c r="I3918" i="2"/>
  <c r="H3918" i="2"/>
  <c r="I3917" i="2"/>
  <c r="H3917" i="2"/>
  <c r="I3916" i="2"/>
  <c r="H3916" i="2"/>
  <c r="I3915" i="2"/>
  <c r="H3915" i="2"/>
  <c r="I3914" i="2"/>
  <c r="H3914" i="2"/>
  <c r="I3913" i="2"/>
  <c r="H3913" i="2"/>
  <c r="I3912" i="2"/>
  <c r="H3912" i="2"/>
  <c r="I3911" i="2"/>
  <c r="H3911" i="2"/>
  <c r="I3910" i="2"/>
  <c r="H3910" i="2"/>
  <c r="I3909" i="2"/>
  <c r="H3909" i="2"/>
  <c r="I3908" i="2"/>
  <c r="H3908" i="2"/>
  <c r="I3907" i="2"/>
  <c r="H3907" i="2"/>
  <c r="I3906" i="2"/>
  <c r="H3906" i="2"/>
  <c r="I3905" i="2"/>
  <c r="H3905" i="2"/>
  <c r="I3904" i="2"/>
  <c r="H3904" i="2"/>
  <c r="I3903" i="2"/>
  <c r="H3903" i="2"/>
  <c r="I3902" i="2"/>
  <c r="H3902" i="2"/>
  <c r="I3901" i="2"/>
  <c r="H3901" i="2"/>
  <c r="I3900" i="2"/>
  <c r="H3900" i="2"/>
  <c r="I3899" i="2"/>
  <c r="H3899" i="2"/>
  <c r="I3898" i="2"/>
  <c r="H3898" i="2"/>
  <c r="I3897" i="2"/>
  <c r="H3897" i="2"/>
  <c r="I3896" i="2"/>
  <c r="H3896" i="2"/>
  <c r="I3895" i="2"/>
  <c r="H3895" i="2"/>
  <c r="I3894" i="2"/>
  <c r="H3894" i="2"/>
  <c r="I3893" i="2"/>
  <c r="H3893" i="2"/>
  <c r="I3892" i="2"/>
  <c r="H3892" i="2"/>
  <c r="I3891" i="2"/>
  <c r="H3891" i="2"/>
  <c r="I3890" i="2"/>
  <c r="H3890" i="2"/>
  <c r="I3889" i="2"/>
  <c r="H3889" i="2"/>
  <c r="I3888" i="2"/>
  <c r="H3888" i="2"/>
  <c r="I3887" i="2"/>
  <c r="H3887" i="2"/>
  <c r="I3886" i="2"/>
  <c r="H3886" i="2"/>
  <c r="I3885" i="2"/>
  <c r="H3885" i="2"/>
  <c r="I3884" i="2"/>
  <c r="H3884" i="2"/>
  <c r="I3883" i="2"/>
  <c r="H3883" i="2"/>
  <c r="I3882" i="2"/>
  <c r="H3882" i="2"/>
  <c r="I3881" i="2"/>
  <c r="H3881" i="2"/>
  <c r="I3880" i="2"/>
  <c r="H3880" i="2"/>
  <c r="I3879" i="2"/>
  <c r="H3879" i="2"/>
  <c r="I3878" i="2"/>
  <c r="H3878" i="2"/>
  <c r="I3877" i="2"/>
  <c r="H3877" i="2"/>
  <c r="I3876" i="2"/>
  <c r="H3876" i="2"/>
  <c r="I3875" i="2"/>
  <c r="H3875" i="2"/>
  <c r="I3874" i="2"/>
  <c r="H3874" i="2"/>
  <c r="I3873" i="2"/>
  <c r="H3873" i="2"/>
  <c r="I3872" i="2"/>
  <c r="H3872" i="2"/>
  <c r="I3871" i="2"/>
  <c r="H3871" i="2"/>
  <c r="I3870" i="2"/>
  <c r="H3870" i="2"/>
  <c r="I3869" i="2"/>
  <c r="H3869" i="2"/>
  <c r="I3868" i="2"/>
  <c r="H3868" i="2"/>
  <c r="I3867" i="2"/>
  <c r="H3867" i="2"/>
  <c r="I3866" i="2"/>
  <c r="H3866" i="2"/>
  <c r="I3865" i="2"/>
  <c r="H3865" i="2"/>
  <c r="I3864" i="2"/>
  <c r="H3864" i="2"/>
  <c r="I3863" i="2"/>
  <c r="H3863" i="2"/>
  <c r="I3862" i="2"/>
  <c r="H3862" i="2"/>
  <c r="I3861" i="2"/>
  <c r="H3861" i="2"/>
  <c r="I3860" i="2"/>
  <c r="H3860" i="2"/>
  <c r="I3859" i="2"/>
  <c r="H3859" i="2"/>
  <c r="I3858" i="2"/>
  <c r="H3858" i="2"/>
  <c r="I3857" i="2"/>
  <c r="H3857" i="2"/>
  <c r="I3856" i="2"/>
  <c r="H3856" i="2"/>
  <c r="I3855" i="2"/>
  <c r="H3855" i="2"/>
  <c r="I3854" i="2"/>
  <c r="H3854" i="2"/>
  <c r="I3853" i="2"/>
  <c r="H3853" i="2"/>
  <c r="I3852" i="2"/>
  <c r="H3852" i="2"/>
  <c r="I3851" i="2"/>
  <c r="H3851" i="2"/>
  <c r="I3850" i="2"/>
  <c r="H3850" i="2"/>
  <c r="I3849" i="2"/>
  <c r="H3849" i="2"/>
  <c r="I3848" i="2"/>
  <c r="H3848" i="2"/>
  <c r="I3847" i="2"/>
  <c r="H3847" i="2"/>
  <c r="I3846" i="2"/>
  <c r="H3846" i="2"/>
  <c r="I3845" i="2"/>
  <c r="H3845" i="2"/>
  <c r="I3844" i="2"/>
  <c r="H3844" i="2"/>
  <c r="I3843" i="2"/>
  <c r="H3843" i="2"/>
  <c r="I3842" i="2"/>
  <c r="H3842" i="2"/>
  <c r="I3841" i="2"/>
  <c r="H3841" i="2"/>
  <c r="I3840" i="2"/>
  <c r="H3840" i="2"/>
  <c r="I3839" i="2"/>
  <c r="H3839" i="2"/>
  <c r="I3838" i="2"/>
  <c r="H3838" i="2"/>
  <c r="I3837" i="2"/>
  <c r="H3837" i="2"/>
  <c r="I3836" i="2"/>
  <c r="H3836" i="2"/>
  <c r="I3835" i="2"/>
  <c r="H3835" i="2"/>
  <c r="I3834" i="2"/>
  <c r="H3834" i="2"/>
  <c r="I3833" i="2"/>
  <c r="H3833" i="2"/>
  <c r="I3832" i="2"/>
  <c r="H3832" i="2"/>
  <c r="I3831" i="2"/>
  <c r="H3831" i="2"/>
  <c r="I3830" i="2"/>
  <c r="H3830" i="2"/>
  <c r="I3829" i="2"/>
  <c r="H3829" i="2"/>
  <c r="I3828" i="2"/>
  <c r="H3828" i="2"/>
  <c r="I3827" i="2"/>
  <c r="H3827" i="2"/>
  <c r="I3826" i="2"/>
  <c r="H3826" i="2"/>
  <c r="I3825" i="2"/>
  <c r="H3825" i="2"/>
  <c r="I3824" i="2"/>
  <c r="H3824" i="2"/>
  <c r="I3823" i="2"/>
  <c r="H3823" i="2"/>
  <c r="I3822" i="2"/>
  <c r="H3822" i="2"/>
  <c r="I3821" i="2"/>
  <c r="H3821" i="2"/>
  <c r="I3820" i="2"/>
  <c r="H3820" i="2"/>
  <c r="I3819" i="2"/>
  <c r="H3819" i="2"/>
  <c r="I3818" i="2"/>
  <c r="H3818" i="2"/>
  <c r="I3817" i="2"/>
  <c r="H3817" i="2"/>
  <c r="I3816" i="2"/>
  <c r="H3816" i="2"/>
  <c r="I3815" i="2"/>
  <c r="H3815" i="2"/>
  <c r="I3814" i="2"/>
  <c r="H3814" i="2"/>
  <c r="I3813" i="2"/>
  <c r="H3813" i="2"/>
  <c r="I3812" i="2"/>
  <c r="H3812" i="2"/>
  <c r="I3811" i="2"/>
  <c r="H3811" i="2"/>
  <c r="I3810" i="2"/>
  <c r="H3810" i="2"/>
  <c r="I3809" i="2"/>
  <c r="H3809" i="2"/>
  <c r="I3808" i="2"/>
  <c r="H3808" i="2"/>
  <c r="I3807" i="2"/>
  <c r="H3807" i="2"/>
  <c r="I3806" i="2"/>
  <c r="H3806" i="2"/>
  <c r="I3805" i="2"/>
  <c r="H3805" i="2"/>
  <c r="I3804" i="2"/>
  <c r="H3804" i="2"/>
  <c r="I3803" i="2"/>
  <c r="H3803" i="2"/>
  <c r="I3802" i="2"/>
  <c r="H3802" i="2"/>
  <c r="I3801" i="2"/>
  <c r="H3801" i="2"/>
  <c r="I3800" i="2"/>
  <c r="H3800" i="2"/>
  <c r="I3799" i="2"/>
  <c r="H3799" i="2"/>
  <c r="I3798" i="2"/>
  <c r="H3798" i="2"/>
  <c r="I3797" i="2"/>
  <c r="H3797" i="2"/>
  <c r="I3796" i="2"/>
  <c r="H3796" i="2"/>
  <c r="I3795" i="2"/>
  <c r="H3795" i="2"/>
  <c r="I3794" i="2"/>
  <c r="H3794" i="2"/>
  <c r="I3793" i="2"/>
  <c r="H3793" i="2"/>
  <c r="I3792" i="2"/>
  <c r="H3792" i="2"/>
  <c r="I3791" i="2"/>
  <c r="H3791" i="2"/>
  <c r="I3790" i="2"/>
  <c r="H3790" i="2"/>
  <c r="I3789" i="2"/>
  <c r="H3789" i="2"/>
  <c r="I3788" i="2"/>
  <c r="H3788" i="2"/>
  <c r="I3787" i="2"/>
  <c r="H3787" i="2"/>
  <c r="I3786" i="2"/>
  <c r="H3786" i="2"/>
  <c r="I3785" i="2"/>
  <c r="H3785" i="2"/>
  <c r="I3784" i="2"/>
  <c r="H3784" i="2"/>
  <c r="I3783" i="2"/>
  <c r="H3783" i="2"/>
  <c r="I3782" i="2"/>
  <c r="H3782" i="2"/>
  <c r="I3781" i="2"/>
  <c r="H3781" i="2"/>
  <c r="I3780" i="2"/>
  <c r="H3780" i="2"/>
  <c r="I3779" i="2"/>
  <c r="H3779" i="2"/>
  <c r="I3778" i="2"/>
  <c r="H3778" i="2"/>
  <c r="I3777" i="2"/>
  <c r="H3777" i="2"/>
  <c r="I3776" i="2"/>
  <c r="H3776" i="2"/>
  <c r="I3775" i="2"/>
  <c r="H3775" i="2"/>
  <c r="I3774" i="2"/>
  <c r="H3774" i="2"/>
  <c r="I3773" i="2"/>
  <c r="H3773" i="2"/>
  <c r="I3772" i="2"/>
  <c r="H3772" i="2"/>
  <c r="I3771" i="2"/>
  <c r="H3771" i="2"/>
  <c r="I3770" i="2"/>
  <c r="H3770" i="2"/>
  <c r="I3769" i="2"/>
  <c r="H3769" i="2"/>
  <c r="I3768" i="2"/>
  <c r="H3768" i="2"/>
  <c r="I3767" i="2"/>
  <c r="H3767" i="2"/>
  <c r="I3766" i="2"/>
  <c r="H3766" i="2"/>
  <c r="I3765" i="2"/>
  <c r="H3765" i="2"/>
  <c r="I3764" i="2"/>
  <c r="H3764" i="2"/>
  <c r="I3763" i="2"/>
  <c r="H3763" i="2"/>
  <c r="I3762" i="2"/>
  <c r="H3762" i="2"/>
  <c r="I3761" i="2"/>
  <c r="H3761" i="2"/>
  <c r="I3760" i="2"/>
  <c r="H3760" i="2"/>
  <c r="I3759" i="2"/>
  <c r="H3759" i="2"/>
  <c r="I3758" i="2"/>
  <c r="H3758" i="2"/>
  <c r="I3757" i="2"/>
  <c r="H3757" i="2"/>
  <c r="I3756" i="2"/>
  <c r="H3756" i="2"/>
  <c r="I3755" i="2"/>
  <c r="H3755" i="2"/>
  <c r="I3754" i="2"/>
  <c r="H3754" i="2"/>
  <c r="I3753" i="2"/>
  <c r="H3753" i="2"/>
  <c r="I3752" i="2"/>
  <c r="H3752" i="2"/>
  <c r="I3751" i="2"/>
  <c r="H3751" i="2"/>
  <c r="I3750" i="2"/>
  <c r="H3750" i="2"/>
  <c r="I3749" i="2"/>
  <c r="H3749" i="2"/>
  <c r="I3748" i="2"/>
  <c r="H3748" i="2"/>
  <c r="I3747" i="2"/>
  <c r="H3747" i="2"/>
  <c r="I3746" i="2"/>
  <c r="H3746" i="2"/>
  <c r="I3745" i="2"/>
  <c r="H3745" i="2"/>
  <c r="I3744" i="2"/>
  <c r="H3744" i="2"/>
  <c r="I3743" i="2"/>
  <c r="H3743" i="2"/>
  <c r="I3742" i="2"/>
  <c r="H3742" i="2"/>
  <c r="I3741" i="2"/>
  <c r="H3741" i="2"/>
  <c r="I3740" i="2"/>
  <c r="H3740" i="2"/>
  <c r="I3739" i="2"/>
  <c r="H3739" i="2"/>
  <c r="I3738" i="2"/>
  <c r="H3738" i="2"/>
  <c r="I3737" i="2"/>
  <c r="H3737" i="2"/>
  <c r="I3736" i="2"/>
  <c r="H3736" i="2"/>
  <c r="I3735" i="2"/>
  <c r="H3735" i="2"/>
  <c r="I3734" i="2"/>
  <c r="H3734" i="2"/>
  <c r="I3733" i="2"/>
  <c r="H3733" i="2"/>
  <c r="I3732" i="2"/>
  <c r="H3732" i="2"/>
  <c r="I3731" i="2"/>
  <c r="H3731" i="2"/>
  <c r="I3730" i="2"/>
  <c r="H3730" i="2"/>
  <c r="I3729" i="2"/>
  <c r="H3729" i="2"/>
  <c r="I3728" i="2"/>
  <c r="H3728" i="2"/>
  <c r="I3727" i="2"/>
  <c r="H3727" i="2"/>
  <c r="I3726" i="2"/>
  <c r="H3726" i="2"/>
  <c r="I3725" i="2"/>
  <c r="H3725" i="2"/>
  <c r="I3724" i="2"/>
  <c r="H3724" i="2"/>
  <c r="I3723" i="2"/>
  <c r="H3723" i="2"/>
  <c r="I3722" i="2"/>
  <c r="H3722" i="2"/>
  <c r="I3721" i="2"/>
  <c r="H3721" i="2"/>
  <c r="I3720" i="2"/>
  <c r="H3720" i="2"/>
  <c r="I3719" i="2"/>
  <c r="H3719" i="2"/>
  <c r="I3718" i="2"/>
  <c r="H3718" i="2"/>
  <c r="I3717" i="2"/>
  <c r="H3717" i="2"/>
  <c r="I3716" i="2"/>
  <c r="H3716" i="2"/>
  <c r="I3715" i="2"/>
  <c r="H3715" i="2"/>
  <c r="I3714" i="2"/>
  <c r="H3714" i="2"/>
  <c r="I3713" i="2"/>
  <c r="H3713" i="2"/>
  <c r="I3712" i="2"/>
  <c r="H3712" i="2"/>
  <c r="I3711" i="2"/>
  <c r="H3711" i="2"/>
  <c r="I3710" i="2"/>
  <c r="H3710" i="2"/>
  <c r="I3709" i="2"/>
  <c r="H3709" i="2"/>
  <c r="I3708" i="2"/>
  <c r="H3708" i="2"/>
  <c r="I3707" i="2"/>
  <c r="H3707" i="2"/>
  <c r="I3706" i="2"/>
  <c r="H3706" i="2"/>
  <c r="I3705" i="2"/>
  <c r="H3705" i="2"/>
  <c r="I3704" i="2"/>
  <c r="H3704" i="2"/>
  <c r="I3703" i="2"/>
  <c r="H3703" i="2"/>
  <c r="I3702" i="2"/>
  <c r="H3702" i="2"/>
  <c r="I3701" i="2"/>
  <c r="H3701" i="2"/>
  <c r="I3700" i="2"/>
  <c r="H3700" i="2"/>
  <c r="I3699" i="2"/>
  <c r="H3699" i="2"/>
  <c r="I3698" i="2"/>
  <c r="H3698" i="2"/>
  <c r="I3697" i="2"/>
  <c r="H3697" i="2"/>
  <c r="I3696" i="2"/>
  <c r="H3696" i="2"/>
  <c r="I3695" i="2"/>
  <c r="H3695" i="2"/>
  <c r="I3694" i="2"/>
  <c r="H3694" i="2"/>
  <c r="I3693" i="2"/>
  <c r="H3693" i="2"/>
  <c r="I3692" i="2"/>
  <c r="H3692" i="2"/>
  <c r="I3691" i="2"/>
  <c r="H3691" i="2"/>
  <c r="I3690" i="2"/>
  <c r="H3690" i="2"/>
  <c r="I3689" i="2"/>
  <c r="H3689" i="2"/>
  <c r="I3688" i="2"/>
  <c r="H3688" i="2"/>
  <c r="I3687" i="2"/>
  <c r="H3687" i="2"/>
  <c r="I3686" i="2"/>
  <c r="H3686" i="2"/>
  <c r="I3685" i="2"/>
  <c r="H3685" i="2"/>
  <c r="I3684" i="2"/>
  <c r="H3684" i="2"/>
  <c r="I3683" i="2"/>
  <c r="H3683" i="2"/>
  <c r="I3682" i="2"/>
  <c r="H3682" i="2"/>
  <c r="I3681" i="2"/>
  <c r="H3681" i="2"/>
  <c r="I3680" i="2"/>
  <c r="H3680" i="2"/>
  <c r="I3679" i="2"/>
  <c r="H3679" i="2"/>
  <c r="I3678" i="2"/>
  <c r="H3678" i="2"/>
  <c r="I3677" i="2"/>
  <c r="H3677" i="2"/>
  <c r="I3676" i="2"/>
  <c r="H3676" i="2"/>
  <c r="I3675" i="2"/>
  <c r="H3675" i="2"/>
  <c r="I3674" i="2"/>
  <c r="H3674" i="2"/>
  <c r="I3673" i="2"/>
  <c r="H3673" i="2"/>
  <c r="I3672" i="2"/>
  <c r="H3672" i="2"/>
  <c r="I3671" i="2"/>
  <c r="H3671" i="2"/>
  <c r="I3670" i="2"/>
  <c r="H3670" i="2"/>
  <c r="I3669" i="2"/>
  <c r="H3669" i="2"/>
  <c r="I3668" i="2"/>
  <c r="H3668" i="2"/>
  <c r="I3667" i="2"/>
  <c r="H3667" i="2"/>
  <c r="I3666" i="2"/>
  <c r="H3666" i="2"/>
  <c r="I3665" i="2"/>
  <c r="H3665" i="2"/>
  <c r="I3664" i="2"/>
  <c r="H3664" i="2"/>
  <c r="I3663" i="2"/>
  <c r="H3663" i="2"/>
  <c r="I3662" i="2"/>
  <c r="H3662" i="2"/>
  <c r="I3661" i="2"/>
  <c r="H3661" i="2"/>
  <c r="I3660" i="2"/>
  <c r="H3660" i="2"/>
  <c r="I3659" i="2"/>
  <c r="H3659" i="2"/>
  <c r="I3658" i="2"/>
  <c r="H3658" i="2"/>
  <c r="I3657" i="2"/>
  <c r="H3657" i="2"/>
  <c r="I3656" i="2"/>
  <c r="H3656" i="2"/>
  <c r="I3655" i="2"/>
  <c r="H3655" i="2"/>
  <c r="I3654" i="2"/>
  <c r="H3654" i="2"/>
  <c r="I3653" i="2"/>
  <c r="H3653" i="2"/>
  <c r="I3652" i="2"/>
  <c r="H3652" i="2"/>
  <c r="I3651" i="2"/>
  <c r="H3651" i="2"/>
  <c r="I3650" i="2"/>
  <c r="H3650" i="2"/>
  <c r="I3649" i="2"/>
  <c r="H3649" i="2"/>
  <c r="I3648" i="2"/>
  <c r="H3648" i="2"/>
  <c r="I3647" i="2"/>
  <c r="H3647" i="2"/>
  <c r="I3646" i="2"/>
  <c r="H3646" i="2"/>
  <c r="I3645" i="2"/>
  <c r="H3645" i="2"/>
  <c r="I3644" i="2"/>
  <c r="H3644" i="2"/>
  <c r="I3643" i="2"/>
  <c r="H3643" i="2"/>
  <c r="I3642" i="2"/>
  <c r="H3642" i="2"/>
  <c r="I3641" i="2"/>
  <c r="H3641" i="2"/>
  <c r="I3640" i="2"/>
  <c r="H3640" i="2"/>
  <c r="I3639" i="2"/>
  <c r="H3639" i="2"/>
  <c r="I3638" i="2"/>
  <c r="H3638" i="2"/>
  <c r="I3637" i="2"/>
  <c r="H3637" i="2"/>
  <c r="I3636" i="2"/>
  <c r="H3636" i="2"/>
  <c r="I3635" i="2"/>
  <c r="H3635" i="2"/>
  <c r="I3634" i="2"/>
  <c r="H3634" i="2"/>
  <c r="I3633" i="2"/>
  <c r="H3633" i="2"/>
  <c r="I3632" i="2"/>
  <c r="H3632" i="2"/>
  <c r="I3631" i="2"/>
  <c r="H3631" i="2"/>
  <c r="I3630" i="2"/>
  <c r="H3630" i="2"/>
  <c r="I3629" i="2"/>
  <c r="H3629" i="2"/>
  <c r="I3628" i="2"/>
  <c r="H3628" i="2"/>
  <c r="I3627" i="2"/>
  <c r="H3627" i="2"/>
  <c r="I3626" i="2"/>
  <c r="H3626" i="2"/>
  <c r="I3625" i="2"/>
  <c r="H3625" i="2"/>
  <c r="I3624" i="2"/>
  <c r="H3624" i="2"/>
  <c r="I3623" i="2"/>
  <c r="H3623" i="2"/>
  <c r="I3622" i="2"/>
  <c r="H3622" i="2"/>
  <c r="I3621" i="2"/>
  <c r="H3621" i="2"/>
  <c r="I3620" i="2"/>
  <c r="H3620" i="2"/>
  <c r="I3619" i="2"/>
  <c r="H3619" i="2"/>
  <c r="I3618" i="2"/>
  <c r="H3618" i="2"/>
  <c r="I3617" i="2"/>
  <c r="H3617" i="2"/>
  <c r="I3616" i="2"/>
  <c r="H3616" i="2"/>
  <c r="I3615" i="2"/>
  <c r="H3615" i="2"/>
  <c r="I3614" i="2"/>
  <c r="H3614" i="2"/>
  <c r="I3613" i="2"/>
  <c r="H3613" i="2"/>
  <c r="I3612" i="2"/>
  <c r="H3612" i="2"/>
  <c r="I3611" i="2"/>
  <c r="H3611" i="2"/>
  <c r="I3610" i="2"/>
  <c r="H3610" i="2"/>
  <c r="I3609" i="2"/>
  <c r="H3609" i="2"/>
  <c r="I3608" i="2"/>
  <c r="H3608" i="2"/>
  <c r="I3607" i="2"/>
  <c r="H3607" i="2"/>
  <c r="I3606" i="2"/>
  <c r="H3606" i="2"/>
  <c r="I3605" i="2"/>
  <c r="H3605" i="2"/>
  <c r="I3604" i="2"/>
  <c r="H3604" i="2"/>
  <c r="I3603" i="2"/>
  <c r="H3603" i="2"/>
  <c r="I3602" i="2"/>
  <c r="H3602" i="2"/>
  <c r="I3601" i="2"/>
  <c r="H3601" i="2"/>
  <c r="I3600" i="2"/>
  <c r="H3600" i="2"/>
  <c r="I3599" i="2"/>
  <c r="H3599" i="2"/>
  <c r="I3598" i="2"/>
  <c r="H3598" i="2"/>
  <c r="I3597" i="2"/>
  <c r="H3597" i="2"/>
  <c r="I3596" i="2"/>
  <c r="H3596" i="2"/>
  <c r="I3595" i="2"/>
  <c r="H3595" i="2"/>
  <c r="I3594" i="2"/>
  <c r="H3594" i="2"/>
  <c r="I3593" i="2"/>
  <c r="H3593" i="2"/>
  <c r="I3592" i="2"/>
  <c r="H3592" i="2"/>
  <c r="I3591" i="2"/>
  <c r="H3591" i="2"/>
  <c r="I3590" i="2"/>
  <c r="H3590" i="2"/>
  <c r="I3589" i="2"/>
  <c r="H3589" i="2"/>
  <c r="I3588" i="2"/>
  <c r="H3588" i="2"/>
  <c r="I3587" i="2"/>
  <c r="H3587" i="2"/>
  <c r="I3586" i="2"/>
  <c r="H3586" i="2"/>
  <c r="I3585" i="2"/>
  <c r="H3585" i="2"/>
  <c r="I3584" i="2"/>
  <c r="H3584" i="2"/>
  <c r="I3583" i="2"/>
  <c r="H3583" i="2"/>
  <c r="I3582" i="2"/>
  <c r="H3582" i="2"/>
  <c r="I3581" i="2"/>
  <c r="H3581" i="2"/>
  <c r="I3580" i="2"/>
  <c r="H3580" i="2"/>
  <c r="I3579" i="2"/>
  <c r="H3579" i="2"/>
  <c r="I3578" i="2"/>
  <c r="H3578" i="2"/>
  <c r="I3577" i="2"/>
  <c r="H3577" i="2"/>
  <c r="I3576" i="2"/>
  <c r="H3576" i="2"/>
  <c r="I3575" i="2"/>
  <c r="H3575" i="2"/>
  <c r="I3574" i="2"/>
  <c r="H3574" i="2"/>
  <c r="I3573" i="2"/>
  <c r="H3573" i="2"/>
  <c r="I3572" i="2"/>
  <c r="H3572" i="2"/>
  <c r="I3571" i="2"/>
  <c r="H3571" i="2"/>
  <c r="I3570" i="2"/>
  <c r="H3570" i="2"/>
  <c r="I3569" i="2"/>
  <c r="H3569" i="2"/>
  <c r="I3568" i="2"/>
  <c r="H3568" i="2"/>
  <c r="I3567" i="2"/>
  <c r="H3567" i="2"/>
  <c r="I3566" i="2"/>
  <c r="H3566" i="2"/>
  <c r="I3565" i="2"/>
  <c r="H3565" i="2"/>
  <c r="I3564" i="2"/>
  <c r="H3564" i="2"/>
  <c r="I3563" i="2"/>
  <c r="H3563" i="2"/>
  <c r="I3562" i="2"/>
  <c r="H3562" i="2"/>
  <c r="I3561" i="2"/>
  <c r="H3561" i="2"/>
  <c r="I3560" i="2"/>
  <c r="H3560" i="2"/>
  <c r="I3559" i="2"/>
  <c r="H3559" i="2"/>
  <c r="I3558" i="2"/>
  <c r="H3558" i="2"/>
  <c r="I3557" i="2"/>
  <c r="H3557" i="2"/>
  <c r="I3556" i="2"/>
  <c r="H3556" i="2"/>
  <c r="I3555" i="2"/>
  <c r="H3555" i="2"/>
  <c r="I3554" i="2"/>
  <c r="H3554" i="2"/>
  <c r="I3553" i="2"/>
  <c r="H3553" i="2"/>
  <c r="I3552" i="2"/>
  <c r="H3552" i="2"/>
  <c r="I3551" i="2"/>
  <c r="H3551" i="2"/>
  <c r="I3550" i="2"/>
  <c r="H3550" i="2"/>
  <c r="I3549" i="2"/>
  <c r="H3549" i="2"/>
  <c r="I3548" i="2"/>
  <c r="H3548" i="2"/>
  <c r="I3547" i="2"/>
  <c r="H3547" i="2"/>
  <c r="I3546" i="2"/>
  <c r="H3546" i="2"/>
  <c r="I3545" i="2"/>
  <c r="H3545" i="2"/>
  <c r="I3544" i="2"/>
  <c r="H3544" i="2"/>
  <c r="I3543" i="2"/>
  <c r="H3543" i="2"/>
  <c r="I3542" i="2"/>
  <c r="H3542" i="2"/>
  <c r="I3541" i="2"/>
  <c r="H3541" i="2"/>
  <c r="I3540" i="2"/>
  <c r="H3540" i="2"/>
  <c r="I3539" i="2"/>
  <c r="H3539" i="2"/>
  <c r="I3538" i="2"/>
  <c r="H3538" i="2"/>
  <c r="I3537" i="2"/>
  <c r="H3537" i="2"/>
  <c r="I3536" i="2"/>
  <c r="H3536" i="2"/>
  <c r="I3535" i="2"/>
  <c r="H3535" i="2"/>
  <c r="I3534" i="2"/>
  <c r="H3534" i="2"/>
  <c r="I3533" i="2"/>
  <c r="H3533" i="2"/>
  <c r="I3532" i="2"/>
  <c r="H3532" i="2"/>
  <c r="I3531" i="2"/>
  <c r="H3531" i="2"/>
  <c r="I3530" i="2"/>
  <c r="H3530" i="2"/>
  <c r="I3529" i="2"/>
  <c r="H3529" i="2"/>
  <c r="I3528" i="2"/>
  <c r="H3528" i="2"/>
  <c r="I3527" i="2"/>
  <c r="H3527" i="2"/>
  <c r="I3526" i="2"/>
  <c r="H3526" i="2"/>
  <c r="I3525" i="2"/>
  <c r="H3525" i="2"/>
  <c r="I3524" i="2"/>
  <c r="H3524" i="2"/>
  <c r="I3523" i="2"/>
  <c r="H3523" i="2"/>
  <c r="I3522" i="2"/>
  <c r="H3522" i="2"/>
  <c r="I3521" i="2"/>
  <c r="H3521" i="2"/>
  <c r="I3520" i="2"/>
  <c r="H3520" i="2"/>
  <c r="I3519" i="2"/>
  <c r="H3519" i="2"/>
  <c r="I3518" i="2"/>
  <c r="H3518" i="2"/>
  <c r="I3517" i="2"/>
  <c r="H3517" i="2"/>
  <c r="I3516" i="2"/>
  <c r="H3516" i="2"/>
  <c r="I3515" i="2"/>
  <c r="H3515" i="2"/>
  <c r="I3514" i="2"/>
  <c r="H3514" i="2"/>
  <c r="I3513" i="2"/>
  <c r="H3513" i="2"/>
  <c r="I3512" i="2"/>
  <c r="H3512" i="2"/>
  <c r="I3511" i="2"/>
  <c r="H3511" i="2"/>
  <c r="I3510" i="2"/>
  <c r="H3510" i="2"/>
  <c r="I3509" i="2"/>
  <c r="H3509" i="2"/>
  <c r="I3508" i="2"/>
  <c r="H3508" i="2"/>
  <c r="I3507" i="2"/>
  <c r="H3507" i="2"/>
  <c r="I3506" i="2"/>
  <c r="H3506" i="2"/>
  <c r="I3505" i="2"/>
  <c r="H3505" i="2"/>
  <c r="I3504" i="2"/>
  <c r="H3504" i="2"/>
  <c r="I3503" i="2"/>
  <c r="H3503" i="2"/>
  <c r="I3502" i="2"/>
  <c r="H3502" i="2"/>
  <c r="I3501" i="2"/>
  <c r="H3501" i="2"/>
  <c r="I3500" i="2"/>
  <c r="H3500" i="2"/>
  <c r="I3499" i="2"/>
  <c r="H3499" i="2"/>
  <c r="I3498" i="2"/>
  <c r="H3498" i="2"/>
  <c r="I3497" i="2"/>
  <c r="H3497" i="2"/>
  <c r="I3496" i="2"/>
  <c r="H3496" i="2"/>
  <c r="I3495" i="2"/>
  <c r="H3495" i="2"/>
  <c r="I3494" i="2"/>
  <c r="H3494" i="2"/>
  <c r="I3493" i="2"/>
  <c r="H3493" i="2"/>
  <c r="I3492" i="2"/>
  <c r="H3492" i="2"/>
  <c r="I3491" i="2"/>
  <c r="H3491" i="2"/>
  <c r="I3490" i="2"/>
  <c r="H3490" i="2"/>
  <c r="I3489" i="2"/>
  <c r="H3489" i="2"/>
  <c r="I3488" i="2"/>
  <c r="H3488" i="2"/>
  <c r="I3487" i="2"/>
  <c r="H3487" i="2"/>
  <c r="I3486" i="2"/>
  <c r="H3486" i="2"/>
  <c r="I3485" i="2"/>
  <c r="H3485" i="2"/>
  <c r="I3484" i="2"/>
  <c r="H3484" i="2"/>
  <c r="I3483" i="2"/>
  <c r="H3483" i="2"/>
  <c r="I3482" i="2"/>
  <c r="H3482" i="2"/>
  <c r="I3481" i="2"/>
  <c r="H3481" i="2"/>
  <c r="I3480" i="2"/>
  <c r="H3480" i="2"/>
  <c r="I3479" i="2"/>
  <c r="H3479" i="2"/>
  <c r="I3478" i="2"/>
  <c r="H3478" i="2"/>
  <c r="I3477" i="2"/>
  <c r="H3477" i="2"/>
  <c r="I3476" i="2"/>
  <c r="H3476" i="2"/>
  <c r="I3475" i="2"/>
  <c r="H3475" i="2"/>
  <c r="I3474" i="2"/>
  <c r="H3474" i="2"/>
  <c r="I3473" i="2"/>
  <c r="H3473" i="2"/>
  <c r="I3472" i="2"/>
  <c r="H3472" i="2"/>
  <c r="I3471" i="2"/>
  <c r="H3471" i="2"/>
  <c r="I3470" i="2"/>
  <c r="H3470" i="2"/>
  <c r="I3469" i="2"/>
  <c r="H3469" i="2"/>
  <c r="I3468" i="2"/>
  <c r="H3468" i="2"/>
  <c r="I3467" i="2"/>
  <c r="H3467" i="2"/>
  <c r="I3466" i="2"/>
  <c r="H3466" i="2"/>
  <c r="I3465" i="2"/>
  <c r="H3465" i="2"/>
  <c r="I3464" i="2"/>
  <c r="H3464" i="2"/>
  <c r="I3463" i="2"/>
  <c r="H3463" i="2"/>
  <c r="I3462" i="2"/>
  <c r="H3462" i="2"/>
  <c r="I3461" i="2"/>
  <c r="H3461" i="2"/>
  <c r="I3460" i="2"/>
  <c r="H3460" i="2"/>
  <c r="I3459" i="2"/>
  <c r="H3459" i="2"/>
  <c r="I3458" i="2"/>
  <c r="H3458" i="2"/>
  <c r="I3457" i="2"/>
  <c r="H3457" i="2"/>
  <c r="I3456" i="2"/>
  <c r="H3456" i="2"/>
  <c r="I3455" i="2"/>
  <c r="H3455" i="2"/>
  <c r="I3454" i="2"/>
  <c r="H3454" i="2"/>
  <c r="I3453" i="2"/>
  <c r="H3453" i="2"/>
  <c r="I3452" i="2"/>
  <c r="H3452" i="2"/>
  <c r="I3451" i="2"/>
  <c r="H3451" i="2"/>
  <c r="I3450" i="2"/>
  <c r="H3450" i="2"/>
  <c r="I3449" i="2"/>
  <c r="H3449" i="2"/>
  <c r="I3448" i="2"/>
  <c r="H3448" i="2"/>
  <c r="I3447" i="2"/>
  <c r="H3447" i="2"/>
  <c r="I3446" i="2"/>
  <c r="H3446" i="2"/>
  <c r="I3445" i="2"/>
  <c r="H3445" i="2"/>
  <c r="I3444" i="2"/>
  <c r="H3444" i="2"/>
  <c r="I3443" i="2"/>
  <c r="H3443" i="2"/>
  <c r="I3442" i="2"/>
  <c r="H3442" i="2"/>
  <c r="I3441" i="2"/>
  <c r="H3441" i="2"/>
  <c r="I3440" i="2"/>
  <c r="H3440" i="2"/>
  <c r="I3439" i="2"/>
  <c r="H3439" i="2"/>
  <c r="I3438" i="2"/>
  <c r="H3438" i="2"/>
  <c r="I3437" i="2"/>
  <c r="H3437" i="2"/>
  <c r="I3436" i="2"/>
  <c r="H3436" i="2"/>
  <c r="I3435" i="2"/>
  <c r="H3435" i="2"/>
  <c r="I3434" i="2"/>
  <c r="H3434" i="2"/>
  <c r="I3433" i="2"/>
  <c r="H3433" i="2"/>
  <c r="I3432" i="2"/>
  <c r="H3432" i="2"/>
  <c r="I3431" i="2"/>
  <c r="H3431" i="2"/>
  <c r="I3430" i="2"/>
  <c r="H3430" i="2"/>
  <c r="I3429" i="2"/>
  <c r="H3429" i="2"/>
  <c r="I3428" i="2"/>
  <c r="H3428" i="2"/>
  <c r="I3427" i="2"/>
  <c r="H3427" i="2"/>
  <c r="I3426" i="2"/>
  <c r="H3426" i="2"/>
  <c r="I3425" i="2"/>
  <c r="H3425" i="2"/>
  <c r="I3424" i="2"/>
  <c r="H3424" i="2"/>
  <c r="I3423" i="2"/>
  <c r="H3423" i="2"/>
  <c r="I3422" i="2"/>
  <c r="H3422" i="2"/>
  <c r="I3421" i="2"/>
  <c r="H3421" i="2"/>
  <c r="I3420" i="2"/>
  <c r="H3420" i="2"/>
  <c r="I3419" i="2"/>
  <c r="H3419" i="2"/>
  <c r="I3418" i="2"/>
  <c r="H3418" i="2"/>
  <c r="I3417" i="2"/>
  <c r="H3417" i="2"/>
  <c r="I3416" i="2"/>
  <c r="H3416" i="2"/>
  <c r="I3415" i="2"/>
  <c r="H3415" i="2"/>
  <c r="I3414" i="2"/>
  <c r="H3414" i="2"/>
  <c r="I3413" i="2"/>
  <c r="H3413" i="2"/>
  <c r="I3412" i="2"/>
  <c r="H3412" i="2"/>
  <c r="I3411" i="2"/>
  <c r="H3411" i="2"/>
  <c r="I3410" i="2"/>
  <c r="H3410" i="2"/>
  <c r="I3409" i="2"/>
  <c r="H3409" i="2"/>
  <c r="I3408" i="2"/>
  <c r="H3408" i="2"/>
  <c r="I3407" i="2"/>
  <c r="H3407" i="2"/>
  <c r="I3406" i="2"/>
  <c r="H3406" i="2"/>
  <c r="I3405" i="2"/>
  <c r="H3405" i="2"/>
  <c r="I3404" i="2"/>
  <c r="H3404" i="2"/>
  <c r="I3403" i="2"/>
  <c r="H3403" i="2"/>
  <c r="I3402" i="2"/>
  <c r="H3402" i="2"/>
  <c r="I3401" i="2"/>
  <c r="H3401" i="2"/>
  <c r="I3400" i="2"/>
  <c r="H3400" i="2"/>
  <c r="I3399" i="2"/>
  <c r="H3399" i="2"/>
  <c r="I3398" i="2"/>
  <c r="H3398" i="2"/>
  <c r="I3397" i="2"/>
  <c r="H3397" i="2"/>
  <c r="I3396" i="2"/>
  <c r="H3396" i="2"/>
  <c r="I3395" i="2"/>
  <c r="H3395" i="2"/>
  <c r="I3394" i="2"/>
  <c r="H3394" i="2"/>
  <c r="I3393" i="2"/>
  <c r="H3393" i="2"/>
  <c r="I3392" i="2"/>
  <c r="H3392" i="2"/>
  <c r="I3391" i="2"/>
  <c r="H3391" i="2"/>
  <c r="I3390" i="2"/>
  <c r="H3390" i="2"/>
  <c r="I3389" i="2"/>
  <c r="H3389" i="2"/>
  <c r="I3388" i="2"/>
  <c r="H3388" i="2"/>
  <c r="I3387" i="2"/>
  <c r="H3387" i="2"/>
  <c r="I3386" i="2"/>
  <c r="H3386" i="2"/>
  <c r="I3385" i="2"/>
  <c r="H3385" i="2"/>
  <c r="I3384" i="2"/>
  <c r="H3384" i="2"/>
  <c r="I3383" i="2"/>
  <c r="H3383" i="2"/>
  <c r="I3382" i="2"/>
  <c r="H3382" i="2"/>
  <c r="I3381" i="2"/>
  <c r="H3381" i="2"/>
  <c r="I3380" i="2"/>
  <c r="H3380" i="2"/>
  <c r="I3379" i="2"/>
  <c r="H3379" i="2"/>
  <c r="I3378" i="2"/>
  <c r="H3378" i="2"/>
  <c r="I3377" i="2"/>
  <c r="H3377" i="2"/>
  <c r="I3376" i="2"/>
  <c r="H3376" i="2"/>
  <c r="I3375" i="2"/>
  <c r="H3375" i="2"/>
  <c r="I3374" i="2"/>
  <c r="H3374" i="2"/>
  <c r="I3373" i="2"/>
  <c r="H3373" i="2"/>
  <c r="I3372" i="2"/>
  <c r="H3372" i="2"/>
  <c r="I3371" i="2"/>
  <c r="H3371" i="2"/>
  <c r="I3370" i="2"/>
  <c r="H3370" i="2"/>
  <c r="I3369" i="2"/>
  <c r="H3369" i="2"/>
  <c r="I3368" i="2"/>
  <c r="H3368" i="2"/>
  <c r="I3367" i="2"/>
  <c r="H3367" i="2"/>
  <c r="I3366" i="2"/>
  <c r="H3366" i="2"/>
  <c r="I3365" i="2"/>
  <c r="H3365" i="2"/>
  <c r="I3364" i="2"/>
  <c r="H3364" i="2"/>
  <c r="I3363" i="2"/>
  <c r="H3363" i="2"/>
  <c r="I3362" i="2"/>
  <c r="H3362" i="2"/>
  <c r="I3361" i="2"/>
  <c r="H3361" i="2"/>
  <c r="I3360" i="2"/>
  <c r="H3360" i="2"/>
  <c r="I3359" i="2"/>
  <c r="H3359" i="2"/>
  <c r="I3358" i="2"/>
  <c r="H3358" i="2"/>
  <c r="I3357" i="2"/>
  <c r="H3357" i="2"/>
  <c r="I3356" i="2"/>
  <c r="H3356" i="2"/>
  <c r="I3355" i="2"/>
  <c r="H3355" i="2"/>
  <c r="I3354" i="2"/>
  <c r="H3354" i="2"/>
  <c r="I3353" i="2"/>
  <c r="H3353" i="2"/>
  <c r="I3352" i="2"/>
  <c r="H3352" i="2"/>
  <c r="I3351" i="2"/>
  <c r="H3351" i="2"/>
  <c r="I3350" i="2"/>
  <c r="H3350" i="2"/>
  <c r="I3349" i="2"/>
  <c r="H3349" i="2"/>
  <c r="I3348" i="2"/>
  <c r="H3348" i="2"/>
  <c r="I3347" i="2"/>
  <c r="H3347" i="2"/>
  <c r="I3346" i="2"/>
  <c r="H3346" i="2"/>
  <c r="I3345" i="2"/>
  <c r="H3345" i="2"/>
  <c r="I3344" i="2"/>
  <c r="H3344" i="2"/>
  <c r="I3343" i="2"/>
  <c r="H3343" i="2"/>
  <c r="I3342" i="2"/>
  <c r="H3342" i="2"/>
  <c r="I3341" i="2"/>
  <c r="H3341" i="2"/>
  <c r="I3340" i="2"/>
  <c r="H3340" i="2"/>
  <c r="I3339" i="2"/>
  <c r="H3339" i="2"/>
  <c r="I3338" i="2"/>
  <c r="H3338" i="2"/>
  <c r="I3337" i="2"/>
  <c r="H3337" i="2"/>
  <c r="I3336" i="2"/>
  <c r="H3336" i="2"/>
  <c r="I3335" i="2"/>
  <c r="H3335" i="2"/>
  <c r="I3334" i="2"/>
  <c r="H3334" i="2"/>
  <c r="I3333" i="2"/>
  <c r="H3333" i="2"/>
  <c r="I3332" i="2"/>
  <c r="H3332" i="2"/>
  <c r="I3331" i="2"/>
  <c r="H3331" i="2"/>
  <c r="I3330" i="2"/>
  <c r="H3330" i="2"/>
  <c r="I3329" i="2"/>
  <c r="H3329" i="2"/>
  <c r="I3328" i="2"/>
  <c r="H3328" i="2"/>
  <c r="I3327" i="2"/>
  <c r="H3327" i="2"/>
  <c r="I3326" i="2"/>
  <c r="H3326" i="2"/>
  <c r="I3325" i="2"/>
  <c r="H3325" i="2"/>
  <c r="I3324" i="2"/>
  <c r="H3324" i="2"/>
  <c r="I3323" i="2"/>
  <c r="H3323" i="2"/>
  <c r="I3322" i="2"/>
  <c r="H3322" i="2"/>
  <c r="I3321" i="2"/>
  <c r="H3321" i="2"/>
  <c r="I3320" i="2"/>
  <c r="H3320" i="2"/>
  <c r="I3319" i="2"/>
  <c r="H3319" i="2"/>
  <c r="I3318" i="2"/>
  <c r="H3318" i="2"/>
  <c r="I3317" i="2"/>
  <c r="H3317" i="2"/>
  <c r="I3316" i="2"/>
  <c r="H3316" i="2"/>
  <c r="I3315" i="2"/>
  <c r="H3315" i="2"/>
  <c r="I3314" i="2"/>
  <c r="H3314" i="2"/>
  <c r="I3313" i="2"/>
  <c r="H3313" i="2"/>
  <c r="I3312" i="2"/>
  <c r="H3312" i="2"/>
  <c r="I3311" i="2"/>
  <c r="H3311" i="2"/>
  <c r="I3310" i="2"/>
  <c r="H3310" i="2"/>
  <c r="I3309" i="2"/>
  <c r="H3309" i="2"/>
  <c r="I3308" i="2"/>
  <c r="H3308" i="2"/>
  <c r="I3307" i="2"/>
  <c r="H3307" i="2"/>
  <c r="I3306" i="2"/>
  <c r="H3306" i="2"/>
  <c r="I3305" i="2"/>
  <c r="H3305" i="2"/>
  <c r="I3304" i="2"/>
  <c r="H3304" i="2"/>
  <c r="I3303" i="2"/>
  <c r="H3303" i="2"/>
  <c r="I3302" i="2"/>
  <c r="H3302" i="2"/>
  <c r="I3301" i="2"/>
  <c r="H3301" i="2"/>
  <c r="I3300" i="2"/>
  <c r="H3300" i="2"/>
  <c r="I3299" i="2"/>
  <c r="H3299" i="2"/>
  <c r="I3298" i="2"/>
  <c r="H3298" i="2"/>
  <c r="I3297" i="2"/>
  <c r="H3297" i="2"/>
  <c r="I3296" i="2"/>
  <c r="H3296" i="2"/>
  <c r="I3295" i="2"/>
  <c r="H3295" i="2"/>
  <c r="I3294" i="2"/>
  <c r="H3294" i="2"/>
  <c r="I3293" i="2"/>
  <c r="H3293" i="2"/>
  <c r="I3292" i="2"/>
  <c r="H3292" i="2"/>
  <c r="I3291" i="2"/>
  <c r="H3291" i="2"/>
  <c r="I3290" i="2"/>
  <c r="H3290" i="2"/>
  <c r="I3289" i="2"/>
  <c r="H3289" i="2"/>
  <c r="I3288" i="2"/>
  <c r="H3288" i="2"/>
  <c r="I3287" i="2"/>
  <c r="H3287" i="2"/>
  <c r="I3286" i="2"/>
  <c r="H3286" i="2"/>
  <c r="I3285" i="2"/>
  <c r="H3285" i="2"/>
  <c r="I3284" i="2"/>
  <c r="H3284" i="2"/>
  <c r="I3283" i="2"/>
  <c r="H3283" i="2"/>
  <c r="I3282" i="2"/>
  <c r="H3282" i="2"/>
  <c r="I3281" i="2"/>
  <c r="H3281" i="2"/>
  <c r="I3280" i="2"/>
  <c r="H3280" i="2"/>
  <c r="I3279" i="2"/>
  <c r="H3279" i="2"/>
  <c r="I3278" i="2"/>
  <c r="H3278" i="2"/>
  <c r="I3277" i="2"/>
  <c r="H3277" i="2"/>
  <c r="I3276" i="2"/>
  <c r="H3276" i="2"/>
  <c r="I3275" i="2"/>
  <c r="H3275" i="2"/>
  <c r="I3274" i="2"/>
  <c r="H3274" i="2"/>
  <c r="I3273" i="2"/>
  <c r="H3273" i="2"/>
  <c r="I3272" i="2"/>
  <c r="H3272" i="2"/>
  <c r="I3271" i="2"/>
  <c r="H3271" i="2"/>
  <c r="I3270" i="2"/>
  <c r="H3270" i="2"/>
  <c r="I3269" i="2"/>
  <c r="H3269" i="2"/>
  <c r="I3268" i="2"/>
  <c r="H3268" i="2"/>
  <c r="I3267" i="2"/>
  <c r="H3267" i="2"/>
  <c r="I3266" i="2"/>
  <c r="H3266" i="2"/>
  <c r="I3265" i="2"/>
  <c r="H3265" i="2"/>
  <c r="I3264" i="2"/>
  <c r="H3264" i="2"/>
  <c r="I3263" i="2"/>
  <c r="H3263" i="2"/>
  <c r="I3262" i="2"/>
  <c r="H3262" i="2"/>
  <c r="I3261" i="2"/>
  <c r="H3261" i="2"/>
  <c r="I3260" i="2"/>
  <c r="H3260" i="2"/>
  <c r="I3259" i="2"/>
  <c r="H3259" i="2"/>
  <c r="I3258" i="2"/>
  <c r="H3258" i="2"/>
  <c r="I3257" i="2"/>
  <c r="H3257" i="2"/>
  <c r="I3256" i="2"/>
  <c r="H3256" i="2"/>
  <c r="I3255" i="2"/>
  <c r="H3255" i="2"/>
  <c r="I3254" i="2"/>
  <c r="H3254" i="2"/>
  <c r="I3253" i="2"/>
  <c r="H3253" i="2"/>
  <c r="I3252" i="2"/>
  <c r="H3252" i="2"/>
  <c r="I3251" i="2"/>
  <c r="H3251" i="2"/>
  <c r="I3250" i="2"/>
  <c r="H3250" i="2"/>
  <c r="I3249" i="2"/>
  <c r="H3249" i="2"/>
  <c r="I3248" i="2"/>
  <c r="H3248" i="2"/>
  <c r="I3247" i="2"/>
  <c r="H3247" i="2"/>
  <c r="I3246" i="2"/>
  <c r="H3246" i="2"/>
  <c r="I3245" i="2"/>
  <c r="H3245" i="2"/>
  <c r="I3244" i="2"/>
  <c r="H3244" i="2"/>
  <c r="I3243" i="2"/>
  <c r="H3243" i="2"/>
  <c r="I3242" i="2"/>
  <c r="H3242" i="2"/>
  <c r="I3241" i="2"/>
  <c r="H3241" i="2"/>
  <c r="I3240" i="2"/>
  <c r="H3240" i="2"/>
  <c r="I3239" i="2"/>
  <c r="H3239" i="2"/>
  <c r="I3238" i="2"/>
  <c r="H3238" i="2"/>
  <c r="I3237" i="2"/>
  <c r="H3237" i="2"/>
  <c r="I3236" i="2"/>
  <c r="H3236" i="2"/>
  <c r="I3235" i="2"/>
  <c r="H3235" i="2"/>
  <c r="I3234" i="2"/>
  <c r="H3234" i="2"/>
  <c r="I3233" i="2"/>
  <c r="H3233" i="2"/>
  <c r="I3232" i="2"/>
  <c r="H3232" i="2"/>
  <c r="I3231" i="2"/>
  <c r="H3231" i="2"/>
  <c r="I3230" i="2"/>
  <c r="H3230" i="2"/>
  <c r="I3229" i="2"/>
  <c r="H3229" i="2"/>
  <c r="I3228" i="2"/>
  <c r="H3228" i="2"/>
  <c r="I3227" i="2"/>
  <c r="H3227" i="2"/>
  <c r="I3226" i="2"/>
  <c r="H3226" i="2"/>
  <c r="I3225" i="2"/>
  <c r="H3225" i="2"/>
  <c r="I3224" i="2"/>
  <c r="H3224" i="2"/>
  <c r="I3223" i="2"/>
  <c r="H3223" i="2"/>
  <c r="I3222" i="2"/>
  <c r="H3222" i="2"/>
  <c r="I3221" i="2"/>
  <c r="H3221" i="2"/>
  <c r="I3220" i="2"/>
  <c r="H3220" i="2"/>
  <c r="I3219" i="2"/>
  <c r="H3219" i="2"/>
  <c r="I3218" i="2"/>
  <c r="H3218" i="2"/>
  <c r="I3217" i="2"/>
  <c r="H3217" i="2"/>
  <c r="I3216" i="2"/>
  <c r="H3216" i="2"/>
  <c r="I3215" i="2"/>
  <c r="H3215" i="2"/>
  <c r="I3214" i="2"/>
  <c r="H3214" i="2"/>
  <c r="I3213" i="2"/>
  <c r="H3213" i="2"/>
  <c r="I3212" i="2"/>
  <c r="H3212" i="2"/>
  <c r="I3211" i="2"/>
  <c r="H3211" i="2"/>
  <c r="I3210" i="2"/>
  <c r="H3210" i="2"/>
  <c r="I3209" i="2"/>
  <c r="H3209" i="2"/>
  <c r="I3208" i="2"/>
  <c r="H3208" i="2"/>
  <c r="I3207" i="2"/>
  <c r="H3207" i="2"/>
  <c r="I3206" i="2"/>
  <c r="H3206" i="2"/>
  <c r="I3205" i="2"/>
  <c r="H3205" i="2"/>
  <c r="I3204" i="2"/>
  <c r="H3204" i="2"/>
  <c r="I3203" i="2"/>
  <c r="H3203" i="2"/>
  <c r="I3202" i="2"/>
  <c r="H3202" i="2"/>
  <c r="I3201" i="2"/>
  <c r="H3201" i="2"/>
  <c r="I3200" i="2"/>
  <c r="H3200" i="2"/>
  <c r="I3199" i="2"/>
  <c r="H3199" i="2"/>
  <c r="I3198" i="2"/>
  <c r="H3198" i="2"/>
  <c r="I3197" i="2"/>
  <c r="H3197" i="2"/>
  <c r="I3196" i="2"/>
  <c r="H3196" i="2"/>
  <c r="I3195" i="2"/>
  <c r="H3195" i="2"/>
  <c r="I3194" i="2"/>
  <c r="H3194" i="2"/>
  <c r="I3193" i="2"/>
  <c r="H3193" i="2"/>
  <c r="I3192" i="2"/>
  <c r="H3192" i="2"/>
  <c r="I3191" i="2"/>
  <c r="H3191" i="2"/>
  <c r="I3190" i="2"/>
  <c r="H3190" i="2"/>
  <c r="I3189" i="2"/>
  <c r="H3189" i="2"/>
  <c r="I3188" i="2"/>
  <c r="H3188" i="2"/>
  <c r="I3187" i="2"/>
  <c r="H3187" i="2"/>
  <c r="I3186" i="2"/>
  <c r="H3186" i="2"/>
  <c r="I3185" i="2"/>
  <c r="H3185" i="2"/>
  <c r="I3184" i="2"/>
  <c r="H3184" i="2"/>
  <c r="I3183" i="2"/>
  <c r="H3183" i="2"/>
  <c r="I3182" i="2"/>
  <c r="H3182" i="2"/>
  <c r="I3181" i="2"/>
  <c r="H3181" i="2"/>
  <c r="I3180" i="2"/>
  <c r="H3180" i="2"/>
  <c r="I3179" i="2"/>
  <c r="H3179" i="2"/>
  <c r="I3178" i="2"/>
  <c r="H3178" i="2"/>
  <c r="I3177" i="2"/>
  <c r="H3177" i="2"/>
  <c r="I3176" i="2"/>
  <c r="H3176" i="2"/>
  <c r="I3175" i="2"/>
  <c r="H3175" i="2"/>
  <c r="I3174" i="2"/>
  <c r="H3174" i="2"/>
  <c r="I3173" i="2"/>
  <c r="H3173" i="2"/>
  <c r="I3172" i="2"/>
  <c r="H3172" i="2"/>
  <c r="I3171" i="2"/>
  <c r="H3171" i="2"/>
  <c r="I3170" i="2"/>
  <c r="H3170" i="2"/>
  <c r="I3169" i="2"/>
  <c r="H3169" i="2"/>
  <c r="I3168" i="2"/>
  <c r="H3168" i="2"/>
  <c r="I3167" i="2"/>
  <c r="H3167" i="2"/>
  <c r="I3166" i="2"/>
  <c r="H3166" i="2"/>
  <c r="I3165" i="2"/>
  <c r="H3165" i="2"/>
  <c r="I3164" i="2"/>
  <c r="H3164" i="2"/>
  <c r="I3163" i="2"/>
  <c r="H3163" i="2"/>
  <c r="I3162" i="2"/>
  <c r="H3162" i="2"/>
  <c r="I3161" i="2"/>
  <c r="H3161" i="2"/>
  <c r="I3160" i="2"/>
  <c r="H3160" i="2"/>
  <c r="I3159" i="2"/>
  <c r="H3159" i="2"/>
  <c r="I3158" i="2"/>
  <c r="H3158" i="2"/>
  <c r="I3157" i="2"/>
  <c r="H3157" i="2"/>
  <c r="I3156" i="2"/>
  <c r="H3156" i="2"/>
  <c r="I3155" i="2"/>
  <c r="H3155" i="2"/>
  <c r="I3154" i="2"/>
  <c r="H3154" i="2"/>
  <c r="I3153" i="2"/>
  <c r="H3153" i="2"/>
  <c r="I3152" i="2"/>
  <c r="H3152" i="2"/>
  <c r="I3151" i="2"/>
  <c r="H3151" i="2"/>
  <c r="I3150" i="2"/>
  <c r="H3150" i="2"/>
  <c r="I3149" i="2"/>
  <c r="H3149" i="2"/>
  <c r="I3148" i="2"/>
  <c r="H3148" i="2"/>
  <c r="I3147" i="2"/>
  <c r="H3147" i="2"/>
  <c r="I3146" i="2"/>
  <c r="H3146" i="2"/>
  <c r="I3145" i="2"/>
  <c r="H3145" i="2"/>
  <c r="I3144" i="2"/>
  <c r="H3144" i="2"/>
  <c r="I3143" i="2"/>
  <c r="H3143" i="2"/>
  <c r="I3142" i="2"/>
  <c r="H3142" i="2"/>
  <c r="I3141" i="2"/>
  <c r="H3141" i="2"/>
  <c r="I3140" i="2"/>
  <c r="H3140" i="2"/>
  <c r="I3139" i="2"/>
  <c r="H3139" i="2"/>
  <c r="I3138" i="2"/>
  <c r="H3138" i="2"/>
  <c r="I3137" i="2"/>
  <c r="H3137" i="2"/>
  <c r="I3136" i="2"/>
  <c r="H3136" i="2"/>
  <c r="I3135" i="2"/>
  <c r="H3135" i="2"/>
  <c r="I3134" i="2"/>
  <c r="H3134" i="2"/>
  <c r="I3133" i="2"/>
  <c r="H3133" i="2"/>
  <c r="I3132" i="2"/>
  <c r="H3132" i="2"/>
  <c r="I3131" i="2"/>
  <c r="H3131" i="2"/>
  <c r="I3130" i="2"/>
  <c r="H3130" i="2"/>
  <c r="I3129" i="2"/>
  <c r="H3129" i="2"/>
  <c r="I3128" i="2"/>
  <c r="H3128" i="2"/>
  <c r="I3127" i="2"/>
  <c r="H3127" i="2"/>
  <c r="I3126" i="2"/>
  <c r="H3126" i="2"/>
  <c r="I3125" i="2"/>
  <c r="H3125" i="2"/>
  <c r="I3124" i="2"/>
  <c r="H3124" i="2"/>
  <c r="I3123" i="2"/>
  <c r="H3123" i="2"/>
  <c r="I3122" i="2"/>
  <c r="H3122" i="2"/>
  <c r="I3121" i="2"/>
  <c r="H3121" i="2"/>
  <c r="I3120" i="2"/>
  <c r="H3120" i="2"/>
  <c r="I3119" i="2"/>
  <c r="H3119" i="2"/>
  <c r="I3118" i="2"/>
  <c r="H3118" i="2"/>
  <c r="I3117" i="2"/>
  <c r="H3117" i="2"/>
  <c r="I3116" i="2"/>
  <c r="H3116" i="2"/>
  <c r="I3115" i="2"/>
  <c r="H3115" i="2"/>
  <c r="I3114" i="2"/>
  <c r="H3114" i="2"/>
  <c r="I3113" i="2"/>
  <c r="H3113" i="2"/>
  <c r="I3112" i="2"/>
  <c r="H3112" i="2"/>
  <c r="I3111" i="2"/>
  <c r="H3111" i="2"/>
  <c r="I3110" i="2"/>
  <c r="H3110" i="2"/>
  <c r="I3109" i="2"/>
  <c r="H3109" i="2"/>
  <c r="I3108" i="2"/>
  <c r="H3108" i="2"/>
  <c r="I3107" i="2"/>
  <c r="H3107" i="2"/>
  <c r="I3106" i="2"/>
  <c r="H3106" i="2"/>
  <c r="I3105" i="2"/>
  <c r="H3105" i="2"/>
  <c r="I3104" i="2"/>
  <c r="H3104" i="2"/>
  <c r="I3103" i="2"/>
  <c r="H3103" i="2"/>
  <c r="I3102" i="2"/>
  <c r="H3102" i="2"/>
  <c r="I3101" i="2"/>
  <c r="H3101" i="2"/>
  <c r="I3100" i="2"/>
  <c r="H3100" i="2"/>
  <c r="I3099" i="2"/>
  <c r="H3099" i="2"/>
  <c r="I3098" i="2"/>
  <c r="H3098" i="2"/>
  <c r="I3097" i="2"/>
  <c r="H3097" i="2"/>
  <c r="I3096" i="2"/>
  <c r="H3096" i="2"/>
  <c r="I3095" i="2"/>
  <c r="H3095" i="2"/>
  <c r="I3094" i="2"/>
  <c r="H3094" i="2"/>
  <c r="I3093" i="2"/>
  <c r="H3093" i="2"/>
  <c r="I3092" i="2"/>
  <c r="H3092" i="2"/>
  <c r="I3091" i="2"/>
  <c r="H3091" i="2"/>
  <c r="I3090" i="2"/>
  <c r="H3090" i="2"/>
  <c r="I3089" i="2"/>
  <c r="H3089" i="2"/>
  <c r="I3088" i="2"/>
  <c r="H3088" i="2"/>
  <c r="I3087" i="2"/>
  <c r="H3087" i="2"/>
  <c r="I3086" i="2"/>
  <c r="H3086" i="2"/>
  <c r="I3085" i="2"/>
  <c r="H3085" i="2"/>
  <c r="I3084" i="2"/>
  <c r="H3084" i="2"/>
  <c r="I3083" i="2"/>
  <c r="H3083" i="2"/>
  <c r="I3082" i="2"/>
  <c r="H3082" i="2"/>
  <c r="I3081" i="2"/>
  <c r="H3081" i="2"/>
  <c r="I3080" i="2"/>
  <c r="H3080" i="2"/>
  <c r="I3079" i="2"/>
  <c r="H3079" i="2"/>
  <c r="I3078" i="2"/>
  <c r="H3078" i="2"/>
  <c r="I3077" i="2"/>
  <c r="H3077" i="2"/>
  <c r="I3076" i="2"/>
  <c r="H3076" i="2"/>
  <c r="I3075" i="2"/>
  <c r="H3075" i="2"/>
  <c r="I3074" i="2"/>
  <c r="H3074" i="2"/>
  <c r="I3073" i="2"/>
  <c r="H3073" i="2"/>
  <c r="I3072" i="2"/>
  <c r="H3072" i="2"/>
  <c r="I3071" i="2"/>
  <c r="H3071" i="2"/>
  <c r="I3070" i="2"/>
  <c r="H3070" i="2"/>
  <c r="I3069" i="2"/>
  <c r="H3069" i="2"/>
  <c r="I3068" i="2"/>
  <c r="H3068" i="2"/>
  <c r="I3067" i="2"/>
  <c r="H3067" i="2"/>
  <c r="I3066" i="2"/>
  <c r="H3066" i="2"/>
  <c r="I3065" i="2"/>
  <c r="H3065" i="2"/>
  <c r="I3064" i="2"/>
  <c r="H3064" i="2"/>
  <c r="I3063" i="2"/>
  <c r="H3063" i="2"/>
  <c r="I3062" i="2"/>
  <c r="H3062" i="2"/>
  <c r="I3061" i="2"/>
  <c r="H3061" i="2"/>
  <c r="I3060" i="2"/>
  <c r="H3060" i="2"/>
  <c r="I3059" i="2"/>
  <c r="H3059" i="2"/>
  <c r="I3058" i="2"/>
  <c r="H3058" i="2"/>
  <c r="I3057" i="2"/>
  <c r="H3057" i="2"/>
  <c r="I3056" i="2"/>
  <c r="H3056" i="2"/>
  <c r="I3055" i="2"/>
  <c r="H3055" i="2"/>
  <c r="I3054" i="2"/>
  <c r="H3054" i="2"/>
  <c r="I3053" i="2"/>
  <c r="H3053" i="2"/>
  <c r="I3052" i="2"/>
  <c r="H3052" i="2"/>
  <c r="I3051" i="2"/>
  <c r="H3051" i="2"/>
  <c r="I3050" i="2"/>
  <c r="H3050" i="2"/>
  <c r="I3049" i="2"/>
  <c r="H3049" i="2"/>
  <c r="I3048" i="2"/>
  <c r="H3048" i="2"/>
  <c r="I3047" i="2"/>
  <c r="H3047" i="2"/>
  <c r="I3046" i="2"/>
  <c r="H3046" i="2"/>
  <c r="I3045" i="2"/>
  <c r="H3045" i="2"/>
  <c r="I3044" i="2"/>
  <c r="H3044" i="2"/>
  <c r="I3043" i="2"/>
  <c r="H3043" i="2"/>
  <c r="I3042" i="2"/>
  <c r="H3042" i="2"/>
  <c r="I3041" i="2"/>
  <c r="H3041" i="2"/>
  <c r="I3040" i="2"/>
  <c r="H3040" i="2"/>
  <c r="I3039" i="2"/>
  <c r="H3039" i="2"/>
  <c r="I3038" i="2"/>
  <c r="H3038" i="2"/>
  <c r="I3037" i="2"/>
  <c r="H3037" i="2"/>
  <c r="I3036" i="2"/>
  <c r="H3036" i="2"/>
  <c r="I3035" i="2"/>
  <c r="H3035" i="2"/>
  <c r="I3034" i="2"/>
  <c r="H3034" i="2"/>
  <c r="I3033" i="2"/>
  <c r="H3033" i="2"/>
  <c r="I3032" i="2"/>
  <c r="H3032" i="2"/>
  <c r="I3031" i="2"/>
  <c r="H3031" i="2"/>
  <c r="I3030" i="2"/>
  <c r="H3030" i="2"/>
  <c r="I3029" i="2"/>
  <c r="H3029" i="2"/>
  <c r="I3028" i="2"/>
  <c r="H3028" i="2"/>
  <c r="I3027" i="2"/>
  <c r="H3027" i="2"/>
  <c r="I3026" i="2"/>
  <c r="H3026" i="2"/>
  <c r="I3025" i="2"/>
  <c r="H3025" i="2"/>
  <c r="I3024" i="2"/>
  <c r="H3024" i="2"/>
  <c r="I3023" i="2"/>
  <c r="H3023" i="2"/>
  <c r="I3022" i="2"/>
  <c r="H3022" i="2"/>
  <c r="I3021" i="2"/>
  <c r="H3021" i="2"/>
  <c r="I3020" i="2"/>
  <c r="H3020" i="2"/>
  <c r="I3019" i="2"/>
  <c r="H3019" i="2"/>
  <c r="I3018" i="2"/>
  <c r="H3018" i="2"/>
  <c r="I3017" i="2"/>
  <c r="H3017" i="2"/>
  <c r="I3016" i="2"/>
  <c r="H3016" i="2"/>
  <c r="I3015" i="2"/>
  <c r="H3015" i="2"/>
  <c r="I3014" i="2"/>
  <c r="H3014" i="2"/>
  <c r="I3013" i="2"/>
  <c r="H3013" i="2"/>
  <c r="I3012" i="2"/>
  <c r="H3012" i="2"/>
  <c r="I3011" i="2"/>
  <c r="H3011" i="2"/>
  <c r="I3010" i="2"/>
  <c r="H3010" i="2"/>
  <c r="I3009" i="2"/>
  <c r="H3009" i="2"/>
  <c r="I3008" i="2"/>
  <c r="H3008" i="2"/>
  <c r="I3007" i="2"/>
  <c r="H3007" i="2"/>
  <c r="I3006" i="2"/>
  <c r="H3006" i="2"/>
  <c r="I3005" i="2"/>
  <c r="H3005" i="2"/>
  <c r="I3004" i="2"/>
  <c r="H3004" i="2"/>
  <c r="I3003" i="2"/>
  <c r="H3003" i="2"/>
  <c r="I3002" i="2"/>
  <c r="H3002" i="2"/>
  <c r="I3001" i="2"/>
  <c r="H3001" i="2"/>
  <c r="I3000" i="2"/>
  <c r="H3000" i="2"/>
  <c r="I2999" i="2"/>
  <c r="H2999" i="2"/>
  <c r="I2998" i="2"/>
  <c r="H2998" i="2"/>
  <c r="I2997" i="2"/>
  <c r="H2997" i="2"/>
  <c r="I2996" i="2"/>
  <c r="H2996" i="2"/>
  <c r="I2995" i="2"/>
  <c r="H2995" i="2"/>
  <c r="I2994" i="2"/>
  <c r="H2994" i="2"/>
  <c r="I2993" i="2"/>
  <c r="H2993" i="2"/>
  <c r="I2992" i="2"/>
  <c r="H2992" i="2"/>
  <c r="I2991" i="2"/>
  <c r="H2991" i="2"/>
  <c r="I2990" i="2"/>
  <c r="H2990" i="2"/>
  <c r="I2989" i="2"/>
  <c r="H2989" i="2"/>
  <c r="I2988" i="2"/>
  <c r="H2988" i="2"/>
  <c r="I2987" i="2"/>
  <c r="H2987" i="2"/>
  <c r="I2986" i="2"/>
  <c r="H2986" i="2"/>
  <c r="I2985" i="2"/>
  <c r="H2985" i="2"/>
  <c r="I2984" i="2"/>
  <c r="H2984" i="2"/>
  <c r="I2983" i="2"/>
  <c r="H2983" i="2"/>
  <c r="I2982" i="2"/>
  <c r="H2982" i="2"/>
  <c r="I2981" i="2"/>
  <c r="H2981" i="2"/>
  <c r="I2980" i="2"/>
  <c r="H2980" i="2"/>
  <c r="I2979" i="2"/>
  <c r="H2979" i="2"/>
  <c r="I2978" i="2"/>
  <c r="H2978" i="2"/>
  <c r="I2977" i="2"/>
  <c r="H2977" i="2"/>
  <c r="I2976" i="2"/>
  <c r="H2976" i="2"/>
  <c r="I2975" i="2"/>
  <c r="H2975" i="2"/>
  <c r="I2974" i="2"/>
  <c r="H2974" i="2"/>
  <c r="I2973" i="2"/>
  <c r="H2973" i="2"/>
  <c r="I2972" i="2"/>
  <c r="H2972" i="2"/>
  <c r="I2971" i="2"/>
  <c r="H2971" i="2"/>
  <c r="I2970" i="2"/>
  <c r="H2970" i="2"/>
  <c r="I2969" i="2"/>
  <c r="H2969" i="2"/>
  <c r="I2968" i="2"/>
  <c r="H2968" i="2"/>
  <c r="I2967" i="2"/>
  <c r="H2967" i="2"/>
  <c r="I2966" i="2"/>
  <c r="H2966" i="2"/>
  <c r="I2965" i="2"/>
  <c r="H2965" i="2"/>
  <c r="I2964" i="2"/>
  <c r="H2964" i="2"/>
  <c r="I2963" i="2"/>
  <c r="H2963" i="2"/>
  <c r="I2962" i="2"/>
  <c r="H2962" i="2"/>
  <c r="I2961" i="2"/>
  <c r="H2961" i="2"/>
  <c r="I2960" i="2"/>
  <c r="H2960" i="2"/>
  <c r="I2959" i="2"/>
  <c r="H2959" i="2"/>
  <c r="I2958" i="2"/>
  <c r="H2958" i="2"/>
  <c r="I2957" i="2"/>
  <c r="H2957" i="2"/>
  <c r="I2956" i="2"/>
  <c r="H2956" i="2"/>
  <c r="I2955" i="2"/>
  <c r="H2955" i="2"/>
  <c r="I2954" i="2"/>
  <c r="H2954" i="2"/>
  <c r="I2953" i="2"/>
  <c r="H2953" i="2"/>
  <c r="I2952" i="2"/>
  <c r="H2952" i="2"/>
  <c r="I2951" i="2"/>
  <c r="H2951" i="2"/>
  <c r="I2950" i="2"/>
  <c r="H2950" i="2"/>
  <c r="I2949" i="2"/>
  <c r="H2949" i="2"/>
  <c r="I2948" i="2"/>
  <c r="H2948" i="2"/>
  <c r="I2947" i="2"/>
  <c r="H2947" i="2"/>
  <c r="I2946" i="2"/>
  <c r="H2946" i="2"/>
  <c r="I2945" i="2"/>
  <c r="H2945" i="2"/>
  <c r="I2944" i="2"/>
  <c r="H2944" i="2"/>
  <c r="I2943" i="2"/>
  <c r="H2943" i="2"/>
  <c r="I2942" i="2"/>
  <c r="H2942" i="2"/>
  <c r="I2941" i="2"/>
  <c r="H2941" i="2"/>
  <c r="I2940" i="2"/>
  <c r="H2940" i="2"/>
  <c r="I2939" i="2"/>
  <c r="H2939" i="2"/>
  <c r="I2938" i="2"/>
  <c r="H2938" i="2"/>
  <c r="I2937" i="2"/>
  <c r="H2937" i="2"/>
  <c r="I2936" i="2"/>
  <c r="H2936" i="2"/>
  <c r="I2935" i="2"/>
  <c r="H2935" i="2"/>
  <c r="I2934" i="2"/>
  <c r="H2934" i="2"/>
  <c r="I2933" i="2"/>
  <c r="H2933" i="2"/>
  <c r="I2932" i="2"/>
  <c r="H2932" i="2"/>
  <c r="I2931" i="2"/>
  <c r="H2931" i="2"/>
  <c r="I2930" i="2"/>
  <c r="H2930" i="2"/>
  <c r="I2929" i="2"/>
  <c r="H2929" i="2"/>
  <c r="I2928" i="2"/>
  <c r="H2928" i="2"/>
  <c r="I2927" i="2"/>
  <c r="H2927" i="2"/>
  <c r="I2926" i="2"/>
  <c r="H2926" i="2"/>
  <c r="I2925" i="2"/>
  <c r="H2925" i="2"/>
  <c r="I2924" i="2"/>
  <c r="H2924" i="2"/>
  <c r="I2923" i="2"/>
  <c r="H2923" i="2"/>
  <c r="I2922" i="2"/>
  <c r="H2922" i="2"/>
  <c r="I2921" i="2"/>
  <c r="H2921" i="2"/>
  <c r="I2920" i="2"/>
  <c r="H2920" i="2"/>
  <c r="I2919" i="2"/>
  <c r="H2919" i="2"/>
  <c r="I2918" i="2"/>
  <c r="H2918" i="2"/>
  <c r="I2917" i="2"/>
  <c r="H2917" i="2"/>
  <c r="I2916" i="2"/>
  <c r="H2916" i="2"/>
  <c r="I2915" i="2"/>
  <c r="H2915" i="2"/>
  <c r="I2914" i="2"/>
  <c r="H2914" i="2"/>
  <c r="I2913" i="2"/>
  <c r="H2913" i="2"/>
  <c r="I2912" i="2"/>
  <c r="H2912" i="2"/>
  <c r="I2911" i="2"/>
  <c r="H2911" i="2"/>
  <c r="I2910" i="2"/>
  <c r="H2910" i="2"/>
  <c r="I2909" i="2"/>
  <c r="H2909" i="2"/>
  <c r="I2908" i="2"/>
  <c r="H2908" i="2"/>
  <c r="I2907" i="2"/>
  <c r="H2907" i="2"/>
  <c r="I2906" i="2"/>
  <c r="H2906" i="2"/>
  <c r="I2905" i="2"/>
  <c r="H2905" i="2"/>
  <c r="I2904" i="2"/>
  <c r="H2904" i="2"/>
  <c r="I2903" i="2"/>
  <c r="H2903" i="2"/>
  <c r="I2902" i="2"/>
  <c r="H2902" i="2"/>
  <c r="I2901" i="2"/>
  <c r="H2901" i="2"/>
  <c r="I2900" i="2"/>
  <c r="H2900" i="2"/>
  <c r="I2899" i="2"/>
  <c r="H2899" i="2"/>
  <c r="I2898" i="2"/>
  <c r="H2898" i="2"/>
  <c r="I2897" i="2"/>
  <c r="H2897" i="2"/>
  <c r="I2896" i="2"/>
  <c r="H2896" i="2"/>
  <c r="I2895" i="2"/>
  <c r="H2895" i="2"/>
  <c r="I2894" i="2"/>
  <c r="H2894" i="2"/>
  <c r="I2893" i="2"/>
  <c r="H2893" i="2"/>
  <c r="I2892" i="2"/>
  <c r="H2892" i="2"/>
  <c r="I2891" i="2"/>
  <c r="H2891" i="2"/>
  <c r="I2890" i="2"/>
  <c r="H2890" i="2"/>
  <c r="I2889" i="2"/>
  <c r="H2889" i="2"/>
  <c r="I2888" i="2"/>
  <c r="H2888" i="2"/>
  <c r="I2887" i="2"/>
  <c r="H2887" i="2"/>
  <c r="I2886" i="2"/>
  <c r="H2886" i="2"/>
  <c r="I2885" i="2"/>
  <c r="H2885" i="2"/>
  <c r="I2884" i="2"/>
  <c r="H2884" i="2"/>
  <c r="I2883" i="2"/>
  <c r="H2883" i="2"/>
  <c r="I2882" i="2"/>
  <c r="H2882" i="2"/>
  <c r="I2881" i="2"/>
  <c r="H2881" i="2"/>
  <c r="I2880" i="2"/>
  <c r="H2880" i="2"/>
  <c r="I2879" i="2"/>
  <c r="H2879" i="2"/>
  <c r="I2878" i="2"/>
  <c r="H2878" i="2"/>
  <c r="I2877" i="2"/>
  <c r="H2877" i="2"/>
  <c r="I2876" i="2"/>
  <c r="H2876" i="2"/>
  <c r="I2875" i="2"/>
  <c r="H2875" i="2"/>
  <c r="I2874" i="2"/>
  <c r="H2874" i="2"/>
  <c r="I2873" i="2"/>
  <c r="H2873" i="2"/>
  <c r="I2872" i="2"/>
  <c r="H2872" i="2"/>
  <c r="I2871" i="2"/>
  <c r="H2871" i="2"/>
  <c r="I2870" i="2"/>
  <c r="H2870" i="2"/>
  <c r="I2869" i="2"/>
  <c r="H2869" i="2"/>
  <c r="I2868" i="2"/>
  <c r="H2868" i="2"/>
  <c r="I2867" i="2"/>
  <c r="H2867" i="2"/>
  <c r="I2866" i="2"/>
  <c r="H2866" i="2"/>
  <c r="I2865" i="2"/>
  <c r="H2865" i="2"/>
  <c r="I2864" i="2"/>
  <c r="H2864" i="2"/>
  <c r="I2863" i="2"/>
  <c r="H2863" i="2"/>
  <c r="I2862" i="2"/>
  <c r="H2862" i="2"/>
  <c r="I2861" i="2"/>
  <c r="H2861" i="2"/>
  <c r="I2860" i="2"/>
  <c r="H2860" i="2"/>
  <c r="I2859" i="2"/>
  <c r="H2859" i="2"/>
  <c r="I2858" i="2"/>
  <c r="H2858" i="2"/>
  <c r="I2857" i="2"/>
  <c r="H2857" i="2"/>
  <c r="I2856" i="2"/>
  <c r="H2856" i="2"/>
  <c r="I2855" i="2"/>
  <c r="H2855" i="2"/>
  <c r="I2854" i="2"/>
  <c r="H2854" i="2"/>
  <c r="I2853" i="2"/>
  <c r="H2853" i="2"/>
  <c r="I2852" i="2"/>
  <c r="H2852" i="2"/>
  <c r="I2851" i="2"/>
  <c r="H2851" i="2"/>
  <c r="I2850" i="2"/>
  <c r="H2850" i="2"/>
  <c r="I2849" i="2"/>
  <c r="H2849" i="2"/>
  <c r="I2848" i="2"/>
  <c r="H2848" i="2"/>
  <c r="I2847" i="2"/>
  <c r="H2847" i="2"/>
  <c r="I2846" i="2"/>
  <c r="H2846" i="2"/>
  <c r="I2845" i="2"/>
  <c r="H2845" i="2"/>
  <c r="I2844" i="2"/>
  <c r="H2844" i="2"/>
  <c r="I2843" i="2"/>
  <c r="H2843" i="2"/>
  <c r="I2842" i="2"/>
  <c r="H2842" i="2"/>
  <c r="I2841" i="2"/>
  <c r="H2841" i="2"/>
  <c r="I2840" i="2"/>
  <c r="H2840" i="2"/>
  <c r="I2839" i="2"/>
  <c r="H2839" i="2"/>
  <c r="I2838" i="2"/>
  <c r="H2838" i="2"/>
  <c r="I2837" i="2"/>
  <c r="H2837" i="2"/>
  <c r="I2836" i="2"/>
  <c r="H2836" i="2"/>
  <c r="I2835" i="2"/>
  <c r="H2835" i="2"/>
  <c r="I2834" i="2"/>
  <c r="H2834" i="2"/>
  <c r="I2833" i="2"/>
  <c r="H2833" i="2"/>
  <c r="I2832" i="2"/>
  <c r="H2832" i="2"/>
  <c r="I2831" i="2"/>
  <c r="H2831" i="2"/>
  <c r="I2830" i="2"/>
  <c r="H2830" i="2"/>
  <c r="I2829" i="2"/>
  <c r="H2829" i="2"/>
  <c r="I2828" i="2"/>
  <c r="H2828" i="2"/>
  <c r="I2827" i="2"/>
  <c r="H2827" i="2"/>
  <c r="I2826" i="2"/>
  <c r="H2826" i="2"/>
  <c r="I2825" i="2"/>
  <c r="H2825" i="2"/>
  <c r="I2824" i="2"/>
  <c r="H2824" i="2"/>
  <c r="I2823" i="2"/>
  <c r="H2823" i="2"/>
  <c r="I2822" i="2"/>
  <c r="H2822" i="2"/>
  <c r="I2821" i="2"/>
  <c r="H2821" i="2"/>
  <c r="I2820" i="2"/>
  <c r="H2820" i="2"/>
  <c r="I2819" i="2"/>
  <c r="H2819" i="2"/>
  <c r="I2818" i="2"/>
  <c r="H2818" i="2"/>
  <c r="I2817" i="2"/>
  <c r="H2817" i="2"/>
  <c r="I2816" i="2"/>
  <c r="H2816" i="2"/>
  <c r="I2815" i="2"/>
  <c r="H2815" i="2"/>
  <c r="I2814" i="2"/>
  <c r="H2814" i="2"/>
  <c r="I2813" i="2"/>
  <c r="H2813" i="2"/>
  <c r="I2812" i="2"/>
  <c r="H2812" i="2"/>
  <c r="I2811" i="2"/>
  <c r="H2811" i="2"/>
  <c r="I2810" i="2"/>
  <c r="H2810" i="2"/>
  <c r="I2809" i="2"/>
  <c r="H2809" i="2"/>
  <c r="I2808" i="2"/>
  <c r="H2808" i="2"/>
  <c r="I2807" i="2"/>
  <c r="H2807" i="2"/>
  <c r="I2806" i="2"/>
  <c r="H2806" i="2"/>
  <c r="I2805" i="2"/>
  <c r="H2805" i="2"/>
  <c r="I2804" i="2"/>
  <c r="H2804" i="2"/>
  <c r="I2803" i="2"/>
  <c r="H2803" i="2"/>
  <c r="I2802" i="2"/>
  <c r="H2802" i="2"/>
  <c r="I2801" i="2"/>
  <c r="H2801" i="2"/>
  <c r="I2800" i="2"/>
  <c r="H2800" i="2"/>
  <c r="I2799" i="2"/>
  <c r="H2799" i="2"/>
  <c r="I2798" i="2"/>
  <c r="H2798" i="2"/>
  <c r="I2797" i="2"/>
  <c r="H2797" i="2"/>
  <c r="I2796" i="2"/>
  <c r="H2796" i="2"/>
  <c r="I2795" i="2"/>
  <c r="H2795" i="2"/>
  <c r="I2794" i="2"/>
  <c r="H2794" i="2"/>
  <c r="I2793" i="2"/>
  <c r="H2793" i="2"/>
  <c r="I2792" i="2"/>
  <c r="H2792" i="2"/>
  <c r="I2791" i="2"/>
  <c r="H2791" i="2"/>
  <c r="I2790" i="2"/>
  <c r="H2790" i="2"/>
  <c r="I2789" i="2"/>
  <c r="H2789" i="2"/>
  <c r="I2788" i="2"/>
  <c r="H2788" i="2"/>
  <c r="I2787" i="2"/>
  <c r="H2787" i="2"/>
  <c r="I2786" i="2"/>
  <c r="H2786" i="2"/>
  <c r="I2785" i="2"/>
  <c r="H2785" i="2"/>
  <c r="I2784" i="2"/>
  <c r="H2784" i="2"/>
  <c r="I2783" i="2"/>
  <c r="H2783" i="2"/>
  <c r="I2782" i="2"/>
  <c r="H2782" i="2"/>
  <c r="I2781" i="2"/>
  <c r="H2781" i="2"/>
  <c r="I2780" i="2"/>
  <c r="H2780" i="2"/>
  <c r="I2779" i="2"/>
  <c r="H2779" i="2"/>
  <c r="I2778" i="2"/>
  <c r="H2778" i="2"/>
  <c r="I2777" i="2"/>
  <c r="H2777" i="2"/>
  <c r="I2776" i="2"/>
  <c r="H2776" i="2"/>
  <c r="I2775" i="2"/>
  <c r="H2775" i="2"/>
  <c r="I2774" i="2"/>
  <c r="H2774" i="2"/>
  <c r="I2773" i="2"/>
  <c r="H2773" i="2"/>
  <c r="I2772" i="2"/>
  <c r="H2772" i="2"/>
  <c r="I2771" i="2"/>
  <c r="H2771" i="2"/>
  <c r="I2770" i="2"/>
  <c r="H2770" i="2"/>
  <c r="I2769" i="2"/>
  <c r="H2769" i="2"/>
  <c r="I2768" i="2"/>
  <c r="H2768" i="2"/>
  <c r="I2767" i="2"/>
  <c r="H2767" i="2"/>
  <c r="I2766" i="2"/>
  <c r="H2766" i="2"/>
  <c r="I2765" i="2"/>
  <c r="H2765" i="2"/>
  <c r="I2764" i="2"/>
  <c r="H2764" i="2"/>
  <c r="I2763" i="2"/>
  <c r="H2763" i="2"/>
  <c r="I2762" i="2"/>
  <c r="H2762" i="2"/>
  <c r="I2761" i="2"/>
  <c r="H2761" i="2"/>
  <c r="I2760" i="2"/>
  <c r="H2760" i="2"/>
  <c r="I2759" i="2"/>
  <c r="H2759" i="2"/>
  <c r="I2758" i="2"/>
  <c r="H2758" i="2"/>
  <c r="I2757" i="2"/>
  <c r="H2757" i="2"/>
  <c r="I2756" i="2"/>
  <c r="H2756" i="2"/>
  <c r="I2755" i="2"/>
  <c r="H2755" i="2"/>
  <c r="I2754" i="2"/>
  <c r="H2754" i="2"/>
  <c r="I2753" i="2"/>
  <c r="H2753" i="2"/>
  <c r="I2752" i="2"/>
  <c r="H2752" i="2"/>
  <c r="I2751" i="2"/>
  <c r="H2751" i="2"/>
  <c r="I2750" i="2"/>
  <c r="H2750" i="2"/>
  <c r="I2749" i="2"/>
  <c r="H2749" i="2"/>
  <c r="I2748" i="2"/>
  <c r="H2748" i="2"/>
  <c r="I2747" i="2"/>
  <c r="H2747" i="2"/>
  <c r="I2746" i="2"/>
  <c r="H2746" i="2"/>
  <c r="I2745" i="2"/>
  <c r="H2745" i="2"/>
  <c r="I2744" i="2"/>
  <c r="H2744" i="2"/>
  <c r="I2743" i="2"/>
  <c r="H2743" i="2"/>
  <c r="I2742" i="2"/>
  <c r="H2742" i="2"/>
  <c r="I2741" i="2"/>
  <c r="H2741" i="2"/>
  <c r="I2740" i="2"/>
  <c r="H2740" i="2"/>
  <c r="I2739" i="2"/>
  <c r="H2739" i="2"/>
  <c r="I2738" i="2"/>
  <c r="H2738" i="2"/>
  <c r="I2737" i="2"/>
  <c r="H2737" i="2"/>
  <c r="I2736" i="2"/>
  <c r="H2736" i="2"/>
  <c r="I2735" i="2"/>
  <c r="H2735" i="2"/>
  <c r="I2734" i="2"/>
  <c r="H2734" i="2"/>
  <c r="I2733" i="2"/>
  <c r="H2733" i="2"/>
  <c r="I2732" i="2"/>
  <c r="H2732" i="2"/>
  <c r="I2731" i="2"/>
  <c r="H2731" i="2"/>
  <c r="I2730" i="2"/>
  <c r="H2730" i="2"/>
  <c r="I2729" i="2"/>
  <c r="H2729" i="2"/>
  <c r="I2728" i="2"/>
  <c r="H2728" i="2"/>
  <c r="I2727" i="2"/>
  <c r="H2727" i="2"/>
  <c r="I2726" i="2"/>
  <c r="H2726" i="2"/>
  <c r="I2725" i="2"/>
  <c r="H2725" i="2"/>
  <c r="I2724" i="2"/>
  <c r="H2724" i="2"/>
  <c r="I2723" i="2"/>
  <c r="H2723" i="2"/>
  <c r="I2722" i="2"/>
  <c r="H2722" i="2"/>
  <c r="I2721" i="2"/>
  <c r="H2721" i="2"/>
  <c r="I2720" i="2"/>
  <c r="H2720" i="2"/>
  <c r="I2719" i="2"/>
  <c r="H2719" i="2"/>
  <c r="I2718" i="2"/>
  <c r="H2718" i="2"/>
  <c r="I2717" i="2"/>
  <c r="H2717" i="2"/>
  <c r="I2716" i="2"/>
  <c r="H2716" i="2"/>
  <c r="I2715" i="2"/>
  <c r="H2715" i="2"/>
  <c r="I2714" i="2"/>
  <c r="H2714" i="2"/>
  <c r="I2713" i="2"/>
  <c r="H2713" i="2"/>
  <c r="I2712" i="2"/>
  <c r="H2712" i="2"/>
  <c r="I2711" i="2"/>
  <c r="H2711" i="2"/>
  <c r="I2710" i="2"/>
  <c r="H2710" i="2"/>
  <c r="I2709" i="2"/>
  <c r="H2709" i="2"/>
  <c r="I2708" i="2"/>
  <c r="H2708" i="2"/>
  <c r="I2707" i="2"/>
  <c r="H2707" i="2"/>
  <c r="I2706" i="2"/>
  <c r="H2706" i="2"/>
  <c r="I2705" i="2"/>
  <c r="H2705" i="2"/>
  <c r="I2704" i="2"/>
  <c r="H2704" i="2"/>
  <c r="I2703" i="2"/>
  <c r="H2703" i="2"/>
  <c r="I2702" i="2"/>
  <c r="H2702" i="2"/>
  <c r="I2701" i="2"/>
  <c r="H2701" i="2"/>
  <c r="I2700" i="2"/>
  <c r="H2700" i="2"/>
  <c r="I2699" i="2"/>
  <c r="H2699" i="2"/>
  <c r="I2698" i="2"/>
  <c r="H2698" i="2"/>
  <c r="I2697" i="2"/>
  <c r="H2697" i="2"/>
  <c r="I2696" i="2"/>
  <c r="H2696" i="2"/>
  <c r="I2695" i="2"/>
  <c r="H2695" i="2"/>
  <c r="I2694" i="2"/>
  <c r="H2694" i="2"/>
  <c r="I2693" i="2"/>
  <c r="H2693" i="2"/>
  <c r="I2692" i="2"/>
  <c r="H2692" i="2"/>
  <c r="I2691" i="2"/>
  <c r="H2691" i="2"/>
  <c r="I2690" i="2"/>
  <c r="H2690" i="2"/>
  <c r="I2689" i="2"/>
  <c r="H2689" i="2"/>
  <c r="I2688" i="2"/>
  <c r="H2688" i="2"/>
  <c r="I2687" i="2"/>
  <c r="H2687" i="2"/>
  <c r="I2686" i="2"/>
  <c r="H2686" i="2"/>
  <c r="I2685" i="2"/>
  <c r="H2685" i="2"/>
  <c r="I2684" i="2"/>
  <c r="H2684" i="2"/>
  <c r="I2683" i="2"/>
  <c r="H2683" i="2"/>
  <c r="I2682" i="2"/>
  <c r="H2682" i="2"/>
  <c r="I2681" i="2"/>
  <c r="H2681" i="2"/>
  <c r="I2680" i="2"/>
  <c r="H2680" i="2"/>
  <c r="I2679" i="2"/>
  <c r="H2679" i="2"/>
  <c r="I2678" i="2"/>
  <c r="H2678" i="2"/>
  <c r="I2677" i="2"/>
  <c r="H2677" i="2"/>
  <c r="I2676" i="2"/>
  <c r="H2676" i="2"/>
  <c r="I2675" i="2"/>
  <c r="H2675" i="2"/>
  <c r="I2674" i="2"/>
  <c r="H2674" i="2"/>
  <c r="I2673" i="2"/>
  <c r="H2673" i="2"/>
  <c r="I2672" i="2"/>
  <c r="H2672" i="2"/>
  <c r="I2671" i="2"/>
  <c r="H2671" i="2"/>
  <c r="I2670" i="2"/>
  <c r="H2670" i="2"/>
  <c r="I2669" i="2"/>
  <c r="H2669" i="2"/>
  <c r="I2668" i="2"/>
  <c r="H2668" i="2"/>
  <c r="I2667" i="2"/>
  <c r="H2667" i="2"/>
  <c r="I2666" i="2"/>
  <c r="H2666" i="2"/>
  <c r="I2665" i="2"/>
  <c r="H2665" i="2"/>
  <c r="I2664" i="2"/>
  <c r="H2664" i="2"/>
  <c r="I2663" i="2"/>
  <c r="H2663" i="2"/>
  <c r="I2662" i="2"/>
  <c r="H2662" i="2"/>
  <c r="I2661" i="2"/>
  <c r="H2661" i="2"/>
  <c r="I2660" i="2"/>
  <c r="H2660" i="2"/>
  <c r="I2659" i="2"/>
  <c r="H2659" i="2"/>
  <c r="I2658" i="2"/>
  <c r="H2658" i="2"/>
  <c r="I2657" i="2"/>
  <c r="H2657" i="2"/>
  <c r="I2656" i="2"/>
  <c r="H2656" i="2"/>
  <c r="I2655" i="2"/>
  <c r="H2655" i="2"/>
  <c r="I2654" i="2"/>
  <c r="H2654" i="2"/>
  <c r="I2653" i="2"/>
  <c r="H2653" i="2"/>
  <c r="I2652" i="2"/>
  <c r="H2652" i="2"/>
  <c r="I2651" i="2"/>
  <c r="H2651" i="2"/>
  <c r="I2650" i="2"/>
  <c r="H2650" i="2"/>
  <c r="I2649" i="2"/>
  <c r="H2649" i="2"/>
  <c r="I2648" i="2"/>
  <c r="H2648" i="2"/>
  <c r="I2647" i="2"/>
  <c r="H2647" i="2"/>
  <c r="I2646" i="2"/>
  <c r="H2646" i="2"/>
  <c r="I2645" i="2"/>
  <c r="H2645" i="2"/>
  <c r="I2644" i="2"/>
  <c r="H2644" i="2"/>
  <c r="I2643" i="2"/>
  <c r="H2643" i="2"/>
  <c r="I2642" i="2"/>
  <c r="H2642" i="2"/>
  <c r="I2641" i="2"/>
  <c r="H2641" i="2"/>
  <c r="I2640" i="2"/>
  <c r="H2640" i="2"/>
  <c r="I2639" i="2"/>
  <c r="H2639" i="2"/>
  <c r="I2638" i="2"/>
  <c r="H2638" i="2"/>
  <c r="I2637" i="2"/>
  <c r="H2637" i="2"/>
  <c r="I2636" i="2"/>
  <c r="H2636" i="2"/>
  <c r="I2635" i="2"/>
  <c r="H2635" i="2"/>
  <c r="I2634" i="2"/>
  <c r="H2634" i="2"/>
  <c r="I2633" i="2"/>
  <c r="H2633" i="2"/>
  <c r="I2632" i="2"/>
  <c r="H2632" i="2"/>
  <c r="I2631" i="2"/>
  <c r="H2631" i="2"/>
  <c r="I2630" i="2"/>
  <c r="H2630" i="2"/>
  <c r="I2629" i="2"/>
  <c r="H2629" i="2"/>
  <c r="I2628" i="2"/>
  <c r="H2628" i="2"/>
  <c r="I2627" i="2"/>
  <c r="H2627" i="2"/>
  <c r="I2626" i="2"/>
  <c r="H2626" i="2"/>
  <c r="I2625" i="2"/>
  <c r="H2625" i="2"/>
  <c r="I2624" i="2"/>
  <c r="H2624" i="2"/>
  <c r="I2623" i="2"/>
  <c r="H2623" i="2"/>
  <c r="I2622" i="2"/>
  <c r="H2622" i="2"/>
  <c r="I2621" i="2"/>
  <c r="H2621" i="2"/>
  <c r="I2620" i="2"/>
  <c r="H2620" i="2"/>
  <c r="I2619" i="2"/>
  <c r="H2619" i="2"/>
  <c r="I2618" i="2"/>
  <c r="H2618" i="2"/>
  <c r="I2617" i="2"/>
  <c r="H2617" i="2"/>
  <c r="I2616" i="2"/>
  <c r="H2616" i="2"/>
  <c r="I2615" i="2"/>
  <c r="H2615" i="2"/>
  <c r="I2614" i="2"/>
  <c r="H2614" i="2"/>
  <c r="I2613" i="2"/>
  <c r="H2613" i="2"/>
  <c r="I2612" i="2"/>
  <c r="H2612" i="2"/>
  <c r="I2611" i="2"/>
  <c r="H2611" i="2"/>
  <c r="I2610" i="2"/>
  <c r="H2610" i="2"/>
  <c r="I2609" i="2"/>
  <c r="H2609" i="2"/>
  <c r="I2608" i="2"/>
  <c r="H2608" i="2"/>
  <c r="I2607" i="2"/>
  <c r="H2607" i="2"/>
  <c r="I2606" i="2"/>
  <c r="H2606" i="2"/>
  <c r="I2605" i="2"/>
  <c r="H2605" i="2"/>
  <c r="I2604" i="2"/>
  <c r="H2604" i="2"/>
  <c r="I2603" i="2"/>
  <c r="H2603" i="2"/>
  <c r="I2602" i="2"/>
  <c r="H2602" i="2"/>
  <c r="I2601" i="2"/>
  <c r="H2601" i="2"/>
  <c r="I2600" i="2"/>
  <c r="H2600" i="2"/>
  <c r="I2599" i="2"/>
  <c r="H2599" i="2"/>
  <c r="I2598" i="2"/>
  <c r="H2598" i="2"/>
  <c r="I2597" i="2"/>
  <c r="H2597" i="2"/>
  <c r="I2596" i="2"/>
  <c r="H2596" i="2"/>
  <c r="I2595" i="2"/>
  <c r="H2595" i="2"/>
  <c r="I2594" i="2"/>
  <c r="H2594" i="2"/>
  <c r="I2593" i="2"/>
  <c r="H2593" i="2"/>
  <c r="I2592" i="2"/>
  <c r="H2592" i="2"/>
  <c r="I2591" i="2"/>
  <c r="H2591" i="2"/>
  <c r="I2590" i="2"/>
  <c r="H2590" i="2"/>
  <c r="I2589" i="2"/>
  <c r="H2589" i="2"/>
  <c r="I2588" i="2"/>
  <c r="H2588" i="2"/>
  <c r="I2587" i="2"/>
  <c r="H2587" i="2"/>
  <c r="I2586" i="2"/>
  <c r="H2586" i="2"/>
  <c r="I2585" i="2"/>
  <c r="H2585" i="2"/>
  <c r="I2584" i="2"/>
  <c r="H2584" i="2"/>
  <c r="I2583" i="2"/>
  <c r="H2583" i="2"/>
  <c r="I2582" i="2"/>
  <c r="H2582" i="2"/>
  <c r="I2581" i="2"/>
  <c r="H2581" i="2"/>
  <c r="I2580" i="2"/>
  <c r="H2580" i="2"/>
  <c r="I2579" i="2"/>
  <c r="H2579" i="2"/>
  <c r="I2578" i="2"/>
  <c r="H2578" i="2"/>
  <c r="I2577" i="2"/>
  <c r="H2577" i="2"/>
  <c r="I2576" i="2"/>
  <c r="H2576" i="2"/>
  <c r="I2575" i="2"/>
  <c r="H2575" i="2"/>
  <c r="I2574" i="2"/>
  <c r="H2574" i="2"/>
  <c r="I2573" i="2"/>
  <c r="H2573" i="2"/>
  <c r="I2572" i="2"/>
  <c r="H2572" i="2"/>
  <c r="I2571" i="2"/>
  <c r="H2571" i="2"/>
  <c r="I2570" i="2"/>
  <c r="H2570" i="2"/>
  <c r="I2569" i="2"/>
  <c r="H2569" i="2"/>
  <c r="I2568" i="2"/>
  <c r="H2568" i="2"/>
  <c r="I2567" i="2"/>
  <c r="H2567" i="2"/>
  <c r="I2566" i="2"/>
  <c r="H2566" i="2"/>
  <c r="I2565" i="2"/>
  <c r="H2565" i="2"/>
  <c r="I2564" i="2"/>
  <c r="H2564" i="2"/>
  <c r="I2563" i="2"/>
  <c r="H2563" i="2"/>
  <c r="I2562" i="2"/>
  <c r="H2562" i="2"/>
  <c r="I2561" i="2"/>
  <c r="H2561" i="2"/>
  <c r="I2560" i="2"/>
  <c r="H2560" i="2"/>
  <c r="I2559" i="2"/>
  <c r="H2559" i="2"/>
  <c r="I2558" i="2"/>
  <c r="H2558" i="2"/>
  <c r="I2557" i="2"/>
  <c r="H2557" i="2"/>
  <c r="I2556" i="2"/>
  <c r="H2556" i="2"/>
  <c r="I2555" i="2"/>
  <c r="H2555" i="2"/>
  <c r="I2554" i="2"/>
  <c r="H2554" i="2"/>
  <c r="I2553" i="2"/>
  <c r="H2553" i="2"/>
  <c r="I2552" i="2"/>
  <c r="H2552" i="2"/>
  <c r="I2551" i="2"/>
  <c r="H2551" i="2"/>
  <c r="I2550" i="2"/>
  <c r="H2550" i="2"/>
  <c r="I2549" i="2"/>
  <c r="H2549" i="2"/>
  <c r="I2548" i="2"/>
  <c r="H2548" i="2"/>
  <c r="I2547" i="2"/>
  <c r="H2547" i="2"/>
  <c r="I2546" i="2"/>
  <c r="H2546" i="2"/>
  <c r="I2545" i="2"/>
  <c r="H2545" i="2"/>
  <c r="I2544" i="2"/>
  <c r="H2544" i="2"/>
  <c r="I2543" i="2"/>
  <c r="H2543" i="2"/>
  <c r="I2542" i="2"/>
  <c r="H2542" i="2"/>
  <c r="I2541" i="2"/>
  <c r="H2541" i="2"/>
  <c r="I2540" i="2"/>
  <c r="H2540" i="2"/>
  <c r="I2539" i="2"/>
  <c r="H2539" i="2"/>
  <c r="I2538" i="2"/>
  <c r="H2538" i="2"/>
  <c r="I2537" i="2"/>
  <c r="H2537" i="2"/>
  <c r="I2536" i="2"/>
  <c r="H2536" i="2"/>
  <c r="I2535" i="2"/>
  <c r="H2535" i="2"/>
  <c r="I2534" i="2"/>
  <c r="H2534" i="2"/>
  <c r="I2533" i="2"/>
  <c r="H2533" i="2"/>
  <c r="I2532" i="2"/>
  <c r="H2532" i="2"/>
  <c r="I2531" i="2"/>
  <c r="H2531" i="2"/>
  <c r="I2530" i="2"/>
  <c r="H2530" i="2"/>
  <c r="I2529" i="2"/>
  <c r="H2529" i="2"/>
  <c r="I2528" i="2"/>
  <c r="H2528" i="2"/>
  <c r="I2527" i="2"/>
  <c r="H2527" i="2"/>
  <c r="I2526" i="2"/>
  <c r="H2526" i="2"/>
  <c r="I2525" i="2"/>
  <c r="H2525" i="2"/>
  <c r="I2524" i="2"/>
  <c r="H2524" i="2"/>
  <c r="I2523" i="2"/>
  <c r="H2523" i="2"/>
  <c r="I2522" i="2"/>
  <c r="H2522" i="2"/>
  <c r="I2521" i="2"/>
  <c r="H2521" i="2"/>
  <c r="I2520" i="2"/>
  <c r="H2520" i="2"/>
  <c r="I2519" i="2"/>
  <c r="H2519" i="2"/>
  <c r="I2518" i="2"/>
  <c r="H2518" i="2"/>
  <c r="I2517" i="2"/>
  <c r="H2517" i="2"/>
  <c r="I2516" i="2"/>
  <c r="H2516" i="2"/>
  <c r="I2515" i="2"/>
  <c r="H2515" i="2"/>
  <c r="I2514" i="2"/>
  <c r="H2514" i="2"/>
  <c r="I2513" i="2"/>
  <c r="H2513" i="2"/>
  <c r="I2512" i="2"/>
  <c r="H2512" i="2"/>
  <c r="I2511" i="2"/>
  <c r="H2511" i="2"/>
  <c r="I2510" i="2"/>
  <c r="H2510" i="2"/>
  <c r="I2509" i="2"/>
  <c r="H2509" i="2"/>
  <c r="I2508" i="2"/>
  <c r="H2508" i="2"/>
  <c r="I2507" i="2"/>
  <c r="H2507" i="2"/>
  <c r="I2506" i="2"/>
  <c r="H2506" i="2"/>
  <c r="I2505" i="2"/>
  <c r="H2505" i="2"/>
  <c r="I2504" i="2"/>
  <c r="H2504" i="2"/>
  <c r="I2503" i="2"/>
  <c r="H2503" i="2"/>
  <c r="I2502" i="2"/>
  <c r="H2502" i="2"/>
  <c r="I2501" i="2"/>
  <c r="H2501" i="2"/>
  <c r="I2500" i="2"/>
  <c r="H2500" i="2"/>
  <c r="I2499" i="2"/>
  <c r="H2499" i="2"/>
  <c r="I2498" i="2"/>
  <c r="H2498" i="2"/>
  <c r="I2497" i="2"/>
  <c r="H2497" i="2"/>
  <c r="I2496" i="2"/>
  <c r="H2496" i="2"/>
  <c r="I2495" i="2"/>
  <c r="H2495" i="2"/>
  <c r="I2494" i="2"/>
  <c r="H2494" i="2"/>
  <c r="I2493" i="2"/>
  <c r="H2493" i="2"/>
  <c r="I2492" i="2"/>
  <c r="H2492" i="2"/>
  <c r="I2491" i="2"/>
  <c r="H2491" i="2"/>
  <c r="I2490" i="2"/>
  <c r="H2490" i="2"/>
  <c r="I2489" i="2"/>
  <c r="H2489" i="2"/>
  <c r="I2488" i="2"/>
  <c r="H2488" i="2"/>
  <c r="I2487" i="2"/>
  <c r="H2487" i="2"/>
  <c r="I2486" i="2"/>
  <c r="H2486" i="2"/>
  <c r="I2485" i="2"/>
  <c r="H2485" i="2"/>
  <c r="I2484" i="2"/>
  <c r="H2484" i="2"/>
  <c r="I2483" i="2"/>
  <c r="H2483" i="2"/>
  <c r="I2482" i="2"/>
  <c r="H2482" i="2"/>
  <c r="I2481" i="2"/>
  <c r="H2481" i="2"/>
  <c r="I2480" i="2"/>
  <c r="H2480" i="2"/>
  <c r="I2479" i="2"/>
  <c r="H2479" i="2"/>
  <c r="I2478" i="2"/>
  <c r="H2478" i="2"/>
  <c r="I2477" i="2"/>
  <c r="H2477" i="2"/>
  <c r="I2476" i="2"/>
  <c r="H2476" i="2"/>
  <c r="I2475" i="2"/>
  <c r="H2475" i="2"/>
  <c r="I2474" i="2"/>
  <c r="H2474" i="2"/>
  <c r="I2473" i="2"/>
  <c r="H2473" i="2"/>
  <c r="I2472" i="2"/>
  <c r="H2472" i="2"/>
  <c r="H2471" i="2"/>
  <c r="I2470" i="2"/>
  <c r="H2470" i="2"/>
  <c r="I2469" i="2"/>
  <c r="H2469" i="2"/>
  <c r="I2468" i="2"/>
  <c r="H2468" i="2"/>
  <c r="I2467" i="2"/>
  <c r="H2467" i="2"/>
  <c r="I2466" i="2"/>
  <c r="H2466" i="2"/>
  <c r="I2465" i="2"/>
  <c r="H2465" i="2"/>
  <c r="I2464" i="2"/>
  <c r="H2464" i="2"/>
  <c r="I2463" i="2"/>
  <c r="H2463" i="2"/>
  <c r="I2462" i="2"/>
  <c r="H2462" i="2"/>
  <c r="I2461" i="2"/>
  <c r="H2461" i="2"/>
  <c r="I2460" i="2"/>
  <c r="H2460" i="2"/>
  <c r="I2459" i="2"/>
  <c r="H2459" i="2"/>
  <c r="I2458" i="2"/>
  <c r="H2458" i="2"/>
  <c r="I2457" i="2"/>
  <c r="H2457" i="2"/>
  <c r="I2456" i="2"/>
  <c r="H2456" i="2"/>
  <c r="I2455" i="2"/>
  <c r="H2455" i="2"/>
  <c r="I2454" i="2"/>
  <c r="H2454" i="2"/>
  <c r="I2453" i="2"/>
  <c r="H2453" i="2"/>
  <c r="I2452" i="2"/>
  <c r="H2452" i="2"/>
  <c r="I2451" i="2"/>
  <c r="H2451" i="2"/>
  <c r="I2450" i="2"/>
  <c r="H2450" i="2"/>
  <c r="I2449" i="2"/>
  <c r="H2449" i="2"/>
  <c r="I2448" i="2"/>
  <c r="H2448" i="2"/>
  <c r="I2447" i="2"/>
  <c r="H2447" i="2"/>
  <c r="I2446" i="2"/>
  <c r="H2446" i="2"/>
  <c r="I2445" i="2"/>
  <c r="H2445" i="2"/>
  <c r="I2444" i="2"/>
  <c r="H2444" i="2"/>
  <c r="I2443" i="2"/>
  <c r="H2443" i="2"/>
  <c r="I2442" i="2"/>
  <c r="H2442" i="2"/>
  <c r="I2441" i="2"/>
  <c r="H2441" i="2"/>
  <c r="I2440" i="2"/>
  <c r="H2440" i="2"/>
  <c r="I2439" i="2"/>
  <c r="H2439" i="2"/>
  <c r="I2438" i="2"/>
  <c r="H2438" i="2"/>
  <c r="I2437" i="2"/>
  <c r="H2437" i="2"/>
  <c r="I2436" i="2"/>
  <c r="H2436" i="2"/>
  <c r="I2435" i="2"/>
  <c r="H2435" i="2"/>
  <c r="I2434" i="2"/>
  <c r="H2434" i="2"/>
  <c r="I2433" i="2"/>
  <c r="H2433" i="2"/>
  <c r="I2432" i="2"/>
  <c r="H2432" i="2"/>
  <c r="I2431" i="2"/>
  <c r="H2431" i="2"/>
  <c r="I2430" i="2"/>
  <c r="H2430" i="2"/>
  <c r="I2429" i="2"/>
  <c r="H2429" i="2"/>
  <c r="I2428" i="2"/>
  <c r="H2428" i="2"/>
  <c r="I2427" i="2"/>
  <c r="H2427" i="2"/>
  <c r="I2426" i="2"/>
  <c r="H2426" i="2"/>
  <c r="I2425" i="2"/>
  <c r="H2425" i="2"/>
  <c r="I2424" i="2"/>
  <c r="H2424" i="2"/>
  <c r="I2423" i="2"/>
  <c r="H2423" i="2"/>
  <c r="I2422" i="2"/>
  <c r="H2422" i="2"/>
  <c r="I2421" i="2"/>
  <c r="H2421" i="2"/>
  <c r="I2420" i="2"/>
  <c r="H2420" i="2"/>
  <c r="I2419" i="2"/>
  <c r="H2419" i="2"/>
  <c r="I2418" i="2"/>
  <c r="H2418" i="2"/>
  <c r="I2417" i="2"/>
  <c r="H2417" i="2"/>
  <c r="I2416" i="2"/>
  <c r="H2416" i="2"/>
  <c r="I2415" i="2"/>
  <c r="H2415" i="2"/>
  <c r="I2414" i="2"/>
  <c r="H2414" i="2"/>
  <c r="I2413" i="2"/>
  <c r="H2413" i="2"/>
  <c r="I2412" i="2"/>
  <c r="H2412" i="2"/>
  <c r="I2411" i="2"/>
  <c r="H2411" i="2"/>
  <c r="I2410" i="2"/>
  <c r="H2410" i="2"/>
  <c r="I2409" i="2"/>
  <c r="H2409" i="2"/>
  <c r="I2408" i="2"/>
  <c r="H2408" i="2"/>
  <c r="I2407" i="2"/>
  <c r="H2407" i="2"/>
  <c r="I2406" i="2"/>
  <c r="H2406" i="2"/>
  <c r="I2405" i="2"/>
  <c r="H2405" i="2"/>
  <c r="I2404" i="2"/>
  <c r="H2404" i="2"/>
  <c r="I2403" i="2"/>
  <c r="H2403" i="2"/>
  <c r="I2402" i="2"/>
  <c r="H2402" i="2"/>
  <c r="I2401" i="2"/>
  <c r="H2401" i="2"/>
  <c r="I2400" i="2"/>
  <c r="H2400" i="2"/>
  <c r="I2399" i="2"/>
  <c r="H2399" i="2"/>
  <c r="I2398" i="2"/>
  <c r="H2398" i="2"/>
  <c r="I2397" i="2"/>
  <c r="H2397" i="2"/>
  <c r="I2396" i="2"/>
  <c r="H2396" i="2"/>
  <c r="I2395" i="2"/>
  <c r="H2395" i="2"/>
  <c r="I2394" i="2"/>
  <c r="H2394" i="2"/>
  <c r="I2393" i="2"/>
  <c r="H2393" i="2"/>
  <c r="I2392" i="2"/>
  <c r="H2392" i="2"/>
  <c r="I2391" i="2"/>
  <c r="H2391" i="2"/>
  <c r="I2390" i="2"/>
  <c r="H2390" i="2"/>
  <c r="I2389" i="2"/>
  <c r="H2389" i="2"/>
  <c r="I2388" i="2"/>
  <c r="H2388" i="2"/>
  <c r="I2387" i="2"/>
  <c r="H2387" i="2"/>
  <c r="I2386" i="2"/>
  <c r="H2386" i="2"/>
  <c r="I2385" i="2"/>
  <c r="H2385" i="2"/>
  <c r="I2384" i="2"/>
  <c r="H2384" i="2"/>
  <c r="I2383" i="2"/>
  <c r="H2383" i="2"/>
  <c r="I2382" i="2"/>
  <c r="H2382" i="2"/>
  <c r="I2381" i="2"/>
  <c r="H2381" i="2"/>
  <c r="I2380" i="2"/>
  <c r="H2380" i="2"/>
  <c r="I2379" i="2"/>
  <c r="H2379" i="2"/>
  <c r="I2378" i="2"/>
  <c r="H2378" i="2"/>
  <c r="I2377" i="2"/>
  <c r="H2377" i="2"/>
  <c r="I2376" i="2"/>
  <c r="H2376" i="2"/>
  <c r="I2375" i="2"/>
  <c r="H2375" i="2"/>
  <c r="I2374" i="2"/>
  <c r="H2374" i="2"/>
  <c r="I2373" i="2"/>
  <c r="H2373" i="2"/>
  <c r="I2372" i="2"/>
  <c r="H2372" i="2"/>
  <c r="I2371" i="2"/>
  <c r="H2371" i="2"/>
  <c r="I2370" i="2"/>
  <c r="H2370" i="2"/>
  <c r="I2369" i="2"/>
  <c r="H2369" i="2"/>
  <c r="I2368" i="2"/>
  <c r="H2368" i="2"/>
  <c r="I2367" i="2"/>
  <c r="H2367" i="2"/>
  <c r="I2366" i="2"/>
  <c r="H2366" i="2"/>
  <c r="I2365" i="2"/>
  <c r="H2365" i="2"/>
  <c r="I2364" i="2"/>
  <c r="H2364" i="2"/>
  <c r="I2363" i="2"/>
  <c r="H2363" i="2"/>
  <c r="I2362" i="2"/>
  <c r="H2362" i="2"/>
  <c r="I2361" i="2"/>
  <c r="H2361" i="2"/>
  <c r="I2360" i="2"/>
  <c r="H2360" i="2"/>
  <c r="I2359" i="2"/>
  <c r="H2359" i="2"/>
  <c r="I2358" i="2"/>
  <c r="H2358" i="2"/>
  <c r="I2357" i="2"/>
  <c r="H2357" i="2"/>
  <c r="I2356" i="2"/>
  <c r="H2356" i="2"/>
  <c r="I2355" i="2"/>
  <c r="H2355" i="2"/>
  <c r="I2354" i="2"/>
  <c r="H2354" i="2"/>
  <c r="I2353" i="2"/>
  <c r="H2353" i="2"/>
  <c r="I2352" i="2"/>
  <c r="H2352" i="2"/>
  <c r="I2351" i="2"/>
  <c r="H2351" i="2"/>
  <c r="I2350" i="2"/>
  <c r="H2350" i="2"/>
  <c r="I2349" i="2"/>
  <c r="H2349" i="2"/>
  <c r="I2348" i="2"/>
  <c r="H2348" i="2"/>
  <c r="I2347" i="2"/>
  <c r="H2347" i="2"/>
  <c r="I2346" i="2"/>
  <c r="H2346" i="2"/>
  <c r="I2345" i="2"/>
  <c r="H2345" i="2"/>
  <c r="I2344" i="2"/>
  <c r="H2344" i="2"/>
  <c r="I2343" i="2"/>
  <c r="H2343" i="2"/>
  <c r="I2342" i="2"/>
  <c r="H2342" i="2"/>
  <c r="I2341" i="2"/>
  <c r="H2341" i="2"/>
  <c r="I2340" i="2"/>
  <c r="H2340" i="2"/>
  <c r="I2339" i="2"/>
  <c r="H2339" i="2"/>
  <c r="I2338" i="2"/>
  <c r="H2338" i="2"/>
  <c r="I2337" i="2"/>
  <c r="H2337" i="2"/>
  <c r="I2336" i="2"/>
  <c r="H2336" i="2"/>
  <c r="I2335" i="2"/>
  <c r="H2335" i="2"/>
  <c r="I2334" i="2"/>
  <c r="H2334" i="2"/>
  <c r="I2333" i="2"/>
  <c r="H2333" i="2"/>
  <c r="I2332" i="2"/>
  <c r="H2332" i="2"/>
  <c r="I2331" i="2"/>
  <c r="H2331" i="2"/>
  <c r="I2330" i="2"/>
  <c r="H2330" i="2"/>
  <c r="I2329" i="2"/>
  <c r="H2329" i="2"/>
  <c r="I2328" i="2"/>
  <c r="H2328" i="2"/>
  <c r="I2327" i="2"/>
  <c r="H2327" i="2"/>
  <c r="I2326" i="2"/>
  <c r="H2326" i="2"/>
  <c r="I2325" i="2"/>
  <c r="H2325" i="2"/>
  <c r="I2324" i="2"/>
  <c r="H2324" i="2"/>
  <c r="I2323" i="2"/>
  <c r="H2323" i="2"/>
  <c r="I2322" i="2"/>
  <c r="H2322" i="2"/>
  <c r="I2321" i="2"/>
  <c r="H2321" i="2"/>
  <c r="I2320" i="2"/>
  <c r="H2320" i="2"/>
  <c r="I2319" i="2"/>
  <c r="H2319" i="2"/>
  <c r="I2318" i="2"/>
  <c r="H2318" i="2"/>
  <c r="I2317" i="2"/>
  <c r="H2317" i="2"/>
  <c r="I2316" i="2"/>
  <c r="H2316" i="2"/>
  <c r="I2315" i="2"/>
  <c r="H2315" i="2"/>
  <c r="I2314" i="2"/>
  <c r="H2314" i="2"/>
  <c r="I2313" i="2"/>
  <c r="H2313" i="2"/>
  <c r="I2312" i="2"/>
  <c r="H2312" i="2"/>
  <c r="I2311" i="2"/>
  <c r="H2311" i="2"/>
  <c r="I2310" i="2"/>
  <c r="H2310" i="2"/>
  <c r="I2309" i="2"/>
  <c r="H2309" i="2"/>
  <c r="I2308" i="2"/>
  <c r="H2308" i="2"/>
  <c r="I2307" i="2"/>
  <c r="H2307" i="2"/>
  <c r="I2306" i="2"/>
  <c r="H2306" i="2"/>
  <c r="I2305" i="2"/>
  <c r="H2305" i="2"/>
  <c r="I2304" i="2"/>
  <c r="H2304" i="2"/>
  <c r="I2303" i="2"/>
  <c r="H2303" i="2"/>
  <c r="I2302" i="2"/>
  <c r="H2302" i="2"/>
  <c r="I2301" i="2"/>
  <c r="H2301" i="2"/>
  <c r="I2300" i="2"/>
  <c r="H2300" i="2"/>
  <c r="I2299" i="2"/>
  <c r="H2299" i="2"/>
  <c r="I2298" i="2"/>
  <c r="H2298" i="2"/>
  <c r="I2297" i="2"/>
  <c r="H2297" i="2"/>
  <c r="I2296" i="2"/>
  <c r="H2296" i="2"/>
  <c r="I2295" i="2"/>
  <c r="H2295" i="2"/>
  <c r="I2294" i="2"/>
  <c r="H2294" i="2"/>
  <c r="I2293" i="2"/>
  <c r="H2293" i="2"/>
  <c r="I2292" i="2"/>
  <c r="H2292" i="2"/>
  <c r="I2291" i="2"/>
  <c r="H2291" i="2"/>
  <c r="I2290" i="2"/>
  <c r="H2290" i="2"/>
  <c r="I2289" i="2"/>
  <c r="H2289" i="2"/>
  <c r="I2288" i="2"/>
  <c r="H2288" i="2"/>
  <c r="I2287" i="2"/>
  <c r="H2287" i="2"/>
  <c r="I2286" i="2"/>
  <c r="H2286" i="2"/>
  <c r="I2285" i="2"/>
  <c r="H2285" i="2"/>
  <c r="I2284" i="2"/>
  <c r="H2284" i="2"/>
  <c r="I2283" i="2"/>
  <c r="H2283" i="2"/>
  <c r="I2282" i="2"/>
  <c r="H2282" i="2"/>
  <c r="I2281" i="2"/>
  <c r="H2281" i="2"/>
  <c r="I2280" i="2"/>
  <c r="H2280" i="2"/>
  <c r="I2279" i="2"/>
  <c r="H2279" i="2"/>
  <c r="I2278" i="2"/>
  <c r="H2278" i="2"/>
  <c r="I2277" i="2"/>
  <c r="H2277" i="2"/>
  <c r="I2276" i="2"/>
  <c r="H2276" i="2"/>
  <c r="I2275" i="2"/>
  <c r="H2275" i="2"/>
  <c r="I2274" i="2"/>
  <c r="H2274" i="2"/>
  <c r="I2273" i="2"/>
  <c r="H2273" i="2"/>
  <c r="I2272" i="2"/>
  <c r="H2272" i="2"/>
  <c r="I2271" i="2"/>
  <c r="H2271" i="2"/>
  <c r="I2270" i="2"/>
  <c r="H2270" i="2"/>
  <c r="I2269" i="2"/>
  <c r="H2269" i="2"/>
  <c r="I2268" i="2"/>
  <c r="H2268" i="2"/>
  <c r="I2267" i="2"/>
  <c r="H2267" i="2"/>
  <c r="I2266" i="2"/>
  <c r="H2266" i="2"/>
  <c r="I2265" i="2"/>
  <c r="H2265" i="2"/>
  <c r="I2264" i="2"/>
  <c r="H2264" i="2"/>
  <c r="I2263" i="2"/>
  <c r="H2263" i="2"/>
  <c r="I2262" i="2"/>
  <c r="H2262" i="2"/>
  <c r="I2261" i="2"/>
  <c r="H2261" i="2"/>
  <c r="I2260" i="2"/>
  <c r="H2260" i="2"/>
  <c r="I2259" i="2"/>
  <c r="H2259" i="2"/>
  <c r="I2258" i="2"/>
  <c r="H2258" i="2"/>
  <c r="I2257" i="2"/>
  <c r="H2257" i="2"/>
  <c r="I2256" i="2"/>
  <c r="H2256" i="2"/>
  <c r="I2255" i="2"/>
  <c r="H2255" i="2"/>
  <c r="I2254" i="2"/>
  <c r="H2254" i="2"/>
  <c r="I2253" i="2"/>
  <c r="H2253" i="2"/>
  <c r="I2252" i="2"/>
  <c r="H2252" i="2"/>
  <c r="I2251" i="2"/>
  <c r="H2251" i="2"/>
  <c r="I2250" i="2"/>
  <c r="H2250" i="2"/>
  <c r="I2249" i="2"/>
  <c r="H2249" i="2"/>
  <c r="I2248" i="2"/>
  <c r="H2248" i="2"/>
  <c r="I2247" i="2"/>
  <c r="H2247" i="2"/>
  <c r="I2246" i="2"/>
  <c r="H2246" i="2"/>
  <c r="I2245" i="2"/>
  <c r="H2245" i="2"/>
  <c r="I2244" i="2"/>
  <c r="H2244" i="2"/>
  <c r="I2243" i="2"/>
  <c r="H2243" i="2"/>
  <c r="I2242" i="2"/>
  <c r="H2242" i="2"/>
  <c r="I2241" i="2"/>
  <c r="H2241" i="2"/>
  <c r="I2240" i="2"/>
  <c r="H2240" i="2"/>
  <c r="I2239" i="2"/>
  <c r="H2239" i="2"/>
  <c r="I2238" i="2"/>
  <c r="H2238" i="2"/>
  <c r="I2237" i="2"/>
  <c r="H2237" i="2"/>
  <c r="I2236" i="2"/>
  <c r="H2236" i="2"/>
  <c r="I2235" i="2"/>
  <c r="H2235" i="2"/>
  <c r="I2234" i="2"/>
  <c r="H2234" i="2"/>
  <c r="I2233" i="2"/>
  <c r="H2233" i="2"/>
  <c r="I2232" i="2"/>
  <c r="H2232" i="2"/>
  <c r="I2231" i="2"/>
  <c r="H2231" i="2"/>
  <c r="I2230" i="2"/>
  <c r="H2230" i="2"/>
  <c r="I2229" i="2"/>
  <c r="H2229" i="2"/>
  <c r="I2228" i="2"/>
  <c r="H2228" i="2"/>
  <c r="I2227" i="2"/>
  <c r="H2227" i="2"/>
  <c r="I2226" i="2"/>
  <c r="H2226" i="2"/>
  <c r="I2225" i="2"/>
  <c r="H2225" i="2"/>
  <c r="I2224" i="2"/>
  <c r="H2224" i="2"/>
  <c r="I2223" i="2"/>
  <c r="H2223" i="2"/>
  <c r="I2222" i="2"/>
  <c r="H2222" i="2"/>
  <c r="I2221" i="2"/>
  <c r="H2221" i="2"/>
  <c r="I2220" i="2"/>
  <c r="H2220" i="2"/>
  <c r="I2219" i="2"/>
  <c r="H2219" i="2"/>
  <c r="I2218" i="2"/>
  <c r="H2218" i="2"/>
  <c r="I2217" i="2"/>
  <c r="H2217" i="2"/>
  <c r="I2216" i="2"/>
  <c r="H2216" i="2"/>
  <c r="I2215" i="2"/>
  <c r="H2215" i="2"/>
  <c r="I2214" i="2"/>
  <c r="H2214" i="2"/>
  <c r="I2213" i="2"/>
  <c r="H2213" i="2"/>
  <c r="I2212" i="2"/>
  <c r="H2212" i="2"/>
  <c r="I2211" i="2"/>
  <c r="H2211" i="2"/>
  <c r="I2210" i="2"/>
  <c r="H2210" i="2"/>
  <c r="I2209" i="2"/>
  <c r="H2209" i="2"/>
  <c r="I2208" i="2"/>
  <c r="H2208" i="2"/>
  <c r="I2207" i="2"/>
  <c r="H2207" i="2"/>
  <c r="I2206" i="2"/>
  <c r="H2206" i="2"/>
  <c r="I2205" i="2"/>
  <c r="H2205" i="2"/>
  <c r="I2204" i="2"/>
  <c r="H2204" i="2"/>
  <c r="I2203" i="2"/>
  <c r="H2203" i="2"/>
  <c r="I2202" i="2"/>
  <c r="H2202" i="2"/>
  <c r="I2201" i="2"/>
  <c r="H2201" i="2"/>
  <c r="I2200" i="2"/>
  <c r="H2200" i="2"/>
  <c r="I2199" i="2"/>
  <c r="H2199" i="2"/>
  <c r="I2198" i="2"/>
  <c r="H2198" i="2"/>
  <c r="I2197" i="2"/>
  <c r="H2197" i="2"/>
  <c r="I2196" i="2"/>
  <c r="H2196" i="2"/>
  <c r="I2195" i="2"/>
  <c r="H2195" i="2"/>
  <c r="I2194" i="2"/>
  <c r="H2194" i="2"/>
  <c r="I2193" i="2"/>
  <c r="H2193" i="2"/>
  <c r="I2192" i="2"/>
  <c r="H2192" i="2"/>
  <c r="I2191" i="2"/>
  <c r="H2191" i="2"/>
  <c r="I2190" i="2"/>
  <c r="H2190" i="2"/>
  <c r="I2189" i="2"/>
  <c r="H2189" i="2"/>
  <c r="I2188" i="2"/>
  <c r="H2188" i="2"/>
  <c r="I2187" i="2"/>
  <c r="H2187" i="2"/>
  <c r="I2186" i="2"/>
  <c r="H2186" i="2"/>
  <c r="I2185" i="2"/>
  <c r="H2185" i="2"/>
  <c r="I2184" i="2"/>
  <c r="H2184" i="2"/>
  <c r="I2183" i="2"/>
  <c r="H2183" i="2"/>
  <c r="I2182" i="2"/>
  <c r="H2182" i="2"/>
  <c r="I2181" i="2"/>
  <c r="H2181" i="2"/>
  <c r="I2180" i="2"/>
  <c r="H2180" i="2"/>
  <c r="I2179" i="2"/>
  <c r="H2179" i="2"/>
  <c r="I2178" i="2"/>
  <c r="H2178" i="2"/>
  <c r="I2177" i="2"/>
  <c r="H2177" i="2"/>
  <c r="I2176" i="2"/>
  <c r="H2176" i="2"/>
  <c r="I2175" i="2"/>
  <c r="H2175" i="2"/>
  <c r="I2174" i="2"/>
  <c r="H2174" i="2"/>
  <c r="I2173" i="2"/>
  <c r="H2173" i="2"/>
  <c r="I2172" i="2"/>
  <c r="H2172" i="2"/>
  <c r="I2171" i="2"/>
  <c r="H2171" i="2"/>
  <c r="I2170" i="2"/>
  <c r="H2170" i="2"/>
  <c r="I2169" i="2"/>
  <c r="H2169" i="2"/>
  <c r="I2168" i="2"/>
  <c r="H2168" i="2"/>
  <c r="I2167" i="2"/>
  <c r="H2167" i="2"/>
  <c r="I2166" i="2"/>
  <c r="H2166" i="2"/>
  <c r="I2165" i="2"/>
  <c r="H2165" i="2"/>
  <c r="I2164" i="2"/>
  <c r="H2164" i="2"/>
  <c r="I2163" i="2"/>
  <c r="H2163" i="2"/>
  <c r="I2162" i="2"/>
  <c r="H2162" i="2"/>
  <c r="I2161" i="2"/>
  <c r="H2161" i="2"/>
  <c r="I2160" i="2"/>
  <c r="H2160" i="2"/>
  <c r="I2159" i="2"/>
  <c r="H2159" i="2"/>
  <c r="I2158" i="2"/>
  <c r="H2158" i="2"/>
  <c r="I2157" i="2"/>
  <c r="H2157" i="2"/>
  <c r="I2156" i="2"/>
  <c r="H2156" i="2"/>
  <c r="I2155" i="2"/>
  <c r="H2155" i="2"/>
  <c r="I2154" i="2"/>
  <c r="H2154" i="2"/>
  <c r="I2153" i="2"/>
  <c r="H2153" i="2"/>
  <c r="I2152" i="2"/>
  <c r="H2152" i="2"/>
  <c r="I2151" i="2"/>
  <c r="H2151" i="2"/>
  <c r="I2150" i="2"/>
  <c r="H2150" i="2"/>
  <c r="I2149" i="2"/>
  <c r="H2149" i="2"/>
  <c r="I2148" i="2"/>
  <c r="H2148" i="2"/>
  <c r="I2147" i="2"/>
  <c r="H2147" i="2"/>
  <c r="I2146" i="2"/>
  <c r="H2146" i="2"/>
  <c r="I2145" i="2"/>
  <c r="H2145" i="2"/>
  <c r="I2144" i="2"/>
  <c r="H2144" i="2"/>
  <c r="I2143" i="2"/>
  <c r="H2143" i="2"/>
  <c r="I2142" i="2"/>
  <c r="H2142" i="2"/>
  <c r="I2141" i="2"/>
  <c r="H2141" i="2"/>
  <c r="H2140" i="2"/>
  <c r="I2139" i="2"/>
  <c r="H2139" i="2"/>
  <c r="I2138" i="2"/>
  <c r="H2138" i="2"/>
  <c r="I2137" i="2"/>
  <c r="H2137" i="2"/>
  <c r="I2136" i="2"/>
  <c r="H2136" i="2"/>
  <c r="I2135" i="2"/>
  <c r="H2135" i="2"/>
  <c r="I2134" i="2"/>
  <c r="H2134" i="2"/>
  <c r="I2133" i="2"/>
  <c r="H2133" i="2"/>
  <c r="I2132" i="2"/>
  <c r="H2132" i="2"/>
  <c r="I2131" i="2"/>
  <c r="H2131" i="2"/>
  <c r="I2130" i="2"/>
  <c r="H2130" i="2"/>
  <c r="I2129" i="2"/>
  <c r="H2129" i="2"/>
  <c r="I2128" i="2"/>
  <c r="H2128" i="2"/>
  <c r="I2127" i="2"/>
  <c r="H2127" i="2"/>
  <c r="I2126" i="2"/>
  <c r="H2126" i="2"/>
  <c r="I2125" i="2"/>
  <c r="H2125" i="2"/>
  <c r="I2124" i="2"/>
  <c r="H2124" i="2"/>
  <c r="I2123" i="2"/>
  <c r="H2123" i="2"/>
  <c r="I2122" i="2"/>
  <c r="H2122" i="2"/>
  <c r="I2121" i="2"/>
  <c r="H2121" i="2"/>
  <c r="I2120" i="2"/>
  <c r="H2120" i="2"/>
  <c r="I2119" i="2"/>
  <c r="H2119" i="2"/>
  <c r="I2118" i="2"/>
  <c r="H2118" i="2"/>
  <c r="I2117" i="2"/>
  <c r="H2117" i="2"/>
  <c r="I2116" i="2"/>
  <c r="H2116" i="2"/>
  <c r="I2115" i="2"/>
  <c r="H2115" i="2"/>
  <c r="I2114" i="2"/>
  <c r="H2114" i="2"/>
  <c r="I2113" i="2"/>
  <c r="H2113" i="2"/>
  <c r="I2112" i="2"/>
  <c r="H2112" i="2"/>
  <c r="I2111" i="2"/>
  <c r="H2111" i="2"/>
  <c r="I2110" i="2"/>
  <c r="H2110" i="2"/>
  <c r="I2109" i="2"/>
  <c r="H2109" i="2"/>
  <c r="I2108" i="2"/>
  <c r="H2108" i="2"/>
  <c r="I2107" i="2"/>
  <c r="H2107" i="2"/>
  <c r="I2106" i="2"/>
  <c r="H2106" i="2"/>
  <c r="I2105" i="2"/>
  <c r="H2105" i="2"/>
  <c r="I2104" i="2"/>
  <c r="H2104" i="2"/>
  <c r="I2103" i="2"/>
  <c r="H2103" i="2"/>
  <c r="I2102" i="2"/>
  <c r="H2102" i="2"/>
  <c r="I2101" i="2"/>
  <c r="H2101" i="2"/>
  <c r="I2100" i="2"/>
  <c r="H2100" i="2"/>
  <c r="I2099" i="2"/>
  <c r="H2099" i="2"/>
  <c r="I2098" i="2"/>
  <c r="H2098" i="2"/>
  <c r="I2097" i="2"/>
  <c r="H2097" i="2"/>
  <c r="I2096" i="2"/>
  <c r="H2096" i="2"/>
  <c r="I2095" i="2"/>
  <c r="H2095" i="2"/>
  <c r="I2094" i="2"/>
  <c r="H2094" i="2"/>
  <c r="I2093" i="2"/>
  <c r="H2093" i="2"/>
  <c r="I2092" i="2"/>
  <c r="H2092" i="2"/>
  <c r="I2091" i="2"/>
  <c r="H2091" i="2"/>
  <c r="I2090" i="2"/>
  <c r="H2090" i="2"/>
  <c r="I2089" i="2"/>
  <c r="H2089" i="2"/>
  <c r="I2088" i="2"/>
  <c r="H2088" i="2"/>
  <c r="I2087" i="2"/>
  <c r="H2087" i="2"/>
  <c r="I2086" i="2"/>
  <c r="H2086" i="2"/>
  <c r="I2085" i="2"/>
  <c r="H2085" i="2"/>
  <c r="I2084" i="2"/>
  <c r="H2084" i="2"/>
  <c r="I2083" i="2"/>
  <c r="H2083" i="2"/>
  <c r="I2082" i="2"/>
  <c r="H2082" i="2"/>
  <c r="I2081" i="2"/>
  <c r="H2081" i="2"/>
  <c r="I2080" i="2"/>
  <c r="H2080" i="2"/>
  <c r="I2079" i="2"/>
  <c r="H2079" i="2"/>
  <c r="I2078" i="2"/>
  <c r="H2078" i="2"/>
  <c r="I2077" i="2"/>
  <c r="H2077" i="2"/>
  <c r="I2076" i="2"/>
  <c r="H2076" i="2"/>
  <c r="I2075" i="2"/>
  <c r="H2075" i="2"/>
  <c r="I2074" i="2"/>
  <c r="H2074" i="2"/>
  <c r="I2073" i="2"/>
  <c r="H2073" i="2"/>
  <c r="I2072" i="2"/>
  <c r="H2072" i="2"/>
  <c r="I2071" i="2"/>
  <c r="H2071" i="2"/>
  <c r="I2070" i="2"/>
  <c r="H2070" i="2"/>
  <c r="I2069" i="2"/>
  <c r="H2069" i="2"/>
  <c r="I2068" i="2"/>
  <c r="H2068" i="2"/>
  <c r="I2067" i="2"/>
  <c r="H2067" i="2"/>
  <c r="I2066" i="2"/>
  <c r="H2066" i="2"/>
  <c r="I2065" i="2"/>
  <c r="H2065" i="2"/>
  <c r="K2064" i="2"/>
  <c r="I2063" i="2"/>
  <c r="H2063" i="2"/>
  <c r="I2062" i="2"/>
  <c r="H2062" i="2"/>
  <c r="I2061" i="2"/>
  <c r="H2061" i="2"/>
  <c r="I2060" i="2"/>
  <c r="H2060" i="2"/>
  <c r="H2059" i="2"/>
  <c r="I2058" i="2"/>
  <c r="H2058" i="2"/>
  <c r="I2057" i="2"/>
  <c r="H2057" i="2"/>
  <c r="I2056" i="2"/>
  <c r="H2056" i="2"/>
  <c r="I2055" i="2"/>
  <c r="H2055" i="2"/>
  <c r="I2054" i="2"/>
  <c r="H2054" i="2"/>
  <c r="I2053" i="2"/>
  <c r="H2053" i="2"/>
  <c r="I2052" i="2"/>
  <c r="H2052" i="2"/>
  <c r="I2051" i="2"/>
  <c r="H2051" i="2"/>
  <c r="I2050" i="2"/>
  <c r="H2050" i="2"/>
  <c r="I2049" i="2"/>
  <c r="H2049" i="2"/>
  <c r="I2048" i="2"/>
  <c r="H2048" i="2"/>
  <c r="I2047" i="2"/>
  <c r="H2047" i="2"/>
  <c r="I2046" i="2"/>
  <c r="H2046" i="2"/>
  <c r="I2045" i="2"/>
  <c r="H2045" i="2"/>
  <c r="I2044" i="2"/>
  <c r="H2044" i="2"/>
  <c r="I2043" i="2"/>
  <c r="H2043" i="2"/>
  <c r="I2042" i="2"/>
  <c r="H2042" i="2"/>
  <c r="I2041" i="2"/>
  <c r="H2041" i="2"/>
  <c r="I2040" i="2"/>
  <c r="H2040" i="2"/>
  <c r="H2039" i="2"/>
  <c r="I2038" i="2"/>
  <c r="H2038" i="2"/>
  <c r="I2037" i="2"/>
  <c r="H2037" i="2"/>
  <c r="I2036" i="2"/>
  <c r="H2036" i="2"/>
  <c r="I2035" i="2"/>
  <c r="H2035" i="2"/>
  <c r="I2034" i="2"/>
  <c r="H2034" i="2"/>
  <c r="I2033" i="2"/>
  <c r="H2033" i="2"/>
  <c r="I2032" i="2"/>
  <c r="H2032" i="2"/>
  <c r="I2031" i="2"/>
  <c r="H2031" i="2"/>
  <c r="K2030" i="2"/>
  <c r="I2029" i="2"/>
  <c r="H2029" i="2"/>
  <c r="I2028" i="2"/>
  <c r="H2028" i="2"/>
  <c r="I2027" i="2"/>
  <c r="H2027" i="2"/>
  <c r="I2026" i="2"/>
  <c r="H2026" i="2"/>
  <c r="I2025" i="2"/>
  <c r="H2025" i="2"/>
  <c r="I2024" i="2"/>
  <c r="H2024" i="2"/>
  <c r="I2023" i="2"/>
  <c r="H2023" i="2"/>
  <c r="I2022" i="2"/>
  <c r="H2022" i="2"/>
  <c r="I2021" i="2"/>
  <c r="H2021" i="2"/>
  <c r="I2020" i="2"/>
  <c r="H2020" i="2"/>
  <c r="I2019" i="2"/>
  <c r="H2019" i="2"/>
  <c r="I2018" i="2"/>
  <c r="H2018" i="2"/>
  <c r="I2017" i="2"/>
  <c r="H2017" i="2"/>
  <c r="I2016" i="2"/>
  <c r="H2016" i="2"/>
  <c r="I2015" i="2"/>
  <c r="H2015" i="2"/>
  <c r="I2014" i="2"/>
  <c r="H2014" i="2"/>
  <c r="I2013" i="2"/>
  <c r="H2013" i="2"/>
  <c r="I2012" i="2"/>
  <c r="H2012" i="2"/>
  <c r="I2011" i="2"/>
  <c r="H2011" i="2"/>
  <c r="I2010" i="2"/>
  <c r="H2010" i="2"/>
  <c r="I2009" i="2"/>
  <c r="H2009" i="2"/>
  <c r="I2008" i="2"/>
  <c r="H2008" i="2"/>
  <c r="I2007" i="2"/>
  <c r="H2007" i="2"/>
  <c r="I2006" i="2"/>
  <c r="H2006" i="2"/>
  <c r="I2005" i="2"/>
  <c r="H2005" i="2"/>
  <c r="I2004" i="2"/>
  <c r="H2004" i="2"/>
  <c r="I2003" i="2"/>
  <c r="H2003" i="2"/>
  <c r="I2002" i="2"/>
  <c r="H2002" i="2"/>
  <c r="I2001" i="2"/>
  <c r="H2001" i="2"/>
  <c r="I2000" i="2"/>
  <c r="H2000" i="2"/>
  <c r="I1999" i="2"/>
  <c r="H1999" i="2"/>
  <c r="I1998" i="2"/>
  <c r="H1998" i="2"/>
  <c r="I1997" i="2"/>
  <c r="H1997" i="2"/>
  <c r="I1996" i="2"/>
  <c r="H1996" i="2"/>
  <c r="I1995" i="2"/>
  <c r="H1995" i="2"/>
  <c r="I1994" i="2"/>
  <c r="H1994" i="2"/>
  <c r="I1993" i="2"/>
  <c r="H1993" i="2"/>
  <c r="I1992" i="2"/>
  <c r="H1992" i="2"/>
  <c r="I1991" i="2"/>
  <c r="H1991" i="2"/>
  <c r="I1990" i="2"/>
  <c r="H1990" i="2"/>
  <c r="I1989" i="2"/>
  <c r="H1989" i="2"/>
  <c r="I1988" i="2"/>
  <c r="H1988" i="2"/>
  <c r="I1987" i="2"/>
  <c r="H1987" i="2"/>
  <c r="I1986" i="2"/>
  <c r="H1986" i="2"/>
  <c r="I1985" i="2"/>
  <c r="H1985" i="2"/>
  <c r="I1984" i="2"/>
  <c r="H1984" i="2"/>
  <c r="I1983" i="2"/>
  <c r="H1983" i="2"/>
  <c r="I1982" i="2"/>
  <c r="H1982" i="2"/>
  <c r="I1981" i="2"/>
  <c r="H1981" i="2"/>
  <c r="I1980" i="2"/>
  <c r="H1980" i="2"/>
  <c r="I1979" i="2"/>
  <c r="H1979" i="2"/>
  <c r="I1978" i="2"/>
  <c r="H1978" i="2"/>
  <c r="I1977" i="2"/>
  <c r="H1977" i="2"/>
  <c r="I1976" i="2"/>
  <c r="H1976" i="2"/>
  <c r="I1975" i="2"/>
  <c r="H1975" i="2"/>
  <c r="I1974" i="2"/>
  <c r="H1974" i="2"/>
  <c r="I1973" i="2"/>
  <c r="H1973" i="2"/>
  <c r="I1972" i="2"/>
  <c r="H1972" i="2"/>
  <c r="I1971" i="2"/>
  <c r="H1971" i="2"/>
  <c r="I1970" i="2"/>
  <c r="H1970" i="2"/>
  <c r="I1969" i="2"/>
  <c r="H1969" i="2"/>
  <c r="I1968" i="2"/>
  <c r="H1968" i="2"/>
  <c r="I1967" i="2"/>
  <c r="H1967" i="2"/>
  <c r="I1966" i="2"/>
  <c r="H1966" i="2"/>
  <c r="I1965" i="2"/>
  <c r="H1965" i="2"/>
  <c r="I1964" i="2"/>
  <c r="H1964" i="2"/>
  <c r="I1963" i="2"/>
  <c r="H1963" i="2"/>
  <c r="I1962" i="2"/>
  <c r="H1962" i="2"/>
  <c r="I1961" i="2"/>
  <c r="H1961" i="2"/>
  <c r="I1960" i="2"/>
  <c r="H1960" i="2"/>
  <c r="I1959" i="2"/>
  <c r="H1959" i="2"/>
  <c r="I1958" i="2"/>
  <c r="H1958" i="2"/>
  <c r="I1957" i="2"/>
  <c r="H1957" i="2"/>
  <c r="I1956" i="2"/>
  <c r="H1956" i="2"/>
  <c r="I1955" i="2"/>
  <c r="H1955" i="2"/>
  <c r="I1954" i="2"/>
  <c r="H1954" i="2"/>
  <c r="I1953" i="2"/>
  <c r="H1953" i="2"/>
  <c r="I1952" i="2"/>
  <c r="H1952" i="2"/>
  <c r="I1951" i="2"/>
  <c r="H1951" i="2"/>
  <c r="I1950" i="2"/>
  <c r="H1950" i="2"/>
  <c r="I1949" i="2"/>
  <c r="H1949" i="2"/>
  <c r="I1948" i="2"/>
  <c r="H1948" i="2"/>
  <c r="I1947" i="2"/>
  <c r="H1947" i="2"/>
  <c r="I1946" i="2"/>
  <c r="H1946" i="2"/>
  <c r="I1945" i="2"/>
  <c r="H1945" i="2"/>
  <c r="I1944" i="2"/>
  <c r="H1944" i="2"/>
  <c r="I1943" i="2"/>
  <c r="H1943" i="2"/>
  <c r="I1942" i="2"/>
  <c r="H1942" i="2"/>
  <c r="I1941" i="2"/>
  <c r="H1941" i="2"/>
  <c r="I1940" i="2"/>
  <c r="H1940" i="2"/>
  <c r="I1939" i="2"/>
  <c r="H1939" i="2"/>
  <c r="I1938" i="2"/>
  <c r="H1938" i="2"/>
  <c r="I1937" i="2"/>
  <c r="H1937" i="2"/>
  <c r="I1936" i="2"/>
  <c r="H1936" i="2"/>
  <c r="I1935" i="2"/>
  <c r="H1935" i="2"/>
  <c r="I1934" i="2"/>
  <c r="H1934" i="2"/>
  <c r="I1933" i="2"/>
  <c r="H1933" i="2"/>
  <c r="I1932" i="2"/>
  <c r="H1932" i="2"/>
  <c r="I1931" i="2"/>
  <c r="H1931" i="2"/>
  <c r="I1930" i="2"/>
  <c r="H1930" i="2"/>
  <c r="I1929" i="2"/>
  <c r="H1929" i="2"/>
  <c r="I1928" i="2"/>
  <c r="H1928" i="2"/>
  <c r="I1927" i="2"/>
  <c r="H1927" i="2"/>
  <c r="I1926" i="2"/>
  <c r="H1926" i="2"/>
  <c r="I1925" i="2"/>
  <c r="H1925" i="2"/>
  <c r="I1924" i="2"/>
  <c r="H1924" i="2"/>
  <c r="I1923" i="2"/>
  <c r="H1923" i="2"/>
  <c r="I1922" i="2"/>
  <c r="H1922" i="2"/>
  <c r="I1921" i="2"/>
  <c r="H1921" i="2"/>
  <c r="I1920" i="2"/>
  <c r="H1920" i="2"/>
  <c r="I1919" i="2"/>
  <c r="H1919" i="2"/>
  <c r="I1918" i="2"/>
  <c r="H1918" i="2"/>
  <c r="I1917" i="2"/>
  <c r="H1917" i="2"/>
  <c r="I1916" i="2"/>
  <c r="H1916" i="2"/>
  <c r="I1915" i="2"/>
  <c r="H1915" i="2"/>
  <c r="I1914" i="2"/>
  <c r="H1914" i="2"/>
  <c r="I1913" i="2"/>
  <c r="H1913" i="2"/>
  <c r="I1912" i="2"/>
  <c r="H1912" i="2"/>
  <c r="I1911" i="2"/>
  <c r="H1911" i="2"/>
  <c r="I1910" i="2"/>
  <c r="H1910" i="2"/>
  <c r="I1909" i="2"/>
  <c r="H1909" i="2"/>
  <c r="I1908" i="2"/>
  <c r="H1908" i="2"/>
  <c r="I1907" i="2"/>
  <c r="H1907" i="2"/>
  <c r="I1906" i="2"/>
  <c r="H1906" i="2"/>
  <c r="I1905" i="2"/>
  <c r="H1905" i="2"/>
  <c r="I1904" i="2"/>
  <c r="H1904" i="2"/>
  <c r="I1903" i="2"/>
  <c r="H1903" i="2"/>
  <c r="I1902" i="2"/>
  <c r="H1902" i="2"/>
  <c r="I1901" i="2"/>
  <c r="H1901" i="2"/>
  <c r="I1900" i="2"/>
  <c r="H1900" i="2"/>
  <c r="I1899" i="2"/>
  <c r="H1899" i="2"/>
  <c r="I1898" i="2"/>
  <c r="H1898" i="2"/>
  <c r="I1897" i="2"/>
  <c r="H1897" i="2"/>
  <c r="I1896" i="2"/>
  <c r="H1896" i="2"/>
  <c r="I1895" i="2"/>
  <c r="H1895" i="2"/>
  <c r="I1894" i="2"/>
  <c r="H1894" i="2"/>
  <c r="I1893" i="2"/>
  <c r="H1893" i="2"/>
  <c r="I1892" i="2"/>
  <c r="H1892" i="2"/>
  <c r="I1891" i="2"/>
  <c r="H1891" i="2"/>
  <c r="I1890" i="2"/>
  <c r="H1890" i="2"/>
  <c r="I1889" i="2"/>
  <c r="H1889" i="2"/>
  <c r="I1888" i="2"/>
  <c r="H1888" i="2"/>
  <c r="I1887" i="2"/>
  <c r="H1887" i="2"/>
  <c r="I1886" i="2"/>
  <c r="H1886" i="2"/>
  <c r="I1885" i="2"/>
  <c r="H1885" i="2"/>
  <c r="I1884" i="2"/>
  <c r="H1884" i="2"/>
  <c r="I1883" i="2"/>
  <c r="H1883" i="2"/>
  <c r="I1882" i="2"/>
  <c r="H1882" i="2"/>
  <c r="I1881" i="2"/>
  <c r="H1881" i="2"/>
  <c r="I1880" i="2"/>
  <c r="H1880" i="2"/>
  <c r="I1879" i="2"/>
  <c r="H1879" i="2"/>
  <c r="I1878" i="2"/>
  <c r="H1878" i="2"/>
  <c r="I1877" i="2"/>
  <c r="H1877" i="2"/>
  <c r="I1876" i="2"/>
  <c r="H1876" i="2"/>
  <c r="I1875" i="2"/>
  <c r="H1875" i="2"/>
  <c r="I1874" i="2"/>
  <c r="H1874" i="2"/>
  <c r="I1873" i="2"/>
  <c r="H1873" i="2"/>
  <c r="I1872" i="2"/>
  <c r="H1872" i="2"/>
  <c r="I1871" i="2"/>
  <c r="H1871" i="2"/>
  <c r="I1870" i="2"/>
  <c r="H1870" i="2"/>
  <c r="I1869" i="2"/>
  <c r="H1869" i="2"/>
  <c r="I1868" i="2"/>
  <c r="H1868" i="2"/>
  <c r="I1867" i="2"/>
  <c r="H1867" i="2"/>
  <c r="I1866" i="2"/>
  <c r="H1866" i="2"/>
  <c r="I1865" i="2"/>
  <c r="H1865" i="2"/>
  <c r="I1864" i="2"/>
  <c r="H1864" i="2"/>
  <c r="I1863" i="2"/>
  <c r="H1863" i="2"/>
  <c r="I1862" i="2"/>
  <c r="H1862" i="2"/>
  <c r="I1861" i="2"/>
  <c r="H1861" i="2"/>
  <c r="I1860" i="2"/>
  <c r="H1860" i="2"/>
  <c r="I1859" i="2"/>
  <c r="H1859" i="2"/>
  <c r="I1858" i="2"/>
  <c r="H1858" i="2"/>
  <c r="I1857" i="2"/>
  <c r="H1857" i="2"/>
  <c r="I1856" i="2"/>
  <c r="H1856" i="2"/>
  <c r="I1855" i="2"/>
  <c r="H1855" i="2"/>
  <c r="I1854" i="2"/>
  <c r="H1854" i="2"/>
  <c r="I1853" i="2"/>
  <c r="H1853" i="2"/>
  <c r="I1852" i="2"/>
  <c r="H1852" i="2"/>
  <c r="I1851" i="2"/>
  <c r="H1851" i="2"/>
  <c r="I1850" i="2"/>
  <c r="H1850" i="2"/>
  <c r="I1849" i="2"/>
  <c r="H1849" i="2"/>
  <c r="I1848" i="2"/>
  <c r="H1848" i="2"/>
  <c r="I1847" i="2"/>
  <c r="H1847" i="2"/>
  <c r="I1846" i="2"/>
  <c r="H1846" i="2"/>
  <c r="I1845" i="2"/>
  <c r="H1845" i="2"/>
  <c r="I1844" i="2"/>
  <c r="H1844" i="2"/>
  <c r="I1843" i="2"/>
  <c r="H1843" i="2"/>
  <c r="I1842" i="2"/>
  <c r="H1842" i="2"/>
  <c r="I1841" i="2"/>
  <c r="H1841" i="2"/>
  <c r="I1840" i="2"/>
  <c r="H1840" i="2"/>
  <c r="I1839" i="2"/>
  <c r="H1839" i="2"/>
  <c r="I1838" i="2"/>
  <c r="H1838" i="2"/>
  <c r="I1837" i="2"/>
  <c r="H1837" i="2"/>
  <c r="I1836" i="2"/>
  <c r="H1836" i="2"/>
  <c r="I1835" i="2"/>
  <c r="H1835" i="2"/>
  <c r="I1834" i="2"/>
  <c r="H1834" i="2"/>
  <c r="I1833" i="2"/>
  <c r="H1833" i="2"/>
  <c r="I1832" i="2"/>
  <c r="H1832" i="2"/>
  <c r="I1831" i="2"/>
  <c r="H1831" i="2"/>
  <c r="I1830" i="2"/>
  <c r="H1830" i="2"/>
  <c r="I1829" i="2"/>
  <c r="H1829" i="2"/>
  <c r="I1828" i="2"/>
  <c r="H1828" i="2"/>
  <c r="I1827" i="2"/>
  <c r="H1827" i="2"/>
  <c r="I1826" i="2"/>
  <c r="H1826" i="2"/>
  <c r="I1825" i="2"/>
  <c r="H1825" i="2"/>
  <c r="I1824" i="2"/>
  <c r="H1824" i="2"/>
  <c r="I1823" i="2"/>
  <c r="H1823" i="2"/>
  <c r="I1822" i="2"/>
  <c r="H1822" i="2"/>
  <c r="I1821" i="2"/>
  <c r="H1821" i="2"/>
  <c r="I1820" i="2"/>
  <c r="H1820" i="2"/>
  <c r="I1819" i="2"/>
  <c r="H1819" i="2"/>
  <c r="I1818" i="2"/>
  <c r="H1818" i="2"/>
  <c r="I1817" i="2"/>
  <c r="H1817" i="2"/>
  <c r="I1816" i="2"/>
  <c r="H1816" i="2"/>
  <c r="I1815" i="2"/>
  <c r="H1815" i="2"/>
  <c r="I1814" i="2"/>
  <c r="H1814" i="2"/>
  <c r="I1813" i="2"/>
  <c r="H1813" i="2"/>
  <c r="I1812" i="2"/>
  <c r="H1812" i="2"/>
  <c r="I1811" i="2"/>
  <c r="H1811" i="2"/>
  <c r="I1810" i="2"/>
  <c r="H1810" i="2"/>
  <c r="I1809" i="2"/>
  <c r="H1809" i="2"/>
  <c r="I1808" i="2"/>
  <c r="H1808" i="2"/>
  <c r="I1807" i="2"/>
  <c r="H1807" i="2"/>
  <c r="I1806" i="2"/>
  <c r="H1806" i="2"/>
  <c r="I1805" i="2"/>
  <c r="H1805" i="2"/>
  <c r="I1804" i="2"/>
  <c r="H1804" i="2"/>
  <c r="I1803" i="2"/>
  <c r="H1803" i="2"/>
  <c r="I1802" i="2"/>
  <c r="H1802" i="2"/>
  <c r="I1801" i="2"/>
  <c r="H1801" i="2"/>
  <c r="I1800" i="2"/>
  <c r="H1800" i="2"/>
  <c r="I1799" i="2"/>
  <c r="H1799" i="2"/>
  <c r="I1798" i="2"/>
  <c r="H1798" i="2"/>
  <c r="I1797" i="2"/>
  <c r="H1797" i="2"/>
  <c r="I1796" i="2"/>
  <c r="H1796" i="2"/>
  <c r="I1795" i="2"/>
  <c r="H1795" i="2"/>
  <c r="I1794" i="2"/>
  <c r="H1794" i="2"/>
  <c r="I1793" i="2"/>
  <c r="H1793" i="2"/>
  <c r="I1792" i="2"/>
  <c r="H1792" i="2"/>
  <c r="I1791" i="2"/>
  <c r="H1791" i="2"/>
  <c r="I1790" i="2"/>
  <c r="H1790" i="2"/>
  <c r="I1789" i="2"/>
  <c r="H1789" i="2"/>
  <c r="I1788" i="2"/>
  <c r="H1788" i="2"/>
  <c r="H1787" i="2"/>
  <c r="I1786" i="2"/>
  <c r="H1786" i="2"/>
  <c r="I1785" i="2"/>
  <c r="H1785" i="2"/>
  <c r="I1784" i="2"/>
  <c r="H1784" i="2"/>
  <c r="I1783" i="2"/>
  <c r="H1783" i="2"/>
  <c r="I1782" i="2"/>
  <c r="H1782" i="2"/>
  <c r="I1781" i="2"/>
  <c r="H1781" i="2"/>
  <c r="I1780" i="2"/>
  <c r="H1780" i="2"/>
  <c r="I1779" i="2"/>
  <c r="H1779" i="2"/>
  <c r="I1778" i="2"/>
  <c r="H1778" i="2"/>
  <c r="I1777" i="2"/>
  <c r="H1777" i="2"/>
  <c r="I1776" i="2"/>
  <c r="H1776" i="2"/>
  <c r="I1775" i="2"/>
  <c r="H1775" i="2"/>
  <c r="I1774" i="2"/>
  <c r="H1774" i="2"/>
  <c r="I1773" i="2"/>
  <c r="H1773" i="2"/>
  <c r="I1772" i="2"/>
  <c r="H1772" i="2"/>
  <c r="I1771" i="2"/>
  <c r="H1771" i="2"/>
  <c r="I1770" i="2"/>
  <c r="H1770" i="2"/>
  <c r="I1769" i="2"/>
  <c r="H1769" i="2"/>
  <c r="I1768" i="2"/>
  <c r="H1768" i="2"/>
  <c r="I1767" i="2"/>
  <c r="H1767" i="2"/>
  <c r="I1766" i="2"/>
  <c r="H1766" i="2"/>
  <c r="I1765" i="2"/>
  <c r="H1765" i="2"/>
  <c r="I1764" i="2"/>
  <c r="H1764" i="2"/>
  <c r="I1763" i="2"/>
  <c r="H1763" i="2"/>
  <c r="I1762" i="2"/>
  <c r="H1762" i="2"/>
  <c r="I1761" i="2"/>
  <c r="H1761" i="2"/>
  <c r="I1760" i="2"/>
  <c r="H1760" i="2"/>
  <c r="I1759" i="2"/>
  <c r="H1759" i="2"/>
  <c r="I1758" i="2"/>
  <c r="H1758" i="2"/>
  <c r="I1757" i="2"/>
  <c r="H1757" i="2"/>
  <c r="I1756" i="2"/>
  <c r="H1756" i="2"/>
  <c r="I1755" i="2"/>
  <c r="H1755" i="2"/>
  <c r="I1754" i="2"/>
  <c r="H1754" i="2"/>
  <c r="I1753" i="2"/>
  <c r="H1753" i="2"/>
  <c r="I1752" i="2"/>
  <c r="H1752" i="2"/>
  <c r="I1751" i="2"/>
  <c r="H1751" i="2"/>
  <c r="I1750" i="2"/>
  <c r="H1750" i="2"/>
  <c r="I1749" i="2"/>
  <c r="H1749" i="2"/>
  <c r="I1748" i="2"/>
  <c r="H1748" i="2"/>
  <c r="I1747" i="2"/>
  <c r="H1747" i="2"/>
  <c r="I1746" i="2"/>
  <c r="H1746" i="2"/>
  <c r="I1745" i="2"/>
  <c r="H1745" i="2"/>
  <c r="I1744" i="2"/>
  <c r="H1744" i="2"/>
  <c r="I1743" i="2"/>
  <c r="H1743" i="2"/>
  <c r="I1742" i="2"/>
  <c r="H1742" i="2"/>
  <c r="I1741" i="2"/>
  <c r="H1741" i="2"/>
  <c r="I1740" i="2"/>
  <c r="H1740" i="2"/>
  <c r="I1739" i="2"/>
  <c r="H1739" i="2"/>
  <c r="I1738" i="2"/>
  <c r="H1738" i="2"/>
  <c r="I1737" i="2"/>
  <c r="H1737" i="2"/>
  <c r="I1736" i="2"/>
  <c r="H1736" i="2"/>
  <c r="I1735" i="2"/>
  <c r="H1735" i="2"/>
  <c r="I1734" i="2"/>
  <c r="H1734" i="2"/>
  <c r="I1733" i="2"/>
  <c r="H1733" i="2"/>
  <c r="I1732" i="2"/>
  <c r="H1732" i="2"/>
  <c r="I1731" i="2"/>
  <c r="H1731" i="2"/>
  <c r="I1730" i="2"/>
  <c r="H1730" i="2"/>
  <c r="I1729" i="2"/>
  <c r="H1729" i="2"/>
  <c r="I1728" i="2"/>
  <c r="H1728" i="2"/>
  <c r="I1727" i="2"/>
  <c r="H1727" i="2"/>
  <c r="I1726" i="2"/>
  <c r="H1726" i="2"/>
  <c r="I1725" i="2"/>
  <c r="H1725" i="2"/>
  <c r="I1724" i="2"/>
  <c r="H1724" i="2"/>
  <c r="I1723" i="2"/>
  <c r="H1723" i="2"/>
  <c r="I1722" i="2"/>
  <c r="H1722" i="2"/>
  <c r="I1721" i="2"/>
  <c r="H1721" i="2"/>
  <c r="I1720" i="2"/>
  <c r="H1720" i="2"/>
  <c r="I1719" i="2"/>
  <c r="H1719" i="2"/>
  <c r="I1718" i="2"/>
  <c r="H1718" i="2"/>
  <c r="I1717" i="2"/>
  <c r="H1717" i="2"/>
  <c r="I1716" i="2"/>
  <c r="H1716" i="2"/>
  <c r="I1715" i="2"/>
  <c r="H1715" i="2"/>
  <c r="I1714" i="2"/>
  <c r="H1714" i="2"/>
  <c r="I1713" i="2"/>
  <c r="H1713" i="2"/>
  <c r="I1712" i="2"/>
  <c r="H1712" i="2"/>
  <c r="I1711" i="2"/>
  <c r="H1711" i="2"/>
  <c r="I1710" i="2"/>
  <c r="H1710" i="2"/>
  <c r="I1709" i="2"/>
  <c r="H1709" i="2"/>
  <c r="I1708" i="2"/>
  <c r="H1708" i="2"/>
  <c r="I1707" i="2"/>
  <c r="H1707" i="2"/>
  <c r="I1706" i="2"/>
  <c r="H1706" i="2"/>
  <c r="I1705" i="2"/>
  <c r="H1705" i="2"/>
  <c r="I1704" i="2"/>
  <c r="H1704" i="2"/>
  <c r="I1703" i="2"/>
  <c r="H1703" i="2"/>
  <c r="I1702" i="2"/>
  <c r="H1702" i="2"/>
  <c r="I1701" i="2"/>
  <c r="H1701" i="2"/>
  <c r="I1700" i="2"/>
  <c r="H1700" i="2"/>
  <c r="I1699" i="2"/>
  <c r="H1699" i="2"/>
  <c r="I1698" i="2"/>
  <c r="H1698" i="2"/>
  <c r="I1697" i="2"/>
  <c r="H1697" i="2"/>
  <c r="I1696" i="2"/>
  <c r="H1696" i="2"/>
  <c r="I1695" i="2"/>
  <c r="H1695" i="2"/>
  <c r="I1694" i="2"/>
  <c r="H1694" i="2"/>
  <c r="I1693" i="2"/>
  <c r="H1693" i="2"/>
  <c r="I1692" i="2"/>
  <c r="H1692" i="2"/>
  <c r="I1691" i="2"/>
  <c r="H1691" i="2"/>
  <c r="I1690" i="2"/>
  <c r="H1690" i="2"/>
  <c r="I1689" i="2"/>
  <c r="H1689" i="2"/>
  <c r="I1688" i="2"/>
  <c r="H1688" i="2"/>
  <c r="I1687" i="2"/>
  <c r="H1687" i="2"/>
  <c r="I1686" i="2"/>
  <c r="H1686" i="2"/>
  <c r="I1685" i="2"/>
  <c r="H1685" i="2"/>
  <c r="I1684" i="2"/>
  <c r="H1684" i="2"/>
  <c r="I1683" i="2"/>
  <c r="H1683" i="2"/>
  <c r="I1682" i="2"/>
  <c r="H1682" i="2"/>
  <c r="I1681" i="2"/>
  <c r="H1681" i="2"/>
  <c r="I1680" i="2"/>
  <c r="H1680" i="2"/>
  <c r="I1679" i="2"/>
  <c r="H1679" i="2"/>
  <c r="I1678" i="2"/>
  <c r="H1678" i="2"/>
  <c r="I1677" i="2"/>
  <c r="H1677" i="2"/>
  <c r="I1676" i="2"/>
  <c r="H1676" i="2"/>
  <c r="I1675" i="2"/>
  <c r="H1675" i="2"/>
  <c r="I1674" i="2"/>
  <c r="H1674" i="2"/>
  <c r="I1673" i="2"/>
  <c r="H1673" i="2"/>
  <c r="I1672" i="2"/>
  <c r="H1672" i="2"/>
  <c r="I1671" i="2"/>
  <c r="H1671" i="2"/>
  <c r="I1670" i="2"/>
  <c r="H1670" i="2"/>
  <c r="I1669" i="2"/>
  <c r="H1669" i="2"/>
  <c r="I1668" i="2"/>
  <c r="H1668" i="2"/>
  <c r="I1667" i="2"/>
  <c r="H1667" i="2"/>
  <c r="I1666" i="2"/>
  <c r="H1666" i="2"/>
  <c r="I1665" i="2"/>
  <c r="H1665" i="2"/>
  <c r="I1664" i="2"/>
  <c r="H1664" i="2"/>
  <c r="I1663" i="2"/>
  <c r="H1663" i="2"/>
  <c r="I1662" i="2"/>
  <c r="H1662" i="2"/>
  <c r="I1661" i="2"/>
  <c r="H1661" i="2"/>
  <c r="I1660" i="2"/>
  <c r="H1660" i="2"/>
  <c r="I1659" i="2"/>
  <c r="H1659" i="2"/>
  <c r="I1658" i="2"/>
  <c r="H1658" i="2"/>
  <c r="I1657" i="2"/>
  <c r="H1657" i="2"/>
  <c r="I1656" i="2"/>
  <c r="H1656" i="2"/>
  <c r="I1655" i="2"/>
  <c r="H1655" i="2"/>
  <c r="I1654" i="2"/>
  <c r="H1654" i="2"/>
  <c r="I1653" i="2"/>
  <c r="H1653" i="2"/>
  <c r="I1652" i="2"/>
  <c r="H1652" i="2"/>
  <c r="I1651" i="2"/>
  <c r="H1651" i="2"/>
  <c r="I1650" i="2"/>
  <c r="H1650" i="2"/>
  <c r="I1649" i="2"/>
  <c r="H1649" i="2"/>
  <c r="I1648" i="2"/>
  <c r="H1648" i="2"/>
  <c r="I1647" i="2"/>
  <c r="H1647" i="2"/>
  <c r="I1646" i="2"/>
  <c r="H1646" i="2"/>
  <c r="I1645" i="2"/>
  <c r="H1645" i="2"/>
  <c r="I1644" i="2"/>
  <c r="H1644" i="2"/>
  <c r="I1643" i="2"/>
  <c r="H1643" i="2"/>
  <c r="I1642" i="2"/>
  <c r="H1642" i="2"/>
  <c r="I1641" i="2"/>
  <c r="H1641" i="2"/>
  <c r="I1640" i="2"/>
  <c r="H1640" i="2"/>
  <c r="I1639" i="2"/>
  <c r="H1639" i="2"/>
  <c r="I1638" i="2"/>
  <c r="H1638" i="2"/>
  <c r="I1637" i="2"/>
  <c r="H1637" i="2"/>
  <c r="I1636" i="2"/>
  <c r="H1636" i="2"/>
  <c r="I1635" i="2"/>
  <c r="H1635" i="2"/>
  <c r="I1634" i="2"/>
  <c r="H1634" i="2"/>
  <c r="I1633" i="2"/>
  <c r="H1633" i="2"/>
  <c r="I1632" i="2"/>
  <c r="H1632" i="2"/>
  <c r="I1631" i="2"/>
  <c r="H1631" i="2"/>
  <c r="I1630" i="2"/>
  <c r="H1630" i="2"/>
  <c r="I1629" i="2"/>
  <c r="H1629" i="2"/>
  <c r="I1628" i="2"/>
  <c r="H1628" i="2"/>
  <c r="I1627" i="2"/>
  <c r="H1627" i="2"/>
  <c r="I1626" i="2"/>
  <c r="H1626" i="2"/>
  <c r="I1625" i="2"/>
  <c r="H1625" i="2"/>
  <c r="I1624" i="2"/>
  <c r="H1624" i="2"/>
  <c r="I1623" i="2"/>
  <c r="H1623" i="2"/>
  <c r="I1622" i="2"/>
  <c r="H1622" i="2"/>
  <c r="I1621" i="2"/>
  <c r="H1621" i="2"/>
  <c r="I1620" i="2"/>
  <c r="H1620" i="2"/>
  <c r="I1619" i="2"/>
  <c r="H1619" i="2"/>
  <c r="I1618" i="2"/>
  <c r="H1618" i="2"/>
  <c r="I1617" i="2"/>
  <c r="H1617" i="2"/>
  <c r="I1616" i="2"/>
  <c r="H1616" i="2"/>
  <c r="I1615" i="2"/>
  <c r="H1615" i="2"/>
  <c r="I1614" i="2"/>
  <c r="H1614" i="2"/>
  <c r="I1613" i="2"/>
  <c r="H1613" i="2"/>
  <c r="I1612" i="2"/>
  <c r="H1612" i="2"/>
  <c r="I1611" i="2"/>
  <c r="H1611" i="2"/>
  <c r="I1610" i="2"/>
  <c r="H1610" i="2"/>
  <c r="I1609" i="2"/>
  <c r="H1609" i="2"/>
  <c r="I1608" i="2"/>
  <c r="H1608" i="2"/>
  <c r="I1607" i="2"/>
  <c r="H1607" i="2"/>
  <c r="I1606" i="2"/>
  <c r="H1606" i="2"/>
  <c r="I1605" i="2"/>
  <c r="H1605" i="2"/>
  <c r="I1604" i="2"/>
  <c r="H1604" i="2"/>
  <c r="I1603" i="2"/>
  <c r="H1603" i="2"/>
  <c r="I1602" i="2"/>
  <c r="H1602" i="2"/>
  <c r="I1601" i="2"/>
  <c r="H1601" i="2"/>
  <c r="I1600" i="2"/>
  <c r="H1600" i="2"/>
  <c r="I1599" i="2"/>
  <c r="H1599" i="2"/>
  <c r="I1598" i="2"/>
  <c r="H1598" i="2"/>
  <c r="I1597" i="2"/>
  <c r="H1597" i="2"/>
  <c r="I1596" i="2"/>
  <c r="H1596" i="2"/>
  <c r="I1595" i="2"/>
  <c r="H1595" i="2"/>
  <c r="I1594" i="2"/>
  <c r="H1594" i="2"/>
  <c r="I1593" i="2"/>
  <c r="H1593" i="2"/>
  <c r="I1592" i="2"/>
  <c r="H1592" i="2"/>
  <c r="I1591" i="2"/>
  <c r="H1591" i="2"/>
  <c r="I1590" i="2"/>
  <c r="H1590" i="2"/>
  <c r="I1589" i="2"/>
  <c r="H1589" i="2"/>
  <c r="I1588" i="2"/>
  <c r="H1588" i="2"/>
  <c r="I1587" i="2"/>
  <c r="H1587" i="2"/>
  <c r="I1586" i="2"/>
  <c r="H1586" i="2"/>
  <c r="I1585" i="2"/>
  <c r="H1585" i="2"/>
  <c r="I1584" i="2"/>
  <c r="H1584" i="2"/>
  <c r="I1583" i="2"/>
  <c r="H1583" i="2"/>
  <c r="I1582" i="2"/>
  <c r="H1582" i="2"/>
  <c r="I1581" i="2"/>
  <c r="H1581" i="2"/>
  <c r="I1580" i="2"/>
  <c r="H1580" i="2"/>
  <c r="I1579" i="2"/>
  <c r="H1579" i="2"/>
  <c r="I1578" i="2"/>
  <c r="H1578" i="2"/>
  <c r="I1577" i="2"/>
  <c r="H1577" i="2"/>
  <c r="I1576" i="2"/>
  <c r="H1576" i="2"/>
  <c r="I1575" i="2"/>
  <c r="H1575" i="2"/>
  <c r="I1574" i="2"/>
  <c r="H1574" i="2"/>
  <c r="I1573" i="2"/>
  <c r="H1573" i="2"/>
  <c r="I1572" i="2"/>
  <c r="H1572" i="2"/>
  <c r="I1571" i="2"/>
  <c r="H1571" i="2"/>
  <c r="I1570" i="2"/>
  <c r="H1570" i="2"/>
  <c r="I1569" i="2"/>
  <c r="H1569" i="2"/>
  <c r="I1568" i="2"/>
  <c r="H1568" i="2"/>
  <c r="I1567" i="2"/>
  <c r="H1567" i="2"/>
  <c r="I1566" i="2"/>
  <c r="H1566" i="2"/>
  <c r="I1565" i="2"/>
  <c r="H1565" i="2"/>
  <c r="I1564" i="2"/>
  <c r="H1564" i="2"/>
  <c r="I1563" i="2"/>
  <c r="H1563" i="2"/>
  <c r="I1562" i="2"/>
  <c r="H1562" i="2"/>
  <c r="I1561" i="2"/>
  <c r="H1561" i="2"/>
  <c r="I1560" i="2"/>
  <c r="H1560" i="2"/>
  <c r="I1559" i="2"/>
  <c r="H1559" i="2"/>
  <c r="I1558" i="2"/>
  <c r="H1558" i="2"/>
  <c r="I1557" i="2"/>
  <c r="H1557" i="2"/>
  <c r="I1556" i="2"/>
  <c r="H1556" i="2"/>
  <c r="I1555" i="2"/>
  <c r="H1555" i="2"/>
  <c r="I1554" i="2"/>
  <c r="H1554" i="2"/>
  <c r="I1553" i="2"/>
  <c r="H1553" i="2"/>
  <c r="I1552" i="2"/>
  <c r="H1552" i="2"/>
  <c r="I1551" i="2"/>
  <c r="H1551" i="2"/>
  <c r="I1550" i="2"/>
  <c r="H1550" i="2"/>
  <c r="I1549" i="2"/>
  <c r="H1549" i="2"/>
  <c r="I1548" i="2"/>
  <c r="H1548" i="2"/>
  <c r="I1547" i="2"/>
  <c r="H1547" i="2"/>
  <c r="I1546" i="2"/>
  <c r="H1546" i="2"/>
  <c r="I1545" i="2"/>
  <c r="H1545" i="2"/>
  <c r="I1544" i="2"/>
  <c r="H1544" i="2"/>
  <c r="I1543" i="2"/>
  <c r="H1543" i="2"/>
  <c r="I1542" i="2"/>
  <c r="H1542" i="2"/>
  <c r="I1541" i="2"/>
  <c r="H1541" i="2"/>
  <c r="I1540" i="2"/>
  <c r="H1540" i="2"/>
  <c r="I1539" i="2"/>
  <c r="H1539" i="2"/>
  <c r="I1538" i="2"/>
  <c r="H1538" i="2"/>
  <c r="I1537" i="2"/>
  <c r="H1537" i="2"/>
  <c r="I1536" i="2"/>
  <c r="H1536" i="2"/>
  <c r="I1535" i="2"/>
  <c r="H1535" i="2"/>
  <c r="I1534" i="2"/>
  <c r="H1534" i="2"/>
  <c r="I1533" i="2"/>
  <c r="H1533" i="2"/>
  <c r="I1532" i="2"/>
  <c r="H1532" i="2"/>
  <c r="I1531" i="2"/>
  <c r="H1531" i="2"/>
  <c r="I1530" i="2"/>
  <c r="H1530" i="2"/>
  <c r="I1529" i="2"/>
  <c r="H1529" i="2"/>
  <c r="I1528" i="2"/>
  <c r="H1528" i="2"/>
  <c r="I1527" i="2"/>
  <c r="H1527" i="2"/>
  <c r="I1526" i="2"/>
  <c r="H1526" i="2"/>
  <c r="I1525" i="2"/>
  <c r="H1525" i="2"/>
  <c r="I1524" i="2"/>
  <c r="H1524" i="2"/>
  <c r="I1523" i="2"/>
  <c r="H1523" i="2"/>
  <c r="I1522" i="2"/>
  <c r="H1522" i="2"/>
  <c r="I1521" i="2"/>
  <c r="H1521" i="2"/>
  <c r="I1520" i="2"/>
  <c r="H1520" i="2"/>
  <c r="I1519" i="2"/>
  <c r="H1519" i="2"/>
  <c r="I1518" i="2"/>
  <c r="H1518" i="2"/>
  <c r="I1517" i="2"/>
  <c r="H1517" i="2"/>
  <c r="I1516" i="2"/>
  <c r="H1516" i="2"/>
  <c r="I1515" i="2"/>
  <c r="H1515" i="2"/>
  <c r="I1514" i="2"/>
  <c r="H1514" i="2"/>
  <c r="I1513" i="2"/>
  <c r="H1513" i="2"/>
  <c r="I1512" i="2"/>
  <c r="H1512" i="2"/>
  <c r="I1511" i="2"/>
  <c r="H1511" i="2"/>
  <c r="I1510" i="2"/>
  <c r="H1510" i="2"/>
  <c r="I1509" i="2"/>
  <c r="H1509" i="2"/>
  <c r="I1508" i="2"/>
  <c r="H1508" i="2"/>
  <c r="I1507" i="2"/>
  <c r="H1507" i="2"/>
  <c r="I1506" i="2"/>
  <c r="H1506" i="2"/>
  <c r="I1505" i="2"/>
  <c r="H1505" i="2"/>
  <c r="I1504" i="2"/>
  <c r="H1504" i="2"/>
  <c r="I1503" i="2"/>
  <c r="H1503" i="2"/>
  <c r="I1502" i="2"/>
  <c r="H1502" i="2"/>
  <c r="I1501" i="2"/>
  <c r="H1501" i="2"/>
  <c r="I1500" i="2"/>
  <c r="H1500" i="2"/>
  <c r="I1499" i="2"/>
  <c r="H1499" i="2"/>
  <c r="I1498" i="2"/>
  <c r="H1498" i="2"/>
  <c r="I1497" i="2"/>
  <c r="H1497" i="2"/>
  <c r="I1496" i="2"/>
  <c r="H1496" i="2"/>
  <c r="I1495" i="2"/>
  <c r="H1495" i="2"/>
  <c r="I1494" i="2"/>
  <c r="H1494" i="2"/>
  <c r="I1493" i="2"/>
  <c r="H1493" i="2"/>
  <c r="I1492" i="2"/>
  <c r="H1492" i="2"/>
  <c r="I1491" i="2"/>
  <c r="H1491" i="2"/>
  <c r="I1490" i="2"/>
  <c r="H1490" i="2"/>
  <c r="I1489" i="2"/>
  <c r="H1489" i="2"/>
  <c r="I1488" i="2"/>
  <c r="H1488" i="2"/>
  <c r="I1487" i="2"/>
  <c r="H1487" i="2"/>
  <c r="I1486" i="2"/>
  <c r="H1486" i="2"/>
  <c r="I1485" i="2"/>
  <c r="H1485" i="2"/>
  <c r="I1484" i="2"/>
  <c r="H1484" i="2"/>
  <c r="I1483" i="2"/>
  <c r="H1483" i="2"/>
  <c r="I1482" i="2"/>
  <c r="H1482" i="2"/>
  <c r="I1481" i="2"/>
  <c r="H1481" i="2"/>
  <c r="I1480" i="2"/>
  <c r="H1480" i="2"/>
  <c r="I1479" i="2"/>
  <c r="H1479" i="2"/>
  <c r="I1478" i="2"/>
  <c r="H1478" i="2"/>
  <c r="I1477" i="2"/>
  <c r="H1477" i="2"/>
  <c r="I1476" i="2"/>
  <c r="H1476" i="2"/>
  <c r="I1475" i="2"/>
  <c r="H1475" i="2"/>
  <c r="I1474" i="2"/>
  <c r="H1474" i="2"/>
  <c r="I1473" i="2"/>
  <c r="H1473" i="2"/>
  <c r="I1472" i="2"/>
  <c r="H1472" i="2"/>
  <c r="I1471" i="2"/>
  <c r="H1471" i="2"/>
  <c r="I1470" i="2"/>
  <c r="H1470" i="2"/>
  <c r="I1469" i="2"/>
  <c r="H1469" i="2"/>
  <c r="I1468" i="2"/>
  <c r="H1468" i="2"/>
  <c r="I1467" i="2"/>
  <c r="H1467" i="2"/>
  <c r="I1466" i="2"/>
  <c r="H1466" i="2"/>
  <c r="I1465" i="2"/>
  <c r="H1465" i="2"/>
  <c r="I1464" i="2"/>
  <c r="H1464" i="2"/>
  <c r="I1463" i="2"/>
  <c r="H1463" i="2"/>
  <c r="I1462" i="2"/>
  <c r="H1462" i="2"/>
  <c r="I1461" i="2"/>
  <c r="H1461" i="2"/>
  <c r="I1460" i="2"/>
  <c r="H1460" i="2"/>
  <c r="I1459" i="2"/>
  <c r="H1459" i="2"/>
  <c r="I1458" i="2"/>
  <c r="H1458" i="2"/>
  <c r="I1457" i="2"/>
  <c r="H1457" i="2"/>
  <c r="I1456" i="2"/>
  <c r="H1456" i="2"/>
  <c r="I1455" i="2"/>
  <c r="H1455" i="2"/>
  <c r="I1454" i="2"/>
  <c r="H1454" i="2"/>
  <c r="I1453" i="2"/>
  <c r="H1453" i="2"/>
  <c r="I1452" i="2"/>
  <c r="H1452" i="2"/>
  <c r="I1451" i="2"/>
  <c r="H1451" i="2"/>
  <c r="I1450" i="2"/>
  <c r="H1450" i="2"/>
  <c r="I1449" i="2"/>
  <c r="H1449" i="2"/>
  <c r="I1448" i="2"/>
  <c r="H1448" i="2"/>
  <c r="I1447" i="2"/>
  <c r="H1447" i="2"/>
  <c r="I1446" i="2"/>
  <c r="H1446" i="2"/>
  <c r="I1445" i="2"/>
  <c r="H1445" i="2"/>
  <c r="I1444" i="2"/>
  <c r="H1444" i="2"/>
  <c r="I1443" i="2"/>
  <c r="H1443" i="2"/>
  <c r="I1442" i="2"/>
  <c r="H1442" i="2"/>
  <c r="I1441" i="2"/>
  <c r="H1441" i="2"/>
  <c r="I1440" i="2"/>
  <c r="H1440" i="2"/>
  <c r="I1439" i="2"/>
  <c r="H1439" i="2"/>
  <c r="I1438" i="2"/>
  <c r="H1438" i="2"/>
  <c r="I1437" i="2"/>
  <c r="H1437" i="2"/>
  <c r="I1436" i="2"/>
  <c r="H1436" i="2"/>
  <c r="I1435" i="2"/>
  <c r="H1435" i="2"/>
  <c r="I1434" i="2"/>
  <c r="H1434" i="2"/>
  <c r="I1433" i="2"/>
  <c r="H1433" i="2"/>
  <c r="I1432" i="2"/>
  <c r="H1432" i="2"/>
  <c r="I1431" i="2"/>
  <c r="H1431" i="2"/>
  <c r="I1430" i="2"/>
  <c r="H1430" i="2"/>
  <c r="I1429" i="2"/>
  <c r="H1429" i="2"/>
  <c r="I1428" i="2"/>
  <c r="H1428" i="2"/>
  <c r="I1427" i="2"/>
  <c r="H1427" i="2"/>
  <c r="I1426" i="2"/>
  <c r="H1426" i="2"/>
  <c r="I1425" i="2"/>
  <c r="H1425" i="2"/>
  <c r="I1424" i="2"/>
  <c r="H1424" i="2"/>
  <c r="I1423" i="2"/>
  <c r="H1423" i="2"/>
  <c r="I1422" i="2"/>
  <c r="H1422" i="2"/>
  <c r="I1421" i="2"/>
  <c r="H1421" i="2"/>
  <c r="I1420" i="2"/>
  <c r="H1420" i="2"/>
  <c r="I1419" i="2"/>
  <c r="H1419" i="2"/>
  <c r="I1418" i="2"/>
  <c r="H1418" i="2"/>
  <c r="I1417" i="2"/>
  <c r="H1417" i="2"/>
  <c r="I1416" i="2"/>
  <c r="H1416" i="2"/>
  <c r="I1415" i="2"/>
  <c r="H1415" i="2"/>
  <c r="I1414" i="2"/>
  <c r="H1414" i="2"/>
  <c r="I1413" i="2"/>
  <c r="H1413" i="2"/>
  <c r="I1412" i="2"/>
  <c r="H1412" i="2"/>
  <c r="I1411" i="2"/>
  <c r="H1411" i="2"/>
  <c r="I1410" i="2"/>
  <c r="H1410" i="2"/>
  <c r="I1409" i="2"/>
  <c r="H1409" i="2"/>
  <c r="I1408" i="2"/>
  <c r="H1408" i="2"/>
  <c r="I1407" i="2"/>
  <c r="H1407" i="2"/>
  <c r="I1406" i="2"/>
  <c r="H1406" i="2"/>
  <c r="I1405" i="2"/>
  <c r="H1405" i="2"/>
  <c r="I1404" i="2"/>
  <c r="H1404" i="2"/>
  <c r="I1403" i="2"/>
  <c r="H1403" i="2"/>
  <c r="I1402" i="2"/>
  <c r="H1402" i="2"/>
  <c r="I1401" i="2"/>
  <c r="H1401" i="2"/>
  <c r="I1400" i="2"/>
  <c r="H1400" i="2"/>
  <c r="I1399" i="2"/>
  <c r="H1399" i="2"/>
  <c r="I1398" i="2"/>
  <c r="H1398" i="2"/>
  <c r="I1397" i="2"/>
  <c r="H1397" i="2"/>
  <c r="I1396" i="2"/>
  <c r="H1396" i="2"/>
  <c r="I1395" i="2"/>
  <c r="H1395" i="2"/>
  <c r="I1394" i="2"/>
  <c r="H1394" i="2"/>
  <c r="I1393" i="2"/>
  <c r="H1393" i="2"/>
  <c r="I1392" i="2"/>
  <c r="H1392" i="2"/>
  <c r="I1391" i="2"/>
  <c r="H1391" i="2"/>
  <c r="I1390" i="2"/>
  <c r="H1390" i="2"/>
  <c r="I1389" i="2"/>
  <c r="H1389" i="2"/>
  <c r="I1388" i="2"/>
  <c r="H1388" i="2"/>
  <c r="I1387" i="2"/>
  <c r="H1387" i="2"/>
  <c r="I1386" i="2"/>
  <c r="H1386" i="2"/>
  <c r="I1385" i="2"/>
  <c r="H1385" i="2"/>
  <c r="I1384" i="2"/>
  <c r="H1384" i="2"/>
  <c r="I1383" i="2"/>
  <c r="H1383" i="2"/>
  <c r="I1382" i="2"/>
  <c r="H1382" i="2"/>
  <c r="I1381" i="2"/>
  <c r="H1381" i="2"/>
  <c r="I1380" i="2"/>
  <c r="H1380" i="2"/>
  <c r="I1379" i="2"/>
  <c r="H1379" i="2"/>
  <c r="I1378" i="2"/>
  <c r="H1378" i="2"/>
  <c r="I1377" i="2"/>
  <c r="H1377" i="2"/>
  <c r="I1376" i="2"/>
  <c r="H1376" i="2"/>
  <c r="I1375" i="2"/>
  <c r="H1375" i="2"/>
  <c r="I1374" i="2"/>
  <c r="H1374" i="2"/>
  <c r="I1373" i="2"/>
  <c r="H1373" i="2"/>
  <c r="I1372" i="2"/>
  <c r="H1372" i="2"/>
  <c r="I1371" i="2"/>
  <c r="H1371" i="2"/>
  <c r="I1370" i="2"/>
  <c r="H1370" i="2"/>
  <c r="I1369" i="2"/>
  <c r="H1369" i="2"/>
  <c r="I1368" i="2"/>
  <c r="H1368" i="2"/>
  <c r="I1367" i="2"/>
  <c r="H1367" i="2"/>
  <c r="I1366" i="2"/>
  <c r="H1366" i="2"/>
  <c r="I1365" i="2"/>
  <c r="H1365" i="2"/>
  <c r="I1364" i="2"/>
  <c r="H1364" i="2"/>
  <c r="I1363" i="2"/>
  <c r="H1363" i="2"/>
  <c r="I1362" i="2"/>
  <c r="H1362" i="2"/>
  <c r="I1361" i="2"/>
  <c r="H1361" i="2"/>
  <c r="I1360" i="2"/>
  <c r="H1360" i="2"/>
  <c r="I1359" i="2"/>
  <c r="H1359" i="2"/>
  <c r="I1358" i="2"/>
  <c r="H1358" i="2"/>
  <c r="I1357" i="2"/>
  <c r="H1357" i="2"/>
  <c r="I1356" i="2"/>
  <c r="H1356" i="2"/>
  <c r="I1355" i="2"/>
  <c r="H1355" i="2"/>
  <c r="I1354" i="2"/>
  <c r="H1354" i="2"/>
  <c r="I1353" i="2"/>
  <c r="H1353" i="2"/>
  <c r="I1352" i="2"/>
  <c r="H1352" i="2"/>
  <c r="I1351" i="2"/>
  <c r="H1351" i="2"/>
  <c r="I1350" i="2"/>
  <c r="H1350" i="2"/>
  <c r="I1349" i="2"/>
  <c r="H1349" i="2"/>
  <c r="I1348" i="2"/>
  <c r="H1348" i="2"/>
  <c r="I1347" i="2"/>
  <c r="H1347" i="2"/>
  <c r="I1346" i="2"/>
  <c r="H1346" i="2"/>
  <c r="I1345" i="2"/>
  <c r="H1345" i="2"/>
  <c r="I1344" i="2"/>
  <c r="H1344" i="2"/>
  <c r="I1343" i="2"/>
  <c r="H1343" i="2"/>
  <c r="I1342" i="2"/>
  <c r="H1342" i="2"/>
  <c r="I1341" i="2"/>
  <c r="H1341" i="2"/>
  <c r="I1340" i="2"/>
  <c r="H1340" i="2"/>
  <c r="I1339" i="2"/>
  <c r="H1339" i="2"/>
  <c r="I1338" i="2"/>
  <c r="H1338" i="2"/>
  <c r="I1337" i="2"/>
  <c r="H1337" i="2"/>
  <c r="I1336" i="2"/>
  <c r="H1336" i="2"/>
  <c r="I1335" i="2"/>
  <c r="H1335" i="2"/>
  <c r="I1334" i="2"/>
  <c r="H1334" i="2"/>
  <c r="I1333" i="2"/>
  <c r="H1333" i="2"/>
  <c r="I1332" i="2"/>
  <c r="H1332" i="2"/>
  <c r="I1331" i="2"/>
  <c r="H1331" i="2"/>
  <c r="I1330" i="2"/>
  <c r="H1330" i="2"/>
  <c r="I1329" i="2"/>
  <c r="H1329" i="2"/>
  <c r="I1328" i="2"/>
  <c r="H1328" i="2"/>
  <c r="I1327" i="2"/>
  <c r="H1327" i="2"/>
  <c r="I1326" i="2"/>
  <c r="H1326" i="2"/>
  <c r="I1325" i="2"/>
  <c r="H1325" i="2"/>
  <c r="I1324" i="2"/>
  <c r="H1324" i="2"/>
  <c r="I1323" i="2"/>
  <c r="H1323" i="2"/>
  <c r="I1322" i="2"/>
  <c r="H1322" i="2"/>
  <c r="I1321" i="2"/>
  <c r="H1321" i="2"/>
  <c r="I1320" i="2"/>
  <c r="H1320" i="2"/>
  <c r="I1319" i="2"/>
  <c r="H1319" i="2"/>
  <c r="I1318" i="2"/>
  <c r="H1318" i="2"/>
  <c r="I1317" i="2"/>
  <c r="H1317" i="2"/>
  <c r="I1316" i="2"/>
  <c r="H1316" i="2"/>
  <c r="I1315" i="2"/>
  <c r="H1315" i="2"/>
  <c r="I1314" i="2"/>
  <c r="H1314" i="2"/>
  <c r="I1313" i="2"/>
  <c r="H1313" i="2"/>
  <c r="I1312" i="2"/>
  <c r="H1312" i="2"/>
  <c r="I1311" i="2"/>
  <c r="H1311" i="2"/>
  <c r="I1310" i="2"/>
  <c r="H1310" i="2"/>
  <c r="I1309" i="2"/>
  <c r="H1309" i="2"/>
  <c r="I1308" i="2"/>
  <c r="H1308" i="2"/>
  <c r="I1307" i="2"/>
  <c r="H1307" i="2"/>
  <c r="I1306" i="2"/>
  <c r="H1306" i="2"/>
  <c r="I1305" i="2"/>
  <c r="H1305" i="2"/>
  <c r="I1304" i="2"/>
  <c r="H1304" i="2"/>
  <c r="I1303" i="2"/>
  <c r="H1303" i="2"/>
  <c r="I1302" i="2"/>
  <c r="H1302" i="2"/>
  <c r="I1301" i="2"/>
  <c r="H1301" i="2"/>
  <c r="I1300" i="2"/>
  <c r="H1300" i="2"/>
  <c r="I1299" i="2"/>
  <c r="H1299" i="2"/>
  <c r="I1298" i="2"/>
  <c r="H1298" i="2"/>
  <c r="I1297" i="2"/>
  <c r="H1297" i="2"/>
  <c r="I1296" i="2"/>
  <c r="H1296" i="2"/>
  <c r="I1295" i="2"/>
  <c r="H1295" i="2"/>
  <c r="I1294" i="2"/>
  <c r="H1294" i="2"/>
  <c r="I1293" i="2"/>
  <c r="H1293" i="2"/>
  <c r="I1292" i="2"/>
  <c r="H1292" i="2"/>
  <c r="I1291" i="2"/>
  <c r="H1291" i="2"/>
  <c r="I1290" i="2"/>
  <c r="H1290" i="2"/>
  <c r="I1289" i="2"/>
  <c r="H1289" i="2"/>
  <c r="I1288" i="2"/>
  <c r="H1288" i="2"/>
  <c r="I1287" i="2"/>
  <c r="H1287" i="2"/>
  <c r="I1286" i="2"/>
  <c r="H1286" i="2"/>
  <c r="I1285" i="2"/>
  <c r="H1285" i="2"/>
  <c r="I1284" i="2"/>
  <c r="H1284" i="2"/>
  <c r="I1283" i="2"/>
  <c r="H1283" i="2"/>
  <c r="I1282" i="2"/>
  <c r="H1282" i="2"/>
  <c r="I1281" i="2"/>
  <c r="H1281" i="2"/>
  <c r="I1280" i="2"/>
  <c r="H1280" i="2"/>
  <c r="I1279" i="2"/>
  <c r="H1279" i="2"/>
  <c r="I1278" i="2"/>
  <c r="H1278" i="2"/>
  <c r="I1277" i="2"/>
  <c r="H1277" i="2"/>
  <c r="I1276" i="2"/>
  <c r="H1276" i="2"/>
  <c r="I1275" i="2"/>
  <c r="H1275" i="2"/>
  <c r="I1274" i="2"/>
  <c r="H1274" i="2"/>
  <c r="I1273" i="2"/>
  <c r="H1273" i="2"/>
  <c r="I1272" i="2"/>
  <c r="H1272" i="2"/>
  <c r="I1271" i="2"/>
  <c r="H1271" i="2"/>
  <c r="I1270" i="2"/>
  <c r="H1270" i="2"/>
  <c r="I1269" i="2"/>
  <c r="H1269" i="2"/>
  <c r="I1268" i="2"/>
  <c r="H1268" i="2"/>
  <c r="I1267" i="2"/>
  <c r="H1267" i="2"/>
  <c r="I1266" i="2"/>
  <c r="H1266" i="2"/>
  <c r="I1265" i="2"/>
  <c r="H1265" i="2"/>
  <c r="I1264" i="2"/>
  <c r="H1264" i="2"/>
  <c r="I1263" i="2"/>
  <c r="H1263" i="2"/>
  <c r="I1262" i="2"/>
  <c r="H1262" i="2"/>
  <c r="I1261" i="2"/>
  <c r="H1261" i="2"/>
  <c r="I1260" i="2"/>
  <c r="H1260" i="2"/>
  <c r="I1259" i="2"/>
  <c r="H1259" i="2"/>
  <c r="I1258" i="2"/>
  <c r="H1258" i="2"/>
  <c r="I1257" i="2"/>
  <c r="H1257" i="2"/>
  <c r="I1256" i="2"/>
  <c r="H1256" i="2"/>
  <c r="I1255" i="2"/>
  <c r="H1255" i="2"/>
  <c r="I1254" i="2"/>
  <c r="H1254" i="2"/>
  <c r="I1253" i="2"/>
  <c r="H1253" i="2"/>
  <c r="I1252" i="2"/>
  <c r="H1252" i="2"/>
  <c r="I1251" i="2"/>
  <c r="H1251" i="2"/>
  <c r="I1250" i="2"/>
  <c r="H1250" i="2"/>
  <c r="I1249" i="2"/>
  <c r="H1249" i="2"/>
  <c r="I1248" i="2"/>
  <c r="H1248" i="2"/>
  <c r="I1247" i="2"/>
  <c r="H1247" i="2"/>
  <c r="I1246" i="2"/>
  <c r="H1246" i="2"/>
  <c r="I1245" i="2"/>
  <c r="H1245" i="2"/>
  <c r="I1244" i="2"/>
  <c r="H1244" i="2"/>
  <c r="I1243" i="2"/>
  <c r="H1243" i="2"/>
  <c r="I1242" i="2"/>
  <c r="H1242" i="2"/>
  <c r="I1241" i="2"/>
  <c r="H1241" i="2"/>
  <c r="I1240" i="2"/>
  <c r="H1240" i="2"/>
  <c r="I1239" i="2"/>
  <c r="H1239" i="2"/>
  <c r="I1238" i="2"/>
  <c r="H1238" i="2"/>
  <c r="I1237" i="2"/>
  <c r="H1237" i="2"/>
  <c r="I1236" i="2"/>
  <c r="H1236" i="2"/>
  <c r="I1235" i="2"/>
  <c r="H1235" i="2"/>
  <c r="I1234" i="2"/>
  <c r="H1234" i="2"/>
  <c r="I1233" i="2"/>
  <c r="H1233" i="2"/>
  <c r="I1232" i="2"/>
  <c r="H1232" i="2"/>
  <c r="I1231" i="2"/>
  <c r="H1231" i="2"/>
  <c r="I1230" i="2"/>
  <c r="H1230" i="2"/>
  <c r="I1229" i="2"/>
  <c r="H1229" i="2"/>
  <c r="I1228" i="2"/>
  <c r="H1228" i="2"/>
  <c r="I1227" i="2"/>
  <c r="H1227" i="2"/>
  <c r="I1226" i="2"/>
  <c r="H1226" i="2"/>
  <c r="I1225" i="2"/>
  <c r="H1225" i="2"/>
  <c r="I1224" i="2"/>
  <c r="H1224" i="2"/>
  <c r="I1223" i="2"/>
  <c r="H1223" i="2"/>
  <c r="I1222" i="2"/>
  <c r="H1222" i="2"/>
  <c r="I1221" i="2"/>
  <c r="H1221" i="2"/>
  <c r="I1220" i="2"/>
  <c r="H1220" i="2"/>
  <c r="I1219" i="2"/>
  <c r="H1219" i="2"/>
  <c r="I1218" i="2"/>
  <c r="H1218" i="2"/>
  <c r="I1217" i="2"/>
  <c r="H1217" i="2"/>
  <c r="I1216" i="2"/>
  <c r="H1216" i="2"/>
  <c r="I1215" i="2"/>
  <c r="H1215" i="2"/>
  <c r="I1214" i="2"/>
  <c r="H1214" i="2"/>
  <c r="I1213" i="2"/>
  <c r="H1213" i="2"/>
  <c r="I1212" i="2"/>
  <c r="H1212" i="2"/>
  <c r="I1211" i="2"/>
  <c r="H1211" i="2"/>
  <c r="I1210" i="2"/>
  <c r="H1210" i="2"/>
  <c r="I1209" i="2"/>
  <c r="H1209" i="2"/>
  <c r="I1208" i="2"/>
  <c r="H1208" i="2"/>
  <c r="I1207" i="2"/>
  <c r="H1207" i="2"/>
  <c r="I1206" i="2"/>
  <c r="H1206" i="2"/>
  <c r="I1205" i="2"/>
  <c r="H1205" i="2"/>
  <c r="I1204" i="2"/>
  <c r="H1204" i="2"/>
  <c r="I1203" i="2"/>
  <c r="H1203" i="2"/>
  <c r="I1202" i="2"/>
  <c r="H1202" i="2"/>
  <c r="I1201" i="2"/>
  <c r="H1201" i="2"/>
  <c r="I1200" i="2"/>
  <c r="H1200" i="2"/>
  <c r="I1199" i="2"/>
  <c r="H1199" i="2"/>
  <c r="I1198" i="2"/>
  <c r="H1198" i="2"/>
  <c r="I1197" i="2"/>
  <c r="H1197" i="2"/>
  <c r="I1196" i="2"/>
  <c r="H1196" i="2"/>
  <c r="I1195" i="2"/>
  <c r="H1195" i="2"/>
  <c r="I1194" i="2"/>
  <c r="H1194" i="2"/>
  <c r="I1193" i="2"/>
  <c r="H1193" i="2"/>
  <c r="I1192" i="2"/>
  <c r="H1192" i="2"/>
  <c r="I1191" i="2"/>
  <c r="H1191" i="2"/>
  <c r="I1190" i="2"/>
  <c r="H1190" i="2"/>
  <c r="I1189" i="2"/>
  <c r="H1189" i="2"/>
  <c r="I1188" i="2"/>
  <c r="H1188" i="2"/>
  <c r="I1187" i="2"/>
  <c r="H1187" i="2"/>
  <c r="I1186" i="2"/>
  <c r="H1186" i="2"/>
  <c r="I1185" i="2"/>
  <c r="H1185" i="2"/>
  <c r="I1184" i="2"/>
  <c r="H1184" i="2"/>
  <c r="I1183" i="2"/>
  <c r="H1183" i="2"/>
  <c r="I1182" i="2"/>
  <c r="H1182" i="2"/>
  <c r="I1181" i="2"/>
  <c r="H1181" i="2"/>
  <c r="I1180" i="2"/>
  <c r="H1180" i="2"/>
  <c r="I1179" i="2"/>
  <c r="H1179" i="2"/>
  <c r="I1178" i="2"/>
  <c r="H1178" i="2"/>
  <c r="I1177" i="2"/>
  <c r="H1177" i="2"/>
  <c r="I1176" i="2"/>
  <c r="H1176" i="2"/>
  <c r="I1175" i="2"/>
  <c r="H1175" i="2"/>
  <c r="I1174" i="2"/>
  <c r="H1174" i="2"/>
  <c r="I1173" i="2"/>
  <c r="H1173" i="2"/>
  <c r="I1172" i="2"/>
  <c r="H1172" i="2"/>
  <c r="I1171" i="2"/>
  <c r="H1171" i="2"/>
  <c r="I1170" i="2"/>
  <c r="H1170" i="2"/>
  <c r="I1169" i="2"/>
  <c r="H1169" i="2"/>
  <c r="I1168" i="2"/>
  <c r="H1168" i="2"/>
  <c r="I1167" i="2"/>
  <c r="H1167" i="2"/>
  <c r="I1166" i="2"/>
  <c r="H1166" i="2"/>
  <c r="I1165" i="2"/>
  <c r="H1165" i="2"/>
  <c r="I1164" i="2"/>
  <c r="H1164" i="2"/>
  <c r="I1163" i="2"/>
  <c r="H1163" i="2"/>
  <c r="I1162" i="2"/>
  <c r="H1162" i="2"/>
  <c r="I1161" i="2"/>
  <c r="H1161" i="2"/>
  <c r="I1160" i="2"/>
  <c r="H1160" i="2"/>
  <c r="I1159" i="2"/>
  <c r="H1159" i="2"/>
  <c r="I1158" i="2"/>
  <c r="H1158" i="2"/>
  <c r="I1157" i="2"/>
  <c r="H1157" i="2"/>
  <c r="I1156" i="2"/>
  <c r="H1156" i="2"/>
  <c r="I1155" i="2"/>
  <c r="H1155" i="2"/>
  <c r="I1154" i="2"/>
  <c r="H1154" i="2"/>
  <c r="I1153" i="2"/>
  <c r="H1153" i="2"/>
  <c r="I1152" i="2"/>
  <c r="H1152" i="2"/>
  <c r="I1151" i="2"/>
  <c r="H1151" i="2"/>
  <c r="I1150" i="2"/>
  <c r="H1150" i="2"/>
  <c r="I1149" i="2"/>
  <c r="H1149" i="2"/>
  <c r="I1148" i="2"/>
  <c r="H1148" i="2"/>
  <c r="I1147" i="2"/>
  <c r="H1147" i="2"/>
  <c r="I1146" i="2"/>
  <c r="H1146" i="2"/>
  <c r="I1145" i="2"/>
  <c r="H1145" i="2"/>
  <c r="I1144" i="2"/>
  <c r="H1144" i="2"/>
  <c r="I1143" i="2"/>
  <c r="H1143" i="2"/>
  <c r="I1142" i="2"/>
  <c r="H1142" i="2"/>
  <c r="I1141" i="2"/>
  <c r="H1141" i="2"/>
  <c r="I1140" i="2"/>
  <c r="H1140" i="2"/>
  <c r="I1139" i="2"/>
  <c r="H1139" i="2"/>
  <c r="I1138" i="2"/>
  <c r="H1138" i="2"/>
  <c r="I1137" i="2"/>
  <c r="H1137" i="2"/>
  <c r="I1136" i="2"/>
  <c r="H1136" i="2"/>
  <c r="I1135" i="2"/>
  <c r="H1135" i="2"/>
  <c r="I1134" i="2"/>
  <c r="H1134" i="2"/>
  <c r="I1133" i="2"/>
  <c r="H1133" i="2"/>
  <c r="I1132" i="2"/>
  <c r="H1132" i="2"/>
  <c r="I1131" i="2"/>
  <c r="H1131" i="2"/>
  <c r="I1130" i="2"/>
  <c r="H1130" i="2"/>
  <c r="I1129" i="2"/>
  <c r="H1129" i="2"/>
  <c r="I1128" i="2"/>
  <c r="H1128" i="2"/>
  <c r="I1127" i="2"/>
  <c r="H1127" i="2"/>
  <c r="I1126" i="2"/>
  <c r="H1126" i="2"/>
  <c r="I1125" i="2"/>
  <c r="H1125" i="2"/>
  <c r="I1124" i="2"/>
  <c r="H1124" i="2"/>
  <c r="I1123" i="2"/>
  <c r="H1123" i="2"/>
  <c r="I1122" i="2"/>
  <c r="H1122" i="2"/>
  <c r="I1121" i="2"/>
  <c r="H1121" i="2"/>
  <c r="I1120" i="2"/>
  <c r="H1120" i="2"/>
  <c r="I1119" i="2"/>
  <c r="H1119" i="2"/>
  <c r="I1118" i="2"/>
  <c r="H1118" i="2"/>
  <c r="I1117" i="2"/>
  <c r="H1117" i="2"/>
  <c r="I1116" i="2"/>
  <c r="H1116" i="2"/>
  <c r="I1115" i="2"/>
  <c r="H1115" i="2"/>
  <c r="I1114" i="2"/>
  <c r="H1114" i="2"/>
  <c r="I1113" i="2"/>
  <c r="H1113" i="2"/>
  <c r="I1112" i="2"/>
  <c r="H1112" i="2"/>
  <c r="I1111" i="2"/>
  <c r="H1111" i="2"/>
  <c r="I1110" i="2"/>
  <c r="H1110" i="2"/>
  <c r="I1109" i="2"/>
  <c r="H1109" i="2"/>
  <c r="I1108" i="2"/>
  <c r="H1108" i="2"/>
  <c r="I1107" i="2"/>
  <c r="H1107" i="2"/>
  <c r="I1106" i="2"/>
  <c r="H1106" i="2"/>
  <c r="I1105" i="2"/>
  <c r="H1105" i="2"/>
  <c r="I1104" i="2"/>
  <c r="H1104" i="2"/>
  <c r="I1103" i="2"/>
  <c r="H1103" i="2"/>
  <c r="I1102" i="2"/>
  <c r="H1102" i="2"/>
  <c r="I1101" i="2"/>
  <c r="H1101" i="2"/>
  <c r="I1100" i="2"/>
  <c r="H1100" i="2"/>
  <c r="I1099" i="2"/>
  <c r="H1099" i="2"/>
  <c r="I1098" i="2"/>
  <c r="H1098" i="2"/>
  <c r="I1097" i="2"/>
  <c r="H1097" i="2"/>
  <c r="I1096" i="2"/>
  <c r="H1096" i="2"/>
  <c r="I1095" i="2"/>
  <c r="H1095" i="2"/>
  <c r="I1094" i="2"/>
  <c r="H1094" i="2"/>
  <c r="I1093" i="2"/>
  <c r="H1093" i="2"/>
  <c r="I1092" i="2"/>
  <c r="H1092" i="2"/>
  <c r="I1091" i="2"/>
  <c r="H1091" i="2"/>
  <c r="I1090" i="2"/>
  <c r="H1090" i="2"/>
  <c r="I1089" i="2"/>
  <c r="H1089" i="2"/>
  <c r="I1088" i="2"/>
  <c r="H1088" i="2"/>
  <c r="I1087" i="2"/>
  <c r="H1087" i="2"/>
  <c r="I1086" i="2"/>
  <c r="H1086" i="2"/>
  <c r="I1085" i="2"/>
  <c r="H1085" i="2"/>
  <c r="I1084" i="2"/>
  <c r="H1084" i="2"/>
  <c r="I1083" i="2"/>
  <c r="H1083" i="2"/>
  <c r="I1082" i="2"/>
  <c r="H1082" i="2"/>
  <c r="I1081" i="2"/>
  <c r="H1081" i="2"/>
  <c r="I1080" i="2"/>
  <c r="H1080" i="2"/>
  <c r="I1079" i="2"/>
  <c r="H1079" i="2"/>
  <c r="I1078" i="2"/>
  <c r="H1078" i="2"/>
  <c r="I1077" i="2"/>
  <c r="H1077" i="2"/>
  <c r="I1076" i="2"/>
  <c r="H1076" i="2"/>
  <c r="I1075" i="2"/>
  <c r="H1075" i="2"/>
  <c r="I1074" i="2"/>
  <c r="H1074" i="2"/>
  <c r="I1073" i="2"/>
  <c r="H1073" i="2"/>
  <c r="I1072" i="2"/>
  <c r="H1072" i="2"/>
  <c r="I1071" i="2"/>
  <c r="H1071" i="2"/>
  <c r="I1070" i="2"/>
  <c r="H1070" i="2"/>
  <c r="I1069" i="2"/>
  <c r="H1069" i="2"/>
  <c r="I1068" i="2"/>
  <c r="H1068" i="2"/>
  <c r="I1067" i="2"/>
  <c r="H1067" i="2"/>
  <c r="I1066" i="2"/>
  <c r="H1066" i="2"/>
  <c r="I1065" i="2"/>
  <c r="H1065" i="2"/>
  <c r="I1064" i="2"/>
  <c r="H1064" i="2"/>
  <c r="I1063" i="2"/>
  <c r="H1063" i="2"/>
  <c r="I1062" i="2"/>
  <c r="H1062" i="2"/>
  <c r="I1061" i="2"/>
  <c r="H1061" i="2"/>
  <c r="I1060" i="2"/>
  <c r="H1060" i="2"/>
  <c r="I1059" i="2"/>
  <c r="H1059" i="2"/>
  <c r="I1058" i="2"/>
  <c r="H1058" i="2"/>
  <c r="I1057" i="2"/>
  <c r="H1057" i="2"/>
  <c r="I1056" i="2"/>
  <c r="H1056" i="2"/>
  <c r="I1055" i="2"/>
  <c r="H1055" i="2"/>
  <c r="I1054" i="2"/>
  <c r="H1054" i="2"/>
  <c r="I1053" i="2"/>
  <c r="H1053" i="2"/>
  <c r="I1052" i="2"/>
  <c r="H1052" i="2"/>
  <c r="I1051" i="2"/>
  <c r="H1051" i="2"/>
  <c r="I1050" i="2"/>
  <c r="H1050" i="2"/>
  <c r="I1049" i="2"/>
  <c r="H1049" i="2"/>
  <c r="I1048" i="2"/>
  <c r="H1048" i="2"/>
  <c r="I1047" i="2"/>
  <c r="H1047" i="2"/>
  <c r="I1046" i="2"/>
  <c r="H1046" i="2"/>
  <c r="I1045" i="2"/>
  <c r="H1045" i="2"/>
  <c r="I1044" i="2"/>
  <c r="H1044" i="2"/>
  <c r="I1043" i="2"/>
  <c r="H1043" i="2"/>
  <c r="I1042" i="2"/>
  <c r="H1042" i="2"/>
  <c r="I1041" i="2"/>
  <c r="H1041" i="2"/>
  <c r="I1040" i="2"/>
  <c r="H1040" i="2"/>
  <c r="I1039" i="2"/>
  <c r="H1039" i="2"/>
  <c r="I1038" i="2"/>
  <c r="H1038" i="2"/>
  <c r="I1037" i="2"/>
  <c r="H1037" i="2"/>
  <c r="I1036" i="2"/>
  <c r="H1036" i="2"/>
  <c r="I1035" i="2"/>
  <c r="H1035" i="2"/>
  <c r="I1034" i="2"/>
  <c r="H1034" i="2"/>
  <c r="I1033" i="2"/>
  <c r="H1033" i="2"/>
  <c r="I1032" i="2"/>
  <c r="H1032" i="2"/>
  <c r="I1031" i="2"/>
  <c r="H1031" i="2"/>
  <c r="I1030" i="2"/>
  <c r="H1030" i="2"/>
  <c r="I1029" i="2"/>
  <c r="H1029" i="2"/>
  <c r="I1028" i="2"/>
  <c r="H1028" i="2"/>
  <c r="I1027" i="2"/>
  <c r="H1027" i="2"/>
  <c r="I1026" i="2"/>
  <c r="H1026" i="2"/>
  <c r="I1025" i="2"/>
  <c r="H1025" i="2"/>
  <c r="I1024" i="2"/>
  <c r="H1024" i="2"/>
  <c r="I1023" i="2"/>
  <c r="H1023" i="2"/>
  <c r="I1022" i="2"/>
  <c r="H1022" i="2"/>
  <c r="I1021" i="2"/>
  <c r="H1021" i="2"/>
  <c r="I1020" i="2"/>
  <c r="H1020" i="2"/>
  <c r="I1019" i="2"/>
  <c r="H1019" i="2"/>
  <c r="I1018" i="2"/>
  <c r="H1018" i="2"/>
  <c r="I1017" i="2"/>
  <c r="H1017" i="2"/>
  <c r="I1016" i="2"/>
  <c r="H1016" i="2"/>
  <c r="I1015" i="2"/>
  <c r="H1015" i="2"/>
  <c r="I1014" i="2"/>
  <c r="H1014" i="2"/>
  <c r="I1013" i="2"/>
  <c r="H1013" i="2"/>
  <c r="I1012" i="2"/>
  <c r="H1012" i="2"/>
  <c r="I1011" i="2"/>
  <c r="H1011" i="2"/>
  <c r="I1010" i="2"/>
  <c r="H1010" i="2"/>
  <c r="I1009" i="2"/>
  <c r="H1009" i="2"/>
  <c r="I1008" i="2"/>
  <c r="H1008" i="2"/>
  <c r="I1007" i="2"/>
  <c r="H1007" i="2"/>
  <c r="I1006" i="2"/>
  <c r="H1006" i="2"/>
  <c r="I1005" i="2"/>
  <c r="H1005" i="2"/>
  <c r="I1004" i="2"/>
  <c r="H1004" i="2"/>
  <c r="I1003" i="2"/>
  <c r="H1003" i="2"/>
  <c r="I1002" i="2"/>
  <c r="H1002" i="2"/>
  <c r="I1001" i="2"/>
  <c r="H1001" i="2"/>
  <c r="I1000" i="2"/>
  <c r="H1000" i="2"/>
  <c r="I999" i="2"/>
  <c r="H999" i="2"/>
  <c r="I998" i="2"/>
  <c r="H998" i="2"/>
  <c r="I997" i="2"/>
  <c r="H997" i="2"/>
  <c r="I996" i="2"/>
  <c r="H996" i="2"/>
  <c r="I995" i="2"/>
  <c r="H995" i="2"/>
  <c r="I994" i="2"/>
  <c r="H994" i="2"/>
  <c r="I993" i="2"/>
  <c r="H993" i="2"/>
  <c r="I992" i="2"/>
  <c r="H992" i="2"/>
  <c r="I991" i="2"/>
  <c r="H991" i="2"/>
  <c r="I990" i="2"/>
  <c r="H990" i="2"/>
  <c r="I989" i="2"/>
  <c r="H989" i="2"/>
  <c r="I988" i="2"/>
  <c r="H988" i="2"/>
  <c r="I987" i="2"/>
  <c r="H987" i="2"/>
  <c r="I986" i="2"/>
  <c r="H986" i="2"/>
  <c r="I985" i="2"/>
  <c r="H985" i="2"/>
  <c r="I984" i="2"/>
  <c r="H984" i="2"/>
  <c r="I983" i="2"/>
  <c r="H983" i="2"/>
  <c r="I982" i="2"/>
  <c r="H982" i="2"/>
  <c r="I981" i="2"/>
  <c r="H981" i="2"/>
  <c r="I980" i="2"/>
  <c r="H980" i="2"/>
  <c r="I979" i="2"/>
  <c r="H979" i="2"/>
  <c r="I978" i="2"/>
  <c r="H978" i="2"/>
  <c r="I977" i="2"/>
  <c r="H977" i="2"/>
  <c r="I976" i="2"/>
  <c r="H976" i="2"/>
  <c r="I975" i="2"/>
  <c r="H975" i="2"/>
  <c r="I974" i="2"/>
  <c r="H974" i="2"/>
  <c r="I973" i="2"/>
  <c r="H973" i="2"/>
  <c r="I972" i="2"/>
  <c r="H972" i="2"/>
  <c r="I971" i="2"/>
  <c r="H971" i="2"/>
  <c r="I970" i="2"/>
  <c r="H970" i="2"/>
  <c r="I969" i="2"/>
  <c r="H969" i="2"/>
  <c r="I968" i="2"/>
  <c r="H968" i="2"/>
  <c r="I967" i="2"/>
  <c r="H967" i="2"/>
  <c r="I966" i="2"/>
  <c r="H966" i="2"/>
  <c r="I965" i="2"/>
  <c r="H965" i="2"/>
  <c r="I964" i="2"/>
  <c r="H964" i="2"/>
  <c r="I963" i="2"/>
  <c r="H963" i="2"/>
  <c r="I962" i="2"/>
  <c r="H962" i="2"/>
  <c r="I961" i="2"/>
  <c r="H961" i="2"/>
  <c r="I960" i="2"/>
  <c r="H960" i="2"/>
  <c r="I959" i="2"/>
  <c r="H959" i="2"/>
  <c r="I958" i="2"/>
  <c r="H958" i="2"/>
  <c r="I957" i="2"/>
  <c r="H957" i="2"/>
  <c r="I956" i="2"/>
  <c r="H956" i="2"/>
  <c r="I955" i="2"/>
  <c r="H955" i="2"/>
  <c r="I954" i="2"/>
  <c r="H954" i="2"/>
  <c r="I953" i="2"/>
  <c r="H953" i="2"/>
  <c r="I952" i="2"/>
  <c r="H952" i="2"/>
  <c r="I951" i="2"/>
  <c r="H951" i="2"/>
  <c r="I950" i="2"/>
  <c r="H950" i="2"/>
  <c r="I949" i="2"/>
  <c r="H949" i="2"/>
  <c r="I948" i="2"/>
  <c r="H948" i="2"/>
  <c r="I947" i="2"/>
  <c r="H947" i="2"/>
  <c r="I946" i="2"/>
  <c r="H946" i="2"/>
  <c r="I945" i="2"/>
  <c r="H945" i="2"/>
  <c r="I944" i="2"/>
  <c r="H944" i="2"/>
  <c r="I943" i="2"/>
  <c r="H943" i="2"/>
  <c r="I942" i="2"/>
  <c r="H942" i="2"/>
  <c r="I941" i="2"/>
  <c r="H941" i="2"/>
  <c r="I940" i="2"/>
  <c r="H940" i="2"/>
  <c r="I939" i="2"/>
  <c r="H939" i="2"/>
  <c r="I938" i="2"/>
  <c r="H938" i="2"/>
  <c r="I937" i="2"/>
  <c r="H937" i="2"/>
  <c r="I936" i="2"/>
  <c r="H936" i="2"/>
  <c r="I935" i="2"/>
  <c r="H935" i="2"/>
  <c r="I934" i="2"/>
  <c r="H934" i="2"/>
  <c r="I933" i="2"/>
  <c r="H933" i="2"/>
  <c r="I932" i="2"/>
  <c r="H932" i="2"/>
  <c r="I931" i="2"/>
  <c r="H931" i="2"/>
  <c r="I930" i="2"/>
  <c r="H930" i="2"/>
  <c r="I929" i="2"/>
  <c r="H929" i="2"/>
  <c r="I928" i="2"/>
  <c r="H928" i="2"/>
  <c r="I927" i="2"/>
  <c r="H927" i="2"/>
  <c r="I926" i="2"/>
  <c r="H926" i="2"/>
  <c r="I925" i="2"/>
  <c r="H925" i="2"/>
  <c r="I924" i="2"/>
  <c r="H924" i="2"/>
  <c r="I923" i="2"/>
  <c r="H923" i="2"/>
  <c r="I922" i="2"/>
  <c r="H922" i="2"/>
  <c r="I921" i="2"/>
  <c r="H921" i="2"/>
  <c r="I920" i="2"/>
  <c r="H920" i="2"/>
  <c r="I919" i="2"/>
  <c r="H919" i="2"/>
  <c r="I918" i="2"/>
  <c r="H918" i="2"/>
  <c r="I917" i="2"/>
  <c r="H917" i="2"/>
  <c r="I916" i="2"/>
  <c r="H916" i="2"/>
  <c r="I915" i="2"/>
  <c r="H915" i="2"/>
  <c r="I914" i="2"/>
  <c r="H914" i="2"/>
  <c r="I913" i="2"/>
  <c r="H913" i="2"/>
  <c r="I912" i="2"/>
  <c r="H912" i="2"/>
  <c r="I911" i="2"/>
  <c r="H911" i="2"/>
  <c r="I910" i="2"/>
  <c r="H910" i="2"/>
  <c r="I909" i="2"/>
  <c r="H909" i="2"/>
  <c r="I908" i="2"/>
  <c r="H908" i="2"/>
  <c r="I907" i="2"/>
  <c r="H907" i="2"/>
  <c r="I906" i="2"/>
  <c r="H906" i="2"/>
  <c r="I905" i="2"/>
  <c r="H905" i="2"/>
  <c r="I904" i="2"/>
  <c r="H904" i="2"/>
  <c r="I903" i="2"/>
  <c r="H903" i="2"/>
  <c r="I902" i="2"/>
  <c r="H902" i="2"/>
  <c r="I901" i="2"/>
  <c r="H901" i="2"/>
  <c r="I900" i="2"/>
  <c r="H900" i="2"/>
  <c r="I899" i="2"/>
  <c r="H899" i="2"/>
  <c r="I898" i="2"/>
  <c r="H898" i="2"/>
  <c r="I897" i="2"/>
  <c r="H897" i="2"/>
  <c r="I896" i="2"/>
  <c r="H896" i="2"/>
  <c r="I895" i="2"/>
  <c r="H895" i="2"/>
  <c r="I894" i="2"/>
  <c r="H894" i="2"/>
  <c r="I893" i="2"/>
  <c r="H893" i="2"/>
  <c r="I892" i="2"/>
  <c r="H892" i="2"/>
  <c r="I891" i="2"/>
  <c r="H891" i="2"/>
  <c r="I890" i="2"/>
  <c r="H890" i="2"/>
  <c r="I889" i="2"/>
  <c r="H889" i="2"/>
  <c r="I888" i="2"/>
  <c r="H888" i="2"/>
  <c r="I887" i="2"/>
  <c r="H887" i="2"/>
  <c r="I886" i="2"/>
  <c r="H886" i="2"/>
  <c r="I885" i="2"/>
  <c r="H885" i="2"/>
  <c r="I884" i="2"/>
  <c r="H884" i="2"/>
  <c r="I883" i="2"/>
  <c r="H883" i="2"/>
  <c r="I882" i="2"/>
  <c r="H882" i="2"/>
  <c r="I881" i="2"/>
  <c r="H881" i="2"/>
  <c r="I880" i="2"/>
  <c r="H880" i="2"/>
  <c r="I879" i="2"/>
  <c r="H879" i="2"/>
  <c r="I878" i="2"/>
  <c r="H878" i="2"/>
  <c r="I877" i="2"/>
  <c r="H877" i="2"/>
  <c r="I876" i="2"/>
  <c r="H876" i="2"/>
  <c r="I875" i="2"/>
  <c r="H875" i="2"/>
  <c r="I874" i="2"/>
  <c r="H874" i="2"/>
  <c r="I873" i="2"/>
  <c r="H873" i="2"/>
  <c r="I872" i="2"/>
  <c r="H872" i="2"/>
  <c r="I871" i="2"/>
  <c r="H871" i="2"/>
  <c r="I870" i="2"/>
  <c r="H870" i="2"/>
  <c r="I869" i="2"/>
  <c r="H869" i="2"/>
  <c r="I868" i="2"/>
  <c r="H868" i="2"/>
  <c r="I867" i="2"/>
  <c r="H867" i="2"/>
  <c r="I866" i="2"/>
  <c r="H866" i="2"/>
  <c r="I865" i="2"/>
  <c r="H865" i="2"/>
  <c r="I864" i="2"/>
  <c r="H864" i="2"/>
  <c r="I863" i="2"/>
  <c r="H863" i="2"/>
  <c r="I862" i="2"/>
  <c r="H862" i="2"/>
  <c r="I861" i="2"/>
  <c r="H861" i="2"/>
  <c r="I860" i="2"/>
  <c r="H860" i="2"/>
  <c r="I859" i="2"/>
  <c r="H859" i="2"/>
  <c r="I858" i="2"/>
  <c r="H858" i="2"/>
  <c r="I857" i="2"/>
  <c r="H857" i="2"/>
  <c r="I856" i="2"/>
  <c r="H856" i="2"/>
  <c r="I855" i="2"/>
  <c r="H855" i="2"/>
  <c r="I854" i="2"/>
  <c r="H854" i="2"/>
  <c r="I853" i="2"/>
  <c r="H853" i="2"/>
  <c r="I852" i="2"/>
  <c r="H852" i="2"/>
  <c r="I851" i="2"/>
  <c r="H851" i="2"/>
  <c r="I850" i="2"/>
  <c r="H850" i="2"/>
  <c r="I849" i="2"/>
  <c r="H849" i="2"/>
  <c r="I848" i="2"/>
  <c r="H848" i="2"/>
  <c r="I847" i="2"/>
  <c r="H847" i="2"/>
  <c r="I846" i="2"/>
  <c r="H846" i="2"/>
  <c r="I845" i="2"/>
  <c r="H845" i="2"/>
  <c r="I844" i="2"/>
  <c r="H844" i="2"/>
  <c r="I843" i="2"/>
  <c r="H843" i="2"/>
  <c r="I842" i="2"/>
  <c r="H842" i="2"/>
  <c r="I841" i="2"/>
  <c r="H841" i="2"/>
  <c r="I840" i="2"/>
  <c r="H840" i="2"/>
  <c r="I839" i="2"/>
  <c r="H839" i="2"/>
  <c r="I838" i="2"/>
  <c r="H838" i="2"/>
  <c r="I837" i="2"/>
  <c r="H837" i="2"/>
  <c r="I836" i="2"/>
  <c r="H836" i="2"/>
  <c r="I835" i="2"/>
  <c r="H835" i="2"/>
  <c r="I834" i="2"/>
  <c r="H834" i="2"/>
  <c r="I833" i="2"/>
  <c r="H833" i="2"/>
  <c r="I832" i="2"/>
  <c r="H832" i="2"/>
  <c r="I831" i="2"/>
  <c r="H831" i="2"/>
  <c r="I830" i="2"/>
  <c r="H830" i="2"/>
  <c r="I829" i="2"/>
  <c r="H829" i="2"/>
  <c r="I828" i="2"/>
  <c r="H828" i="2"/>
  <c r="I827" i="2"/>
  <c r="H827" i="2"/>
  <c r="I826" i="2"/>
  <c r="H826" i="2"/>
  <c r="I825" i="2"/>
  <c r="H825" i="2"/>
  <c r="I824" i="2"/>
  <c r="H824" i="2"/>
  <c r="I823" i="2"/>
  <c r="H823" i="2"/>
  <c r="I822" i="2"/>
  <c r="H822" i="2"/>
  <c r="I821" i="2"/>
  <c r="H821" i="2"/>
  <c r="I820" i="2"/>
  <c r="H820" i="2"/>
  <c r="I819" i="2"/>
  <c r="H819" i="2"/>
  <c r="I818" i="2"/>
  <c r="H818" i="2"/>
  <c r="I817" i="2"/>
  <c r="H817" i="2"/>
  <c r="I816" i="2"/>
  <c r="H816" i="2"/>
  <c r="I815" i="2"/>
  <c r="H815" i="2"/>
  <c r="I814" i="2"/>
  <c r="H814" i="2"/>
  <c r="I813" i="2"/>
  <c r="H813" i="2"/>
  <c r="I812" i="2"/>
  <c r="H812" i="2"/>
  <c r="I811" i="2"/>
  <c r="H811" i="2"/>
  <c r="I810" i="2"/>
  <c r="H810" i="2"/>
  <c r="I809" i="2"/>
  <c r="H809" i="2"/>
  <c r="I808" i="2"/>
  <c r="H808" i="2"/>
  <c r="I807" i="2"/>
  <c r="H807" i="2"/>
  <c r="I806" i="2"/>
  <c r="H806" i="2"/>
  <c r="I805" i="2"/>
  <c r="H805" i="2"/>
  <c r="I804" i="2"/>
  <c r="H804" i="2"/>
  <c r="I803" i="2"/>
  <c r="H803" i="2"/>
  <c r="I802" i="2"/>
  <c r="H802" i="2"/>
  <c r="I801" i="2"/>
  <c r="H801" i="2"/>
  <c r="I800" i="2"/>
  <c r="H800" i="2"/>
  <c r="I799" i="2"/>
  <c r="H799" i="2"/>
  <c r="I798" i="2"/>
  <c r="H798" i="2"/>
  <c r="I797" i="2"/>
  <c r="H797" i="2"/>
  <c r="I796" i="2"/>
  <c r="H796" i="2"/>
  <c r="I795" i="2"/>
  <c r="H795" i="2"/>
  <c r="I794" i="2"/>
  <c r="H794" i="2"/>
  <c r="I793" i="2"/>
  <c r="H793" i="2"/>
  <c r="I792" i="2"/>
  <c r="H792" i="2"/>
  <c r="I791" i="2"/>
  <c r="H791" i="2"/>
  <c r="I790" i="2"/>
  <c r="H790" i="2"/>
  <c r="I789" i="2"/>
  <c r="H789" i="2"/>
  <c r="I788" i="2"/>
  <c r="H788" i="2"/>
  <c r="I787" i="2"/>
  <c r="H787" i="2"/>
  <c r="I786" i="2"/>
  <c r="H786" i="2"/>
  <c r="I785" i="2"/>
  <c r="H785" i="2"/>
  <c r="I784" i="2"/>
  <c r="H784" i="2"/>
  <c r="I783" i="2"/>
  <c r="H783" i="2"/>
  <c r="I782" i="2"/>
  <c r="H782" i="2"/>
  <c r="I781" i="2"/>
  <c r="H781" i="2"/>
  <c r="I780" i="2"/>
  <c r="H780" i="2"/>
  <c r="I779" i="2"/>
  <c r="H779" i="2"/>
  <c r="I778" i="2"/>
  <c r="H778" i="2"/>
  <c r="I777" i="2"/>
  <c r="H777" i="2"/>
  <c r="I776" i="2"/>
  <c r="H776" i="2"/>
  <c r="I775" i="2"/>
  <c r="H775" i="2"/>
  <c r="I774" i="2"/>
  <c r="H774" i="2"/>
  <c r="I773" i="2"/>
  <c r="H773" i="2"/>
  <c r="I772" i="2"/>
  <c r="H772" i="2"/>
  <c r="I771" i="2"/>
  <c r="H771" i="2"/>
  <c r="I770" i="2"/>
  <c r="H770" i="2"/>
  <c r="I769" i="2"/>
  <c r="H769" i="2"/>
  <c r="I768" i="2"/>
  <c r="H768" i="2"/>
  <c r="I767" i="2"/>
  <c r="H767" i="2"/>
  <c r="I766" i="2"/>
  <c r="H766" i="2"/>
  <c r="I765" i="2"/>
  <c r="H765" i="2"/>
  <c r="I764" i="2"/>
  <c r="H764" i="2"/>
  <c r="I763" i="2"/>
  <c r="H763" i="2"/>
  <c r="I762" i="2"/>
  <c r="H762" i="2"/>
  <c r="I761" i="2"/>
  <c r="H761" i="2"/>
  <c r="I760" i="2"/>
  <c r="H760" i="2"/>
  <c r="I759" i="2"/>
  <c r="H759" i="2"/>
  <c r="I758" i="2"/>
  <c r="H758" i="2"/>
  <c r="I757" i="2"/>
  <c r="H757" i="2"/>
  <c r="I756" i="2"/>
  <c r="H756" i="2"/>
  <c r="I755" i="2"/>
  <c r="H755" i="2"/>
  <c r="I754" i="2"/>
  <c r="H754" i="2"/>
  <c r="I753" i="2"/>
  <c r="H753" i="2"/>
  <c r="I752" i="2"/>
  <c r="H752" i="2"/>
  <c r="I751" i="2"/>
  <c r="H751" i="2"/>
  <c r="I750" i="2"/>
  <c r="H750" i="2"/>
  <c r="I749" i="2"/>
  <c r="H749" i="2"/>
  <c r="I748" i="2"/>
  <c r="H748" i="2"/>
  <c r="I747" i="2"/>
  <c r="H747" i="2"/>
  <c r="I746" i="2"/>
  <c r="H746" i="2"/>
  <c r="I745" i="2"/>
  <c r="H745" i="2"/>
  <c r="I744" i="2"/>
  <c r="H744" i="2"/>
  <c r="I743" i="2"/>
  <c r="H743" i="2"/>
  <c r="I742" i="2"/>
  <c r="H742" i="2"/>
  <c r="I741" i="2"/>
  <c r="H741" i="2"/>
  <c r="I740" i="2"/>
  <c r="H740" i="2"/>
  <c r="I739" i="2"/>
  <c r="H739" i="2"/>
  <c r="I738" i="2"/>
  <c r="H738" i="2"/>
  <c r="I737" i="2"/>
  <c r="H737" i="2"/>
  <c r="I736" i="2"/>
  <c r="H736" i="2"/>
  <c r="I735" i="2"/>
  <c r="H735" i="2"/>
  <c r="I734" i="2"/>
  <c r="H734" i="2"/>
  <c r="I733" i="2"/>
  <c r="H733" i="2"/>
  <c r="I732" i="2"/>
  <c r="H732" i="2"/>
  <c r="I731" i="2"/>
  <c r="H731" i="2"/>
  <c r="I730" i="2"/>
  <c r="H730" i="2"/>
  <c r="I729" i="2"/>
  <c r="H729" i="2"/>
  <c r="I728" i="2"/>
  <c r="H728" i="2"/>
  <c r="I727" i="2"/>
  <c r="H727" i="2"/>
  <c r="I726" i="2"/>
  <c r="H726" i="2"/>
  <c r="I725" i="2"/>
  <c r="H725" i="2"/>
  <c r="I724" i="2"/>
  <c r="H724" i="2"/>
  <c r="I723" i="2"/>
  <c r="H723" i="2"/>
  <c r="I722" i="2"/>
  <c r="H722" i="2"/>
  <c r="I721" i="2"/>
  <c r="H721" i="2"/>
  <c r="I720" i="2"/>
  <c r="H720" i="2"/>
  <c r="I719" i="2"/>
  <c r="H719" i="2"/>
  <c r="I718" i="2"/>
  <c r="H718" i="2"/>
  <c r="I717" i="2"/>
  <c r="H717" i="2"/>
  <c r="I716" i="2"/>
  <c r="H716" i="2"/>
  <c r="I715" i="2"/>
  <c r="H715" i="2"/>
  <c r="I714" i="2"/>
  <c r="H714" i="2"/>
  <c r="I713" i="2"/>
  <c r="H713" i="2"/>
  <c r="I712" i="2"/>
  <c r="H712" i="2"/>
  <c r="I711" i="2"/>
  <c r="H711" i="2"/>
  <c r="I710" i="2"/>
  <c r="H710" i="2"/>
  <c r="I709" i="2"/>
  <c r="H709" i="2"/>
  <c r="I708" i="2"/>
  <c r="H708" i="2"/>
  <c r="I707" i="2"/>
  <c r="H707" i="2"/>
  <c r="I706" i="2"/>
  <c r="H706" i="2"/>
  <c r="I705" i="2"/>
  <c r="H705" i="2"/>
  <c r="I704" i="2"/>
  <c r="H704" i="2"/>
  <c r="I703" i="2"/>
  <c r="H703" i="2"/>
  <c r="I702" i="2"/>
  <c r="H702" i="2"/>
  <c r="I701" i="2"/>
  <c r="H701" i="2"/>
  <c r="I700" i="2"/>
  <c r="H700" i="2"/>
  <c r="I699" i="2"/>
  <c r="H699" i="2"/>
  <c r="I698" i="2"/>
  <c r="H698" i="2"/>
  <c r="I697" i="2"/>
  <c r="H697" i="2"/>
  <c r="I696" i="2"/>
  <c r="H696" i="2"/>
  <c r="I695" i="2"/>
  <c r="H695" i="2"/>
  <c r="I694" i="2"/>
  <c r="H694" i="2"/>
  <c r="I693" i="2"/>
  <c r="H693" i="2"/>
  <c r="I692" i="2"/>
  <c r="H692" i="2"/>
  <c r="I691" i="2"/>
  <c r="H691" i="2"/>
  <c r="I690" i="2"/>
  <c r="H690" i="2"/>
  <c r="I689" i="2"/>
  <c r="H689" i="2"/>
  <c r="I688" i="2"/>
  <c r="H688" i="2"/>
  <c r="I687" i="2"/>
  <c r="H687" i="2"/>
  <c r="I686" i="2"/>
  <c r="H686" i="2"/>
  <c r="I685" i="2"/>
  <c r="H685" i="2"/>
  <c r="I684" i="2"/>
  <c r="H684" i="2"/>
  <c r="I683" i="2"/>
  <c r="H683" i="2"/>
  <c r="I682" i="2"/>
  <c r="H682" i="2"/>
  <c r="I681" i="2"/>
  <c r="H681" i="2"/>
  <c r="I680" i="2"/>
  <c r="H680" i="2"/>
  <c r="I679" i="2"/>
  <c r="H679" i="2"/>
  <c r="I678" i="2"/>
  <c r="H678" i="2"/>
  <c r="I677" i="2"/>
  <c r="H677" i="2"/>
  <c r="I676" i="2"/>
  <c r="H676" i="2"/>
  <c r="I675" i="2"/>
  <c r="H675" i="2"/>
  <c r="I674" i="2"/>
  <c r="H674" i="2"/>
  <c r="I673" i="2"/>
  <c r="H673" i="2"/>
  <c r="I672" i="2"/>
  <c r="H672" i="2"/>
  <c r="I671" i="2"/>
  <c r="H671" i="2"/>
  <c r="I670" i="2"/>
  <c r="H670" i="2"/>
  <c r="I669" i="2"/>
  <c r="H669" i="2"/>
  <c r="I668" i="2"/>
  <c r="H668" i="2"/>
  <c r="I667" i="2"/>
  <c r="H667" i="2"/>
  <c r="I666" i="2"/>
  <c r="H666" i="2"/>
  <c r="I665" i="2"/>
  <c r="H665" i="2"/>
  <c r="I664" i="2"/>
  <c r="H664" i="2"/>
  <c r="I663" i="2"/>
  <c r="H663" i="2"/>
  <c r="I662" i="2"/>
  <c r="H662" i="2"/>
  <c r="I661" i="2"/>
  <c r="H661" i="2"/>
  <c r="I660" i="2"/>
  <c r="H660" i="2"/>
  <c r="I659" i="2"/>
  <c r="H659" i="2"/>
  <c r="I658" i="2"/>
  <c r="H658" i="2"/>
  <c r="I657" i="2"/>
  <c r="H657" i="2"/>
  <c r="I656" i="2"/>
  <c r="H656" i="2"/>
  <c r="I655" i="2"/>
  <c r="H655" i="2"/>
  <c r="I654" i="2"/>
  <c r="H654" i="2"/>
  <c r="I653" i="2"/>
  <c r="H653" i="2"/>
  <c r="I652" i="2"/>
  <c r="H652" i="2"/>
  <c r="I651" i="2"/>
  <c r="H651" i="2"/>
  <c r="I650" i="2"/>
  <c r="H650" i="2"/>
  <c r="I649" i="2"/>
  <c r="H649" i="2"/>
  <c r="I648" i="2"/>
  <c r="H648" i="2"/>
  <c r="I647" i="2"/>
  <c r="H647" i="2"/>
  <c r="I646" i="2"/>
  <c r="H646" i="2"/>
  <c r="I645" i="2"/>
  <c r="H645" i="2"/>
  <c r="I644" i="2"/>
  <c r="H644" i="2"/>
  <c r="I643" i="2"/>
  <c r="H643" i="2"/>
  <c r="I642" i="2"/>
  <c r="H642" i="2"/>
  <c r="I641" i="2"/>
  <c r="H641" i="2"/>
  <c r="I640" i="2"/>
  <c r="H640" i="2"/>
  <c r="I639" i="2"/>
  <c r="H639" i="2"/>
  <c r="I638" i="2"/>
  <c r="H638" i="2"/>
  <c r="I637" i="2"/>
  <c r="H637" i="2"/>
  <c r="I636" i="2"/>
  <c r="H636" i="2"/>
  <c r="I635" i="2"/>
  <c r="H635" i="2"/>
  <c r="I634" i="2"/>
  <c r="H634" i="2"/>
  <c r="I633" i="2"/>
  <c r="H633" i="2"/>
  <c r="I632" i="2"/>
  <c r="H632" i="2"/>
  <c r="I631" i="2"/>
  <c r="H631" i="2"/>
  <c r="I630" i="2"/>
  <c r="H630" i="2"/>
  <c r="I629" i="2"/>
  <c r="H629" i="2"/>
  <c r="I628" i="2"/>
  <c r="H628" i="2"/>
  <c r="I627" i="2"/>
  <c r="H627" i="2"/>
  <c r="I626" i="2"/>
  <c r="H626" i="2"/>
  <c r="I625" i="2"/>
  <c r="H625" i="2"/>
  <c r="I624" i="2"/>
  <c r="H624" i="2"/>
  <c r="I623" i="2"/>
  <c r="H623" i="2"/>
  <c r="I622" i="2"/>
  <c r="H622" i="2"/>
  <c r="I621" i="2"/>
  <c r="H621" i="2"/>
  <c r="I620" i="2"/>
  <c r="H620" i="2"/>
  <c r="I619" i="2"/>
  <c r="H619" i="2"/>
  <c r="I618" i="2"/>
  <c r="H618" i="2"/>
  <c r="I617" i="2"/>
  <c r="H617" i="2"/>
  <c r="I616" i="2"/>
  <c r="H616" i="2"/>
  <c r="I615" i="2"/>
  <c r="H615" i="2"/>
  <c r="I614" i="2"/>
  <c r="H614" i="2"/>
  <c r="I613" i="2"/>
  <c r="H613" i="2"/>
  <c r="I612" i="2"/>
  <c r="H612" i="2"/>
  <c r="I611" i="2"/>
  <c r="H611" i="2"/>
  <c r="I610" i="2"/>
  <c r="H610" i="2"/>
  <c r="I609" i="2"/>
  <c r="H609" i="2"/>
  <c r="I608" i="2"/>
  <c r="H608" i="2"/>
  <c r="I607" i="2"/>
  <c r="H607" i="2"/>
  <c r="I606" i="2"/>
  <c r="H606" i="2"/>
  <c r="I605" i="2"/>
  <c r="H605" i="2"/>
  <c r="I604" i="2"/>
  <c r="H604" i="2"/>
  <c r="I603" i="2"/>
  <c r="H603" i="2"/>
  <c r="I602" i="2"/>
  <c r="H602" i="2"/>
  <c r="I601" i="2"/>
  <c r="H601" i="2"/>
  <c r="I600" i="2"/>
  <c r="H600" i="2"/>
  <c r="I599" i="2"/>
  <c r="H599" i="2"/>
  <c r="I598" i="2"/>
  <c r="H598" i="2"/>
  <c r="I597" i="2"/>
  <c r="H597" i="2"/>
  <c r="I596" i="2"/>
  <c r="H596" i="2"/>
  <c r="I595" i="2"/>
  <c r="H595" i="2"/>
  <c r="I594" i="2"/>
  <c r="H594" i="2"/>
  <c r="I593" i="2"/>
  <c r="H593" i="2"/>
  <c r="I592" i="2"/>
  <c r="H592" i="2"/>
  <c r="I591" i="2"/>
  <c r="H591" i="2"/>
  <c r="I590" i="2"/>
  <c r="H590" i="2"/>
  <c r="I589" i="2"/>
  <c r="H589" i="2"/>
  <c r="I588" i="2"/>
  <c r="H588" i="2"/>
  <c r="I587" i="2"/>
  <c r="H587" i="2"/>
  <c r="I586" i="2"/>
  <c r="H586" i="2"/>
  <c r="I585" i="2"/>
  <c r="H585" i="2"/>
  <c r="I584" i="2"/>
  <c r="H584" i="2"/>
  <c r="I583" i="2"/>
  <c r="H583" i="2"/>
  <c r="I582" i="2"/>
  <c r="H582" i="2"/>
  <c r="I581" i="2"/>
  <c r="H581" i="2"/>
  <c r="I580" i="2"/>
  <c r="H580" i="2"/>
  <c r="I579" i="2"/>
  <c r="H579" i="2"/>
  <c r="I578" i="2"/>
  <c r="H578" i="2"/>
  <c r="I577" i="2"/>
  <c r="H577" i="2"/>
  <c r="I576" i="2"/>
  <c r="H576" i="2"/>
  <c r="I575" i="2"/>
  <c r="H575" i="2"/>
  <c r="I574" i="2"/>
  <c r="H574" i="2"/>
  <c r="I573" i="2"/>
  <c r="H573" i="2"/>
  <c r="I572" i="2"/>
  <c r="H572" i="2"/>
  <c r="I571" i="2"/>
  <c r="H571" i="2"/>
  <c r="I570" i="2"/>
  <c r="H570" i="2"/>
  <c r="I569" i="2"/>
  <c r="H569" i="2"/>
  <c r="I568" i="2"/>
  <c r="H568" i="2"/>
  <c r="I567" i="2"/>
  <c r="H567" i="2"/>
  <c r="I566" i="2"/>
  <c r="H566" i="2"/>
  <c r="I565" i="2"/>
  <c r="H565" i="2"/>
  <c r="I564" i="2"/>
  <c r="H564" i="2"/>
  <c r="I563" i="2"/>
  <c r="H563" i="2"/>
  <c r="I562" i="2"/>
  <c r="H562" i="2"/>
  <c r="I561" i="2"/>
  <c r="H561" i="2"/>
  <c r="I560" i="2"/>
  <c r="H560" i="2"/>
  <c r="I559" i="2"/>
  <c r="H559" i="2"/>
  <c r="I558" i="2"/>
  <c r="H558" i="2"/>
  <c r="I557" i="2"/>
  <c r="H557" i="2"/>
  <c r="I556" i="2"/>
  <c r="H556" i="2"/>
  <c r="I555" i="2"/>
  <c r="H555" i="2"/>
  <c r="I554" i="2"/>
  <c r="H554" i="2"/>
  <c r="I553" i="2"/>
  <c r="H553" i="2"/>
  <c r="I552" i="2"/>
  <c r="H552" i="2"/>
  <c r="I551" i="2"/>
  <c r="H551" i="2"/>
  <c r="I550" i="2"/>
  <c r="H550" i="2"/>
  <c r="I549" i="2"/>
  <c r="H549" i="2"/>
  <c r="I548" i="2"/>
  <c r="H548" i="2"/>
  <c r="I547" i="2"/>
  <c r="H547" i="2"/>
  <c r="I546" i="2"/>
  <c r="H546" i="2"/>
  <c r="I545" i="2"/>
  <c r="H545" i="2"/>
  <c r="I544" i="2"/>
  <c r="H544" i="2"/>
  <c r="I543" i="2"/>
  <c r="H543" i="2"/>
  <c r="I542" i="2"/>
  <c r="H542" i="2"/>
  <c r="I541" i="2"/>
  <c r="H541" i="2"/>
  <c r="I540" i="2"/>
  <c r="H540" i="2"/>
  <c r="I539" i="2"/>
  <c r="H539" i="2"/>
  <c r="I538" i="2"/>
  <c r="H538" i="2"/>
  <c r="I537" i="2"/>
  <c r="H537" i="2"/>
  <c r="I536" i="2"/>
  <c r="H536" i="2"/>
  <c r="I535" i="2"/>
  <c r="H535" i="2"/>
  <c r="I534" i="2"/>
  <c r="H534" i="2"/>
  <c r="I533" i="2"/>
  <c r="H533" i="2"/>
  <c r="I532" i="2"/>
  <c r="H532" i="2"/>
  <c r="I531" i="2"/>
  <c r="H531" i="2"/>
  <c r="I530" i="2"/>
  <c r="H530" i="2"/>
  <c r="I529" i="2"/>
  <c r="H529" i="2"/>
  <c r="I528" i="2"/>
  <c r="H528" i="2"/>
  <c r="I527" i="2"/>
  <c r="H527" i="2"/>
  <c r="I526" i="2"/>
  <c r="H526" i="2"/>
  <c r="I525" i="2"/>
  <c r="H525" i="2"/>
  <c r="I524" i="2"/>
  <c r="H524" i="2"/>
  <c r="I523" i="2"/>
  <c r="H523" i="2"/>
  <c r="I522" i="2"/>
  <c r="H522" i="2"/>
  <c r="I521" i="2"/>
  <c r="H521" i="2"/>
  <c r="I520" i="2"/>
  <c r="H520" i="2"/>
  <c r="I519" i="2"/>
  <c r="H519" i="2"/>
  <c r="I518" i="2"/>
  <c r="H518" i="2"/>
  <c r="I517" i="2"/>
  <c r="H517" i="2"/>
  <c r="I516" i="2"/>
  <c r="H516" i="2"/>
  <c r="I515" i="2"/>
  <c r="H515" i="2"/>
  <c r="I514" i="2"/>
  <c r="H514" i="2"/>
  <c r="I513" i="2"/>
  <c r="H513" i="2"/>
  <c r="I512" i="2"/>
  <c r="H512" i="2"/>
  <c r="I511" i="2"/>
  <c r="H511" i="2"/>
  <c r="I510" i="2"/>
  <c r="H510" i="2"/>
  <c r="I509" i="2"/>
  <c r="H509" i="2"/>
  <c r="I508" i="2"/>
  <c r="H508" i="2"/>
  <c r="I507" i="2"/>
  <c r="H507" i="2"/>
  <c r="I506" i="2"/>
  <c r="H506" i="2"/>
  <c r="I505" i="2"/>
  <c r="H505" i="2"/>
  <c r="I504" i="2"/>
  <c r="H504" i="2"/>
  <c r="I503" i="2"/>
  <c r="H503" i="2"/>
  <c r="I502" i="2"/>
  <c r="H502" i="2"/>
  <c r="I501" i="2"/>
  <c r="H501" i="2"/>
  <c r="I500" i="2"/>
  <c r="H500" i="2"/>
  <c r="I499" i="2"/>
  <c r="H499" i="2"/>
  <c r="I498" i="2"/>
  <c r="H498" i="2"/>
  <c r="I497" i="2"/>
  <c r="H497" i="2"/>
  <c r="I496" i="2"/>
  <c r="H496" i="2"/>
  <c r="I495" i="2"/>
  <c r="H495" i="2"/>
  <c r="I494" i="2"/>
  <c r="H494" i="2"/>
  <c r="I493" i="2"/>
  <c r="H493" i="2"/>
  <c r="I492" i="2"/>
  <c r="H492" i="2"/>
  <c r="I491" i="2"/>
  <c r="H491" i="2"/>
  <c r="I490" i="2"/>
  <c r="H490" i="2"/>
  <c r="I489" i="2"/>
  <c r="H489" i="2"/>
  <c r="I488" i="2"/>
  <c r="H488" i="2"/>
  <c r="I487" i="2"/>
  <c r="H487" i="2"/>
  <c r="I486" i="2"/>
  <c r="H486" i="2"/>
  <c r="I485" i="2"/>
  <c r="H485" i="2"/>
  <c r="I484" i="2"/>
  <c r="H484" i="2"/>
  <c r="I483" i="2"/>
  <c r="H483" i="2"/>
  <c r="I482" i="2"/>
  <c r="H482" i="2"/>
  <c r="I481" i="2"/>
  <c r="H481" i="2"/>
  <c r="I480" i="2"/>
  <c r="H480" i="2"/>
  <c r="I479" i="2"/>
  <c r="H479" i="2"/>
  <c r="I478" i="2"/>
  <c r="H478" i="2"/>
  <c r="I477" i="2"/>
  <c r="H477" i="2"/>
  <c r="I476" i="2"/>
  <c r="H476" i="2"/>
  <c r="I475" i="2"/>
  <c r="H475" i="2"/>
  <c r="I474" i="2"/>
  <c r="H474" i="2"/>
  <c r="I473" i="2"/>
  <c r="H473" i="2"/>
  <c r="I472" i="2"/>
  <c r="H472" i="2"/>
  <c r="I471" i="2"/>
  <c r="H471" i="2"/>
  <c r="I470" i="2"/>
  <c r="H470" i="2"/>
  <c r="I469" i="2"/>
  <c r="H469" i="2"/>
  <c r="I468" i="2"/>
  <c r="H468" i="2"/>
  <c r="I467" i="2"/>
  <c r="H467" i="2"/>
  <c r="I466" i="2"/>
  <c r="H466" i="2"/>
  <c r="I465" i="2"/>
  <c r="H465" i="2"/>
  <c r="I464" i="2"/>
  <c r="H464" i="2"/>
  <c r="I463" i="2"/>
  <c r="H463" i="2"/>
  <c r="I462" i="2"/>
  <c r="H462" i="2"/>
  <c r="I461" i="2"/>
  <c r="H461" i="2"/>
  <c r="I460" i="2"/>
  <c r="H460" i="2"/>
  <c r="I459" i="2"/>
  <c r="H459" i="2"/>
  <c r="I458" i="2"/>
  <c r="H458" i="2"/>
  <c r="I457" i="2"/>
  <c r="H457" i="2"/>
  <c r="I456" i="2"/>
  <c r="H456" i="2"/>
  <c r="I455" i="2"/>
  <c r="H455" i="2"/>
  <c r="I454" i="2"/>
  <c r="H454" i="2"/>
  <c r="I453" i="2"/>
  <c r="H453" i="2"/>
  <c r="I452" i="2"/>
  <c r="H452" i="2"/>
  <c r="I451" i="2"/>
  <c r="H451" i="2"/>
  <c r="I450" i="2"/>
  <c r="H450" i="2"/>
  <c r="I449" i="2"/>
  <c r="H449" i="2"/>
  <c r="I448" i="2"/>
  <c r="H448" i="2"/>
  <c r="I447" i="2"/>
  <c r="H447" i="2"/>
  <c r="I446" i="2"/>
  <c r="H446" i="2"/>
  <c r="I445" i="2"/>
  <c r="H445" i="2"/>
  <c r="I444" i="2"/>
  <c r="H444" i="2"/>
  <c r="I443" i="2"/>
  <c r="H443" i="2"/>
  <c r="I442" i="2"/>
  <c r="H442" i="2"/>
  <c r="I441" i="2"/>
  <c r="H441" i="2"/>
  <c r="I440" i="2"/>
  <c r="H440" i="2"/>
  <c r="I439" i="2"/>
  <c r="H439" i="2"/>
  <c r="I438" i="2"/>
  <c r="H438" i="2"/>
  <c r="I437" i="2"/>
  <c r="H437" i="2"/>
  <c r="I436" i="2"/>
  <c r="H436" i="2"/>
  <c r="I435" i="2"/>
  <c r="H435" i="2"/>
  <c r="I434" i="2"/>
  <c r="H434" i="2"/>
  <c r="I433" i="2"/>
  <c r="H433" i="2"/>
  <c r="I432" i="2"/>
  <c r="H432" i="2"/>
  <c r="I431" i="2"/>
  <c r="H431" i="2"/>
  <c r="I430" i="2"/>
  <c r="H430" i="2"/>
  <c r="I429" i="2"/>
  <c r="H429" i="2"/>
  <c r="I428" i="2"/>
  <c r="H428" i="2"/>
  <c r="I427" i="2"/>
  <c r="H427" i="2"/>
  <c r="I426" i="2"/>
  <c r="H426" i="2"/>
  <c r="I425" i="2"/>
  <c r="H425" i="2"/>
  <c r="I424" i="2"/>
  <c r="H424" i="2"/>
  <c r="I423" i="2"/>
  <c r="H423" i="2"/>
  <c r="I422" i="2"/>
  <c r="H422" i="2"/>
  <c r="I421" i="2"/>
  <c r="H421" i="2"/>
  <c r="I420" i="2"/>
  <c r="H420" i="2"/>
  <c r="I419" i="2"/>
  <c r="H419" i="2"/>
  <c r="I418" i="2"/>
  <c r="H418" i="2"/>
  <c r="I417" i="2"/>
  <c r="H417" i="2"/>
  <c r="I416" i="2"/>
  <c r="H416" i="2"/>
  <c r="I415" i="2"/>
  <c r="H415" i="2"/>
  <c r="I414" i="2"/>
  <c r="H414" i="2"/>
  <c r="I413" i="2"/>
  <c r="H413" i="2"/>
  <c r="I412" i="2"/>
  <c r="H412" i="2"/>
  <c r="I411" i="2"/>
  <c r="H411" i="2"/>
  <c r="I410" i="2"/>
  <c r="H410" i="2"/>
  <c r="I409" i="2"/>
  <c r="H409" i="2"/>
  <c r="I408" i="2"/>
  <c r="H408" i="2"/>
  <c r="I407" i="2"/>
  <c r="H407" i="2"/>
  <c r="I406" i="2"/>
  <c r="H406" i="2"/>
  <c r="I405" i="2"/>
  <c r="H405" i="2"/>
  <c r="I404" i="2"/>
  <c r="H404" i="2"/>
  <c r="I403" i="2"/>
  <c r="H403" i="2"/>
  <c r="I402" i="2"/>
  <c r="H402" i="2"/>
  <c r="I401" i="2"/>
  <c r="H401" i="2"/>
  <c r="I400" i="2"/>
  <c r="H400" i="2"/>
  <c r="I399" i="2"/>
  <c r="H399" i="2"/>
  <c r="I398" i="2"/>
  <c r="H398" i="2"/>
  <c r="I397" i="2"/>
  <c r="H397" i="2"/>
  <c r="I396" i="2"/>
  <c r="H396" i="2"/>
  <c r="I395" i="2"/>
  <c r="H395" i="2"/>
  <c r="I394" i="2"/>
  <c r="H394" i="2"/>
  <c r="I393" i="2"/>
  <c r="H393" i="2"/>
  <c r="I392" i="2"/>
  <c r="H392" i="2"/>
  <c r="I391" i="2"/>
  <c r="H391" i="2"/>
  <c r="I390" i="2"/>
  <c r="H390" i="2"/>
  <c r="I389" i="2"/>
  <c r="H389" i="2"/>
  <c r="I388" i="2"/>
  <c r="H388" i="2"/>
  <c r="I387" i="2"/>
  <c r="H387" i="2"/>
  <c r="I386" i="2"/>
  <c r="H386" i="2"/>
  <c r="I385" i="2"/>
  <c r="H385" i="2"/>
  <c r="I384" i="2"/>
  <c r="H384" i="2"/>
  <c r="I383" i="2"/>
  <c r="H383" i="2"/>
  <c r="I382" i="2"/>
  <c r="H382" i="2"/>
  <c r="I381" i="2"/>
  <c r="H381" i="2"/>
  <c r="I380" i="2"/>
  <c r="H380" i="2"/>
  <c r="I379" i="2"/>
  <c r="H379" i="2"/>
  <c r="I378" i="2"/>
  <c r="H378" i="2"/>
  <c r="I377" i="2"/>
  <c r="H377" i="2"/>
  <c r="I376" i="2"/>
  <c r="H376" i="2"/>
  <c r="I375" i="2"/>
  <c r="H375" i="2"/>
  <c r="I374" i="2"/>
  <c r="H374" i="2"/>
  <c r="I373" i="2"/>
  <c r="H373" i="2"/>
  <c r="I372" i="2"/>
  <c r="H372" i="2"/>
  <c r="I371" i="2"/>
  <c r="H371" i="2"/>
  <c r="I370" i="2"/>
  <c r="H370" i="2"/>
  <c r="I369" i="2"/>
  <c r="H369" i="2"/>
  <c r="I368" i="2"/>
  <c r="H368" i="2"/>
  <c r="I367" i="2"/>
  <c r="H367" i="2"/>
  <c r="I366" i="2"/>
  <c r="H366" i="2"/>
  <c r="I365" i="2"/>
  <c r="H365" i="2"/>
  <c r="I364" i="2"/>
  <c r="H364" i="2"/>
  <c r="I363" i="2"/>
  <c r="H363" i="2"/>
  <c r="I362" i="2"/>
  <c r="H362" i="2"/>
  <c r="I361" i="2"/>
  <c r="H361" i="2"/>
  <c r="I360" i="2"/>
  <c r="H360" i="2"/>
  <c r="I359" i="2"/>
  <c r="H359" i="2"/>
  <c r="I358" i="2"/>
  <c r="H358" i="2"/>
  <c r="I357" i="2"/>
  <c r="H357" i="2"/>
  <c r="H356" i="2"/>
  <c r="I355" i="2"/>
  <c r="H355" i="2"/>
  <c r="I354" i="2"/>
  <c r="H354" i="2"/>
  <c r="I353" i="2"/>
  <c r="H353" i="2"/>
  <c r="I352" i="2"/>
  <c r="H352" i="2"/>
  <c r="I351" i="2"/>
  <c r="H351" i="2"/>
  <c r="I350" i="2"/>
  <c r="H350" i="2"/>
  <c r="I349" i="2"/>
  <c r="H349" i="2"/>
  <c r="I348" i="2"/>
  <c r="H348" i="2"/>
  <c r="I347" i="2"/>
  <c r="H347" i="2"/>
  <c r="I346" i="2"/>
  <c r="H346" i="2"/>
  <c r="I345" i="2"/>
  <c r="H345" i="2"/>
  <c r="I344" i="2"/>
  <c r="H344" i="2"/>
  <c r="I343" i="2"/>
  <c r="H343" i="2"/>
  <c r="I342" i="2"/>
  <c r="H342" i="2"/>
  <c r="I341" i="2"/>
  <c r="H341" i="2"/>
  <c r="I340" i="2"/>
  <c r="H340" i="2"/>
  <c r="I339" i="2"/>
  <c r="H339" i="2"/>
  <c r="I338" i="2"/>
  <c r="H338" i="2"/>
  <c r="I337" i="2"/>
  <c r="H337" i="2"/>
  <c r="I336" i="2"/>
  <c r="H336" i="2"/>
  <c r="I335" i="2"/>
  <c r="H335" i="2"/>
  <c r="I334" i="2"/>
  <c r="H334" i="2"/>
  <c r="I333" i="2"/>
  <c r="H333" i="2"/>
  <c r="I332" i="2"/>
  <c r="H332" i="2"/>
  <c r="I331" i="2"/>
  <c r="H331" i="2"/>
  <c r="I330" i="2"/>
  <c r="H330" i="2"/>
  <c r="I329" i="2"/>
  <c r="H329" i="2"/>
  <c r="I328" i="2"/>
  <c r="H328" i="2"/>
  <c r="I327" i="2"/>
  <c r="H327" i="2"/>
  <c r="I326" i="2"/>
  <c r="H326" i="2"/>
  <c r="I325" i="2"/>
  <c r="H325" i="2"/>
  <c r="I324" i="2"/>
  <c r="H324" i="2"/>
  <c r="I323" i="2"/>
  <c r="H323" i="2"/>
  <c r="I322" i="2"/>
  <c r="H322" i="2"/>
  <c r="I321" i="2"/>
  <c r="H321" i="2"/>
  <c r="I320" i="2"/>
  <c r="H320" i="2"/>
  <c r="I319" i="2"/>
  <c r="H319" i="2"/>
  <c r="I318" i="2"/>
  <c r="H318" i="2"/>
  <c r="I317" i="2"/>
  <c r="H317" i="2"/>
  <c r="I316" i="2"/>
  <c r="H316" i="2"/>
  <c r="I315" i="2"/>
  <c r="H315" i="2"/>
  <c r="I314" i="2"/>
  <c r="H314" i="2"/>
  <c r="I313" i="2"/>
  <c r="H313" i="2"/>
  <c r="I312" i="2"/>
  <c r="H312" i="2"/>
  <c r="I311" i="2"/>
  <c r="H311" i="2"/>
  <c r="I310" i="2"/>
  <c r="H310" i="2"/>
  <c r="I309" i="2"/>
  <c r="H309" i="2"/>
  <c r="I308" i="2"/>
  <c r="H308" i="2"/>
  <c r="I307" i="2"/>
  <c r="H307" i="2"/>
  <c r="I306" i="2"/>
  <c r="H306" i="2"/>
  <c r="I305" i="2"/>
  <c r="H305" i="2"/>
  <c r="I304" i="2"/>
  <c r="H304" i="2"/>
  <c r="I303" i="2"/>
  <c r="H303" i="2"/>
  <c r="I302" i="2"/>
  <c r="H302" i="2"/>
  <c r="I301" i="2"/>
  <c r="H301" i="2"/>
  <c r="I300" i="2"/>
  <c r="H300" i="2"/>
  <c r="I299" i="2"/>
  <c r="H299" i="2"/>
  <c r="I298" i="2"/>
  <c r="H298" i="2"/>
  <c r="I297" i="2"/>
  <c r="H297" i="2"/>
  <c r="I296" i="2"/>
  <c r="H296" i="2"/>
  <c r="I295" i="2"/>
  <c r="H295" i="2"/>
  <c r="I294" i="2"/>
  <c r="H294" i="2"/>
  <c r="I293" i="2"/>
  <c r="H293" i="2"/>
  <c r="I292" i="2"/>
  <c r="H292" i="2"/>
  <c r="I291" i="2"/>
  <c r="H291" i="2"/>
  <c r="I290" i="2"/>
  <c r="H290" i="2"/>
  <c r="I289" i="2"/>
  <c r="H289" i="2"/>
  <c r="I288" i="2"/>
  <c r="H288" i="2"/>
  <c r="I287" i="2"/>
  <c r="H287" i="2"/>
  <c r="I286" i="2"/>
  <c r="H286" i="2"/>
  <c r="I285" i="2"/>
  <c r="H285" i="2"/>
  <c r="I284" i="2"/>
  <c r="H284" i="2"/>
  <c r="I283" i="2"/>
  <c r="H283" i="2"/>
  <c r="I282" i="2"/>
  <c r="H282" i="2"/>
  <c r="I281" i="2"/>
  <c r="H281" i="2"/>
  <c r="I280" i="2"/>
  <c r="H280" i="2"/>
  <c r="I279" i="2"/>
  <c r="H279" i="2"/>
  <c r="I278" i="2"/>
  <c r="H278" i="2"/>
  <c r="I277" i="2"/>
  <c r="H277" i="2"/>
  <c r="I276" i="2"/>
  <c r="H276" i="2"/>
  <c r="I275" i="2"/>
  <c r="H275" i="2"/>
  <c r="I274" i="2"/>
  <c r="H274" i="2"/>
  <c r="I273" i="2"/>
  <c r="H273" i="2"/>
  <c r="I272" i="2"/>
  <c r="H272" i="2"/>
  <c r="I271" i="2"/>
  <c r="H271" i="2"/>
  <c r="I270" i="2"/>
  <c r="H270" i="2"/>
  <c r="I269" i="2"/>
  <c r="H269" i="2"/>
  <c r="I268" i="2"/>
  <c r="H268" i="2"/>
  <c r="I267" i="2"/>
  <c r="H267" i="2"/>
  <c r="I266" i="2"/>
  <c r="H266" i="2"/>
  <c r="I265" i="2"/>
  <c r="H265" i="2"/>
  <c r="I264" i="2"/>
  <c r="H264" i="2"/>
  <c r="I263" i="2"/>
  <c r="H263" i="2"/>
  <c r="I262" i="2"/>
  <c r="H262" i="2"/>
  <c r="I261" i="2"/>
  <c r="H261" i="2"/>
  <c r="I260" i="2"/>
  <c r="H260" i="2"/>
  <c r="I259" i="2"/>
  <c r="H259" i="2"/>
  <c r="I258" i="2"/>
  <c r="H258" i="2"/>
  <c r="I257" i="2"/>
  <c r="H257" i="2"/>
  <c r="I256" i="2"/>
  <c r="H256" i="2"/>
  <c r="I255" i="2"/>
  <c r="H255" i="2"/>
  <c r="I254" i="2"/>
  <c r="H254" i="2"/>
  <c r="I253" i="2"/>
  <c r="H253" i="2"/>
  <c r="I252" i="2"/>
  <c r="H252" i="2"/>
  <c r="I251" i="2"/>
  <c r="H251" i="2"/>
  <c r="I250" i="2"/>
  <c r="H250" i="2"/>
  <c r="I249" i="2"/>
  <c r="H249" i="2"/>
  <c r="I248" i="2"/>
  <c r="H248" i="2"/>
  <c r="I247" i="2"/>
  <c r="H247" i="2"/>
  <c r="I246" i="2"/>
  <c r="H246" i="2"/>
  <c r="I245" i="2"/>
  <c r="H245" i="2"/>
  <c r="I244" i="2"/>
  <c r="H244" i="2"/>
  <c r="I243" i="2"/>
  <c r="H243" i="2"/>
  <c r="I242" i="2"/>
  <c r="H242" i="2"/>
  <c r="I241" i="2"/>
  <c r="H241" i="2"/>
  <c r="I240" i="2"/>
  <c r="H240" i="2"/>
  <c r="I239" i="2"/>
  <c r="H239" i="2"/>
  <c r="I238" i="2"/>
  <c r="H238" i="2"/>
  <c r="I237" i="2"/>
  <c r="H237" i="2"/>
  <c r="I236" i="2"/>
  <c r="H236" i="2"/>
  <c r="I235" i="2"/>
  <c r="H235" i="2"/>
  <c r="I234" i="2"/>
  <c r="H234" i="2"/>
  <c r="I233" i="2"/>
  <c r="H233" i="2"/>
  <c r="I232" i="2"/>
  <c r="H232" i="2"/>
  <c r="I231" i="2"/>
  <c r="H231" i="2"/>
  <c r="I230" i="2"/>
  <c r="H230" i="2"/>
  <c r="I229" i="2"/>
  <c r="H229" i="2"/>
  <c r="I228" i="2"/>
  <c r="H228" i="2"/>
  <c r="I227" i="2"/>
  <c r="H227" i="2"/>
  <c r="I226" i="2"/>
  <c r="H226" i="2"/>
  <c r="I225" i="2"/>
  <c r="H225" i="2"/>
  <c r="I224" i="2"/>
  <c r="H224" i="2"/>
  <c r="I223" i="2"/>
  <c r="H223" i="2"/>
  <c r="I222" i="2"/>
  <c r="H222" i="2"/>
  <c r="I221" i="2"/>
  <c r="H221" i="2"/>
  <c r="I220" i="2"/>
  <c r="H220" i="2"/>
  <c r="I219" i="2"/>
  <c r="H219" i="2"/>
  <c r="I218" i="2"/>
  <c r="H218" i="2"/>
  <c r="I217" i="2"/>
  <c r="H217" i="2"/>
  <c r="I216" i="2"/>
  <c r="H216" i="2"/>
  <c r="I215" i="2"/>
  <c r="H215" i="2"/>
  <c r="I214" i="2"/>
  <c r="H214" i="2"/>
  <c r="I213" i="2"/>
  <c r="H213" i="2"/>
  <c r="I212" i="2"/>
  <c r="H212" i="2"/>
  <c r="I211" i="2"/>
  <c r="H211" i="2"/>
  <c r="I210" i="2"/>
  <c r="H210" i="2"/>
  <c r="I209" i="2"/>
  <c r="H209" i="2"/>
  <c r="I208" i="2"/>
  <c r="H208" i="2"/>
  <c r="I207" i="2"/>
  <c r="H207" i="2"/>
  <c r="I206" i="2"/>
  <c r="H206" i="2"/>
  <c r="I205" i="2"/>
  <c r="H205" i="2"/>
  <c r="I204" i="2"/>
  <c r="H204" i="2"/>
  <c r="I203" i="2"/>
  <c r="H203" i="2"/>
  <c r="I202" i="2"/>
  <c r="H202" i="2"/>
  <c r="I201" i="2"/>
  <c r="H201" i="2"/>
  <c r="I200" i="2"/>
  <c r="H200" i="2"/>
  <c r="I199" i="2"/>
  <c r="H199" i="2"/>
  <c r="I198" i="2"/>
  <c r="H198" i="2"/>
  <c r="I197" i="2"/>
  <c r="H197" i="2"/>
  <c r="I196" i="2"/>
  <c r="H196" i="2"/>
  <c r="I195" i="2"/>
  <c r="H195" i="2"/>
  <c r="I194" i="2"/>
  <c r="H194" i="2"/>
  <c r="I193" i="2"/>
  <c r="H193" i="2"/>
  <c r="I192" i="2"/>
  <c r="H192" i="2"/>
  <c r="I191" i="2"/>
  <c r="H191" i="2"/>
  <c r="I190" i="2"/>
  <c r="H190" i="2"/>
  <c r="I189" i="2"/>
  <c r="H189" i="2"/>
  <c r="I188" i="2"/>
  <c r="H188" i="2"/>
  <c r="I187" i="2"/>
  <c r="H187" i="2"/>
  <c r="I186" i="2"/>
  <c r="H186" i="2"/>
  <c r="I185" i="2"/>
  <c r="H185" i="2"/>
  <c r="I184" i="2"/>
  <c r="H184" i="2"/>
  <c r="I183" i="2"/>
  <c r="H183" i="2"/>
  <c r="I182" i="2"/>
  <c r="H182" i="2"/>
  <c r="I181" i="2"/>
  <c r="H181" i="2"/>
  <c r="I180" i="2"/>
  <c r="H180" i="2"/>
  <c r="I179" i="2"/>
  <c r="H179" i="2"/>
  <c r="I178" i="2"/>
  <c r="H178" i="2"/>
  <c r="I177" i="2"/>
  <c r="H177" i="2"/>
  <c r="I176" i="2"/>
  <c r="H176" i="2"/>
  <c r="I175" i="2"/>
  <c r="H175" i="2"/>
  <c r="I174" i="2"/>
  <c r="H174" i="2"/>
  <c r="I173" i="2"/>
  <c r="H173" i="2"/>
  <c r="I172" i="2"/>
  <c r="H172" i="2"/>
  <c r="I171" i="2"/>
  <c r="H171" i="2"/>
  <c r="I170" i="2"/>
  <c r="H170" i="2"/>
  <c r="I169" i="2"/>
  <c r="H169" i="2"/>
  <c r="I168" i="2"/>
  <c r="H168" i="2"/>
  <c r="I167" i="2"/>
  <c r="H167" i="2"/>
  <c r="I166" i="2"/>
  <c r="H166" i="2"/>
  <c r="I165" i="2"/>
  <c r="H165" i="2"/>
  <c r="I164" i="2"/>
  <c r="H164" i="2"/>
  <c r="I163" i="2"/>
  <c r="H163" i="2"/>
  <c r="I162" i="2"/>
  <c r="H162" i="2"/>
  <c r="I161" i="2"/>
  <c r="H161" i="2"/>
  <c r="I160" i="2"/>
  <c r="H160" i="2"/>
  <c r="I159" i="2"/>
  <c r="H159" i="2"/>
  <c r="I158" i="2"/>
  <c r="H158" i="2"/>
  <c r="I157" i="2"/>
  <c r="H157" i="2"/>
  <c r="I156" i="2"/>
  <c r="H156" i="2"/>
  <c r="I155" i="2"/>
  <c r="H155" i="2"/>
  <c r="I154" i="2"/>
  <c r="H154" i="2"/>
  <c r="I153" i="2"/>
  <c r="H153" i="2"/>
  <c r="I152" i="2"/>
  <c r="H152" i="2"/>
  <c r="I151" i="2"/>
  <c r="H151" i="2"/>
  <c r="I150" i="2"/>
  <c r="H150" i="2"/>
  <c r="I149" i="2"/>
  <c r="H149" i="2"/>
  <c r="I148" i="2"/>
  <c r="H148" i="2"/>
  <c r="I147" i="2"/>
  <c r="H147" i="2"/>
  <c r="I146" i="2"/>
  <c r="H146" i="2"/>
  <c r="I145" i="2"/>
  <c r="H145" i="2"/>
  <c r="I144" i="2"/>
  <c r="H144" i="2"/>
  <c r="I143" i="2"/>
  <c r="H143" i="2"/>
  <c r="I142" i="2"/>
  <c r="H142" i="2"/>
  <c r="I141" i="2"/>
  <c r="H141" i="2"/>
  <c r="I140" i="2"/>
  <c r="H140" i="2"/>
  <c r="I139" i="2"/>
  <c r="H139" i="2"/>
  <c r="I138" i="2"/>
  <c r="H138" i="2"/>
  <c r="I137" i="2"/>
  <c r="H137" i="2"/>
  <c r="I136" i="2"/>
  <c r="H136" i="2"/>
  <c r="I135" i="2"/>
  <c r="H135" i="2"/>
  <c r="I134" i="2"/>
  <c r="H134" i="2"/>
  <c r="I133" i="2"/>
  <c r="H133" i="2"/>
  <c r="I132" i="2"/>
  <c r="H132" i="2"/>
  <c r="I131" i="2"/>
  <c r="H131" i="2"/>
  <c r="I130" i="2"/>
  <c r="H130" i="2"/>
  <c r="I129" i="2"/>
  <c r="H129" i="2"/>
  <c r="I128" i="2"/>
  <c r="H128" i="2"/>
  <c r="I127" i="2"/>
  <c r="H127" i="2"/>
  <c r="I126" i="2"/>
  <c r="H126" i="2"/>
  <c r="I125" i="2"/>
  <c r="H125" i="2"/>
  <c r="I124" i="2"/>
  <c r="H124" i="2"/>
  <c r="I123" i="2"/>
  <c r="H123" i="2"/>
  <c r="I122" i="2"/>
  <c r="H122" i="2"/>
  <c r="I121" i="2"/>
  <c r="H121" i="2"/>
  <c r="I120" i="2"/>
  <c r="H120" i="2"/>
  <c r="I119" i="2"/>
  <c r="H119" i="2"/>
  <c r="I118" i="2"/>
  <c r="H118" i="2"/>
  <c r="I117" i="2"/>
  <c r="H117" i="2"/>
  <c r="I116" i="2"/>
  <c r="H116" i="2"/>
  <c r="I115" i="2"/>
  <c r="H115" i="2"/>
  <c r="I114" i="2"/>
  <c r="H114" i="2"/>
  <c r="I113" i="2"/>
  <c r="H113" i="2"/>
  <c r="I112" i="2"/>
  <c r="H112" i="2"/>
  <c r="I111" i="2"/>
  <c r="H111" i="2"/>
  <c r="I110" i="2"/>
  <c r="H110" i="2"/>
  <c r="I109" i="2"/>
  <c r="H109" i="2"/>
  <c r="I108" i="2"/>
  <c r="H108" i="2"/>
  <c r="I107" i="2"/>
  <c r="H107" i="2"/>
  <c r="I106" i="2"/>
  <c r="H106" i="2"/>
  <c r="I105" i="2"/>
  <c r="H105" i="2"/>
  <c r="I104" i="2"/>
  <c r="H104" i="2"/>
  <c r="I103" i="2"/>
  <c r="H103" i="2"/>
  <c r="I102" i="2"/>
  <c r="H102" i="2"/>
  <c r="I101" i="2"/>
  <c r="H101" i="2"/>
  <c r="I100" i="2"/>
  <c r="H100" i="2"/>
  <c r="I99" i="2"/>
  <c r="H99" i="2"/>
  <c r="I98" i="2"/>
  <c r="H98" i="2"/>
  <c r="I97" i="2"/>
  <c r="H97" i="2"/>
  <c r="I96" i="2"/>
  <c r="H96" i="2"/>
  <c r="I95" i="2"/>
  <c r="H95" i="2"/>
  <c r="I94" i="2"/>
  <c r="H94" i="2"/>
  <c r="I93" i="2"/>
  <c r="H93" i="2"/>
  <c r="I92" i="2"/>
  <c r="H92" i="2"/>
  <c r="I91" i="2"/>
  <c r="H91" i="2"/>
  <c r="I90" i="2"/>
  <c r="H90" i="2"/>
  <c r="I89" i="2"/>
  <c r="H89" i="2"/>
  <c r="I88" i="2"/>
  <c r="H88" i="2"/>
  <c r="I87" i="2"/>
  <c r="H87" i="2"/>
  <c r="I86" i="2"/>
  <c r="H86" i="2"/>
  <c r="I85" i="2"/>
  <c r="H85" i="2"/>
  <c r="I84" i="2"/>
  <c r="H84" i="2"/>
  <c r="I83" i="2"/>
  <c r="H83" i="2"/>
  <c r="I82" i="2"/>
  <c r="H82" i="2"/>
  <c r="I81" i="2"/>
  <c r="H81" i="2"/>
  <c r="I80" i="2"/>
  <c r="H80" i="2"/>
  <c r="I79" i="2"/>
  <c r="H79" i="2"/>
  <c r="I78" i="2"/>
  <c r="H78" i="2"/>
  <c r="I77" i="2"/>
  <c r="H77" i="2"/>
  <c r="I76" i="2"/>
  <c r="H76" i="2"/>
  <c r="I75" i="2"/>
  <c r="H75" i="2"/>
  <c r="I74" i="2"/>
  <c r="H74" i="2"/>
  <c r="I73" i="2"/>
  <c r="H73" i="2"/>
  <c r="I72" i="2"/>
  <c r="H72" i="2"/>
  <c r="I71" i="2"/>
  <c r="H71" i="2"/>
  <c r="I70" i="2"/>
  <c r="H70" i="2"/>
  <c r="I69" i="2"/>
  <c r="H69" i="2"/>
  <c r="I68" i="2"/>
  <c r="H68" i="2"/>
  <c r="I67" i="2"/>
  <c r="H67" i="2"/>
  <c r="I66" i="2"/>
  <c r="H66" i="2"/>
  <c r="I65" i="2"/>
  <c r="H65" i="2"/>
  <c r="I64" i="2"/>
  <c r="H64" i="2"/>
  <c r="I63" i="2"/>
  <c r="H63" i="2"/>
  <c r="I62" i="2"/>
  <c r="H62" i="2"/>
  <c r="I61" i="2"/>
  <c r="H61" i="2"/>
  <c r="I60" i="2"/>
  <c r="H60" i="2"/>
  <c r="I59" i="2"/>
  <c r="H59" i="2"/>
  <c r="I58" i="2"/>
  <c r="H58" i="2"/>
  <c r="I57" i="2"/>
  <c r="H57" i="2"/>
  <c r="I56" i="2"/>
  <c r="H56" i="2"/>
  <c r="I55" i="2"/>
  <c r="H55" i="2"/>
  <c r="I54" i="2"/>
  <c r="H54" i="2"/>
  <c r="I53" i="2"/>
  <c r="H53" i="2"/>
  <c r="I52" i="2"/>
  <c r="H52" i="2"/>
  <c r="I51" i="2"/>
  <c r="H51" i="2"/>
  <c r="I50" i="2"/>
  <c r="H50" i="2"/>
  <c r="I49" i="2"/>
  <c r="H49" i="2"/>
  <c r="I48" i="2"/>
  <c r="H48" i="2"/>
  <c r="I47" i="2"/>
  <c r="H47" i="2"/>
  <c r="I46" i="2"/>
  <c r="H46" i="2"/>
  <c r="I45" i="2"/>
  <c r="H45" i="2"/>
  <c r="I44" i="2"/>
  <c r="H44" i="2"/>
  <c r="I43" i="2"/>
  <c r="H43" i="2"/>
  <c r="I42" i="2"/>
  <c r="H42" i="2"/>
  <c r="I41" i="2"/>
  <c r="H41" i="2"/>
  <c r="I40" i="2"/>
  <c r="H40" i="2"/>
  <c r="I39" i="2"/>
  <c r="H39" i="2"/>
  <c r="I38" i="2"/>
  <c r="H38" i="2"/>
  <c r="I37" i="2"/>
  <c r="H37" i="2"/>
  <c r="I36" i="2"/>
  <c r="H36" i="2"/>
  <c r="I35" i="2"/>
  <c r="H35" i="2"/>
  <c r="I34" i="2"/>
  <c r="H34" i="2"/>
  <c r="I33" i="2"/>
  <c r="H33" i="2"/>
  <c r="I32" i="2"/>
  <c r="H32" i="2"/>
  <c r="I31" i="2"/>
  <c r="H31" i="2"/>
  <c r="I30" i="2"/>
  <c r="H30" i="2"/>
  <c r="I29" i="2"/>
  <c r="H29" i="2"/>
  <c r="I28" i="2"/>
  <c r="H28" i="2"/>
  <c r="I27" i="2"/>
  <c r="H27" i="2"/>
  <c r="I26" i="2"/>
  <c r="H26" i="2"/>
  <c r="I25" i="2"/>
  <c r="H25" i="2"/>
  <c r="I24" i="2"/>
  <c r="H24" i="2"/>
  <c r="I23" i="2"/>
  <c r="H23" i="2"/>
  <c r="I22" i="2"/>
  <c r="H22" i="2"/>
  <c r="I21" i="2"/>
  <c r="H21" i="2"/>
  <c r="I20" i="2"/>
  <c r="H20" i="2"/>
  <c r="I19" i="2"/>
  <c r="H19" i="2"/>
  <c r="I18" i="2"/>
  <c r="H18" i="2"/>
  <c r="I17" i="2"/>
  <c r="H17" i="2"/>
  <c r="I16" i="2"/>
  <c r="H16" i="2"/>
  <c r="I15" i="2"/>
  <c r="H15" i="2"/>
  <c r="I14" i="2"/>
  <c r="H14" i="2"/>
  <c r="I13" i="2"/>
  <c r="H13" i="2"/>
  <c r="I12" i="2"/>
  <c r="H12" i="2"/>
  <c r="I11" i="2"/>
  <c r="H11" i="2"/>
  <c r="I10" i="2"/>
  <c r="H10" i="2"/>
  <c r="I9" i="2"/>
  <c r="H9" i="2"/>
  <c r="I8" i="2"/>
  <c r="H8" i="2"/>
  <c r="I7" i="2"/>
  <c r="H7" i="2"/>
  <c r="I6" i="2"/>
  <c r="H6" i="2"/>
  <c r="I5" i="2"/>
  <c r="H5" i="2"/>
  <c r="E4998" i="1"/>
  <c r="I4996" i="1"/>
  <c r="H4996" i="1"/>
  <c r="I4995" i="1"/>
  <c r="H4995" i="1"/>
  <c r="I4994" i="1"/>
  <c r="H4994" i="1"/>
  <c r="I4993" i="1"/>
  <c r="H4993" i="1"/>
  <c r="I4992" i="1"/>
  <c r="H4992" i="1"/>
  <c r="I4991" i="1"/>
  <c r="H4991" i="1"/>
  <c r="I4990" i="1"/>
  <c r="H4990" i="1"/>
  <c r="I4989" i="1"/>
  <c r="H4989" i="1"/>
  <c r="I4988" i="1"/>
  <c r="H4988" i="1"/>
  <c r="I4987" i="1"/>
  <c r="H4987" i="1"/>
  <c r="I4986" i="1"/>
  <c r="H4986" i="1"/>
  <c r="I4985" i="1"/>
  <c r="H4985" i="1"/>
  <c r="I4984" i="1"/>
  <c r="H4984" i="1"/>
  <c r="I4983" i="1"/>
  <c r="H4983" i="1"/>
  <c r="I4982" i="1"/>
  <c r="H4982" i="1"/>
  <c r="I4981" i="1"/>
  <c r="H4981" i="1"/>
  <c r="I4980" i="1"/>
  <c r="H4980" i="1"/>
  <c r="I4979" i="1"/>
  <c r="H4979" i="1"/>
  <c r="I4978" i="1"/>
  <c r="H4978" i="1"/>
  <c r="I4977" i="1"/>
  <c r="H4977" i="1"/>
  <c r="I4976" i="1"/>
  <c r="H4976" i="1"/>
  <c r="I4975" i="1"/>
  <c r="H4975" i="1"/>
  <c r="I4974" i="1"/>
  <c r="H4974" i="1"/>
  <c r="I4973" i="1"/>
  <c r="H4973" i="1"/>
  <c r="I4972" i="1"/>
  <c r="H4972" i="1"/>
  <c r="I4971" i="1"/>
  <c r="H4971" i="1"/>
  <c r="I4970" i="1"/>
  <c r="H4970" i="1"/>
  <c r="I4969" i="1"/>
  <c r="H4969" i="1"/>
  <c r="I4968" i="1"/>
  <c r="H4968" i="1"/>
  <c r="I4967" i="1"/>
  <c r="H4967" i="1"/>
  <c r="I4966" i="1"/>
  <c r="H4966" i="1"/>
  <c r="I4965" i="1"/>
  <c r="H4965" i="1"/>
  <c r="I4964" i="1"/>
  <c r="H4964" i="1"/>
  <c r="I4963" i="1"/>
  <c r="H4963" i="1"/>
  <c r="I4962" i="1"/>
  <c r="H4962" i="1"/>
  <c r="I4961" i="1"/>
  <c r="H4961" i="1"/>
  <c r="I4960" i="1"/>
  <c r="H4960" i="1"/>
  <c r="I4959" i="1"/>
  <c r="H4959" i="1"/>
  <c r="I4958" i="1"/>
  <c r="H4958" i="1"/>
  <c r="I4957" i="1"/>
  <c r="H4957" i="1"/>
  <c r="I4956" i="1"/>
  <c r="H4956" i="1"/>
  <c r="I4955" i="1"/>
  <c r="H4955" i="1"/>
  <c r="I4954" i="1"/>
  <c r="H4954" i="1"/>
  <c r="I4953" i="1"/>
  <c r="H4953" i="1"/>
  <c r="I4952" i="1"/>
  <c r="H4952" i="1"/>
  <c r="I4951" i="1"/>
  <c r="H4951" i="1"/>
  <c r="I4950" i="1"/>
  <c r="H4950" i="1"/>
  <c r="I4949" i="1"/>
  <c r="H4949" i="1"/>
  <c r="I4948" i="1"/>
  <c r="H4948" i="1"/>
  <c r="I4947" i="1"/>
  <c r="H4947" i="1"/>
  <c r="I4946" i="1"/>
  <c r="H4946" i="1"/>
  <c r="I4945" i="1"/>
  <c r="H4945" i="1"/>
  <c r="I4944" i="1"/>
  <c r="H4944" i="1"/>
  <c r="I4943" i="1"/>
  <c r="H4943" i="1"/>
  <c r="I4942" i="1"/>
  <c r="H4942" i="1"/>
  <c r="I4941" i="1"/>
  <c r="H4941" i="1"/>
  <c r="I4940" i="1"/>
  <c r="H4940" i="1"/>
  <c r="I4939" i="1"/>
  <c r="H4939" i="1"/>
  <c r="I4938" i="1"/>
  <c r="H4938" i="1"/>
  <c r="I4937" i="1"/>
  <c r="H4937" i="1"/>
  <c r="I4936" i="1"/>
  <c r="H4936" i="1"/>
  <c r="I4935" i="1"/>
  <c r="H4935" i="1"/>
  <c r="I4934" i="1"/>
  <c r="H4934" i="1"/>
  <c r="I4933" i="1"/>
  <c r="H4933" i="1"/>
  <c r="I4932" i="1"/>
  <c r="H4932" i="1"/>
  <c r="I4931" i="1"/>
  <c r="H4931" i="1"/>
  <c r="I4930" i="1"/>
  <c r="H4930" i="1"/>
  <c r="I4929" i="1"/>
  <c r="H4929" i="1"/>
  <c r="I4928" i="1"/>
  <c r="H4928" i="1"/>
  <c r="I4927" i="1"/>
  <c r="H4927" i="1"/>
  <c r="I4926" i="1"/>
  <c r="H4926" i="1"/>
  <c r="I4925" i="1"/>
  <c r="H4925" i="1"/>
  <c r="I4924" i="1"/>
  <c r="H4924" i="1"/>
  <c r="I4923" i="1"/>
  <c r="H4923" i="1"/>
  <c r="I4922" i="1"/>
  <c r="H4922" i="1"/>
  <c r="I4921" i="1"/>
  <c r="H4921" i="1"/>
  <c r="I4920" i="1"/>
  <c r="H4920" i="1"/>
  <c r="I4919" i="1"/>
  <c r="H4919" i="1"/>
  <c r="I4918" i="1"/>
  <c r="H4918" i="1"/>
  <c r="I4917" i="1"/>
  <c r="H4917" i="1"/>
  <c r="I4916" i="1"/>
  <c r="H4916" i="1"/>
  <c r="I4915" i="1"/>
  <c r="H4915" i="1"/>
  <c r="I4914" i="1"/>
  <c r="H4914" i="1"/>
  <c r="I4913" i="1"/>
  <c r="H4913" i="1"/>
  <c r="I4912" i="1"/>
  <c r="H4912" i="1"/>
  <c r="I4911" i="1"/>
  <c r="H4911" i="1"/>
  <c r="I4910" i="1"/>
  <c r="H4910" i="1"/>
  <c r="I4909" i="1"/>
  <c r="H4909" i="1"/>
  <c r="I4908" i="1"/>
  <c r="H4908" i="1"/>
  <c r="I4907" i="1"/>
  <c r="H4907" i="1"/>
  <c r="I4906" i="1"/>
  <c r="H4906" i="1"/>
  <c r="I4905" i="1"/>
  <c r="H4905" i="1"/>
  <c r="I4904" i="1"/>
  <c r="H4904" i="1"/>
  <c r="I4903" i="1"/>
  <c r="H4903" i="1"/>
  <c r="I4902" i="1"/>
  <c r="H4902" i="1"/>
  <c r="I4901" i="1"/>
  <c r="H4901" i="1"/>
  <c r="I4900" i="1"/>
  <c r="H4900" i="1"/>
  <c r="I4899" i="1"/>
  <c r="H4899" i="1"/>
  <c r="I4898" i="1"/>
  <c r="H4898" i="1"/>
  <c r="I4897" i="1"/>
  <c r="H4897" i="1"/>
  <c r="I4896" i="1"/>
  <c r="H4896" i="1"/>
  <c r="I4895" i="1"/>
  <c r="H4895" i="1"/>
  <c r="I4894" i="1"/>
  <c r="H4894" i="1"/>
  <c r="I4893" i="1"/>
  <c r="H4893" i="1"/>
  <c r="I4892" i="1"/>
  <c r="H4892" i="1"/>
  <c r="I4891" i="1"/>
  <c r="H4891" i="1"/>
  <c r="I4890" i="1"/>
  <c r="H4890" i="1"/>
  <c r="I4889" i="1"/>
  <c r="H4889" i="1"/>
  <c r="I4888" i="1"/>
  <c r="H4888" i="1"/>
  <c r="I4887" i="1"/>
  <c r="H4887" i="1"/>
  <c r="I4886" i="1"/>
  <c r="H4886" i="1"/>
  <c r="I4885" i="1"/>
  <c r="H4885" i="1"/>
  <c r="I4884" i="1"/>
  <c r="H4884" i="1"/>
  <c r="I4883" i="1"/>
  <c r="H4883" i="1"/>
  <c r="I4882" i="1"/>
  <c r="H4882" i="1"/>
  <c r="I4881" i="1"/>
  <c r="H4881" i="1"/>
  <c r="I4880" i="1"/>
  <c r="H4880" i="1"/>
  <c r="I4879" i="1"/>
  <c r="H4879" i="1"/>
  <c r="I4878" i="1"/>
  <c r="H4878" i="1"/>
  <c r="I4877" i="1"/>
  <c r="H4877" i="1"/>
  <c r="I4876" i="1"/>
  <c r="H4876" i="1"/>
  <c r="I4875" i="1"/>
  <c r="H4875" i="1"/>
  <c r="I4874" i="1"/>
  <c r="H4874" i="1"/>
  <c r="I4873" i="1"/>
  <c r="H4873" i="1"/>
  <c r="I4872" i="1"/>
  <c r="H4872" i="1"/>
  <c r="I4871" i="1"/>
  <c r="H4871" i="1"/>
  <c r="I4870" i="1"/>
  <c r="H4870" i="1"/>
  <c r="I4869" i="1"/>
  <c r="H4869" i="1"/>
  <c r="I4868" i="1"/>
  <c r="H4868" i="1"/>
  <c r="I4867" i="1"/>
  <c r="H4867" i="1"/>
  <c r="I4866" i="1"/>
  <c r="H4866" i="1"/>
  <c r="I4865" i="1"/>
  <c r="H4865" i="1"/>
  <c r="I4864" i="1"/>
  <c r="H4864" i="1"/>
  <c r="I4863" i="1"/>
  <c r="H4863" i="1"/>
  <c r="I4862" i="1"/>
  <c r="H4862" i="1"/>
  <c r="I4861" i="1"/>
  <c r="H4861" i="1"/>
  <c r="I4860" i="1"/>
  <c r="H4860" i="1"/>
  <c r="I4859" i="1"/>
  <c r="H4859" i="1"/>
  <c r="I4858" i="1"/>
  <c r="H4858" i="1"/>
  <c r="I4857" i="1"/>
  <c r="H4857" i="1"/>
  <c r="I4856" i="1"/>
  <c r="H4856" i="1"/>
  <c r="I4855" i="1"/>
  <c r="H4855" i="1"/>
  <c r="I4854" i="1"/>
  <c r="H4854" i="1"/>
  <c r="I4853" i="1"/>
  <c r="H4853" i="1"/>
  <c r="I4852" i="1"/>
  <c r="H4852" i="1"/>
  <c r="I4851" i="1"/>
  <c r="H4851" i="1"/>
  <c r="I4850" i="1"/>
  <c r="H4850" i="1"/>
  <c r="I4849" i="1"/>
  <c r="H4849" i="1"/>
  <c r="I4848" i="1"/>
  <c r="H4848" i="1"/>
  <c r="I4847" i="1"/>
  <c r="H4847" i="1"/>
  <c r="I4846" i="1"/>
  <c r="H4846" i="1"/>
  <c r="I4845" i="1"/>
  <c r="H4845" i="1"/>
  <c r="I4844" i="1"/>
  <c r="H4844" i="1"/>
  <c r="I4843" i="1"/>
  <c r="H4843" i="1"/>
  <c r="I4842" i="1"/>
  <c r="H4842" i="1"/>
  <c r="I4841" i="1"/>
  <c r="H4841" i="1"/>
  <c r="I4840" i="1"/>
  <c r="H4840" i="1"/>
  <c r="I4839" i="1"/>
  <c r="H4839" i="1"/>
  <c r="I4838" i="1"/>
  <c r="H4838" i="1"/>
  <c r="I4837" i="1"/>
  <c r="H4837" i="1"/>
  <c r="I4836" i="1"/>
  <c r="H4836" i="1"/>
  <c r="I4835" i="1"/>
  <c r="H4835" i="1"/>
  <c r="I4834" i="1"/>
  <c r="H4834" i="1"/>
  <c r="I4833" i="1"/>
  <c r="H4833" i="1"/>
  <c r="I4832" i="1"/>
  <c r="H4832" i="1"/>
  <c r="I4831" i="1"/>
  <c r="H4831" i="1"/>
  <c r="I4830" i="1"/>
  <c r="H4830" i="1"/>
  <c r="I4829" i="1"/>
  <c r="H4829" i="1"/>
  <c r="I4828" i="1"/>
  <c r="H4828" i="1"/>
  <c r="I4827" i="1"/>
  <c r="H4827" i="1"/>
  <c r="I4826" i="1"/>
  <c r="H4826" i="1"/>
  <c r="I4825" i="1"/>
  <c r="H4825" i="1"/>
  <c r="I4824" i="1"/>
  <c r="H4824" i="1"/>
  <c r="I4823" i="1"/>
  <c r="H4823" i="1"/>
  <c r="I4822" i="1"/>
  <c r="H4822" i="1"/>
  <c r="I4821" i="1"/>
  <c r="H4821" i="1"/>
  <c r="I4820" i="1"/>
  <c r="H4820" i="1"/>
  <c r="I4819" i="1"/>
  <c r="H4819" i="1"/>
  <c r="I4818" i="1"/>
  <c r="H4818" i="1"/>
  <c r="I4817" i="1"/>
  <c r="H4817" i="1"/>
  <c r="I4816" i="1"/>
  <c r="H4816" i="1"/>
  <c r="I4815" i="1"/>
  <c r="H4815" i="1"/>
  <c r="I4814" i="1"/>
  <c r="H4814" i="1"/>
  <c r="I4813" i="1"/>
  <c r="H4813" i="1"/>
  <c r="I4812" i="1"/>
  <c r="H4812" i="1"/>
  <c r="I4811" i="1"/>
  <c r="H4811" i="1"/>
  <c r="I4810" i="1"/>
  <c r="H4810" i="1"/>
  <c r="I4809" i="1"/>
  <c r="H4809" i="1"/>
  <c r="I4808" i="1"/>
  <c r="H4808" i="1"/>
  <c r="I4807" i="1"/>
  <c r="H4807" i="1"/>
  <c r="I4806" i="1"/>
  <c r="H4806" i="1"/>
  <c r="H4805" i="1"/>
  <c r="I4804" i="1"/>
  <c r="H4804" i="1"/>
  <c r="I4803" i="1"/>
  <c r="H4803" i="1"/>
  <c r="I4802" i="1"/>
  <c r="H4802" i="1"/>
  <c r="I4801" i="1"/>
  <c r="H4801" i="1"/>
  <c r="I4800" i="1"/>
  <c r="H4800" i="1"/>
  <c r="I4799" i="1"/>
  <c r="H4799" i="1"/>
  <c r="I4798" i="1"/>
  <c r="H4798" i="1"/>
  <c r="I4797" i="1"/>
  <c r="H4797" i="1"/>
  <c r="I4796" i="1"/>
  <c r="H4796" i="1"/>
  <c r="I4795" i="1"/>
  <c r="H4795" i="1"/>
  <c r="I4794" i="1"/>
  <c r="H4794" i="1"/>
  <c r="I4793" i="1"/>
  <c r="H4793" i="1"/>
  <c r="I4792" i="1"/>
  <c r="H4792" i="1"/>
  <c r="I4791" i="1"/>
  <c r="H4791" i="1"/>
  <c r="I4790" i="1"/>
  <c r="H4790" i="1"/>
  <c r="I4789" i="1"/>
  <c r="H4789" i="1"/>
  <c r="I4788" i="1"/>
  <c r="H4788" i="1"/>
  <c r="I4787" i="1"/>
  <c r="H4787" i="1"/>
  <c r="I4786" i="1"/>
  <c r="H4786" i="1"/>
  <c r="I4785" i="1"/>
  <c r="H4785" i="1"/>
  <c r="I4784" i="1"/>
  <c r="H4784" i="1"/>
  <c r="I4783" i="1"/>
  <c r="H4783" i="1"/>
  <c r="I4782" i="1"/>
  <c r="H4782" i="1"/>
  <c r="I4781" i="1"/>
  <c r="H4781" i="1"/>
  <c r="I4780" i="1"/>
  <c r="H4780" i="1"/>
  <c r="I4779" i="1"/>
  <c r="H4779" i="1"/>
  <c r="I4778" i="1"/>
  <c r="H4778" i="1"/>
  <c r="I4777" i="1"/>
  <c r="H4777" i="1"/>
  <c r="I4776" i="1"/>
  <c r="H4776" i="1"/>
  <c r="I4775" i="1"/>
  <c r="H4775" i="1"/>
  <c r="I4774" i="1"/>
  <c r="H4774" i="1"/>
  <c r="I4773" i="1"/>
  <c r="H4773" i="1"/>
  <c r="I4772" i="1"/>
  <c r="H4772" i="1"/>
  <c r="I4771" i="1"/>
  <c r="H4771" i="1"/>
  <c r="I4770" i="1"/>
  <c r="H4770" i="1"/>
  <c r="I4769" i="1"/>
  <c r="H4769" i="1"/>
  <c r="I4768" i="1"/>
  <c r="H4768" i="1"/>
  <c r="I4767" i="1"/>
  <c r="H4767" i="1"/>
  <c r="I4766" i="1"/>
  <c r="H4766" i="1"/>
  <c r="I4765" i="1"/>
  <c r="H4765" i="1"/>
  <c r="I4764" i="1"/>
  <c r="H4764" i="1"/>
  <c r="I4763" i="1"/>
  <c r="H4763" i="1"/>
  <c r="I4762" i="1"/>
  <c r="H4762" i="1"/>
  <c r="I4761" i="1"/>
  <c r="H4761" i="1"/>
  <c r="I4760" i="1"/>
  <c r="H4760" i="1"/>
  <c r="I4759" i="1"/>
  <c r="H4759" i="1"/>
  <c r="I4758" i="1"/>
  <c r="H4758" i="1"/>
  <c r="I4757" i="1"/>
  <c r="H4757" i="1"/>
  <c r="I4756" i="1"/>
  <c r="H4756" i="1"/>
  <c r="I4755" i="1"/>
  <c r="H4755" i="1"/>
  <c r="I4754" i="1"/>
  <c r="H4754" i="1"/>
  <c r="I4753" i="1"/>
  <c r="H4753" i="1"/>
  <c r="I4752" i="1"/>
  <c r="H4752" i="1"/>
  <c r="I4751" i="1"/>
  <c r="H4751" i="1"/>
  <c r="I4750" i="1"/>
  <c r="H4750" i="1"/>
  <c r="I4749" i="1"/>
  <c r="H4749" i="1"/>
  <c r="I4748" i="1"/>
  <c r="H4748" i="1"/>
  <c r="I4747" i="1"/>
  <c r="H4747" i="1"/>
  <c r="I4746" i="1"/>
  <c r="H4746" i="1"/>
  <c r="I4745" i="1"/>
  <c r="H4745" i="1"/>
  <c r="I4744" i="1"/>
  <c r="H4744" i="1"/>
  <c r="I4743" i="1"/>
  <c r="H4743" i="1"/>
  <c r="I4742" i="1"/>
  <c r="H4742" i="1"/>
  <c r="I4741" i="1"/>
  <c r="H4741" i="1"/>
  <c r="I4740" i="1"/>
  <c r="H4740" i="1"/>
  <c r="I4739" i="1"/>
  <c r="H4739" i="1"/>
  <c r="I4738" i="1"/>
  <c r="H4738" i="1"/>
  <c r="I4737" i="1"/>
  <c r="H4737" i="1"/>
  <c r="I4736" i="1"/>
  <c r="H4736" i="1"/>
  <c r="I4735" i="1"/>
  <c r="H4735" i="1"/>
  <c r="I4734" i="1"/>
  <c r="H4734" i="1"/>
  <c r="I4733" i="1"/>
  <c r="H4733" i="1"/>
  <c r="I4732" i="1"/>
  <c r="H4732" i="1"/>
  <c r="I4731" i="1"/>
  <c r="H4731" i="1"/>
  <c r="I4730" i="1"/>
  <c r="H4730" i="1"/>
  <c r="I4729" i="1"/>
  <c r="H4729" i="1"/>
  <c r="I4728" i="1"/>
  <c r="H4728" i="1"/>
  <c r="I4727" i="1"/>
  <c r="H4727" i="1"/>
  <c r="I4726" i="1"/>
  <c r="H4726" i="1"/>
  <c r="I4725" i="1"/>
  <c r="H4725" i="1"/>
  <c r="I4724" i="1"/>
  <c r="H4724" i="1"/>
  <c r="I4723" i="1"/>
  <c r="H4723" i="1"/>
  <c r="I4722" i="1"/>
  <c r="H4722" i="1"/>
  <c r="I4721" i="1"/>
  <c r="H4721" i="1"/>
  <c r="I4720" i="1"/>
  <c r="H4720" i="1"/>
  <c r="I4719" i="1"/>
  <c r="H4719" i="1"/>
  <c r="I4718" i="1"/>
  <c r="H4718" i="1"/>
  <c r="I4717" i="1"/>
  <c r="H4717" i="1"/>
  <c r="I4716" i="1"/>
  <c r="H4716" i="1"/>
  <c r="I4715" i="1"/>
  <c r="H4715" i="1"/>
  <c r="I4714" i="1"/>
  <c r="H4714" i="1"/>
  <c r="I4713" i="1"/>
  <c r="H4713" i="1"/>
  <c r="I4712" i="1"/>
  <c r="H4712" i="1"/>
  <c r="I4711" i="1"/>
  <c r="H4711" i="1"/>
  <c r="I4710" i="1"/>
  <c r="H4710" i="1"/>
  <c r="I4709" i="1"/>
  <c r="H4709" i="1"/>
  <c r="I4708" i="1"/>
  <c r="H4708" i="1"/>
  <c r="I4707" i="1"/>
  <c r="H4707" i="1"/>
  <c r="I4706" i="1"/>
  <c r="H4706" i="1"/>
  <c r="I4705" i="1"/>
  <c r="H4705" i="1"/>
  <c r="I4704" i="1"/>
  <c r="H4704" i="1"/>
  <c r="I4703" i="1"/>
  <c r="H4703" i="1"/>
  <c r="I4702" i="1"/>
  <c r="H4702" i="1"/>
  <c r="I4701" i="1"/>
  <c r="H4701" i="1"/>
  <c r="I4700" i="1"/>
  <c r="H4700" i="1"/>
  <c r="I4699" i="1"/>
  <c r="H4699" i="1"/>
  <c r="I4698" i="1"/>
  <c r="H4698" i="1"/>
  <c r="I4697" i="1"/>
  <c r="H4697" i="1"/>
  <c r="I4696" i="1"/>
  <c r="H4696" i="1"/>
  <c r="I4695" i="1"/>
  <c r="H4695" i="1"/>
  <c r="I4694" i="1"/>
  <c r="H4694" i="1"/>
  <c r="I4693" i="1"/>
  <c r="H4693" i="1"/>
  <c r="I4692" i="1"/>
  <c r="H4692" i="1"/>
  <c r="I4691" i="1"/>
  <c r="H4691" i="1"/>
  <c r="I4690" i="1"/>
  <c r="H4690" i="1"/>
  <c r="I4689" i="1"/>
  <c r="H4689" i="1"/>
  <c r="I4688" i="1"/>
  <c r="H4688" i="1"/>
  <c r="I4687" i="1"/>
  <c r="H4687" i="1"/>
  <c r="I4686" i="1"/>
  <c r="H4686" i="1"/>
  <c r="I4685" i="1"/>
  <c r="H4685" i="1"/>
  <c r="I4684" i="1"/>
  <c r="H4684" i="1"/>
  <c r="I4683" i="1"/>
  <c r="H4683" i="1"/>
  <c r="I4682" i="1"/>
  <c r="H4682" i="1"/>
  <c r="I4681" i="1"/>
  <c r="H4681" i="1"/>
  <c r="I4680" i="1"/>
  <c r="H4680" i="1"/>
  <c r="I4679" i="1"/>
  <c r="H4679" i="1"/>
  <c r="I4678" i="1"/>
  <c r="H4678" i="1"/>
  <c r="I4677" i="1"/>
  <c r="H4677" i="1"/>
  <c r="I4676" i="1"/>
  <c r="H4676" i="1"/>
  <c r="I4675" i="1"/>
  <c r="H4675" i="1"/>
  <c r="I4674" i="1"/>
  <c r="H4674" i="1"/>
  <c r="I4673" i="1"/>
  <c r="H4673" i="1"/>
  <c r="I4672" i="1"/>
  <c r="H4672" i="1"/>
  <c r="I4671" i="1"/>
  <c r="H4671" i="1"/>
  <c r="I4670" i="1"/>
  <c r="H4670" i="1"/>
  <c r="I4669" i="1"/>
  <c r="H4669" i="1"/>
  <c r="I4668" i="1"/>
  <c r="H4668" i="1"/>
  <c r="I4667" i="1"/>
  <c r="H4667" i="1"/>
  <c r="I4666" i="1"/>
  <c r="H4666" i="1"/>
  <c r="I4665" i="1"/>
  <c r="H4665" i="1"/>
  <c r="I4664" i="1"/>
  <c r="H4664" i="1"/>
  <c r="I4663" i="1"/>
  <c r="H4663" i="1"/>
  <c r="I4662" i="1"/>
  <c r="H4662" i="1"/>
  <c r="I4661" i="1"/>
  <c r="H4661" i="1"/>
  <c r="I4660" i="1"/>
  <c r="H4660" i="1"/>
  <c r="I4659" i="1"/>
  <c r="H4659" i="1"/>
  <c r="I4658" i="1"/>
  <c r="H4658" i="1"/>
  <c r="I4657" i="1"/>
  <c r="H4657" i="1"/>
  <c r="I4656" i="1"/>
  <c r="H4656" i="1"/>
  <c r="I4655" i="1"/>
  <c r="H4655" i="1"/>
  <c r="I4654" i="1"/>
  <c r="H4654" i="1"/>
  <c r="I4653" i="1"/>
  <c r="H4653" i="1"/>
  <c r="I4652" i="1"/>
  <c r="H4652" i="1"/>
  <c r="I4651" i="1"/>
  <c r="H4651" i="1"/>
  <c r="I4650" i="1"/>
  <c r="H4650" i="1"/>
  <c r="H4649" i="1"/>
  <c r="I4648" i="1"/>
  <c r="H4648" i="1"/>
  <c r="I4647" i="1"/>
  <c r="H4647" i="1"/>
  <c r="I4646" i="1"/>
  <c r="H4646" i="1"/>
  <c r="I4645" i="1"/>
  <c r="H4645" i="1"/>
  <c r="I4644" i="1"/>
  <c r="H4644" i="1"/>
  <c r="I4643" i="1"/>
  <c r="H4643" i="1"/>
  <c r="I4642" i="1"/>
  <c r="H4642" i="1"/>
  <c r="I4641" i="1"/>
  <c r="H4641" i="1"/>
  <c r="I4640" i="1"/>
  <c r="H4640" i="1"/>
  <c r="I4639" i="1"/>
  <c r="H4639" i="1"/>
  <c r="I4638" i="1"/>
  <c r="H4638" i="1"/>
  <c r="I4637" i="1"/>
  <c r="H4637" i="1"/>
  <c r="I4636" i="1"/>
  <c r="H4636" i="1"/>
  <c r="I4635" i="1"/>
  <c r="H4635" i="1"/>
  <c r="I4634" i="1"/>
  <c r="H4634" i="1"/>
  <c r="I4633" i="1"/>
  <c r="H4633" i="1"/>
  <c r="I4632" i="1"/>
  <c r="H4632" i="1"/>
  <c r="I4631" i="1"/>
  <c r="H4631" i="1"/>
  <c r="I4630" i="1"/>
  <c r="H4630" i="1"/>
  <c r="I4629" i="1"/>
  <c r="H4629" i="1"/>
  <c r="I4628" i="1"/>
  <c r="H4628" i="1"/>
  <c r="I4627" i="1"/>
  <c r="H4627" i="1"/>
  <c r="I4626" i="1"/>
  <c r="H4626" i="1"/>
  <c r="I4625" i="1"/>
  <c r="H4625" i="1"/>
  <c r="I4624" i="1"/>
  <c r="H4624" i="1"/>
  <c r="I4623" i="1"/>
  <c r="H4623" i="1"/>
  <c r="I4622" i="1"/>
  <c r="H4622" i="1"/>
  <c r="I4621" i="1"/>
  <c r="H4621" i="1"/>
  <c r="I4620" i="1"/>
  <c r="H4620" i="1"/>
  <c r="I4619" i="1"/>
  <c r="H4619" i="1"/>
  <c r="I4618" i="1"/>
  <c r="H4618" i="1"/>
  <c r="I4617" i="1"/>
  <c r="H4617" i="1"/>
  <c r="I4616" i="1"/>
  <c r="H4616" i="1"/>
  <c r="I4615" i="1"/>
  <c r="H4615" i="1"/>
  <c r="I4614" i="1"/>
  <c r="H4614" i="1"/>
  <c r="I4613" i="1"/>
  <c r="H4613" i="1"/>
  <c r="I4612" i="1"/>
  <c r="H4612" i="1"/>
  <c r="I4611" i="1"/>
  <c r="H4611" i="1"/>
  <c r="I4610" i="1"/>
  <c r="H4610" i="1"/>
  <c r="I4609" i="1"/>
  <c r="H4609" i="1"/>
  <c r="I4608" i="1"/>
  <c r="H4608" i="1"/>
  <c r="I4607" i="1"/>
  <c r="H4607" i="1"/>
  <c r="I4606" i="1"/>
  <c r="H4606" i="1"/>
  <c r="I4605" i="1"/>
  <c r="H4605" i="1"/>
  <c r="I4604" i="1"/>
  <c r="H4604" i="1"/>
  <c r="I4603" i="1"/>
  <c r="H4603" i="1"/>
  <c r="I4602" i="1"/>
  <c r="H4602" i="1"/>
  <c r="I4601" i="1"/>
  <c r="H4601" i="1"/>
  <c r="I4600" i="1"/>
  <c r="H4600" i="1"/>
  <c r="I4599" i="1"/>
  <c r="H4599" i="1"/>
  <c r="I4598" i="1"/>
  <c r="H4598" i="1"/>
  <c r="I4597" i="1"/>
  <c r="H4597" i="1"/>
  <c r="I4596" i="1"/>
  <c r="H4596" i="1"/>
  <c r="I4595" i="1"/>
  <c r="H4595" i="1"/>
  <c r="I4594" i="1"/>
  <c r="H4594" i="1"/>
  <c r="I4593" i="1"/>
  <c r="H4593" i="1"/>
  <c r="I4592" i="1"/>
  <c r="H4592" i="1"/>
  <c r="I4591" i="1"/>
  <c r="H4591" i="1"/>
  <c r="I4590" i="1"/>
  <c r="H4590" i="1"/>
  <c r="I4589" i="1"/>
  <c r="H4589" i="1"/>
  <c r="I4588" i="1"/>
  <c r="H4588" i="1"/>
  <c r="I4587" i="1"/>
  <c r="H4587" i="1"/>
  <c r="I4586" i="1"/>
  <c r="H4586" i="1"/>
  <c r="I4585" i="1"/>
  <c r="H4585" i="1"/>
  <c r="I4584" i="1"/>
  <c r="H4584" i="1"/>
  <c r="I4583" i="1"/>
  <c r="H4583" i="1"/>
  <c r="I4582" i="1"/>
  <c r="H4582" i="1"/>
  <c r="I4581" i="1"/>
  <c r="H4581" i="1"/>
  <c r="I4580" i="1"/>
  <c r="H4580" i="1"/>
  <c r="I4579" i="1"/>
  <c r="H4579" i="1"/>
  <c r="I4578" i="1"/>
  <c r="H4578" i="1"/>
  <c r="I4577" i="1"/>
  <c r="H4577" i="1"/>
  <c r="I4576" i="1"/>
  <c r="H4576" i="1"/>
  <c r="I4575" i="1"/>
  <c r="H4575" i="1"/>
  <c r="I4574" i="1"/>
  <c r="H4574" i="1"/>
  <c r="I4573" i="1"/>
  <c r="H4573" i="1"/>
  <c r="I4572" i="1"/>
  <c r="H4572" i="1"/>
  <c r="I4571" i="1"/>
  <c r="H4571" i="1"/>
  <c r="I4570" i="1"/>
  <c r="H4570" i="1"/>
  <c r="I4569" i="1"/>
  <c r="H4569" i="1"/>
  <c r="I4568" i="1"/>
  <c r="H4568" i="1"/>
  <c r="I4567" i="1"/>
  <c r="H4567" i="1"/>
  <c r="I4566" i="1"/>
  <c r="H4566" i="1"/>
  <c r="I4565" i="1"/>
  <c r="H4565" i="1"/>
  <c r="I4564" i="1"/>
  <c r="H4564" i="1"/>
  <c r="I4563" i="1"/>
  <c r="H4563" i="1"/>
  <c r="I4562" i="1"/>
  <c r="H4562" i="1"/>
  <c r="I4561" i="1"/>
  <c r="H4561" i="1"/>
  <c r="I4560" i="1"/>
  <c r="H4560" i="1"/>
  <c r="I4559" i="1"/>
  <c r="H4559" i="1"/>
  <c r="I4558" i="1"/>
  <c r="H4558" i="1"/>
  <c r="I4557" i="1"/>
  <c r="H4557" i="1"/>
  <c r="I4556" i="1"/>
  <c r="H4556" i="1"/>
  <c r="I4555" i="1"/>
  <c r="H4555" i="1"/>
  <c r="I4554" i="1"/>
  <c r="H4554" i="1"/>
  <c r="I4553" i="1"/>
  <c r="H4553" i="1"/>
  <c r="I4552" i="1"/>
  <c r="H4552" i="1"/>
  <c r="I4551" i="1"/>
  <c r="H4551" i="1"/>
  <c r="I4550" i="1"/>
  <c r="H4550" i="1"/>
  <c r="I4549" i="1"/>
  <c r="H4549" i="1"/>
  <c r="I4548" i="1"/>
  <c r="H4548" i="1"/>
  <c r="I4547" i="1"/>
  <c r="H4547" i="1"/>
  <c r="I4546" i="1"/>
  <c r="H4546" i="1"/>
  <c r="I4545" i="1"/>
  <c r="H4545" i="1"/>
  <c r="I4544" i="1"/>
  <c r="H4544" i="1"/>
  <c r="I4543" i="1"/>
  <c r="H4543" i="1"/>
  <c r="I4542" i="1"/>
  <c r="H4542" i="1"/>
  <c r="I4541" i="1"/>
  <c r="H4541" i="1"/>
  <c r="I4540" i="1"/>
  <c r="H4540" i="1"/>
  <c r="I4539" i="1"/>
  <c r="H4539" i="1"/>
  <c r="I4538" i="1"/>
  <c r="H4538" i="1"/>
  <c r="I4537" i="1"/>
  <c r="H4537" i="1"/>
  <c r="I4536" i="1"/>
  <c r="H4536" i="1"/>
  <c r="I4535" i="1"/>
  <c r="H4535" i="1"/>
  <c r="I4534" i="1"/>
  <c r="H4534" i="1"/>
  <c r="I4533" i="1"/>
  <c r="H4533" i="1"/>
  <c r="I4532" i="1"/>
  <c r="H4532" i="1"/>
  <c r="I4531" i="1"/>
  <c r="H4531" i="1"/>
  <c r="I4530" i="1"/>
  <c r="H4530" i="1"/>
  <c r="I4529" i="1"/>
  <c r="H4529" i="1"/>
  <c r="I4528" i="1"/>
  <c r="H4528" i="1"/>
  <c r="I4527" i="1"/>
  <c r="H4527" i="1"/>
  <c r="I4526" i="1"/>
  <c r="H4526" i="1"/>
  <c r="I4525" i="1"/>
  <c r="H4525" i="1"/>
  <c r="I4524" i="1"/>
  <c r="H4524" i="1"/>
  <c r="I4523" i="1"/>
  <c r="H4523" i="1"/>
  <c r="I4522" i="1"/>
  <c r="H4522" i="1"/>
  <c r="I4521" i="1"/>
  <c r="H4521" i="1"/>
  <c r="I4520" i="1"/>
  <c r="H4520" i="1"/>
  <c r="I4519" i="1"/>
  <c r="H4519" i="1"/>
  <c r="I4518" i="1"/>
  <c r="H4518" i="1"/>
  <c r="I4517" i="1"/>
  <c r="H4517" i="1"/>
  <c r="I4516" i="1"/>
  <c r="H4516" i="1"/>
  <c r="I4515" i="1"/>
  <c r="H4515" i="1"/>
  <c r="I4514" i="1"/>
  <c r="H4514" i="1"/>
  <c r="I4513" i="1"/>
  <c r="H4513" i="1"/>
  <c r="I4512" i="1"/>
  <c r="H4512" i="1"/>
  <c r="I4511" i="1"/>
  <c r="H4511" i="1"/>
  <c r="I4510" i="1"/>
  <c r="H4510" i="1"/>
  <c r="I4509" i="1"/>
  <c r="H4509" i="1"/>
  <c r="I4508" i="1"/>
  <c r="H4508" i="1"/>
  <c r="I4507" i="1"/>
  <c r="H4507" i="1"/>
  <c r="I4506" i="1"/>
  <c r="H4506" i="1"/>
  <c r="I4505" i="1"/>
  <c r="H4505" i="1"/>
  <c r="I4504" i="1"/>
  <c r="H4504" i="1"/>
  <c r="H4503" i="1"/>
  <c r="I4502" i="1"/>
  <c r="H4502" i="1"/>
  <c r="I4501" i="1"/>
  <c r="H4501" i="1"/>
  <c r="I4500" i="1"/>
  <c r="H4500" i="1"/>
  <c r="I4499" i="1"/>
  <c r="H4499" i="1"/>
  <c r="I4498" i="1"/>
  <c r="H4498" i="1"/>
  <c r="I4497" i="1"/>
  <c r="H4497" i="1"/>
  <c r="I4496" i="1"/>
  <c r="H4496" i="1"/>
  <c r="I4495" i="1"/>
  <c r="H4495" i="1"/>
  <c r="I4494" i="1"/>
  <c r="H4494" i="1"/>
  <c r="I4493" i="1"/>
  <c r="H4493" i="1"/>
  <c r="I4492" i="1"/>
  <c r="H4492" i="1"/>
  <c r="I4491" i="1"/>
  <c r="H4491" i="1"/>
  <c r="I4490" i="1"/>
  <c r="H4490" i="1"/>
  <c r="I4489" i="1"/>
  <c r="H4489" i="1"/>
  <c r="I4488" i="1"/>
  <c r="H4488" i="1"/>
  <c r="I4487" i="1"/>
  <c r="H4487" i="1"/>
  <c r="I4486" i="1"/>
  <c r="H4486" i="1"/>
  <c r="I4485" i="1"/>
  <c r="H4485" i="1"/>
  <c r="I4484" i="1"/>
  <c r="H4484" i="1"/>
  <c r="I4483" i="1"/>
  <c r="H4483" i="1"/>
  <c r="I4482" i="1"/>
  <c r="H4482" i="1"/>
  <c r="I4481" i="1"/>
  <c r="H4481" i="1"/>
  <c r="I4480" i="1"/>
  <c r="H4480" i="1"/>
  <c r="I4479" i="1"/>
  <c r="H4479" i="1"/>
  <c r="I4478" i="1"/>
  <c r="H4478" i="1"/>
  <c r="I4477" i="1"/>
  <c r="H4477" i="1"/>
  <c r="I4476" i="1"/>
  <c r="H4476" i="1"/>
  <c r="I4475" i="1"/>
  <c r="H4475" i="1"/>
  <c r="I4474" i="1"/>
  <c r="H4474" i="1"/>
  <c r="I4473" i="1"/>
  <c r="H4473" i="1"/>
  <c r="I4472" i="1"/>
  <c r="H4472" i="1"/>
  <c r="I4471" i="1"/>
  <c r="H4471" i="1"/>
  <c r="I4470" i="1"/>
  <c r="H4470" i="1"/>
  <c r="I4469" i="1"/>
  <c r="H4469" i="1"/>
  <c r="I4468" i="1"/>
  <c r="H4468" i="1"/>
  <c r="I4467" i="1"/>
  <c r="H4467" i="1"/>
  <c r="I4466" i="1"/>
  <c r="H4466" i="1"/>
  <c r="I4465" i="1"/>
  <c r="H4465" i="1"/>
  <c r="I4464" i="1"/>
  <c r="H4464" i="1"/>
  <c r="I4463" i="1"/>
  <c r="H4463" i="1"/>
  <c r="I4462" i="1"/>
  <c r="H4462" i="1"/>
  <c r="I4461" i="1"/>
  <c r="H4461" i="1"/>
  <c r="I4460" i="1"/>
  <c r="H4460" i="1"/>
  <c r="I4459" i="1"/>
  <c r="H4459" i="1"/>
  <c r="I4458" i="1"/>
  <c r="H4458" i="1"/>
  <c r="I4457" i="1"/>
  <c r="H4457" i="1"/>
  <c r="I4456" i="1"/>
  <c r="H4456" i="1"/>
  <c r="I4455" i="1"/>
  <c r="H4455" i="1"/>
  <c r="I4454" i="1"/>
  <c r="H4454" i="1"/>
  <c r="I4453" i="1"/>
  <c r="H4453" i="1"/>
  <c r="I4452" i="1"/>
  <c r="H4452" i="1"/>
  <c r="I4451" i="1"/>
  <c r="H4451" i="1"/>
  <c r="I4450" i="1"/>
  <c r="H4450" i="1"/>
  <c r="I4449" i="1"/>
  <c r="H4449" i="1"/>
  <c r="I4448" i="1"/>
  <c r="H4448" i="1"/>
  <c r="I4447" i="1"/>
  <c r="H4447" i="1"/>
  <c r="I4446" i="1"/>
  <c r="H4446" i="1"/>
  <c r="I4445" i="1"/>
  <c r="H4445" i="1"/>
  <c r="I4444" i="1"/>
  <c r="H4444" i="1"/>
  <c r="I4443" i="1"/>
  <c r="H4443" i="1"/>
  <c r="I4442" i="1"/>
  <c r="H4442" i="1"/>
  <c r="I4441" i="1"/>
  <c r="H4441" i="1"/>
  <c r="I4440" i="1"/>
  <c r="H4440" i="1"/>
  <c r="I4439" i="1"/>
  <c r="H4439" i="1"/>
  <c r="I4438" i="1"/>
  <c r="H4438" i="1"/>
  <c r="I4437" i="1"/>
  <c r="H4437" i="1"/>
  <c r="I4436" i="1"/>
  <c r="H4436" i="1"/>
  <c r="I4435" i="1"/>
  <c r="H4435" i="1"/>
  <c r="I4434" i="1"/>
  <c r="H4434" i="1"/>
  <c r="I4433" i="1"/>
  <c r="H4433" i="1"/>
  <c r="I4432" i="1"/>
  <c r="H4432" i="1"/>
  <c r="I4431" i="1"/>
  <c r="H4431" i="1"/>
  <c r="I4430" i="1"/>
  <c r="H4430" i="1"/>
  <c r="I4429" i="1"/>
  <c r="H4429" i="1"/>
  <c r="I4428" i="1"/>
  <c r="H4428" i="1"/>
  <c r="I4427" i="1"/>
  <c r="H4427" i="1"/>
  <c r="I4426" i="1"/>
  <c r="H4426" i="1"/>
  <c r="I4425" i="1"/>
  <c r="H4425" i="1"/>
  <c r="I4424" i="1"/>
  <c r="H4424" i="1"/>
  <c r="I4423" i="1"/>
  <c r="H4423" i="1"/>
  <c r="I4422" i="1"/>
  <c r="H4422" i="1"/>
  <c r="I4421" i="1"/>
  <c r="H4421" i="1"/>
  <c r="I4420" i="1"/>
  <c r="H4420" i="1"/>
  <c r="I4419" i="1"/>
  <c r="H4419" i="1"/>
  <c r="I4418" i="1"/>
  <c r="H4418" i="1"/>
  <c r="I4417" i="1"/>
  <c r="H4417" i="1"/>
  <c r="I4416" i="1"/>
  <c r="H4416" i="1"/>
  <c r="I4415" i="1"/>
  <c r="H4415" i="1"/>
  <c r="I4414" i="1"/>
  <c r="H4414" i="1"/>
  <c r="I4413" i="1"/>
  <c r="H4413" i="1"/>
  <c r="I4412" i="1"/>
  <c r="H4412" i="1"/>
  <c r="I4411" i="1"/>
  <c r="H4411" i="1"/>
  <c r="I4410" i="1"/>
  <c r="H4410" i="1"/>
  <c r="I4409" i="1"/>
  <c r="H4409" i="1"/>
  <c r="I4408" i="1"/>
  <c r="H4408" i="1"/>
  <c r="I4407" i="1"/>
  <c r="H4407" i="1"/>
  <c r="I4406" i="1"/>
  <c r="H4406" i="1"/>
  <c r="I4405" i="1"/>
  <c r="H4405" i="1"/>
  <c r="I4404" i="1"/>
  <c r="H4404" i="1"/>
  <c r="I4403" i="1"/>
  <c r="H4403" i="1"/>
  <c r="I4402" i="1"/>
  <c r="H4402" i="1"/>
  <c r="I4401" i="1"/>
  <c r="H4401" i="1"/>
  <c r="I4400" i="1"/>
  <c r="H4400" i="1"/>
  <c r="I4399" i="1"/>
  <c r="H4399" i="1"/>
  <c r="I4398" i="1"/>
  <c r="H4398" i="1"/>
  <c r="I4397" i="1"/>
  <c r="H4397" i="1"/>
  <c r="I4396" i="1"/>
  <c r="H4396" i="1"/>
  <c r="I4395" i="1"/>
  <c r="H4395" i="1"/>
  <c r="I4394" i="1"/>
  <c r="H4394" i="1"/>
  <c r="I4393" i="1"/>
  <c r="H4393" i="1"/>
  <c r="I4392" i="1"/>
  <c r="H4392" i="1"/>
  <c r="I4391" i="1"/>
  <c r="H4391" i="1"/>
  <c r="H4390" i="1"/>
  <c r="I4389" i="1"/>
  <c r="H4389" i="1"/>
  <c r="I4388" i="1"/>
  <c r="H4388" i="1"/>
  <c r="I4387" i="1"/>
  <c r="H4387" i="1"/>
  <c r="I4386" i="1"/>
  <c r="H4386" i="1"/>
  <c r="I4385" i="1"/>
  <c r="H4385" i="1"/>
  <c r="I4384" i="1"/>
  <c r="H4384" i="1"/>
  <c r="I4383" i="1"/>
  <c r="H4383" i="1"/>
  <c r="I4382" i="1"/>
  <c r="H4382" i="1"/>
  <c r="I4381" i="1"/>
  <c r="H4381" i="1"/>
  <c r="I4380" i="1"/>
  <c r="H4380" i="1"/>
  <c r="I4379" i="1"/>
  <c r="H4379" i="1"/>
  <c r="I4378" i="1"/>
  <c r="H4378" i="1"/>
  <c r="I4377" i="1"/>
  <c r="H4377" i="1"/>
  <c r="I4376" i="1"/>
  <c r="H4376" i="1"/>
  <c r="I4375" i="1"/>
  <c r="H4375" i="1"/>
  <c r="I4374" i="1"/>
  <c r="H4374" i="1"/>
  <c r="I4373" i="1"/>
  <c r="H4373" i="1"/>
  <c r="I4372" i="1"/>
  <c r="H4372" i="1"/>
  <c r="I4371" i="1"/>
  <c r="H4371" i="1"/>
  <c r="I4370" i="1"/>
  <c r="H4370" i="1"/>
  <c r="I4369" i="1"/>
  <c r="H4369" i="1"/>
  <c r="I4368" i="1"/>
  <c r="H4368" i="1"/>
  <c r="I4367" i="1"/>
  <c r="H4367" i="1"/>
  <c r="I4366" i="1"/>
  <c r="H4366" i="1"/>
  <c r="I4365" i="1"/>
  <c r="H4365" i="1"/>
  <c r="I4364" i="1"/>
  <c r="H4364" i="1"/>
  <c r="I4363" i="1"/>
  <c r="H4363" i="1"/>
  <c r="I4362" i="1"/>
  <c r="H4362" i="1"/>
  <c r="I4361" i="1"/>
  <c r="H4361" i="1"/>
  <c r="I4360" i="1"/>
  <c r="H4360" i="1"/>
  <c r="I4359" i="1"/>
  <c r="H4359" i="1"/>
  <c r="I4358" i="1"/>
  <c r="H4358" i="1"/>
  <c r="I4357" i="1"/>
  <c r="H4357" i="1"/>
  <c r="I4356" i="1"/>
  <c r="H4356" i="1"/>
  <c r="I4355" i="1"/>
  <c r="H4355" i="1"/>
  <c r="I4354" i="1"/>
  <c r="H4354" i="1"/>
  <c r="I4353" i="1"/>
  <c r="H4353" i="1"/>
  <c r="I4352" i="1"/>
  <c r="H4352" i="1"/>
  <c r="I4351" i="1"/>
  <c r="H4351" i="1"/>
  <c r="I4350" i="1"/>
  <c r="H4350" i="1"/>
  <c r="I4349" i="1"/>
  <c r="H4349" i="1"/>
  <c r="I4348" i="1"/>
  <c r="H4348" i="1"/>
  <c r="I4347" i="1"/>
  <c r="H4347" i="1"/>
  <c r="I4346" i="1"/>
  <c r="H4346" i="1"/>
  <c r="I4345" i="1"/>
  <c r="H4345" i="1"/>
  <c r="I4344" i="1"/>
  <c r="H4344" i="1"/>
  <c r="I4343" i="1"/>
  <c r="H4343" i="1"/>
  <c r="I4342" i="1"/>
  <c r="H4342" i="1"/>
  <c r="I4341" i="1"/>
  <c r="H4341" i="1"/>
  <c r="I4340" i="1"/>
  <c r="H4340" i="1"/>
  <c r="I4339" i="1"/>
  <c r="H4339" i="1"/>
  <c r="I4338" i="1"/>
  <c r="H4338" i="1"/>
  <c r="I4337" i="1"/>
  <c r="H4337" i="1"/>
  <c r="I4336" i="1"/>
  <c r="H4336" i="1"/>
  <c r="I4335" i="1"/>
  <c r="H4335" i="1"/>
  <c r="I4334" i="1"/>
  <c r="H4334" i="1"/>
  <c r="I4333" i="1"/>
  <c r="H4333" i="1"/>
  <c r="I4332" i="1"/>
  <c r="H4332" i="1"/>
  <c r="I4331" i="1"/>
  <c r="H4331" i="1"/>
  <c r="I4330" i="1"/>
  <c r="H4330" i="1"/>
  <c r="I4329" i="1"/>
  <c r="H4329" i="1"/>
  <c r="I4328" i="1"/>
  <c r="H4328" i="1"/>
  <c r="I4327" i="1"/>
  <c r="H4327" i="1"/>
  <c r="I4326" i="1"/>
  <c r="H4326" i="1"/>
  <c r="I4325" i="1"/>
  <c r="H4325" i="1"/>
  <c r="I4324" i="1"/>
  <c r="H4324" i="1"/>
  <c r="I4323" i="1"/>
  <c r="H4323" i="1"/>
  <c r="I4322" i="1"/>
  <c r="H4322" i="1"/>
  <c r="I4321" i="1"/>
  <c r="H4321" i="1"/>
  <c r="I4320" i="1"/>
  <c r="H4320" i="1"/>
  <c r="I4319" i="1"/>
  <c r="H4319" i="1"/>
  <c r="I4318" i="1"/>
  <c r="H4318" i="1"/>
  <c r="I4317" i="1"/>
  <c r="H4317" i="1"/>
  <c r="I4316" i="1"/>
  <c r="H4316" i="1"/>
  <c r="I4315" i="1"/>
  <c r="H4315" i="1"/>
  <c r="I4314" i="1"/>
  <c r="H4314" i="1"/>
  <c r="I4313" i="1"/>
  <c r="H4313" i="1"/>
  <c r="I4312" i="1"/>
  <c r="H4312" i="1"/>
  <c r="I4311" i="1"/>
  <c r="H4311" i="1"/>
  <c r="I4310" i="1"/>
  <c r="H4310" i="1"/>
  <c r="I4309" i="1"/>
  <c r="H4309" i="1"/>
  <c r="I4308" i="1"/>
  <c r="H4308" i="1"/>
  <c r="I4307" i="1"/>
  <c r="H4307" i="1"/>
  <c r="I4306" i="1"/>
  <c r="H4306" i="1"/>
  <c r="I4305" i="1"/>
  <c r="H4305" i="1"/>
  <c r="I4304" i="1"/>
  <c r="H4304" i="1"/>
  <c r="I4303" i="1"/>
  <c r="H4303" i="1"/>
  <c r="I4302" i="1"/>
  <c r="H4302" i="1"/>
  <c r="I4301" i="1"/>
  <c r="H4301" i="1"/>
  <c r="I4300" i="1"/>
  <c r="H4300" i="1"/>
  <c r="I4299" i="1"/>
  <c r="H4299" i="1"/>
  <c r="I4298" i="1"/>
  <c r="H4298" i="1"/>
  <c r="I4297" i="1"/>
  <c r="H4297" i="1"/>
  <c r="I4296" i="1"/>
  <c r="H4296" i="1"/>
  <c r="I4295" i="1"/>
  <c r="H4295" i="1"/>
  <c r="I4294" i="1"/>
  <c r="H4294" i="1"/>
  <c r="I4293" i="1"/>
  <c r="H4293" i="1"/>
  <c r="I4292" i="1"/>
  <c r="H4292" i="1"/>
  <c r="I4291" i="1"/>
  <c r="H4291" i="1"/>
  <c r="I4290" i="1"/>
  <c r="H4290" i="1"/>
  <c r="I4289" i="1"/>
  <c r="H4289" i="1"/>
  <c r="I4288" i="1"/>
  <c r="H4288" i="1"/>
  <c r="I4287" i="1"/>
  <c r="H4287" i="1"/>
  <c r="I4286" i="1"/>
  <c r="H4286" i="1"/>
  <c r="I4285" i="1"/>
  <c r="H4285" i="1"/>
  <c r="I4284" i="1"/>
  <c r="H4284" i="1"/>
  <c r="I4283" i="1"/>
  <c r="H4283" i="1"/>
  <c r="I4282" i="1"/>
  <c r="H4282" i="1"/>
  <c r="I4281" i="1"/>
  <c r="H4281" i="1"/>
  <c r="I4280" i="1"/>
  <c r="H4280" i="1"/>
  <c r="I4279" i="1"/>
  <c r="H4279" i="1"/>
  <c r="I4278" i="1"/>
  <c r="H4278" i="1"/>
  <c r="I4277" i="1"/>
  <c r="H4277" i="1"/>
  <c r="I4276" i="1"/>
  <c r="H4276" i="1"/>
  <c r="I4275" i="1"/>
  <c r="H4275" i="1"/>
  <c r="I4274" i="1"/>
  <c r="H4274" i="1"/>
  <c r="I4273" i="1"/>
  <c r="H4273" i="1"/>
  <c r="I4272" i="1"/>
  <c r="H4272" i="1"/>
  <c r="I4271" i="1"/>
  <c r="H4271" i="1"/>
  <c r="I4270" i="1"/>
  <c r="H4270" i="1"/>
  <c r="I4269" i="1"/>
  <c r="H4269" i="1"/>
  <c r="I4268" i="1"/>
  <c r="H4268" i="1"/>
  <c r="I4267" i="1"/>
  <c r="H4267" i="1"/>
  <c r="I4266" i="1"/>
  <c r="H4266" i="1"/>
  <c r="I4265" i="1"/>
  <c r="H4265" i="1"/>
  <c r="I4264" i="1"/>
  <c r="H4264" i="1"/>
  <c r="I4263" i="1"/>
  <c r="H4263" i="1"/>
  <c r="I4262" i="1"/>
  <c r="H4262" i="1"/>
  <c r="I4261" i="1"/>
  <c r="H4261" i="1"/>
  <c r="I4260" i="1"/>
  <c r="H4260" i="1"/>
  <c r="I4259" i="1"/>
  <c r="H4259" i="1"/>
  <c r="I4258" i="1"/>
  <c r="H4258" i="1"/>
  <c r="I4257" i="1"/>
  <c r="H4257" i="1"/>
  <c r="I4256" i="1"/>
  <c r="H4256" i="1"/>
  <c r="I4255" i="1"/>
  <c r="H4255" i="1"/>
  <c r="I4254" i="1"/>
  <c r="H4254" i="1"/>
  <c r="I4253" i="1"/>
  <c r="H4253" i="1"/>
  <c r="I4252" i="1"/>
  <c r="H4252" i="1"/>
  <c r="I4251" i="1"/>
  <c r="H4251" i="1"/>
  <c r="I4250" i="1"/>
  <c r="H4250" i="1"/>
  <c r="I4249" i="1"/>
  <c r="H4249" i="1"/>
  <c r="I4248" i="1"/>
  <c r="H4248" i="1"/>
  <c r="I4247" i="1"/>
  <c r="H4247" i="1"/>
  <c r="I4246" i="1"/>
  <c r="H4246" i="1"/>
  <c r="I4245" i="1"/>
  <c r="H4245" i="1"/>
  <c r="I4244" i="1"/>
  <c r="H4244" i="1"/>
  <c r="I4243" i="1"/>
  <c r="H4243" i="1"/>
  <c r="I4242" i="1"/>
  <c r="H4242" i="1"/>
  <c r="I4241" i="1"/>
  <c r="H4241" i="1"/>
  <c r="I4240" i="1"/>
  <c r="H4240" i="1"/>
  <c r="I4239" i="1"/>
  <c r="H4239" i="1"/>
  <c r="I4238" i="1"/>
  <c r="H4238" i="1"/>
  <c r="I4237" i="1"/>
  <c r="H4237" i="1"/>
  <c r="I4236" i="1"/>
  <c r="H4236" i="1"/>
  <c r="I4235" i="1"/>
  <c r="H4235" i="1"/>
  <c r="I4234" i="1"/>
  <c r="H4234" i="1"/>
  <c r="I4233" i="1"/>
  <c r="H4233" i="1"/>
  <c r="I4232" i="1"/>
  <c r="H4232" i="1"/>
  <c r="I4231" i="1"/>
  <c r="H4231" i="1"/>
  <c r="I4230" i="1"/>
  <c r="H4230" i="1"/>
  <c r="I4229" i="1"/>
  <c r="H4229" i="1"/>
  <c r="I4228" i="1"/>
  <c r="H4228" i="1"/>
  <c r="I4227" i="1"/>
  <c r="H4227" i="1"/>
  <c r="I4226" i="1"/>
  <c r="H4226" i="1"/>
  <c r="I4225" i="1"/>
  <c r="H4225" i="1"/>
  <c r="I4224" i="1"/>
  <c r="H4224" i="1"/>
  <c r="I4223" i="1"/>
  <c r="H4223" i="1"/>
  <c r="I4222" i="1"/>
  <c r="H4222" i="1"/>
  <c r="I4221" i="1"/>
  <c r="H4221" i="1"/>
  <c r="I4220" i="1"/>
  <c r="H4220" i="1"/>
  <c r="I4219" i="1"/>
  <c r="H4219" i="1"/>
  <c r="I4218" i="1"/>
  <c r="H4218" i="1"/>
  <c r="I4217" i="1"/>
  <c r="H4217" i="1"/>
  <c r="I4216" i="1"/>
  <c r="H4216" i="1"/>
  <c r="I4215" i="1"/>
  <c r="H4215" i="1"/>
  <c r="I4214" i="1"/>
  <c r="H4214" i="1"/>
  <c r="I4213" i="1"/>
  <c r="H4213" i="1"/>
  <c r="I4212" i="1"/>
  <c r="H4212" i="1"/>
  <c r="I4211" i="1"/>
  <c r="H4211" i="1"/>
  <c r="I4210" i="1"/>
  <c r="H4210" i="1"/>
  <c r="I4209" i="1"/>
  <c r="H4209" i="1"/>
  <c r="I4208" i="1"/>
  <c r="H4208" i="1"/>
  <c r="I4207" i="1"/>
  <c r="H4207" i="1"/>
  <c r="I4206" i="1"/>
  <c r="H4206" i="1"/>
  <c r="I4205" i="1"/>
  <c r="H4205" i="1"/>
  <c r="I4204" i="1"/>
  <c r="H4204" i="1"/>
  <c r="I4203" i="1"/>
  <c r="H4203" i="1"/>
  <c r="I4202" i="1"/>
  <c r="H4202" i="1"/>
  <c r="I4201" i="1"/>
  <c r="H4201" i="1"/>
  <c r="I4200" i="1"/>
  <c r="H4200" i="1"/>
  <c r="I4199" i="1"/>
  <c r="H4199" i="1"/>
  <c r="I4198" i="1"/>
  <c r="H4198" i="1"/>
  <c r="I4197" i="1"/>
  <c r="H4197" i="1"/>
  <c r="I4196" i="1"/>
  <c r="H4196" i="1"/>
  <c r="I4195" i="1"/>
  <c r="H4195" i="1"/>
  <c r="I4194" i="1"/>
  <c r="H4194" i="1"/>
  <c r="I4193" i="1"/>
  <c r="H4193" i="1"/>
  <c r="I4192" i="1"/>
  <c r="H4192" i="1"/>
  <c r="I4191" i="1"/>
  <c r="H4191" i="1"/>
  <c r="I4190" i="1"/>
  <c r="H4190" i="1"/>
  <c r="I4189" i="1"/>
  <c r="H4189" i="1"/>
  <c r="I4188" i="1"/>
  <c r="H4188" i="1"/>
  <c r="I4187" i="1"/>
  <c r="H4187" i="1"/>
  <c r="I4186" i="1"/>
  <c r="H4186" i="1"/>
  <c r="I4185" i="1"/>
  <c r="H4185" i="1"/>
  <c r="I4184" i="1"/>
  <c r="H4184" i="1"/>
  <c r="I4183" i="1"/>
  <c r="H4183" i="1"/>
  <c r="I4182" i="1"/>
  <c r="H4182" i="1"/>
  <c r="I4181" i="1"/>
  <c r="H4181" i="1"/>
  <c r="I4180" i="1"/>
  <c r="H4180" i="1"/>
  <c r="I4179" i="1"/>
  <c r="H4179" i="1"/>
  <c r="I4178" i="1"/>
  <c r="H4178" i="1"/>
  <c r="I4177" i="1"/>
  <c r="H4177" i="1"/>
  <c r="I4176" i="1"/>
  <c r="H4176" i="1"/>
  <c r="I4175" i="1"/>
  <c r="H4175" i="1"/>
  <c r="I4174" i="1"/>
  <c r="H4174" i="1"/>
  <c r="I4173" i="1"/>
  <c r="H4173" i="1"/>
  <c r="I4172" i="1"/>
  <c r="H4172" i="1"/>
  <c r="I4171" i="1"/>
  <c r="H4171" i="1"/>
  <c r="I4170" i="1"/>
  <c r="H4170" i="1"/>
  <c r="I4169" i="1"/>
  <c r="H4169" i="1"/>
  <c r="I4168" i="1"/>
  <c r="H4168" i="1"/>
  <c r="I4167" i="1"/>
  <c r="H4167" i="1"/>
  <c r="I4166" i="1"/>
  <c r="H4166" i="1"/>
  <c r="I4165" i="1"/>
  <c r="H4165" i="1"/>
  <c r="I4164" i="1"/>
  <c r="H4164" i="1"/>
  <c r="I4163" i="1"/>
  <c r="H4163" i="1"/>
  <c r="I4162" i="1"/>
  <c r="H4162" i="1"/>
  <c r="I4161" i="1"/>
  <c r="H4161" i="1"/>
  <c r="I4160" i="1"/>
  <c r="H4160" i="1"/>
  <c r="I4159" i="1"/>
  <c r="H4159" i="1"/>
  <c r="I4158" i="1"/>
  <c r="H4158" i="1"/>
  <c r="I4157" i="1"/>
  <c r="H4157" i="1"/>
  <c r="I4156" i="1"/>
  <c r="H4156" i="1"/>
  <c r="I4155" i="1"/>
  <c r="H4155" i="1"/>
  <c r="I4154" i="1"/>
  <c r="H4154" i="1"/>
  <c r="I4153" i="1"/>
  <c r="H4153" i="1"/>
  <c r="I4152" i="1"/>
  <c r="H4152" i="1"/>
  <c r="I4151" i="1"/>
  <c r="H4151" i="1"/>
  <c r="I4150" i="1"/>
  <c r="H4150" i="1"/>
  <c r="I4149" i="1"/>
  <c r="H4149" i="1"/>
  <c r="I4148" i="1"/>
  <c r="H4148" i="1"/>
  <c r="I4147" i="1"/>
  <c r="H4147" i="1"/>
  <c r="I4146" i="1"/>
  <c r="H4146" i="1"/>
  <c r="I4145" i="1"/>
  <c r="H4145" i="1"/>
  <c r="I4144" i="1"/>
  <c r="H4144" i="1"/>
  <c r="I4143" i="1"/>
  <c r="H4143" i="1"/>
  <c r="I4142" i="1"/>
  <c r="H4142" i="1"/>
  <c r="I4141" i="1"/>
  <c r="H4141" i="1"/>
  <c r="I4140" i="1"/>
  <c r="H4140" i="1"/>
  <c r="I4139" i="1"/>
  <c r="H4139" i="1"/>
  <c r="I4138" i="1"/>
  <c r="H4138" i="1"/>
  <c r="I4137" i="1"/>
  <c r="H4137" i="1"/>
  <c r="I4136" i="1"/>
  <c r="H4136" i="1"/>
  <c r="I4135" i="1"/>
  <c r="H4135" i="1"/>
  <c r="I4134" i="1"/>
  <c r="H4134" i="1"/>
  <c r="I4133" i="1"/>
  <c r="H4133" i="1"/>
  <c r="I4132" i="1"/>
  <c r="H4132" i="1"/>
  <c r="I4131" i="1"/>
  <c r="H4131" i="1"/>
  <c r="I4130" i="1"/>
  <c r="H4130" i="1"/>
  <c r="I4129" i="1"/>
  <c r="H4129" i="1"/>
  <c r="I4128" i="1"/>
  <c r="H4128" i="1"/>
  <c r="I4127" i="1"/>
  <c r="H4127" i="1"/>
  <c r="I4126" i="1"/>
  <c r="H4126" i="1"/>
  <c r="I4125" i="1"/>
  <c r="H4125" i="1"/>
  <c r="I4124" i="1"/>
  <c r="H4124" i="1"/>
  <c r="I4123" i="1"/>
  <c r="H4123" i="1"/>
  <c r="I4122" i="1"/>
  <c r="H4122" i="1"/>
  <c r="I4121" i="1"/>
  <c r="H4121" i="1"/>
  <c r="I4120" i="1"/>
  <c r="H4120" i="1"/>
  <c r="I4119" i="1"/>
  <c r="H4119" i="1"/>
  <c r="I4118" i="1"/>
  <c r="H4118" i="1"/>
  <c r="I4117" i="1"/>
  <c r="H4117" i="1"/>
  <c r="I4116" i="1"/>
  <c r="H4116" i="1"/>
  <c r="I4115" i="1"/>
  <c r="H4115" i="1"/>
  <c r="I4114" i="1"/>
  <c r="H4114" i="1"/>
  <c r="I4113" i="1"/>
  <c r="H4113" i="1"/>
  <c r="I4112" i="1"/>
  <c r="H4112" i="1"/>
  <c r="I4111" i="1"/>
  <c r="H4111" i="1"/>
  <c r="I4110" i="1"/>
  <c r="H4110" i="1"/>
  <c r="I4109" i="1"/>
  <c r="H4109" i="1"/>
  <c r="I4108" i="1"/>
  <c r="H4108" i="1"/>
  <c r="I4107" i="1"/>
  <c r="H4107" i="1"/>
  <c r="I4106" i="1"/>
  <c r="H4106" i="1"/>
  <c r="I4105" i="1"/>
  <c r="H4105" i="1"/>
  <c r="I4104" i="1"/>
  <c r="H4104" i="1"/>
  <c r="I4103" i="1"/>
  <c r="H4103" i="1"/>
  <c r="I4102" i="1"/>
  <c r="H4102" i="1"/>
  <c r="I4101" i="1"/>
  <c r="H4101" i="1"/>
  <c r="I4100" i="1"/>
  <c r="H4100" i="1"/>
  <c r="I4099" i="1"/>
  <c r="H4099" i="1"/>
  <c r="I4098" i="1"/>
  <c r="H4098" i="1"/>
  <c r="I4097" i="1"/>
  <c r="H4097" i="1"/>
  <c r="I4096" i="1"/>
  <c r="H4096" i="1"/>
  <c r="I4095" i="1"/>
  <c r="H4095" i="1"/>
  <c r="I4094" i="1"/>
  <c r="H4094" i="1"/>
  <c r="I4093" i="1"/>
  <c r="H4093" i="1"/>
  <c r="I4092" i="1"/>
  <c r="H4092" i="1"/>
  <c r="I4091" i="1"/>
  <c r="H4091" i="1"/>
  <c r="I4090" i="1"/>
  <c r="H4090" i="1"/>
  <c r="I4089" i="1"/>
  <c r="H4089" i="1"/>
  <c r="I4088" i="1"/>
  <c r="H4088" i="1"/>
  <c r="I4087" i="1"/>
  <c r="H4087" i="1"/>
  <c r="I4086" i="1"/>
  <c r="H4086" i="1"/>
  <c r="I4085" i="1"/>
  <c r="H4085" i="1"/>
  <c r="I4084" i="1"/>
  <c r="H4084" i="1"/>
  <c r="I4083" i="1"/>
  <c r="H4083" i="1"/>
  <c r="I4082" i="1"/>
  <c r="H4082" i="1"/>
  <c r="I4081" i="1"/>
  <c r="H4081" i="1"/>
  <c r="I4080" i="1"/>
  <c r="H4080" i="1"/>
  <c r="I4079" i="1"/>
  <c r="H4079" i="1"/>
  <c r="I4078" i="1"/>
  <c r="H4078" i="1"/>
  <c r="I4077" i="1"/>
  <c r="H4077" i="1"/>
  <c r="I4076" i="1"/>
  <c r="H4076" i="1"/>
  <c r="I4075" i="1"/>
  <c r="H4075" i="1"/>
  <c r="I4074" i="1"/>
  <c r="H4074" i="1"/>
  <c r="I4073" i="1"/>
  <c r="H4073" i="1"/>
  <c r="I4072" i="1"/>
  <c r="H4072" i="1"/>
  <c r="I4071" i="1"/>
  <c r="H4071" i="1"/>
  <c r="I4070" i="1"/>
  <c r="H4070" i="1"/>
  <c r="I4069" i="1"/>
  <c r="H4069" i="1"/>
  <c r="I4068" i="1"/>
  <c r="H4068" i="1"/>
  <c r="I4067" i="1"/>
  <c r="H4067" i="1"/>
  <c r="I4066" i="1"/>
  <c r="H4066" i="1"/>
  <c r="I4065" i="1"/>
  <c r="H4065" i="1"/>
  <c r="I4064" i="1"/>
  <c r="H4064" i="1"/>
  <c r="I4063" i="1"/>
  <c r="H4063" i="1"/>
  <c r="I4062" i="1"/>
  <c r="H4062" i="1"/>
  <c r="I4061" i="1"/>
  <c r="H4061" i="1"/>
  <c r="I4060" i="1"/>
  <c r="H4060" i="1"/>
  <c r="I4059" i="1"/>
  <c r="H4059" i="1"/>
  <c r="I4058" i="1"/>
  <c r="H4058" i="1"/>
  <c r="I4057" i="1"/>
  <c r="H4057" i="1"/>
  <c r="I4056" i="1"/>
  <c r="H4056" i="1"/>
  <c r="I4055" i="1"/>
  <c r="H4055" i="1"/>
  <c r="I4054" i="1"/>
  <c r="H4054" i="1"/>
  <c r="I4053" i="1"/>
  <c r="H4053" i="1"/>
  <c r="I4052" i="1"/>
  <c r="H4052" i="1"/>
  <c r="I4051" i="1"/>
  <c r="H4051" i="1"/>
  <c r="I4050" i="1"/>
  <c r="H4050" i="1"/>
  <c r="I4049" i="1"/>
  <c r="H4049" i="1"/>
  <c r="I4048" i="1"/>
  <c r="H4048" i="1"/>
  <c r="I4047" i="1"/>
  <c r="H4047" i="1"/>
  <c r="I4046" i="1"/>
  <c r="H4046" i="1"/>
  <c r="I4045" i="1"/>
  <c r="H4045" i="1"/>
  <c r="I4044" i="1"/>
  <c r="H4044" i="1"/>
  <c r="I4043" i="1"/>
  <c r="H4043" i="1"/>
  <c r="I4042" i="1"/>
  <c r="H4042" i="1"/>
  <c r="I4041" i="1"/>
  <c r="H4041" i="1"/>
  <c r="I4040" i="1"/>
  <c r="H4040" i="1"/>
  <c r="I4039" i="1"/>
  <c r="H4039" i="1"/>
  <c r="I4038" i="1"/>
  <c r="H4038" i="1"/>
  <c r="I4037" i="1"/>
  <c r="H4037" i="1"/>
  <c r="I4036" i="1"/>
  <c r="H4036" i="1"/>
  <c r="I4035" i="1"/>
  <c r="H4035" i="1"/>
  <c r="I4034" i="1"/>
  <c r="H4034" i="1"/>
  <c r="I4033" i="1"/>
  <c r="H4033" i="1"/>
  <c r="I4032" i="1"/>
  <c r="H4032" i="1"/>
  <c r="I4031" i="1"/>
  <c r="H4031" i="1"/>
  <c r="I4030" i="1"/>
  <c r="H4030" i="1"/>
  <c r="I4029" i="1"/>
  <c r="H4029" i="1"/>
  <c r="I4028" i="1"/>
  <c r="H4028" i="1"/>
  <c r="I4027" i="1"/>
  <c r="H4027" i="1"/>
  <c r="I4026" i="1"/>
  <c r="H4026" i="1"/>
  <c r="I4025" i="1"/>
  <c r="H4025" i="1"/>
  <c r="I4024" i="1"/>
  <c r="H4024" i="1"/>
  <c r="I4023" i="1"/>
  <c r="H4023" i="1"/>
  <c r="I4022" i="1"/>
  <c r="H4022" i="1"/>
  <c r="I4021" i="1"/>
  <c r="H4021" i="1"/>
  <c r="I4020" i="1"/>
  <c r="H4020" i="1"/>
  <c r="I4019" i="1"/>
  <c r="H4019" i="1"/>
  <c r="I4018" i="1"/>
  <c r="H4018" i="1"/>
  <c r="I4017" i="1"/>
  <c r="H4017" i="1"/>
  <c r="I4016" i="1"/>
  <c r="H4016" i="1"/>
  <c r="I4015" i="1"/>
  <c r="H4015" i="1"/>
  <c r="I4014" i="1"/>
  <c r="H4014" i="1"/>
  <c r="I4013" i="1"/>
  <c r="H4013" i="1"/>
  <c r="I4012" i="1"/>
  <c r="H4012" i="1"/>
  <c r="I4011" i="1"/>
  <c r="H4011" i="1"/>
  <c r="I4010" i="1"/>
  <c r="H4010" i="1"/>
  <c r="I4009" i="1"/>
  <c r="H4009" i="1"/>
  <c r="I4008" i="1"/>
  <c r="H4008" i="1"/>
  <c r="I4007" i="1"/>
  <c r="H4007" i="1"/>
  <c r="I4006" i="1"/>
  <c r="H4006" i="1"/>
  <c r="I4005" i="1"/>
  <c r="H4005" i="1"/>
  <c r="I4004" i="1"/>
  <c r="H4004" i="1"/>
  <c r="I4003" i="1"/>
  <c r="H4003" i="1"/>
  <c r="I4002" i="1"/>
  <c r="H4002" i="1"/>
  <c r="I4001" i="1"/>
  <c r="H4001" i="1"/>
  <c r="I4000" i="1"/>
  <c r="H4000" i="1"/>
  <c r="I3999" i="1"/>
  <c r="H3999" i="1"/>
  <c r="I3998" i="1"/>
  <c r="H3998" i="1"/>
  <c r="I3997" i="1"/>
  <c r="H3997" i="1"/>
  <c r="I3996" i="1"/>
  <c r="H3996" i="1"/>
  <c r="I3995" i="1"/>
  <c r="H3995" i="1"/>
  <c r="I3994" i="1"/>
  <c r="H3994" i="1"/>
  <c r="I3993" i="1"/>
  <c r="H3993" i="1"/>
  <c r="I3992" i="1"/>
  <c r="H3992" i="1"/>
  <c r="I3991" i="1"/>
  <c r="H3991" i="1"/>
  <c r="I3990" i="1"/>
  <c r="H3990" i="1"/>
  <c r="I3989" i="1"/>
  <c r="H3989" i="1"/>
  <c r="I3988" i="1"/>
  <c r="H3988" i="1"/>
  <c r="I3987" i="1"/>
  <c r="H3987" i="1"/>
  <c r="I3986" i="1"/>
  <c r="H3986" i="1"/>
  <c r="I3985" i="1"/>
  <c r="H3985" i="1"/>
  <c r="I3984" i="1"/>
  <c r="H3984" i="1"/>
  <c r="I3983" i="1"/>
  <c r="H3983" i="1"/>
  <c r="I3982" i="1"/>
  <c r="H3982" i="1"/>
  <c r="I3981" i="1"/>
  <c r="H3981" i="1"/>
  <c r="I3980" i="1"/>
  <c r="H3980" i="1"/>
  <c r="I3979" i="1"/>
  <c r="H3979" i="1"/>
  <c r="I3978" i="1"/>
  <c r="H3978" i="1"/>
  <c r="I3977" i="1"/>
  <c r="H3977" i="1"/>
  <c r="I3976" i="1"/>
  <c r="H3976" i="1"/>
  <c r="I3975" i="1"/>
  <c r="H3975" i="1"/>
  <c r="I3974" i="1"/>
  <c r="H3974" i="1"/>
  <c r="I3973" i="1"/>
  <c r="H3973" i="1"/>
  <c r="I3972" i="1"/>
  <c r="H3972" i="1"/>
  <c r="I3971" i="1"/>
  <c r="H3971" i="1"/>
  <c r="I3970" i="1"/>
  <c r="H3970" i="1"/>
  <c r="I3969" i="1"/>
  <c r="H3969" i="1"/>
  <c r="I3968" i="1"/>
  <c r="H3968" i="1"/>
  <c r="I3967" i="1"/>
  <c r="H3967" i="1"/>
  <c r="I3966" i="1"/>
  <c r="H3966" i="1"/>
  <c r="I3965" i="1"/>
  <c r="H3965" i="1"/>
  <c r="I3964" i="1"/>
  <c r="H3964" i="1"/>
  <c r="I3963" i="1"/>
  <c r="H3963" i="1"/>
  <c r="I3962" i="1"/>
  <c r="H3962" i="1"/>
  <c r="I3961" i="1"/>
  <c r="H3961" i="1"/>
  <c r="I3960" i="1"/>
  <c r="H3960" i="1"/>
  <c r="I3959" i="1"/>
  <c r="H3959" i="1"/>
  <c r="I3958" i="1"/>
  <c r="H3958" i="1"/>
  <c r="I3957" i="1"/>
  <c r="H3957" i="1"/>
  <c r="I3956" i="1"/>
  <c r="H3956" i="1"/>
  <c r="I3955" i="1"/>
  <c r="H3955" i="1"/>
  <c r="I3954" i="1"/>
  <c r="H3954" i="1"/>
  <c r="I3953" i="1"/>
  <c r="H3953" i="1"/>
  <c r="I3952" i="1"/>
  <c r="H3952" i="1"/>
  <c r="I3951" i="1"/>
  <c r="H3951" i="1"/>
  <c r="I3950" i="1"/>
  <c r="H3950" i="1"/>
  <c r="I3949" i="1"/>
  <c r="H3949" i="1"/>
  <c r="I3948" i="1"/>
  <c r="H3948" i="1"/>
  <c r="I3947" i="1"/>
  <c r="H3947" i="1"/>
  <c r="I3946" i="1"/>
  <c r="H3946" i="1"/>
  <c r="I3945" i="1"/>
  <c r="H3945" i="1"/>
  <c r="I3944" i="1"/>
  <c r="H3944" i="1"/>
  <c r="I3943" i="1"/>
  <c r="H3943" i="1"/>
  <c r="I3942" i="1"/>
  <c r="H3942" i="1"/>
  <c r="I3941" i="1"/>
  <c r="H3941" i="1"/>
  <c r="I3940" i="1"/>
  <c r="H3940" i="1"/>
  <c r="I3939" i="1"/>
  <c r="H3939" i="1"/>
  <c r="I3938" i="1"/>
  <c r="H3938" i="1"/>
  <c r="I3937" i="1"/>
  <c r="H3937" i="1"/>
  <c r="I3936" i="1"/>
  <c r="H3936" i="1"/>
  <c r="I3935" i="1"/>
  <c r="H3935" i="1"/>
  <c r="I3934" i="1"/>
  <c r="H3934" i="1"/>
  <c r="I3933" i="1"/>
  <c r="H3933" i="1"/>
  <c r="I3932" i="1"/>
  <c r="H3932" i="1"/>
  <c r="I3931" i="1"/>
  <c r="H3931" i="1"/>
  <c r="I3930" i="1"/>
  <c r="H3930" i="1"/>
  <c r="I3929" i="1"/>
  <c r="H3929" i="1"/>
  <c r="I3928" i="1"/>
  <c r="H3928" i="1"/>
  <c r="I3927" i="1"/>
  <c r="H3927" i="1"/>
  <c r="I3926" i="1"/>
  <c r="H3926" i="1"/>
  <c r="I3925" i="1"/>
  <c r="H3925" i="1"/>
  <c r="I3924" i="1"/>
  <c r="H3924" i="1"/>
  <c r="I3923" i="1"/>
  <c r="H3923" i="1"/>
  <c r="I3922" i="1"/>
  <c r="H3922" i="1"/>
  <c r="I3921" i="1"/>
  <c r="H3921" i="1"/>
  <c r="I3920" i="1"/>
  <c r="H3920" i="1"/>
  <c r="I3919" i="1"/>
  <c r="H3919" i="1"/>
  <c r="I3918" i="1"/>
  <c r="H3918" i="1"/>
  <c r="I3917" i="1"/>
  <c r="H3917" i="1"/>
  <c r="I3916" i="1"/>
  <c r="H3916" i="1"/>
  <c r="I3915" i="1"/>
  <c r="H3915" i="1"/>
  <c r="I3914" i="1"/>
  <c r="H3914" i="1"/>
  <c r="I3913" i="1"/>
  <c r="H3913" i="1"/>
  <c r="I3912" i="1"/>
  <c r="H3912" i="1"/>
  <c r="I3911" i="1"/>
  <c r="H3911" i="1"/>
  <c r="I3910" i="1"/>
  <c r="H3910" i="1"/>
  <c r="I3909" i="1"/>
  <c r="H3909" i="1"/>
  <c r="I3908" i="1"/>
  <c r="H3908" i="1"/>
  <c r="I3907" i="1"/>
  <c r="H3907" i="1"/>
  <c r="I3906" i="1"/>
  <c r="H3906" i="1"/>
  <c r="I3905" i="1"/>
  <c r="H3905" i="1"/>
  <c r="I3904" i="1"/>
  <c r="H3904" i="1"/>
  <c r="I3903" i="1"/>
  <c r="H3903" i="1"/>
  <c r="I3902" i="1"/>
  <c r="H3902" i="1"/>
  <c r="I3901" i="1"/>
  <c r="H3901" i="1"/>
  <c r="I3900" i="1"/>
  <c r="H3900" i="1"/>
  <c r="I3899" i="1"/>
  <c r="H3899" i="1"/>
  <c r="I3898" i="1"/>
  <c r="H3898" i="1"/>
  <c r="I3897" i="1"/>
  <c r="H3897" i="1"/>
  <c r="I3896" i="1"/>
  <c r="H3896" i="1"/>
  <c r="I3895" i="1"/>
  <c r="H3895" i="1"/>
  <c r="I3894" i="1"/>
  <c r="H3894" i="1"/>
  <c r="I3893" i="1"/>
  <c r="H3893" i="1"/>
  <c r="I3892" i="1"/>
  <c r="H3892" i="1"/>
  <c r="I3891" i="1"/>
  <c r="H3891" i="1"/>
  <c r="I3890" i="1"/>
  <c r="H3890" i="1"/>
  <c r="I3889" i="1"/>
  <c r="H3889" i="1"/>
  <c r="I3888" i="1"/>
  <c r="H3888" i="1"/>
  <c r="I3887" i="1"/>
  <c r="H3887" i="1"/>
  <c r="I3886" i="1"/>
  <c r="H3886" i="1"/>
  <c r="I3885" i="1"/>
  <c r="H3885" i="1"/>
  <c r="I3884" i="1"/>
  <c r="H3884" i="1"/>
  <c r="I3883" i="1"/>
  <c r="H3883" i="1"/>
  <c r="I3882" i="1"/>
  <c r="H3882" i="1"/>
  <c r="I3881" i="1"/>
  <c r="H3881" i="1"/>
  <c r="I3880" i="1"/>
  <c r="H3880" i="1"/>
  <c r="I3879" i="1"/>
  <c r="H3879" i="1"/>
  <c r="I3878" i="1"/>
  <c r="H3878" i="1"/>
  <c r="I3877" i="1"/>
  <c r="H3877" i="1"/>
  <c r="I3876" i="1"/>
  <c r="H3876" i="1"/>
  <c r="I3875" i="1"/>
  <c r="H3875" i="1"/>
  <c r="I3874" i="1"/>
  <c r="H3874" i="1"/>
  <c r="I3873" i="1"/>
  <c r="H3873" i="1"/>
  <c r="I3872" i="1"/>
  <c r="H3872" i="1"/>
  <c r="I3871" i="1"/>
  <c r="H3871" i="1"/>
  <c r="I3870" i="1"/>
  <c r="H3870" i="1"/>
  <c r="I3869" i="1"/>
  <c r="H3869" i="1"/>
  <c r="I3868" i="1"/>
  <c r="H3868" i="1"/>
  <c r="I3867" i="1"/>
  <c r="H3867" i="1"/>
  <c r="I3866" i="1"/>
  <c r="H3866" i="1"/>
  <c r="I3865" i="1"/>
  <c r="H3865" i="1"/>
  <c r="I3864" i="1"/>
  <c r="H3864" i="1"/>
  <c r="I3863" i="1"/>
  <c r="H3863" i="1"/>
  <c r="I3862" i="1"/>
  <c r="H3862" i="1"/>
  <c r="I3861" i="1"/>
  <c r="H3861" i="1"/>
  <c r="I3860" i="1"/>
  <c r="H3860" i="1"/>
  <c r="I3859" i="1"/>
  <c r="H3859" i="1"/>
  <c r="I3858" i="1"/>
  <c r="H3858" i="1"/>
  <c r="I3857" i="1"/>
  <c r="H3857" i="1"/>
  <c r="I3856" i="1"/>
  <c r="H3856" i="1"/>
  <c r="I3855" i="1"/>
  <c r="H3855" i="1"/>
  <c r="I3854" i="1"/>
  <c r="H3854" i="1"/>
  <c r="I3853" i="1"/>
  <c r="H3853" i="1"/>
  <c r="I3852" i="1"/>
  <c r="H3852" i="1"/>
  <c r="I3851" i="1"/>
  <c r="H3851" i="1"/>
  <c r="I3850" i="1"/>
  <c r="H3850" i="1"/>
  <c r="I3849" i="1"/>
  <c r="H3849" i="1"/>
  <c r="I3848" i="1"/>
  <c r="H3848" i="1"/>
  <c r="I3847" i="1"/>
  <c r="H3847" i="1"/>
  <c r="I3846" i="1"/>
  <c r="H3846" i="1"/>
  <c r="I3845" i="1"/>
  <c r="H3845" i="1"/>
  <c r="I3844" i="1"/>
  <c r="H3844" i="1"/>
  <c r="I3843" i="1"/>
  <c r="H3843" i="1"/>
  <c r="I3842" i="1"/>
  <c r="H3842" i="1"/>
  <c r="I3841" i="1"/>
  <c r="H3841" i="1"/>
  <c r="I3840" i="1"/>
  <c r="H3840" i="1"/>
  <c r="I3839" i="1"/>
  <c r="H3839" i="1"/>
  <c r="I3838" i="1"/>
  <c r="H3838" i="1"/>
  <c r="I3837" i="1"/>
  <c r="H3837" i="1"/>
  <c r="I3836" i="1"/>
  <c r="H3836" i="1"/>
  <c r="I3835" i="1"/>
  <c r="H3835" i="1"/>
  <c r="I3834" i="1"/>
  <c r="H3834" i="1"/>
  <c r="I3833" i="1"/>
  <c r="H3833" i="1"/>
  <c r="I3832" i="1"/>
  <c r="H3832" i="1"/>
  <c r="I3831" i="1"/>
  <c r="H3831" i="1"/>
  <c r="I3830" i="1"/>
  <c r="H3830" i="1"/>
  <c r="I3829" i="1"/>
  <c r="H3829" i="1"/>
  <c r="I3828" i="1"/>
  <c r="H3828" i="1"/>
  <c r="I3827" i="1"/>
  <c r="H3827" i="1"/>
  <c r="I3826" i="1"/>
  <c r="H3826" i="1"/>
  <c r="I3825" i="1"/>
  <c r="H3825" i="1"/>
  <c r="I3824" i="1"/>
  <c r="H3824" i="1"/>
  <c r="I3823" i="1"/>
  <c r="H3823" i="1"/>
  <c r="I3822" i="1"/>
  <c r="H3822" i="1"/>
  <c r="I3821" i="1"/>
  <c r="H3821" i="1"/>
  <c r="I3820" i="1"/>
  <c r="H3820" i="1"/>
  <c r="I3819" i="1"/>
  <c r="H3819" i="1"/>
  <c r="I3818" i="1"/>
  <c r="H3818" i="1"/>
  <c r="I3817" i="1"/>
  <c r="H3817" i="1"/>
  <c r="I3816" i="1"/>
  <c r="H3816" i="1"/>
  <c r="I3815" i="1"/>
  <c r="H3815" i="1"/>
  <c r="I3814" i="1"/>
  <c r="H3814" i="1"/>
  <c r="I3813" i="1"/>
  <c r="H3813" i="1"/>
  <c r="I3812" i="1"/>
  <c r="H3812" i="1"/>
  <c r="I3811" i="1"/>
  <c r="H3811" i="1"/>
  <c r="I3810" i="1"/>
  <c r="H3810" i="1"/>
  <c r="I3809" i="1"/>
  <c r="H3809" i="1"/>
  <c r="I3808" i="1"/>
  <c r="H3808" i="1"/>
  <c r="I3807" i="1"/>
  <c r="H3807" i="1"/>
  <c r="I3806" i="1"/>
  <c r="H3806" i="1"/>
  <c r="I3805" i="1"/>
  <c r="H3805" i="1"/>
  <c r="I3804" i="1"/>
  <c r="H3804" i="1"/>
  <c r="I3803" i="1"/>
  <c r="H3803" i="1"/>
  <c r="I3802" i="1"/>
  <c r="H3802" i="1"/>
  <c r="I3801" i="1"/>
  <c r="H3801" i="1"/>
  <c r="I3800" i="1"/>
  <c r="H3800" i="1"/>
  <c r="I3799" i="1"/>
  <c r="H3799" i="1"/>
  <c r="I3798" i="1"/>
  <c r="H3798" i="1"/>
  <c r="I3797" i="1"/>
  <c r="H3797" i="1"/>
  <c r="I3796" i="1"/>
  <c r="H3796" i="1"/>
  <c r="I3795" i="1"/>
  <c r="H3795" i="1"/>
  <c r="I3794" i="1"/>
  <c r="H3794" i="1"/>
  <c r="I3793" i="1"/>
  <c r="H3793" i="1"/>
  <c r="I3792" i="1"/>
  <c r="H3792" i="1"/>
  <c r="I3791" i="1"/>
  <c r="H3791" i="1"/>
  <c r="I3790" i="1"/>
  <c r="H3790" i="1"/>
  <c r="I3789" i="1"/>
  <c r="H3789" i="1"/>
  <c r="I3788" i="1"/>
  <c r="H3788" i="1"/>
  <c r="I3787" i="1"/>
  <c r="H3787" i="1"/>
  <c r="I3786" i="1"/>
  <c r="H3786" i="1"/>
  <c r="I3785" i="1"/>
  <c r="H3785" i="1"/>
  <c r="I3784" i="1"/>
  <c r="H3784" i="1"/>
  <c r="I3783" i="1"/>
  <c r="H3783" i="1"/>
  <c r="I3782" i="1"/>
  <c r="H3782" i="1"/>
  <c r="I3781" i="1"/>
  <c r="H3781" i="1"/>
  <c r="I3780" i="1"/>
  <c r="H3780" i="1"/>
  <c r="I3779" i="1"/>
  <c r="H3779" i="1"/>
  <c r="I3778" i="1"/>
  <c r="H3778" i="1"/>
  <c r="I3777" i="1"/>
  <c r="H3777" i="1"/>
  <c r="I3776" i="1"/>
  <c r="H3776" i="1"/>
  <c r="I3775" i="1"/>
  <c r="H3775" i="1"/>
  <c r="I3774" i="1"/>
  <c r="H3774" i="1"/>
  <c r="I3773" i="1"/>
  <c r="H3773" i="1"/>
  <c r="I3772" i="1"/>
  <c r="H3772" i="1"/>
  <c r="I3771" i="1"/>
  <c r="H3771" i="1"/>
  <c r="I3770" i="1"/>
  <c r="H3770" i="1"/>
  <c r="I3769" i="1"/>
  <c r="H3769" i="1"/>
  <c r="I3768" i="1"/>
  <c r="H3768" i="1"/>
  <c r="I3767" i="1"/>
  <c r="H3767" i="1"/>
  <c r="I3766" i="1"/>
  <c r="H3766" i="1"/>
  <c r="I3765" i="1"/>
  <c r="H3765" i="1"/>
  <c r="I3764" i="1"/>
  <c r="H3764" i="1"/>
  <c r="I3763" i="1"/>
  <c r="H3763" i="1"/>
  <c r="I3762" i="1"/>
  <c r="H3762" i="1"/>
  <c r="I3761" i="1"/>
  <c r="H3761" i="1"/>
  <c r="I3760" i="1"/>
  <c r="H3760" i="1"/>
  <c r="I3759" i="1"/>
  <c r="H3759" i="1"/>
  <c r="I3758" i="1"/>
  <c r="H3758" i="1"/>
  <c r="I3757" i="1"/>
  <c r="H3757" i="1"/>
  <c r="I3756" i="1"/>
  <c r="H3756" i="1"/>
  <c r="I3755" i="1"/>
  <c r="H3755" i="1"/>
  <c r="I3754" i="1"/>
  <c r="H3754" i="1"/>
  <c r="I3753" i="1"/>
  <c r="H3753" i="1"/>
  <c r="I3752" i="1"/>
  <c r="H3752" i="1"/>
  <c r="I3751" i="1"/>
  <c r="H3751" i="1"/>
  <c r="I3750" i="1"/>
  <c r="H3750" i="1"/>
  <c r="I3749" i="1"/>
  <c r="H3749" i="1"/>
  <c r="I3748" i="1"/>
  <c r="H3748" i="1"/>
  <c r="I3747" i="1"/>
  <c r="H3747" i="1"/>
  <c r="I3746" i="1"/>
  <c r="H3746" i="1"/>
  <c r="I3745" i="1"/>
  <c r="H3745" i="1"/>
  <c r="I3744" i="1"/>
  <c r="H3744" i="1"/>
  <c r="I3743" i="1"/>
  <c r="H3743" i="1"/>
  <c r="I3742" i="1"/>
  <c r="H3742" i="1"/>
  <c r="I3741" i="1"/>
  <c r="H3741" i="1"/>
  <c r="I3740" i="1"/>
  <c r="H3740" i="1"/>
  <c r="I3739" i="1"/>
  <c r="H3739" i="1"/>
  <c r="I3738" i="1"/>
  <c r="H3738" i="1"/>
  <c r="I3737" i="1"/>
  <c r="H3737" i="1"/>
  <c r="I3736" i="1"/>
  <c r="H3736" i="1"/>
  <c r="I3735" i="1"/>
  <c r="H3735" i="1"/>
  <c r="I3734" i="1"/>
  <c r="H3734" i="1"/>
  <c r="I3733" i="1"/>
  <c r="H3733" i="1"/>
  <c r="I3732" i="1"/>
  <c r="H3732" i="1"/>
  <c r="I3731" i="1"/>
  <c r="H3731" i="1"/>
  <c r="I3730" i="1"/>
  <c r="H3730" i="1"/>
  <c r="I3729" i="1"/>
  <c r="H3729" i="1"/>
  <c r="I3728" i="1"/>
  <c r="H3728" i="1"/>
  <c r="I3727" i="1"/>
  <c r="H3727" i="1"/>
  <c r="I3726" i="1"/>
  <c r="H3726" i="1"/>
  <c r="I3725" i="1"/>
  <c r="H3725" i="1"/>
  <c r="I3724" i="1"/>
  <c r="H3724" i="1"/>
  <c r="I3723" i="1"/>
  <c r="H3723" i="1"/>
  <c r="I3722" i="1"/>
  <c r="H3722" i="1"/>
  <c r="I3721" i="1"/>
  <c r="H3721" i="1"/>
  <c r="I3720" i="1"/>
  <c r="H3720" i="1"/>
  <c r="I3719" i="1"/>
  <c r="H3719" i="1"/>
  <c r="I3718" i="1"/>
  <c r="H3718" i="1"/>
  <c r="I3717" i="1"/>
  <c r="H3717" i="1"/>
  <c r="I3716" i="1"/>
  <c r="H3716" i="1"/>
  <c r="I3715" i="1"/>
  <c r="H3715" i="1"/>
  <c r="I3714" i="1"/>
  <c r="H3714" i="1"/>
  <c r="I3713" i="1"/>
  <c r="H3713" i="1"/>
  <c r="I3712" i="1"/>
  <c r="H3712" i="1"/>
  <c r="I3711" i="1"/>
  <c r="H3711" i="1"/>
  <c r="I3710" i="1"/>
  <c r="H3710" i="1"/>
  <c r="I3709" i="1"/>
  <c r="H3709" i="1"/>
  <c r="I3708" i="1"/>
  <c r="H3708" i="1"/>
  <c r="I3707" i="1"/>
  <c r="H3707" i="1"/>
  <c r="I3706" i="1"/>
  <c r="H3706" i="1"/>
  <c r="I3705" i="1"/>
  <c r="H3705" i="1"/>
  <c r="I3704" i="1"/>
  <c r="H3704" i="1"/>
  <c r="I3703" i="1"/>
  <c r="H3703" i="1"/>
  <c r="I3702" i="1"/>
  <c r="H3702" i="1"/>
  <c r="I3701" i="1"/>
  <c r="H3701" i="1"/>
  <c r="I3700" i="1"/>
  <c r="H3700" i="1"/>
  <c r="I3699" i="1"/>
  <c r="H3699" i="1"/>
  <c r="I3698" i="1"/>
  <c r="H3698" i="1"/>
  <c r="I3697" i="1"/>
  <c r="H3697" i="1"/>
  <c r="I3696" i="1"/>
  <c r="H3696" i="1"/>
  <c r="I3695" i="1"/>
  <c r="H3695" i="1"/>
  <c r="I3694" i="1"/>
  <c r="H3694" i="1"/>
  <c r="I3693" i="1"/>
  <c r="H3693" i="1"/>
  <c r="I3692" i="1"/>
  <c r="H3692" i="1"/>
  <c r="I3691" i="1"/>
  <c r="H3691" i="1"/>
  <c r="I3690" i="1"/>
  <c r="H3690" i="1"/>
  <c r="I3689" i="1"/>
  <c r="H3689" i="1"/>
  <c r="I3688" i="1"/>
  <c r="H3688" i="1"/>
  <c r="I3687" i="1"/>
  <c r="H3687" i="1"/>
  <c r="I3686" i="1"/>
  <c r="H3686" i="1"/>
  <c r="I3685" i="1"/>
  <c r="H3685" i="1"/>
  <c r="I3684" i="1"/>
  <c r="H3684" i="1"/>
  <c r="I3683" i="1"/>
  <c r="H3683" i="1"/>
  <c r="I3682" i="1"/>
  <c r="H3682" i="1"/>
  <c r="I3681" i="1"/>
  <c r="H3681" i="1"/>
  <c r="I3680" i="1"/>
  <c r="H3680" i="1"/>
  <c r="I3679" i="1"/>
  <c r="H3679" i="1"/>
  <c r="I3678" i="1"/>
  <c r="H3678" i="1"/>
  <c r="I3677" i="1"/>
  <c r="H3677" i="1"/>
  <c r="I3676" i="1"/>
  <c r="H3676" i="1"/>
  <c r="I3675" i="1"/>
  <c r="H3675" i="1"/>
  <c r="I3674" i="1"/>
  <c r="H3674" i="1"/>
  <c r="I3673" i="1"/>
  <c r="H3673" i="1"/>
  <c r="I3672" i="1"/>
  <c r="H3672" i="1"/>
  <c r="I3671" i="1"/>
  <c r="H3671" i="1"/>
  <c r="I3670" i="1"/>
  <c r="H3670" i="1"/>
  <c r="I3669" i="1"/>
  <c r="H3669" i="1"/>
  <c r="I3668" i="1"/>
  <c r="H3668" i="1"/>
  <c r="I3667" i="1"/>
  <c r="H3667" i="1"/>
  <c r="I3666" i="1"/>
  <c r="H3666" i="1"/>
  <c r="I3665" i="1"/>
  <c r="H3665" i="1"/>
  <c r="I3664" i="1"/>
  <c r="H3664" i="1"/>
  <c r="I3663" i="1"/>
  <c r="H3663" i="1"/>
  <c r="I3662" i="1"/>
  <c r="H3662" i="1"/>
  <c r="I3661" i="1"/>
  <c r="H3661" i="1"/>
  <c r="I3660" i="1"/>
  <c r="H3660" i="1"/>
  <c r="I3659" i="1"/>
  <c r="H3659" i="1"/>
  <c r="I3658" i="1"/>
  <c r="H3658" i="1"/>
  <c r="I3657" i="1"/>
  <c r="H3657" i="1"/>
  <c r="I3656" i="1"/>
  <c r="H3656" i="1"/>
  <c r="I3655" i="1"/>
  <c r="H3655" i="1"/>
  <c r="I3654" i="1"/>
  <c r="H3654" i="1"/>
  <c r="I3653" i="1"/>
  <c r="H3653" i="1"/>
  <c r="I3652" i="1"/>
  <c r="H3652" i="1"/>
  <c r="I3651" i="1"/>
  <c r="H3651" i="1"/>
  <c r="I3650" i="1"/>
  <c r="H3650" i="1"/>
  <c r="I3649" i="1"/>
  <c r="H3649" i="1"/>
  <c r="I3648" i="1"/>
  <c r="H3648" i="1"/>
  <c r="I3647" i="1"/>
  <c r="H3647" i="1"/>
  <c r="I3646" i="1"/>
  <c r="H3646" i="1"/>
  <c r="I3645" i="1"/>
  <c r="H3645" i="1"/>
  <c r="I3644" i="1"/>
  <c r="H3644" i="1"/>
  <c r="I3643" i="1"/>
  <c r="H3643" i="1"/>
  <c r="I3642" i="1"/>
  <c r="H3642" i="1"/>
  <c r="I3641" i="1"/>
  <c r="H3641" i="1"/>
  <c r="I3640" i="1"/>
  <c r="H3640" i="1"/>
  <c r="I3639" i="1"/>
  <c r="H3639" i="1"/>
  <c r="I3638" i="1"/>
  <c r="H3638" i="1"/>
  <c r="I3637" i="1"/>
  <c r="H3637" i="1"/>
  <c r="I3636" i="1"/>
  <c r="H3636" i="1"/>
  <c r="I3635" i="1"/>
  <c r="H3635" i="1"/>
  <c r="I3634" i="1"/>
  <c r="H3634" i="1"/>
  <c r="I3633" i="1"/>
  <c r="H3633" i="1"/>
  <c r="I3632" i="1"/>
  <c r="H3632" i="1"/>
  <c r="I3631" i="1"/>
  <c r="H3631" i="1"/>
  <c r="I3630" i="1"/>
  <c r="H3630" i="1"/>
  <c r="I3629" i="1"/>
  <c r="H3629" i="1"/>
  <c r="I3628" i="1"/>
  <c r="H3628" i="1"/>
  <c r="I3627" i="1"/>
  <c r="H3627" i="1"/>
  <c r="I3626" i="1"/>
  <c r="H3626" i="1"/>
  <c r="I3625" i="1"/>
  <c r="H3625" i="1"/>
  <c r="I3624" i="1"/>
  <c r="H3624" i="1"/>
  <c r="I3623" i="1"/>
  <c r="H3623" i="1"/>
  <c r="I3622" i="1"/>
  <c r="H3622" i="1"/>
  <c r="I3621" i="1"/>
  <c r="H3621" i="1"/>
  <c r="I3620" i="1"/>
  <c r="H3620" i="1"/>
  <c r="I3619" i="1"/>
  <c r="H3619" i="1"/>
  <c r="I3618" i="1"/>
  <c r="H3618" i="1"/>
  <c r="I3617" i="1"/>
  <c r="H3617" i="1"/>
  <c r="I3616" i="1"/>
  <c r="H3616" i="1"/>
  <c r="I3615" i="1"/>
  <c r="H3615" i="1"/>
  <c r="I3614" i="1"/>
  <c r="H3614" i="1"/>
  <c r="I3613" i="1"/>
  <c r="H3613" i="1"/>
  <c r="I3612" i="1"/>
  <c r="H3612" i="1"/>
  <c r="I3611" i="1"/>
  <c r="H3611" i="1"/>
  <c r="I3610" i="1"/>
  <c r="H3610" i="1"/>
  <c r="I3609" i="1"/>
  <c r="H3609" i="1"/>
  <c r="I3608" i="1"/>
  <c r="H3608" i="1"/>
  <c r="I3607" i="1"/>
  <c r="H3607" i="1"/>
  <c r="I3606" i="1"/>
  <c r="H3606" i="1"/>
  <c r="I3605" i="1"/>
  <c r="H3605" i="1"/>
  <c r="I3604" i="1"/>
  <c r="H3604" i="1"/>
  <c r="I3603" i="1"/>
  <c r="H3603" i="1"/>
  <c r="I3602" i="1"/>
  <c r="H3602" i="1"/>
  <c r="I3601" i="1"/>
  <c r="H3601" i="1"/>
  <c r="I3600" i="1"/>
  <c r="H3600" i="1"/>
  <c r="I3599" i="1"/>
  <c r="H3599" i="1"/>
  <c r="I3598" i="1"/>
  <c r="H3598" i="1"/>
  <c r="I3597" i="1"/>
  <c r="H3597" i="1"/>
  <c r="I3596" i="1"/>
  <c r="H3596" i="1"/>
  <c r="I3595" i="1"/>
  <c r="H3595" i="1"/>
  <c r="I3594" i="1"/>
  <c r="H3594" i="1"/>
  <c r="I3593" i="1"/>
  <c r="H3593" i="1"/>
  <c r="I3592" i="1"/>
  <c r="H3592" i="1"/>
  <c r="I3591" i="1"/>
  <c r="H3591" i="1"/>
  <c r="I3590" i="1"/>
  <c r="H3590" i="1"/>
  <c r="I3589" i="1"/>
  <c r="H3589" i="1"/>
  <c r="I3588" i="1"/>
  <c r="H3588" i="1"/>
  <c r="I3587" i="1"/>
  <c r="H3587" i="1"/>
  <c r="I3586" i="1"/>
  <c r="H3586" i="1"/>
  <c r="I3585" i="1"/>
  <c r="H3585" i="1"/>
  <c r="I3584" i="1"/>
  <c r="H3584" i="1"/>
  <c r="I3583" i="1"/>
  <c r="H3583" i="1"/>
  <c r="I3582" i="1"/>
  <c r="H3582" i="1"/>
  <c r="I3581" i="1"/>
  <c r="H3581" i="1"/>
  <c r="I3580" i="1"/>
  <c r="H3580" i="1"/>
  <c r="I3579" i="1"/>
  <c r="H3579" i="1"/>
  <c r="I3578" i="1"/>
  <c r="H3578" i="1"/>
  <c r="I3577" i="1"/>
  <c r="H3577" i="1"/>
  <c r="I3576" i="1"/>
  <c r="H3576" i="1"/>
  <c r="I3575" i="1"/>
  <c r="H3575" i="1"/>
  <c r="I3574" i="1"/>
  <c r="H3574" i="1"/>
  <c r="I3573" i="1"/>
  <c r="H3573" i="1"/>
  <c r="I3572" i="1"/>
  <c r="H3572" i="1"/>
  <c r="I3571" i="1"/>
  <c r="H3571" i="1"/>
  <c r="I3570" i="1"/>
  <c r="H3570" i="1"/>
  <c r="I3569" i="1"/>
  <c r="H3569" i="1"/>
  <c r="I3568" i="1"/>
  <c r="H3568" i="1"/>
  <c r="I3567" i="1"/>
  <c r="H3567" i="1"/>
  <c r="I3566" i="1"/>
  <c r="H3566" i="1"/>
  <c r="I3565" i="1"/>
  <c r="H3565" i="1"/>
  <c r="I3564" i="1"/>
  <c r="H3564" i="1"/>
  <c r="I3563" i="1"/>
  <c r="H3563" i="1"/>
  <c r="I3562" i="1"/>
  <c r="H3562" i="1"/>
  <c r="I3561" i="1"/>
  <c r="H3561" i="1"/>
  <c r="I3560" i="1"/>
  <c r="H3560" i="1"/>
  <c r="I3559" i="1"/>
  <c r="H3559" i="1"/>
  <c r="I3558" i="1"/>
  <c r="H3558" i="1"/>
  <c r="I3557" i="1"/>
  <c r="H3557" i="1"/>
  <c r="I3556" i="1"/>
  <c r="H3556" i="1"/>
  <c r="I3555" i="1"/>
  <c r="H3555" i="1"/>
  <c r="I3554" i="1"/>
  <c r="H3554" i="1"/>
  <c r="I3553" i="1"/>
  <c r="H3553" i="1"/>
  <c r="I3552" i="1"/>
  <c r="H3552" i="1"/>
  <c r="I3551" i="1"/>
  <c r="H3551" i="1"/>
  <c r="I3550" i="1"/>
  <c r="H3550" i="1"/>
  <c r="I3549" i="1"/>
  <c r="H3549" i="1"/>
  <c r="I3548" i="1"/>
  <c r="H3548" i="1"/>
  <c r="I3547" i="1"/>
  <c r="H3547" i="1"/>
  <c r="I3546" i="1"/>
  <c r="H3546" i="1"/>
  <c r="I3545" i="1"/>
  <c r="H3545" i="1"/>
  <c r="I3544" i="1"/>
  <c r="H3544" i="1"/>
  <c r="I3543" i="1"/>
  <c r="H3543" i="1"/>
  <c r="I3542" i="1"/>
  <c r="H3542" i="1"/>
  <c r="I3541" i="1"/>
  <c r="H3541" i="1"/>
  <c r="I3540" i="1"/>
  <c r="H3540" i="1"/>
  <c r="I3539" i="1"/>
  <c r="H3539" i="1"/>
  <c r="I3538" i="1"/>
  <c r="H3538" i="1"/>
  <c r="I3537" i="1"/>
  <c r="H3537" i="1"/>
  <c r="I3536" i="1"/>
  <c r="H3536" i="1"/>
  <c r="I3535" i="1"/>
  <c r="H3535" i="1"/>
  <c r="I3534" i="1"/>
  <c r="H3534" i="1"/>
  <c r="I3533" i="1"/>
  <c r="H3533" i="1"/>
  <c r="I3532" i="1"/>
  <c r="H3532" i="1"/>
  <c r="I3531" i="1"/>
  <c r="H3531" i="1"/>
  <c r="I3530" i="1"/>
  <c r="H3530" i="1"/>
  <c r="I3529" i="1"/>
  <c r="H3529" i="1"/>
  <c r="I3528" i="1"/>
  <c r="H3528" i="1"/>
  <c r="I3527" i="1"/>
  <c r="H3527" i="1"/>
  <c r="I3526" i="1"/>
  <c r="H3526" i="1"/>
  <c r="I3525" i="1"/>
  <c r="H3525" i="1"/>
  <c r="I3524" i="1"/>
  <c r="H3524" i="1"/>
  <c r="I3523" i="1"/>
  <c r="H3523" i="1"/>
  <c r="I3522" i="1"/>
  <c r="H3522" i="1"/>
  <c r="I3521" i="1"/>
  <c r="H3521" i="1"/>
  <c r="I3520" i="1"/>
  <c r="H3520" i="1"/>
  <c r="I3519" i="1"/>
  <c r="H3519" i="1"/>
  <c r="I3518" i="1"/>
  <c r="H3518" i="1"/>
  <c r="I3517" i="1"/>
  <c r="H3517" i="1"/>
  <c r="I3516" i="1"/>
  <c r="H3516" i="1"/>
  <c r="I3515" i="1"/>
  <c r="H3515" i="1"/>
  <c r="I3514" i="1"/>
  <c r="H3514" i="1"/>
  <c r="I3513" i="1"/>
  <c r="H3513" i="1"/>
  <c r="I3512" i="1"/>
  <c r="H3512" i="1"/>
  <c r="I3511" i="1"/>
  <c r="H3511" i="1"/>
  <c r="I3510" i="1"/>
  <c r="H3510" i="1"/>
  <c r="I3509" i="1"/>
  <c r="H3509" i="1"/>
  <c r="I3508" i="1"/>
  <c r="H3508" i="1"/>
  <c r="I3507" i="1"/>
  <c r="H3507" i="1"/>
  <c r="I3506" i="1"/>
  <c r="H3506" i="1"/>
  <c r="I3505" i="1"/>
  <c r="H3505" i="1"/>
  <c r="I3504" i="1"/>
  <c r="H3504" i="1"/>
  <c r="I3503" i="1"/>
  <c r="H3503" i="1"/>
  <c r="I3502" i="1"/>
  <c r="H3502" i="1"/>
  <c r="I3501" i="1"/>
  <c r="H3501" i="1"/>
  <c r="I3500" i="1"/>
  <c r="H3500" i="1"/>
  <c r="I3499" i="1"/>
  <c r="H3499" i="1"/>
  <c r="I3498" i="1"/>
  <c r="H3498" i="1"/>
  <c r="I3497" i="1"/>
  <c r="H3497" i="1"/>
  <c r="I3496" i="1"/>
  <c r="H3496" i="1"/>
  <c r="I3495" i="1"/>
  <c r="H3495" i="1"/>
  <c r="I3494" i="1"/>
  <c r="H3494" i="1"/>
  <c r="I3493" i="1"/>
  <c r="H3493" i="1"/>
  <c r="I3492" i="1"/>
  <c r="H3492" i="1"/>
  <c r="I3491" i="1"/>
  <c r="H3491" i="1"/>
  <c r="I3490" i="1"/>
  <c r="H3490" i="1"/>
  <c r="I3489" i="1"/>
  <c r="H3489" i="1"/>
  <c r="I3488" i="1"/>
  <c r="H3488" i="1"/>
  <c r="I3487" i="1"/>
  <c r="H3487" i="1"/>
  <c r="I3486" i="1"/>
  <c r="H3486" i="1"/>
  <c r="I3485" i="1"/>
  <c r="H3485" i="1"/>
  <c r="I3484" i="1"/>
  <c r="H3484" i="1"/>
  <c r="I3483" i="1"/>
  <c r="H3483" i="1"/>
  <c r="I3482" i="1"/>
  <c r="H3482" i="1"/>
  <c r="I3481" i="1"/>
  <c r="H3481" i="1"/>
  <c r="I3480" i="1"/>
  <c r="H3480" i="1"/>
  <c r="I3479" i="1"/>
  <c r="H3479" i="1"/>
  <c r="I3478" i="1"/>
  <c r="H3478" i="1"/>
  <c r="I3477" i="1"/>
  <c r="H3477" i="1"/>
  <c r="I3476" i="1"/>
  <c r="H3476" i="1"/>
  <c r="I3475" i="1"/>
  <c r="H3475" i="1"/>
  <c r="I3474" i="1"/>
  <c r="H3474" i="1"/>
  <c r="I3473" i="1"/>
  <c r="H3473" i="1"/>
  <c r="I3472" i="1"/>
  <c r="H3472" i="1"/>
  <c r="I3471" i="1"/>
  <c r="H3471" i="1"/>
  <c r="I3470" i="1"/>
  <c r="H3470" i="1"/>
  <c r="I3469" i="1"/>
  <c r="H3469" i="1"/>
  <c r="I3468" i="1"/>
  <c r="H3468" i="1"/>
  <c r="I3467" i="1"/>
  <c r="H3467" i="1"/>
  <c r="I3466" i="1"/>
  <c r="H3466" i="1"/>
  <c r="I3465" i="1"/>
  <c r="H3465" i="1"/>
  <c r="I3464" i="1"/>
  <c r="H3464" i="1"/>
  <c r="I3463" i="1"/>
  <c r="H3463" i="1"/>
  <c r="I3462" i="1"/>
  <c r="H3462" i="1"/>
  <c r="I3461" i="1"/>
  <c r="H3461" i="1"/>
  <c r="I3460" i="1"/>
  <c r="H3460" i="1"/>
  <c r="I3459" i="1"/>
  <c r="H3459" i="1"/>
  <c r="I3458" i="1"/>
  <c r="H3458" i="1"/>
  <c r="I3457" i="1"/>
  <c r="H3457" i="1"/>
  <c r="I3456" i="1"/>
  <c r="H3456" i="1"/>
  <c r="I3455" i="1"/>
  <c r="H3455" i="1"/>
  <c r="I3454" i="1"/>
  <c r="H3454" i="1"/>
  <c r="I3453" i="1"/>
  <c r="H3453" i="1"/>
  <c r="I3452" i="1"/>
  <c r="H3452" i="1"/>
  <c r="I3451" i="1"/>
  <c r="H3451" i="1"/>
  <c r="I3450" i="1"/>
  <c r="H3450" i="1"/>
  <c r="I3449" i="1"/>
  <c r="H3449" i="1"/>
  <c r="I3448" i="1"/>
  <c r="H3448" i="1"/>
  <c r="I3447" i="1"/>
  <c r="H3447" i="1"/>
  <c r="I3446" i="1"/>
  <c r="H3446" i="1"/>
  <c r="I3445" i="1"/>
  <c r="H3445" i="1"/>
  <c r="I3444" i="1"/>
  <c r="H3444" i="1"/>
  <c r="I3443" i="1"/>
  <c r="H3443" i="1"/>
  <c r="I3442" i="1"/>
  <c r="H3442" i="1"/>
  <c r="I3441" i="1"/>
  <c r="H3441" i="1"/>
  <c r="I3440" i="1"/>
  <c r="H3440" i="1"/>
  <c r="I3439" i="1"/>
  <c r="H3439" i="1"/>
  <c r="I3438" i="1"/>
  <c r="H3438" i="1"/>
  <c r="I3437" i="1"/>
  <c r="H3437" i="1"/>
  <c r="I3436" i="1"/>
  <c r="H3436" i="1"/>
  <c r="I3435" i="1"/>
  <c r="H3435" i="1"/>
  <c r="I3434" i="1"/>
  <c r="H3434" i="1"/>
  <c r="I3433" i="1"/>
  <c r="H3433" i="1"/>
  <c r="I3432" i="1"/>
  <c r="H3432" i="1"/>
  <c r="I3431" i="1"/>
  <c r="H3431" i="1"/>
  <c r="I3430" i="1"/>
  <c r="H3430" i="1"/>
  <c r="I3429" i="1"/>
  <c r="H3429" i="1"/>
  <c r="I3428" i="1"/>
  <c r="H3428" i="1"/>
  <c r="I3427" i="1"/>
  <c r="H3427" i="1"/>
  <c r="I3426" i="1"/>
  <c r="H3426" i="1"/>
  <c r="I3425" i="1"/>
  <c r="H3425" i="1"/>
  <c r="I3424" i="1"/>
  <c r="H3424" i="1"/>
  <c r="I3423" i="1"/>
  <c r="H3423" i="1"/>
  <c r="I3422" i="1"/>
  <c r="H3422" i="1"/>
  <c r="I3421" i="1"/>
  <c r="H3421" i="1"/>
  <c r="I3420" i="1"/>
  <c r="H3420" i="1"/>
  <c r="I3419" i="1"/>
  <c r="H3419" i="1"/>
  <c r="I3418" i="1"/>
  <c r="H3418" i="1"/>
  <c r="I3417" i="1"/>
  <c r="H3417" i="1"/>
  <c r="I3416" i="1"/>
  <c r="H3416" i="1"/>
  <c r="I3415" i="1"/>
  <c r="H3415" i="1"/>
  <c r="I3414" i="1"/>
  <c r="H3414" i="1"/>
  <c r="I3413" i="1"/>
  <c r="H3413" i="1"/>
  <c r="I3412" i="1"/>
  <c r="H3412" i="1"/>
  <c r="I3411" i="1"/>
  <c r="H3411" i="1"/>
  <c r="I3410" i="1"/>
  <c r="H3410" i="1"/>
  <c r="I3409" i="1"/>
  <c r="H3409" i="1"/>
  <c r="I3408" i="1"/>
  <c r="H3408" i="1"/>
  <c r="I3407" i="1"/>
  <c r="H3407" i="1"/>
  <c r="I3406" i="1"/>
  <c r="H3406" i="1"/>
  <c r="I3405" i="1"/>
  <c r="H3405" i="1"/>
  <c r="I3404" i="1"/>
  <c r="H3404" i="1"/>
  <c r="I3403" i="1"/>
  <c r="H3403" i="1"/>
  <c r="I3402" i="1"/>
  <c r="H3402" i="1"/>
  <c r="I3401" i="1"/>
  <c r="H3401" i="1"/>
  <c r="I3400" i="1"/>
  <c r="H3400" i="1"/>
  <c r="I3399" i="1"/>
  <c r="H3399" i="1"/>
  <c r="I3398" i="1"/>
  <c r="H3398" i="1"/>
  <c r="I3397" i="1"/>
  <c r="H3397" i="1"/>
  <c r="I3396" i="1"/>
  <c r="H3396" i="1"/>
  <c r="I3395" i="1"/>
  <c r="H3395" i="1"/>
  <c r="I3394" i="1"/>
  <c r="H3394" i="1"/>
  <c r="I3393" i="1"/>
  <c r="H3393" i="1"/>
  <c r="I3392" i="1"/>
  <c r="H3392" i="1"/>
  <c r="I3391" i="1"/>
  <c r="H3391" i="1"/>
  <c r="I3390" i="1"/>
  <c r="H3390" i="1"/>
  <c r="I3389" i="1"/>
  <c r="H3389" i="1"/>
  <c r="I3388" i="1"/>
  <c r="H3388" i="1"/>
  <c r="I3387" i="1"/>
  <c r="H3387" i="1"/>
  <c r="I3386" i="1"/>
  <c r="H3386" i="1"/>
  <c r="I3385" i="1"/>
  <c r="H3385" i="1"/>
  <c r="I3384" i="1"/>
  <c r="H3384" i="1"/>
  <c r="I3383" i="1"/>
  <c r="H3383" i="1"/>
  <c r="I3382" i="1"/>
  <c r="H3382" i="1"/>
  <c r="I3381" i="1"/>
  <c r="H3381" i="1"/>
  <c r="I3380" i="1"/>
  <c r="H3380" i="1"/>
  <c r="I3379" i="1"/>
  <c r="H3379" i="1"/>
  <c r="I3378" i="1"/>
  <c r="H3378" i="1"/>
  <c r="I3377" i="1"/>
  <c r="H3377" i="1"/>
  <c r="I3376" i="1"/>
  <c r="H3376" i="1"/>
  <c r="I3375" i="1"/>
  <c r="H3375" i="1"/>
  <c r="I3374" i="1"/>
  <c r="H3374" i="1"/>
  <c r="I3373" i="1"/>
  <c r="H3373" i="1"/>
  <c r="I3372" i="1"/>
  <c r="H3372" i="1"/>
  <c r="I3371" i="1"/>
  <c r="H3371" i="1"/>
  <c r="I3370" i="1"/>
  <c r="H3370" i="1"/>
  <c r="I3369" i="1"/>
  <c r="H3369" i="1"/>
  <c r="I3368" i="1"/>
  <c r="H3368" i="1"/>
  <c r="I3367" i="1"/>
  <c r="H3367" i="1"/>
  <c r="I3366" i="1"/>
  <c r="H3366" i="1"/>
  <c r="I3365" i="1"/>
  <c r="H3365" i="1"/>
  <c r="I3364" i="1"/>
  <c r="H3364" i="1"/>
  <c r="I3363" i="1"/>
  <c r="H3363" i="1"/>
  <c r="I3362" i="1"/>
  <c r="H3362" i="1"/>
  <c r="I3361" i="1"/>
  <c r="H3361" i="1"/>
  <c r="I3360" i="1"/>
  <c r="H3360" i="1"/>
  <c r="I3359" i="1"/>
  <c r="H3359" i="1"/>
  <c r="I3358" i="1"/>
  <c r="H3358" i="1"/>
  <c r="I3357" i="1"/>
  <c r="H3357" i="1"/>
  <c r="I3356" i="1"/>
  <c r="H3356" i="1"/>
  <c r="I3355" i="1"/>
  <c r="H3355" i="1"/>
  <c r="I3354" i="1"/>
  <c r="H3354" i="1"/>
  <c r="I3353" i="1"/>
  <c r="H3353" i="1"/>
  <c r="I3352" i="1"/>
  <c r="H3352" i="1"/>
  <c r="I3351" i="1"/>
  <c r="H3351" i="1"/>
  <c r="I3350" i="1"/>
  <c r="H3350" i="1"/>
  <c r="I3349" i="1"/>
  <c r="H3349" i="1"/>
  <c r="I3348" i="1"/>
  <c r="H3348" i="1"/>
  <c r="I3347" i="1"/>
  <c r="H3347" i="1"/>
  <c r="I3346" i="1"/>
  <c r="H3346" i="1"/>
  <c r="I3345" i="1"/>
  <c r="H3345" i="1"/>
  <c r="I3344" i="1"/>
  <c r="H3344" i="1"/>
  <c r="I3343" i="1"/>
  <c r="H3343" i="1"/>
  <c r="I3342" i="1"/>
  <c r="H3342" i="1"/>
  <c r="I3341" i="1"/>
  <c r="H3341" i="1"/>
  <c r="I3340" i="1"/>
  <c r="H3340" i="1"/>
  <c r="I3339" i="1"/>
  <c r="H3339" i="1"/>
  <c r="I3338" i="1"/>
  <c r="H3338" i="1"/>
  <c r="I3337" i="1"/>
  <c r="H3337" i="1"/>
  <c r="I3336" i="1"/>
  <c r="H3336" i="1"/>
  <c r="I3335" i="1"/>
  <c r="H3335" i="1"/>
  <c r="I3334" i="1"/>
  <c r="H3334" i="1"/>
  <c r="I3333" i="1"/>
  <c r="H3333" i="1"/>
  <c r="I3332" i="1"/>
  <c r="H3332" i="1"/>
  <c r="I3331" i="1"/>
  <c r="H3331" i="1"/>
  <c r="I3330" i="1"/>
  <c r="H3330" i="1"/>
  <c r="I3329" i="1"/>
  <c r="H3329" i="1"/>
  <c r="I3328" i="1"/>
  <c r="H3328" i="1"/>
  <c r="I3327" i="1"/>
  <c r="H3327" i="1"/>
  <c r="I3326" i="1"/>
  <c r="H3326" i="1"/>
  <c r="I3325" i="1"/>
  <c r="H3325" i="1"/>
  <c r="I3324" i="1"/>
  <c r="H3324" i="1"/>
  <c r="I3323" i="1"/>
  <c r="H3323" i="1"/>
  <c r="I3322" i="1"/>
  <c r="H3322" i="1"/>
  <c r="I3321" i="1"/>
  <c r="H3321" i="1"/>
  <c r="I3320" i="1"/>
  <c r="H3320" i="1"/>
  <c r="I3319" i="1"/>
  <c r="H3319" i="1"/>
  <c r="I3318" i="1"/>
  <c r="H3318" i="1"/>
  <c r="I3317" i="1"/>
  <c r="H3317" i="1"/>
  <c r="I3316" i="1"/>
  <c r="H3316" i="1"/>
  <c r="I3315" i="1"/>
  <c r="H3315" i="1"/>
  <c r="I3314" i="1"/>
  <c r="H3314" i="1"/>
  <c r="I3313" i="1"/>
  <c r="H3313" i="1"/>
  <c r="I3312" i="1"/>
  <c r="H3312" i="1"/>
  <c r="I3311" i="1"/>
  <c r="H3311" i="1"/>
  <c r="I3310" i="1"/>
  <c r="H3310" i="1"/>
  <c r="I3309" i="1"/>
  <c r="H3309" i="1"/>
  <c r="I3308" i="1"/>
  <c r="H3308" i="1"/>
  <c r="I3307" i="1"/>
  <c r="H3307" i="1"/>
  <c r="I3306" i="1"/>
  <c r="H3306" i="1"/>
  <c r="I3305" i="1"/>
  <c r="H3305" i="1"/>
  <c r="I3304" i="1"/>
  <c r="H3304" i="1"/>
  <c r="I3303" i="1"/>
  <c r="H3303" i="1"/>
  <c r="I3302" i="1"/>
  <c r="H3302" i="1"/>
  <c r="I3301" i="1"/>
  <c r="H3301" i="1"/>
  <c r="I3300" i="1"/>
  <c r="H3300" i="1"/>
  <c r="I3299" i="1"/>
  <c r="H3299" i="1"/>
  <c r="I3298" i="1"/>
  <c r="H3298" i="1"/>
  <c r="I3297" i="1"/>
  <c r="H3297" i="1"/>
  <c r="I3296" i="1"/>
  <c r="H3296" i="1"/>
  <c r="I3295" i="1"/>
  <c r="H3295" i="1"/>
  <c r="I3294" i="1"/>
  <c r="H3294" i="1"/>
  <c r="I3293" i="1"/>
  <c r="H3293" i="1"/>
  <c r="I3292" i="1"/>
  <c r="H3292" i="1"/>
  <c r="I3291" i="1"/>
  <c r="H3291" i="1"/>
  <c r="I3290" i="1"/>
  <c r="H3290" i="1"/>
  <c r="I3289" i="1"/>
  <c r="H3289" i="1"/>
  <c r="I3288" i="1"/>
  <c r="H3288" i="1"/>
  <c r="I3287" i="1"/>
  <c r="H3287" i="1"/>
  <c r="I3286" i="1"/>
  <c r="H3286" i="1"/>
  <c r="I3285" i="1"/>
  <c r="H3285" i="1"/>
  <c r="I3284" i="1"/>
  <c r="H3284" i="1"/>
  <c r="I3283" i="1"/>
  <c r="H3283" i="1"/>
  <c r="I3282" i="1"/>
  <c r="H3282" i="1"/>
  <c r="I3281" i="1"/>
  <c r="H3281" i="1"/>
  <c r="I3280" i="1"/>
  <c r="H3280" i="1"/>
  <c r="I3279" i="1"/>
  <c r="H3279" i="1"/>
  <c r="I3278" i="1"/>
  <c r="H3278" i="1"/>
  <c r="I3277" i="1"/>
  <c r="H3277" i="1"/>
  <c r="I3276" i="1"/>
  <c r="H3276" i="1"/>
  <c r="I3275" i="1"/>
  <c r="H3275" i="1"/>
  <c r="I3274" i="1"/>
  <c r="H3274" i="1"/>
  <c r="I3273" i="1"/>
  <c r="H3273" i="1"/>
  <c r="I3272" i="1"/>
  <c r="H3272" i="1"/>
  <c r="I3271" i="1"/>
  <c r="H3271" i="1"/>
  <c r="I3270" i="1"/>
  <c r="H3270" i="1"/>
  <c r="I3269" i="1"/>
  <c r="H3269" i="1"/>
  <c r="I3268" i="1"/>
  <c r="H3268" i="1"/>
  <c r="I3267" i="1"/>
  <c r="H3267" i="1"/>
  <c r="I3266" i="1"/>
  <c r="H3266" i="1"/>
  <c r="I3265" i="1"/>
  <c r="H3265" i="1"/>
  <c r="I3264" i="1"/>
  <c r="H3264" i="1"/>
  <c r="I3263" i="1"/>
  <c r="H3263" i="1"/>
  <c r="I3262" i="1"/>
  <c r="H3262" i="1"/>
  <c r="I3261" i="1"/>
  <c r="H3261" i="1"/>
  <c r="I3260" i="1"/>
  <c r="H3260" i="1"/>
  <c r="I3259" i="1"/>
  <c r="H3259" i="1"/>
  <c r="I3258" i="1"/>
  <c r="H3258" i="1"/>
  <c r="I3257" i="1"/>
  <c r="H3257" i="1"/>
  <c r="I3256" i="1"/>
  <c r="H3256" i="1"/>
  <c r="I3255" i="1"/>
  <c r="H3255" i="1"/>
  <c r="I3254" i="1"/>
  <c r="H3254" i="1"/>
  <c r="I3253" i="1"/>
  <c r="H3253" i="1"/>
  <c r="I3252" i="1"/>
  <c r="H3252" i="1"/>
  <c r="I3251" i="1"/>
  <c r="H3251" i="1"/>
  <c r="I3250" i="1"/>
  <c r="H3250" i="1"/>
  <c r="I3249" i="1"/>
  <c r="H3249" i="1"/>
  <c r="I3248" i="1"/>
  <c r="H3248" i="1"/>
  <c r="I3247" i="1"/>
  <c r="H3247" i="1"/>
  <c r="I3246" i="1"/>
  <c r="H3246" i="1"/>
  <c r="I3245" i="1"/>
  <c r="H3245" i="1"/>
  <c r="I3244" i="1"/>
  <c r="H3244" i="1"/>
  <c r="I3243" i="1"/>
  <c r="H3243" i="1"/>
  <c r="I3242" i="1"/>
  <c r="H3242" i="1"/>
  <c r="I3241" i="1"/>
  <c r="H3241" i="1"/>
  <c r="I3240" i="1"/>
  <c r="H3240" i="1"/>
  <c r="I3239" i="1"/>
  <c r="H3239" i="1"/>
  <c r="I3238" i="1"/>
  <c r="H3238" i="1"/>
  <c r="I3237" i="1"/>
  <c r="H3237" i="1"/>
  <c r="I3236" i="1"/>
  <c r="H3236" i="1"/>
  <c r="I3235" i="1"/>
  <c r="H3235" i="1"/>
  <c r="I3234" i="1"/>
  <c r="H3234" i="1"/>
  <c r="I3233" i="1"/>
  <c r="H3233" i="1"/>
  <c r="I3232" i="1"/>
  <c r="H3232" i="1"/>
  <c r="I3231" i="1"/>
  <c r="H3231" i="1"/>
  <c r="I3230" i="1"/>
  <c r="H3230" i="1"/>
  <c r="I3229" i="1"/>
  <c r="H3229" i="1"/>
  <c r="I3228" i="1"/>
  <c r="H3228" i="1"/>
  <c r="I3227" i="1"/>
  <c r="H3227" i="1"/>
  <c r="I3226" i="1"/>
  <c r="H3226" i="1"/>
  <c r="I3225" i="1"/>
  <c r="H3225" i="1"/>
  <c r="I3224" i="1"/>
  <c r="H3224" i="1"/>
  <c r="I3223" i="1"/>
  <c r="H3223" i="1"/>
  <c r="I3222" i="1"/>
  <c r="H3222" i="1"/>
  <c r="I3221" i="1"/>
  <c r="H3221" i="1"/>
  <c r="I3220" i="1"/>
  <c r="H3220" i="1"/>
  <c r="I3219" i="1"/>
  <c r="H3219" i="1"/>
  <c r="I3218" i="1"/>
  <c r="H3218" i="1"/>
  <c r="I3217" i="1"/>
  <c r="H3217" i="1"/>
  <c r="I3216" i="1"/>
  <c r="H3216" i="1"/>
  <c r="I3215" i="1"/>
  <c r="H3215" i="1"/>
  <c r="I3214" i="1"/>
  <c r="H3214" i="1"/>
  <c r="I3213" i="1"/>
  <c r="H3213" i="1"/>
  <c r="I3212" i="1"/>
  <c r="H3212" i="1"/>
  <c r="I3211" i="1"/>
  <c r="H3211" i="1"/>
  <c r="I3210" i="1"/>
  <c r="H3210" i="1"/>
  <c r="I3209" i="1"/>
  <c r="H3209" i="1"/>
  <c r="I3208" i="1"/>
  <c r="H3208" i="1"/>
  <c r="I3207" i="1"/>
  <c r="H3207" i="1"/>
  <c r="I3206" i="1"/>
  <c r="H3206" i="1"/>
  <c r="I3205" i="1"/>
  <c r="H3205" i="1"/>
  <c r="I3204" i="1"/>
  <c r="H3204" i="1"/>
  <c r="I3203" i="1"/>
  <c r="H3203" i="1"/>
  <c r="I3202" i="1"/>
  <c r="H3202" i="1"/>
  <c r="I3201" i="1"/>
  <c r="H3201" i="1"/>
  <c r="I3200" i="1"/>
  <c r="H3200" i="1"/>
  <c r="I3199" i="1"/>
  <c r="H3199" i="1"/>
  <c r="I3198" i="1"/>
  <c r="H3198" i="1"/>
  <c r="I3197" i="1"/>
  <c r="H3197" i="1"/>
  <c r="I3196" i="1"/>
  <c r="H3196" i="1"/>
  <c r="I3195" i="1"/>
  <c r="H3195" i="1"/>
  <c r="I3194" i="1"/>
  <c r="H3194" i="1"/>
  <c r="I3193" i="1"/>
  <c r="H3193" i="1"/>
  <c r="I3192" i="1"/>
  <c r="H3192" i="1"/>
  <c r="I3191" i="1"/>
  <c r="H3191" i="1"/>
  <c r="I3190" i="1"/>
  <c r="H3190" i="1"/>
  <c r="I3189" i="1"/>
  <c r="H3189" i="1"/>
  <c r="I3188" i="1"/>
  <c r="H3188" i="1"/>
  <c r="I3187" i="1"/>
  <c r="H3187" i="1"/>
  <c r="I3186" i="1"/>
  <c r="H3186" i="1"/>
  <c r="I3185" i="1"/>
  <c r="H3185" i="1"/>
  <c r="I3184" i="1"/>
  <c r="H3184" i="1"/>
  <c r="I3183" i="1"/>
  <c r="H3183" i="1"/>
  <c r="I3182" i="1"/>
  <c r="H3182" i="1"/>
  <c r="I3181" i="1"/>
  <c r="H3181" i="1"/>
  <c r="I3180" i="1"/>
  <c r="H3180" i="1"/>
  <c r="I3179" i="1"/>
  <c r="H3179" i="1"/>
  <c r="I3178" i="1"/>
  <c r="H3178" i="1"/>
  <c r="I3177" i="1"/>
  <c r="H3177" i="1"/>
  <c r="I3176" i="1"/>
  <c r="H3176" i="1"/>
  <c r="I3175" i="1"/>
  <c r="H3175" i="1"/>
  <c r="I3174" i="1"/>
  <c r="H3174" i="1"/>
  <c r="I3173" i="1"/>
  <c r="H3173" i="1"/>
  <c r="I3172" i="1"/>
  <c r="H3172" i="1"/>
  <c r="I3171" i="1"/>
  <c r="H3171" i="1"/>
  <c r="I3170" i="1"/>
  <c r="H3170" i="1"/>
  <c r="I3169" i="1"/>
  <c r="H3169" i="1"/>
  <c r="I3168" i="1"/>
  <c r="H3168" i="1"/>
  <c r="I3167" i="1"/>
  <c r="H3167" i="1"/>
  <c r="I3166" i="1"/>
  <c r="H3166" i="1"/>
  <c r="I3165" i="1"/>
  <c r="H3165" i="1"/>
  <c r="I3164" i="1"/>
  <c r="H3164" i="1"/>
  <c r="I3163" i="1"/>
  <c r="H3163" i="1"/>
  <c r="I3162" i="1"/>
  <c r="H3162" i="1"/>
  <c r="I3161" i="1"/>
  <c r="H3161" i="1"/>
  <c r="I3160" i="1"/>
  <c r="H3160" i="1"/>
  <c r="I3159" i="1"/>
  <c r="H3159" i="1"/>
  <c r="I3158" i="1"/>
  <c r="H3158" i="1"/>
  <c r="I3157" i="1"/>
  <c r="H3157" i="1"/>
  <c r="I3156" i="1"/>
  <c r="H3156" i="1"/>
  <c r="I3155" i="1"/>
  <c r="H3155" i="1"/>
  <c r="I3154" i="1"/>
  <c r="H3154" i="1"/>
  <c r="I3153" i="1"/>
  <c r="H3153" i="1"/>
  <c r="I3152" i="1"/>
  <c r="H3152" i="1"/>
  <c r="I3151" i="1"/>
  <c r="H3151" i="1"/>
  <c r="I3150" i="1"/>
  <c r="H3150" i="1"/>
  <c r="I3149" i="1"/>
  <c r="H3149" i="1"/>
  <c r="I3148" i="1"/>
  <c r="H3148" i="1"/>
  <c r="I3147" i="1"/>
  <c r="H3147" i="1"/>
  <c r="I3146" i="1"/>
  <c r="H3146" i="1"/>
  <c r="I3145" i="1"/>
  <c r="H3145" i="1"/>
  <c r="I3144" i="1"/>
  <c r="H3144" i="1"/>
  <c r="I3143" i="1"/>
  <c r="H3143" i="1"/>
  <c r="I3142" i="1"/>
  <c r="H3142" i="1"/>
  <c r="I3141" i="1"/>
  <c r="H3141" i="1"/>
  <c r="I3140" i="1"/>
  <c r="H3140" i="1"/>
  <c r="I3139" i="1"/>
  <c r="H3139" i="1"/>
  <c r="I3138" i="1"/>
  <c r="H3138" i="1"/>
  <c r="I3137" i="1"/>
  <c r="H3137" i="1"/>
  <c r="I3136" i="1"/>
  <c r="H3136" i="1"/>
  <c r="I3135" i="1"/>
  <c r="H3135" i="1"/>
  <c r="I3134" i="1"/>
  <c r="H3134" i="1"/>
  <c r="I3133" i="1"/>
  <c r="H3133" i="1"/>
  <c r="I3132" i="1"/>
  <c r="H3132" i="1"/>
  <c r="I3131" i="1"/>
  <c r="H3131" i="1"/>
  <c r="I3130" i="1"/>
  <c r="H3130" i="1"/>
  <c r="I3129" i="1"/>
  <c r="H3129" i="1"/>
  <c r="I3128" i="1"/>
  <c r="H3128" i="1"/>
  <c r="I3127" i="1"/>
  <c r="H3127" i="1"/>
  <c r="I3126" i="1"/>
  <c r="H3126" i="1"/>
  <c r="I3125" i="1"/>
  <c r="H3125" i="1"/>
  <c r="I3124" i="1"/>
  <c r="H3124" i="1"/>
  <c r="I3123" i="1"/>
  <c r="H3123" i="1"/>
  <c r="I3122" i="1"/>
  <c r="H3122" i="1"/>
  <c r="I3121" i="1"/>
  <c r="H3121" i="1"/>
  <c r="I3120" i="1"/>
  <c r="H3120" i="1"/>
  <c r="I3119" i="1"/>
  <c r="H3119" i="1"/>
  <c r="I3118" i="1"/>
  <c r="H3118" i="1"/>
  <c r="I3117" i="1"/>
  <c r="H3117" i="1"/>
  <c r="I3116" i="1"/>
  <c r="H3116" i="1"/>
  <c r="I3115" i="1"/>
  <c r="H3115" i="1"/>
  <c r="I3114" i="1"/>
  <c r="H3114" i="1"/>
  <c r="I3113" i="1"/>
  <c r="H3113" i="1"/>
  <c r="I3112" i="1"/>
  <c r="H3112" i="1"/>
  <c r="I3111" i="1"/>
  <c r="H3111" i="1"/>
  <c r="I3110" i="1"/>
  <c r="H3110" i="1"/>
  <c r="I3109" i="1"/>
  <c r="H3109" i="1"/>
  <c r="I3108" i="1"/>
  <c r="H3108" i="1"/>
  <c r="I3107" i="1"/>
  <c r="H3107" i="1"/>
  <c r="I3106" i="1"/>
  <c r="H3106" i="1"/>
  <c r="I3105" i="1"/>
  <c r="H3105" i="1"/>
  <c r="I3104" i="1"/>
  <c r="H3104" i="1"/>
  <c r="I3103" i="1"/>
  <c r="H3103" i="1"/>
  <c r="I3102" i="1"/>
  <c r="H3102" i="1"/>
  <c r="I3101" i="1"/>
  <c r="H3101" i="1"/>
  <c r="I3100" i="1"/>
  <c r="H3100" i="1"/>
  <c r="I3099" i="1"/>
  <c r="H3099" i="1"/>
  <c r="I3098" i="1"/>
  <c r="H3098" i="1"/>
  <c r="I3097" i="1"/>
  <c r="H3097" i="1"/>
  <c r="I3096" i="1"/>
  <c r="H3096" i="1"/>
  <c r="I3095" i="1"/>
  <c r="H3095" i="1"/>
  <c r="I3094" i="1"/>
  <c r="H3094" i="1"/>
  <c r="I3093" i="1"/>
  <c r="H3093" i="1"/>
  <c r="I3092" i="1"/>
  <c r="H3092" i="1"/>
  <c r="I3091" i="1"/>
  <c r="H3091" i="1"/>
  <c r="I3090" i="1"/>
  <c r="H3090" i="1"/>
  <c r="I3089" i="1"/>
  <c r="H3089" i="1"/>
  <c r="I3088" i="1"/>
  <c r="H3088" i="1"/>
  <c r="I3087" i="1"/>
  <c r="H3087" i="1"/>
  <c r="I3086" i="1"/>
  <c r="H3086" i="1"/>
  <c r="I3085" i="1"/>
  <c r="H3085" i="1"/>
  <c r="I3084" i="1"/>
  <c r="H3084" i="1"/>
  <c r="I3083" i="1"/>
  <c r="H3083" i="1"/>
  <c r="I3082" i="1"/>
  <c r="H3082" i="1"/>
  <c r="I3081" i="1"/>
  <c r="H3081" i="1"/>
  <c r="I3080" i="1"/>
  <c r="H3080" i="1"/>
  <c r="I3079" i="1"/>
  <c r="H3079" i="1"/>
  <c r="I3078" i="1"/>
  <c r="H3078" i="1"/>
  <c r="I3077" i="1"/>
  <c r="H3077" i="1"/>
  <c r="I3076" i="1"/>
  <c r="H3076" i="1"/>
  <c r="I3075" i="1"/>
  <c r="H3075" i="1"/>
  <c r="I3074" i="1"/>
  <c r="H3074" i="1"/>
  <c r="I3073" i="1"/>
  <c r="H3073" i="1"/>
  <c r="I3072" i="1"/>
  <c r="H3072" i="1"/>
  <c r="I3071" i="1"/>
  <c r="H3071" i="1"/>
  <c r="I3070" i="1"/>
  <c r="H3070" i="1"/>
  <c r="I3069" i="1"/>
  <c r="H3069" i="1"/>
  <c r="I3068" i="1"/>
  <c r="H3068" i="1"/>
  <c r="I3067" i="1"/>
  <c r="H3067" i="1"/>
  <c r="I3066" i="1"/>
  <c r="H3066" i="1"/>
  <c r="I3065" i="1"/>
  <c r="H3065" i="1"/>
  <c r="I3064" i="1"/>
  <c r="H3064" i="1"/>
  <c r="I3063" i="1"/>
  <c r="H3063" i="1"/>
  <c r="I3062" i="1"/>
  <c r="H3062" i="1"/>
  <c r="I3061" i="1"/>
  <c r="H3061" i="1"/>
  <c r="I3060" i="1"/>
  <c r="H3060" i="1"/>
  <c r="I3059" i="1"/>
  <c r="H3059" i="1"/>
  <c r="I3058" i="1"/>
  <c r="H3058" i="1"/>
  <c r="I3057" i="1"/>
  <c r="H3057" i="1"/>
  <c r="I3056" i="1"/>
  <c r="H3056" i="1"/>
  <c r="I3055" i="1"/>
  <c r="H3055" i="1"/>
  <c r="I3054" i="1"/>
  <c r="H3054" i="1"/>
  <c r="I3053" i="1"/>
  <c r="H3053" i="1"/>
  <c r="I3052" i="1"/>
  <c r="H3052" i="1"/>
  <c r="I3051" i="1"/>
  <c r="H3051" i="1"/>
  <c r="I3050" i="1"/>
  <c r="H3050" i="1"/>
  <c r="I3049" i="1"/>
  <c r="H3049" i="1"/>
  <c r="I3048" i="1"/>
  <c r="H3048" i="1"/>
  <c r="I3047" i="1"/>
  <c r="H3047" i="1"/>
  <c r="I3046" i="1"/>
  <c r="H3046" i="1"/>
  <c r="I3045" i="1"/>
  <c r="H3045" i="1"/>
  <c r="I3044" i="1"/>
  <c r="H3044" i="1"/>
  <c r="I3043" i="1"/>
  <c r="H3043" i="1"/>
  <c r="I3042" i="1"/>
  <c r="H3042" i="1"/>
  <c r="I3041" i="1"/>
  <c r="H3041" i="1"/>
  <c r="I3040" i="1"/>
  <c r="H3040" i="1"/>
  <c r="I3039" i="1"/>
  <c r="H3039" i="1"/>
  <c r="I3038" i="1"/>
  <c r="H3038" i="1"/>
  <c r="I3037" i="1"/>
  <c r="H3037" i="1"/>
  <c r="I3036" i="1"/>
  <c r="H3036" i="1"/>
  <c r="I3035" i="1"/>
  <c r="H3035" i="1"/>
  <c r="I3034" i="1"/>
  <c r="H3034" i="1"/>
  <c r="I3033" i="1"/>
  <c r="H3033" i="1"/>
  <c r="I3032" i="1"/>
  <c r="H3032" i="1"/>
  <c r="I3031" i="1"/>
  <c r="H3031" i="1"/>
  <c r="I3030" i="1"/>
  <c r="H3030" i="1"/>
  <c r="I3029" i="1"/>
  <c r="H3029" i="1"/>
  <c r="I3028" i="1"/>
  <c r="H3028" i="1"/>
  <c r="I3027" i="1"/>
  <c r="H3027" i="1"/>
  <c r="I3026" i="1"/>
  <c r="H3026" i="1"/>
  <c r="I3025" i="1"/>
  <c r="H3025" i="1"/>
  <c r="I3024" i="1"/>
  <c r="H3024" i="1"/>
  <c r="I3023" i="1"/>
  <c r="H3023" i="1"/>
  <c r="I3022" i="1"/>
  <c r="H3022" i="1"/>
  <c r="I3021" i="1"/>
  <c r="H3021" i="1"/>
  <c r="I3020" i="1"/>
  <c r="H3020" i="1"/>
  <c r="I3019" i="1"/>
  <c r="H3019" i="1"/>
  <c r="I3018" i="1"/>
  <c r="H3018" i="1"/>
  <c r="I3017" i="1"/>
  <c r="H3017" i="1"/>
  <c r="I3016" i="1"/>
  <c r="H3016" i="1"/>
  <c r="I3015" i="1"/>
  <c r="H3015" i="1"/>
  <c r="I3014" i="1"/>
  <c r="H3014" i="1"/>
  <c r="I3013" i="1"/>
  <c r="H3013" i="1"/>
  <c r="I3012" i="1"/>
  <c r="H3012" i="1"/>
  <c r="I3011" i="1"/>
  <c r="H3011" i="1"/>
  <c r="I3010" i="1"/>
  <c r="H3010" i="1"/>
  <c r="I3009" i="1"/>
  <c r="H3009" i="1"/>
  <c r="I3008" i="1"/>
  <c r="H3008" i="1"/>
  <c r="I3007" i="1"/>
  <c r="H3007" i="1"/>
  <c r="I3006" i="1"/>
  <c r="H3006" i="1"/>
  <c r="I3005" i="1"/>
  <c r="H3005" i="1"/>
  <c r="I3004" i="1"/>
  <c r="H3004" i="1"/>
  <c r="I3003" i="1"/>
  <c r="H3003" i="1"/>
  <c r="I3002" i="1"/>
  <c r="H3002" i="1"/>
  <c r="I3001" i="1"/>
  <c r="H3001" i="1"/>
  <c r="I3000" i="1"/>
  <c r="H3000" i="1"/>
  <c r="I2999" i="1"/>
  <c r="H2999" i="1"/>
  <c r="I2998" i="1"/>
  <c r="H2998" i="1"/>
  <c r="I2997" i="1"/>
  <c r="H2997" i="1"/>
  <c r="I2996" i="1"/>
  <c r="H2996" i="1"/>
  <c r="I2995" i="1"/>
  <c r="H2995" i="1"/>
  <c r="I2994" i="1"/>
  <c r="H2994" i="1"/>
  <c r="I2993" i="1"/>
  <c r="H2993" i="1"/>
  <c r="I2992" i="1"/>
  <c r="H2992" i="1"/>
  <c r="I2991" i="1"/>
  <c r="H2991" i="1"/>
  <c r="I2990" i="1"/>
  <c r="H2990" i="1"/>
  <c r="I2989" i="1"/>
  <c r="H2989" i="1"/>
  <c r="I2988" i="1"/>
  <c r="H2988" i="1"/>
  <c r="I2987" i="1"/>
  <c r="H2987" i="1"/>
  <c r="I2986" i="1"/>
  <c r="H2986" i="1"/>
  <c r="I2985" i="1"/>
  <c r="H2985" i="1"/>
  <c r="I2984" i="1"/>
  <c r="H2984" i="1"/>
  <c r="I2983" i="1"/>
  <c r="H2983" i="1"/>
  <c r="I2982" i="1"/>
  <c r="H2982" i="1"/>
  <c r="I2981" i="1"/>
  <c r="H2981" i="1"/>
  <c r="I2980" i="1"/>
  <c r="H2980" i="1"/>
  <c r="I2979" i="1"/>
  <c r="H2979" i="1"/>
  <c r="I2978" i="1"/>
  <c r="H2978" i="1"/>
  <c r="I2977" i="1"/>
  <c r="H2977" i="1"/>
  <c r="I2976" i="1"/>
  <c r="H2976" i="1"/>
  <c r="I2975" i="1"/>
  <c r="H2975" i="1"/>
  <c r="I2974" i="1"/>
  <c r="H2974" i="1"/>
  <c r="I2973" i="1"/>
  <c r="H2973" i="1"/>
  <c r="I2972" i="1"/>
  <c r="H2972" i="1"/>
  <c r="I2971" i="1"/>
  <c r="H2971" i="1"/>
  <c r="I2970" i="1"/>
  <c r="H2970" i="1"/>
  <c r="I2969" i="1"/>
  <c r="H2969" i="1"/>
  <c r="I2968" i="1"/>
  <c r="H2968" i="1"/>
  <c r="I2967" i="1"/>
  <c r="H2967" i="1"/>
  <c r="I2966" i="1"/>
  <c r="H2966" i="1"/>
  <c r="I2965" i="1"/>
  <c r="H2965" i="1"/>
  <c r="I2964" i="1"/>
  <c r="H2964" i="1"/>
  <c r="I2963" i="1"/>
  <c r="H2963" i="1"/>
  <c r="I2962" i="1"/>
  <c r="H2962" i="1"/>
  <c r="I2961" i="1"/>
  <c r="H2961" i="1"/>
  <c r="I2960" i="1"/>
  <c r="H2960" i="1"/>
  <c r="I2959" i="1"/>
  <c r="H2959" i="1"/>
  <c r="I2958" i="1"/>
  <c r="H2958" i="1"/>
  <c r="I2957" i="1"/>
  <c r="H2957" i="1"/>
  <c r="I2956" i="1"/>
  <c r="H2956" i="1"/>
  <c r="I2955" i="1"/>
  <c r="H2955" i="1"/>
  <c r="I2954" i="1"/>
  <c r="H2954" i="1"/>
  <c r="I2953" i="1"/>
  <c r="H2953" i="1"/>
  <c r="I2952" i="1"/>
  <c r="H2952" i="1"/>
  <c r="I2951" i="1"/>
  <c r="H2951" i="1"/>
  <c r="I2950" i="1"/>
  <c r="H2950" i="1"/>
  <c r="I2949" i="1"/>
  <c r="H2949" i="1"/>
  <c r="I2948" i="1"/>
  <c r="H2948" i="1"/>
  <c r="I2947" i="1"/>
  <c r="H2947" i="1"/>
  <c r="I2946" i="1"/>
  <c r="H2946" i="1"/>
  <c r="I2945" i="1"/>
  <c r="H2945" i="1"/>
  <c r="I2944" i="1"/>
  <c r="H2944" i="1"/>
  <c r="I2943" i="1"/>
  <c r="H2943" i="1"/>
  <c r="I2942" i="1"/>
  <c r="H2942" i="1"/>
  <c r="I2941" i="1"/>
  <c r="H2941" i="1"/>
  <c r="I2940" i="1"/>
  <c r="H2940" i="1"/>
  <c r="I2939" i="1"/>
  <c r="H2939" i="1"/>
  <c r="I2938" i="1"/>
  <c r="H2938" i="1"/>
  <c r="I2937" i="1"/>
  <c r="H2937" i="1"/>
  <c r="I2936" i="1"/>
  <c r="H2936" i="1"/>
  <c r="I2935" i="1"/>
  <c r="H2935" i="1"/>
  <c r="I2934" i="1"/>
  <c r="H2934" i="1"/>
  <c r="I2933" i="1"/>
  <c r="H2933" i="1"/>
  <c r="I2932" i="1"/>
  <c r="H2932" i="1"/>
  <c r="I2931" i="1"/>
  <c r="H2931" i="1"/>
  <c r="I2930" i="1"/>
  <c r="H2930" i="1"/>
  <c r="I2929" i="1"/>
  <c r="H2929" i="1"/>
  <c r="I2928" i="1"/>
  <c r="H2928" i="1"/>
  <c r="I2927" i="1"/>
  <c r="H2927" i="1"/>
  <c r="I2926" i="1"/>
  <c r="H2926" i="1"/>
  <c r="I2925" i="1"/>
  <c r="H2925" i="1"/>
  <c r="I2924" i="1"/>
  <c r="H2924" i="1"/>
  <c r="I2923" i="1"/>
  <c r="H2923" i="1"/>
  <c r="I2922" i="1"/>
  <c r="H2922" i="1"/>
  <c r="I2921" i="1"/>
  <c r="H2921" i="1"/>
  <c r="I2920" i="1"/>
  <c r="H2920" i="1"/>
  <c r="I2919" i="1"/>
  <c r="H2919" i="1"/>
  <c r="I2918" i="1"/>
  <c r="H2918" i="1"/>
  <c r="I2917" i="1"/>
  <c r="H2917" i="1"/>
  <c r="I2916" i="1"/>
  <c r="H2916" i="1"/>
  <c r="I2915" i="1"/>
  <c r="H2915" i="1"/>
  <c r="I2914" i="1"/>
  <c r="H2914" i="1"/>
  <c r="I2913" i="1"/>
  <c r="H2913" i="1"/>
  <c r="I2912" i="1"/>
  <c r="H2912" i="1"/>
  <c r="I2911" i="1"/>
  <c r="H2911" i="1"/>
  <c r="I2910" i="1"/>
  <c r="H2910" i="1"/>
  <c r="I2909" i="1"/>
  <c r="H2909" i="1"/>
  <c r="I2908" i="1"/>
  <c r="H2908" i="1"/>
  <c r="I2907" i="1"/>
  <c r="H2907" i="1"/>
  <c r="I2906" i="1"/>
  <c r="H2906" i="1"/>
  <c r="I2905" i="1"/>
  <c r="H2905" i="1"/>
  <c r="I2904" i="1"/>
  <c r="H2904" i="1"/>
  <c r="I2903" i="1"/>
  <c r="H2903" i="1"/>
  <c r="I2902" i="1"/>
  <c r="H2902" i="1"/>
  <c r="I2901" i="1"/>
  <c r="H2901" i="1"/>
  <c r="I2900" i="1"/>
  <c r="H2900" i="1"/>
  <c r="I2899" i="1"/>
  <c r="H2899" i="1"/>
  <c r="I2898" i="1"/>
  <c r="H2898" i="1"/>
  <c r="I2897" i="1"/>
  <c r="H2897" i="1"/>
  <c r="I2896" i="1"/>
  <c r="H2896" i="1"/>
  <c r="I2895" i="1"/>
  <c r="H2895" i="1"/>
  <c r="I2894" i="1"/>
  <c r="H2894" i="1"/>
  <c r="I2893" i="1"/>
  <c r="H2893" i="1"/>
  <c r="I2892" i="1"/>
  <c r="H2892" i="1"/>
  <c r="I2891" i="1"/>
  <c r="H2891" i="1"/>
  <c r="I2890" i="1"/>
  <c r="H2890" i="1"/>
  <c r="I2889" i="1"/>
  <c r="H2889" i="1"/>
  <c r="I2888" i="1"/>
  <c r="H2888" i="1"/>
  <c r="I2887" i="1"/>
  <c r="H2887" i="1"/>
  <c r="I2886" i="1"/>
  <c r="H2886" i="1"/>
  <c r="I2885" i="1"/>
  <c r="H2885" i="1"/>
  <c r="I2884" i="1"/>
  <c r="H2884" i="1"/>
  <c r="I2883" i="1"/>
  <c r="H2883" i="1"/>
  <c r="I2882" i="1"/>
  <c r="H2882" i="1"/>
  <c r="I2881" i="1"/>
  <c r="H2881" i="1"/>
  <c r="I2880" i="1"/>
  <c r="H2880" i="1"/>
  <c r="I2879" i="1"/>
  <c r="H2879" i="1"/>
  <c r="I2878" i="1"/>
  <c r="H2878" i="1"/>
  <c r="I2877" i="1"/>
  <c r="H2877" i="1"/>
  <c r="I2876" i="1"/>
  <c r="H2876" i="1"/>
  <c r="I2875" i="1"/>
  <c r="H2875" i="1"/>
  <c r="I2874" i="1"/>
  <c r="H2874" i="1"/>
  <c r="I2873" i="1"/>
  <c r="H2873" i="1"/>
  <c r="I2872" i="1"/>
  <c r="H2872" i="1"/>
  <c r="I2871" i="1"/>
  <c r="H2871" i="1"/>
  <c r="I2870" i="1"/>
  <c r="H2870" i="1"/>
  <c r="I2869" i="1"/>
  <c r="H2869" i="1"/>
  <c r="I2868" i="1"/>
  <c r="H2868" i="1"/>
  <c r="I2867" i="1"/>
  <c r="H2867" i="1"/>
  <c r="I2866" i="1"/>
  <c r="H2866" i="1"/>
  <c r="I2865" i="1"/>
  <c r="H2865" i="1"/>
  <c r="I2864" i="1"/>
  <c r="H2864" i="1"/>
  <c r="I2863" i="1"/>
  <c r="H2863" i="1"/>
  <c r="I2862" i="1"/>
  <c r="H2862" i="1"/>
  <c r="I2861" i="1"/>
  <c r="H2861" i="1"/>
  <c r="I2860" i="1"/>
  <c r="H2860" i="1"/>
  <c r="I2859" i="1"/>
  <c r="H2859" i="1"/>
  <c r="I2858" i="1"/>
  <c r="H2858" i="1"/>
  <c r="I2857" i="1"/>
  <c r="H2857" i="1"/>
  <c r="I2856" i="1"/>
  <c r="H2856" i="1"/>
  <c r="I2855" i="1"/>
  <c r="H2855" i="1"/>
  <c r="I2854" i="1"/>
  <c r="H2854" i="1"/>
  <c r="I2853" i="1"/>
  <c r="H2853" i="1"/>
  <c r="I2852" i="1"/>
  <c r="H2852" i="1"/>
  <c r="I2851" i="1"/>
  <c r="H2851" i="1"/>
  <c r="I2850" i="1"/>
  <c r="H2850" i="1"/>
  <c r="I2849" i="1"/>
  <c r="H2849" i="1"/>
  <c r="I2848" i="1"/>
  <c r="H2848" i="1"/>
  <c r="I2847" i="1"/>
  <c r="H2847" i="1"/>
  <c r="I2846" i="1"/>
  <c r="H2846" i="1"/>
  <c r="I2845" i="1"/>
  <c r="H2845" i="1"/>
  <c r="I2844" i="1"/>
  <c r="H2844" i="1"/>
  <c r="I2843" i="1"/>
  <c r="H2843" i="1"/>
  <c r="I2842" i="1"/>
  <c r="H2842" i="1"/>
  <c r="I2841" i="1"/>
  <c r="H2841" i="1"/>
  <c r="I2840" i="1"/>
  <c r="H2840" i="1"/>
  <c r="I2839" i="1"/>
  <c r="H2839" i="1"/>
  <c r="I2838" i="1"/>
  <c r="H2838" i="1"/>
  <c r="I2837" i="1"/>
  <c r="H2837" i="1"/>
  <c r="I2836" i="1"/>
  <c r="H2836" i="1"/>
  <c r="I2835" i="1"/>
  <c r="H2835" i="1"/>
  <c r="I2834" i="1"/>
  <c r="H2834" i="1"/>
  <c r="I2833" i="1"/>
  <c r="H2833" i="1"/>
  <c r="I2832" i="1"/>
  <c r="H2832" i="1"/>
  <c r="I2831" i="1"/>
  <c r="H2831" i="1"/>
  <c r="I2830" i="1"/>
  <c r="H2830" i="1"/>
  <c r="I2829" i="1"/>
  <c r="H2829" i="1"/>
  <c r="I2828" i="1"/>
  <c r="H2828" i="1"/>
  <c r="I2827" i="1"/>
  <c r="H2827" i="1"/>
  <c r="I2826" i="1"/>
  <c r="H2826" i="1"/>
  <c r="I2825" i="1"/>
  <c r="H2825" i="1"/>
  <c r="I2824" i="1"/>
  <c r="H2824" i="1"/>
  <c r="I2823" i="1"/>
  <c r="H2823" i="1"/>
  <c r="I2822" i="1"/>
  <c r="H2822" i="1"/>
  <c r="I2821" i="1"/>
  <c r="H2821" i="1"/>
  <c r="I2820" i="1"/>
  <c r="H2820" i="1"/>
  <c r="I2819" i="1"/>
  <c r="H2819" i="1"/>
  <c r="I2818" i="1"/>
  <c r="H2818" i="1"/>
  <c r="I2817" i="1"/>
  <c r="H2817" i="1"/>
  <c r="I2816" i="1"/>
  <c r="H2816" i="1"/>
  <c r="I2815" i="1"/>
  <c r="H2815" i="1"/>
  <c r="I2814" i="1"/>
  <c r="H2814" i="1"/>
  <c r="I2813" i="1"/>
  <c r="H2813" i="1"/>
  <c r="I2812" i="1"/>
  <c r="H2812" i="1"/>
  <c r="I2811" i="1"/>
  <c r="H2811" i="1"/>
  <c r="I2810" i="1"/>
  <c r="H2810" i="1"/>
  <c r="I2809" i="1"/>
  <c r="H2809" i="1"/>
  <c r="I2808" i="1"/>
  <c r="H2808" i="1"/>
  <c r="I2807" i="1"/>
  <c r="H2807" i="1"/>
  <c r="I2806" i="1"/>
  <c r="H2806" i="1"/>
  <c r="I2805" i="1"/>
  <c r="H2805" i="1"/>
  <c r="I2804" i="1"/>
  <c r="H2804" i="1"/>
  <c r="I2803" i="1"/>
  <c r="H2803" i="1"/>
  <c r="I2802" i="1"/>
  <c r="H2802" i="1"/>
  <c r="I2801" i="1"/>
  <c r="H2801" i="1"/>
  <c r="I2800" i="1"/>
  <c r="H2800" i="1"/>
  <c r="I2799" i="1"/>
  <c r="H2799" i="1"/>
  <c r="I2798" i="1"/>
  <c r="H2798" i="1"/>
  <c r="I2797" i="1"/>
  <c r="H2797" i="1"/>
  <c r="I2796" i="1"/>
  <c r="H2796" i="1"/>
  <c r="I2795" i="1"/>
  <c r="H2795" i="1"/>
  <c r="I2794" i="1"/>
  <c r="H2794" i="1"/>
  <c r="I2793" i="1"/>
  <c r="H2793" i="1"/>
  <c r="I2792" i="1"/>
  <c r="H2792" i="1"/>
  <c r="I2791" i="1"/>
  <c r="H2791" i="1"/>
  <c r="I2790" i="1"/>
  <c r="H2790" i="1"/>
  <c r="I2789" i="1"/>
  <c r="H2789" i="1"/>
  <c r="I2788" i="1"/>
  <c r="H2788" i="1"/>
  <c r="I2787" i="1"/>
  <c r="H2787" i="1"/>
  <c r="I2786" i="1"/>
  <c r="H2786" i="1"/>
  <c r="I2785" i="1"/>
  <c r="H2785" i="1"/>
  <c r="I2784" i="1"/>
  <c r="H2784" i="1"/>
  <c r="I2783" i="1"/>
  <c r="H2783" i="1"/>
  <c r="I2782" i="1"/>
  <c r="H2782" i="1"/>
  <c r="I2781" i="1"/>
  <c r="H2781" i="1"/>
  <c r="I2780" i="1"/>
  <c r="H2780" i="1"/>
  <c r="I2779" i="1"/>
  <c r="H2779" i="1"/>
  <c r="I2778" i="1"/>
  <c r="H2778" i="1"/>
  <c r="I2777" i="1"/>
  <c r="H2777" i="1"/>
  <c r="I2776" i="1"/>
  <c r="H2776" i="1"/>
  <c r="I2775" i="1"/>
  <c r="H2775" i="1"/>
  <c r="I2774" i="1"/>
  <c r="H2774" i="1"/>
  <c r="I2773" i="1"/>
  <c r="H2773" i="1"/>
  <c r="I2772" i="1"/>
  <c r="H2772" i="1"/>
  <c r="I2771" i="1"/>
  <c r="H2771" i="1"/>
  <c r="I2770" i="1"/>
  <c r="H2770" i="1"/>
  <c r="I2769" i="1"/>
  <c r="H2769" i="1"/>
  <c r="I2768" i="1"/>
  <c r="H2768" i="1"/>
  <c r="I2767" i="1"/>
  <c r="H2767" i="1"/>
  <c r="I2766" i="1"/>
  <c r="H2766" i="1"/>
  <c r="I2765" i="1"/>
  <c r="H2765" i="1"/>
  <c r="I2764" i="1"/>
  <c r="H2764" i="1"/>
  <c r="I2763" i="1"/>
  <c r="H2763" i="1"/>
  <c r="I2762" i="1"/>
  <c r="H2762" i="1"/>
  <c r="I2761" i="1"/>
  <c r="H2761" i="1"/>
  <c r="I2760" i="1"/>
  <c r="H2760" i="1"/>
  <c r="I2759" i="1"/>
  <c r="H2759" i="1"/>
  <c r="I2758" i="1"/>
  <c r="H2758" i="1"/>
  <c r="I2757" i="1"/>
  <c r="H2757" i="1"/>
  <c r="I2756" i="1"/>
  <c r="H2756" i="1"/>
  <c r="I2755" i="1"/>
  <c r="H2755" i="1"/>
  <c r="I2754" i="1"/>
  <c r="H2754" i="1"/>
  <c r="I2753" i="1"/>
  <c r="H2753" i="1"/>
  <c r="I2752" i="1"/>
  <c r="H2752" i="1"/>
  <c r="I2751" i="1"/>
  <c r="H2751" i="1"/>
  <c r="I2750" i="1"/>
  <c r="H2750" i="1"/>
  <c r="I2749" i="1"/>
  <c r="H2749" i="1"/>
  <c r="I2748" i="1"/>
  <c r="H2748" i="1"/>
  <c r="I2747" i="1"/>
  <c r="H2747" i="1"/>
  <c r="I2746" i="1"/>
  <c r="H2746" i="1"/>
  <c r="I2745" i="1"/>
  <c r="H2745" i="1"/>
  <c r="I2744" i="1"/>
  <c r="H2744" i="1"/>
  <c r="I2743" i="1"/>
  <c r="H2743" i="1"/>
  <c r="I2742" i="1"/>
  <c r="H2742" i="1"/>
  <c r="I2741" i="1"/>
  <c r="H2741" i="1"/>
  <c r="I2740" i="1"/>
  <c r="H2740" i="1"/>
  <c r="I2739" i="1"/>
  <c r="H2739" i="1"/>
  <c r="I2738" i="1"/>
  <c r="H2738" i="1"/>
  <c r="I2737" i="1"/>
  <c r="H2737" i="1"/>
  <c r="I2736" i="1"/>
  <c r="H2736" i="1"/>
  <c r="I2735" i="1"/>
  <c r="H2735" i="1"/>
  <c r="I2734" i="1"/>
  <c r="H2734" i="1"/>
  <c r="I2733" i="1"/>
  <c r="H2733" i="1"/>
  <c r="I2732" i="1"/>
  <c r="H2732" i="1"/>
  <c r="I2731" i="1"/>
  <c r="H2731" i="1"/>
  <c r="I2730" i="1"/>
  <c r="H2730" i="1"/>
  <c r="I2729" i="1"/>
  <c r="H2729" i="1"/>
  <c r="I2728" i="1"/>
  <c r="H2728" i="1"/>
  <c r="I2727" i="1"/>
  <c r="H2727" i="1"/>
  <c r="I2726" i="1"/>
  <c r="H2726" i="1"/>
  <c r="I2725" i="1"/>
  <c r="H2725" i="1"/>
  <c r="I2724" i="1"/>
  <c r="H2724" i="1"/>
  <c r="I2723" i="1"/>
  <c r="H2723" i="1"/>
  <c r="I2722" i="1"/>
  <c r="H2722" i="1"/>
  <c r="I2721" i="1"/>
  <c r="H2721" i="1"/>
  <c r="I2720" i="1"/>
  <c r="H2720" i="1"/>
  <c r="I2719" i="1"/>
  <c r="H2719" i="1"/>
  <c r="I2718" i="1"/>
  <c r="H2718" i="1"/>
  <c r="I2717" i="1"/>
  <c r="H2717" i="1"/>
  <c r="I2716" i="1"/>
  <c r="H2716" i="1"/>
  <c r="I2715" i="1"/>
  <c r="H2715" i="1"/>
  <c r="I2714" i="1"/>
  <c r="H2714" i="1"/>
  <c r="I2713" i="1"/>
  <c r="H2713" i="1"/>
  <c r="I2712" i="1"/>
  <c r="H2712" i="1"/>
  <c r="I2711" i="1"/>
  <c r="H2711" i="1"/>
  <c r="I2710" i="1"/>
  <c r="H2710" i="1"/>
  <c r="I2709" i="1"/>
  <c r="H2709" i="1"/>
  <c r="I2708" i="1"/>
  <c r="H2708" i="1"/>
  <c r="I2707" i="1"/>
  <c r="H2707" i="1"/>
  <c r="I2706" i="1"/>
  <c r="H2706" i="1"/>
  <c r="I2705" i="1"/>
  <c r="H2705" i="1"/>
  <c r="I2704" i="1"/>
  <c r="H2704" i="1"/>
  <c r="I2703" i="1"/>
  <c r="H2703" i="1"/>
  <c r="I2702" i="1"/>
  <c r="H2702" i="1"/>
  <c r="I2701" i="1"/>
  <c r="H2701" i="1"/>
  <c r="I2700" i="1"/>
  <c r="H2700" i="1"/>
  <c r="I2699" i="1"/>
  <c r="H2699" i="1"/>
  <c r="I2698" i="1"/>
  <c r="H2698" i="1"/>
  <c r="I2697" i="1"/>
  <c r="H2697" i="1"/>
  <c r="I2696" i="1"/>
  <c r="H2696" i="1"/>
  <c r="I2695" i="1"/>
  <c r="H2695" i="1"/>
  <c r="I2694" i="1"/>
  <c r="H2694" i="1"/>
  <c r="I2693" i="1"/>
  <c r="H2693" i="1"/>
  <c r="I2692" i="1"/>
  <c r="H2692" i="1"/>
  <c r="I2691" i="1"/>
  <c r="H2691" i="1"/>
  <c r="I2690" i="1"/>
  <c r="H2690" i="1"/>
  <c r="I2689" i="1"/>
  <c r="H2689" i="1"/>
  <c r="I2688" i="1"/>
  <c r="H2688" i="1"/>
  <c r="I2687" i="1"/>
  <c r="H2687" i="1"/>
  <c r="I2686" i="1"/>
  <c r="H2686" i="1"/>
  <c r="I2685" i="1"/>
  <c r="H2685" i="1"/>
  <c r="I2684" i="1"/>
  <c r="H2684" i="1"/>
  <c r="I2683" i="1"/>
  <c r="H2683" i="1"/>
  <c r="I2682" i="1"/>
  <c r="H2682" i="1"/>
  <c r="I2681" i="1"/>
  <c r="H2681" i="1"/>
  <c r="I2680" i="1"/>
  <c r="H2680" i="1"/>
  <c r="I2679" i="1"/>
  <c r="H2679" i="1"/>
  <c r="I2678" i="1"/>
  <c r="H2678" i="1"/>
  <c r="I2677" i="1"/>
  <c r="H2677" i="1"/>
  <c r="I2676" i="1"/>
  <c r="H2676" i="1"/>
  <c r="I2675" i="1"/>
  <c r="H2675" i="1"/>
  <c r="I2674" i="1"/>
  <c r="H2674" i="1"/>
  <c r="I2673" i="1"/>
  <c r="H2673" i="1"/>
  <c r="I2672" i="1"/>
  <c r="H2672" i="1"/>
  <c r="I2671" i="1"/>
  <c r="H2671" i="1"/>
  <c r="I2670" i="1"/>
  <c r="H2670" i="1"/>
  <c r="I2669" i="1"/>
  <c r="H2669" i="1"/>
  <c r="I2668" i="1"/>
  <c r="H2668" i="1"/>
  <c r="I2667" i="1"/>
  <c r="H2667" i="1"/>
  <c r="I2666" i="1"/>
  <c r="H2666" i="1"/>
  <c r="I2665" i="1"/>
  <c r="H2665" i="1"/>
  <c r="I2664" i="1"/>
  <c r="H2664" i="1"/>
  <c r="I2663" i="1"/>
  <c r="H2663" i="1"/>
  <c r="I2662" i="1"/>
  <c r="H2662" i="1"/>
  <c r="I2661" i="1"/>
  <c r="H2661" i="1"/>
  <c r="I2660" i="1"/>
  <c r="H2660" i="1"/>
  <c r="I2659" i="1"/>
  <c r="H2659" i="1"/>
  <c r="I2658" i="1"/>
  <c r="H2658" i="1"/>
  <c r="I2657" i="1"/>
  <c r="H2657" i="1"/>
  <c r="I2656" i="1"/>
  <c r="H2656" i="1"/>
  <c r="I2655" i="1"/>
  <c r="H2655" i="1"/>
  <c r="I2654" i="1"/>
  <c r="H2654" i="1"/>
  <c r="I2653" i="1"/>
  <c r="H2653" i="1"/>
  <c r="I2652" i="1"/>
  <c r="H2652" i="1"/>
  <c r="I2651" i="1"/>
  <c r="H2651" i="1"/>
  <c r="I2650" i="1"/>
  <c r="H2650" i="1"/>
  <c r="I2649" i="1"/>
  <c r="H2649" i="1"/>
  <c r="I2648" i="1"/>
  <c r="H2648" i="1"/>
  <c r="I2647" i="1"/>
  <c r="H2647" i="1"/>
  <c r="I2646" i="1"/>
  <c r="H2646" i="1"/>
  <c r="I2645" i="1"/>
  <c r="H2645" i="1"/>
  <c r="I2644" i="1"/>
  <c r="H2644" i="1"/>
  <c r="I2643" i="1"/>
  <c r="H2643" i="1"/>
  <c r="I2642" i="1"/>
  <c r="H2642" i="1"/>
  <c r="I2641" i="1"/>
  <c r="H2641" i="1"/>
  <c r="I2640" i="1"/>
  <c r="H2640" i="1"/>
  <c r="I2639" i="1"/>
  <c r="H2639" i="1"/>
  <c r="I2638" i="1"/>
  <c r="H2638" i="1"/>
  <c r="I2637" i="1"/>
  <c r="H2637" i="1"/>
  <c r="I2636" i="1"/>
  <c r="H2636" i="1"/>
  <c r="I2635" i="1"/>
  <c r="H2635" i="1"/>
  <c r="I2634" i="1"/>
  <c r="H2634" i="1"/>
  <c r="I2633" i="1"/>
  <c r="H2633" i="1"/>
  <c r="I2632" i="1"/>
  <c r="H2632" i="1"/>
  <c r="I2631" i="1"/>
  <c r="H2631" i="1"/>
  <c r="I2630" i="1"/>
  <c r="H2630" i="1"/>
  <c r="I2629" i="1"/>
  <c r="H2629" i="1"/>
  <c r="I2628" i="1"/>
  <c r="H2628" i="1"/>
  <c r="I2627" i="1"/>
  <c r="H2627" i="1"/>
  <c r="I2626" i="1"/>
  <c r="H2626" i="1"/>
  <c r="I2625" i="1"/>
  <c r="H2625" i="1"/>
  <c r="I2624" i="1"/>
  <c r="H2624" i="1"/>
  <c r="I2623" i="1"/>
  <c r="H2623" i="1"/>
  <c r="H2622" i="1"/>
  <c r="I2621" i="1"/>
  <c r="H2621" i="1"/>
  <c r="I2620" i="1"/>
  <c r="H2620" i="1"/>
  <c r="I2619" i="1"/>
  <c r="H2619" i="1"/>
  <c r="I2618" i="1"/>
  <c r="H2618" i="1"/>
  <c r="I2617" i="1"/>
  <c r="H2617" i="1"/>
  <c r="I2616" i="1"/>
  <c r="H2616" i="1"/>
  <c r="I2615" i="1"/>
  <c r="H2615" i="1"/>
  <c r="I2614" i="1"/>
  <c r="H2614" i="1"/>
  <c r="I2613" i="1"/>
  <c r="H2613" i="1"/>
  <c r="I2612" i="1"/>
  <c r="H2612" i="1"/>
  <c r="I2611" i="1"/>
  <c r="H2611" i="1"/>
  <c r="I2610" i="1"/>
  <c r="H2610" i="1"/>
  <c r="I2609" i="1"/>
  <c r="H2609" i="1"/>
  <c r="I2608" i="1"/>
  <c r="H2608" i="1"/>
  <c r="I2607" i="1"/>
  <c r="H2607" i="1"/>
  <c r="I2606" i="1"/>
  <c r="H2606" i="1"/>
  <c r="I2605" i="1"/>
  <c r="H2605" i="1"/>
  <c r="I2604" i="1"/>
  <c r="H2604" i="1"/>
  <c r="I2603" i="1"/>
  <c r="H2603" i="1"/>
  <c r="I2602" i="1"/>
  <c r="H2602" i="1"/>
  <c r="I2601" i="1"/>
  <c r="H2601" i="1"/>
  <c r="I2600" i="1"/>
  <c r="H2600" i="1"/>
  <c r="I2599" i="1"/>
  <c r="H2599" i="1"/>
  <c r="I2598" i="1"/>
  <c r="H2598" i="1"/>
  <c r="I2597" i="1"/>
  <c r="H2597" i="1"/>
  <c r="I2596" i="1"/>
  <c r="H2596" i="1"/>
  <c r="I2595" i="1"/>
  <c r="H2595" i="1"/>
  <c r="I2594" i="1"/>
  <c r="H2594" i="1"/>
  <c r="I2593" i="1"/>
  <c r="H2593" i="1"/>
  <c r="I2592" i="1"/>
  <c r="H2592" i="1"/>
  <c r="I2591" i="1"/>
  <c r="H2591" i="1"/>
  <c r="I2590" i="1"/>
  <c r="H2590" i="1"/>
  <c r="I2589" i="1"/>
  <c r="H2589" i="1"/>
  <c r="I2588" i="1"/>
  <c r="H2588" i="1"/>
  <c r="I2587" i="1"/>
  <c r="H2587" i="1"/>
  <c r="I2586" i="1"/>
  <c r="H2586" i="1"/>
  <c r="I2585" i="1"/>
  <c r="H2585" i="1"/>
  <c r="I2584" i="1"/>
  <c r="H2584" i="1"/>
  <c r="I2583" i="1"/>
  <c r="H2583" i="1"/>
  <c r="I2582" i="1"/>
  <c r="H2582" i="1"/>
  <c r="I2581" i="1"/>
  <c r="H2581" i="1"/>
  <c r="I2580" i="1"/>
  <c r="H2580" i="1"/>
  <c r="I2579" i="1"/>
  <c r="H2579" i="1"/>
  <c r="I2578" i="1"/>
  <c r="H2578" i="1"/>
  <c r="I2577" i="1"/>
  <c r="H2577" i="1"/>
  <c r="I2576" i="1"/>
  <c r="H2576" i="1"/>
  <c r="I2575" i="1"/>
  <c r="H2575" i="1"/>
  <c r="I2574" i="1"/>
  <c r="H2574" i="1"/>
  <c r="I2573" i="1"/>
  <c r="H2573" i="1"/>
  <c r="I2572" i="1"/>
  <c r="H2572" i="1"/>
  <c r="I2571" i="1"/>
  <c r="H2571" i="1"/>
  <c r="I2570" i="1"/>
  <c r="H2570" i="1"/>
  <c r="I2569" i="1"/>
  <c r="H2569" i="1"/>
  <c r="I2568" i="1"/>
  <c r="H2568" i="1"/>
  <c r="I2567" i="1"/>
  <c r="H2567" i="1"/>
  <c r="I2566" i="1"/>
  <c r="H2566" i="1"/>
  <c r="I2565" i="1"/>
  <c r="H2565" i="1"/>
  <c r="I2564" i="1"/>
  <c r="H2564" i="1"/>
  <c r="I2563" i="1"/>
  <c r="H2563" i="1"/>
  <c r="I2562" i="1"/>
  <c r="H2562" i="1"/>
  <c r="I2561" i="1"/>
  <c r="H2561" i="1"/>
  <c r="I2560" i="1"/>
  <c r="H2560" i="1"/>
  <c r="I2559" i="1"/>
  <c r="H2559" i="1"/>
  <c r="I2558" i="1"/>
  <c r="H2558" i="1"/>
  <c r="I2557" i="1"/>
  <c r="H2557" i="1"/>
  <c r="I2556" i="1"/>
  <c r="H2556" i="1"/>
  <c r="I2555" i="1"/>
  <c r="H2555" i="1"/>
  <c r="I2554" i="1"/>
  <c r="H2554" i="1"/>
  <c r="I2553" i="1"/>
  <c r="H2553" i="1"/>
  <c r="I2552" i="1"/>
  <c r="H2552" i="1"/>
  <c r="I2551" i="1"/>
  <c r="H2551" i="1"/>
  <c r="I2550" i="1"/>
  <c r="H2550" i="1"/>
  <c r="I2549" i="1"/>
  <c r="H2549" i="1"/>
  <c r="I2548" i="1"/>
  <c r="H2548" i="1"/>
  <c r="I2547" i="1"/>
  <c r="H2547" i="1"/>
  <c r="I2546" i="1"/>
  <c r="H2546" i="1"/>
  <c r="I2545" i="1"/>
  <c r="H2545" i="1"/>
  <c r="I2544" i="1"/>
  <c r="H2544" i="1"/>
  <c r="I2543" i="1"/>
  <c r="H2543" i="1"/>
  <c r="I2542" i="1"/>
  <c r="H2542" i="1"/>
  <c r="I2541" i="1"/>
  <c r="H2541" i="1"/>
  <c r="I2540" i="1"/>
  <c r="H2540" i="1"/>
  <c r="I2539" i="1"/>
  <c r="H2539" i="1"/>
  <c r="I2538" i="1"/>
  <c r="H2538" i="1"/>
  <c r="I2537" i="1"/>
  <c r="H2537" i="1"/>
  <c r="I2536" i="1"/>
  <c r="H2536" i="1"/>
  <c r="I2535" i="1"/>
  <c r="H2535" i="1"/>
  <c r="I2534" i="1"/>
  <c r="H2534" i="1"/>
  <c r="I2533" i="1"/>
  <c r="H2533" i="1"/>
  <c r="I2532" i="1"/>
  <c r="H2532" i="1"/>
  <c r="I2531" i="1"/>
  <c r="H2531" i="1"/>
  <c r="I2530" i="1"/>
  <c r="H2530" i="1"/>
  <c r="I2529" i="1"/>
  <c r="H2529" i="1"/>
  <c r="I2528" i="1"/>
  <c r="H2528" i="1"/>
  <c r="I2527" i="1"/>
  <c r="H2527" i="1"/>
  <c r="I2526" i="1"/>
  <c r="H2526" i="1"/>
  <c r="I2525" i="1"/>
  <c r="H2525" i="1"/>
  <c r="I2524" i="1"/>
  <c r="H2524" i="1"/>
  <c r="I2523" i="1"/>
  <c r="H2523" i="1"/>
  <c r="I2522" i="1"/>
  <c r="H2522" i="1"/>
  <c r="I2521" i="1"/>
  <c r="H2521" i="1"/>
  <c r="I2520" i="1"/>
  <c r="H2520" i="1"/>
  <c r="I2519" i="1"/>
  <c r="H2519" i="1"/>
  <c r="I2518" i="1"/>
  <c r="H2518" i="1"/>
  <c r="I2517" i="1"/>
  <c r="H2517" i="1"/>
  <c r="I2516" i="1"/>
  <c r="H2516" i="1"/>
  <c r="I2515" i="1"/>
  <c r="H2515" i="1"/>
  <c r="I2514" i="1"/>
  <c r="H2514" i="1"/>
  <c r="I2513" i="1"/>
  <c r="H2513" i="1"/>
  <c r="I2512" i="1"/>
  <c r="H2512" i="1"/>
  <c r="I2511" i="1"/>
  <c r="H2511" i="1"/>
  <c r="I2510" i="1"/>
  <c r="H2510" i="1"/>
  <c r="I2509" i="1"/>
  <c r="H2509" i="1"/>
  <c r="I2508" i="1"/>
  <c r="H2508" i="1"/>
  <c r="I2507" i="1"/>
  <c r="H2507" i="1"/>
  <c r="I2506" i="1"/>
  <c r="H2506" i="1"/>
  <c r="I2505" i="1"/>
  <c r="H2505" i="1"/>
  <c r="I2504" i="1"/>
  <c r="H2504" i="1"/>
  <c r="I2503" i="1"/>
  <c r="H2503" i="1"/>
  <c r="I2502" i="1"/>
  <c r="H2502" i="1"/>
  <c r="I2501" i="1"/>
  <c r="H2501" i="1"/>
  <c r="I2500" i="1"/>
  <c r="H2500" i="1"/>
  <c r="I2499" i="1"/>
  <c r="H2499" i="1"/>
  <c r="I2498" i="1"/>
  <c r="H2498" i="1"/>
  <c r="I2497" i="1"/>
  <c r="H2497" i="1"/>
  <c r="I2496" i="1"/>
  <c r="H2496" i="1"/>
  <c r="I2495" i="1"/>
  <c r="H2495" i="1"/>
  <c r="I2494" i="1"/>
  <c r="H2494" i="1"/>
  <c r="I2493" i="1"/>
  <c r="H2493" i="1"/>
  <c r="I2492" i="1"/>
  <c r="H2492" i="1"/>
  <c r="I2491" i="1"/>
  <c r="H2491" i="1"/>
  <c r="I2490" i="1"/>
  <c r="H2490" i="1"/>
  <c r="I2489" i="1"/>
  <c r="H2489" i="1"/>
  <c r="I2488" i="1"/>
  <c r="H2488" i="1"/>
  <c r="I2487" i="1"/>
  <c r="H2487" i="1"/>
  <c r="I2486" i="1"/>
  <c r="H2486" i="1"/>
  <c r="I2485" i="1"/>
  <c r="H2485" i="1"/>
  <c r="I2484" i="1"/>
  <c r="H2484" i="1"/>
  <c r="I2483" i="1"/>
  <c r="H2483" i="1"/>
  <c r="I2482" i="1"/>
  <c r="H2482" i="1"/>
  <c r="I2481" i="1"/>
  <c r="H2481" i="1"/>
  <c r="I2480" i="1"/>
  <c r="H2480" i="1"/>
  <c r="I2479" i="1"/>
  <c r="H2479" i="1"/>
  <c r="I2478" i="1"/>
  <c r="H2478" i="1"/>
  <c r="I2477" i="1"/>
  <c r="H2477" i="1"/>
  <c r="I2476" i="1"/>
  <c r="H2476" i="1"/>
  <c r="I2475" i="1"/>
  <c r="H2475" i="1"/>
  <c r="I2474" i="1"/>
  <c r="H2474" i="1"/>
  <c r="I2473" i="1"/>
  <c r="H2473" i="1"/>
  <c r="I2472" i="1"/>
  <c r="H2472" i="1"/>
  <c r="I2471" i="1"/>
  <c r="H2471" i="1"/>
  <c r="I2470" i="1"/>
  <c r="H2470" i="1"/>
  <c r="I2469" i="1"/>
  <c r="H2469" i="1"/>
  <c r="I2468" i="1"/>
  <c r="H2468" i="1"/>
  <c r="I2467" i="1"/>
  <c r="H2467" i="1"/>
  <c r="I2466" i="1"/>
  <c r="H2466" i="1"/>
  <c r="I2465" i="1"/>
  <c r="H2465" i="1"/>
  <c r="I2464" i="1"/>
  <c r="H2464" i="1"/>
  <c r="I2463" i="1"/>
  <c r="H2463" i="1"/>
  <c r="I2462" i="1"/>
  <c r="H2462" i="1"/>
  <c r="I2461" i="1"/>
  <c r="H2461" i="1"/>
  <c r="I2460" i="1"/>
  <c r="H2460" i="1"/>
  <c r="I2459" i="1"/>
  <c r="H2459" i="1"/>
  <c r="I2458" i="1"/>
  <c r="H2458" i="1"/>
  <c r="I2457" i="1"/>
  <c r="H2457" i="1"/>
  <c r="I2456" i="1"/>
  <c r="H2456" i="1"/>
  <c r="I2455" i="1"/>
  <c r="H2455" i="1"/>
  <c r="I2454" i="1"/>
  <c r="H2454" i="1"/>
  <c r="I2453" i="1"/>
  <c r="H2453" i="1"/>
  <c r="I2452" i="1"/>
  <c r="H2452" i="1"/>
  <c r="I2451" i="1"/>
  <c r="H2451" i="1"/>
  <c r="I2450" i="1"/>
  <c r="H2450" i="1"/>
  <c r="I2449" i="1"/>
  <c r="H2449" i="1"/>
  <c r="I2448" i="1"/>
  <c r="H2448" i="1"/>
  <c r="I2447" i="1"/>
  <c r="H2447" i="1"/>
  <c r="I2446" i="1"/>
  <c r="H2446" i="1"/>
  <c r="I2445" i="1"/>
  <c r="H2445" i="1"/>
  <c r="I2444" i="1"/>
  <c r="H2444" i="1"/>
  <c r="I2443" i="1"/>
  <c r="H2443" i="1"/>
  <c r="I2442" i="1"/>
  <c r="H2442" i="1"/>
  <c r="I2441" i="1"/>
  <c r="H2441" i="1"/>
  <c r="I2440" i="1"/>
  <c r="H2440" i="1"/>
  <c r="I2439" i="1"/>
  <c r="H2439" i="1"/>
  <c r="I2438" i="1"/>
  <c r="H2438" i="1"/>
  <c r="I2437" i="1"/>
  <c r="H2437" i="1"/>
  <c r="I2436" i="1"/>
  <c r="H2436" i="1"/>
  <c r="I2435" i="1"/>
  <c r="H2435" i="1"/>
  <c r="I2434" i="1"/>
  <c r="H2434" i="1"/>
  <c r="I2433" i="1"/>
  <c r="H2433" i="1"/>
  <c r="I2432" i="1"/>
  <c r="H2432" i="1"/>
  <c r="I2431" i="1"/>
  <c r="H2431" i="1"/>
  <c r="I2430" i="1"/>
  <c r="H2430" i="1"/>
  <c r="I2429" i="1"/>
  <c r="H2429" i="1"/>
  <c r="I2428" i="1"/>
  <c r="H2428" i="1"/>
  <c r="I2427" i="1"/>
  <c r="H2427" i="1"/>
  <c r="I2426" i="1"/>
  <c r="H2426" i="1"/>
  <c r="I2425" i="1"/>
  <c r="H2425" i="1"/>
  <c r="I2424" i="1"/>
  <c r="H2424" i="1"/>
  <c r="I2423" i="1"/>
  <c r="H2423" i="1"/>
  <c r="I2422" i="1"/>
  <c r="H2422" i="1"/>
  <c r="I2421" i="1"/>
  <c r="H2421" i="1"/>
  <c r="I2420" i="1"/>
  <c r="H2420" i="1"/>
  <c r="I2419" i="1"/>
  <c r="H2419" i="1"/>
  <c r="I2418" i="1"/>
  <c r="H2418" i="1"/>
  <c r="I2417" i="1"/>
  <c r="H2417" i="1"/>
  <c r="I2416" i="1"/>
  <c r="H2416" i="1"/>
  <c r="I2415" i="1"/>
  <c r="H2415" i="1"/>
  <c r="I2414" i="1"/>
  <c r="H2414" i="1"/>
  <c r="I2413" i="1"/>
  <c r="H2413" i="1"/>
  <c r="I2412" i="1"/>
  <c r="H2412" i="1"/>
  <c r="I2411" i="1"/>
  <c r="H2411" i="1"/>
  <c r="I2410" i="1"/>
  <c r="H2410" i="1"/>
  <c r="I2409" i="1"/>
  <c r="H2409" i="1"/>
  <c r="I2408" i="1"/>
  <c r="H2408" i="1"/>
  <c r="I2407" i="1"/>
  <c r="H2407" i="1"/>
  <c r="I2406" i="1"/>
  <c r="H2406" i="1"/>
  <c r="I2405" i="1"/>
  <c r="H2405" i="1"/>
  <c r="I2404" i="1"/>
  <c r="H2404" i="1"/>
  <c r="I2403" i="1"/>
  <c r="H2403" i="1"/>
  <c r="I2402" i="1"/>
  <c r="H2402" i="1"/>
  <c r="I2401" i="1"/>
  <c r="H2401" i="1"/>
  <c r="I2400" i="1"/>
  <c r="H2400" i="1"/>
  <c r="I2399" i="1"/>
  <c r="H2399" i="1"/>
  <c r="I2398" i="1"/>
  <c r="H2398" i="1"/>
  <c r="I2397" i="1"/>
  <c r="H2397" i="1"/>
  <c r="I2396" i="1"/>
  <c r="H2396" i="1"/>
  <c r="I2395" i="1"/>
  <c r="H2395" i="1"/>
  <c r="I2394" i="1"/>
  <c r="H2394" i="1"/>
  <c r="I2393" i="1"/>
  <c r="H2393" i="1"/>
  <c r="I2392" i="1"/>
  <c r="H2392" i="1"/>
  <c r="I2391" i="1"/>
  <c r="H2391" i="1"/>
  <c r="I2390" i="1"/>
  <c r="H2390" i="1"/>
  <c r="I2389" i="1"/>
  <c r="H2389" i="1"/>
  <c r="I2388" i="1"/>
  <c r="H2388" i="1"/>
  <c r="I2387" i="1"/>
  <c r="H2387" i="1"/>
  <c r="I2386" i="1"/>
  <c r="H2386" i="1"/>
  <c r="I2385" i="1"/>
  <c r="H2385" i="1"/>
  <c r="I2384" i="1"/>
  <c r="H2384" i="1"/>
  <c r="I2383" i="1"/>
  <c r="H2383" i="1"/>
  <c r="I2382" i="1"/>
  <c r="H2382" i="1"/>
  <c r="I2381" i="1"/>
  <c r="H2381" i="1"/>
  <c r="I2380" i="1"/>
  <c r="H2380" i="1"/>
  <c r="I2379" i="1"/>
  <c r="H2379" i="1"/>
  <c r="I2378" i="1"/>
  <c r="H2378" i="1"/>
  <c r="I2377" i="1"/>
  <c r="H2377" i="1"/>
  <c r="I2376" i="1"/>
  <c r="H2376" i="1"/>
  <c r="I2375" i="1"/>
  <c r="H2375" i="1"/>
  <c r="I2374" i="1"/>
  <c r="H2374" i="1"/>
  <c r="I2373" i="1"/>
  <c r="H2373" i="1"/>
  <c r="I2372" i="1"/>
  <c r="H2372" i="1"/>
  <c r="I2371" i="1"/>
  <c r="H2371" i="1"/>
  <c r="I2370" i="1"/>
  <c r="H2370" i="1"/>
  <c r="I2369" i="1"/>
  <c r="H2369" i="1"/>
  <c r="I2368" i="1"/>
  <c r="H2368" i="1"/>
  <c r="I2367" i="1"/>
  <c r="H2367" i="1"/>
  <c r="I2366" i="1"/>
  <c r="H2366" i="1"/>
  <c r="I2365" i="1"/>
  <c r="H2365" i="1"/>
  <c r="I2364" i="1"/>
  <c r="H2364" i="1"/>
  <c r="I2363" i="1"/>
  <c r="H2363" i="1"/>
  <c r="I2362" i="1"/>
  <c r="H2362" i="1"/>
  <c r="I2361" i="1"/>
  <c r="H2361" i="1"/>
  <c r="I2360" i="1"/>
  <c r="H2360" i="1"/>
  <c r="I2359" i="1"/>
  <c r="H2359" i="1"/>
  <c r="I2358" i="1"/>
  <c r="H2358" i="1"/>
  <c r="I2357" i="1"/>
  <c r="H2357" i="1"/>
  <c r="I2356" i="1"/>
  <c r="H2356" i="1"/>
  <c r="I2355" i="1"/>
  <c r="H2355" i="1"/>
  <c r="I2354" i="1"/>
  <c r="H2354" i="1"/>
  <c r="I2353" i="1"/>
  <c r="H2353" i="1"/>
  <c r="I2352" i="1"/>
  <c r="H2352" i="1"/>
  <c r="H2351" i="1"/>
  <c r="I2350" i="1"/>
  <c r="H2350" i="1"/>
  <c r="I2349" i="1"/>
  <c r="H2349" i="1"/>
  <c r="I2348" i="1"/>
  <c r="H2348" i="1"/>
  <c r="I2347" i="1"/>
  <c r="H2347" i="1"/>
  <c r="I2346" i="1"/>
  <c r="H2346" i="1"/>
  <c r="I2345" i="1"/>
  <c r="H2345" i="1"/>
  <c r="I2344" i="1"/>
  <c r="H2344" i="1"/>
  <c r="I2343" i="1"/>
  <c r="H2343" i="1"/>
  <c r="I2342" i="1"/>
  <c r="H2342" i="1"/>
  <c r="I2341" i="1"/>
  <c r="H2341" i="1"/>
  <c r="I2340" i="1"/>
  <c r="H2340" i="1"/>
  <c r="I2339" i="1"/>
  <c r="H2339" i="1"/>
  <c r="I2338" i="1"/>
  <c r="H2338" i="1"/>
  <c r="I2337" i="1"/>
  <c r="H2337" i="1"/>
  <c r="I2336" i="1"/>
  <c r="H2336" i="1"/>
  <c r="I2335" i="1"/>
  <c r="H2335" i="1"/>
  <c r="I2334" i="1"/>
  <c r="H2334" i="1"/>
  <c r="I2333" i="1"/>
  <c r="H2333" i="1"/>
  <c r="I2332" i="1"/>
  <c r="H2332" i="1"/>
  <c r="I2331" i="1"/>
  <c r="H2331" i="1"/>
  <c r="I2330" i="1"/>
  <c r="H2330" i="1"/>
  <c r="I2329" i="1"/>
  <c r="H2329" i="1"/>
  <c r="I2328" i="1"/>
  <c r="H2328" i="1"/>
  <c r="I2327" i="1"/>
  <c r="H2327" i="1"/>
  <c r="I2326" i="1"/>
  <c r="H2326" i="1"/>
  <c r="I2325" i="1"/>
  <c r="H2325" i="1"/>
  <c r="I2324" i="1"/>
  <c r="H2324" i="1"/>
  <c r="I2323" i="1"/>
  <c r="H2323" i="1"/>
  <c r="I2322" i="1"/>
  <c r="H2322" i="1"/>
  <c r="I2321" i="1"/>
  <c r="H2321" i="1"/>
  <c r="I2320" i="1"/>
  <c r="H2320" i="1"/>
  <c r="I2319" i="1"/>
  <c r="H2319" i="1"/>
  <c r="I2318" i="1"/>
  <c r="H2318" i="1"/>
  <c r="H2317" i="1"/>
  <c r="I2316" i="1"/>
  <c r="H2316" i="1"/>
  <c r="I2315" i="1"/>
  <c r="H2315" i="1"/>
  <c r="I2314" i="1"/>
  <c r="H2314" i="1"/>
  <c r="I2313" i="1"/>
  <c r="H2313" i="1"/>
  <c r="I2312" i="1"/>
  <c r="H2312" i="1"/>
  <c r="I2311" i="1"/>
  <c r="H2311" i="1"/>
  <c r="H2310" i="1"/>
  <c r="I2309" i="1"/>
  <c r="H2309" i="1"/>
  <c r="I2308" i="1"/>
  <c r="H2308" i="1"/>
  <c r="I2307" i="1"/>
  <c r="H2307" i="1"/>
  <c r="I2306" i="1"/>
  <c r="H2306" i="1"/>
  <c r="I2305" i="1"/>
  <c r="H2305" i="1"/>
  <c r="I2304" i="1"/>
  <c r="H2304" i="1"/>
  <c r="I2303" i="1"/>
  <c r="H2303" i="1"/>
  <c r="I2302" i="1"/>
  <c r="H2302" i="1"/>
  <c r="I2301" i="1"/>
  <c r="H2301" i="1"/>
  <c r="I2300" i="1"/>
  <c r="H2300" i="1"/>
  <c r="I2299" i="1"/>
  <c r="H2299" i="1"/>
  <c r="I2298" i="1"/>
  <c r="H2298" i="1"/>
  <c r="I2297" i="1"/>
  <c r="H2297" i="1"/>
  <c r="I2296" i="1"/>
  <c r="H2296" i="1"/>
  <c r="I2295" i="1"/>
  <c r="H2295" i="1"/>
  <c r="I2294" i="1"/>
  <c r="H2294" i="1"/>
  <c r="I2293" i="1"/>
  <c r="H2293" i="1"/>
  <c r="I2292" i="1"/>
  <c r="H2292" i="1"/>
  <c r="I2291" i="1"/>
  <c r="H2291" i="1"/>
  <c r="I2290" i="1"/>
  <c r="H2290" i="1"/>
  <c r="I2289" i="1"/>
  <c r="H2289" i="1"/>
  <c r="I2288" i="1"/>
  <c r="H2288" i="1"/>
  <c r="I2287" i="1"/>
  <c r="H2287" i="1"/>
  <c r="I2286" i="1"/>
  <c r="H2286" i="1"/>
  <c r="I2285" i="1"/>
  <c r="H2285" i="1"/>
  <c r="I2284" i="1"/>
  <c r="H2284" i="1"/>
  <c r="I2283" i="1"/>
  <c r="H2283" i="1"/>
  <c r="I2282" i="1"/>
  <c r="H2282" i="1"/>
  <c r="I2281" i="1"/>
  <c r="H2281" i="1"/>
  <c r="I2280" i="1"/>
  <c r="H2280" i="1"/>
  <c r="I2279" i="1"/>
  <c r="H2279" i="1"/>
  <c r="I2278" i="1"/>
  <c r="H2278" i="1"/>
  <c r="I2277" i="1"/>
  <c r="H2277" i="1"/>
  <c r="I2276" i="1"/>
  <c r="H2276" i="1"/>
  <c r="I2275" i="1"/>
  <c r="H2275" i="1"/>
  <c r="I2274" i="1"/>
  <c r="H2274" i="1"/>
  <c r="I2273" i="1"/>
  <c r="H2273" i="1"/>
  <c r="I2272" i="1"/>
  <c r="H2272" i="1"/>
  <c r="I2271" i="1"/>
  <c r="H2271" i="1"/>
  <c r="I2270" i="1"/>
  <c r="H2270" i="1"/>
  <c r="I2269" i="1"/>
  <c r="H2269" i="1"/>
  <c r="I2268" i="1"/>
  <c r="H2268" i="1"/>
  <c r="I2267" i="1"/>
  <c r="H2267" i="1"/>
  <c r="I2266" i="1"/>
  <c r="H2266" i="1"/>
  <c r="I2265" i="1"/>
  <c r="H2265" i="1"/>
  <c r="I2264" i="1"/>
  <c r="H2264" i="1"/>
  <c r="I2263" i="1"/>
  <c r="H2263" i="1"/>
  <c r="I2262" i="1"/>
  <c r="H2262" i="1"/>
  <c r="I2261" i="1"/>
  <c r="H2261" i="1"/>
  <c r="I2260" i="1"/>
  <c r="H2260" i="1"/>
  <c r="I2259" i="1"/>
  <c r="H2259" i="1"/>
  <c r="I2258" i="1"/>
  <c r="H2258" i="1"/>
  <c r="I2257" i="1"/>
  <c r="H2257" i="1"/>
  <c r="I2256" i="1"/>
  <c r="H2256" i="1"/>
  <c r="I2255" i="1"/>
  <c r="H2255" i="1"/>
  <c r="I2254" i="1"/>
  <c r="H2254" i="1"/>
  <c r="I2253" i="1"/>
  <c r="H2253" i="1"/>
  <c r="I2252" i="1"/>
  <c r="H2252" i="1"/>
  <c r="I2251" i="1"/>
  <c r="H2251" i="1"/>
  <c r="I2250" i="1"/>
  <c r="H2250" i="1"/>
  <c r="I2249" i="1"/>
  <c r="H2249" i="1"/>
  <c r="I2248" i="1"/>
  <c r="H2248" i="1"/>
  <c r="I2247" i="1"/>
  <c r="H2247" i="1"/>
  <c r="I2246" i="1"/>
  <c r="H2246" i="1"/>
  <c r="I2245" i="1"/>
  <c r="H2245" i="1"/>
  <c r="I2244" i="1"/>
  <c r="H2244" i="1"/>
  <c r="I2243" i="1"/>
  <c r="H2243" i="1"/>
  <c r="I2242" i="1"/>
  <c r="H2242" i="1"/>
  <c r="I2241" i="1"/>
  <c r="H2241" i="1"/>
  <c r="I2240" i="1"/>
  <c r="H2240" i="1"/>
  <c r="I2239" i="1"/>
  <c r="H2239" i="1"/>
  <c r="I2238" i="1"/>
  <c r="H2238" i="1"/>
  <c r="I2237" i="1"/>
  <c r="H2237" i="1"/>
  <c r="I2236" i="1"/>
  <c r="H2236" i="1"/>
  <c r="I2235" i="1"/>
  <c r="H2235" i="1"/>
  <c r="I2234" i="1"/>
  <c r="H2234" i="1"/>
  <c r="I2233" i="1"/>
  <c r="H2233" i="1"/>
  <c r="I2232" i="1"/>
  <c r="H2232" i="1"/>
  <c r="I2231" i="1"/>
  <c r="H2231" i="1"/>
  <c r="I2230" i="1"/>
  <c r="H2230" i="1"/>
  <c r="I2229" i="1"/>
  <c r="H2229" i="1"/>
  <c r="I2228" i="1"/>
  <c r="H2228" i="1"/>
  <c r="I2227" i="1"/>
  <c r="H2227" i="1"/>
  <c r="I2226" i="1"/>
  <c r="H2226" i="1"/>
  <c r="I2225" i="1"/>
  <c r="H2225" i="1"/>
  <c r="I2224" i="1"/>
  <c r="H2224" i="1"/>
  <c r="I2223" i="1"/>
  <c r="H2223" i="1"/>
  <c r="I2222" i="1"/>
  <c r="H2222" i="1"/>
  <c r="I2221" i="1"/>
  <c r="H2221" i="1"/>
  <c r="I2220" i="1"/>
  <c r="H2220" i="1"/>
  <c r="I2219" i="1"/>
  <c r="H2219" i="1"/>
  <c r="I2218" i="1"/>
  <c r="H2218" i="1"/>
  <c r="I2217" i="1"/>
  <c r="H2217" i="1"/>
  <c r="I2216" i="1"/>
  <c r="H2216" i="1"/>
  <c r="I2215" i="1"/>
  <c r="H2215" i="1"/>
  <c r="I2214" i="1"/>
  <c r="H2214" i="1"/>
  <c r="I2213" i="1"/>
  <c r="H2213" i="1"/>
  <c r="I2212" i="1"/>
  <c r="H2212" i="1"/>
  <c r="I2211" i="1"/>
  <c r="H2211" i="1"/>
  <c r="I2210" i="1"/>
  <c r="H2210" i="1"/>
  <c r="I2209" i="1"/>
  <c r="H2209" i="1"/>
  <c r="I2208" i="1"/>
  <c r="H2208" i="1"/>
  <c r="I2207" i="1"/>
  <c r="H2207" i="1"/>
  <c r="I2206" i="1"/>
  <c r="H2206" i="1"/>
  <c r="I2205" i="1"/>
  <c r="H2205" i="1"/>
  <c r="I2204" i="1"/>
  <c r="H2204" i="1"/>
  <c r="I2203" i="1"/>
  <c r="H2203" i="1"/>
  <c r="I2202" i="1"/>
  <c r="H2202" i="1"/>
  <c r="I2201" i="1"/>
  <c r="H2201" i="1"/>
  <c r="I2200" i="1"/>
  <c r="H2200" i="1"/>
  <c r="I2199" i="1"/>
  <c r="H2199" i="1"/>
  <c r="I2198" i="1"/>
  <c r="H2198" i="1"/>
  <c r="I2197" i="1"/>
  <c r="H2197" i="1"/>
  <c r="I2196" i="1"/>
  <c r="H2196" i="1"/>
  <c r="I2195" i="1"/>
  <c r="H2195" i="1"/>
  <c r="I2194" i="1"/>
  <c r="H2194" i="1"/>
  <c r="I2193" i="1"/>
  <c r="H2193" i="1"/>
  <c r="I2192" i="1"/>
  <c r="H2192" i="1"/>
  <c r="I2191" i="1"/>
  <c r="H2191" i="1"/>
  <c r="I2190" i="1"/>
  <c r="H2190" i="1"/>
  <c r="I2189" i="1"/>
  <c r="H2189" i="1"/>
  <c r="I2188" i="1"/>
  <c r="H2188" i="1"/>
  <c r="I2187" i="1"/>
  <c r="H2187" i="1"/>
  <c r="I2186" i="1"/>
  <c r="H2186" i="1"/>
  <c r="I2185" i="1"/>
  <c r="H2185" i="1"/>
  <c r="I2184" i="1"/>
  <c r="H2184" i="1"/>
  <c r="I2183" i="1"/>
  <c r="H2183" i="1"/>
  <c r="I2182" i="1"/>
  <c r="H2182" i="1"/>
  <c r="I2181" i="1"/>
  <c r="H2181" i="1"/>
  <c r="I2180" i="1"/>
  <c r="H2180" i="1"/>
  <c r="I2179" i="1"/>
  <c r="H2179" i="1"/>
  <c r="I2178" i="1"/>
  <c r="H2178" i="1"/>
  <c r="I2177" i="1"/>
  <c r="H2177" i="1"/>
  <c r="I2176" i="1"/>
  <c r="H2176" i="1"/>
  <c r="I2175" i="1"/>
  <c r="H2175" i="1"/>
  <c r="I2174" i="1"/>
  <c r="H2174" i="1"/>
  <c r="I2173" i="1"/>
  <c r="H2173" i="1"/>
  <c r="I2172" i="1"/>
  <c r="H2172" i="1"/>
  <c r="I2171" i="1"/>
  <c r="H2171" i="1"/>
  <c r="I2170" i="1"/>
  <c r="H2170" i="1"/>
  <c r="I2169" i="1"/>
  <c r="H2169" i="1"/>
  <c r="I2168" i="1"/>
  <c r="H2168" i="1"/>
  <c r="I2167" i="1"/>
  <c r="H2167" i="1"/>
  <c r="I2166" i="1"/>
  <c r="H2166" i="1"/>
  <c r="I2165" i="1"/>
  <c r="H2165" i="1"/>
  <c r="I2164" i="1"/>
  <c r="H2164" i="1"/>
  <c r="I2163" i="1"/>
  <c r="H2163" i="1"/>
  <c r="I2162" i="1"/>
  <c r="H2162" i="1"/>
  <c r="I2161" i="1"/>
  <c r="H2161" i="1"/>
  <c r="I2160" i="1"/>
  <c r="H2160" i="1"/>
  <c r="I2159" i="1"/>
  <c r="H2159" i="1"/>
  <c r="I2158" i="1"/>
  <c r="H2158" i="1"/>
  <c r="I2157" i="1"/>
  <c r="H2157" i="1"/>
  <c r="I2156" i="1"/>
  <c r="H2156" i="1"/>
  <c r="I2155" i="1"/>
  <c r="H2155" i="1"/>
  <c r="I2154" i="1"/>
  <c r="H2154" i="1"/>
  <c r="I2153" i="1"/>
  <c r="H2153" i="1"/>
  <c r="I2152" i="1"/>
  <c r="H2152" i="1"/>
  <c r="I2151" i="1"/>
  <c r="H2151" i="1"/>
  <c r="I2150" i="1"/>
  <c r="H2150" i="1"/>
  <c r="I2149" i="1"/>
  <c r="H2149" i="1"/>
  <c r="I2148" i="1"/>
  <c r="H2148" i="1"/>
  <c r="I2147" i="1"/>
  <c r="H2147" i="1"/>
  <c r="I2146" i="1"/>
  <c r="H2146" i="1"/>
  <c r="I2145" i="1"/>
  <c r="H2145" i="1"/>
  <c r="I2144" i="1"/>
  <c r="H2144" i="1"/>
  <c r="I2143" i="1"/>
  <c r="H2143" i="1"/>
  <c r="I2142" i="1"/>
  <c r="H2142" i="1"/>
  <c r="I2141" i="1"/>
  <c r="H2141" i="1"/>
  <c r="I2140" i="1"/>
  <c r="H2140" i="1"/>
  <c r="I2139" i="1"/>
  <c r="H2139" i="1"/>
  <c r="I2138" i="1"/>
  <c r="H2138" i="1"/>
  <c r="I2137" i="1"/>
  <c r="H2137" i="1"/>
  <c r="I2136" i="1"/>
  <c r="H2136" i="1"/>
  <c r="I2135" i="1"/>
  <c r="H2135" i="1"/>
  <c r="I2134" i="1"/>
  <c r="H2134" i="1"/>
  <c r="I2133" i="1"/>
  <c r="H2133" i="1"/>
  <c r="I2132" i="1"/>
  <c r="H2132" i="1"/>
  <c r="I2131" i="1"/>
  <c r="H2131" i="1"/>
  <c r="I2130" i="1"/>
  <c r="H2130" i="1"/>
  <c r="I2129" i="1"/>
  <c r="H2129" i="1"/>
  <c r="I2128" i="1"/>
  <c r="H2128" i="1"/>
  <c r="I2127" i="1"/>
  <c r="H2127" i="1"/>
  <c r="I2126" i="1"/>
  <c r="H2126" i="1"/>
  <c r="I2125" i="1"/>
  <c r="H2125" i="1"/>
  <c r="I2124" i="1"/>
  <c r="H2124" i="1"/>
  <c r="I2123" i="1"/>
  <c r="H2123" i="1"/>
  <c r="I2122" i="1"/>
  <c r="H2122" i="1"/>
  <c r="I2121" i="1"/>
  <c r="H2121" i="1"/>
  <c r="I2120" i="1"/>
  <c r="H2120" i="1"/>
  <c r="I2119" i="1"/>
  <c r="H2119" i="1"/>
  <c r="I2118" i="1"/>
  <c r="H2118" i="1"/>
  <c r="I2117" i="1"/>
  <c r="H2117" i="1"/>
  <c r="I2116" i="1"/>
  <c r="H2116" i="1"/>
  <c r="I2115" i="1"/>
  <c r="H2115" i="1"/>
  <c r="I2114" i="1"/>
  <c r="H2114" i="1"/>
  <c r="I2113" i="1"/>
  <c r="H2113" i="1"/>
  <c r="I2112" i="1"/>
  <c r="H2112" i="1"/>
  <c r="I2111" i="1"/>
  <c r="H2111" i="1"/>
  <c r="I2110" i="1"/>
  <c r="H2110" i="1"/>
  <c r="I2109" i="1"/>
  <c r="H2109" i="1"/>
  <c r="I2108" i="1"/>
  <c r="H2108" i="1"/>
  <c r="I2107" i="1"/>
  <c r="H2107" i="1"/>
  <c r="I2106" i="1"/>
  <c r="H2106" i="1"/>
  <c r="I2105" i="1"/>
  <c r="H2105" i="1"/>
  <c r="I2104" i="1"/>
  <c r="H2104" i="1"/>
  <c r="I2103" i="1"/>
  <c r="H2103" i="1"/>
  <c r="I2102" i="1"/>
  <c r="H2102" i="1"/>
  <c r="I2101" i="1"/>
  <c r="H2101" i="1"/>
  <c r="I2100" i="1"/>
  <c r="H2100" i="1"/>
  <c r="I2099" i="1"/>
  <c r="H2099" i="1"/>
  <c r="I2098" i="1"/>
  <c r="H2098" i="1"/>
  <c r="I2097" i="1"/>
  <c r="H2097" i="1"/>
  <c r="I2096" i="1"/>
  <c r="H2096" i="1"/>
  <c r="I2095" i="1"/>
  <c r="H2095" i="1"/>
  <c r="I2094" i="1"/>
  <c r="H2094" i="1"/>
  <c r="I2093" i="1"/>
  <c r="H2093" i="1"/>
  <c r="I2092" i="1"/>
  <c r="H2092" i="1"/>
  <c r="I2091" i="1"/>
  <c r="H2091" i="1"/>
  <c r="I2090" i="1"/>
  <c r="H2090" i="1"/>
  <c r="I2089" i="1"/>
  <c r="H2089" i="1"/>
  <c r="I2088" i="1"/>
  <c r="H2088" i="1"/>
  <c r="I2087" i="1"/>
  <c r="H2087" i="1"/>
  <c r="I2086" i="1"/>
  <c r="H2086" i="1"/>
  <c r="I2085" i="1"/>
  <c r="H2085" i="1"/>
  <c r="I2084" i="1"/>
  <c r="H2084" i="1"/>
  <c r="I2083" i="1"/>
  <c r="H2083" i="1"/>
  <c r="I2082" i="1"/>
  <c r="H2082" i="1"/>
  <c r="I2081" i="1"/>
  <c r="H2081" i="1"/>
  <c r="I2080" i="1"/>
  <c r="H2080" i="1"/>
  <c r="I2079" i="1"/>
  <c r="H2079" i="1"/>
  <c r="I2078" i="1"/>
  <c r="H2078" i="1"/>
  <c r="I2077" i="1"/>
  <c r="H2077" i="1"/>
  <c r="I2076" i="1"/>
  <c r="H2076" i="1"/>
  <c r="I2075" i="1"/>
  <c r="H2075" i="1"/>
  <c r="I2074" i="1"/>
  <c r="H2074" i="1"/>
  <c r="I2073" i="1"/>
  <c r="H2073" i="1"/>
  <c r="I2072" i="1"/>
  <c r="H2072" i="1"/>
  <c r="I2071" i="1"/>
  <c r="H2071" i="1"/>
  <c r="I2070" i="1"/>
  <c r="H2070" i="1"/>
  <c r="I2069" i="1"/>
  <c r="H2069" i="1"/>
  <c r="I2068" i="1"/>
  <c r="H2068" i="1"/>
  <c r="I2067" i="1"/>
  <c r="H2067" i="1"/>
  <c r="I2066" i="1"/>
  <c r="H2066" i="1"/>
  <c r="I2065" i="1"/>
  <c r="H2065" i="1"/>
  <c r="I2064" i="1"/>
  <c r="H2064" i="1"/>
  <c r="I2063" i="1"/>
  <c r="H2063" i="1"/>
  <c r="I2062" i="1"/>
  <c r="H2062" i="1"/>
  <c r="I2061" i="1"/>
  <c r="H2061" i="1"/>
  <c r="I2060" i="1"/>
  <c r="H2060" i="1"/>
  <c r="I2059" i="1"/>
  <c r="H2059" i="1"/>
  <c r="I2058" i="1"/>
  <c r="H2058" i="1"/>
  <c r="I2057" i="1"/>
  <c r="H2057" i="1"/>
  <c r="I2056" i="1"/>
  <c r="H2056" i="1"/>
  <c r="I2055" i="1"/>
  <c r="H2055" i="1"/>
  <c r="I2054" i="1"/>
  <c r="H2054" i="1"/>
  <c r="I2053" i="1"/>
  <c r="H2053" i="1"/>
  <c r="I2052" i="1"/>
  <c r="H2052" i="1"/>
  <c r="I2051" i="1"/>
  <c r="H2051" i="1"/>
  <c r="I2050" i="1"/>
  <c r="H2050" i="1"/>
  <c r="I2049" i="1"/>
  <c r="H2049" i="1"/>
  <c r="I2048" i="1"/>
  <c r="H2048" i="1"/>
  <c r="I2047" i="1"/>
  <c r="H2047" i="1"/>
  <c r="I2046" i="1"/>
  <c r="H2046" i="1"/>
  <c r="I2045" i="1"/>
  <c r="H2045" i="1"/>
  <c r="I2044" i="1"/>
  <c r="H2044" i="1"/>
  <c r="I2043" i="1"/>
  <c r="H2043" i="1"/>
  <c r="I2042" i="1"/>
  <c r="H2042" i="1"/>
  <c r="I2041" i="1"/>
  <c r="H2041" i="1"/>
  <c r="I2040" i="1"/>
  <c r="H2040" i="1"/>
  <c r="I2039" i="1"/>
  <c r="H2039" i="1"/>
  <c r="I2038" i="1"/>
  <c r="H2038" i="1"/>
  <c r="I2037" i="1"/>
  <c r="H2037" i="1"/>
  <c r="I2036" i="1"/>
  <c r="H2036" i="1"/>
  <c r="I2035" i="1"/>
  <c r="H2035" i="1"/>
  <c r="I2034" i="1"/>
  <c r="H2034" i="1"/>
  <c r="I2033" i="1"/>
  <c r="H2033" i="1"/>
  <c r="I2032" i="1"/>
  <c r="H2032" i="1"/>
  <c r="I2031" i="1"/>
  <c r="H2031" i="1"/>
  <c r="I2030" i="1"/>
  <c r="H2030" i="1"/>
  <c r="I2029" i="1"/>
  <c r="H2029" i="1"/>
  <c r="I2028" i="1"/>
  <c r="H2028" i="1"/>
  <c r="I2027" i="1"/>
  <c r="H2027" i="1"/>
  <c r="I2026" i="1"/>
  <c r="H2026" i="1"/>
  <c r="I2025" i="1"/>
  <c r="H2025" i="1"/>
  <c r="I2024" i="1"/>
  <c r="H2024" i="1"/>
  <c r="I2023" i="1"/>
  <c r="H2023" i="1"/>
  <c r="I2022" i="1"/>
  <c r="H2022" i="1"/>
  <c r="I2021" i="1"/>
  <c r="H2021" i="1"/>
  <c r="I2020" i="1"/>
  <c r="H2020" i="1"/>
  <c r="I2019" i="1"/>
  <c r="H2019" i="1"/>
  <c r="I2018" i="1"/>
  <c r="H2018" i="1"/>
  <c r="I2017" i="1"/>
  <c r="H2017" i="1"/>
  <c r="I2016" i="1"/>
  <c r="H2016" i="1"/>
  <c r="I2015" i="1"/>
  <c r="H2015" i="1"/>
  <c r="I2014" i="1"/>
  <c r="H2014" i="1"/>
  <c r="I2013" i="1"/>
  <c r="H2013" i="1"/>
  <c r="I2012" i="1"/>
  <c r="H2012" i="1"/>
  <c r="I2011" i="1"/>
  <c r="H2011" i="1"/>
  <c r="I2010" i="1"/>
  <c r="H2010" i="1"/>
  <c r="I2009" i="1"/>
  <c r="H2009" i="1"/>
  <c r="I2008" i="1"/>
  <c r="H2008" i="1"/>
  <c r="I2007" i="1"/>
  <c r="H2007" i="1"/>
  <c r="I2006" i="1"/>
  <c r="H2006" i="1"/>
  <c r="I2005" i="1"/>
  <c r="H2005" i="1"/>
  <c r="I2004" i="1"/>
  <c r="H2004" i="1"/>
  <c r="I2003" i="1"/>
  <c r="H2003" i="1"/>
  <c r="I2002" i="1"/>
  <c r="H2002" i="1"/>
  <c r="I2001" i="1"/>
  <c r="H2001" i="1"/>
  <c r="I2000" i="1"/>
  <c r="H2000" i="1"/>
  <c r="I1999" i="1"/>
  <c r="H1999" i="1"/>
  <c r="I1998" i="1"/>
  <c r="H1998" i="1"/>
  <c r="I1997" i="1"/>
  <c r="H1997" i="1"/>
  <c r="I1996" i="1"/>
  <c r="H1996" i="1"/>
  <c r="I1995" i="1"/>
  <c r="H1995" i="1"/>
  <c r="I1994" i="1"/>
  <c r="H1994" i="1"/>
  <c r="I1993" i="1"/>
  <c r="H1993" i="1"/>
  <c r="I1992" i="1"/>
  <c r="H1992" i="1"/>
  <c r="I1991" i="1"/>
  <c r="H1991" i="1"/>
  <c r="I1990" i="1"/>
  <c r="H1990" i="1"/>
  <c r="I1989" i="1"/>
  <c r="H1989" i="1"/>
  <c r="I1988" i="1"/>
  <c r="H1988" i="1"/>
  <c r="I1987" i="1"/>
  <c r="H1987" i="1"/>
  <c r="I1986" i="1"/>
  <c r="H1986" i="1"/>
  <c r="I1985" i="1"/>
  <c r="H1985" i="1"/>
  <c r="I1984" i="1"/>
  <c r="H1984" i="1"/>
  <c r="I1983" i="1"/>
  <c r="H1983" i="1"/>
  <c r="I1982" i="1"/>
  <c r="H1982" i="1"/>
  <c r="I1981" i="1"/>
  <c r="H1981" i="1"/>
  <c r="I1980" i="1"/>
  <c r="H1980" i="1"/>
  <c r="I1979" i="1"/>
  <c r="H1979" i="1"/>
  <c r="I1978" i="1"/>
  <c r="H1978" i="1"/>
  <c r="I1977" i="1"/>
  <c r="H1977" i="1"/>
  <c r="I1976" i="1"/>
  <c r="H1976" i="1"/>
  <c r="I1975" i="1"/>
  <c r="H1975" i="1"/>
  <c r="I1974" i="1"/>
  <c r="H1974" i="1"/>
  <c r="I1973" i="1"/>
  <c r="H1973" i="1"/>
  <c r="I1972" i="1"/>
  <c r="H1972" i="1"/>
  <c r="I1971" i="1"/>
  <c r="H1971" i="1"/>
  <c r="I1970" i="1"/>
  <c r="H1970" i="1"/>
  <c r="I1969" i="1"/>
  <c r="H1969" i="1"/>
  <c r="I1968" i="1"/>
  <c r="H1968" i="1"/>
  <c r="I1967" i="1"/>
  <c r="H1967" i="1"/>
  <c r="I1966" i="1"/>
  <c r="H1966" i="1"/>
  <c r="I1965" i="1"/>
  <c r="H1965" i="1"/>
  <c r="I1964" i="1"/>
  <c r="H1964" i="1"/>
  <c r="I1963" i="1"/>
  <c r="H1963" i="1"/>
  <c r="I1962" i="1"/>
  <c r="H1962" i="1"/>
  <c r="I1961" i="1"/>
  <c r="H1961" i="1"/>
  <c r="I1960" i="1"/>
  <c r="H1960" i="1"/>
  <c r="I1959" i="1"/>
  <c r="H1959" i="1"/>
  <c r="I1958" i="1"/>
  <c r="H1958" i="1"/>
  <c r="I1957" i="1"/>
  <c r="H1957" i="1"/>
  <c r="I1956" i="1"/>
  <c r="H1956" i="1"/>
  <c r="I1955" i="1"/>
  <c r="H1955" i="1"/>
  <c r="I1954" i="1"/>
  <c r="H1954" i="1"/>
  <c r="I1953" i="1"/>
  <c r="H1953" i="1"/>
  <c r="I1952" i="1"/>
  <c r="H1952" i="1"/>
  <c r="I1951" i="1"/>
  <c r="H1951" i="1"/>
  <c r="I1950" i="1"/>
  <c r="H1950" i="1"/>
  <c r="I1949" i="1"/>
  <c r="H1949" i="1"/>
  <c r="I1948" i="1"/>
  <c r="H1948" i="1"/>
  <c r="I1947" i="1"/>
  <c r="H1947" i="1"/>
  <c r="I1946" i="1"/>
  <c r="H1946" i="1"/>
  <c r="I1945" i="1"/>
  <c r="H1945" i="1"/>
  <c r="I1944" i="1"/>
  <c r="H1944" i="1"/>
  <c r="I1943" i="1"/>
  <c r="H1943" i="1"/>
  <c r="I1942" i="1"/>
  <c r="H1942" i="1"/>
  <c r="I1941" i="1"/>
  <c r="H1941" i="1"/>
  <c r="I1940" i="1"/>
  <c r="H1940" i="1"/>
  <c r="I1939" i="1"/>
  <c r="H1939" i="1"/>
  <c r="I1938" i="1"/>
  <c r="H1938" i="1"/>
  <c r="I1937" i="1"/>
  <c r="H1937" i="1"/>
  <c r="I1936" i="1"/>
  <c r="H1936" i="1"/>
  <c r="I1935" i="1"/>
  <c r="H1935" i="1"/>
  <c r="I1934" i="1"/>
  <c r="H1934" i="1"/>
  <c r="I1933" i="1"/>
  <c r="H1933" i="1"/>
  <c r="I1932" i="1"/>
  <c r="H1932" i="1"/>
  <c r="I1931" i="1"/>
  <c r="H1931" i="1"/>
  <c r="I1930" i="1"/>
  <c r="H1930" i="1"/>
  <c r="I1929" i="1"/>
  <c r="H1929" i="1"/>
  <c r="I1928" i="1"/>
  <c r="H1928" i="1"/>
  <c r="I1927" i="1"/>
  <c r="H1927" i="1"/>
  <c r="I1926" i="1"/>
  <c r="H1926" i="1"/>
  <c r="I1925" i="1"/>
  <c r="H1925" i="1"/>
  <c r="I1924" i="1"/>
  <c r="H1924" i="1"/>
  <c r="I1923" i="1"/>
  <c r="H1923" i="1"/>
  <c r="I1922" i="1"/>
  <c r="H1922" i="1"/>
  <c r="H1921" i="1"/>
  <c r="I1920" i="1"/>
  <c r="H1920" i="1"/>
  <c r="I1919" i="1"/>
  <c r="H1919" i="1"/>
  <c r="I1918" i="1"/>
  <c r="H1918" i="1"/>
  <c r="I1917" i="1"/>
  <c r="H1917" i="1"/>
  <c r="I1916" i="1"/>
  <c r="H1916" i="1"/>
  <c r="I1915" i="1"/>
  <c r="H1915" i="1"/>
  <c r="I1914" i="1"/>
  <c r="H1914" i="1"/>
  <c r="I1913" i="1"/>
  <c r="H1913" i="1"/>
  <c r="I1912" i="1"/>
  <c r="H1912" i="1"/>
  <c r="I1911" i="1"/>
  <c r="H1911" i="1"/>
  <c r="I1910" i="1"/>
  <c r="H1910" i="1"/>
  <c r="I1909" i="1"/>
  <c r="H1909" i="1"/>
  <c r="I1908" i="1"/>
  <c r="H1908" i="1"/>
  <c r="I1907" i="1"/>
  <c r="H1907" i="1"/>
  <c r="I1906" i="1"/>
  <c r="H1906" i="1"/>
  <c r="I1905" i="1"/>
  <c r="H1905" i="1"/>
  <c r="I1904" i="1"/>
  <c r="H1904" i="1"/>
  <c r="I1903" i="1"/>
  <c r="H1903" i="1"/>
  <c r="I1902" i="1"/>
  <c r="H1902" i="1"/>
  <c r="I1901" i="1"/>
  <c r="H1901" i="1"/>
  <c r="I1900" i="1"/>
  <c r="H1900" i="1"/>
  <c r="I1899" i="1"/>
  <c r="H1899" i="1"/>
  <c r="I1898" i="1"/>
  <c r="H1898" i="1"/>
  <c r="I1897" i="1"/>
  <c r="H1897" i="1"/>
  <c r="I1896" i="1"/>
  <c r="H1896" i="1"/>
  <c r="I1895" i="1"/>
  <c r="H1895" i="1"/>
  <c r="I1894" i="1"/>
  <c r="H1894" i="1"/>
  <c r="I1893" i="1"/>
  <c r="H1893" i="1"/>
  <c r="I1892" i="1"/>
  <c r="H1892" i="1"/>
  <c r="I1891" i="1"/>
  <c r="H1891" i="1"/>
  <c r="I1890" i="1"/>
  <c r="H1890" i="1"/>
  <c r="I1889" i="1"/>
  <c r="H1889" i="1"/>
  <c r="I1888" i="1"/>
  <c r="H1888" i="1"/>
  <c r="I1887" i="1"/>
  <c r="H1887" i="1"/>
  <c r="I1886" i="1"/>
  <c r="H1886" i="1"/>
  <c r="I1885" i="1"/>
  <c r="H1885" i="1"/>
  <c r="I1884" i="1"/>
  <c r="H1884" i="1"/>
  <c r="I1883" i="1"/>
  <c r="H1883" i="1"/>
  <c r="I1882" i="1"/>
  <c r="H1882" i="1"/>
  <c r="I1881" i="1"/>
  <c r="H1881" i="1"/>
  <c r="I1880" i="1"/>
  <c r="H1880" i="1"/>
  <c r="I1879" i="1"/>
  <c r="H1879" i="1"/>
  <c r="I1878" i="1"/>
  <c r="H1878" i="1"/>
  <c r="I1877" i="1"/>
  <c r="H1877" i="1"/>
  <c r="I1876" i="1"/>
  <c r="H1876" i="1"/>
  <c r="I1875" i="1"/>
  <c r="H1875" i="1"/>
  <c r="I1874" i="1"/>
  <c r="H1874" i="1"/>
  <c r="I1873" i="1"/>
  <c r="H1873" i="1"/>
  <c r="I1872" i="1"/>
  <c r="H1872" i="1"/>
  <c r="I1871" i="1"/>
  <c r="H1871" i="1"/>
  <c r="I1870" i="1"/>
  <c r="H1870" i="1"/>
  <c r="I1869" i="1"/>
  <c r="H1869" i="1"/>
  <c r="I1868" i="1"/>
  <c r="H1868" i="1"/>
  <c r="I1867" i="1"/>
  <c r="H1867" i="1"/>
  <c r="I1866" i="1"/>
  <c r="H1866" i="1"/>
  <c r="I1865" i="1"/>
  <c r="H1865" i="1"/>
  <c r="I1864" i="1"/>
  <c r="H1864" i="1"/>
  <c r="I1863" i="1"/>
  <c r="H1863" i="1"/>
  <c r="I1862" i="1"/>
  <c r="H1862" i="1"/>
  <c r="I1861" i="1"/>
  <c r="H1861" i="1"/>
  <c r="I1860" i="1"/>
  <c r="H1860" i="1"/>
  <c r="I1859" i="1"/>
  <c r="H1859" i="1"/>
  <c r="I1858" i="1"/>
  <c r="H1858" i="1"/>
  <c r="I1857" i="1"/>
  <c r="H1857" i="1"/>
  <c r="I1856" i="1"/>
  <c r="H1856" i="1"/>
  <c r="I1855" i="1"/>
  <c r="H1855" i="1"/>
  <c r="I1854" i="1"/>
  <c r="H1854" i="1"/>
  <c r="I1853" i="1"/>
  <c r="H1853" i="1"/>
  <c r="I1852" i="1"/>
  <c r="H1852" i="1"/>
  <c r="I1851" i="1"/>
  <c r="H1851" i="1"/>
  <c r="I1850" i="1"/>
  <c r="H1850" i="1"/>
  <c r="I1849" i="1"/>
  <c r="H1849" i="1"/>
  <c r="I1848" i="1"/>
  <c r="H1848" i="1"/>
  <c r="I1847" i="1"/>
  <c r="H1847" i="1"/>
  <c r="I1846" i="1"/>
  <c r="H1846" i="1"/>
  <c r="I1845" i="1"/>
  <c r="H1845" i="1"/>
  <c r="I1844" i="1"/>
  <c r="H1844" i="1"/>
  <c r="I1843" i="1"/>
  <c r="H1843" i="1"/>
  <c r="I1842" i="1"/>
  <c r="H1842" i="1"/>
  <c r="I1841" i="1"/>
  <c r="H1841" i="1"/>
  <c r="I1840" i="1"/>
  <c r="H1840" i="1"/>
  <c r="I1839" i="1"/>
  <c r="H1839" i="1"/>
  <c r="I1838" i="1"/>
  <c r="H1838" i="1"/>
  <c r="I1837" i="1"/>
  <c r="H1837" i="1"/>
  <c r="I1836" i="1"/>
  <c r="H1836" i="1"/>
  <c r="I1835" i="1"/>
  <c r="H1835" i="1"/>
  <c r="I1834" i="1"/>
  <c r="H1834" i="1"/>
  <c r="I1833" i="1"/>
  <c r="H1833" i="1"/>
  <c r="I1832" i="1"/>
  <c r="H1832" i="1"/>
  <c r="I1831" i="1"/>
  <c r="H1831" i="1"/>
  <c r="I1830" i="1"/>
  <c r="H1830" i="1"/>
  <c r="I1829" i="1"/>
  <c r="H1829" i="1"/>
  <c r="I1828" i="1"/>
  <c r="H1828" i="1"/>
  <c r="I1827" i="1"/>
  <c r="H1827" i="1"/>
  <c r="I1826" i="1"/>
  <c r="H1826" i="1"/>
  <c r="I1825" i="1"/>
  <c r="H1825" i="1"/>
  <c r="I1824" i="1"/>
  <c r="H1824" i="1"/>
  <c r="I1823" i="1"/>
  <c r="H1823" i="1"/>
  <c r="I1822" i="1"/>
  <c r="H1822" i="1"/>
  <c r="I1821" i="1"/>
  <c r="H1821" i="1"/>
  <c r="I1820" i="1"/>
  <c r="H1820" i="1"/>
  <c r="I1819" i="1"/>
  <c r="H1819" i="1"/>
  <c r="I1818" i="1"/>
  <c r="H1818" i="1"/>
  <c r="I1817" i="1"/>
  <c r="H1817" i="1"/>
  <c r="I1816" i="1"/>
  <c r="H1816" i="1"/>
  <c r="I1815" i="1"/>
  <c r="H1815" i="1"/>
  <c r="I1814" i="1"/>
  <c r="H1814" i="1"/>
  <c r="I1813" i="1"/>
  <c r="H1813" i="1"/>
  <c r="I1812" i="1"/>
  <c r="H1812" i="1"/>
  <c r="I1811" i="1"/>
  <c r="H1811" i="1"/>
  <c r="I1810" i="1"/>
  <c r="H1810" i="1"/>
  <c r="I1809" i="1"/>
  <c r="H1809" i="1"/>
  <c r="I1808" i="1"/>
  <c r="H1808" i="1"/>
  <c r="I1807" i="1"/>
  <c r="H1807" i="1"/>
  <c r="I1806" i="1"/>
  <c r="H1806" i="1"/>
  <c r="I1805" i="1"/>
  <c r="H1805" i="1"/>
  <c r="I1804" i="1"/>
  <c r="H1804" i="1"/>
  <c r="I1803" i="1"/>
  <c r="H1803" i="1"/>
  <c r="I1802" i="1"/>
  <c r="H1802" i="1"/>
  <c r="I1801" i="1"/>
  <c r="H1801" i="1"/>
  <c r="I1800" i="1"/>
  <c r="H1800" i="1"/>
  <c r="I1799" i="1"/>
  <c r="H1799" i="1"/>
  <c r="I1798" i="1"/>
  <c r="H1798" i="1"/>
  <c r="I1797" i="1"/>
  <c r="H1797" i="1"/>
  <c r="I1796" i="1"/>
  <c r="H1796" i="1"/>
  <c r="I1795" i="1"/>
  <c r="H1795" i="1"/>
  <c r="I1794" i="1"/>
  <c r="H1794" i="1"/>
  <c r="I1793" i="1"/>
  <c r="H1793" i="1"/>
  <c r="I1792" i="1"/>
  <c r="H1792" i="1"/>
  <c r="I1791" i="1"/>
  <c r="H1791" i="1"/>
  <c r="I1790" i="1"/>
  <c r="H1790" i="1"/>
  <c r="I1789" i="1"/>
  <c r="H1789" i="1"/>
  <c r="I1788" i="1"/>
  <c r="H1788" i="1"/>
  <c r="I1787" i="1"/>
  <c r="H1787" i="1"/>
  <c r="I1786" i="1"/>
  <c r="H1786" i="1"/>
  <c r="I1785" i="1"/>
  <c r="H1785" i="1"/>
  <c r="I1784" i="1"/>
  <c r="H1784" i="1"/>
  <c r="I1783" i="1"/>
  <c r="H1783" i="1"/>
  <c r="I1782" i="1"/>
  <c r="H1782" i="1"/>
  <c r="I1781" i="1"/>
  <c r="H1781" i="1"/>
  <c r="I1780" i="1"/>
  <c r="H1780" i="1"/>
  <c r="I1779" i="1"/>
  <c r="H1779" i="1"/>
  <c r="I1778" i="1"/>
  <c r="H1778" i="1"/>
  <c r="I1777" i="1"/>
  <c r="H1777" i="1"/>
  <c r="I1776" i="1"/>
  <c r="H1776" i="1"/>
  <c r="I1775" i="1"/>
  <c r="H1775" i="1"/>
  <c r="I1774" i="1"/>
  <c r="H1774" i="1"/>
  <c r="I1773" i="1"/>
  <c r="H1773" i="1"/>
  <c r="I1772" i="1"/>
  <c r="H1772" i="1"/>
  <c r="I1771" i="1"/>
  <c r="H1771" i="1"/>
  <c r="I1770" i="1"/>
  <c r="H1770" i="1"/>
  <c r="I1769" i="1"/>
  <c r="H1769" i="1"/>
  <c r="I1768" i="1"/>
  <c r="H1768" i="1"/>
  <c r="I1767" i="1"/>
  <c r="H1767" i="1"/>
  <c r="I1766" i="1"/>
  <c r="H1766" i="1"/>
  <c r="I1765" i="1"/>
  <c r="H1765" i="1"/>
  <c r="I1764" i="1"/>
  <c r="H1764" i="1"/>
  <c r="I1763" i="1"/>
  <c r="H1763" i="1"/>
  <c r="I1762" i="1"/>
  <c r="H1762" i="1"/>
  <c r="I1761" i="1"/>
  <c r="H1761" i="1"/>
  <c r="I1760" i="1"/>
  <c r="H1760" i="1"/>
  <c r="I1759" i="1"/>
  <c r="H1759" i="1"/>
  <c r="I1758" i="1"/>
  <c r="H1758" i="1"/>
  <c r="I1757" i="1"/>
  <c r="H1757" i="1"/>
  <c r="I1756" i="1"/>
  <c r="H1756" i="1"/>
  <c r="I1755" i="1"/>
  <c r="H1755" i="1"/>
  <c r="I1754" i="1"/>
  <c r="H1754" i="1"/>
  <c r="I1753" i="1"/>
  <c r="H1753" i="1"/>
  <c r="I1752" i="1"/>
  <c r="H1752" i="1"/>
  <c r="I1751" i="1"/>
  <c r="H1751" i="1"/>
  <c r="I1750" i="1"/>
  <c r="H1750" i="1"/>
  <c r="I1749" i="1"/>
  <c r="H1749" i="1"/>
  <c r="I1748" i="1"/>
  <c r="H1748" i="1"/>
  <c r="I1747" i="1"/>
  <c r="H1747" i="1"/>
  <c r="I1746" i="1"/>
  <c r="H1746" i="1"/>
  <c r="I1745" i="1"/>
  <c r="H1745" i="1"/>
  <c r="I1744" i="1"/>
  <c r="H1744" i="1"/>
  <c r="I1743" i="1"/>
  <c r="H1743" i="1"/>
  <c r="I1742" i="1"/>
  <c r="H1742" i="1"/>
  <c r="I1741" i="1"/>
  <c r="H1741" i="1"/>
  <c r="I1740" i="1"/>
  <c r="H1740" i="1"/>
  <c r="I1739" i="1"/>
  <c r="H1739" i="1"/>
  <c r="I1738" i="1"/>
  <c r="H1738" i="1"/>
  <c r="I1737" i="1"/>
  <c r="H1737" i="1"/>
  <c r="I1736" i="1"/>
  <c r="H1736" i="1"/>
  <c r="I1735" i="1"/>
  <c r="H1735" i="1"/>
  <c r="I1734" i="1"/>
  <c r="H1734" i="1"/>
  <c r="I1733" i="1"/>
  <c r="H1733" i="1"/>
  <c r="I1732" i="1"/>
  <c r="H1732" i="1"/>
  <c r="I1731" i="1"/>
  <c r="H1731" i="1"/>
  <c r="I1730" i="1"/>
  <c r="H1730" i="1"/>
  <c r="I1729" i="1"/>
  <c r="H1729" i="1"/>
  <c r="I1728" i="1"/>
  <c r="H1728" i="1"/>
  <c r="I1727" i="1"/>
  <c r="H1727" i="1"/>
  <c r="I1726" i="1"/>
  <c r="H1726" i="1"/>
  <c r="I1725" i="1"/>
  <c r="H1725" i="1"/>
  <c r="I1724" i="1"/>
  <c r="H1724" i="1"/>
  <c r="I1723" i="1"/>
  <c r="H1723" i="1"/>
  <c r="I1722" i="1"/>
  <c r="H1722" i="1"/>
  <c r="I1721" i="1"/>
  <c r="H1721" i="1"/>
  <c r="I1720" i="1"/>
  <c r="H1720" i="1"/>
  <c r="I1719" i="1"/>
  <c r="H1719" i="1"/>
  <c r="I1718" i="1"/>
  <c r="H1718" i="1"/>
  <c r="I1717" i="1"/>
  <c r="H1717" i="1"/>
  <c r="I1716" i="1"/>
  <c r="H1716" i="1"/>
  <c r="I1715" i="1"/>
  <c r="H1715" i="1"/>
  <c r="I1714" i="1"/>
  <c r="H1714" i="1"/>
  <c r="I1713" i="1"/>
  <c r="H1713" i="1"/>
  <c r="I1712" i="1"/>
  <c r="H1712" i="1"/>
  <c r="I1711" i="1"/>
  <c r="H1711" i="1"/>
  <c r="I1710" i="1"/>
  <c r="H1710" i="1"/>
  <c r="I1709" i="1"/>
  <c r="H1709" i="1"/>
  <c r="I1708" i="1"/>
  <c r="H1708" i="1"/>
  <c r="I1707" i="1"/>
  <c r="H1707" i="1"/>
  <c r="I1706" i="1"/>
  <c r="H1706" i="1"/>
  <c r="I1705" i="1"/>
  <c r="H1705" i="1"/>
  <c r="I1704" i="1"/>
  <c r="H1704" i="1"/>
  <c r="I1703" i="1"/>
  <c r="H1703" i="1"/>
  <c r="I1702" i="1"/>
  <c r="H1702" i="1"/>
  <c r="I1701" i="1"/>
  <c r="H1701" i="1"/>
  <c r="I1700" i="1"/>
  <c r="H1700" i="1"/>
  <c r="I1699" i="1"/>
  <c r="H1699" i="1"/>
  <c r="I1698" i="1"/>
  <c r="H1698" i="1"/>
  <c r="I1697" i="1"/>
  <c r="H1697" i="1"/>
  <c r="I1696" i="1"/>
  <c r="H1696" i="1"/>
  <c r="I1695" i="1"/>
  <c r="H1695" i="1"/>
  <c r="I1694" i="1"/>
  <c r="H1694" i="1"/>
  <c r="I1693" i="1"/>
  <c r="H1693" i="1"/>
  <c r="I1692" i="1"/>
  <c r="H1692" i="1"/>
  <c r="I1691" i="1"/>
  <c r="H1691" i="1"/>
  <c r="I1690" i="1"/>
  <c r="H1690" i="1"/>
  <c r="I1689" i="1"/>
  <c r="H1689" i="1"/>
  <c r="I1688" i="1"/>
  <c r="H1688" i="1"/>
  <c r="I1687" i="1"/>
  <c r="H1687" i="1"/>
  <c r="I1686" i="1"/>
  <c r="H1686" i="1"/>
  <c r="I1685" i="1"/>
  <c r="H1685" i="1"/>
  <c r="I1684" i="1"/>
  <c r="H1684" i="1"/>
  <c r="I1683" i="1"/>
  <c r="H1683" i="1"/>
  <c r="I1682" i="1"/>
  <c r="H1682" i="1"/>
  <c r="I1681" i="1"/>
  <c r="H1681" i="1"/>
  <c r="I1680" i="1"/>
  <c r="H1680" i="1"/>
  <c r="I1679" i="1"/>
  <c r="H1679" i="1"/>
  <c r="I1678" i="1"/>
  <c r="H1678" i="1"/>
  <c r="I1677" i="1"/>
  <c r="H1677" i="1"/>
  <c r="I1676" i="1"/>
  <c r="H1676" i="1"/>
  <c r="I1675" i="1"/>
  <c r="H1675" i="1"/>
  <c r="I1674" i="1"/>
  <c r="H1674" i="1"/>
  <c r="I1673" i="1"/>
  <c r="H1673" i="1"/>
  <c r="I1672" i="1"/>
  <c r="H1672" i="1"/>
  <c r="I1671" i="1"/>
  <c r="H1671" i="1"/>
  <c r="I1670" i="1"/>
  <c r="H1670" i="1"/>
  <c r="I1669" i="1"/>
  <c r="H1669" i="1"/>
  <c r="I1668" i="1"/>
  <c r="H1668" i="1"/>
  <c r="I1667" i="1"/>
  <c r="H1667" i="1"/>
  <c r="I1666" i="1"/>
  <c r="H1666" i="1"/>
  <c r="I1665" i="1"/>
  <c r="H1665" i="1"/>
  <c r="I1664" i="1"/>
  <c r="H1664" i="1"/>
  <c r="I1663" i="1"/>
  <c r="H1663" i="1"/>
  <c r="I1662" i="1"/>
  <c r="H1662" i="1"/>
  <c r="I1661" i="1"/>
  <c r="H1661" i="1"/>
  <c r="I1660" i="1"/>
  <c r="H1660" i="1"/>
  <c r="I1659" i="1"/>
  <c r="H1659" i="1"/>
  <c r="I1658" i="1"/>
  <c r="H1658" i="1"/>
  <c r="I1657" i="1"/>
  <c r="H1657" i="1"/>
  <c r="I1656" i="1"/>
  <c r="H1656" i="1"/>
  <c r="I1655" i="1"/>
  <c r="H1655" i="1"/>
  <c r="I1654" i="1"/>
  <c r="H1654" i="1"/>
  <c r="I1653" i="1"/>
  <c r="H1653" i="1"/>
  <c r="I1652" i="1"/>
  <c r="H1652" i="1"/>
  <c r="I1651" i="1"/>
  <c r="H1651" i="1"/>
  <c r="I1650" i="1"/>
  <c r="H1650" i="1"/>
  <c r="I1649" i="1"/>
  <c r="H1649" i="1"/>
  <c r="I1648" i="1"/>
  <c r="H1648" i="1"/>
  <c r="I1647" i="1"/>
  <c r="H1647" i="1"/>
  <c r="I1646" i="1"/>
  <c r="H1646" i="1"/>
  <c r="I1645" i="1"/>
  <c r="H1645" i="1"/>
  <c r="I1644" i="1"/>
  <c r="H1644" i="1"/>
  <c r="I1643" i="1"/>
  <c r="H1643" i="1"/>
  <c r="I1642" i="1"/>
  <c r="H1642" i="1"/>
  <c r="I1641" i="1"/>
  <c r="H1641" i="1"/>
  <c r="I1640" i="1"/>
  <c r="H1640" i="1"/>
  <c r="I1639" i="1"/>
  <c r="H1639" i="1"/>
  <c r="I1638" i="1"/>
  <c r="H1638" i="1"/>
  <c r="I1637" i="1"/>
  <c r="H1637" i="1"/>
  <c r="I1636" i="1"/>
  <c r="H1636" i="1"/>
  <c r="I1635" i="1"/>
  <c r="H1635" i="1"/>
  <c r="I1634" i="1"/>
  <c r="H1634" i="1"/>
  <c r="I1633" i="1"/>
  <c r="H1633" i="1"/>
  <c r="I1632" i="1"/>
  <c r="H1632" i="1"/>
  <c r="I1631" i="1"/>
  <c r="H1631" i="1"/>
  <c r="I1630" i="1"/>
  <c r="H1630" i="1"/>
  <c r="I1629" i="1"/>
  <c r="H1629" i="1"/>
  <c r="I1628" i="1"/>
  <c r="H1628" i="1"/>
  <c r="I1627" i="1"/>
  <c r="H1627" i="1"/>
  <c r="I1626" i="1"/>
  <c r="H1626" i="1"/>
  <c r="I1625" i="1"/>
  <c r="H1625" i="1"/>
  <c r="I1624" i="1"/>
  <c r="H1624" i="1"/>
  <c r="I1623" i="1"/>
  <c r="H1623" i="1"/>
  <c r="I1622" i="1"/>
  <c r="H1622" i="1"/>
  <c r="I1621" i="1"/>
  <c r="H1621" i="1"/>
  <c r="I1620" i="1"/>
  <c r="H1620" i="1"/>
  <c r="I1619" i="1"/>
  <c r="H1619" i="1"/>
  <c r="I1618" i="1"/>
  <c r="H1618" i="1"/>
  <c r="I1617" i="1"/>
  <c r="H1617" i="1"/>
  <c r="I1616" i="1"/>
  <c r="H1616" i="1"/>
  <c r="I1615" i="1"/>
  <c r="H1615" i="1"/>
  <c r="I1614" i="1"/>
  <c r="H1614" i="1"/>
  <c r="I1613" i="1"/>
  <c r="H1613" i="1"/>
  <c r="I1612" i="1"/>
  <c r="H1612" i="1"/>
  <c r="I1611" i="1"/>
  <c r="H1611" i="1"/>
  <c r="I1610" i="1"/>
  <c r="H1610" i="1"/>
  <c r="I1609" i="1"/>
  <c r="H1609" i="1"/>
  <c r="I1608" i="1"/>
  <c r="H1608" i="1"/>
  <c r="I1607" i="1"/>
  <c r="H1607" i="1"/>
  <c r="I1606" i="1"/>
  <c r="H1606" i="1"/>
  <c r="I1605" i="1"/>
  <c r="H1605" i="1"/>
  <c r="I1604" i="1"/>
  <c r="H1604" i="1"/>
  <c r="I1603" i="1"/>
  <c r="H1603" i="1"/>
  <c r="I1602" i="1"/>
  <c r="H1602" i="1"/>
  <c r="I1601" i="1"/>
  <c r="H1601" i="1"/>
  <c r="I1600" i="1"/>
  <c r="H1600" i="1"/>
  <c r="I1599" i="1"/>
  <c r="H1599" i="1"/>
  <c r="I1598" i="1"/>
  <c r="H1598" i="1"/>
  <c r="I1597" i="1"/>
  <c r="H1597" i="1"/>
  <c r="I1596" i="1"/>
  <c r="H1596" i="1"/>
  <c r="I1595" i="1"/>
  <c r="H1595" i="1"/>
  <c r="I1594" i="1"/>
  <c r="H1594" i="1"/>
  <c r="I1593" i="1"/>
  <c r="H1593" i="1"/>
  <c r="I1592" i="1"/>
  <c r="H1592" i="1"/>
  <c r="I1591" i="1"/>
  <c r="H1591" i="1"/>
  <c r="I1590" i="1"/>
  <c r="H1590" i="1"/>
  <c r="I1589" i="1"/>
  <c r="H1589" i="1"/>
  <c r="I1588" i="1"/>
  <c r="H1588" i="1"/>
  <c r="I1587" i="1"/>
  <c r="H1587" i="1"/>
  <c r="I1586" i="1"/>
  <c r="H1586" i="1"/>
  <c r="I1585" i="1"/>
  <c r="H1585" i="1"/>
  <c r="I1584" i="1"/>
  <c r="H1584" i="1"/>
  <c r="I1583" i="1"/>
  <c r="H1583" i="1"/>
  <c r="I1582" i="1"/>
  <c r="H1582" i="1"/>
  <c r="I1581" i="1"/>
  <c r="H1581" i="1"/>
  <c r="I1580" i="1"/>
  <c r="H1580" i="1"/>
  <c r="I1579" i="1"/>
  <c r="H1579" i="1"/>
  <c r="I1578" i="1"/>
  <c r="H1578" i="1"/>
  <c r="I1577" i="1"/>
  <c r="H1577" i="1"/>
  <c r="I1576" i="1"/>
  <c r="H1576" i="1"/>
  <c r="I1575" i="1"/>
  <c r="H1575" i="1"/>
  <c r="I1574" i="1"/>
  <c r="H1574" i="1"/>
  <c r="I1573" i="1"/>
  <c r="H1573" i="1"/>
  <c r="I1572" i="1"/>
  <c r="H1572" i="1"/>
  <c r="I1571" i="1"/>
  <c r="H1571" i="1"/>
  <c r="I1570" i="1"/>
  <c r="H1570" i="1"/>
  <c r="I1569" i="1"/>
  <c r="H1569" i="1"/>
  <c r="I1568" i="1"/>
  <c r="H1568" i="1"/>
  <c r="I1567" i="1"/>
  <c r="H1567" i="1"/>
  <c r="I1566" i="1"/>
  <c r="H1566" i="1"/>
  <c r="I1565" i="1"/>
  <c r="H1565" i="1"/>
  <c r="I1564" i="1"/>
  <c r="H1564" i="1"/>
  <c r="I1563" i="1"/>
  <c r="H1563" i="1"/>
  <c r="I1562" i="1"/>
  <c r="H1562" i="1"/>
  <c r="I1561" i="1"/>
  <c r="H1561" i="1"/>
  <c r="I1560" i="1"/>
  <c r="H1560" i="1"/>
  <c r="I1559" i="1"/>
  <c r="H1559" i="1"/>
  <c r="I1558" i="1"/>
  <c r="H1558" i="1"/>
  <c r="I1557" i="1"/>
  <c r="H1557" i="1"/>
  <c r="I1556" i="1"/>
  <c r="H1556" i="1"/>
  <c r="I1555" i="1"/>
  <c r="H1555" i="1"/>
  <c r="I1554" i="1"/>
  <c r="H1554" i="1"/>
  <c r="I1553" i="1"/>
  <c r="H1553" i="1"/>
  <c r="I1552" i="1"/>
  <c r="H1552" i="1"/>
  <c r="I1551" i="1"/>
  <c r="H1551" i="1"/>
  <c r="I1550" i="1"/>
  <c r="H1550" i="1"/>
  <c r="I1549" i="1"/>
  <c r="H1549" i="1"/>
  <c r="I1548" i="1"/>
  <c r="H1548" i="1"/>
  <c r="I1547" i="1"/>
  <c r="H1547" i="1"/>
  <c r="I1546" i="1"/>
  <c r="H1546" i="1"/>
  <c r="I1545" i="1"/>
  <c r="H1545" i="1"/>
  <c r="I1544" i="1"/>
  <c r="H1544" i="1"/>
  <c r="I1543" i="1"/>
  <c r="H1543" i="1"/>
  <c r="I1542" i="1"/>
  <c r="H1542" i="1"/>
  <c r="I1541" i="1"/>
  <c r="H1541" i="1"/>
  <c r="I1540" i="1"/>
  <c r="H1540" i="1"/>
  <c r="I1539" i="1"/>
  <c r="H1539" i="1"/>
  <c r="I1538" i="1"/>
  <c r="H1538" i="1"/>
  <c r="I1537" i="1"/>
  <c r="H1537" i="1"/>
  <c r="I1536" i="1"/>
  <c r="H1536" i="1"/>
  <c r="I1535" i="1"/>
  <c r="H1535" i="1"/>
  <c r="I1534" i="1"/>
  <c r="H1534" i="1"/>
  <c r="I1533" i="1"/>
  <c r="H1533" i="1"/>
  <c r="I1532" i="1"/>
  <c r="H1532" i="1"/>
  <c r="I1531" i="1"/>
  <c r="H1531" i="1"/>
  <c r="I1530" i="1"/>
  <c r="H1530" i="1"/>
  <c r="I1529" i="1"/>
  <c r="H1529" i="1"/>
  <c r="I1528" i="1"/>
  <c r="H1528" i="1"/>
  <c r="I1527" i="1"/>
  <c r="H1527" i="1"/>
  <c r="I1526" i="1"/>
  <c r="H1526" i="1"/>
  <c r="I1525" i="1"/>
  <c r="H1525" i="1"/>
  <c r="I1524" i="1"/>
  <c r="H1524" i="1"/>
  <c r="I1523" i="1"/>
  <c r="H1523" i="1"/>
  <c r="I1522" i="1"/>
  <c r="H1522" i="1"/>
  <c r="I1521" i="1"/>
  <c r="H1521" i="1"/>
  <c r="I1520" i="1"/>
  <c r="H1520" i="1"/>
  <c r="I1519" i="1"/>
  <c r="H1519" i="1"/>
  <c r="I1518" i="1"/>
  <c r="H1518" i="1"/>
  <c r="I1517" i="1"/>
  <c r="H1517" i="1"/>
  <c r="I1516" i="1"/>
  <c r="H1516" i="1"/>
  <c r="I1515" i="1"/>
  <c r="H1515" i="1"/>
  <c r="I1514" i="1"/>
  <c r="H1514" i="1"/>
  <c r="I1513" i="1"/>
  <c r="H1513" i="1"/>
  <c r="I1512" i="1"/>
  <c r="H1512" i="1"/>
  <c r="I1511" i="1"/>
  <c r="H1511" i="1"/>
  <c r="I1510" i="1"/>
  <c r="H1510" i="1"/>
  <c r="I1509" i="1"/>
  <c r="H1509" i="1"/>
  <c r="I1508" i="1"/>
  <c r="H1508" i="1"/>
  <c r="I1507" i="1"/>
  <c r="H1507" i="1"/>
  <c r="I1506" i="1"/>
  <c r="H1506" i="1"/>
  <c r="I1505" i="1"/>
  <c r="H1505" i="1"/>
  <c r="I1504" i="1"/>
  <c r="H1504" i="1"/>
  <c r="I1503" i="1"/>
  <c r="H1503" i="1"/>
  <c r="I1502" i="1"/>
  <c r="H1502" i="1"/>
  <c r="I1501" i="1"/>
  <c r="H1501" i="1"/>
  <c r="I1500" i="1"/>
  <c r="H1500" i="1"/>
  <c r="I1499" i="1"/>
  <c r="H1499" i="1"/>
  <c r="I1498" i="1"/>
  <c r="H1498" i="1"/>
  <c r="I1497" i="1"/>
  <c r="H1497" i="1"/>
  <c r="I1496" i="1"/>
  <c r="H1496" i="1"/>
  <c r="I1495" i="1"/>
  <c r="H1495" i="1"/>
  <c r="I1494" i="1"/>
  <c r="H1494" i="1"/>
  <c r="I1493" i="1"/>
  <c r="H1493" i="1"/>
  <c r="I1492" i="1"/>
  <c r="H1492" i="1"/>
  <c r="I1491" i="1"/>
  <c r="H1491" i="1"/>
  <c r="I1490" i="1"/>
  <c r="H1490" i="1"/>
  <c r="I1489" i="1"/>
  <c r="H1489" i="1"/>
  <c r="I1488" i="1"/>
  <c r="H1488" i="1"/>
  <c r="I1487" i="1"/>
  <c r="H1487" i="1"/>
  <c r="I1486" i="1"/>
  <c r="H1486" i="1"/>
  <c r="I1485" i="1"/>
  <c r="H1485" i="1"/>
  <c r="I1484" i="1"/>
  <c r="H1484" i="1"/>
  <c r="I1483" i="1"/>
  <c r="H1483" i="1"/>
  <c r="I1482" i="1"/>
  <c r="H1482" i="1"/>
  <c r="I1481" i="1"/>
  <c r="H1481" i="1"/>
  <c r="I1480" i="1"/>
  <c r="H1480" i="1"/>
  <c r="I1479" i="1"/>
  <c r="H1479" i="1"/>
  <c r="I1478" i="1"/>
  <c r="H1478" i="1"/>
  <c r="I1477" i="1"/>
  <c r="H1477" i="1"/>
  <c r="I1476" i="1"/>
  <c r="H1476" i="1"/>
  <c r="I1475" i="1"/>
  <c r="H1475" i="1"/>
  <c r="I1474" i="1"/>
  <c r="H1474" i="1"/>
  <c r="I1473" i="1"/>
  <c r="H1473" i="1"/>
  <c r="I1472" i="1"/>
  <c r="H1472" i="1"/>
  <c r="I1471" i="1"/>
  <c r="H1471" i="1"/>
  <c r="I1470" i="1"/>
  <c r="H1470" i="1"/>
  <c r="I1469" i="1"/>
  <c r="H1469" i="1"/>
  <c r="I1468" i="1"/>
  <c r="H1468" i="1"/>
  <c r="I1467" i="1"/>
  <c r="H1467" i="1"/>
  <c r="I1466" i="1"/>
  <c r="H1466" i="1"/>
  <c r="I1465" i="1"/>
  <c r="H1465" i="1"/>
  <c r="I1464" i="1"/>
  <c r="H1464" i="1"/>
  <c r="I1463" i="1"/>
  <c r="H1463" i="1"/>
  <c r="I1462" i="1"/>
  <c r="H1462" i="1"/>
  <c r="I1461" i="1"/>
  <c r="H1461" i="1"/>
  <c r="I1460" i="1"/>
  <c r="H1460" i="1"/>
  <c r="I1459" i="1"/>
  <c r="H1459" i="1"/>
  <c r="I1458" i="1"/>
  <c r="H1458" i="1"/>
  <c r="I1457" i="1"/>
  <c r="H1457" i="1"/>
  <c r="I1456" i="1"/>
  <c r="H1456" i="1"/>
  <c r="I1455" i="1"/>
  <c r="H1455" i="1"/>
  <c r="I1454" i="1"/>
  <c r="H1454" i="1"/>
  <c r="I1453" i="1"/>
  <c r="H1453" i="1"/>
  <c r="I1452" i="1"/>
  <c r="H1452" i="1"/>
  <c r="I1451" i="1"/>
  <c r="H1451" i="1"/>
  <c r="I1450" i="1"/>
  <c r="H1450" i="1"/>
  <c r="I1449" i="1"/>
  <c r="H1449" i="1"/>
  <c r="I1448" i="1"/>
  <c r="H1448" i="1"/>
  <c r="I1447" i="1"/>
  <c r="H1447" i="1"/>
  <c r="I1446" i="1"/>
  <c r="H1446" i="1"/>
  <c r="I1445" i="1"/>
  <c r="H1445" i="1"/>
  <c r="I1444" i="1"/>
  <c r="H1444" i="1"/>
  <c r="I1443" i="1"/>
  <c r="H1443" i="1"/>
  <c r="I1442" i="1"/>
  <c r="H1442" i="1"/>
  <c r="I1441" i="1"/>
  <c r="H1441" i="1"/>
  <c r="I1440" i="1"/>
  <c r="H1440" i="1"/>
  <c r="I1439" i="1"/>
  <c r="H1439" i="1"/>
  <c r="I1438" i="1"/>
  <c r="H1438" i="1"/>
  <c r="I1437" i="1"/>
  <c r="H1437" i="1"/>
  <c r="I1436" i="1"/>
  <c r="H1436" i="1"/>
  <c r="I1435" i="1"/>
  <c r="H1435" i="1"/>
  <c r="I1434" i="1"/>
  <c r="H1434" i="1"/>
  <c r="I1433" i="1"/>
  <c r="H1433" i="1"/>
  <c r="I1432" i="1"/>
  <c r="H1432" i="1"/>
  <c r="I1431" i="1"/>
  <c r="H1431" i="1"/>
  <c r="I1430" i="1"/>
  <c r="H1430" i="1"/>
  <c r="I1429" i="1"/>
  <c r="H1429" i="1"/>
  <c r="I1428" i="1"/>
  <c r="H1428" i="1"/>
  <c r="I1427" i="1"/>
  <c r="H1427" i="1"/>
  <c r="I1426" i="1"/>
  <c r="H1426" i="1"/>
  <c r="I1425" i="1"/>
  <c r="H1425" i="1"/>
  <c r="I1424" i="1"/>
  <c r="H1424" i="1"/>
  <c r="I1423" i="1"/>
  <c r="H1423" i="1"/>
  <c r="I1422" i="1"/>
  <c r="H1422" i="1"/>
  <c r="I1421" i="1"/>
  <c r="H1421" i="1"/>
  <c r="I1420" i="1"/>
  <c r="H1420" i="1"/>
  <c r="I1419" i="1"/>
  <c r="H1419" i="1"/>
  <c r="I1418" i="1"/>
  <c r="H1418" i="1"/>
  <c r="I1417" i="1"/>
  <c r="H1417" i="1"/>
  <c r="I1416" i="1"/>
  <c r="H1416" i="1"/>
  <c r="I1415" i="1"/>
  <c r="H1415" i="1"/>
  <c r="I1414" i="1"/>
  <c r="H1414" i="1"/>
  <c r="I1413" i="1"/>
  <c r="H1413" i="1"/>
  <c r="I1412" i="1"/>
  <c r="H1412" i="1"/>
  <c r="I1411" i="1"/>
  <c r="H1411" i="1"/>
  <c r="I1410" i="1"/>
  <c r="H1410" i="1"/>
  <c r="I1409" i="1"/>
  <c r="H1409" i="1"/>
  <c r="I1408" i="1"/>
  <c r="H1408" i="1"/>
  <c r="I1407" i="1"/>
  <c r="H1407" i="1"/>
  <c r="I1406" i="1"/>
  <c r="H1406" i="1"/>
  <c r="I1405" i="1"/>
  <c r="H1405" i="1"/>
  <c r="I1404" i="1"/>
  <c r="H1404" i="1"/>
  <c r="I1403" i="1"/>
  <c r="H1403" i="1"/>
  <c r="I1402" i="1"/>
  <c r="H1402" i="1"/>
  <c r="I1401" i="1"/>
  <c r="H1401" i="1"/>
  <c r="I1400" i="1"/>
  <c r="H1400" i="1"/>
  <c r="I1399" i="1"/>
  <c r="H1399" i="1"/>
  <c r="I1398" i="1"/>
  <c r="H1398" i="1"/>
  <c r="I1397" i="1"/>
  <c r="H1397" i="1"/>
  <c r="I1396" i="1"/>
  <c r="H1396" i="1"/>
  <c r="I1395" i="1"/>
  <c r="H1395" i="1"/>
  <c r="I1394" i="1"/>
  <c r="H1394" i="1"/>
  <c r="I1393" i="1"/>
  <c r="H1393" i="1"/>
  <c r="I1392" i="1"/>
  <c r="H1392" i="1"/>
  <c r="I1391" i="1"/>
  <c r="H1391" i="1"/>
  <c r="I1390" i="1"/>
  <c r="H1390" i="1"/>
  <c r="I1389" i="1"/>
  <c r="H1389" i="1"/>
  <c r="I1388" i="1"/>
  <c r="H1388" i="1"/>
  <c r="I1387" i="1"/>
  <c r="H1387" i="1"/>
  <c r="I1386" i="1"/>
  <c r="H1386" i="1"/>
  <c r="I1385" i="1"/>
  <c r="H1385" i="1"/>
  <c r="I1384" i="1"/>
  <c r="H1384" i="1"/>
  <c r="I1383" i="1"/>
  <c r="H1383" i="1"/>
  <c r="I1382" i="1"/>
  <c r="H1382" i="1"/>
  <c r="I1381" i="1"/>
  <c r="H1381" i="1"/>
  <c r="I1380" i="1"/>
  <c r="H1380" i="1"/>
  <c r="I1379" i="1"/>
  <c r="H1379" i="1"/>
  <c r="I1378" i="1"/>
  <c r="H1378" i="1"/>
  <c r="I1377" i="1"/>
  <c r="H1377" i="1"/>
  <c r="I1376" i="1"/>
  <c r="H1376" i="1"/>
  <c r="I1375" i="1"/>
  <c r="H1375" i="1"/>
  <c r="I1374" i="1"/>
  <c r="H1374" i="1"/>
  <c r="I1373" i="1"/>
  <c r="H1373" i="1"/>
  <c r="I1372" i="1"/>
  <c r="H1372" i="1"/>
  <c r="I1371" i="1"/>
  <c r="H1371" i="1"/>
  <c r="I1370" i="1"/>
  <c r="H1370" i="1"/>
  <c r="I1369" i="1"/>
  <c r="H1369" i="1"/>
  <c r="I1368" i="1"/>
  <c r="H1368" i="1"/>
  <c r="I1367" i="1"/>
  <c r="H1367" i="1"/>
  <c r="I1366" i="1"/>
  <c r="H1366" i="1"/>
  <c r="I1365" i="1"/>
  <c r="H1365" i="1"/>
  <c r="I1364" i="1"/>
  <c r="H1364" i="1"/>
  <c r="I1363" i="1"/>
  <c r="H1363" i="1"/>
  <c r="I1362" i="1"/>
  <c r="H1362" i="1"/>
  <c r="I1361" i="1"/>
  <c r="H1361" i="1"/>
  <c r="I1360" i="1"/>
  <c r="H1360" i="1"/>
  <c r="I1359" i="1"/>
  <c r="H1359" i="1"/>
  <c r="I1358" i="1"/>
  <c r="H1358" i="1"/>
  <c r="I1357" i="1"/>
  <c r="H1357" i="1"/>
  <c r="I1356" i="1"/>
  <c r="H1356" i="1"/>
  <c r="I1355" i="1"/>
  <c r="H1355" i="1"/>
  <c r="I1354" i="1"/>
  <c r="H1354" i="1"/>
  <c r="I1353" i="1"/>
  <c r="H1353" i="1"/>
  <c r="I1352" i="1"/>
  <c r="H1352" i="1"/>
  <c r="I1351" i="1"/>
  <c r="H1351" i="1"/>
  <c r="I1350" i="1"/>
  <c r="H1350" i="1"/>
  <c r="I1349" i="1"/>
  <c r="H1349" i="1"/>
  <c r="I1348" i="1"/>
  <c r="H1348" i="1"/>
  <c r="I1347" i="1"/>
  <c r="H1347" i="1"/>
  <c r="I1346" i="1"/>
  <c r="H1346" i="1"/>
  <c r="I1345" i="1"/>
  <c r="H1345" i="1"/>
  <c r="I1344" i="1"/>
  <c r="H1344" i="1"/>
  <c r="I1343" i="1"/>
  <c r="H1343" i="1"/>
  <c r="I1342" i="1"/>
  <c r="H1342" i="1"/>
  <c r="I1341" i="1"/>
  <c r="H1341" i="1"/>
  <c r="I1340" i="1"/>
  <c r="H1340" i="1"/>
  <c r="I1339" i="1"/>
  <c r="H1339" i="1"/>
  <c r="I1338" i="1"/>
  <c r="H1338" i="1"/>
  <c r="I1337" i="1"/>
  <c r="H1337" i="1"/>
  <c r="I1336" i="1"/>
  <c r="H1336" i="1"/>
  <c r="I1335" i="1"/>
  <c r="H1335" i="1"/>
  <c r="I1334" i="1"/>
  <c r="H1334" i="1"/>
  <c r="I1333" i="1"/>
  <c r="H1333" i="1"/>
  <c r="I1332" i="1"/>
  <c r="H1332" i="1"/>
  <c r="I1331" i="1"/>
  <c r="H1331" i="1"/>
  <c r="I1330" i="1"/>
  <c r="H1330" i="1"/>
  <c r="I1329" i="1"/>
  <c r="H1329" i="1"/>
  <c r="I1328" i="1"/>
  <c r="H1328" i="1"/>
  <c r="I1327" i="1"/>
  <c r="H1327" i="1"/>
  <c r="I1326" i="1"/>
  <c r="H1326" i="1"/>
  <c r="I1325" i="1"/>
  <c r="H1325" i="1"/>
  <c r="I1324" i="1"/>
  <c r="H1324" i="1"/>
  <c r="I1323" i="1"/>
  <c r="H1323" i="1"/>
  <c r="I1322" i="1"/>
  <c r="H1322" i="1"/>
  <c r="I1321" i="1"/>
  <c r="H1321" i="1"/>
  <c r="I1320" i="1"/>
  <c r="H1320" i="1"/>
  <c r="I1319" i="1"/>
  <c r="H1319" i="1"/>
  <c r="I1318" i="1"/>
  <c r="H1318" i="1"/>
  <c r="I1317" i="1"/>
  <c r="H1317" i="1"/>
  <c r="I1316" i="1"/>
  <c r="H1316" i="1"/>
  <c r="I1315" i="1"/>
  <c r="H1315" i="1"/>
  <c r="I1314" i="1"/>
  <c r="H1314" i="1"/>
  <c r="I1313" i="1"/>
  <c r="H1313" i="1"/>
  <c r="I1312" i="1"/>
  <c r="H1312" i="1"/>
  <c r="I1311" i="1"/>
  <c r="H1311" i="1"/>
  <c r="I1310" i="1"/>
  <c r="H1310" i="1"/>
  <c r="I1309" i="1"/>
  <c r="H1309" i="1"/>
  <c r="I1308" i="1"/>
  <c r="H1308" i="1"/>
  <c r="I1307" i="1"/>
  <c r="H1307" i="1"/>
  <c r="I1306" i="1"/>
  <c r="H1306" i="1"/>
  <c r="I1305" i="1"/>
  <c r="H1305" i="1"/>
  <c r="I1304" i="1"/>
  <c r="H1304" i="1"/>
  <c r="I1303" i="1"/>
  <c r="H1303" i="1"/>
  <c r="I1302" i="1"/>
  <c r="H1302" i="1"/>
  <c r="I1301" i="1"/>
  <c r="H1301" i="1"/>
  <c r="I1300" i="1"/>
  <c r="H1300" i="1"/>
  <c r="I1299" i="1"/>
  <c r="H1299" i="1"/>
  <c r="I1298" i="1"/>
  <c r="H1298" i="1"/>
  <c r="I1297" i="1"/>
  <c r="H1297" i="1"/>
  <c r="I1296" i="1"/>
  <c r="H1296" i="1"/>
  <c r="I1295" i="1"/>
  <c r="H1295" i="1"/>
  <c r="I1294" i="1"/>
  <c r="H1294" i="1"/>
  <c r="I1293" i="1"/>
  <c r="H1293" i="1"/>
  <c r="I1292" i="1"/>
  <c r="H1292" i="1"/>
  <c r="I1291" i="1"/>
  <c r="H1291" i="1"/>
  <c r="I1290" i="1"/>
  <c r="H1290" i="1"/>
  <c r="I1289" i="1"/>
  <c r="H1289" i="1"/>
  <c r="I1288" i="1"/>
  <c r="H1288" i="1"/>
  <c r="I1287" i="1"/>
  <c r="H1287" i="1"/>
  <c r="I1286" i="1"/>
  <c r="H1286" i="1"/>
  <c r="I1285" i="1"/>
  <c r="H1285" i="1"/>
  <c r="I1284" i="1"/>
  <c r="H1284" i="1"/>
  <c r="I1283" i="1"/>
  <c r="H1283" i="1"/>
  <c r="I1282" i="1"/>
  <c r="H1282" i="1"/>
  <c r="I1281" i="1"/>
  <c r="H1281" i="1"/>
  <c r="I1280" i="1"/>
  <c r="H1280" i="1"/>
  <c r="I1279" i="1"/>
  <c r="H1279" i="1"/>
  <c r="I1278" i="1"/>
  <c r="H1278" i="1"/>
  <c r="I1277" i="1"/>
  <c r="H1277" i="1"/>
  <c r="I1276" i="1"/>
  <c r="H1276" i="1"/>
  <c r="I1275" i="1"/>
  <c r="H1275" i="1"/>
  <c r="I1274" i="1"/>
  <c r="H1274" i="1"/>
  <c r="I1273" i="1"/>
  <c r="H1273" i="1"/>
  <c r="I1272" i="1"/>
  <c r="H1272" i="1"/>
  <c r="I1271" i="1"/>
  <c r="H1271" i="1"/>
  <c r="I1270" i="1"/>
  <c r="H1270" i="1"/>
  <c r="I1269" i="1"/>
  <c r="H1269" i="1"/>
  <c r="I1268" i="1"/>
  <c r="H1268" i="1"/>
  <c r="I1267" i="1"/>
  <c r="H1267" i="1"/>
  <c r="I1266" i="1"/>
  <c r="H1266" i="1"/>
  <c r="I1265" i="1"/>
  <c r="H1265" i="1"/>
  <c r="I1264" i="1"/>
  <c r="H1264" i="1"/>
  <c r="I1263" i="1"/>
  <c r="H1263" i="1"/>
  <c r="I1262" i="1"/>
  <c r="H1262" i="1"/>
  <c r="I1261" i="1"/>
  <c r="H1261" i="1"/>
  <c r="I1260" i="1"/>
  <c r="H1260" i="1"/>
  <c r="I1259" i="1"/>
  <c r="H1259" i="1"/>
  <c r="I1258" i="1"/>
  <c r="H1258" i="1"/>
  <c r="I1257" i="1"/>
  <c r="H1257" i="1"/>
  <c r="I1256" i="1"/>
  <c r="H1256" i="1"/>
  <c r="I1255" i="1"/>
  <c r="H1255" i="1"/>
  <c r="I1254" i="1"/>
  <c r="H1254" i="1"/>
  <c r="I1253" i="1"/>
  <c r="H1253" i="1"/>
  <c r="I1252" i="1"/>
  <c r="H1252" i="1"/>
  <c r="I1251" i="1"/>
  <c r="H1251" i="1"/>
  <c r="I1250" i="1"/>
  <c r="H1250" i="1"/>
  <c r="I1249" i="1"/>
  <c r="H1249" i="1"/>
  <c r="I1248" i="1"/>
  <c r="H1248" i="1"/>
  <c r="I1247" i="1"/>
  <c r="H1247" i="1"/>
  <c r="I1246" i="1"/>
  <c r="H1246" i="1"/>
  <c r="I1245" i="1"/>
  <c r="H1245" i="1"/>
  <c r="I1244" i="1"/>
  <c r="H1244" i="1"/>
  <c r="I1243" i="1"/>
  <c r="H1243" i="1"/>
  <c r="I1242" i="1"/>
  <c r="H1242" i="1"/>
  <c r="I1241" i="1"/>
  <c r="H1241" i="1"/>
  <c r="I1240" i="1"/>
  <c r="H1240" i="1"/>
  <c r="I1239" i="1"/>
  <c r="H1239" i="1"/>
  <c r="I1238" i="1"/>
  <c r="H1238" i="1"/>
  <c r="I1237" i="1"/>
  <c r="H1237" i="1"/>
  <c r="I1236" i="1"/>
  <c r="H1236" i="1"/>
  <c r="I1235" i="1"/>
  <c r="H1235" i="1"/>
  <c r="I1234" i="1"/>
  <c r="H1234" i="1"/>
  <c r="I1233" i="1"/>
  <c r="H1233" i="1"/>
  <c r="I1232" i="1"/>
  <c r="H1232" i="1"/>
  <c r="I1231" i="1"/>
  <c r="H1231" i="1"/>
  <c r="I1230" i="1"/>
  <c r="H1230" i="1"/>
  <c r="I1229" i="1"/>
  <c r="H1229" i="1"/>
  <c r="I1228" i="1"/>
  <c r="H1228" i="1"/>
  <c r="I1227" i="1"/>
  <c r="H1227" i="1"/>
  <c r="I1226" i="1"/>
  <c r="H1226" i="1"/>
  <c r="I1225" i="1"/>
  <c r="H1225" i="1"/>
  <c r="I1224" i="1"/>
  <c r="H1224" i="1"/>
  <c r="I1223" i="1"/>
  <c r="H1223" i="1"/>
  <c r="I1222" i="1"/>
  <c r="H1222" i="1"/>
  <c r="I1221" i="1"/>
  <c r="H1221" i="1"/>
  <c r="I1220" i="1"/>
  <c r="H1220" i="1"/>
  <c r="I1219" i="1"/>
  <c r="H1219" i="1"/>
  <c r="I1218" i="1"/>
  <c r="H1218" i="1"/>
  <c r="I1217" i="1"/>
  <c r="H1217" i="1"/>
  <c r="I1216" i="1"/>
  <c r="H1216" i="1"/>
  <c r="I1215" i="1"/>
  <c r="H1215" i="1"/>
  <c r="I1214" i="1"/>
  <c r="H1214" i="1"/>
  <c r="I1213" i="1"/>
  <c r="H1213" i="1"/>
  <c r="I1212" i="1"/>
  <c r="H1212" i="1"/>
  <c r="I1211" i="1"/>
  <c r="H1211" i="1"/>
  <c r="I1210" i="1"/>
  <c r="H1210" i="1"/>
  <c r="I1209" i="1"/>
  <c r="H1209" i="1"/>
  <c r="I1208" i="1"/>
  <c r="H1208" i="1"/>
  <c r="I1207" i="1"/>
  <c r="H1207" i="1"/>
  <c r="I1206" i="1"/>
  <c r="H1206" i="1"/>
  <c r="I1205" i="1"/>
  <c r="H1205" i="1"/>
  <c r="I1204" i="1"/>
  <c r="H1204" i="1"/>
  <c r="I1203" i="1"/>
  <c r="H1203" i="1"/>
  <c r="I1202" i="1"/>
  <c r="H1202" i="1"/>
  <c r="I1201" i="1"/>
  <c r="H1201" i="1"/>
  <c r="I1200" i="1"/>
  <c r="H1200" i="1"/>
  <c r="I1199" i="1"/>
  <c r="H1199" i="1"/>
  <c r="I1198" i="1"/>
  <c r="H1198" i="1"/>
  <c r="I1197" i="1"/>
  <c r="H1197" i="1"/>
  <c r="I1196" i="1"/>
  <c r="H1196" i="1"/>
  <c r="I1195" i="1"/>
  <c r="H1195" i="1"/>
  <c r="I1194" i="1"/>
  <c r="H1194" i="1"/>
  <c r="I1193" i="1"/>
  <c r="H1193" i="1"/>
  <c r="I1192" i="1"/>
  <c r="H1192" i="1"/>
  <c r="I1191" i="1"/>
  <c r="H1191" i="1"/>
  <c r="I1190" i="1"/>
  <c r="H1190" i="1"/>
  <c r="I1189" i="1"/>
  <c r="H1189" i="1"/>
  <c r="I1188" i="1"/>
  <c r="H1188" i="1"/>
  <c r="I1187" i="1"/>
  <c r="H1187" i="1"/>
  <c r="I1186" i="1"/>
  <c r="H1186" i="1"/>
  <c r="I1185" i="1"/>
  <c r="H1185" i="1"/>
  <c r="I1184" i="1"/>
  <c r="H1184" i="1"/>
  <c r="I1183" i="1"/>
  <c r="H1183" i="1"/>
  <c r="I1182" i="1"/>
  <c r="H1182" i="1"/>
  <c r="I1181" i="1"/>
  <c r="H1181" i="1"/>
  <c r="I1180" i="1"/>
  <c r="H1180" i="1"/>
  <c r="I1179" i="1"/>
  <c r="H1179" i="1"/>
  <c r="I1178" i="1"/>
  <c r="H1178" i="1"/>
  <c r="I1177" i="1"/>
  <c r="H1177" i="1"/>
  <c r="I1176" i="1"/>
  <c r="H1176" i="1"/>
  <c r="I1175" i="1"/>
  <c r="H1175" i="1"/>
  <c r="I1174" i="1"/>
  <c r="H1174" i="1"/>
  <c r="I1173" i="1"/>
  <c r="H1173" i="1"/>
  <c r="I1172" i="1"/>
  <c r="H1172" i="1"/>
  <c r="I1171" i="1"/>
  <c r="H1171" i="1"/>
  <c r="I1170" i="1"/>
  <c r="H1170" i="1"/>
  <c r="I1169" i="1"/>
  <c r="H1169" i="1"/>
  <c r="I1168" i="1"/>
  <c r="H1168" i="1"/>
  <c r="I1167" i="1"/>
  <c r="H1167" i="1"/>
  <c r="I1166" i="1"/>
  <c r="H1166" i="1"/>
  <c r="I1165" i="1"/>
  <c r="H1165" i="1"/>
  <c r="I1164" i="1"/>
  <c r="H1164" i="1"/>
  <c r="I1163" i="1"/>
  <c r="H1163" i="1"/>
  <c r="I1162" i="1"/>
  <c r="H1162" i="1"/>
  <c r="I1161" i="1"/>
  <c r="H1161" i="1"/>
  <c r="I1160" i="1"/>
  <c r="H1160" i="1"/>
  <c r="I1159" i="1"/>
  <c r="H1159" i="1"/>
  <c r="I1158" i="1"/>
  <c r="H1158" i="1"/>
  <c r="I1157" i="1"/>
  <c r="H1157" i="1"/>
  <c r="I1156" i="1"/>
  <c r="H1156" i="1"/>
  <c r="I1155" i="1"/>
  <c r="H1155" i="1"/>
  <c r="I1154" i="1"/>
  <c r="H1154" i="1"/>
  <c r="I1153" i="1"/>
  <c r="H1153" i="1"/>
  <c r="I1152" i="1"/>
  <c r="H1152" i="1"/>
  <c r="I1151" i="1"/>
  <c r="H1151" i="1"/>
  <c r="I1150" i="1"/>
  <c r="H1150" i="1"/>
  <c r="I1149" i="1"/>
  <c r="H1149" i="1"/>
  <c r="I1148" i="1"/>
  <c r="H1148" i="1"/>
  <c r="I1147" i="1"/>
  <c r="H1147" i="1"/>
  <c r="I1146" i="1"/>
  <c r="H1146" i="1"/>
  <c r="I1145" i="1"/>
  <c r="H1145" i="1"/>
  <c r="I1144" i="1"/>
  <c r="H1144" i="1"/>
  <c r="I1143" i="1"/>
  <c r="H1143" i="1"/>
  <c r="I1142" i="1"/>
  <c r="H1142" i="1"/>
  <c r="I1141" i="1"/>
  <c r="H1141" i="1"/>
  <c r="I1140" i="1"/>
  <c r="H1140" i="1"/>
  <c r="I1139" i="1"/>
  <c r="H1139" i="1"/>
  <c r="I1138" i="1"/>
  <c r="H1138" i="1"/>
  <c r="I1137" i="1"/>
  <c r="H1137" i="1"/>
  <c r="I1136" i="1"/>
  <c r="H1136" i="1"/>
  <c r="I1135" i="1"/>
  <c r="H1135" i="1"/>
  <c r="I1134" i="1"/>
  <c r="H1134" i="1"/>
  <c r="I1133" i="1"/>
  <c r="H1133" i="1"/>
  <c r="I1132" i="1"/>
  <c r="H1132" i="1"/>
  <c r="I1131" i="1"/>
  <c r="H1131" i="1"/>
  <c r="I1130" i="1"/>
  <c r="H1130" i="1"/>
  <c r="I1129" i="1"/>
  <c r="H1129" i="1"/>
  <c r="I1128" i="1"/>
  <c r="H1128" i="1"/>
  <c r="I1127" i="1"/>
  <c r="H1127" i="1"/>
  <c r="I1126" i="1"/>
  <c r="H1126" i="1"/>
  <c r="I1125" i="1"/>
  <c r="H1125" i="1"/>
  <c r="I1124" i="1"/>
  <c r="H1124" i="1"/>
  <c r="I1123" i="1"/>
  <c r="H1123" i="1"/>
  <c r="I1122" i="1"/>
  <c r="H1122" i="1"/>
  <c r="I1121" i="1"/>
  <c r="H1121" i="1"/>
  <c r="I1120" i="1"/>
  <c r="H1120" i="1"/>
  <c r="I1119" i="1"/>
  <c r="H1119" i="1"/>
  <c r="I1118" i="1"/>
  <c r="H1118" i="1"/>
  <c r="I1117" i="1"/>
  <c r="H1117" i="1"/>
  <c r="I1116" i="1"/>
  <c r="H1116" i="1"/>
  <c r="I1115" i="1"/>
  <c r="H1115" i="1"/>
  <c r="I1114" i="1"/>
  <c r="H1114" i="1"/>
  <c r="I1113" i="1"/>
  <c r="H1113" i="1"/>
  <c r="I1112" i="1"/>
  <c r="H1112" i="1"/>
  <c r="I1111" i="1"/>
  <c r="H1111" i="1"/>
  <c r="I1110" i="1"/>
  <c r="H1110" i="1"/>
  <c r="I1109" i="1"/>
  <c r="H1109" i="1"/>
  <c r="I1108" i="1"/>
  <c r="H1108" i="1"/>
  <c r="I1107" i="1"/>
  <c r="H1107" i="1"/>
  <c r="I1106" i="1"/>
  <c r="H1106" i="1"/>
  <c r="I1105" i="1"/>
  <c r="H1105" i="1"/>
  <c r="I1104" i="1"/>
  <c r="H1104" i="1"/>
  <c r="I1103" i="1"/>
  <c r="H1103" i="1"/>
  <c r="I1102" i="1"/>
  <c r="H1102" i="1"/>
  <c r="I1101" i="1"/>
  <c r="H1101" i="1"/>
  <c r="I1100" i="1"/>
  <c r="H1100" i="1"/>
  <c r="I1099" i="1"/>
  <c r="H1099" i="1"/>
  <c r="I1098" i="1"/>
  <c r="H1098" i="1"/>
  <c r="I1097" i="1"/>
  <c r="H1097" i="1"/>
  <c r="I1096" i="1"/>
  <c r="H1096" i="1"/>
  <c r="I1095" i="1"/>
  <c r="H1095" i="1"/>
  <c r="I1094" i="1"/>
  <c r="H1094" i="1"/>
  <c r="I1093" i="1"/>
  <c r="H1093" i="1"/>
  <c r="I1092" i="1"/>
  <c r="H1092" i="1"/>
  <c r="I1091" i="1"/>
  <c r="H1091" i="1"/>
  <c r="I1090" i="1"/>
  <c r="H1090" i="1"/>
  <c r="I1089" i="1"/>
  <c r="H1089" i="1"/>
  <c r="I1088" i="1"/>
  <c r="H1088" i="1"/>
  <c r="I1087" i="1"/>
  <c r="H1087" i="1"/>
  <c r="I1086" i="1"/>
  <c r="H1086" i="1"/>
  <c r="I1085" i="1"/>
  <c r="H1085" i="1"/>
  <c r="I1084" i="1"/>
  <c r="H1084" i="1"/>
  <c r="I1083" i="1"/>
  <c r="H1083" i="1"/>
  <c r="I1082" i="1"/>
  <c r="H1082" i="1"/>
  <c r="I1081" i="1"/>
  <c r="H1081" i="1"/>
  <c r="I1080" i="1"/>
  <c r="H1080" i="1"/>
  <c r="I1079" i="1"/>
  <c r="H1079" i="1"/>
  <c r="I1078" i="1"/>
  <c r="H1078" i="1"/>
  <c r="I1077" i="1"/>
  <c r="H1077" i="1"/>
  <c r="I1076" i="1"/>
  <c r="H1076" i="1"/>
  <c r="I1075" i="1"/>
  <c r="H1075" i="1"/>
  <c r="I1074" i="1"/>
  <c r="H1074" i="1"/>
  <c r="I1073" i="1"/>
  <c r="H1073" i="1"/>
  <c r="I1072" i="1"/>
  <c r="H1072" i="1"/>
  <c r="I1071" i="1"/>
  <c r="H1071" i="1"/>
  <c r="I1070" i="1"/>
  <c r="H1070" i="1"/>
  <c r="I1069" i="1"/>
  <c r="H1069" i="1"/>
  <c r="I1068" i="1"/>
  <c r="H1068" i="1"/>
  <c r="I1067" i="1"/>
  <c r="H1067" i="1"/>
  <c r="I1066" i="1"/>
  <c r="H1066" i="1"/>
  <c r="I1065" i="1"/>
  <c r="H1065" i="1"/>
  <c r="I1064" i="1"/>
  <c r="H1064" i="1"/>
  <c r="I1063" i="1"/>
  <c r="H1063" i="1"/>
  <c r="I1062" i="1"/>
  <c r="H1062" i="1"/>
  <c r="I1061" i="1"/>
  <c r="H1061" i="1"/>
  <c r="I1060" i="1"/>
  <c r="H1060" i="1"/>
  <c r="I1059" i="1"/>
  <c r="H1059" i="1"/>
  <c r="I1058" i="1"/>
  <c r="H1058" i="1"/>
  <c r="I1057" i="1"/>
  <c r="H1057" i="1"/>
  <c r="I1056" i="1"/>
  <c r="H1056" i="1"/>
  <c r="I1055" i="1"/>
  <c r="H1055" i="1"/>
  <c r="I1054" i="1"/>
  <c r="H1054" i="1"/>
  <c r="I1053" i="1"/>
  <c r="H1053" i="1"/>
  <c r="I1052" i="1"/>
  <c r="H1052" i="1"/>
  <c r="I1051" i="1"/>
  <c r="H1051" i="1"/>
  <c r="I1050" i="1"/>
  <c r="H1050" i="1"/>
  <c r="I1049" i="1"/>
  <c r="H1049" i="1"/>
  <c r="I1048" i="1"/>
  <c r="H1048" i="1"/>
  <c r="I1047" i="1"/>
  <c r="H1047" i="1"/>
  <c r="I1046" i="1"/>
  <c r="H1046" i="1"/>
  <c r="I1045" i="1"/>
  <c r="H1045" i="1"/>
  <c r="I1044" i="1"/>
  <c r="H1044" i="1"/>
  <c r="I1043" i="1"/>
  <c r="H1043" i="1"/>
  <c r="I1042" i="1"/>
  <c r="H1042" i="1"/>
  <c r="I1041" i="1"/>
  <c r="H1041" i="1"/>
  <c r="I1040" i="1"/>
  <c r="H1040" i="1"/>
  <c r="I1039" i="1"/>
  <c r="H1039" i="1"/>
  <c r="I1038" i="1"/>
  <c r="H1038" i="1"/>
  <c r="I1037" i="1"/>
  <c r="H1037" i="1"/>
  <c r="I1036" i="1"/>
  <c r="H1036" i="1"/>
  <c r="I1035" i="1"/>
  <c r="H1035" i="1"/>
  <c r="I1034" i="1"/>
  <c r="H1034" i="1"/>
  <c r="I1033" i="1"/>
  <c r="H1033" i="1"/>
  <c r="I1032" i="1"/>
  <c r="H1032" i="1"/>
  <c r="I1031" i="1"/>
  <c r="H1031" i="1"/>
  <c r="I1030" i="1"/>
  <c r="H1030" i="1"/>
  <c r="I1029" i="1"/>
  <c r="H1029" i="1"/>
  <c r="I1028" i="1"/>
  <c r="H1028" i="1"/>
  <c r="I1027" i="1"/>
  <c r="H1027" i="1"/>
  <c r="I1026" i="1"/>
  <c r="H1026" i="1"/>
  <c r="I1025" i="1"/>
  <c r="H1025" i="1"/>
  <c r="I1024" i="1"/>
  <c r="H1024" i="1"/>
  <c r="I1023" i="1"/>
  <c r="H1023" i="1"/>
  <c r="I1022" i="1"/>
  <c r="H1022" i="1"/>
  <c r="I1021" i="1"/>
  <c r="H1021" i="1"/>
  <c r="I1020" i="1"/>
  <c r="H1020" i="1"/>
  <c r="I1019" i="1"/>
  <c r="H1019" i="1"/>
  <c r="I1018" i="1"/>
  <c r="H1018" i="1"/>
  <c r="I1017" i="1"/>
  <c r="H1017" i="1"/>
  <c r="I1016" i="1"/>
  <c r="H1016" i="1"/>
  <c r="I1015" i="1"/>
  <c r="H1015" i="1"/>
  <c r="I1014" i="1"/>
  <c r="H1014" i="1"/>
  <c r="I1013" i="1"/>
  <c r="H1013" i="1"/>
  <c r="I1012" i="1"/>
  <c r="H1012" i="1"/>
  <c r="I1011" i="1"/>
  <c r="H1011" i="1"/>
  <c r="I1010" i="1"/>
  <c r="H1010" i="1"/>
  <c r="I1009" i="1"/>
  <c r="H1009" i="1"/>
  <c r="I1008" i="1"/>
  <c r="H1008" i="1"/>
  <c r="I1007" i="1"/>
  <c r="H1007" i="1"/>
  <c r="I1006" i="1"/>
  <c r="H1006" i="1"/>
  <c r="I1005" i="1"/>
  <c r="H1005" i="1"/>
  <c r="I1004" i="1"/>
  <c r="H1004" i="1"/>
  <c r="I1003" i="1"/>
  <c r="H1003" i="1"/>
  <c r="I1002" i="1"/>
  <c r="H1002" i="1"/>
  <c r="I1001" i="1"/>
  <c r="H1001" i="1"/>
  <c r="I1000" i="1"/>
  <c r="H1000" i="1"/>
  <c r="I999" i="1"/>
  <c r="H999" i="1"/>
  <c r="I998" i="1"/>
  <c r="H998" i="1"/>
  <c r="I997" i="1"/>
  <c r="H997" i="1"/>
  <c r="I996" i="1"/>
  <c r="H996" i="1"/>
  <c r="I995" i="1"/>
  <c r="H995" i="1"/>
  <c r="I994" i="1"/>
  <c r="H994" i="1"/>
  <c r="I993" i="1"/>
  <c r="H993" i="1"/>
  <c r="I992" i="1"/>
  <c r="H992" i="1"/>
  <c r="I991" i="1"/>
  <c r="H991" i="1"/>
  <c r="I990" i="1"/>
  <c r="H990" i="1"/>
  <c r="I989" i="1"/>
  <c r="H989" i="1"/>
  <c r="I988" i="1"/>
  <c r="H988" i="1"/>
  <c r="I987" i="1"/>
  <c r="H987" i="1"/>
  <c r="I986" i="1"/>
  <c r="H986" i="1"/>
  <c r="I985" i="1"/>
  <c r="H985" i="1"/>
  <c r="I984" i="1"/>
  <c r="H984" i="1"/>
  <c r="I983" i="1"/>
  <c r="H983" i="1"/>
  <c r="I982" i="1"/>
  <c r="H982" i="1"/>
  <c r="I981" i="1"/>
  <c r="H981" i="1"/>
  <c r="I980" i="1"/>
  <c r="H980" i="1"/>
  <c r="I979" i="1"/>
  <c r="H979" i="1"/>
  <c r="I978" i="1"/>
  <c r="H978" i="1"/>
  <c r="I977" i="1"/>
  <c r="H977" i="1"/>
  <c r="I976" i="1"/>
  <c r="H976" i="1"/>
  <c r="I975" i="1"/>
  <c r="H975" i="1"/>
  <c r="I974" i="1"/>
  <c r="H974" i="1"/>
  <c r="I973" i="1"/>
  <c r="H973" i="1"/>
  <c r="I972" i="1"/>
  <c r="H972" i="1"/>
  <c r="I971" i="1"/>
  <c r="H971" i="1"/>
  <c r="I970" i="1"/>
  <c r="H970" i="1"/>
  <c r="I969" i="1"/>
  <c r="H969" i="1"/>
  <c r="I968" i="1"/>
  <c r="H968" i="1"/>
  <c r="I967" i="1"/>
  <c r="H967" i="1"/>
  <c r="I966" i="1"/>
  <c r="H966" i="1"/>
  <c r="I965" i="1"/>
  <c r="H965" i="1"/>
  <c r="I964" i="1"/>
  <c r="H964" i="1"/>
  <c r="I963" i="1"/>
  <c r="H963" i="1"/>
  <c r="I962" i="1"/>
  <c r="H962" i="1"/>
  <c r="I961" i="1"/>
  <c r="H961" i="1"/>
  <c r="I960" i="1"/>
  <c r="H960" i="1"/>
  <c r="I959" i="1"/>
  <c r="H959" i="1"/>
  <c r="I958" i="1"/>
  <c r="H958" i="1"/>
  <c r="I957" i="1"/>
  <c r="H957" i="1"/>
  <c r="I956" i="1"/>
  <c r="H956" i="1"/>
  <c r="I955" i="1"/>
  <c r="H955" i="1"/>
  <c r="I954" i="1"/>
  <c r="H954" i="1"/>
  <c r="I953" i="1"/>
  <c r="H953" i="1"/>
  <c r="I952" i="1"/>
  <c r="H952" i="1"/>
  <c r="I951" i="1"/>
  <c r="H951" i="1"/>
  <c r="I950" i="1"/>
  <c r="H950" i="1"/>
  <c r="I949" i="1"/>
  <c r="H949" i="1"/>
  <c r="I948" i="1"/>
  <c r="H948" i="1"/>
  <c r="I947" i="1"/>
  <c r="H947" i="1"/>
  <c r="I946" i="1"/>
  <c r="H946" i="1"/>
  <c r="I945" i="1"/>
  <c r="H945" i="1"/>
  <c r="I944" i="1"/>
  <c r="H944" i="1"/>
  <c r="I943" i="1"/>
  <c r="H943" i="1"/>
  <c r="I942" i="1"/>
  <c r="H942" i="1"/>
  <c r="I941" i="1"/>
  <c r="H941" i="1"/>
  <c r="I940" i="1"/>
  <c r="H940" i="1"/>
  <c r="I939" i="1"/>
  <c r="H939" i="1"/>
  <c r="I938" i="1"/>
  <c r="H938" i="1"/>
  <c r="I937" i="1"/>
  <c r="H937" i="1"/>
  <c r="I936" i="1"/>
  <c r="H936" i="1"/>
  <c r="I935" i="1"/>
  <c r="H935" i="1"/>
  <c r="I934" i="1"/>
  <c r="H934" i="1"/>
  <c r="I933" i="1"/>
  <c r="H933" i="1"/>
  <c r="I932" i="1"/>
  <c r="H932" i="1"/>
  <c r="I931" i="1"/>
  <c r="H931" i="1"/>
  <c r="I930" i="1"/>
  <c r="H930" i="1"/>
  <c r="I929" i="1"/>
  <c r="H929" i="1"/>
  <c r="I928" i="1"/>
  <c r="H928" i="1"/>
  <c r="I927" i="1"/>
  <c r="H927" i="1"/>
  <c r="I926" i="1"/>
  <c r="H926" i="1"/>
  <c r="I925" i="1"/>
  <c r="H925" i="1"/>
  <c r="I924" i="1"/>
  <c r="H924" i="1"/>
  <c r="I923" i="1"/>
  <c r="H923" i="1"/>
  <c r="I922" i="1"/>
  <c r="H922" i="1"/>
  <c r="I921" i="1"/>
  <c r="H921" i="1"/>
  <c r="I920" i="1"/>
  <c r="H920" i="1"/>
  <c r="I919" i="1"/>
  <c r="H919" i="1"/>
  <c r="I918" i="1"/>
  <c r="H918" i="1"/>
  <c r="I917" i="1"/>
  <c r="H917" i="1"/>
  <c r="I916" i="1"/>
  <c r="H916" i="1"/>
  <c r="I915" i="1"/>
  <c r="H915" i="1"/>
  <c r="I914" i="1"/>
  <c r="H914" i="1"/>
  <c r="I913" i="1"/>
  <c r="H913" i="1"/>
  <c r="I912" i="1"/>
  <c r="H912" i="1"/>
  <c r="I911" i="1"/>
  <c r="H911" i="1"/>
  <c r="I910" i="1"/>
  <c r="H910" i="1"/>
  <c r="I909" i="1"/>
  <c r="H909" i="1"/>
  <c r="I908" i="1"/>
  <c r="H908" i="1"/>
  <c r="I907" i="1"/>
  <c r="H907" i="1"/>
  <c r="I906" i="1"/>
  <c r="H906" i="1"/>
  <c r="I905" i="1"/>
  <c r="H905" i="1"/>
  <c r="I904" i="1"/>
  <c r="H904" i="1"/>
  <c r="I903" i="1"/>
  <c r="H903" i="1"/>
  <c r="I902" i="1"/>
  <c r="H902" i="1"/>
  <c r="I901" i="1"/>
  <c r="H901" i="1"/>
  <c r="I900" i="1"/>
  <c r="H900" i="1"/>
  <c r="I899" i="1"/>
  <c r="H899" i="1"/>
  <c r="I898" i="1"/>
  <c r="H898" i="1"/>
  <c r="I897" i="1"/>
  <c r="H897" i="1"/>
  <c r="I896" i="1"/>
  <c r="H896" i="1"/>
  <c r="I895" i="1"/>
  <c r="H895" i="1"/>
  <c r="I894" i="1"/>
  <c r="H894" i="1"/>
  <c r="I893" i="1"/>
  <c r="H893" i="1"/>
  <c r="I892" i="1"/>
  <c r="H892" i="1"/>
  <c r="I891" i="1"/>
  <c r="H891" i="1"/>
  <c r="I890" i="1"/>
  <c r="H890" i="1"/>
  <c r="I889" i="1"/>
  <c r="H889" i="1"/>
  <c r="I888" i="1"/>
  <c r="H888" i="1"/>
  <c r="I887" i="1"/>
  <c r="H887" i="1"/>
  <c r="I886" i="1"/>
  <c r="H886" i="1"/>
  <c r="I885" i="1"/>
  <c r="H885" i="1"/>
  <c r="I884" i="1"/>
  <c r="H884" i="1"/>
  <c r="I883" i="1"/>
  <c r="H883" i="1"/>
  <c r="I882" i="1"/>
  <c r="H882" i="1"/>
  <c r="I881" i="1"/>
  <c r="H881" i="1"/>
  <c r="I880" i="1"/>
  <c r="H880" i="1"/>
  <c r="I879" i="1"/>
  <c r="H879" i="1"/>
  <c r="I878" i="1"/>
  <c r="H878" i="1"/>
  <c r="I877" i="1"/>
  <c r="H877" i="1"/>
  <c r="I876" i="1"/>
  <c r="H876" i="1"/>
  <c r="I875" i="1"/>
  <c r="H875" i="1"/>
  <c r="I874" i="1"/>
  <c r="H874" i="1"/>
  <c r="I873" i="1"/>
  <c r="H873" i="1"/>
  <c r="I872" i="1"/>
  <c r="H872" i="1"/>
  <c r="I871" i="1"/>
  <c r="H871" i="1"/>
  <c r="I870" i="1"/>
  <c r="H870" i="1"/>
  <c r="I869" i="1"/>
  <c r="H869" i="1"/>
  <c r="I868" i="1"/>
  <c r="H868" i="1"/>
  <c r="I867" i="1"/>
  <c r="H867" i="1"/>
  <c r="I866" i="1"/>
  <c r="H866" i="1"/>
  <c r="I865" i="1"/>
  <c r="H865" i="1"/>
  <c r="I864" i="1"/>
  <c r="H864" i="1"/>
  <c r="I863" i="1"/>
  <c r="H863" i="1"/>
  <c r="I862" i="1"/>
  <c r="H862" i="1"/>
  <c r="I861" i="1"/>
  <c r="H861" i="1"/>
  <c r="I860" i="1"/>
  <c r="H860" i="1"/>
  <c r="I859" i="1"/>
  <c r="H859" i="1"/>
  <c r="I858" i="1"/>
  <c r="H858" i="1"/>
  <c r="I857" i="1"/>
  <c r="H857" i="1"/>
  <c r="I856" i="1"/>
  <c r="H856" i="1"/>
  <c r="I855" i="1"/>
  <c r="H855" i="1"/>
  <c r="I854" i="1"/>
  <c r="H854" i="1"/>
  <c r="I853" i="1"/>
  <c r="H853" i="1"/>
  <c r="I852" i="1"/>
  <c r="H852" i="1"/>
  <c r="I851" i="1"/>
  <c r="H851" i="1"/>
  <c r="I850" i="1"/>
  <c r="H850" i="1"/>
  <c r="I849" i="1"/>
  <c r="H849" i="1"/>
  <c r="I848" i="1"/>
  <c r="H848" i="1"/>
  <c r="I847" i="1"/>
  <c r="H847" i="1"/>
  <c r="I846" i="1"/>
  <c r="H846" i="1"/>
  <c r="I845" i="1"/>
  <c r="H845" i="1"/>
  <c r="I844" i="1"/>
  <c r="H844" i="1"/>
  <c r="I843" i="1"/>
  <c r="H843" i="1"/>
  <c r="I842" i="1"/>
  <c r="H842" i="1"/>
  <c r="I841" i="1"/>
  <c r="H841" i="1"/>
  <c r="I840" i="1"/>
  <c r="H840" i="1"/>
  <c r="I839" i="1"/>
  <c r="H839" i="1"/>
  <c r="I838" i="1"/>
  <c r="H838" i="1"/>
  <c r="I837" i="1"/>
  <c r="H837" i="1"/>
  <c r="I836" i="1"/>
  <c r="H836" i="1"/>
  <c r="I835" i="1"/>
  <c r="H835" i="1"/>
  <c r="I834" i="1"/>
  <c r="H834" i="1"/>
  <c r="I833" i="1"/>
  <c r="H833" i="1"/>
  <c r="I832" i="1"/>
  <c r="H832" i="1"/>
  <c r="I831" i="1"/>
  <c r="H831" i="1"/>
  <c r="I830" i="1"/>
  <c r="H830" i="1"/>
  <c r="I829" i="1"/>
  <c r="H829" i="1"/>
  <c r="I828" i="1"/>
  <c r="H828" i="1"/>
  <c r="I827" i="1"/>
  <c r="H827" i="1"/>
  <c r="I826" i="1"/>
  <c r="H826" i="1"/>
  <c r="I825" i="1"/>
  <c r="H825" i="1"/>
  <c r="I824" i="1"/>
  <c r="H824" i="1"/>
  <c r="I823" i="1"/>
  <c r="H823" i="1"/>
  <c r="I822" i="1"/>
  <c r="H822" i="1"/>
  <c r="I821" i="1"/>
  <c r="H821" i="1"/>
  <c r="I820" i="1"/>
  <c r="H820" i="1"/>
  <c r="I819" i="1"/>
  <c r="H819" i="1"/>
  <c r="I818" i="1"/>
  <c r="H818" i="1"/>
  <c r="I817" i="1"/>
  <c r="H817" i="1"/>
  <c r="I816" i="1"/>
  <c r="H816" i="1"/>
  <c r="I815" i="1"/>
  <c r="H815" i="1"/>
  <c r="I814" i="1"/>
  <c r="H814" i="1"/>
  <c r="I813" i="1"/>
  <c r="H813" i="1"/>
  <c r="I812" i="1"/>
  <c r="H812" i="1"/>
  <c r="I811" i="1"/>
  <c r="H811" i="1"/>
  <c r="I810" i="1"/>
  <c r="H810" i="1"/>
  <c r="I809" i="1"/>
  <c r="H809" i="1"/>
  <c r="I808" i="1"/>
  <c r="H808" i="1"/>
  <c r="I807" i="1"/>
  <c r="H807" i="1"/>
  <c r="I806" i="1"/>
  <c r="H806" i="1"/>
  <c r="I805" i="1"/>
  <c r="H805" i="1"/>
  <c r="I804" i="1"/>
  <c r="H804" i="1"/>
  <c r="I803" i="1"/>
  <c r="H803" i="1"/>
  <c r="I802" i="1"/>
  <c r="H802" i="1"/>
  <c r="I801" i="1"/>
  <c r="H801" i="1"/>
  <c r="I800" i="1"/>
  <c r="H800" i="1"/>
  <c r="I799" i="1"/>
  <c r="H799" i="1"/>
  <c r="I798" i="1"/>
  <c r="H798" i="1"/>
  <c r="I797" i="1"/>
  <c r="H797" i="1"/>
  <c r="I796" i="1"/>
  <c r="H796" i="1"/>
  <c r="I795" i="1"/>
  <c r="H795" i="1"/>
  <c r="I794" i="1"/>
  <c r="H794" i="1"/>
  <c r="I793" i="1"/>
  <c r="H793" i="1"/>
  <c r="I792" i="1"/>
  <c r="H792" i="1"/>
  <c r="I791" i="1"/>
  <c r="H791" i="1"/>
  <c r="I790" i="1"/>
  <c r="H790" i="1"/>
  <c r="I789" i="1"/>
  <c r="H789" i="1"/>
  <c r="I788" i="1"/>
  <c r="H788" i="1"/>
  <c r="I787" i="1"/>
  <c r="H787" i="1"/>
  <c r="I786" i="1"/>
  <c r="H786" i="1"/>
  <c r="I785" i="1"/>
  <c r="H785" i="1"/>
  <c r="I784" i="1"/>
  <c r="H784" i="1"/>
  <c r="I783" i="1"/>
  <c r="H783" i="1"/>
  <c r="I782" i="1"/>
  <c r="H782" i="1"/>
  <c r="I781" i="1"/>
  <c r="H781" i="1"/>
  <c r="I780" i="1"/>
  <c r="H780" i="1"/>
  <c r="I779" i="1"/>
  <c r="H779" i="1"/>
  <c r="I778" i="1"/>
  <c r="H778" i="1"/>
  <c r="I777" i="1"/>
  <c r="H777" i="1"/>
  <c r="I776" i="1"/>
  <c r="H776" i="1"/>
  <c r="I775" i="1"/>
  <c r="H775" i="1"/>
  <c r="I774" i="1"/>
  <c r="H774" i="1"/>
  <c r="I773" i="1"/>
  <c r="H773" i="1"/>
  <c r="I772" i="1"/>
  <c r="H772" i="1"/>
  <c r="I771" i="1"/>
  <c r="H771" i="1"/>
  <c r="I770" i="1"/>
  <c r="H770" i="1"/>
  <c r="I769" i="1"/>
  <c r="H769" i="1"/>
  <c r="I768" i="1"/>
  <c r="H768" i="1"/>
  <c r="I767" i="1"/>
  <c r="H767" i="1"/>
  <c r="I766" i="1"/>
  <c r="H766" i="1"/>
  <c r="I765" i="1"/>
  <c r="H765" i="1"/>
  <c r="I764" i="1"/>
  <c r="H764" i="1"/>
  <c r="I763" i="1"/>
  <c r="H763" i="1"/>
  <c r="I762" i="1"/>
  <c r="H762" i="1"/>
  <c r="I761" i="1"/>
  <c r="H761" i="1"/>
  <c r="I760" i="1"/>
  <c r="H760" i="1"/>
  <c r="I759" i="1"/>
  <c r="H759" i="1"/>
  <c r="I758" i="1"/>
  <c r="H758" i="1"/>
  <c r="I757" i="1"/>
  <c r="H757" i="1"/>
  <c r="I756" i="1"/>
  <c r="H756" i="1"/>
  <c r="I755" i="1"/>
  <c r="H755" i="1"/>
  <c r="I754" i="1"/>
  <c r="H754" i="1"/>
  <c r="I753" i="1"/>
  <c r="H753" i="1"/>
  <c r="I752" i="1"/>
  <c r="H752" i="1"/>
  <c r="I751" i="1"/>
  <c r="H751" i="1"/>
  <c r="I750" i="1"/>
  <c r="H750" i="1"/>
  <c r="I749" i="1"/>
  <c r="H749" i="1"/>
  <c r="I748" i="1"/>
  <c r="H748" i="1"/>
  <c r="I747" i="1"/>
  <c r="H747" i="1"/>
  <c r="I746" i="1"/>
  <c r="H746" i="1"/>
  <c r="I745" i="1"/>
  <c r="H745" i="1"/>
  <c r="I744" i="1"/>
  <c r="H744" i="1"/>
  <c r="I743" i="1"/>
  <c r="H743" i="1"/>
  <c r="I742" i="1"/>
  <c r="H742" i="1"/>
  <c r="I741" i="1"/>
  <c r="H741" i="1"/>
  <c r="I740" i="1"/>
  <c r="H740" i="1"/>
  <c r="I739" i="1"/>
  <c r="H739" i="1"/>
  <c r="I738" i="1"/>
  <c r="H738" i="1"/>
  <c r="I737" i="1"/>
  <c r="H737" i="1"/>
  <c r="I736" i="1"/>
  <c r="H736" i="1"/>
  <c r="I735" i="1"/>
  <c r="H735" i="1"/>
  <c r="I734" i="1"/>
  <c r="H734" i="1"/>
  <c r="I733" i="1"/>
  <c r="H733" i="1"/>
  <c r="I732" i="1"/>
  <c r="H732" i="1"/>
  <c r="I731" i="1"/>
  <c r="H731" i="1"/>
  <c r="I730" i="1"/>
  <c r="H730" i="1"/>
  <c r="I729" i="1"/>
  <c r="H729" i="1"/>
  <c r="I728" i="1"/>
  <c r="H728" i="1"/>
  <c r="I727" i="1"/>
  <c r="H727" i="1"/>
  <c r="I726" i="1"/>
  <c r="H726" i="1"/>
  <c r="I725" i="1"/>
  <c r="H725" i="1"/>
  <c r="I724" i="1"/>
  <c r="H724" i="1"/>
  <c r="I723" i="1"/>
  <c r="H723" i="1"/>
  <c r="I722" i="1"/>
  <c r="H722" i="1"/>
  <c r="I721" i="1"/>
  <c r="H721" i="1"/>
  <c r="I720" i="1"/>
  <c r="H720" i="1"/>
  <c r="I719" i="1"/>
  <c r="H719" i="1"/>
  <c r="I718" i="1"/>
  <c r="H718" i="1"/>
  <c r="I717" i="1"/>
  <c r="H717" i="1"/>
  <c r="I716" i="1"/>
  <c r="H716" i="1"/>
  <c r="I715" i="1"/>
  <c r="H715" i="1"/>
  <c r="I714" i="1"/>
  <c r="H714" i="1"/>
  <c r="I713" i="1"/>
  <c r="H713" i="1"/>
  <c r="I712" i="1"/>
  <c r="H712" i="1"/>
  <c r="I711" i="1"/>
  <c r="H711" i="1"/>
  <c r="I710" i="1"/>
  <c r="H710" i="1"/>
  <c r="I709" i="1"/>
  <c r="H709" i="1"/>
  <c r="I708" i="1"/>
  <c r="H708" i="1"/>
  <c r="I707" i="1"/>
  <c r="H707" i="1"/>
  <c r="I706" i="1"/>
  <c r="H706" i="1"/>
  <c r="I705" i="1"/>
  <c r="H705" i="1"/>
  <c r="I704" i="1"/>
  <c r="H704" i="1"/>
  <c r="I703" i="1"/>
  <c r="H703" i="1"/>
  <c r="I702" i="1"/>
  <c r="H702" i="1"/>
  <c r="I701" i="1"/>
  <c r="H701" i="1"/>
  <c r="I700" i="1"/>
  <c r="H700" i="1"/>
  <c r="I699" i="1"/>
  <c r="H699" i="1"/>
  <c r="I698" i="1"/>
  <c r="H698" i="1"/>
  <c r="I697" i="1"/>
  <c r="H697" i="1"/>
  <c r="I696" i="1"/>
  <c r="H696" i="1"/>
  <c r="I695" i="1"/>
  <c r="H695" i="1"/>
  <c r="I694" i="1"/>
  <c r="H694" i="1"/>
  <c r="I693" i="1"/>
  <c r="H693" i="1"/>
  <c r="I692" i="1"/>
  <c r="H692" i="1"/>
  <c r="I691" i="1"/>
  <c r="H691" i="1"/>
  <c r="I690" i="1"/>
  <c r="H690" i="1"/>
  <c r="I689" i="1"/>
  <c r="H689" i="1"/>
  <c r="I688" i="1"/>
  <c r="H688" i="1"/>
  <c r="I687" i="1"/>
  <c r="H687" i="1"/>
  <c r="I686" i="1"/>
  <c r="H686" i="1"/>
  <c r="I685" i="1"/>
  <c r="H685" i="1"/>
  <c r="I684" i="1"/>
  <c r="H684" i="1"/>
  <c r="I683" i="1"/>
  <c r="H683" i="1"/>
  <c r="I682" i="1"/>
  <c r="H682" i="1"/>
  <c r="I681" i="1"/>
  <c r="H681" i="1"/>
  <c r="I680" i="1"/>
  <c r="H680" i="1"/>
  <c r="I679" i="1"/>
  <c r="H679" i="1"/>
  <c r="I678" i="1"/>
  <c r="H678" i="1"/>
  <c r="I677" i="1"/>
  <c r="H677" i="1"/>
  <c r="I676" i="1"/>
  <c r="H676" i="1"/>
  <c r="I675" i="1"/>
  <c r="H675" i="1"/>
  <c r="I674" i="1"/>
  <c r="H674" i="1"/>
  <c r="I673" i="1"/>
  <c r="H673" i="1"/>
  <c r="I672" i="1"/>
  <c r="H672" i="1"/>
  <c r="I671" i="1"/>
  <c r="H671" i="1"/>
  <c r="I670" i="1"/>
  <c r="H670" i="1"/>
  <c r="I669" i="1"/>
  <c r="H669" i="1"/>
  <c r="I668" i="1"/>
  <c r="H668" i="1"/>
  <c r="I667" i="1"/>
  <c r="H667" i="1"/>
  <c r="I666" i="1"/>
  <c r="H666" i="1"/>
  <c r="I665" i="1"/>
  <c r="H665" i="1"/>
  <c r="I664" i="1"/>
  <c r="H664" i="1"/>
  <c r="I663" i="1"/>
  <c r="H663" i="1"/>
  <c r="I662" i="1"/>
  <c r="H662" i="1"/>
  <c r="I661" i="1"/>
  <c r="H661" i="1"/>
  <c r="I660" i="1"/>
  <c r="H660" i="1"/>
  <c r="I659" i="1"/>
  <c r="H659" i="1"/>
  <c r="I658" i="1"/>
  <c r="H658" i="1"/>
  <c r="I657" i="1"/>
  <c r="H657" i="1"/>
  <c r="I656" i="1"/>
  <c r="H656" i="1"/>
  <c r="I655" i="1"/>
  <c r="H655" i="1"/>
  <c r="I654" i="1"/>
  <c r="H654" i="1"/>
  <c r="I653" i="1"/>
  <c r="H653" i="1"/>
  <c r="I652" i="1"/>
  <c r="H652" i="1"/>
  <c r="I651" i="1"/>
  <c r="H651" i="1"/>
  <c r="I650" i="1"/>
  <c r="H650" i="1"/>
  <c r="I649" i="1"/>
  <c r="H649" i="1"/>
  <c r="I648" i="1"/>
  <c r="H648" i="1"/>
  <c r="I647" i="1"/>
  <c r="H647" i="1"/>
  <c r="I646" i="1"/>
  <c r="H646" i="1"/>
  <c r="I645" i="1"/>
  <c r="H645" i="1"/>
  <c r="I644" i="1"/>
  <c r="H644" i="1"/>
  <c r="I643" i="1"/>
  <c r="H643" i="1"/>
  <c r="I642" i="1"/>
  <c r="H642" i="1"/>
  <c r="I641" i="1"/>
  <c r="H641" i="1"/>
  <c r="I640" i="1"/>
  <c r="H640" i="1"/>
  <c r="I639" i="1"/>
  <c r="H639" i="1"/>
  <c r="I638" i="1"/>
  <c r="H638" i="1"/>
  <c r="I637" i="1"/>
  <c r="H637" i="1"/>
  <c r="I636" i="1"/>
  <c r="H636" i="1"/>
  <c r="I635" i="1"/>
  <c r="H635" i="1"/>
  <c r="I634" i="1"/>
  <c r="H634" i="1"/>
  <c r="I633" i="1"/>
  <c r="H633" i="1"/>
  <c r="I632" i="1"/>
  <c r="H632" i="1"/>
  <c r="I631" i="1"/>
  <c r="H631" i="1"/>
  <c r="I630" i="1"/>
  <c r="H630" i="1"/>
  <c r="I629" i="1"/>
  <c r="H629" i="1"/>
  <c r="I628" i="1"/>
  <c r="H628" i="1"/>
  <c r="I627" i="1"/>
  <c r="H627" i="1"/>
  <c r="I626" i="1"/>
  <c r="H626" i="1"/>
  <c r="I625" i="1"/>
  <c r="H625" i="1"/>
  <c r="I624" i="1"/>
  <c r="H624" i="1"/>
  <c r="I623" i="1"/>
  <c r="H623" i="1"/>
  <c r="I622" i="1"/>
  <c r="H622" i="1"/>
  <c r="I621" i="1"/>
  <c r="H621" i="1"/>
  <c r="I620" i="1"/>
  <c r="H620" i="1"/>
  <c r="I619" i="1"/>
  <c r="H619" i="1"/>
  <c r="I618" i="1"/>
  <c r="H618" i="1"/>
  <c r="I617" i="1"/>
  <c r="H617" i="1"/>
  <c r="I616" i="1"/>
  <c r="H616" i="1"/>
  <c r="I615" i="1"/>
  <c r="H615" i="1"/>
  <c r="I614" i="1"/>
  <c r="H614" i="1"/>
  <c r="I613" i="1"/>
  <c r="H613" i="1"/>
  <c r="I612" i="1"/>
  <c r="H612" i="1"/>
  <c r="I611" i="1"/>
  <c r="H611" i="1"/>
  <c r="I610" i="1"/>
  <c r="H610" i="1"/>
  <c r="I609" i="1"/>
  <c r="H609" i="1"/>
  <c r="I608" i="1"/>
  <c r="H608" i="1"/>
  <c r="I607" i="1"/>
  <c r="H607" i="1"/>
  <c r="I606" i="1"/>
  <c r="H606" i="1"/>
  <c r="I605" i="1"/>
  <c r="H605" i="1"/>
  <c r="I604" i="1"/>
  <c r="H604" i="1"/>
  <c r="I603" i="1"/>
  <c r="H603" i="1"/>
  <c r="I602" i="1"/>
  <c r="H602" i="1"/>
  <c r="I601" i="1"/>
  <c r="H601" i="1"/>
  <c r="I600" i="1"/>
  <c r="H600" i="1"/>
  <c r="I599" i="1"/>
  <c r="H599" i="1"/>
  <c r="I598" i="1"/>
  <c r="H598" i="1"/>
  <c r="I597" i="1"/>
  <c r="H597" i="1"/>
  <c r="I596" i="1"/>
  <c r="H596" i="1"/>
  <c r="I595" i="1"/>
  <c r="H595" i="1"/>
  <c r="I594" i="1"/>
  <c r="H594" i="1"/>
  <c r="I593" i="1"/>
  <c r="H593" i="1"/>
  <c r="I592" i="1"/>
  <c r="H592" i="1"/>
  <c r="I591" i="1"/>
  <c r="H591" i="1"/>
  <c r="I590" i="1"/>
  <c r="H590" i="1"/>
  <c r="I589" i="1"/>
  <c r="H589" i="1"/>
  <c r="I588" i="1"/>
  <c r="H588" i="1"/>
  <c r="I587" i="1"/>
  <c r="H587" i="1"/>
  <c r="I586" i="1"/>
  <c r="H586" i="1"/>
  <c r="I585" i="1"/>
  <c r="H585" i="1"/>
  <c r="I584" i="1"/>
  <c r="H584" i="1"/>
  <c r="I583" i="1"/>
  <c r="H583" i="1"/>
  <c r="I582" i="1"/>
  <c r="H582" i="1"/>
  <c r="I581" i="1"/>
  <c r="H581" i="1"/>
  <c r="I580" i="1"/>
  <c r="H580" i="1"/>
  <c r="I579" i="1"/>
  <c r="H579" i="1"/>
  <c r="I578" i="1"/>
  <c r="H578" i="1"/>
  <c r="I577" i="1"/>
  <c r="H577" i="1"/>
  <c r="I576" i="1"/>
  <c r="H576" i="1"/>
  <c r="I575" i="1"/>
  <c r="H575" i="1"/>
  <c r="I574" i="1"/>
  <c r="H574" i="1"/>
  <c r="I573" i="1"/>
  <c r="H573" i="1"/>
  <c r="I572" i="1"/>
  <c r="H572" i="1"/>
  <c r="I571" i="1"/>
  <c r="H571" i="1"/>
  <c r="I570" i="1"/>
  <c r="H570" i="1"/>
  <c r="I569" i="1"/>
  <c r="H569" i="1"/>
  <c r="I568" i="1"/>
  <c r="H568" i="1"/>
  <c r="I567" i="1"/>
  <c r="H567" i="1"/>
  <c r="I566" i="1"/>
  <c r="H566" i="1"/>
  <c r="I565" i="1"/>
  <c r="H565" i="1"/>
  <c r="I564" i="1"/>
  <c r="H564" i="1"/>
  <c r="I563" i="1"/>
  <c r="H563" i="1"/>
  <c r="I562" i="1"/>
  <c r="H562" i="1"/>
  <c r="I561" i="1"/>
  <c r="H561" i="1"/>
  <c r="I560" i="1"/>
  <c r="H560" i="1"/>
  <c r="I559" i="1"/>
  <c r="H559" i="1"/>
  <c r="I558" i="1"/>
  <c r="H558" i="1"/>
  <c r="I557" i="1"/>
  <c r="H557" i="1"/>
  <c r="I556" i="1"/>
  <c r="H556" i="1"/>
  <c r="I555" i="1"/>
  <c r="H555" i="1"/>
  <c r="I554" i="1"/>
  <c r="H554" i="1"/>
  <c r="I553" i="1"/>
  <c r="H553" i="1"/>
  <c r="I552" i="1"/>
  <c r="H552" i="1"/>
  <c r="I551" i="1"/>
  <c r="H551" i="1"/>
  <c r="I550" i="1"/>
  <c r="H550" i="1"/>
  <c r="I549" i="1"/>
  <c r="H549" i="1"/>
  <c r="I548" i="1"/>
  <c r="H548" i="1"/>
  <c r="I547" i="1"/>
  <c r="H547" i="1"/>
  <c r="I546" i="1"/>
  <c r="H546" i="1"/>
  <c r="I545" i="1"/>
  <c r="H545" i="1"/>
  <c r="I544" i="1"/>
  <c r="H544" i="1"/>
  <c r="I543" i="1"/>
  <c r="H543" i="1"/>
  <c r="I542" i="1"/>
  <c r="H542" i="1"/>
  <c r="I541" i="1"/>
  <c r="H541" i="1"/>
  <c r="I540" i="1"/>
  <c r="H540" i="1"/>
  <c r="I539" i="1"/>
  <c r="H539" i="1"/>
  <c r="I538" i="1"/>
  <c r="H538" i="1"/>
  <c r="I537" i="1"/>
  <c r="H537" i="1"/>
  <c r="I536" i="1"/>
  <c r="H536" i="1"/>
  <c r="I535" i="1"/>
  <c r="H535" i="1"/>
  <c r="I534" i="1"/>
  <c r="H534" i="1"/>
  <c r="I533" i="1"/>
  <c r="H533" i="1"/>
  <c r="I532" i="1"/>
  <c r="H532" i="1"/>
  <c r="I531" i="1"/>
  <c r="H531" i="1"/>
  <c r="I530" i="1"/>
  <c r="H530" i="1"/>
  <c r="I529" i="1"/>
  <c r="H529" i="1"/>
  <c r="I528" i="1"/>
  <c r="H528" i="1"/>
  <c r="I527" i="1"/>
  <c r="H527" i="1"/>
  <c r="I526" i="1"/>
  <c r="H526" i="1"/>
  <c r="I525" i="1"/>
  <c r="H525" i="1"/>
  <c r="I524" i="1"/>
  <c r="H524" i="1"/>
  <c r="I523" i="1"/>
  <c r="H523" i="1"/>
  <c r="I522" i="1"/>
  <c r="H522" i="1"/>
  <c r="I521" i="1"/>
  <c r="H521" i="1"/>
  <c r="I520" i="1"/>
  <c r="H520" i="1"/>
  <c r="I519" i="1"/>
  <c r="H519" i="1"/>
  <c r="I518" i="1"/>
  <c r="H518" i="1"/>
  <c r="I517" i="1"/>
  <c r="H517" i="1"/>
  <c r="I516" i="1"/>
  <c r="H516" i="1"/>
  <c r="I515" i="1"/>
  <c r="H515" i="1"/>
  <c r="I514" i="1"/>
  <c r="H514" i="1"/>
  <c r="I513" i="1"/>
  <c r="H513" i="1"/>
  <c r="I512" i="1"/>
  <c r="H512" i="1"/>
  <c r="I511" i="1"/>
  <c r="H511" i="1"/>
  <c r="I510" i="1"/>
  <c r="H510" i="1"/>
  <c r="I509" i="1"/>
  <c r="H509" i="1"/>
  <c r="I508" i="1"/>
  <c r="H508" i="1"/>
  <c r="I507" i="1"/>
  <c r="H507" i="1"/>
  <c r="I506" i="1"/>
  <c r="H506" i="1"/>
  <c r="I505" i="1"/>
  <c r="H505" i="1"/>
  <c r="I504" i="1"/>
  <c r="H504" i="1"/>
  <c r="I503" i="1"/>
  <c r="H503" i="1"/>
  <c r="I502" i="1"/>
  <c r="H502" i="1"/>
  <c r="I501" i="1"/>
  <c r="H501" i="1"/>
  <c r="I500" i="1"/>
  <c r="H500" i="1"/>
  <c r="I499" i="1"/>
  <c r="H499" i="1"/>
  <c r="I498" i="1"/>
  <c r="H498" i="1"/>
  <c r="I497" i="1"/>
  <c r="H497" i="1"/>
  <c r="I496" i="1"/>
  <c r="H496" i="1"/>
  <c r="I495" i="1"/>
  <c r="H495" i="1"/>
  <c r="I494" i="1"/>
  <c r="H494" i="1"/>
  <c r="I493" i="1"/>
  <c r="H493" i="1"/>
  <c r="I492" i="1"/>
  <c r="H492" i="1"/>
  <c r="I491" i="1"/>
  <c r="H491" i="1"/>
  <c r="I490" i="1"/>
  <c r="H490" i="1"/>
</calcChain>
</file>

<file path=xl/sharedStrings.xml><?xml version="1.0" encoding="utf-8"?>
<sst xmlns="http://schemas.openxmlformats.org/spreadsheetml/2006/main" count="88683" uniqueCount="1311">
  <si>
    <t>CITY OF FLORESVILLE</t>
  </si>
  <si>
    <t>FROM:</t>
  </si>
  <si>
    <t>CHECK REGISTERS</t>
  </si>
  <si>
    <t>TO:</t>
  </si>
  <si>
    <t>DATE</t>
  </si>
  <si>
    <t>TYPE</t>
  </si>
  <si>
    <t>NUMBER</t>
  </si>
  <si>
    <t>PAYEE</t>
  </si>
  <si>
    <t>AMOUNT</t>
  </si>
  <si>
    <t>FOLIO</t>
  </si>
  <si>
    <t>Invoice Type</t>
  </si>
  <si>
    <t>Invoice ID</t>
  </si>
  <si>
    <t>Invoice Desc</t>
  </si>
  <si>
    <t>CHECK</t>
  </si>
  <si>
    <t>EMPLOYEE NAME WITHHELD</t>
  </si>
  <si>
    <t>PAYROLL</t>
  </si>
  <si>
    <t>MISC.</t>
  </si>
  <si>
    <t>PAYROLL DIRECT DEPOSIT</t>
  </si>
  <si>
    <t>DRAFT</t>
  </si>
  <si>
    <t>INTERNAL REVENUE SERVICE (941)</t>
  </si>
  <si>
    <t>AP</t>
  </si>
  <si>
    <t>INVOICE</t>
  </si>
  <si>
    <t>NON-CHECK</t>
  </si>
  <si>
    <t>UNITED HEALTHCARE INSURANCE COMPANY</t>
  </si>
  <si>
    <t>CREDIT MEMO</t>
  </si>
  <si>
    <t>UNITED HEALTHCARE</t>
  </si>
  <si>
    <t>REGULAR</t>
  </si>
  <si>
    <t>RICARDO CARRASCO</t>
  </si>
  <si>
    <t>THE LAW OFFICES OF LOUIS T. ROSENBERG  P.C.</t>
  </si>
  <si>
    <t>M &amp; S ENGINEERING  LLC</t>
  </si>
  <si>
    <t>MARIA GONZALES</t>
  </si>
  <si>
    <t>THE LAW OFFICE OF TOM CALDWELL</t>
  </si>
  <si>
    <t>SHARON KERRIGAN</t>
  </si>
  <si>
    <t>DEBORAH KORCZYK</t>
  </si>
  <si>
    <t>SHIRLEY UNDERWOOD</t>
  </si>
  <si>
    <t>EDWINA VALVERDE</t>
  </si>
  <si>
    <t>GLORIA M. CANTU</t>
  </si>
  <si>
    <t>GERARD J. JIMENEZ</t>
  </si>
  <si>
    <t>CECELIA GONZALEZ-DIPPEL</t>
  </si>
  <si>
    <t>NICKLAS G. NISSEN</t>
  </si>
  <si>
    <t>DAVID R. JOHNS</t>
  </si>
  <si>
    <t>JACOB R SILVA</t>
  </si>
  <si>
    <t>MARGARET TEJADA</t>
  </si>
  <si>
    <t>ANDREA MARTINEZ</t>
  </si>
  <si>
    <t>MONICA VELIZ</t>
  </si>
  <si>
    <t>CONNIE MORENO</t>
  </si>
  <si>
    <t>HAYES ENGINEERING  INC</t>
  </si>
  <si>
    <t>HEARTLAND PARK &amp; RECREATION  LLC</t>
  </si>
  <si>
    <t>RANDY HOLLAR  LLC</t>
  </si>
  <si>
    <t>DORA LOPEZ</t>
  </si>
  <si>
    <t>CHRISTINA CANTU</t>
  </si>
  <si>
    <t>FLORESVILLE POLICE OFFICERS ASSOCIATION</t>
  </si>
  <si>
    <t>TEXAS CSDU</t>
  </si>
  <si>
    <t>PERFORMANT RECORVERY  INC.</t>
  </si>
  <si>
    <t>NATIONWIDE TRUST COMPANY  FSB</t>
  </si>
  <si>
    <t>LEVEL 4 CONSULTING</t>
  </si>
  <si>
    <t>GERALD LUBIANSKI ENTERPRISES  INC.</t>
  </si>
  <si>
    <t>F.E.L.P.S.</t>
  </si>
  <si>
    <t>DEASON ANIMAL HOSPITAL</t>
  </si>
  <si>
    <t>FERGUSON WATERWORKS - MUNICIPAL PIPE</t>
  </si>
  <si>
    <t>COCA-COLA ENTERPRISES</t>
  </si>
  <si>
    <t>TYLER TECHNOLOGIES  INC.</t>
  </si>
  <si>
    <t>PROFICIENT BENEFIT SOLUTIONS</t>
  </si>
  <si>
    <t>CINTAS CORPORATION</t>
  </si>
  <si>
    <t>DREWA DESIGNS  INC.</t>
  </si>
  <si>
    <t>SAM'S CLUB/SYNCHRONY BANK</t>
  </si>
  <si>
    <t>LOPEZ EXTERMINATING SERVICE  INC.</t>
  </si>
  <si>
    <t>ANYTIME FITNESS</t>
  </si>
  <si>
    <t>SOUTHWASTE DISPOSAL  LLP</t>
  </si>
  <si>
    <t>EWALD KUBOTA  INC.</t>
  </si>
  <si>
    <t>TEXAS WIRED MUSIC  INC.</t>
  </si>
  <si>
    <t>CINTAS CORPORATION #087</t>
  </si>
  <si>
    <t>WESCO RECEIVABLES CORP.</t>
  </si>
  <si>
    <t>TML INTERGOVERNMENTAL RISK POOL</t>
  </si>
  <si>
    <t>VERIZON WIRELESS</t>
  </si>
  <si>
    <t>TRACTOR SUPPLY CREDIT PLAN</t>
  </si>
  <si>
    <t>WILSON COUNTY TAX COLLECTOR</t>
  </si>
  <si>
    <t>DPC INDUSTRIES  INC.</t>
  </si>
  <si>
    <t>DENTON NAVARRO ROCHA BERNAL HYDE &amp; ZECH  P.C.</t>
  </si>
  <si>
    <t>FEDEX</t>
  </si>
  <si>
    <t>LVWIFI.COM</t>
  </si>
  <si>
    <t>CITY OF FLORESVILLE -PETTY CASH</t>
  </si>
  <si>
    <t>BASS COMPUTER  INC.</t>
  </si>
  <si>
    <t>APPRIVER</t>
  </si>
  <si>
    <t>STANTEC CONSULTING SERVICES INC.</t>
  </si>
  <si>
    <t>FRONTIER</t>
  </si>
  <si>
    <t>FROST BANK</t>
  </si>
  <si>
    <t>SAVVYTECH SECURITY HOUSTON INC</t>
  </si>
  <si>
    <t>CIOX HEALTH  LLC</t>
  </si>
  <si>
    <t>SCHOOLSin</t>
  </si>
  <si>
    <t>AFLAC</t>
  </si>
  <si>
    <t>VOID CHECK</t>
  </si>
  <si>
    <t>TEXAS MUNICIPAL RETIREMENT SYSTEM</t>
  </si>
  <si>
    <t>OTHER</t>
  </si>
  <si>
    <t>DENTAL SELECT</t>
  </si>
  <si>
    <t>LEGAL PLANS</t>
  </si>
  <si>
    <t>LEGALSHIELD</t>
  </si>
  <si>
    <t>HEALTH CARE SERVICE CORPORATION BCBSOF</t>
  </si>
  <si>
    <t>DEARBORN LIFE INSURANCE COMPANY</t>
  </si>
  <si>
    <t>VISION SERVICE PLAN</t>
  </si>
  <si>
    <t>DAVID GAONA</t>
  </si>
  <si>
    <t>PG  SHOCKS INC</t>
  </si>
  <si>
    <t>CENTERPOINT ENERGY ENTEX</t>
  </si>
  <si>
    <t>F. E. D. C.</t>
  </si>
  <si>
    <t>WILSON COUNTY NEWS</t>
  </si>
  <si>
    <t>LUBE WORKS</t>
  </si>
  <si>
    <t>OMNIBASE SERVICES OF TEXAS</t>
  </si>
  <si>
    <t>LEXISNEXIS RISK SOLUTIONS</t>
  </si>
  <si>
    <t>POOLSURE</t>
  </si>
  <si>
    <t>LEADSONLINE</t>
  </si>
  <si>
    <t>BUREAU VERITAS NORTH AMERICA  INC</t>
  </si>
  <si>
    <t>MARY SIVAK</t>
  </si>
  <si>
    <t>HEATHER BELCHER</t>
  </si>
  <si>
    <t>BEVERLY OLIVO</t>
  </si>
  <si>
    <t>STATE COMPTROLLER</t>
  </si>
  <si>
    <t>AUTOZONE</t>
  </si>
  <si>
    <t>KIEFER AQUATICS/THE LIFEGUARD STORE</t>
  </si>
  <si>
    <t>LINEBARGER GOGGAN BLAIR &amp; SAMPSON  LLP</t>
  </si>
  <si>
    <t>BRYAN AIR CONDITIONING &amp; HEATING</t>
  </si>
  <si>
    <t>PRUSKI'S TIRE SHOP  L.L.C.</t>
  </si>
  <si>
    <t>VERIZON BUSINESS</t>
  </si>
  <si>
    <t>FLORESVILLE ISD</t>
  </si>
  <si>
    <t>VILLA TIRES</t>
  </si>
  <si>
    <t>OFFICE DEPOT  INC.</t>
  </si>
  <si>
    <t>MCCOY'S CORPORATION</t>
  </si>
  <si>
    <t>INTREPID SURVEYING CORPORATION</t>
  </si>
  <si>
    <t>REPUBLIC SERVICES #859</t>
  </si>
  <si>
    <t>A &amp; B COMMUNICATIONS</t>
  </si>
  <si>
    <t>HELEN S. MARTINEZ</t>
  </si>
  <si>
    <t>AG-PRO COMPANIES/ NAME CHANGED TELLUS EQUIPMENT</t>
  </si>
  <si>
    <t>DOCUMATION</t>
  </si>
  <si>
    <t>R &amp; S TEXAS PARTS CO</t>
  </si>
  <si>
    <t>SPARKLETTS &amp; SIERRA SPRINGS</t>
  </si>
  <si>
    <t>WAUTERS ENGINEERING</t>
  </si>
  <si>
    <t>MOODY ENGINEERING GROUP INC.</t>
  </si>
  <si>
    <t>HENOCK CONSTRUCTION  LLC</t>
  </si>
  <si>
    <t>INEZ CLARICE TRINIDAD</t>
  </si>
  <si>
    <t>OMNIBUS-M  INC.D.B.A.</t>
  </si>
  <si>
    <t>CITY OF FLORESVILLE-FLEX SPENDING</t>
  </si>
  <si>
    <t>ANGEL FIRE &amp; SAFETY</t>
  </si>
  <si>
    <t>DEBRA J. DOCKERY</t>
  </si>
  <si>
    <t>WESTON SIGNS LLC</t>
  </si>
  <si>
    <t>SPORTS MEDIA</t>
  </si>
  <si>
    <t>ERGON ASPHALT AND EMULSIONS  INC.</t>
  </si>
  <si>
    <t>DARIA FOWLER</t>
  </si>
  <si>
    <t>ARROW-MAGNOLIA INTERNATIONAL INC</t>
  </si>
  <si>
    <t>LARRY SRALLA ELECTRIC</t>
  </si>
  <si>
    <t>SRALLA ELECTRIC</t>
  </si>
  <si>
    <t>TEXAS COMMISSION ON ENVIRONMENTAL QUALITY</t>
  </si>
  <si>
    <t>SEWER EQUIPMENT CO. OF AMERICA</t>
  </si>
  <si>
    <t>FLORESVILLE CHAMBER OF COMMERCE</t>
  </si>
  <si>
    <t>EUNICE GARZA</t>
  </si>
  <si>
    <t>81ST DISTRICT ATTORNEY</t>
  </si>
  <si>
    <t>FULLER COMPANY</t>
  </si>
  <si>
    <t>SUMMUS INDUSTRIES  INC.</t>
  </si>
  <si>
    <t>ATASCOSA COUNTY</t>
  </si>
  <si>
    <t>GLI DISTRIBUTING</t>
  </si>
  <si>
    <t>GLAZIERS</t>
  </si>
  <si>
    <t>GEORGE NICKLAS SILVA</t>
  </si>
  <si>
    <t>PHOTOGRAPHS BY JIM</t>
  </si>
  <si>
    <t>MONICA CORDOVA</t>
  </si>
  <si>
    <t>TWO SAWERS BBQ &amp; CATERING CO.</t>
  </si>
  <si>
    <t>FLORESVILLE ATHLETIC BOOSTER CLUB</t>
  </si>
  <si>
    <t>MINISTERIAL ALLIANCE</t>
  </si>
  <si>
    <t>A-Z COMMUNICATIONS</t>
  </si>
  <si>
    <t>WAL-MART BUSINESS/SYNCB</t>
  </si>
  <si>
    <t>PITNEY BOWES PURCHASE POWER</t>
  </si>
  <si>
    <t>DATA FLOW</t>
  </si>
  <si>
    <t>BEXAR COUNTY AUDITOR/ATTN:CRIME LAB INVOICE PYMT</t>
  </si>
  <si>
    <t>THE POLICE AND SHERIFFS PRESS</t>
  </si>
  <si>
    <t>BARRETT &amp; SONS  INC.</t>
  </si>
  <si>
    <t>PHESCO INTERNATIONAL  LLC</t>
  </si>
  <si>
    <t>CAPITAL BEARING &amp; HYDRAULICS</t>
  </si>
  <si>
    <t>BEXAR COUNTY SHERIFF'S OFFICE TRAINING ACADEMY</t>
  </si>
  <si>
    <t>TMHRA</t>
  </si>
  <si>
    <t>AMER TECHNOLOGY  INC.</t>
  </si>
  <si>
    <t>PEPPER-LAWSON WATERWORKS</t>
  </si>
  <si>
    <t>JAN HARTL  WILSON COUNTY TREASURER</t>
  </si>
  <si>
    <t>RICHARDSON BROS.  INC.</t>
  </si>
  <si>
    <t>ANCIRA FORD-MERCURY</t>
  </si>
  <si>
    <t>DITTMAR LUMBER CO.</t>
  </si>
  <si>
    <t>AT&amp;T</t>
  </si>
  <si>
    <t>DAVID INOUYE</t>
  </si>
  <si>
    <t>HERNANDO RODRIGUEZ</t>
  </si>
  <si>
    <t>POLLUTION CONTROL SERVICES</t>
  </si>
  <si>
    <t>SOUTHWAY FORD</t>
  </si>
  <si>
    <t>WILSON COUNTY APPRAISAL DISTRICT</t>
  </si>
  <si>
    <t>RIVER CITY HYDRAULICS  INC.</t>
  </si>
  <si>
    <t>ALAN HYDRAULICS &amp; MACHINERY CO. INC.</t>
  </si>
  <si>
    <t>ASCO</t>
  </si>
  <si>
    <t>NASASP</t>
  </si>
  <si>
    <t>MUNISERVICES  LLC</t>
  </si>
  <si>
    <t>DE LAGE LANDEN PUBLIC FINANCE</t>
  </si>
  <si>
    <t>MIDWAY AUTOMOTIVE</t>
  </si>
  <si>
    <t>GALLS  LLC-D.B.A. STERLING'S UNIFORMS</t>
  </si>
  <si>
    <t>ARISTA INFORMATION SYSTEMS  INC.</t>
  </si>
  <si>
    <t>RF SPECIALTIES OF TX</t>
  </si>
  <si>
    <t>WHOLESALE CHEMICAL COMPANY  INC.</t>
  </si>
  <si>
    <t>ABELINA MURILLO</t>
  </si>
  <si>
    <t>THE UPS STORE</t>
  </si>
  <si>
    <t>MARIO AVILES</t>
  </si>
  <si>
    <t>WILSON COUNTY HARDWARE</t>
  </si>
  <si>
    <t>VULCAN CONSTRUCTION MATERIALS  LP</t>
  </si>
  <si>
    <t>USA BLUEBOOK</t>
  </si>
  <si>
    <t>PROCESS CONTROL CALIBRATION</t>
  </si>
  <si>
    <t>SILVER EAGLE DISTRIBUTORS</t>
  </si>
  <si>
    <t>ADVANCED WATER WELL TECHNOLOGIES  LLC</t>
  </si>
  <si>
    <t>MAD DESIGNS SPECIALTY PRODUCTS</t>
  </si>
  <si>
    <t>CARLOS ORTIZ</t>
  </si>
  <si>
    <t>XYLEM DEWATERING SOLUTIONS  INC.</t>
  </si>
  <si>
    <t>DAVID PEOPLES</t>
  </si>
  <si>
    <t>PAUL'S TROPHY &amp; ENGRAVING</t>
  </si>
  <si>
    <t>AACOG</t>
  </si>
  <si>
    <t>RIVER BEND COMMUNITY DEVELOPMENT CORPORATION</t>
  </si>
  <si>
    <t>DIXIE FLAG MANUFACTURING COMPANY</t>
  </si>
  <si>
    <t>ODESSA PUMPS &amp; EQUIPMENT</t>
  </si>
  <si>
    <t>SILSBEE FORD  INC.</t>
  </si>
  <si>
    <t>CHILDRENS HOSPITAL OF SAN ANTONO</t>
  </si>
  <si>
    <t>RICK'S TOWING SERVICE</t>
  </si>
  <si>
    <t>CCB COMMERCIAL CONTRACTING  LLC</t>
  </si>
  <si>
    <t>PERFECTION PAINTING &amp; DRYWALL</t>
  </si>
  <si>
    <t>TML MULTISTATE INTERGOVERNMENTAL</t>
  </si>
  <si>
    <t>ST. MARY'S UNIVERSITY POLICE DEPARTMENT</t>
  </si>
  <si>
    <t>JUAN ORTIZ</t>
  </si>
  <si>
    <t>RIVERWALK ROOFING AND CONSTRUCTION</t>
  </si>
  <si>
    <t>BENNIE L. BAIN</t>
  </si>
  <si>
    <t>WIATREK'S SERVICES</t>
  </si>
  <si>
    <t>GAVINO CANTU</t>
  </si>
  <si>
    <t>GAVINO CANTU            VOIDED</t>
  </si>
  <si>
    <t>JOE XIMENEZ</t>
  </si>
  <si>
    <t>ELODIA RAMOS</t>
  </si>
  <si>
    <t>ROBERT BARRERA</t>
  </si>
  <si>
    <t>MARK VELASQUEZ</t>
  </si>
  <si>
    <t>STEFANO CANTU</t>
  </si>
  <si>
    <t>ALAMO DISTRIBUTION  LLC</t>
  </si>
  <si>
    <t>WILSON COUNTY AUDITOR</t>
  </si>
  <si>
    <t>TIFCO INDUSTRIES  INC.</t>
  </si>
  <si>
    <t>UNITED RENTALS (NORTH AMERICA)  INC.</t>
  </si>
  <si>
    <t>AA SOUTH TEXAS BACKFLOW &amp; IRRIGATION</t>
  </si>
  <si>
    <t>R &amp; A ESPINOZA MASARONY</t>
  </si>
  <si>
    <t>NARDIS PUBLIC SAFETY</t>
  </si>
  <si>
    <t>LANCE FULLER</t>
  </si>
  <si>
    <t>CALLIE VALENTINE</t>
  </si>
  <si>
    <t>IRMA ESPINOZA</t>
  </si>
  <si>
    <t>THOMSON REUTERS - WEST</t>
  </si>
  <si>
    <t>LJ PLUMBING</t>
  </si>
  <si>
    <t>JAY TRINIDAD</t>
  </si>
  <si>
    <t>MARIO ALBERTO AVILES</t>
  </si>
  <si>
    <t>PITNEY BOWES</t>
  </si>
  <si>
    <t>PRUSKI'S SERVICE CENTER  INC.</t>
  </si>
  <si>
    <t>MATERA PAPER CO  LTD.</t>
  </si>
  <si>
    <t>FELUX METAL WORKS &amp; SUPPLY  L.P.</t>
  </si>
  <si>
    <t>RAM II GENERAL CONTRACTOR INC.</t>
  </si>
  <si>
    <t>TEXAS MUNICIPAL COURT - JUSTICE COURT NEWS</t>
  </si>
  <si>
    <t>TEXAS WORKFORCE COMMISSION</t>
  </si>
  <si>
    <t>ADT SECURITY SERVICES</t>
  </si>
  <si>
    <t>CITIZENS 1ST BANK</t>
  </si>
  <si>
    <t>RAIN FOR RENT BRANCH 1089</t>
  </si>
  <si>
    <t>JOHNS OIL COMPANY</t>
  </si>
  <si>
    <t>KMAC CONSTRUCTION SERVICES INC</t>
  </si>
  <si>
    <t>TEMPLE DISPLAY LTD</t>
  </si>
  <si>
    <t>AEHS INC</t>
  </si>
  <si>
    <t>GRANTWORKS INC</t>
  </si>
  <si>
    <t>DANIEL M TEJADA</t>
  </si>
  <si>
    <t>ERS - TEXAS SOCIAL SECURITY PROGRAM</t>
  </si>
  <si>
    <t>THE GOODYEAR TIRE &amp; RUBBER COMPANY</t>
  </si>
  <si>
    <t>BOKF  NA</t>
  </si>
  <si>
    <t>BOND PAYMENT INTEREST</t>
  </si>
  <si>
    <t>LIGHT TOWER RENTALS LLC</t>
  </si>
  <si>
    <t>AG EDUCATION FUND</t>
  </si>
  <si>
    <t>JAMES  KIRA &amp; JOHN</t>
  </si>
  <si>
    <t>SARAH SLAVIN</t>
  </si>
  <si>
    <t>ROMCO EQUIPMENT CO.</t>
  </si>
  <si>
    <t>REPUBLIC SERVICES TESSMAN ROAD LANDFILL-5119</t>
  </si>
  <si>
    <t>C.E. LITTLEFIELD AUTO SALES</t>
  </si>
  <si>
    <t>CORTEZ LIQUID WASTE SERVICES  INC</t>
  </si>
  <si>
    <t>DAILEY-WELLS COMMUNICATIONS</t>
  </si>
  <si>
    <t>HOWL USA LLC</t>
  </si>
  <si>
    <t>THE PRODUCTIVITY CENTER</t>
  </si>
  <si>
    <t>HOELSCHER'S INC.</t>
  </si>
  <si>
    <t>LOWE'S</t>
  </si>
  <si>
    <t>J.A.M. AUTOMOTIVE</t>
  </si>
  <si>
    <t>LANGFORD COMMUNITY MANAGEMENT SERVICES</t>
  </si>
  <si>
    <t>WILSON COUNTY EMS</t>
  </si>
  <si>
    <t>WATCHGUARD VIDEO</t>
  </si>
  <si>
    <t>VICTOR O. SCHINNERER &amp; CO. INC.</t>
  </si>
  <si>
    <t>NORTON ROSE FULBRIGHT US LLP</t>
  </si>
  <si>
    <t>INDUSTRAIL ASPHALT</t>
  </si>
  <si>
    <t>AXON ENTERPRISES INC</t>
  </si>
  <si>
    <t>FLYER VIEW GROUP LLC</t>
  </si>
  <si>
    <t>TEXAS RURAL WATER ASSOCIATION</t>
  </si>
  <si>
    <t>WILSON COUNTY HISTORICAL SOCIETY</t>
  </si>
  <si>
    <t>MELINDA RILEY</t>
  </si>
  <si>
    <t>CASTILLON CONSTRUCTION INC</t>
  </si>
  <si>
    <t>DAVID FARIAS</t>
  </si>
  <si>
    <t>VINCENT SERNA JR</t>
  </si>
  <si>
    <t>LA SOMBRA DE TONY GUERRERO</t>
  </si>
  <si>
    <t>TRUE GRIT TALENT AGENCY LLC</t>
  </si>
  <si>
    <t>HILL PEST CONTROL COMPANY</t>
  </si>
  <si>
    <t>CHEZARE PEREZ</t>
  </si>
  <si>
    <t>BRIANNA PEREZ</t>
  </si>
  <si>
    <t>GRANDE TRUCK CENTER</t>
  </si>
  <si>
    <t>GRAINGER</t>
  </si>
  <si>
    <t>APPLIED CONCEPTS  INC.</t>
  </si>
  <si>
    <t>ASCAP</t>
  </si>
  <si>
    <t>CHEM EQUIPMENT</t>
  </si>
  <si>
    <t>JORGE LOPEZ</t>
  </si>
  <si>
    <t>LOFTIN EQUIPMENT CO.</t>
  </si>
  <si>
    <t>JOHNNY VILLARREAL</t>
  </si>
  <si>
    <t>POLLARD WATER</t>
  </si>
  <si>
    <t>CDW GOVERNMENT</t>
  </si>
  <si>
    <t>TIB - The Independent BankersBank</t>
  </si>
  <si>
    <t>FULLER'S ALAMO SAFE AND LOCK  INC.</t>
  </si>
  <si>
    <t>BB &amp; T GOVERNMENTAL FINANCE</t>
  </si>
  <si>
    <t>GOLDEN OPENINGS</t>
  </si>
  <si>
    <t>PRIME TIME ADVERTISING</t>
  </si>
  <si>
    <t>BANK OF AMERICA NA</t>
  </si>
  <si>
    <t>HUNTER SAENZ</t>
  </si>
  <si>
    <t>HUNTER SAENZ            VOIDED</t>
  </si>
  <si>
    <t>PRUDENTIAL INSURANCE COMPANY</t>
  </si>
  <si>
    <t>MAGIC IN THE SKY  LLC</t>
  </si>
  <si>
    <t>TEXAS DOWNTOWN ASSOCIATION</t>
  </si>
  <si>
    <t>AIR METHODS CORPORATION</t>
  </si>
  <si>
    <t>POLLOK SELF STORAGE LLC</t>
  </si>
  <si>
    <t>ELITE SPORTING &amp; ENTERTIANMENT</t>
  </si>
  <si>
    <t>DSHS CENTRAL LAB MC2004</t>
  </si>
  <si>
    <t>MATHESON TRI-GAS INC</t>
  </si>
  <si>
    <t>MOY'S WATER WELL SERVICES</t>
  </si>
  <si>
    <t>KOLOGIK</t>
  </si>
  <si>
    <t>DEBIT MEMO</t>
  </si>
  <si>
    <t>INTERNAL REVENUE SERVICE</t>
  </si>
  <si>
    <t>RENE SILVA</t>
  </si>
  <si>
    <t>JESSE CASTRO</t>
  </si>
  <si>
    <t>MONICA ALMAGUER</t>
  </si>
  <si>
    <t>MARIO R ORTIZ</t>
  </si>
  <si>
    <t>DEVIN KEEN</t>
  </si>
  <si>
    <t>BILLY HERRERA</t>
  </si>
  <si>
    <t>JOSHUA  J  OLIVAREZ</t>
  </si>
  <si>
    <t>ERIC  G  JONES</t>
  </si>
  <si>
    <t>SOUTHWEST PUBLIC SAFETY</t>
  </si>
  <si>
    <t>O'REILLY AUTO PARTS</t>
  </si>
  <si>
    <t>JUANITA MONTOYA</t>
  </si>
  <si>
    <t>STOCKDALE MONUMENT COMPANY</t>
  </si>
  <si>
    <t>FLORESVILLE PEANUT FESTIVAL ASSOCIATION</t>
  </si>
  <si>
    <t>ALLISON RENAE LOPEZ</t>
  </si>
  <si>
    <t>MICHAEL ISAAC MARTINEZ</t>
  </si>
  <si>
    <t>SYLVIA RODRIGUEZ</t>
  </si>
  <si>
    <t>JIMMY JOHN RAMIREZ</t>
  </si>
  <si>
    <t>ANGELICA ECHAVARRIA</t>
  </si>
  <si>
    <t>AAA COOPER TRANSPORTATION</t>
  </si>
  <si>
    <t>RICK ALFARO</t>
  </si>
  <si>
    <t>H &amp; H OIL</t>
  </si>
  <si>
    <t>SKELTON FIRE ALARM</t>
  </si>
  <si>
    <t>AVEX HOMES</t>
  </si>
  <si>
    <t>AVALONPARK RB VILLAG</t>
  </si>
  <si>
    <t>AVEX HOMES LLC</t>
  </si>
  <si>
    <t>AVEX  HOMES TEXAS</t>
  </si>
  <si>
    <t>AVEX HOMES OF TEXAS</t>
  </si>
  <si>
    <t>HERNANDEZ  REYNALDO</t>
  </si>
  <si>
    <t>DEAN  KYLE</t>
  </si>
  <si>
    <t>FIRST AMERICAN STORA</t>
  </si>
  <si>
    <t>FINCK  HW</t>
  </si>
  <si>
    <t>FLORESVILLE STORAGE</t>
  </si>
  <si>
    <t>FLORESVILLE LIONS CLUB</t>
  </si>
  <si>
    <t>RAMIREZ PARTY RENTAL</t>
  </si>
  <si>
    <t>KIDDIE EXPRESS TRAIN  LLC</t>
  </si>
  <si>
    <t>COMPTROLLER OF PUBLIC ACCOUNTS</t>
  </si>
  <si>
    <t>MARLENE SMITH</t>
  </si>
  <si>
    <t>FLORESVILLE FIRE DEPARTMENT</t>
  </si>
  <si>
    <t>MUNICODE</t>
  </si>
  <si>
    <t>WILSON AREA CHILDREN'S FOUNDATION</t>
  </si>
  <si>
    <t>ELEGUN ELECTRIC MOTOR SERVICE</t>
  </si>
  <si>
    <t>MICHELLE DOLBERRY</t>
  </si>
  <si>
    <t>CASARES SAND PIT &amp; TRUCKING</t>
  </si>
  <si>
    <t>RICHARD BLACKSTOCK</t>
  </si>
  <si>
    <t>MELVIN ALBERT</t>
  </si>
  <si>
    <t>CARRIE STAVINOHA</t>
  </si>
  <si>
    <t>SOPHIA RODRIGUEZ</t>
  </si>
  <si>
    <t>APRIL ZUNIGA</t>
  </si>
  <si>
    <t>TEXDOOR  LTD.</t>
  </si>
  <si>
    <t>ABIP CERTIFIED PUBLIC ACCOUNTANTS AND ADVISORS</t>
  </si>
  <si>
    <t>LISA TREJO</t>
  </si>
  <si>
    <t>ALBERT'S SMALL ENGINE PARTS</t>
  </si>
  <si>
    <t>ROBERTA BARNES</t>
  </si>
  <si>
    <t>TURNAGE &amp; ASSOCIATES</t>
  </si>
  <si>
    <t>STILLWATER MACHINE  LLC</t>
  </si>
  <si>
    <t>HENRIETTA TURNER</t>
  </si>
  <si>
    <t>BARCO PUMP</t>
  </si>
  <si>
    <t>TML ADMINISTRATIVE SERVICES</t>
  </si>
  <si>
    <t>CAVAZOS VENTURES LLC</t>
  </si>
  <si>
    <t>GALLS  LLC.</t>
  </si>
  <si>
    <t>ASHLEY PACHECO</t>
  </si>
  <si>
    <t>FIRST BAPTIST CHURCH</t>
  </si>
  <si>
    <t>RACHEL MOLINA</t>
  </si>
  <si>
    <t>U.S. UNDERWATER SERVICES  LLC</t>
  </si>
  <si>
    <t>ULINE</t>
  </si>
  <si>
    <t>B &amp; S CONTRACTING SERVICES LLC</t>
  </si>
  <si>
    <t>ROGUE DESIGNS</t>
  </si>
  <si>
    <t>INTERCEPTOR TECHNOLOGY GROUP LLC</t>
  </si>
  <si>
    <t>GOMEZ  ALICE</t>
  </si>
  <si>
    <t>NORA CADENA</t>
  </si>
  <si>
    <t>WILSON COUNTY PUBLIC LIBRARY</t>
  </si>
  <si>
    <t>BETTY LOU SCHROEDER  PH.D.</t>
  </si>
  <si>
    <t>ARCADIA MOVIES LLC</t>
  </si>
  <si>
    <t>WILSON COUNTY ELITE BALLERZ</t>
  </si>
  <si>
    <t>ALL CITY YOUTH PROGRAMS</t>
  </si>
  <si>
    <t>WILSON COUNTY BALLET SUMMER PROGRAM</t>
  </si>
  <si>
    <t>WASTEQUIP  LLC</t>
  </si>
  <si>
    <t>SAFREEDOMSAVER.COM</t>
  </si>
  <si>
    <t>WILSON COUNTY ELITE FOOTBALL</t>
  </si>
  <si>
    <t>HEAT SAFETY EQUIPMENT</t>
  </si>
  <si>
    <t>OBR METAL BUILDINGS &amp; COMPONENTS</t>
  </si>
  <si>
    <t>SUNNYSIDE 4H</t>
  </si>
  <si>
    <t>SUNNYSIDE 4H            VOIDED</t>
  </si>
  <si>
    <t>AHC PHYSICIANS INC.</t>
  </si>
  <si>
    <t>TEXDOOR LTD</t>
  </si>
  <si>
    <t>DIAMOND R CONTRACTING</t>
  </si>
  <si>
    <t>REYES CUSTOM CABINETS &amp; ACCESSORIES</t>
  </si>
  <si>
    <t>ERIC CORTINA</t>
  </si>
  <si>
    <t>GEORGE ORTIZ</t>
  </si>
  <si>
    <t>TERESA A. PENA-RODRIGUEZ</t>
  </si>
  <si>
    <t>KAYLA PEARSON</t>
  </si>
  <si>
    <t>SAN ANTONIO &amp; AUSTIN WEDDING GUIDE</t>
  </si>
  <si>
    <t>AMERICAN WATER WORKS ASSOCIATION</t>
  </si>
  <si>
    <t>MICHAEL CANDELA JR</t>
  </si>
  <si>
    <t>SUN BADGE CO.</t>
  </si>
  <si>
    <t>GT DISTRIBUTORS  INC.</t>
  </si>
  <si>
    <t>Alexandria Rene Palacios</t>
  </si>
  <si>
    <t>ANNETTE BLACKSTOCK</t>
  </si>
  <si>
    <t>MARGARET TALAMANTEZ</t>
  </si>
  <si>
    <t>GILBERT RODRIGUEZ</t>
  </si>
  <si>
    <t>ANDRES IBARRA</t>
  </si>
  <si>
    <t>GERARDO MARTINEZ</t>
  </si>
  <si>
    <t>INEZ GUERRERO</t>
  </si>
  <si>
    <t>RENEE PACHECO</t>
  </si>
  <si>
    <t>ROXANNE CASTANON</t>
  </si>
  <si>
    <t>UNIVISION RECEIVABLES CO LLC</t>
  </si>
  <si>
    <t>WILSON COUNTY EDUCATION FOUNDATION  INC.</t>
  </si>
  <si>
    <t>ON Y. Theus</t>
  </si>
  <si>
    <t>JOHNNIE R. GOMEZ</t>
  </si>
  <si>
    <t>EVERGREEN UNDERGROUND WATER CONSERVATION DISTRICT</t>
  </si>
  <si>
    <t>NATIONAL CONSTRUCTION RENTALS INC.</t>
  </si>
  <si>
    <t>3 QUARTER MOON PRODUCTIONS  LLC</t>
  </si>
  <si>
    <t>RIOJAS TURF CARE  LLC</t>
  </si>
  <si>
    <t>LA FAMILIA ENTERPRISES</t>
  </si>
  <si>
    <t>JASON MITCHELL</t>
  </si>
  <si>
    <t>ISAIAH BARRIENTEZ</t>
  </si>
  <si>
    <t>VICTOR FAVELLA</t>
  </si>
  <si>
    <t>KEVIN SWINEHART</t>
  </si>
  <si>
    <t>GOLDEN WEST PACKAGING</t>
  </si>
  <si>
    <t>FOUR STAR ENTERTAINMENT</t>
  </si>
  <si>
    <t>CYNTHIA GARZA</t>
  </si>
  <si>
    <t>DESIREE PEREZ</t>
  </si>
  <si>
    <t>LARRY HERNANDEZ</t>
  </si>
  <si>
    <t>IRIS VANESSA BARRERA</t>
  </si>
  <si>
    <t>GABRIELLE BARRERA</t>
  </si>
  <si>
    <t>JEREMY L PEREZ</t>
  </si>
  <si>
    <t>MELISSA SENDEJO</t>
  </si>
  <si>
    <t>CARMEN R. SALDANA</t>
  </si>
  <si>
    <t>KRISTIE GONZALES</t>
  </si>
  <si>
    <t>BARBARA ANN CANTU</t>
  </si>
  <si>
    <t>CHRISTOPHER MICHAEL PEREZ</t>
  </si>
  <si>
    <t>BETTY VALADEZ</t>
  </si>
  <si>
    <t>THOMAS TRAVIESO</t>
  </si>
  <si>
    <t>LAUREL SOUTHERN</t>
  </si>
  <si>
    <t>ALEXIS RIOJAS</t>
  </si>
  <si>
    <t>CECELIA CASTILLO</t>
  </si>
  <si>
    <t>AARON RIOS</t>
  </si>
  <si>
    <t>MUNOZ PUBLIC RELATIONS  LLC</t>
  </si>
  <si>
    <t>LORENZO HERRERA</t>
  </si>
  <si>
    <t>ALYSSA MONTOYA</t>
  </si>
  <si>
    <t>JOHNNY'S PAINT &amp; BODY</t>
  </si>
  <si>
    <t>WILSON COUNTY CLERK  EVA S. MARTINEZ</t>
  </si>
  <si>
    <t>DIEBOLD</t>
  </si>
  <si>
    <t>SAFELANE TRAFFIC SUPPLY</t>
  </si>
  <si>
    <t>PFEIL'S HOME &amp; GARDEN MATERIALS  INC.</t>
  </si>
  <si>
    <t>Future Electric</t>
  </si>
  <si>
    <t>BROTHER MOBILE SOLUTIONS  INC.</t>
  </si>
  <si>
    <t>QUALITY SERVICES TOWING &amp; RECOVERY</t>
  </si>
  <si>
    <t>BALEN CHAVEZ</t>
  </si>
  <si>
    <t>JESSE EVINS</t>
  </si>
  <si>
    <t>SA BIKE WORLD LP</t>
  </si>
  <si>
    <t>CLEAN SWIMMING POOL SERVICES</t>
  </si>
  <si>
    <t>4-STAR HOSE &amp; SUPPLY  INC</t>
  </si>
  <si>
    <t>EVA MARTINEZ</t>
  </si>
  <si>
    <t>BETTY ROSAS</t>
  </si>
  <si>
    <t>TEXAS DEPARTMENT OF CRIMINAL JUSTICE</t>
  </si>
  <si>
    <t>VICTORY INLAY MEMORIAL BENCHES</t>
  </si>
  <si>
    <t>M &amp; C Fonseca Construction Co. Inc.</t>
  </si>
  <si>
    <t>SOUTHPOINT RENTALS  LLC</t>
  </si>
  <si>
    <t>KIRBY BUILT QUALITY PRODUCTS</t>
  </si>
  <si>
    <t>GREGORY MERKERT</t>
  </si>
  <si>
    <t>MANOLO VALENTE</t>
  </si>
  <si>
    <t>CONSOLATA HEALTHCARE FOUNDATION</t>
  </si>
  <si>
    <t>FLORESVILLE CHAPTER #271</t>
  </si>
  <si>
    <t>SIRCHIE</t>
  </si>
  <si>
    <t>GFOAT</t>
  </si>
  <si>
    <t>CAMINO REAL COMMUNITYMHMR CENTER</t>
  </si>
  <si>
    <t>BOND PAYMENT</t>
  </si>
  <si>
    <t>RUTKOWSKI ENTERPRISE  LLC BLUE BONNET CHEM DRY</t>
  </si>
  <si>
    <t>MSR PROMO INC. DBA SILKLETTER</t>
  </si>
  <si>
    <t>TRANE U.S. INC.</t>
  </si>
  <si>
    <t>ERIKA RICO</t>
  </si>
  <si>
    <t>LIGHT BULB DEPOT 14 LLC</t>
  </si>
  <si>
    <t>LAS FENIX MUSIC GROUP LLC</t>
  </si>
  <si>
    <t>REALITY DEFENSE INC</t>
  </si>
  <si>
    <t>ANALISA CARRION</t>
  </si>
  <si>
    <t>ASPEN ROBLES</t>
  </si>
  <si>
    <t>THE WILSON BOHANNAN PADLOCK COMPANY</t>
  </si>
  <si>
    <t>TEXAS LOCK AND DOOR CLOSERS  INC.</t>
  </si>
  <si>
    <t>POSITIVE PROMOTIONS  INC.</t>
  </si>
  <si>
    <t>ANIMAL HEALTH INTERNATIONAL  INC.</t>
  </si>
  <si>
    <t>NATIONAL PEN CO. LLC</t>
  </si>
  <si>
    <t>MASTERS ELECTRICAL SERVICES  LTD.</t>
  </si>
  <si>
    <t>ECONO SIGNS &amp; BARRICADE  LLC</t>
  </si>
  <si>
    <t>S.O.L Gun Works  LLC</t>
  </si>
  <si>
    <t>CBT PARTNERS LTD-JANI KING OF SAN ANTONIO</t>
  </si>
  <si>
    <t>CRAIG ALLEN KRAUSE</t>
  </si>
  <si>
    <t>OZ MONUMENTS INC</t>
  </si>
  <si>
    <t>SLP CONSTRUCTORS</t>
  </si>
  <si>
    <t>ISP SUPPLIES</t>
  </si>
  <si>
    <t>BRONSON LIVINGSTON-STEPHENSON</t>
  </si>
  <si>
    <t>TEXAS MEDCLINIC</t>
  </si>
  <si>
    <t>CLAUDIA GARZA</t>
  </si>
  <si>
    <t>SAN ANTONIO RIVER AUTHORITY</t>
  </si>
  <si>
    <t>RUBI MUNOZ</t>
  </si>
  <si>
    <t>ZIPLINK INTERNET</t>
  </si>
  <si>
    <t>ROBERT MARTINEZ</t>
  </si>
  <si>
    <t>PROSTAR SERVICES INC</t>
  </si>
  <si>
    <t>A &amp; J PENA</t>
  </si>
  <si>
    <t>REFUND</t>
  </si>
  <si>
    <t>REFUND                  VOIDED</t>
  </si>
  <si>
    <t>GOVERNMENT FINANCE OFFICERS ASSOSCIATION OF TEXAS</t>
  </si>
  <si>
    <t>ASSOCIATION OF HISPANIC MUNICIPAL OFFICIALS</t>
  </si>
  <si>
    <t>CINTAS FIRST AID AND SAFETY / CORPORATION NO.2</t>
  </si>
  <si>
    <t>OLIVO ROOFING</t>
  </si>
  <si>
    <t>COCA-COLA SOUTHWEST BEVERAGES LLC</t>
  </si>
  <si>
    <t>ELISA OVIEDO GARZA</t>
  </si>
  <si>
    <t>MATILDA A NEAVES</t>
  </si>
  <si>
    <t>YVONNE G GARCIA</t>
  </si>
  <si>
    <t>TEXAS STATE UNIVERSITY</t>
  </si>
  <si>
    <t>TAMMY TOCK</t>
  </si>
  <si>
    <t>RACHAEL SALINAS</t>
  </si>
  <si>
    <t>STACY JARZOMBEK</t>
  </si>
  <si>
    <t>KIMBERLY GARCIA</t>
  </si>
  <si>
    <t>CASSANDRA PEREZ</t>
  </si>
  <si>
    <t>KRISTIN MORROW</t>
  </si>
  <si>
    <t>LISA FLETCHER</t>
  </si>
  <si>
    <t>DONICA MORSON</t>
  </si>
  <si>
    <t>BLAKE BURK</t>
  </si>
  <si>
    <t>MICHELLE STEPHEN</t>
  </si>
  <si>
    <t>THE UPS STORE #5178</t>
  </si>
  <si>
    <t>G.E.M. MATERIALS INC.</t>
  </si>
  <si>
    <t>FLEET PRIDE  INC.</t>
  </si>
  <si>
    <t>TEXAS WIRED MUSIC</t>
  </si>
  <si>
    <t>PERRY HYDEN</t>
  </si>
  <si>
    <t>ALICE SANCHEZ</t>
  </si>
  <si>
    <t>TOTAL</t>
  </si>
  <si>
    <t>MARISSA XIMENEZ</t>
  </si>
  <si>
    <t>PAGE'S PRINTING</t>
  </si>
  <si>
    <t>KINLOCH EQUIPMENT &amp; SUPPLY  INC.</t>
  </si>
  <si>
    <t>HART INTERCIVIC</t>
  </si>
  <si>
    <t>FONDA KELLNER</t>
  </si>
  <si>
    <t>CRAFCO  INC.</t>
  </si>
  <si>
    <t>WELLS FARGO -FEDC PAYMENT</t>
  </si>
  <si>
    <t>DENISE AROCHA</t>
  </si>
  <si>
    <t>JOHN A. LAZOVICH</t>
  </si>
  <si>
    <t>FREEDOM MOWING  LLC</t>
  </si>
  <si>
    <t>TIRE HUB</t>
  </si>
  <si>
    <t>COOPER EQUIPMENT COMPANY</t>
  </si>
  <si>
    <t>DOMINION VOTING</t>
  </si>
  <si>
    <t>BOND INTEREST PAYMENT</t>
  </si>
  <si>
    <t>DESIGNS BY DINA</t>
  </si>
  <si>
    <t>CHRISTOPHER CARTER</t>
  </si>
  <si>
    <t>ERICA LOPEZ</t>
  </si>
  <si>
    <t>ROGER CANTU</t>
  </si>
  <si>
    <t>BEXAR COUNTY CLERK</t>
  </si>
  <si>
    <t>TCEQ - OCCUPATIONAL LICENSING</t>
  </si>
  <si>
    <t>LISA SOUTHERN</t>
  </si>
  <si>
    <t>NICOLE TRINIDAD</t>
  </si>
  <si>
    <t>SAMUEL SANTOS</t>
  </si>
  <si>
    <t>LAUREN PEEBLES</t>
  </si>
  <si>
    <t>LUKE PIERCE</t>
  </si>
  <si>
    <t>SOPHIA SANTOS</t>
  </si>
  <si>
    <t>AMANDA SENDEJO</t>
  </si>
  <si>
    <t>JULES PAVLISKA</t>
  </si>
  <si>
    <t>NATHANIEL BENAVIDES</t>
  </si>
  <si>
    <t>VERONICA HANDOWSKI</t>
  </si>
  <si>
    <t>JAMES MEYER</t>
  </si>
  <si>
    <t>ABRAM WIATREK</t>
  </si>
  <si>
    <t>RICHARD MARRERO</t>
  </si>
  <si>
    <t>HEATHER MEYER</t>
  </si>
  <si>
    <t>JOEL PAVLISKA</t>
  </si>
  <si>
    <t>LAUREN CLANCY</t>
  </si>
  <si>
    <t>GUNTER CLEMENTS</t>
  </si>
  <si>
    <t>ELIJAH NELSON</t>
  </si>
  <si>
    <t>GRACE PIERCE</t>
  </si>
  <si>
    <t>ADRIAN SANCHEZ</t>
  </si>
  <si>
    <t>CONNOR WEST</t>
  </si>
  <si>
    <t>METER INSTALL GROUP  LLC.</t>
  </si>
  <si>
    <t>WILSON COUNTY ADVISORY BOARD</t>
  </si>
  <si>
    <t>MARK NICHOLS</t>
  </si>
  <si>
    <t>GUSTAVO SANCHEZ</t>
  </si>
  <si>
    <t>SAVANNAH VALADEZ</t>
  </si>
  <si>
    <t>ALICIA SLAGLE</t>
  </si>
  <si>
    <t>TEXAS PATCHER</t>
  </si>
  <si>
    <t>TEXAS MUNICIPAL COURTS ASSOCIATION</t>
  </si>
  <si>
    <t>TEXAS MUNICIPAL HUMAN RESOURCES ASSOCIATION</t>
  </si>
  <si>
    <t>VETERANS MFG  LLC</t>
  </si>
  <si>
    <t>GOLDEN WEST OIL COMPANY</t>
  </si>
  <si>
    <t>TEXAS MUNICIPAL LEAGUE INTERGOVERNMENTAL RISK POOL</t>
  </si>
  <si>
    <t>MARY LOU TORRES</t>
  </si>
  <si>
    <t>JENNIFER MARIE MURILLO</t>
  </si>
  <si>
    <t>ELDA RODRIGUEZ</t>
  </si>
  <si>
    <t>DONNA PEREZ</t>
  </si>
  <si>
    <t>HALEY TREVINO</t>
  </si>
  <si>
    <t>SERENA VELA</t>
  </si>
  <si>
    <t>KASSANDRA ARANDA</t>
  </si>
  <si>
    <t>SYLVIA TREVINO</t>
  </si>
  <si>
    <t>DE LA GARZA FENCE CO.  INC</t>
  </si>
  <si>
    <t>RAMON GAFFORD</t>
  </si>
  <si>
    <t>HELEN GAFFORD</t>
  </si>
  <si>
    <t>EASY DRIVE</t>
  </si>
  <si>
    <t>ENTERPRISE RENT -A- CAR COMPANY</t>
  </si>
  <si>
    <t>LARRY GUERRERO</t>
  </si>
  <si>
    <t>LAJUANA NEWNAM LEUS</t>
  </si>
  <si>
    <t>SYLVIA J. BARRERA</t>
  </si>
  <si>
    <t>SARITA JIMENEZ</t>
  </si>
  <si>
    <t>SMITH GAS COMPANY  INC.</t>
  </si>
  <si>
    <t>DELTA SPECIALTY SIGNS &amp; SUPPLIES</t>
  </si>
  <si>
    <t>RG3 METER COMPANY</t>
  </si>
  <si>
    <t>JOHNNY A. RODRIGUEZ JR.</t>
  </si>
  <si>
    <t>PUBLIC AGENCY TRAINING COUNCIL</t>
  </si>
  <si>
    <t>CINTAS FIRE 636525</t>
  </si>
  <si>
    <t>WELLS FARGO</t>
  </si>
  <si>
    <t>CHRISTINE NAVARRO</t>
  </si>
  <si>
    <t>MATTHEW REDD</t>
  </si>
  <si>
    <t>GLORIA MARTINEZ</t>
  </si>
  <si>
    <t>ELVA CAMARILLO</t>
  </si>
  <si>
    <t>NEXT LEVEL STAFFING</t>
  </si>
  <si>
    <t>TEXAS WEDDINGS  LTD</t>
  </si>
  <si>
    <t>TMCA  INC.</t>
  </si>
  <si>
    <t>KARCHER NORTH AMERICA</t>
  </si>
  <si>
    <t>MONIK FUNPICS CORPORATION</t>
  </si>
  <si>
    <t>UNIFIRST CORPORATION</t>
  </si>
  <si>
    <t>AFFORDABLE SPACE MOVING</t>
  </si>
  <si>
    <t>JOHN D. BROWN</t>
  </si>
  <si>
    <t>DOCUMATION  INC.</t>
  </si>
  <si>
    <t>UNITED STATES TREASURY- IRS</t>
  </si>
  <si>
    <t>ERIC VALDEZ</t>
  </si>
  <si>
    <t>ROBERT RAMIREZ</t>
  </si>
  <si>
    <t>NAZARETH RAMIREZ</t>
  </si>
  <si>
    <t>ALICIA SANCHEZ</t>
  </si>
  <si>
    <t>PATRICIA ALCOSER</t>
  </si>
  <si>
    <t>ALEXIS B. LOPEZ</t>
  </si>
  <si>
    <t>ZELDA M. LOPEZ</t>
  </si>
  <si>
    <t>SONIA ESTRADA</t>
  </si>
  <si>
    <t>VALERIE VALERIO</t>
  </si>
  <si>
    <t>MARIA O. TEJADA</t>
  </si>
  <si>
    <t>JOHNNY VILLARREAL JR.</t>
  </si>
  <si>
    <t>STEVE GUERRERO</t>
  </si>
  <si>
    <t>CINTAS FAS LOCKBOX 631025</t>
  </si>
  <si>
    <t>MARY SIVAC</t>
  </si>
  <si>
    <t>AMERICAN PRECAST CONCRETE</t>
  </si>
  <si>
    <t>FIVE STAR ELECTRIC</t>
  </si>
  <si>
    <t>LLCS</t>
  </si>
  <si>
    <t>RDO EQUIPMENT COMPANY</t>
  </si>
  <si>
    <t>JESSE GUTIERREZ</t>
  </si>
  <si>
    <t>JOHN TALAMANTEZ</t>
  </si>
  <si>
    <t>ALYSSA DELGADO</t>
  </si>
  <si>
    <t>END ZONE ATHLETICS  INC</t>
  </si>
  <si>
    <t>AIMEE LEE MARTINEZ</t>
  </si>
  <si>
    <t>MICHAEL ANGELO GOMEZ</t>
  </si>
  <si>
    <t>DURY'S GUN SHOP</t>
  </si>
  <si>
    <t>ALAMO TRUCK DRIVER TRAINING</t>
  </si>
  <si>
    <t>RED ROSE PLUMBING  INC.</t>
  </si>
  <si>
    <t>JUAN DE LA CERDA</t>
  </si>
  <si>
    <t>="MAR</t>
  </si>
  <si>
    <t xml:space="preserve"> APR</t>
  </si>
  <si>
    <t>RECORDS CONSULTANTS  INC</t>
  </si>
  <si>
    <t>JOHN MUNOZ</t>
  </si>
  <si>
    <t>="FC6</t>
  </si>
  <si>
    <t xml:space="preserve"> FC5 FC4</t>
  </si>
  <si>
    <t>ALL PRO ASPHALT  LLC</t>
  </si>
  <si>
    <t>CLOSNER EQUIPMENT CO. INC.</t>
  </si>
  <si>
    <t>TEXAS STATE RENTALS; TEXAS STATE EQUIPMENT</t>
  </si>
  <si>
    <t>FINDERS KEEPERS MARKET</t>
  </si>
  <si>
    <t>DENISE STONE</t>
  </si>
  <si>
    <t>LYNN PEAVEY COMPANY</t>
  </si>
  <si>
    <t>MOY'S WATER WELL DRILLING &amp; SERVICES OF TEXAS</t>
  </si>
  <si>
    <t>TEXAS FLOODPLAIN MANAGEMENT ASSOCIATION</t>
  </si>
  <si>
    <t>TEXAS WATER UTILITIES ASSOCIATION</t>
  </si>
  <si>
    <t>NEAL OLENICK</t>
  </si>
  <si>
    <t>OLGA RAMIREZ</t>
  </si>
  <si>
    <t>SUPERIOR SILICA SANDS  LLC</t>
  </si>
  <si>
    <t>ALAMO PAINT &amp; DECORATING</t>
  </si>
  <si>
    <t>ANGEL G. ROSAS</t>
  </si>
  <si>
    <t>OLIVIA SOTO</t>
  </si>
  <si>
    <t>TRACY ORTIZ</t>
  </si>
  <si>
    <t>FELIX VALDEZ</t>
  </si>
  <si>
    <t>ALISSA GOTHARDT</t>
  </si>
  <si>
    <t>PAT MCCARTHY PRODUCTIONS  INC.</t>
  </si>
  <si>
    <t>TERRACON CONSULTANTS  INC.</t>
  </si>
  <si>
    <t>DEPARTMENT OF STATE HEALTH SERVICES</t>
  </si>
  <si>
    <t>MELISSA M. GRAHAM  PhD</t>
  </si>
  <si>
    <t>ALAMO CONCRETE PRODUCTS</t>
  </si>
  <si>
    <t>GARY BURRESS</t>
  </si>
  <si>
    <t>ANASTENCIO F. SANCHEZ</t>
  </si>
  <si>
    <t>HOLT TRUCK CENTER</t>
  </si>
  <si>
    <t>FLORESVILLE OPRY</t>
  </si>
  <si>
    <t>RICK MORONES JR.</t>
  </si>
  <si>
    <t>JOE TEJEDA</t>
  </si>
  <si>
    <t>LEO DAVILA</t>
  </si>
  <si>
    <t>TEXAS MUNICIPAL COURTS FUND</t>
  </si>
  <si>
    <t>FLORESVILLE AUTO SUPPLY</t>
  </si>
  <si>
    <t>CAPRISK CONSULTING GROUP</t>
  </si>
  <si>
    <t>ALFREDO SENDEJO</t>
  </si>
  <si>
    <t>UNITED MUSIC GROUP</t>
  </si>
  <si>
    <t>MANDY HERNANDEZ- HURT</t>
  </si>
  <si>
    <t>GRANDE MACK SALES &amp; SERVICE  INC.</t>
  </si>
  <si>
    <t>PIRATE FIREWORKS  LLC</t>
  </si>
  <si>
    <t>RIVER CITY ATTRACTIONS INC.</t>
  </si>
  <si>
    <t>MICHAEL VARGAS</t>
  </si>
  <si>
    <t>TEXAS ACADEMY OF ANIMAL CONTROL</t>
  </si>
  <si>
    <t>FLORESVILLE YOUTH BASKETBALL LEAGUE</t>
  </si>
  <si>
    <t>FLORESVILLE WILDCATS</t>
  </si>
  <si>
    <t>FLORESVILLE LITTLE LEAGUE</t>
  </si>
  <si>
    <t>MCE TECHNOLOGY LLC</t>
  </si>
  <si>
    <t>TEXAS ECONOMIC DEVELOPMENT COUNCIL</t>
  </si>
  <si>
    <t>VERMEER EQUIPMENT OF TEXAS</t>
  </si>
  <si>
    <t>DANIEL G. ACOSTA</t>
  </si>
  <si>
    <t>MARGIE ICACHETA</t>
  </si>
  <si>
    <t>MARGIE ICACHETA         VOIDED</t>
  </si>
  <si>
    <t>LINDA LUCIO</t>
  </si>
  <si>
    <t>GEORGE LUNA SR.</t>
  </si>
  <si>
    <t>FATIMA ARELLANO</t>
  </si>
  <si>
    <t>BRIAN ZUNIGA</t>
  </si>
  <si>
    <t>REUBEN GARCIA</t>
  </si>
  <si>
    <t>PATRICIO BARRERA HERNANDEZ</t>
  </si>
  <si>
    <t>FIRSTNET/AT&amp;T MOBILITY LLC</t>
  </si>
  <si>
    <t>GENRE CHORD DECOR</t>
  </si>
  <si>
    <t>LUPE ZAMORA</t>
  </si>
  <si>
    <t>LUPE ZAMORA             VOIDED</t>
  </si>
  <si>
    <t>JOHNATHAN FLORES</t>
  </si>
  <si>
    <t>JOHNATHAN FLORES        VOIDED</t>
  </si>
  <si>
    <t>OAK HILLS COMMUNITY CHURCH</t>
  </si>
  <si>
    <t>DAPHNE BOYD</t>
  </si>
  <si>
    <t>AMANDA MONTOYA CONWAY</t>
  </si>
  <si>
    <t>LISA ANN MURILLO</t>
  </si>
  <si>
    <t>KYRSTEN WHEELER</t>
  </si>
  <si>
    <t>LETICIA L. PESINA</t>
  </si>
  <si>
    <t>ALEJANDRO LEE PEREZ</t>
  </si>
  <si>
    <t>BLANCA PEREZ</t>
  </si>
  <si>
    <t>JONOTHAN FLORES</t>
  </si>
  <si>
    <t>ASHLEY TALLEY</t>
  </si>
  <si>
    <t>VIRGINIA JUAREZ</t>
  </si>
  <si>
    <t>CORTNEY ORTIZ</t>
  </si>
  <si>
    <t>TRACY FELUX</t>
  </si>
  <si>
    <t>AMANDA HEIMANN</t>
  </si>
  <si>
    <t>ALBERT GAMEZ</t>
  </si>
  <si>
    <t>TIFFANY TRINIDAD</t>
  </si>
  <si>
    <t>ACE MART RESTAURANT SUPPLY COMPANY</t>
  </si>
  <si>
    <t>WESLEY PELECH</t>
  </si>
  <si>
    <t>ELIZABETH PALACIOS</t>
  </si>
  <si>
    <t>STACEY STEVENS</t>
  </si>
  <si>
    <t>ANNIE ANGELL</t>
  </si>
  <si>
    <t>TARYN BIELA</t>
  </si>
  <si>
    <t>KIM XIMENEZ</t>
  </si>
  <si>
    <t>TIFFANY GUEVARA</t>
  </si>
  <si>
    <t>DENISE WHITE</t>
  </si>
  <si>
    <t>JULIE MEEKS</t>
  </si>
  <si>
    <t>MONICA REYNOLDS</t>
  </si>
  <si>
    <t>MARY LEBLANC</t>
  </si>
  <si>
    <t>MARY LEBLANC            VOIDED</t>
  </si>
  <si>
    <t>ELIZABETH SANCHEZ</t>
  </si>
  <si>
    <t>ELIZABETH SANCHEZ       VOIDED</t>
  </si>
  <si>
    <t>RAYMOND JAMES</t>
  </si>
  <si>
    <t>CINDY DUPPSTADT</t>
  </si>
  <si>
    <t>JUSTIN MORALES</t>
  </si>
  <si>
    <t>ARTURO CORONAL</t>
  </si>
  <si>
    <t>NORBERT CHAVEZ JR</t>
  </si>
  <si>
    <t>ASHLEY MARTINEZ</t>
  </si>
  <si>
    <t>ALBERTO MALDONADO SAENZ III</t>
  </si>
  <si>
    <t>MICHAEL ASCENCIO</t>
  </si>
  <si>
    <t>TARA M LEE</t>
  </si>
  <si>
    <t>RAECHEL THOMAS</t>
  </si>
  <si>
    <t>TEXAS UNDERGROUND  INC/ UNDERGROUND INC</t>
  </si>
  <si>
    <t>ROSIE SEGUIN</t>
  </si>
  <si>
    <t>ISABLE VALVERDE</t>
  </si>
  <si>
    <t>MARIBEL MENDOZA</t>
  </si>
  <si>
    <t>ANASTANCIO SANCHEZ</t>
  </si>
  <si>
    <t>SUNNYSIDE4H/CINDY LUNA</t>
  </si>
  <si>
    <t>LAW ENFORCEMENT SYSTEMS  INC.</t>
  </si>
  <si>
    <t>BRAVE ALLIANCE MISSION</t>
  </si>
  <si>
    <t xml:space="preserve"> ATASCOSA COUNTRY RADIO</t>
  </si>
  <si>
    <t>MAYRA RODRIGUEZ</t>
  </si>
  <si>
    <t>M &amp; G CONTRACTORS LLC</t>
  </si>
  <si>
    <t>DALTECH UTILITIES INC.</t>
  </si>
  <si>
    <t>RANDY ANAYA</t>
  </si>
  <si>
    <t>="SEPT</t>
  </si>
  <si>
    <t xml:space="preserve"> OCT</t>
  </si>
  <si>
    <t>SALOMON RUIZ</t>
  </si>
  <si>
    <t>SALOMON RUIZ            VOIDED</t>
  </si>
  <si>
    <t>EAGLE WRECKER SERVICE</t>
  </si>
  <si>
    <t>TREETOP PRODUCTS CONSOLIDATED</t>
  </si>
  <si>
    <t>GRG BULLDOG MACHINE SERVICES</t>
  </si>
  <si>
    <t>RECECCA GARZA</t>
  </si>
  <si>
    <t>CHRISTUS SANTA ROSA HEALTH CARE</t>
  </si>
  <si>
    <t>MAURO RODRIGUEZ</t>
  </si>
  <si>
    <t>="SEPT 5</t>
  </si>
  <si>
    <t xml:space="preserve"> 2019"</t>
  </si>
  <si>
    <t>VERA ENVIRONMENTAL SOLUTIONS  LLC</t>
  </si>
  <si>
    <t>CAINE &amp; WEINER</t>
  </si>
  <si>
    <t>MR. SUNNY OZUNA</t>
  </si>
  <si>
    <t>RACHEL GARCIA</t>
  </si>
  <si>
    <t>FLORESVILLE PARKS FOUNDATION</t>
  </si>
  <si>
    <t>MEGAN K ANDERSON</t>
  </si>
  <si>
    <t>AMANDA BOYCE</t>
  </si>
  <si>
    <t>BRANDY NICOLE HARLOS</t>
  </si>
  <si>
    <t>RANGELINE TAPPING SERVICES  INC</t>
  </si>
  <si>
    <t>LISA FLORES</t>
  </si>
  <si>
    <t>AUSTIN ARMATURE WORKS  LP</t>
  </si>
  <si>
    <t>POLICE BIKE STORE</t>
  </si>
  <si>
    <t>BDP INDUSTRIES INC.</t>
  </si>
  <si>
    <t>MALLORY R. NELSON</t>
  </si>
  <si>
    <t>SAMUEL EMERSON</t>
  </si>
  <si>
    <t>STACY LONG</t>
  </si>
  <si>
    <t>MARIA IRROBALI</t>
  </si>
  <si>
    <t>ADOBE INC.</t>
  </si>
  <si>
    <t>MARCUS A OLIVO</t>
  </si>
  <si>
    <t>CITY OF DENTON</t>
  </si>
  <si>
    <t>ENVIRONMENTAL IMPROVEMENTS  INC</t>
  </si>
  <si>
    <t>TINA SALAZAR</t>
  </si>
  <si>
    <t>KARLA MUNOZ</t>
  </si>
  <si>
    <t>ELIZABETH URBANCZK</t>
  </si>
  <si>
    <t>NATIONAL POWER RODDING CORP.</t>
  </si>
  <si>
    <t>BARCOM TECHNOLOGY SOLUTIONS  INC</t>
  </si>
  <si>
    <t>NATIONAL LEAGUE OF CITIES</t>
  </si>
  <si>
    <t>MANUEL MENDEZ</t>
  </si>
  <si>
    <t>MASON SOLIS</t>
  </si>
  <si>
    <t>MASON SOLIS             VOIDED</t>
  </si>
  <si>
    <t>TORRES PRINTING FACILITY</t>
  </si>
  <si>
    <t>TAMMY FELUX EVENT DESIGN AND DECOR  LLC</t>
  </si>
  <si>
    <t>LEGACY IW DESIGNS</t>
  </si>
  <si>
    <t>NANCY SENDEJO</t>
  </si>
  <si>
    <t>JACQUELINE M. CARTER</t>
  </si>
  <si>
    <t>="120119 DEC</t>
  </si>
  <si>
    <t>JAN.FEB"</t>
  </si>
  <si>
    <t>FLUFF'S WHITE HOUSE CAFE</t>
  </si>
  <si>
    <t>JOSEPH SILVA</t>
  </si>
  <si>
    <t>EUGENE MORIN</t>
  </si>
  <si>
    <t>WEST AVENUE ENTERPRISES</t>
  </si>
  <si>
    <t>QUALIFICATION TARGETS  INC</t>
  </si>
  <si>
    <t>CATHERINE WHITE</t>
  </si>
  <si>
    <t>ALL IN CONSTRUCTION LLC</t>
  </si>
  <si>
    <t>ALAMO ATTRACTIONS</t>
  </si>
  <si>
    <t>ALAMO ATTRACTIONS IN</t>
  </si>
  <si>
    <t>ALAMO ATTRACTION INC</t>
  </si>
  <si>
    <t>FREDDY ORTIZ</t>
  </si>
  <si>
    <t>MARIO ORTIZ</t>
  </si>
  <si>
    <t>VICKY CORTEZ</t>
  </si>
  <si>
    <t>SWANSON SOUND &amp; LIGHT</t>
  </si>
  <si>
    <t>H &amp; H PAWN / TRENDY TREASURES</t>
  </si>
  <si>
    <t>KELLY LEE TREVINO</t>
  </si>
  <si>
    <t>HAROLD RIOS</t>
  </si>
  <si>
    <t>RANDAL KEITH DAVIS</t>
  </si>
  <si>
    <t>EUGENE RODRIGUEZ</t>
  </si>
  <si>
    <t>CAM SAFETY</t>
  </si>
  <si>
    <t>GONZALEZ-DE LA GARZA &amp; ASSOCIATES  LLC CONSTRUCTIO</t>
  </si>
  <si>
    <t>MIA ELISSE GARCIA</t>
  </si>
  <si>
    <t>ALEXIS GOGGANS</t>
  </si>
  <si>
    <t>PRI MANAGEMENT GROUP</t>
  </si>
  <si>
    <t>DEVIN  DELAINE BENAVIDES</t>
  </si>
  <si>
    <t>SYLVIA JIMENEZ</t>
  </si>
  <si>
    <t>GARZA GOLANDO MORAN</t>
  </si>
  <si>
    <t>CRAMER MARKETING</t>
  </si>
  <si>
    <t>="1120 D</t>
  </si>
  <si>
    <t>ST JAN2020"</t>
  </si>
  <si>
    <t>ANIMAL CARE EQUIPMENT &amp; SERVICES  LLC</t>
  </si>
  <si>
    <t>="78806</t>
  </si>
  <si>
    <t>ATASCOSA COUNTRY RADIO</t>
  </si>
  <si>
    <t>DUPERON CORPORATION</t>
  </si>
  <si>
    <t>KEVIN PENA</t>
  </si>
  <si>
    <t>BLUE360 MEDIA</t>
  </si>
  <si>
    <t>DAVID PAINTER</t>
  </si>
  <si>
    <t>MANUEL A. LOPEZ</t>
  </si>
  <si>
    <t>ROCIC</t>
  </si>
  <si>
    <t>DEBORAH BRYAN</t>
  </si>
  <si>
    <t>JULIE VERASTEGUI  CSR</t>
  </si>
  <si>
    <t>JADE JIMENEZ</t>
  </si>
  <si>
    <t>RMA TOLL PROCESSING</t>
  </si>
  <si>
    <t>TEXAS A&amp;M ENGINEERING EXTENSION SERVICE</t>
  </si>
  <si>
    <t>HITS  INC</t>
  </si>
  <si>
    <t>CRYSTAL GAUNA</t>
  </si>
  <si>
    <t>ABEL TORRES</t>
  </si>
  <si>
    <t>TRINIDAD VASQUEZ JR.</t>
  </si>
  <si>
    <t>TEXAS POLICE TRAINERS  LLC</t>
  </si>
  <si>
    <t>MAKAYLA GONZALES</t>
  </si>
  <si>
    <t>EXPO 1516 LLC</t>
  </si>
  <si>
    <t>DANNY ROMERO</t>
  </si>
  <si>
    <t>GILBERT SALINAS</t>
  </si>
  <si>
    <t>AAW</t>
  </si>
  <si>
    <t>ROBERT M. COURVIER</t>
  </si>
  <si>
    <t>FELIPE WANERES RODRIGUEZ</t>
  </si>
  <si>
    <t>KARNES COUNTY</t>
  </si>
  <si>
    <t>MID-WEST PRINTING COMPANY</t>
  </si>
  <si>
    <t>STEPHEN BARRERA</t>
  </si>
  <si>
    <t>Solarize Tint</t>
  </si>
  <si>
    <t>BEARCOM OPERATING LLC</t>
  </si>
  <si>
    <t>PAUL STRATEMANN</t>
  </si>
  <si>
    <t>EAST END GLASS COMPANY  INC.</t>
  </si>
  <si>
    <t>DALE PAUL KOTZUR</t>
  </si>
  <si>
    <t>PATSY LUCIO</t>
  </si>
  <si>
    <t>="060120 JUNE</t>
  </si>
  <si>
    <t>JULY"</t>
  </si>
  <si>
    <t>ABATIX CORP</t>
  </si>
  <si>
    <t>ROLANDO L. RIOS  ESQ.</t>
  </si>
  <si>
    <t>NORMA J. RAMIREZ</t>
  </si>
  <si>
    <t>KAREN LASKOWSKI</t>
  </si>
  <si>
    <t>JESSICA ACUNA</t>
  </si>
  <si>
    <t>WENDY ARELLANO</t>
  </si>
  <si>
    <t>FLORESVILLE HIGH SCHOOL</t>
  </si>
  <si>
    <t>LA VERNIA HIGH SCHOOL</t>
  </si>
  <si>
    <t>KUBOTA TRACTOR CORPORATION</t>
  </si>
  <si>
    <t>GERONIMO TUNCHEZ</t>
  </si>
  <si>
    <t>TOOLS PLUS INDUSTRIES LLC</t>
  </si>
  <si>
    <t>SLP CONSTRUCTORS INC</t>
  </si>
  <si>
    <t>JOELZ LAWN MOWING SERVICE</t>
  </si>
  <si>
    <t>VERONICA GARZA MORENO</t>
  </si>
  <si>
    <t>RUDY RAMOS</t>
  </si>
  <si>
    <t>SAVANNAH TORRES</t>
  </si>
  <si>
    <t>P&amp;M RESTAURANT</t>
  </si>
  <si>
    <t>HERO NUTRITION CENTER  FLORESVILLE</t>
  </si>
  <si>
    <t>TASTY BUFFET</t>
  </si>
  <si>
    <t>CASTRO'S PLACE</t>
  </si>
  <si>
    <t>INDUSTRIAL CHEM. LABS &amp; SERVICES INC.</t>
  </si>
  <si>
    <t>OVIVO USA  LLC</t>
  </si>
  <si>
    <t>ELLIOTT ELECTRIC SUPPLY  INC</t>
  </si>
  <si>
    <t>RAMSEY-PATE LANDSCAPES LLC</t>
  </si>
  <si>
    <t>LISA MURILLO</t>
  </si>
  <si>
    <t>LAW ENFORCEMENT SEMINARS  LLC</t>
  </si>
  <si>
    <t>ADCOMP SYSTEMS  INC</t>
  </si>
  <si>
    <t>ELIZABETH A WONG</t>
  </si>
  <si>
    <t>NICKEL INDUSTRIAL CONTRACTORS  LLC</t>
  </si>
  <si>
    <t>VERIZON</t>
  </si>
  <si>
    <t>SOUTHERN TIRE MART  LLC</t>
  </si>
  <si>
    <t>RIPP RESTRAINTS INTERNATIONAL  INC</t>
  </si>
  <si>
    <t>PAINT SAN ANTONIO LLC</t>
  </si>
  <si>
    <t>MODERN MARKETING</t>
  </si>
  <si>
    <t>AUTO GRAPHICS &amp; SIGN CO.  LLC</t>
  </si>
  <si>
    <t>ROGER BOTELLO</t>
  </si>
  <si>
    <t>THE FLORESVILLE DIAMOND CRUSHERS</t>
  </si>
  <si>
    <t>TNT SA SPORTS LLC</t>
  </si>
  <si>
    <t>FIRST LUTHERN CHURCH</t>
  </si>
  <si>
    <t>JR. SITEWORK INC.</t>
  </si>
  <si>
    <t>UMATTER WELLNESS</t>
  </si>
  <si>
    <t>IMS OF TEXAS  LLC</t>
  </si>
  <si>
    <t>KIRIT D. BHAKTA</t>
  </si>
  <si>
    <t>MARIBEL HUERTA</t>
  </si>
  <si>
    <t>OUTDOOR FUN AND SUN</t>
  </si>
  <si>
    <t>PHOENIX LOSS CONTROL</t>
  </si>
  <si>
    <t>RICH PRINTING  INC.</t>
  </si>
  <si>
    <t>THE BULOT COMPANY LLC</t>
  </si>
  <si>
    <t>TRACY VENTURA</t>
  </si>
  <si>
    <t>4B PAVING  LLC.</t>
  </si>
  <si>
    <t>RODNEY J. RODRIGUEZ</t>
  </si>
  <si>
    <t>ABC DISINFECTANT SPRAYING AND FOGGING JANITORIAL S</t>
  </si>
  <si>
    <t>SOUTH TEXAS LAND DEVELOPMENT</t>
  </si>
  <si>
    <t>CLEVELAND DOUGLAS HURST</t>
  </si>
  <si>
    <t>U.S. DEPARTMENT OF TREASURY</t>
  </si>
  <si>
    <t>ABBYGAIL DELGADO</t>
  </si>
  <si>
    <t>RAYMUNDO REYES</t>
  </si>
  <si>
    <t>MIA GONZALES</t>
  </si>
  <si>
    <t>CHARTER COMMUNICATIONS</t>
  </si>
  <si>
    <t>SAMANTHA CASSELL</t>
  </si>
  <si>
    <t>TELLUS EQUIPMENT SOLUTIONS  LLC</t>
  </si>
  <si>
    <t>EFT</t>
  </si>
  <si>
    <t>HIGH PROFILE PROMOTIONS  INC</t>
  </si>
  <si>
    <t>SPECIALIZED PUBLIC FINANCE INC.</t>
  </si>
  <si>
    <t>BIANCA CANTU</t>
  </si>
  <si>
    <t>DOMAIN LISTINGS</t>
  </si>
  <si>
    <t>POLLOK &amp; SONS SURVEYING INC.</t>
  </si>
  <si>
    <t>TEXAS COMPTROLLER OF PUBLIC ACCOUNTS</t>
  </si>
  <si>
    <t>BRANDON CANTU</t>
  </si>
  <si>
    <t>EVELYN GARCIA-OLIVO</t>
  </si>
  <si>
    <t>GUADALUPE ARANDA</t>
  </si>
  <si>
    <t>KERRY L. ESQUIVEL</t>
  </si>
  <si>
    <t>PIONEER ATHLETICS / REVERE PRODUCTS</t>
  </si>
  <si>
    <t>SONYA R ARANDA</t>
  </si>
  <si>
    <t>STEVEN PANKRATZ/ STEVE4BEES</t>
  </si>
  <si>
    <t>FLUID METER SERVICE CORPORATION</t>
  </si>
  <si>
    <t>ACADEMIC PRODUCTIONS/ NTFC  INC.</t>
  </si>
  <si>
    <t>ELIZA ZAMORA</t>
  </si>
  <si>
    <t>ADELA M. ESQUIVEL</t>
  </si>
  <si>
    <t>BONNA REED</t>
  </si>
  <si>
    <t>FORMATIVE STRUCTURES</t>
  </si>
  <si>
    <t>JULIEANN TRINIDAD</t>
  </si>
  <si>
    <t>ORLANDO SALAS LOPEZ</t>
  </si>
  <si>
    <t>SARAH JIMENEZ</t>
  </si>
  <si>
    <t>WALMART SUPERCENTER #465</t>
  </si>
  <si>
    <t>GABRIELLA ARANDA</t>
  </si>
  <si>
    <t>PEACEMAKER TECHNOLOGIES  LLC</t>
  </si>
  <si>
    <t>GAPVAX INC</t>
  </si>
  <si>
    <t>GUNN BUICK GMC  LTD</t>
  </si>
  <si>
    <t>VICTOR V RODRIGUEZ</t>
  </si>
  <si>
    <t>K&amp;L UNDERGROUND UTILITIES</t>
  </si>
  <si>
    <t>BEARCOM WIRELESS WORLDWIDE</t>
  </si>
  <si>
    <t>CYNTHIA STURM</t>
  </si>
  <si>
    <t>WESTON SERVICES OF TEXAS</t>
  </si>
  <si>
    <t>MELISSA KAISER</t>
  </si>
  <si>
    <t>FARMERS GIN CO.</t>
  </si>
  <si>
    <t>EDUARDO VILLARREAL</t>
  </si>
  <si>
    <t>CHARLOTTE XIMENEZ-NELSON</t>
  </si>
  <si>
    <t>NEW BEGINNING CONSTRUCTION LIMITED</t>
  </si>
  <si>
    <t>ADVANCED FLOW TECHNOLOGIES</t>
  </si>
  <si>
    <t>JANI-KING OF SAN ANTONIO</t>
  </si>
  <si>
    <t>NHJ SERVICES</t>
  </si>
  <si>
    <t>LABCORP</t>
  </si>
  <si>
    <t>LAW OFFICE OF JOSE GARZA</t>
  </si>
  <si>
    <t>EVIDENT  INC</t>
  </si>
  <si>
    <t>="4TH QRT OC</t>
  </si>
  <si>
    <t>NO</t>
  </si>
  <si>
    <t>SAN ANTONIO BRAKE &amp; CLUTCH SERVICE  INC.</t>
  </si>
  <si>
    <t xml:space="preserve">  </t>
  </si>
  <si>
    <t>BLUE STAR TRAILER SUPPLY LLC</t>
  </si>
  <si>
    <t>DESIREE THOMPSON</t>
  </si>
  <si>
    <t>UNITED LABORATORIES INC</t>
  </si>
  <si>
    <t>DAVID RODRIGUEZ</t>
  </si>
  <si>
    <t>FOURS-VILLE PM  LLC</t>
  </si>
  <si>
    <t>ANDY JOSLIN</t>
  </si>
  <si>
    <t>TRIUN  LLC</t>
  </si>
  <si>
    <t>BRAUNTEX MATERIALS  INC</t>
  </si>
  <si>
    <t>LEAL &amp; CARTER  P.C.</t>
  </si>
  <si>
    <t>TEN/28 COLLISION REPAIR AND REFINISHING</t>
  </si>
  <si>
    <t>FUQUAY INC.</t>
  </si>
  <si>
    <t>JESSE RODRIGUEZ</t>
  </si>
  <si>
    <t>KENNETH DWORACZYK</t>
  </si>
  <si>
    <t>RALPH SUNIGA</t>
  </si>
  <si>
    <t>THOMAS SILVAS</t>
  </si>
  <si>
    <t>FELICIA RAMOS</t>
  </si>
  <si>
    <t>JOSE LUIS AQUIANO</t>
  </si>
  <si>
    <t>MONARCH TROPHY STUDIO</t>
  </si>
  <si>
    <t>TRACI LYNN JASKINIA</t>
  </si>
  <si>
    <t>AM1 ELECTRICAL SERVICES</t>
  </si>
  <si>
    <t>STACY SALINAS</t>
  </si>
  <si>
    <t>ALAMO AREA CRIME PREVENTION ASSOCIATION</t>
  </si>
  <si>
    <t>FEREZCO POWER SYSTEMS LLC</t>
  </si>
  <si>
    <t>WESTONS TRUCKS UNLIMITED LLC</t>
  </si>
  <si>
    <t>WHITNEY PERALES</t>
  </si>
  <si>
    <t>A1 SEALCOATING LLC</t>
  </si>
  <si>
    <t>CORINA GALLEGOS</t>
  </si>
  <si>
    <t>JO ANN GARAY</t>
  </si>
  <si>
    <t>ASHTYN SVOBODA</t>
  </si>
  <si>
    <t>BRUCKNER'S TRUCK &amp; EQUIPMENT</t>
  </si>
  <si>
    <t>DAVID TRAVIESO</t>
  </si>
  <si>
    <t>DESIRAY GALAVIZ</t>
  </si>
  <si>
    <t>BIANCA MALDONADO</t>
  </si>
  <si>
    <t>ALLISON PRUSKI</t>
  </si>
  <si>
    <t>M-R PLG CO.</t>
  </si>
  <si>
    <t>WILSON COUNTY</t>
  </si>
  <si>
    <t>ZELDA LOPEZ</t>
  </si>
  <si>
    <t>CHRISTOPHER PEREZ</t>
  </si>
  <si>
    <t>ANABELL VANEGAS</t>
  </si>
  <si>
    <t>BLADES GROUP  LLC</t>
  </si>
  <si>
    <t>ROSE MARTINEZ</t>
  </si>
  <si>
    <t>NOVA MEDICAL CENTERS</t>
  </si>
  <si>
    <t>INDUSTRIAL MAINTENANCE GROUP</t>
  </si>
  <si>
    <t>SAMUEL D. TREVINO</t>
  </si>
  <si>
    <t>FLO TOWN KICKS</t>
  </si>
  <si>
    <t>STEVE JENSEN</t>
  </si>
  <si>
    <t>THE WILSON BALLET</t>
  </si>
  <si>
    <t>ANNA HERRERA</t>
  </si>
  <si>
    <t>MELISSA ZAMORA</t>
  </si>
  <si>
    <t>G&amp;P AUTOMATION AND ELECTRIC  LLC</t>
  </si>
  <si>
    <t>AMAZON CAPITAL SERVICES</t>
  </si>
  <si>
    <t>MORGAN TAYLOR</t>
  </si>
  <si>
    <t>KRISTY ALFARO</t>
  </si>
  <si>
    <t>JENNA WESTON</t>
  </si>
  <si>
    <t>MATA'S CAFE</t>
  </si>
  <si>
    <t>BRITTANY GUERRERO</t>
  </si>
  <si>
    <t>CRISP ANALYTICAL LABS</t>
  </si>
  <si>
    <t>PINNACLE PEST DEFENSE</t>
  </si>
  <si>
    <t>TEXAS ROOFING &amp; HOME IMPROVEMENTS</t>
  </si>
  <si>
    <t>MARLEENA RODRIGUEZ</t>
  </si>
  <si>
    <t>LORI MARROQUIN</t>
  </si>
  <si>
    <t>GERRY PESINA</t>
  </si>
  <si>
    <t>TNT SA SPORTS</t>
  </si>
  <si>
    <t>DAMIAN AGUILAR</t>
  </si>
  <si>
    <t>ARROWHEAD FORENSICS</t>
  </si>
  <si>
    <t>GSM ENGINEERED FABRICS  LLC</t>
  </si>
  <si>
    <t>KAYLA D SCOTT</t>
  </si>
  <si>
    <t>SECOND NATURE COMPOST LLC</t>
  </si>
  <si>
    <t>DOMAIN DIRECTORY LLC</t>
  </si>
  <si>
    <t>JUAN PABLO MANCIAS</t>
  </si>
  <si>
    <t>BLUE TO GOLD  LLC</t>
  </si>
  <si>
    <t>CARLOS MUNOZ</t>
  </si>
  <si>
    <t>IALEFI</t>
  </si>
  <si>
    <t>AUDREY KEYLICK</t>
  </si>
  <si>
    <t>KYEONG-SOOK MURPHY</t>
  </si>
  <si>
    <t>SARAH RIVERA</t>
  </si>
  <si>
    <t>JODY PANTER</t>
  </si>
  <si>
    <t>SUSIE O. PEREZ</t>
  </si>
  <si>
    <t>APT AVALON PARK HOLDING</t>
  </si>
  <si>
    <t>BRYAN HARTMANN</t>
  </si>
  <si>
    <t>CONNALLY MEMORIAL MEDICAL CENTER</t>
  </si>
  <si>
    <t>DEERE &amp; COMPANY</t>
  </si>
  <si>
    <t>GABBY PEREZ</t>
  </si>
  <si>
    <t>GOVERNMENT FINANCE OFFICERS ASSOCIATION</t>
  </si>
  <si>
    <t>KALA DUMONT</t>
  </si>
  <si>
    <t>MANLEY SOLUTIONS  INC</t>
  </si>
  <si>
    <t>TRC</t>
  </si>
  <si>
    <t>BRENDA TREVINO</t>
  </si>
  <si>
    <t>SOPHIA MATA</t>
  </si>
  <si>
    <t>DIAMONDBACK AUTOMOTIVE ACCESSORIES  INC</t>
  </si>
  <si>
    <t>MANUEL PEREZ</t>
  </si>
  <si>
    <t>RAUL GUERRERO</t>
  </si>
  <si>
    <t>TARA LYNN MAZUR</t>
  </si>
  <si>
    <t>JACOB MONTOYA</t>
  </si>
  <si>
    <t>ROSLYN ORTMANN</t>
  </si>
  <si>
    <t>KRISTEN OLIVARRI</t>
  </si>
  <si>
    <t>JULIE GARCIA</t>
  </si>
  <si>
    <t>AMY MORENO</t>
  </si>
  <si>
    <t>BOSTEX FENCE CO</t>
  </si>
  <si>
    <t>ELVIRA QUIROZ</t>
  </si>
  <si>
    <t>LETICIA PALACIOS</t>
  </si>
  <si>
    <t>MARYCRUZ OVIEDO SALDANA</t>
  </si>
  <si>
    <t>SUNBELT RENTALS  INC</t>
  </si>
  <si>
    <t>="SEPT 30</t>
  </si>
  <si>
    <t xml:space="preserve"> 2021"</t>
  </si>
  <si>
    <t>BARBARA SILVA</t>
  </si>
  <si>
    <t>AZAVAR</t>
  </si>
  <si>
    <t>ADDACIE ROSE PALACIO</t>
  </si>
  <si>
    <t>EUSEBIO VALERO</t>
  </si>
  <si>
    <t>Shafer- Anderson Holdings  LLC  DBA: Shafer Servic</t>
  </si>
  <si>
    <t>GUNS &amp; GLAMOUR BOUTIQUE</t>
  </si>
  <si>
    <t>LEANN BRAUN</t>
  </si>
  <si>
    <t>LUX ELECTRIC LLC</t>
  </si>
  <si>
    <t>MELERIE DELEON</t>
  </si>
  <si>
    <t>PROTECH PEST SERVICES</t>
  </si>
  <si>
    <t>SAF-T-GLOVE  INC</t>
  </si>
  <si>
    <t>MIRANDA ESTRADA</t>
  </si>
  <si>
    <t>TEXAS LANDFILL MANAGEMENT  LLC</t>
  </si>
  <si>
    <t>SHIGUO TONG</t>
  </si>
  <si>
    <t>RUEBEN GARCIA</t>
  </si>
  <si>
    <t>ZOILA MUNOZ</t>
  </si>
  <si>
    <t>6S ENGINEERING  INC</t>
  </si>
  <si>
    <t>FRANK SANCHEZ</t>
  </si>
  <si>
    <t>JUSTIN ROSAS</t>
  </si>
  <si>
    <t>KS STATEBANK GOVERNMENT FINANCE DEPARTMENT</t>
  </si>
  <si>
    <t>ERICA RODRIGUEZ</t>
  </si>
  <si>
    <t>ACT SAFETY SERVICES  LLC</t>
  </si>
  <si>
    <t>JOSEPH MARTINEZ</t>
  </si>
  <si>
    <t>PITNEY BOWES BANK INC PURCHASE</t>
  </si>
  <si>
    <t>SHIVON RODRIGUEZ</t>
  </si>
  <si>
    <t>GLAZER'S BEER &amp; BEVERAGE</t>
  </si>
  <si>
    <t>CAM SAFETY  LLC</t>
  </si>
  <si>
    <t>WILSON COUNTY CLERK  GENEVIEVE MARTINEZ</t>
  </si>
  <si>
    <t>WERLING ASSOCIATES  INC.</t>
  </si>
  <si>
    <t>CODE BLUE POLICE SUPPLY</t>
  </si>
  <si>
    <t>KEYLIE BOYD</t>
  </si>
  <si>
    <t>TX TAG</t>
  </si>
  <si>
    <t>CHRISTINE DIAZ</t>
  </si>
  <si>
    <t>CONSOR ENGINEERS  LLC</t>
  </si>
  <si>
    <t>TRUIST GOVERNMENTAL FINANCE</t>
  </si>
  <si>
    <t>ALAMO GROUNDS CONTROL INC</t>
  </si>
  <si>
    <t>CORP ONE INCORPORATED LLC</t>
  </si>
  <si>
    <t>ATASCOSA HEALTH CENTER  INC.</t>
  </si>
  <si>
    <t>AQUATIC RENOVATIONS &amp; SERVICES INC</t>
  </si>
  <si>
    <t>LAWRENCE JUSTIN BERNAL</t>
  </si>
  <si>
    <t>THERESA MARTINEZ</t>
  </si>
  <si>
    <t>ELISHA RANGEL</t>
  </si>
  <si>
    <t>OLGA SVOBODA</t>
  </si>
  <si>
    <t>CUTLER PEESE</t>
  </si>
  <si>
    <t>DOCUMATION  INC</t>
  </si>
  <si>
    <t>GEM MATERIALS  INC</t>
  </si>
  <si>
    <t>JIREH K-9</t>
  </si>
  <si>
    <t xml:space="preserve"> U.S. OCCMED TEXAS  PLLC</t>
  </si>
  <si>
    <t>HECTOR GOMEZ</t>
  </si>
  <si>
    <t>MARY D. GARCIA</t>
  </si>
  <si>
    <t>SALOME MARTINEZ ESPARZA</t>
  </si>
  <si>
    <t>ADKINS MATERIALS STONE &amp; SUPPLY</t>
  </si>
  <si>
    <t>SANTIAGO GONZALES</t>
  </si>
  <si>
    <t>ZOOM VIDEO COMMUNICATIONS INC</t>
  </si>
  <si>
    <t>DANIEL PRADO</t>
  </si>
  <si>
    <t>TRUE PITCH  INC</t>
  </si>
  <si>
    <t>GRUPO FOLKLORICO DE BENDICIONES</t>
  </si>
  <si>
    <t>SUCH FUN ENTERTAINERS</t>
  </si>
  <si>
    <t>PENN CREDIT CORPORATION</t>
  </si>
  <si>
    <t>GRUPO VISION</t>
  </si>
  <si>
    <t>Jose Mendez</t>
  </si>
  <si>
    <t>TREVINO  TERRY</t>
  </si>
  <si>
    <t>ARIVIRIS LLC</t>
  </si>
  <si>
    <t>MARIACHI ALMA DE MEXICO</t>
  </si>
  <si>
    <t>RUBEN SANCHEZ</t>
  </si>
  <si>
    <t>CUSTOM POOLS  INC</t>
  </si>
  <si>
    <t>RICARDO MONTES JR</t>
  </si>
  <si>
    <t>ROSEMARY MARTINEZ</t>
  </si>
  <si>
    <t>ELIDA PEREZ</t>
  </si>
  <si>
    <t>KIMBERLY SERRANO</t>
  </si>
  <si>
    <t>CHRISTOPHER SRALLA</t>
  </si>
  <si>
    <t>JEANETTE FUJARTE</t>
  </si>
  <si>
    <t>RICK MORONES</t>
  </si>
  <si>
    <t>EL MESIAS UMC</t>
  </si>
  <si>
    <t>TREE CONNECTION</t>
  </si>
  <si>
    <t>REBECCA VALDEZ</t>
  </si>
  <si>
    <t>ALICE D HERNANDEZ</t>
  </si>
  <si>
    <t>MARK SOUTHERN</t>
  </si>
  <si>
    <t>PIPELINE VIDEO INSPECTION  LLC DBA AIMS COMPANIES</t>
  </si>
  <si>
    <t>LA VERNIA PUMP &amp; SUPPLY  INC</t>
  </si>
  <si>
    <t>HELEN ORTIZ</t>
  </si>
  <si>
    <t>VICTOR IBARRA</t>
  </si>
  <si>
    <t>JERRY DELEON JR.</t>
  </si>
  <si>
    <t>LIONS CLUB OF FLORESVILLE</t>
  </si>
  <si>
    <t>MARINA PALOMO</t>
  </si>
  <si>
    <t>DAILEY WELLS COMMUNICATIONS  INC</t>
  </si>
  <si>
    <t>WILSON COUNTY ELECTIONS</t>
  </si>
  <si>
    <t>T-REX SERVICES</t>
  </si>
  <si>
    <t>THERESA LEE ROLLAND</t>
  </si>
  <si>
    <t>BIG R.I.G COUNTRY  LLC</t>
  </si>
  <si>
    <t>SMALL TOWN HABIT</t>
  </si>
  <si>
    <t>CHILL POWER PUMP &amp; EQUIPMENT</t>
  </si>
  <si>
    <t>GEOFILL MATERIAL TECHNOLOGIES LLC</t>
  </si>
  <si>
    <t>LORI DELAGARZA</t>
  </si>
  <si>
    <t>ELVIA PERALTA</t>
  </si>
  <si>
    <t>3-D WELDING &amp; INDUSTRIAL SUPPLY CO.</t>
  </si>
  <si>
    <t>BOY SCOUT TROOP 114</t>
  </si>
  <si>
    <t>DUSTIN J. HONESTO</t>
  </si>
  <si>
    <t>MARTIN MALDONADO</t>
  </si>
  <si>
    <t>LORENZO ORTIZ</t>
  </si>
  <si>
    <t>KIMBERLY EMBREY</t>
  </si>
  <si>
    <t>KIMBERLY EMBREY         VOIDED</t>
  </si>
  <si>
    <t>ALANA GALLEGOS</t>
  </si>
  <si>
    <t>JOSEPH W. RAMSEY - J.W. RAMSEY</t>
  </si>
  <si>
    <t>JUMPNRS</t>
  </si>
  <si>
    <t>MARIA MATA</t>
  </si>
  <si>
    <t>RUTH VELIZ</t>
  </si>
  <si>
    <t>TEX-SAN SITE SERVICES</t>
  </si>
  <si>
    <t>ALAMO ATTRACTIONS  INC</t>
  </si>
  <si>
    <t>ANNABELLA N. CANTU</t>
  </si>
  <si>
    <t>DOMINIQUE PEREZ</t>
  </si>
  <si>
    <t>DOMINIQUE PEREZ         VOIDED</t>
  </si>
  <si>
    <t>IRENE FLORES</t>
  </si>
  <si>
    <t>JACQUELINE CORONADO</t>
  </si>
  <si>
    <t>ASHLEY MOCYGEMBA</t>
  </si>
  <si>
    <t>DESIREE MATA</t>
  </si>
  <si>
    <t>AMERY OROSCO</t>
  </si>
  <si>
    <t>KIMBALL MIDWEST</t>
  </si>
  <si>
    <t>LINNCI ANGEL</t>
  </si>
  <si>
    <t>D &amp; D TEXAS OUTFITTERS</t>
  </si>
  <si>
    <t>VERMEER EQUIPMENT OF TEXAS LLC</t>
  </si>
  <si>
    <t>WILSON COUNTY SOCCER LEAGUE</t>
  </si>
  <si>
    <t>PRECISION CALIBRATE METER SERVICES</t>
  </si>
  <si>
    <t>JOHN WRIGHT ASSOCIATES  INC</t>
  </si>
  <si>
    <t>VANESSA ESTRADA</t>
  </si>
  <si>
    <t>R W HILL CONSTRUCTION  LLC</t>
  </si>
  <si>
    <t>FELIX S CANTU</t>
  </si>
  <si>
    <t>DORA B CANTU</t>
  </si>
  <si>
    <t>MARYLOU B TORRES</t>
  </si>
  <si>
    <t>METRO FIRE</t>
  </si>
  <si>
    <t>DITCH WITCH OF CENTRAL TEXAS  INC</t>
  </si>
  <si>
    <t>BRAUN TREE SERVICE</t>
  </si>
  <si>
    <t>TAMMY SANCHEZ</t>
  </si>
  <si>
    <t>TOM B ELLIS</t>
  </si>
  <si>
    <t>AIM TO COOL A/C &amp; HEATING</t>
  </si>
  <si>
    <t>POLLY SANDERS</t>
  </si>
  <si>
    <t>REBEKAH PATEL</t>
  </si>
  <si>
    <t>ALL ABOUT CHALLENGE COINS</t>
  </si>
  <si>
    <t>LAKE COUNTRY CHEVROLET  INC</t>
  </si>
  <si>
    <t>GALEN JANSKY</t>
  </si>
  <si>
    <t>TISHA WALLS</t>
  </si>
  <si>
    <t>KYRA BROWN</t>
  </si>
  <si>
    <t>GABRIELLE SOTELO</t>
  </si>
  <si>
    <t>SWAMP MONSTER LLC</t>
  </si>
  <si>
    <t>MEGAN D GARCIA</t>
  </si>
  <si>
    <t>LUX BEAUTIQUE</t>
  </si>
  <si>
    <t>MARY ANN BARBOSA</t>
  </si>
  <si>
    <t>POMPOZA G. MARTINEZ</t>
  </si>
  <si>
    <t>KYARA I. MARTINEZ</t>
  </si>
  <si>
    <t>CHRISTINE KING</t>
  </si>
  <si>
    <t>DIANE BOENING</t>
  </si>
  <si>
    <t>LEON KYRISH</t>
  </si>
  <si>
    <t>LEON KYRISH             VOIDED</t>
  </si>
  <si>
    <t>WILSON COUNTY SOIL &amp; WATER</t>
  </si>
  <si>
    <t>KOPPL SERVICES</t>
  </si>
  <si>
    <t>LISA BURNS</t>
  </si>
  <si>
    <t>TCMA</t>
  </si>
  <si>
    <t>ALL-PRO PAVING  LLC</t>
  </si>
  <si>
    <t>RUSSELL LABUS</t>
  </si>
  <si>
    <t>CHILDREN'S ALLIANCE OF SOUTH TEXAS</t>
  </si>
  <si>
    <t>CITY OF FREDERICKSBURG</t>
  </si>
  <si>
    <t>JANELLA MENDEZ</t>
  </si>
  <si>
    <t>PATRICIA MARTINEZ</t>
  </si>
  <si>
    <t>ANDREW WEIDE</t>
  </si>
  <si>
    <t>JENNIFER MALDONADO</t>
  </si>
  <si>
    <t>MERCEDES HERNANDEZ</t>
  </si>
  <si>
    <t>NATALIE ARREGUIN</t>
  </si>
  <si>
    <t>KANDACE JOHNSON</t>
  </si>
  <si>
    <t>FLORESVILLE ATHLETIC BOOSTER</t>
  </si>
  <si>
    <t>DESIRE SOLANO</t>
  </si>
  <si>
    <t>JASMINE AGUILAR</t>
  </si>
  <si>
    <t>NORMA SELLERS</t>
  </si>
  <si>
    <t>BAKKE DEVELOPMENT CORPORATION</t>
  </si>
  <si>
    <t>CAITRIN JOHNSON</t>
  </si>
  <si>
    <t>EAGLE PASS WATER WORKS SYSTEM</t>
  </si>
  <si>
    <t>LOPEZ ELECTRIC MOTOR WORKS LLC</t>
  </si>
  <si>
    <t>CASSANDRA GONZALES</t>
  </si>
  <si>
    <t>KING SOLUTION SERVICES  LLC</t>
  </si>
  <si>
    <t>STANLEY STEEMER</t>
  </si>
  <si>
    <t>NATIONAL BENEFIT SERVICES  LLC</t>
  </si>
  <si>
    <t xml:space="preserve">MISC.    </t>
  </si>
  <si>
    <t xml:space="preserve">MISC.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</si>
</sst>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14" fontId="0" fillId="0" borderId="0" xfId="0" applyNumberFormat="1"/>
    <xf numFmtId="43" fontId="0" fillId="0" borderId="0" xfId="1" applyFont="1"/>
    <xf numFmtId="43" fontId="0" fillId="0" borderId="2" xfId="0" applyNumberFormat="1" applyBorder="1"/>
    <xf numFmtId="4" fontId="0" fillId="0" borderId="0" xfId="0" applyNumberFormat="1"/>
    <xf numFmtId="0" fontId="0" fillId="0" borderId="0" xfId="0" applyAlignment="1">
      <alignment horizontal="right"/>
    </xf>
    <xf numFmtId="0" fontId="3" fillId="2" borderId="3" xfId="0" applyFont="1" applyFill="1" applyBorder="1" applyAlignment="1">
      <alignment horizontal="right"/>
    </xf>
    <xf numFmtId="43" fontId="0" fillId="0" borderId="3" xfId="1" applyFont="1" applyBorder="1"/>
    <xf numFmtId="43" fontId="0" fillId="0" borderId="0" xfId="1" applyFont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907AD-15E5-43ED-A3CB-1A7AE7087C20}">
  <dimension ref="A1:I4999"/>
  <sheetViews>
    <sheetView workbookViewId="0">
      <pane ySplit="4" topLeftCell="A5" activePane="bottomLeft" state="frozen"/>
      <selection pane="bottomLeft"/>
    </sheetView>
  </sheetViews>
  <sheetFormatPr defaultRowHeight="15" x14ac:dyDescent="0.25"/>
  <cols>
    <col min="1" max="1" width="10.7109375" bestFit="1" customWidth="1"/>
    <col min="2" max="2" width="11.7109375" bestFit="1" customWidth="1"/>
    <col min="4" max="4" width="36.140625" bestFit="1" customWidth="1"/>
    <col min="5" max="5" width="14.28515625" bestFit="1" customWidth="1"/>
    <col min="7" max="7" width="16.7109375" bestFit="1" customWidth="1"/>
    <col min="8" max="8" width="20.85546875" bestFit="1" customWidth="1"/>
    <col min="9" max="9" width="36.85546875" bestFit="1" customWidth="1"/>
  </cols>
  <sheetData>
    <row r="1" spans="1:9" x14ac:dyDescent="0.25">
      <c r="A1" s="1" t="s">
        <v>0</v>
      </c>
      <c r="B1" s="1"/>
      <c r="H1" s="2" t="s">
        <v>1</v>
      </c>
      <c r="I1" s="3">
        <v>43009</v>
      </c>
    </row>
    <row r="2" spans="1:9" x14ac:dyDescent="0.25">
      <c r="A2" s="1" t="s">
        <v>2</v>
      </c>
      <c r="B2" s="1"/>
      <c r="H2" s="2" t="s">
        <v>3</v>
      </c>
      <c r="I2" s="3">
        <v>43373</v>
      </c>
    </row>
    <row r="4" spans="1:9" ht="15.75" thickBot="1" x14ac:dyDescent="0.3">
      <c r="A4" s="4" t="s">
        <v>4</v>
      </c>
      <c r="B4" s="4" t="s">
        <v>5</v>
      </c>
      <c r="C4" s="5" t="s">
        <v>6</v>
      </c>
      <c r="D4" s="4" t="s">
        <v>7</v>
      </c>
      <c r="E4" s="5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x14ac:dyDescent="0.25">
      <c r="A5" s="6">
        <v>43179</v>
      </c>
      <c r="B5" t="s">
        <v>13</v>
      </c>
      <c r="C5">
        <v>57202</v>
      </c>
      <c r="D5" t="s">
        <v>14</v>
      </c>
      <c r="E5" s="7">
        <v>14001.41</v>
      </c>
      <c r="F5" t="s">
        <v>15</v>
      </c>
      <c r="G5" t="s">
        <v>15</v>
      </c>
      <c r="H5" t="s">
        <v>15</v>
      </c>
      <c r="I5" t="s">
        <v>15</v>
      </c>
    </row>
    <row r="6" spans="1:9" x14ac:dyDescent="0.25">
      <c r="A6" s="6">
        <v>43273</v>
      </c>
      <c r="B6" t="s">
        <v>13</v>
      </c>
      <c r="C6">
        <v>57929</v>
      </c>
      <c r="D6" t="s">
        <v>14</v>
      </c>
      <c r="E6" s="7">
        <v>11858.92</v>
      </c>
      <c r="F6" t="s">
        <v>15</v>
      </c>
      <c r="G6" t="s">
        <v>15</v>
      </c>
      <c r="H6" t="s">
        <v>15</v>
      </c>
      <c r="I6" t="s">
        <v>15</v>
      </c>
    </row>
    <row r="7" spans="1:9" x14ac:dyDescent="0.25">
      <c r="A7" s="6">
        <v>43019</v>
      </c>
      <c r="B7" t="s">
        <v>16</v>
      </c>
      <c r="D7" t="s">
        <v>17</v>
      </c>
      <c r="E7" s="7">
        <v>76549.25</v>
      </c>
      <c r="F7" t="s">
        <v>15</v>
      </c>
      <c r="G7" t="s">
        <v>15</v>
      </c>
      <c r="H7" t="s">
        <v>15</v>
      </c>
      <c r="I7" t="s">
        <v>15</v>
      </c>
    </row>
    <row r="8" spans="1:9" x14ac:dyDescent="0.25">
      <c r="A8" s="6">
        <v>43034</v>
      </c>
      <c r="B8" t="s">
        <v>16</v>
      </c>
      <c r="D8" t="s">
        <v>17</v>
      </c>
      <c r="E8" s="7">
        <v>80708.77</v>
      </c>
      <c r="F8" t="s">
        <v>15</v>
      </c>
      <c r="G8" t="s">
        <v>15</v>
      </c>
      <c r="H8" t="s">
        <v>15</v>
      </c>
      <c r="I8" t="s">
        <v>15</v>
      </c>
    </row>
    <row r="9" spans="1:9" x14ac:dyDescent="0.25">
      <c r="A9" s="6">
        <v>43048</v>
      </c>
      <c r="B9" t="s">
        <v>16</v>
      </c>
      <c r="D9" t="s">
        <v>17</v>
      </c>
      <c r="E9" s="7">
        <v>80136.070000000007</v>
      </c>
      <c r="F9" t="s">
        <v>15</v>
      </c>
      <c r="G9" t="s">
        <v>15</v>
      </c>
      <c r="H9" t="s">
        <v>15</v>
      </c>
      <c r="I9" t="s">
        <v>15</v>
      </c>
    </row>
    <row r="10" spans="1:9" x14ac:dyDescent="0.25">
      <c r="A10" s="6">
        <v>43061</v>
      </c>
      <c r="B10" t="s">
        <v>16</v>
      </c>
      <c r="D10" t="s">
        <v>17</v>
      </c>
      <c r="E10" s="7">
        <v>83802.84</v>
      </c>
      <c r="F10" t="s">
        <v>15</v>
      </c>
      <c r="G10" t="s">
        <v>15</v>
      </c>
      <c r="H10" t="s">
        <v>15</v>
      </c>
      <c r="I10" t="s">
        <v>15</v>
      </c>
    </row>
    <row r="11" spans="1:9" x14ac:dyDescent="0.25">
      <c r="A11" s="6">
        <v>43077</v>
      </c>
      <c r="B11" t="s">
        <v>16</v>
      </c>
      <c r="D11" t="s">
        <v>17</v>
      </c>
      <c r="E11" s="7">
        <v>81040.2</v>
      </c>
      <c r="F11" t="s">
        <v>15</v>
      </c>
      <c r="G11" t="s">
        <v>15</v>
      </c>
      <c r="H11" t="s">
        <v>15</v>
      </c>
      <c r="I11" t="s">
        <v>15</v>
      </c>
    </row>
    <row r="12" spans="1:9" x14ac:dyDescent="0.25">
      <c r="A12" s="6">
        <v>43090</v>
      </c>
      <c r="B12" t="s">
        <v>16</v>
      </c>
      <c r="D12" t="s">
        <v>17</v>
      </c>
      <c r="E12" s="7">
        <v>81743.88</v>
      </c>
      <c r="F12" t="s">
        <v>15</v>
      </c>
      <c r="G12" t="s">
        <v>15</v>
      </c>
      <c r="H12" t="s">
        <v>15</v>
      </c>
      <c r="I12" t="s">
        <v>15</v>
      </c>
    </row>
    <row r="13" spans="1:9" x14ac:dyDescent="0.25">
      <c r="A13" s="6">
        <v>43105</v>
      </c>
      <c r="B13" t="s">
        <v>16</v>
      </c>
      <c r="D13" t="s">
        <v>17</v>
      </c>
      <c r="E13" s="7">
        <v>80581.72</v>
      </c>
      <c r="F13" t="s">
        <v>15</v>
      </c>
      <c r="G13" t="s">
        <v>15</v>
      </c>
      <c r="H13" t="s">
        <v>15</v>
      </c>
      <c r="I13" t="s">
        <v>15</v>
      </c>
    </row>
    <row r="14" spans="1:9" x14ac:dyDescent="0.25">
      <c r="A14" s="6">
        <v>43119</v>
      </c>
      <c r="B14" t="s">
        <v>16</v>
      </c>
      <c r="D14" t="s">
        <v>17</v>
      </c>
      <c r="E14" s="7">
        <v>80788.600000000006</v>
      </c>
      <c r="F14" t="s">
        <v>15</v>
      </c>
      <c r="G14" t="s">
        <v>15</v>
      </c>
      <c r="H14" t="s">
        <v>15</v>
      </c>
      <c r="I14" t="s">
        <v>15</v>
      </c>
    </row>
    <row r="15" spans="1:9" x14ac:dyDescent="0.25">
      <c r="A15" s="6">
        <v>43133</v>
      </c>
      <c r="B15" t="s">
        <v>16</v>
      </c>
      <c r="D15" t="s">
        <v>17</v>
      </c>
      <c r="E15" s="7">
        <v>84149.88</v>
      </c>
      <c r="F15" t="s">
        <v>15</v>
      </c>
      <c r="G15" t="s">
        <v>15</v>
      </c>
      <c r="H15" t="s">
        <v>15</v>
      </c>
      <c r="I15" t="s">
        <v>15</v>
      </c>
    </row>
    <row r="16" spans="1:9" x14ac:dyDescent="0.25">
      <c r="A16" s="6">
        <v>43147</v>
      </c>
      <c r="B16" t="s">
        <v>16</v>
      </c>
      <c r="D16" t="s">
        <v>17</v>
      </c>
      <c r="E16" s="7">
        <v>83264.490000000005</v>
      </c>
      <c r="F16" t="s">
        <v>15</v>
      </c>
      <c r="G16" t="s">
        <v>15</v>
      </c>
      <c r="H16" t="s">
        <v>15</v>
      </c>
      <c r="I16" t="s">
        <v>15</v>
      </c>
    </row>
    <row r="17" spans="1:9" x14ac:dyDescent="0.25">
      <c r="A17" s="6">
        <v>43161</v>
      </c>
      <c r="B17" t="s">
        <v>16</v>
      </c>
      <c r="D17" t="s">
        <v>17</v>
      </c>
      <c r="E17" s="7">
        <v>88478.34</v>
      </c>
      <c r="F17" t="s">
        <v>15</v>
      </c>
      <c r="G17" t="s">
        <v>15</v>
      </c>
      <c r="H17" t="s">
        <v>15</v>
      </c>
      <c r="I17" t="s">
        <v>15</v>
      </c>
    </row>
    <row r="18" spans="1:9" x14ac:dyDescent="0.25">
      <c r="A18" s="6">
        <v>43175</v>
      </c>
      <c r="B18" t="s">
        <v>16</v>
      </c>
      <c r="D18" t="s">
        <v>17</v>
      </c>
      <c r="E18" s="7">
        <v>83597.5</v>
      </c>
      <c r="F18" t="s">
        <v>15</v>
      </c>
      <c r="G18" t="s">
        <v>15</v>
      </c>
      <c r="H18" t="s">
        <v>15</v>
      </c>
      <c r="I18" t="s">
        <v>15</v>
      </c>
    </row>
    <row r="19" spans="1:9" x14ac:dyDescent="0.25">
      <c r="A19" s="6">
        <v>43188</v>
      </c>
      <c r="B19" t="s">
        <v>16</v>
      </c>
      <c r="D19" t="s">
        <v>17</v>
      </c>
      <c r="E19" s="7">
        <v>84258.34</v>
      </c>
      <c r="F19" t="s">
        <v>15</v>
      </c>
      <c r="G19" t="s">
        <v>15</v>
      </c>
      <c r="H19" t="s">
        <v>15</v>
      </c>
      <c r="I19" t="s">
        <v>15</v>
      </c>
    </row>
    <row r="20" spans="1:9" x14ac:dyDescent="0.25">
      <c r="A20" s="6">
        <v>43203</v>
      </c>
      <c r="B20" t="s">
        <v>16</v>
      </c>
      <c r="D20" t="s">
        <v>17</v>
      </c>
      <c r="E20" s="7">
        <v>82357.56</v>
      </c>
      <c r="F20" t="s">
        <v>15</v>
      </c>
      <c r="G20" t="s">
        <v>15</v>
      </c>
      <c r="H20" t="s">
        <v>15</v>
      </c>
      <c r="I20" t="s">
        <v>15</v>
      </c>
    </row>
    <row r="21" spans="1:9" x14ac:dyDescent="0.25">
      <c r="A21" s="6">
        <v>43217</v>
      </c>
      <c r="B21" t="s">
        <v>16</v>
      </c>
      <c r="D21" t="s">
        <v>17</v>
      </c>
      <c r="E21" s="7">
        <v>86687.94</v>
      </c>
      <c r="F21" t="s">
        <v>15</v>
      </c>
      <c r="G21" t="s">
        <v>15</v>
      </c>
      <c r="H21" t="s">
        <v>15</v>
      </c>
      <c r="I21" t="s">
        <v>15</v>
      </c>
    </row>
    <row r="22" spans="1:9" x14ac:dyDescent="0.25">
      <c r="A22" s="6">
        <v>43231</v>
      </c>
      <c r="B22" t="s">
        <v>16</v>
      </c>
      <c r="D22" t="s">
        <v>17</v>
      </c>
      <c r="E22" s="7">
        <v>85922.98</v>
      </c>
      <c r="F22" t="s">
        <v>15</v>
      </c>
      <c r="G22" t="s">
        <v>15</v>
      </c>
      <c r="H22" t="s">
        <v>15</v>
      </c>
      <c r="I22" t="s">
        <v>15</v>
      </c>
    </row>
    <row r="23" spans="1:9" x14ac:dyDescent="0.25">
      <c r="A23" s="6">
        <v>43245</v>
      </c>
      <c r="B23" t="s">
        <v>16</v>
      </c>
      <c r="D23" t="s">
        <v>17</v>
      </c>
      <c r="E23" s="7">
        <v>84565.52</v>
      </c>
      <c r="F23" t="s">
        <v>15</v>
      </c>
      <c r="G23" t="s">
        <v>15</v>
      </c>
      <c r="H23" t="s">
        <v>15</v>
      </c>
      <c r="I23" t="s">
        <v>15</v>
      </c>
    </row>
    <row r="24" spans="1:9" x14ac:dyDescent="0.25">
      <c r="A24" s="6">
        <v>43259</v>
      </c>
      <c r="B24" t="s">
        <v>16</v>
      </c>
      <c r="D24" t="s">
        <v>17</v>
      </c>
      <c r="E24" s="7">
        <v>91768.76</v>
      </c>
      <c r="F24" t="s">
        <v>15</v>
      </c>
      <c r="G24" t="s">
        <v>15</v>
      </c>
      <c r="H24" t="s">
        <v>15</v>
      </c>
      <c r="I24" t="s">
        <v>15</v>
      </c>
    </row>
    <row r="25" spans="1:9" x14ac:dyDescent="0.25">
      <c r="A25" s="6">
        <v>43273</v>
      </c>
      <c r="B25" t="s">
        <v>16</v>
      </c>
      <c r="D25" t="s">
        <v>17</v>
      </c>
      <c r="E25" s="7">
        <v>82915.570000000007</v>
      </c>
      <c r="F25" t="s">
        <v>15</v>
      </c>
      <c r="G25" t="s">
        <v>15</v>
      </c>
      <c r="H25" t="s">
        <v>15</v>
      </c>
      <c r="I25" t="s">
        <v>15</v>
      </c>
    </row>
    <row r="26" spans="1:9" x14ac:dyDescent="0.25">
      <c r="A26" s="6">
        <v>43287</v>
      </c>
      <c r="B26" t="s">
        <v>16</v>
      </c>
      <c r="D26" t="s">
        <v>17</v>
      </c>
      <c r="E26" s="7">
        <v>84982.19</v>
      </c>
      <c r="F26" t="s">
        <v>15</v>
      </c>
      <c r="G26" t="s">
        <v>15</v>
      </c>
      <c r="H26" t="s">
        <v>15</v>
      </c>
      <c r="I26" t="s">
        <v>15</v>
      </c>
    </row>
    <row r="27" spans="1:9" x14ac:dyDescent="0.25">
      <c r="A27" s="6">
        <v>43301</v>
      </c>
      <c r="B27" t="s">
        <v>16</v>
      </c>
      <c r="D27" t="s">
        <v>17</v>
      </c>
      <c r="E27" s="7">
        <v>82708.33</v>
      </c>
      <c r="F27" t="s">
        <v>15</v>
      </c>
      <c r="G27" t="s">
        <v>15</v>
      </c>
      <c r="H27" t="s">
        <v>15</v>
      </c>
      <c r="I27" t="s">
        <v>15</v>
      </c>
    </row>
    <row r="28" spans="1:9" x14ac:dyDescent="0.25">
      <c r="A28" s="6">
        <v>43312</v>
      </c>
      <c r="B28" t="s">
        <v>16</v>
      </c>
      <c r="D28" t="s">
        <v>17</v>
      </c>
      <c r="E28" s="7">
        <v>83514.81</v>
      </c>
      <c r="F28" t="s">
        <v>15</v>
      </c>
      <c r="G28" t="s">
        <v>15</v>
      </c>
      <c r="H28" t="s">
        <v>15</v>
      </c>
      <c r="I28" t="s">
        <v>15</v>
      </c>
    </row>
    <row r="29" spans="1:9" x14ac:dyDescent="0.25">
      <c r="A29" s="6">
        <v>43329</v>
      </c>
      <c r="B29" t="s">
        <v>16</v>
      </c>
      <c r="D29" t="s">
        <v>17</v>
      </c>
      <c r="E29" s="7">
        <v>83049.919999999998</v>
      </c>
      <c r="F29" t="s">
        <v>15</v>
      </c>
      <c r="G29" t="s">
        <v>15</v>
      </c>
      <c r="H29" t="s">
        <v>15</v>
      </c>
      <c r="I29" t="s">
        <v>15</v>
      </c>
    </row>
    <row r="30" spans="1:9" x14ac:dyDescent="0.25">
      <c r="A30" s="6">
        <v>43341</v>
      </c>
      <c r="B30" t="s">
        <v>16</v>
      </c>
      <c r="C30">
        <v>58676</v>
      </c>
      <c r="D30" t="s">
        <v>14</v>
      </c>
      <c r="E30" s="7">
        <v>-651.13</v>
      </c>
      <c r="F30" t="s">
        <v>15</v>
      </c>
      <c r="G30" t="s">
        <v>15</v>
      </c>
      <c r="H30" t="s">
        <v>15</v>
      </c>
      <c r="I30" t="s">
        <v>15</v>
      </c>
    </row>
    <row r="31" spans="1:9" x14ac:dyDescent="0.25">
      <c r="A31" s="6">
        <v>43341</v>
      </c>
      <c r="B31" t="s">
        <v>16</v>
      </c>
      <c r="C31">
        <v>58678</v>
      </c>
      <c r="D31" t="s">
        <v>14</v>
      </c>
      <c r="E31" s="7">
        <v>-648.51</v>
      </c>
      <c r="F31" t="s">
        <v>15</v>
      </c>
      <c r="G31" t="s">
        <v>15</v>
      </c>
      <c r="H31" t="s">
        <v>15</v>
      </c>
      <c r="I31" t="s">
        <v>15</v>
      </c>
    </row>
    <row r="32" spans="1:9" x14ac:dyDescent="0.25">
      <c r="A32" s="6">
        <v>43341</v>
      </c>
      <c r="B32" t="s">
        <v>16</v>
      </c>
      <c r="C32">
        <v>58691</v>
      </c>
      <c r="D32" t="s">
        <v>14</v>
      </c>
      <c r="E32" s="7">
        <v>-667.2</v>
      </c>
      <c r="F32" t="s">
        <v>15</v>
      </c>
      <c r="G32" t="s">
        <v>15</v>
      </c>
      <c r="H32" t="s">
        <v>15</v>
      </c>
      <c r="I32" t="s">
        <v>15</v>
      </c>
    </row>
    <row r="33" spans="1:9" x14ac:dyDescent="0.25">
      <c r="A33" s="6">
        <v>43343</v>
      </c>
      <c r="B33" t="s">
        <v>16</v>
      </c>
      <c r="D33" t="s">
        <v>17</v>
      </c>
      <c r="E33" s="7">
        <v>82231.360000000001</v>
      </c>
      <c r="F33" t="s">
        <v>15</v>
      </c>
      <c r="G33" t="s">
        <v>15</v>
      </c>
      <c r="H33" t="s">
        <v>15</v>
      </c>
      <c r="I33" t="s">
        <v>15</v>
      </c>
    </row>
    <row r="34" spans="1:9" x14ac:dyDescent="0.25">
      <c r="A34" s="6">
        <v>43357</v>
      </c>
      <c r="B34" t="s">
        <v>16</v>
      </c>
      <c r="D34" t="s">
        <v>17</v>
      </c>
      <c r="E34" s="7">
        <v>82895.69</v>
      </c>
      <c r="F34" t="s">
        <v>15</v>
      </c>
      <c r="G34" t="s">
        <v>15</v>
      </c>
      <c r="H34" t="s">
        <v>15</v>
      </c>
      <c r="I34" t="s">
        <v>15</v>
      </c>
    </row>
    <row r="35" spans="1:9" x14ac:dyDescent="0.25">
      <c r="A35" s="6">
        <v>43371</v>
      </c>
      <c r="B35" t="s">
        <v>16</v>
      </c>
      <c r="D35" t="s">
        <v>17</v>
      </c>
      <c r="E35" s="7">
        <v>83715.649999999994</v>
      </c>
      <c r="F35" t="s">
        <v>15</v>
      </c>
      <c r="G35" t="s">
        <v>15</v>
      </c>
      <c r="H35" t="s">
        <v>15</v>
      </c>
      <c r="I35" t="s">
        <v>15</v>
      </c>
    </row>
    <row r="36" spans="1:9" x14ac:dyDescent="0.25">
      <c r="A36" s="6">
        <v>43019</v>
      </c>
      <c r="B36" t="s">
        <v>13</v>
      </c>
      <c r="C36">
        <v>55884</v>
      </c>
      <c r="D36" t="s">
        <v>14</v>
      </c>
      <c r="E36" s="7">
        <v>1391.62</v>
      </c>
      <c r="F36" t="s">
        <v>15</v>
      </c>
      <c r="G36" t="s">
        <v>15</v>
      </c>
      <c r="H36" t="s">
        <v>15</v>
      </c>
      <c r="I36" t="s">
        <v>15</v>
      </c>
    </row>
    <row r="37" spans="1:9" x14ac:dyDescent="0.25">
      <c r="A37" s="6">
        <v>43019</v>
      </c>
      <c r="B37" t="s">
        <v>13</v>
      </c>
      <c r="C37">
        <v>55885</v>
      </c>
      <c r="D37" t="s">
        <v>14</v>
      </c>
      <c r="E37" s="7">
        <v>1520.4</v>
      </c>
      <c r="F37" t="s">
        <v>15</v>
      </c>
      <c r="G37" t="s">
        <v>15</v>
      </c>
      <c r="H37" t="s">
        <v>15</v>
      </c>
      <c r="I37" t="s">
        <v>15</v>
      </c>
    </row>
    <row r="38" spans="1:9" x14ac:dyDescent="0.25">
      <c r="A38" s="6">
        <v>43019</v>
      </c>
      <c r="B38" t="s">
        <v>13</v>
      </c>
      <c r="C38">
        <v>55886</v>
      </c>
      <c r="D38" t="s">
        <v>14</v>
      </c>
      <c r="E38" s="7">
        <v>1797.36</v>
      </c>
      <c r="F38" t="s">
        <v>15</v>
      </c>
      <c r="G38" t="s">
        <v>15</v>
      </c>
      <c r="H38" t="s">
        <v>15</v>
      </c>
      <c r="I38" t="s">
        <v>15</v>
      </c>
    </row>
    <row r="39" spans="1:9" x14ac:dyDescent="0.25">
      <c r="A39" s="6">
        <v>43019</v>
      </c>
      <c r="B39" t="s">
        <v>13</v>
      </c>
      <c r="C39">
        <v>55887</v>
      </c>
      <c r="D39" t="s">
        <v>14</v>
      </c>
      <c r="E39" s="7">
        <v>1118.23</v>
      </c>
      <c r="F39" t="s">
        <v>15</v>
      </c>
      <c r="G39" t="s">
        <v>15</v>
      </c>
      <c r="H39" t="s">
        <v>15</v>
      </c>
      <c r="I39" t="s">
        <v>15</v>
      </c>
    </row>
    <row r="40" spans="1:9" x14ac:dyDescent="0.25">
      <c r="A40" s="6">
        <v>43019</v>
      </c>
      <c r="B40" t="s">
        <v>13</v>
      </c>
      <c r="C40">
        <v>55888</v>
      </c>
      <c r="D40" t="s">
        <v>14</v>
      </c>
      <c r="E40" s="7">
        <v>1323.53</v>
      </c>
      <c r="F40" t="s">
        <v>15</v>
      </c>
      <c r="G40" t="s">
        <v>15</v>
      </c>
      <c r="H40" t="s">
        <v>15</v>
      </c>
      <c r="I40" t="s">
        <v>15</v>
      </c>
    </row>
    <row r="41" spans="1:9" x14ac:dyDescent="0.25">
      <c r="A41" s="6">
        <v>43019</v>
      </c>
      <c r="B41" t="s">
        <v>13</v>
      </c>
      <c r="C41">
        <v>55889</v>
      </c>
      <c r="D41" t="s">
        <v>14</v>
      </c>
      <c r="E41" s="7">
        <v>1072.01</v>
      </c>
      <c r="F41" t="s">
        <v>15</v>
      </c>
      <c r="G41" t="s">
        <v>15</v>
      </c>
      <c r="H41" t="s">
        <v>15</v>
      </c>
      <c r="I41" t="s">
        <v>15</v>
      </c>
    </row>
    <row r="42" spans="1:9" x14ac:dyDescent="0.25">
      <c r="A42" s="6">
        <v>43035</v>
      </c>
      <c r="B42" t="s">
        <v>13</v>
      </c>
      <c r="C42">
        <v>55953</v>
      </c>
      <c r="D42" t="s">
        <v>14</v>
      </c>
      <c r="E42" s="7">
        <v>1494.15</v>
      </c>
      <c r="F42" t="s">
        <v>15</v>
      </c>
      <c r="G42" t="s">
        <v>15</v>
      </c>
      <c r="H42" t="s">
        <v>15</v>
      </c>
      <c r="I42" t="s">
        <v>15</v>
      </c>
    </row>
    <row r="43" spans="1:9" x14ac:dyDescent="0.25">
      <c r="A43" s="6">
        <v>43035</v>
      </c>
      <c r="B43" t="s">
        <v>13</v>
      </c>
      <c r="C43">
        <v>55954</v>
      </c>
      <c r="D43" t="s">
        <v>14</v>
      </c>
      <c r="E43" s="7">
        <v>1086.05</v>
      </c>
      <c r="F43" t="s">
        <v>15</v>
      </c>
      <c r="G43" t="s">
        <v>15</v>
      </c>
      <c r="H43" t="s">
        <v>15</v>
      </c>
      <c r="I43" t="s">
        <v>15</v>
      </c>
    </row>
    <row r="44" spans="1:9" x14ac:dyDescent="0.25">
      <c r="A44" s="6">
        <v>43035</v>
      </c>
      <c r="B44" t="s">
        <v>13</v>
      </c>
      <c r="C44">
        <v>55955</v>
      </c>
      <c r="D44" t="s">
        <v>14</v>
      </c>
      <c r="E44" s="7">
        <v>1688.6</v>
      </c>
      <c r="F44" t="s">
        <v>15</v>
      </c>
      <c r="G44" t="s">
        <v>15</v>
      </c>
      <c r="H44" t="s">
        <v>15</v>
      </c>
      <c r="I44" t="s">
        <v>15</v>
      </c>
    </row>
    <row r="45" spans="1:9" x14ac:dyDescent="0.25">
      <c r="A45" s="6">
        <v>43035</v>
      </c>
      <c r="B45" t="s">
        <v>13</v>
      </c>
      <c r="C45">
        <v>55956</v>
      </c>
      <c r="D45" t="s">
        <v>14</v>
      </c>
      <c r="E45" s="7">
        <v>1544.85</v>
      </c>
      <c r="F45" t="s">
        <v>15</v>
      </c>
      <c r="G45" t="s">
        <v>15</v>
      </c>
      <c r="H45" t="s">
        <v>15</v>
      </c>
      <c r="I45" t="s">
        <v>15</v>
      </c>
    </row>
    <row r="46" spans="1:9" x14ac:dyDescent="0.25">
      <c r="A46" s="6">
        <v>43035</v>
      </c>
      <c r="B46" t="s">
        <v>13</v>
      </c>
      <c r="C46">
        <v>55957</v>
      </c>
      <c r="D46" t="s">
        <v>14</v>
      </c>
      <c r="E46" s="7">
        <v>1254.69</v>
      </c>
      <c r="F46" t="s">
        <v>15</v>
      </c>
      <c r="G46" t="s">
        <v>15</v>
      </c>
      <c r="H46" t="s">
        <v>15</v>
      </c>
      <c r="I46" t="s">
        <v>15</v>
      </c>
    </row>
    <row r="47" spans="1:9" x14ac:dyDescent="0.25">
      <c r="A47" s="6">
        <v>43035</v>
      </c>
      <c r="B47" t="s">
        <v>13</v>
      </c>
      <c r="C47">
        <v>55959</v>
      </c>
      <c r="D47" t="s">
        <v>14</v>
      </c>
      <c r="E47" s="7">
        <v>1056.28</v>
      </c>
      <c r="F47" t="s">
        <v>15</v>
      </c>
      <c r="G47" t="s">
        <v>15</v>
      </c>
      <c r="H47" t="s">
        <v>15</v>
      </c>
      <c r="I47" t="s">
        <v>15</v>
      </c>
    </row>
    <row r="48" spans="1:9" x14ac:dyDescent="0.25">
      <c r="A48" s="6">
        <v>43048</v>
      </c>
      <c r="B48" t="s">
        <v>13</v>
      </c>
      <c r="C48">
        <v>56031</v>
      </c>
      <c r="D48" t="s">
        <v>14</v>
      </c>
      <c r="E48" s="7">
        <v>1383.94</v>
      </c>
      <c r="F48" t="s">
        <v>15</v>
      </c>
      <c r="G48" t="s">
        <v>15</v>
      </c>
      <c r="H48" t="s">
        <v>15</v>
      </c>
      <c r="I48" t="s">
        <v>15</v>
      </c>
    </row>
    <row r="49" spans="1:9" x14ac:dyDescent="0.25">
      <c r="A49" s="6">
        <v>43048</v>
      </c>
      <c r="B49" t="s">
        <v>13</v>
      </c>
      <c r="C49">
        <v>56032</v>
      </c>
      <c r="D49" t="s">
        <v>14</v>
      </c>
      <c r="E49" s="7">
        <v>1668.43</v>
      </c>
      <c r="F49" t="s">
        <v>15</v>
      </c>
      <c r="G49" t="s">
        <v>15</v>
      </c>
      <c r="H49" t="s">
        <v>15</v>
      </c>
      <c r="I49" t="s">
        <v>15</v>
      </c>
    </row>
    <row r="50" spans="1:9" x14ac:dyDescent="0.25">
      <c r="A50" s="6">
        <v>43048</v>
      </c>
      <c r="B50" t="s">
        <v>13</v>
      </c>
      <c r="C50">
        <v>56033</v>
      </c>
      <c r="D50" t="s">
        <v>14</v>
      </c>
      <c r="E50" s="7">
        <v>2054.79</v>
      </c>
      <c r="F50" t="s">
        <v>15</v>
      </c>
      <c r="G50" t="s">
        <v>15</v>
      </c>
      <c r="H50" t="s">
        <v>15</v>
      </c>
      <c r="I50" t="s">
        <v>15</v>
      </c>
    </row>
    <row r="51" spans="1:9" x14ac:dyDescent="0.25">
      <c r="A51" s="6">
        <v>43048</v>
      </c>
      <c r="B51" t="s">
        <v>13</v>
      </c>
      <c r="C51">
        <v>56034</v>
      </c>
      <c r="D51" t="s">
        <v>14</v>
      </c>
      <c r="E51" s="7">
        <v>1159.23</v>
      </c>
      <c r="F51" t="s">
        <v>15</v>
      </c>
      <c r="G51" t="s">
        <v>15</v>
      </c>
      <c r="H51" t="s">
        <v>15</v>
      </c>
      <c r="I51" t="s">
        <v>15</v>
      </c>
    </row>
    <row r="52" spans="1:9" x14ac:dyDescent="0.25">
      <c r="A52" s="6">
        <v>43048</v>
      </c>
      <c r="B52" t="s">
        <v>13</v>
      </c>
      <c r="C52">
        <v>56035</v>
      </c>
      <c r="D52" t="s">
        <v>14</v>
      </c>
      <c r="E52" s="7">
        <v>1165.71</v>
      </c>
      <c r="F52" t="s">
        <v>15</v>
      </c>
      <c r="G52" t="s">
        <v>15</v>
      </c>
      <c r="H52" t="s">
        <v>15</v>
      </c>
      <c r="I52" t="s">
        <v>15</v>
      </c>
    </row>
    <row r="53" spans="1:9" x14ac:dyDescent="0.25">
      <c r="A53" s="6">
        <v>43048</v>
      </c>
      <c r="B53" t="s">
        <v>13</v>
      </c>
      <c r="C53">
        <v>56037</v>
      </c>
      <c r="D53" t="s">
        <v>14</v>
      </c>
      <c r="E53" s="7">
        <v>1058.44</v>
      </c>
      <c r="F53" t="s">
        <v>15</v>
      </c>
      <c r="G53" t="s">
        <v>15</v>
      </c>
      <c r="H53" t="s">
        <v>15</v>
      </c>
      <c r="I53" t="s">
        <v>15</v>
      </c>
    </row>
    <row r="54" spans="1:9" x14ac:dyDescent="0.25">
      <c r="A54" s="6">
        <v>43061</v>
      </c>
      <c r="B54" t="s">
        <v>13</v>
      </c>
      <c r="C54">
        <v>56135</v>
      </c>
      <c r="D54" t="s">
        <v>14</v>
      </c>
      <c r="E54" s="7">
        <v>1354.41</v>
      </c>
      <c r="F54" t="s">
        <v>15</v>
      </c>
      <c r="G54" t="s">
        <v>15</v>
      </c>
      <c r="H54" t="s">
        <v>15</v>
      </c>
      <c r="I54" t="s">
        <v>15</v>
      </c>
    </row>
    <row r="55" spans="1:9" x14ac:dyDescent="0.25">
      <c r="A55" s="6">
        <v>43061</v>
      </c>
      <c r="B55" t="s">
        <v>13</v>
      </c>
      <c r="C55">
        <v>56136</v>
      </c>
      <c r="D55" t="s">
        <v>14</v>
      </c>
      <c r="E55" s="7">
        <v>1418.41</v>
      </c>
      <c r="F55" t="s">
        <v>15</v>
      </c>
      <c r="G55" t="s">
        <v>15</v>
      </c>
      <c r="H55" t="s">
        <v>15</v>
      </c>
      <c r="I55" t="s">
        <v>15</v>
      </c>
    </row>
    <row r="56" spans="1:9" x14ac:dyDescent="0.25">
      <c r="A56" s="6">
        <v>43061</v>
      </c>
      <c r="B56" t="s">
        <v>13</v>
      </c>
      <c r="C56">
        <v>56137</v>
      </c>
      <c r="D56" t="s">
        <v>14</v>
      </c>
      <c r="E56" s="7">
        <v>1661.32</v>
      </c>
      <c r="F56" t="s">
        <v>15</v>
      </c>
      <c r="G56" t="s">
        <v>15</v>
      </c>
      <c r="H56" t="s">
        <v>15</v>
      </c>
      <c r="I56" t="s">
        <v>15</v>
      </c>
    </row>
    <row r="57" spans="1:9" x14ac:dyDescent="0.25">
      <c r="A57" s="6">
        <v>43061</v>
      </c>
      <c r="B57" t="s">
        <v>13</v>
      </c>
      <c r="C57">
        <v>56138</v>
      </c>
      <c r="D57" t="s">
        <v>14</v>
      </c>
      <c r="E57" s="7">
        <v>1407.48</v>
      </c>
      <c r="F57" t="s">
        <v>15</v>
      </c>
      <c r="G57" t="s">
        <v>15</v>
      </c>
      <c r="H57" t="s">
        <v>15</v>
      </c>
      <c r="I57" t="s">
        <v>15</v>
      </c>
    </row>
    <row r="58" spans="1:9" x14ac:dyDescent="0.25">
      <c r="A58" s="6">
        <v>43061</v>
      </c>
      <c r="B58" t="s">
        <v>13</v>
      </c>
      <c r="C58">
        <v>56139</v>
      </c>
      <c r="D58" t="s">
        <v>14</v>
      </c>
      <c r="E58" s="7">
        <v>1214.74</v>
      </c>
      <c r="F58" t="s">
        <v>15</v>
      </c>
      <c r="G58" t="s">
        <v>15</v>
      </c>
      <c r="H58" t="s">
        <v>15</v>
      </c>
      <c r="I58" t="s">
        <v>15</v>
      </c>
    </row>
    <row r="59" spans="1:9" x14ac:dyDescent="0.25">
      <c r="A59" s="6">
        <v>43061</v>
      </c>
      <c r="B59" t="s">
        <v>13</v>
      </c>
      <c r="C59">
        <v>56140</v>
      </c>
      <c r="D59" t="s">
        <v>14</v>
      </c>
      <c r="E59" s="7">
        <v>1130.3</v>
      </c>
      <c r="F59" t="s">
        <v>15</v>
      </c>
      <c r="G59" t="s">
        <v>15</v>
      </c>
      <c r="H59" t="s">
        <v>15</v>
      </c>
      <c r="I59" t="s">
        <v>15</v>
      </c>
    </row>
    <row r="60" spans="1:9" x14ac:dyDescent="0.25">
      <c r="A60" s="6">
        <v>43061</v>
      </c>
      <c r="B60" t="s">
        <v>13</v>
      </c>
      <c r="C60">
        <v>56141</v>
      </c>
      <c r="D60" t="s">
        <v>14</v>
      </c>
      <c r="E60" s="7">
        <v>1066.8699999999999</v>
      </c>
      <c r="F60" t="s">
        <v>15</v>
      </c>
      <c r="G60" t="s">
        <v>15</v>
      </c>
      <c r="H60" t="s">
        <v>15</v>
      </c>
      <c r="I60" t="s">
        <v>15</v>
      </c>
    </row>
    <row r="61" spans="1:9" x14ac:dyDescent="0.25">
      <c r="A61" s="6">
        <v>43077</v>
      </c>
      <c r="B61" t="s">
        <v>13</v>
      </c>
      <c r="C61">
        <v>56231</v>
      </c>
      <c r="D61" t="s">
        <v>14</v>
      </c>
      <c r="E61" s="7">
        <v>1341.55</v>
      </c>
      <c r="F61" t="s">
        <v>15</v>
      </c>
      <c r="G61" t="s">
        <v>15</v>
      </c>
      <c r="H61" t="s">
        <v>15</v>
      </c>
      <c r="I61" t="s">
        <v>15</v>
      </c>
    </row>
    <row r="62" spans="1:9" x14ac:dyDescent="0.25">
      <c r="A62" s="6">
        <v>43077</v>
      </c>
      <c r="B62" t="s">
        <v>13</v>
      </c>
      <c r="C62">
        <v>56232</v>
      </c>
      <c r="D62" t="s">
        <v>14</v>
      </c>
      <c r="E62" s="7">
        <v>1474.99</v>
      </c>
      <c r="F62" t="s">
        <v>15</v>
      </c>
      <c r="G62" t="s">
        <v>15</v>
      </c>
      <c r="H62" t="s">
        <v>15</v>
      </c>
      <c r="I62" t="s">
        <v>15</v>
      </c>
    </row>
    <row r="63" spans="1:9" x14ac:dyDescent="0.25">
      <c r="A63" s="6">
        <v>43077</v>
      </c>
      <c r="B63" t="s">
        <v>13</v>
      </c>
      <c r="C63">
        <v>56233</v>
      </c>
      <c r="D63" t="s">
        <v>14</v>
      </c>
      <c r="E63" s="7">
        <v>2027.7</v>
      </c>
      <c r="F63" t="s">
        <v>15</v>
      </c>
      <c r="G63" t="s">
        <v>15</v>
      </c>
      <c r="H63" t="s">
        <v>15</v>
      </c>
      <c r="I63" t="s">
        <v>15</v>
      </c>
    </row>
    <row r="64" spans="1:9" x14ac:dyDescent="0.25">
      <c r="A64" s="6">
        <v>43077</v>
      </c>
      <c r="B64" t="s">
        <v>13</v>
      </c>
      <c r="C64">
        <v>56234</v>
      </c>
      <c r="D64" t="s">
        <v>14</v>
      </c>
      <c r="E64" s="7">
        <v>1253.27</v>
      </c>
      <c r="F64" t="s">
        <v>15</v>
      </c>
      <c r="G64" t="s">
        <v>15</v>
      </c>
      <c r="H64" t="s">
        <v>15</v>
      </c>
      <c r="I64" t="s">
        <v>15</v>
      </c>
    </row>
    <row r="65" spans="1:9" x14ac:dyDescent="0.25">
      <c r="A65" s="6">
        <v>43077</v>
      </c>
      <c r="B65" t="s">
        <v>13</v>
      </c>
      <c r="C65">
        <v>56235</v>
      </c>
      <c r="D65" t="s">
        <v>14</v>
      </c>
      <c r="E65" s="7">
        <v>1153.6500000000001</v>
      </c>
      <c r="F65" t="s">
        <v>15</v>
      </c>
      <c r="G65" t="s">
        <v>15</v>
      </c>
      <c r="H65" t="s">
        <v>15</v>
      </c>
      <c r="I65" t="s">
        <v>15</v>
      </c>
    </row>
    <row r="66" spans="1:9" x14ac:dyDescent="0.25">
      <c r="A66" s="6">
        <v>43077</v>
      </c>
      <c r="B66" t="s">
        <v>13</v>
      </c>
      <c r="C66">
        <v>56237</v>
      </c>
      <c r="D66" t="s">
        <v>14</v>
      </c>
      <c r="E66" s="7">
        <v>1061.54</v>
      </c>
      <c r="F66" t="s">
        <v>15</v>
      </c>
      <c r="G66" t="s">
        <v>15</v>
      </c>
      <c r="H66" t="s">
        <v>15</v>
      </c>
      <c r="I66" t="s">
        <v>15</v>
      </c>
    </row>
    <row r="67" spans="1:9" x14ac:dyDescent="0.25">
      <c r="A67" s="6">
        <v>43090</v>
      </c>
      <c r="B67" t="s">
        <v>13</v>
      </c>
      <c r="C67">
        <v>56429</v>
      </c>
      <c r="D67" t="s">
        <v>14</v>
      </c>
      <c r="E67" s="7">
        <v>1463.09</v>
      </c>
      <c r="F67" t="s">
        <v>15</v>
      </c>
      <c r="G67" t="s">
        <v>15</v>
      </c>
      <c r="H67" t="s">
        <v>15</v>
      </c>
      <c r="I67" t="s">
        <v>15</v>
      </c>
    </row>
    <row r="68" spans="1:9" x14ac:dyDescent="0.25">
      <c r="A68" s="6">
        <v>43090</v>
      </c>
      <c r="B68" t="s">
        <v>13</v>
      </c>
      <c r="C68">
        <v>56430</v>
      </c>
      <c r="D68" t="s">
        <v>14</v>
      </c>
      <c r="E68" s="7">
        <v>1560.54</v>
      </c>
      <c r="F68" t="s">
        <v>15</v>
      </c>
      <c r="G68" t="s">
        <v>15</v>
      </c>
      <c r="H68" t="s">
        <v>15</v>
      </c>
      <c r="I68" t="s">
        <v>15</v>
      </c>
    </row>
    <row r="69" spans="1:9" x14ac:dyDescent="0.25">
      <c r="A69" s="6">
        <v>43090</v>
      </c>
      <c r="B69" t="s">
        <v>13</v>
      </c>
      <c r="C69">
        <v>56431</v>
      </c>
      <c r="D69" t="s">
        <v>14</v>
      </c>
      <c r="E69" s="7">
        <v>1916.22</v>
      </c>
      <c r="F69" t="s">
        <v>15</v>
      </c>
      <c r="G69" t="s">
        <v>15</v>
      </c>
      <c r="H69" t="s">
        <v>15</v>
      </c>
      <c r="I69" t="s">
        <v>15</v>
      </c>
    </row>
    <row r="70" spans="1:9" x14ac:dyDescent="0.25">
      <c r="A70" s="6">
        <v>43090</v>
      </c>
      <c r="B70" t="s">
        <v>13</v>
      </c>
      <c r="C70">
        <v>56432</v>
      </c>
      <c r="D70" t="s">
        <v>14</v>
      </c>
      <c r="E70" s="7">
        <v>1460.79</v>
      </c>
      <c r="F70" t="s">
        <v>15</v>
      </c>
      <c r="G70" t="s">
        <v>15</v>
      </c>
      <c r="H70" t="s">
        <v>15</v>
      </c>
      <c r="I70" t="s">
        <v>15</v>
      </c>
    </row>
    <row r="71" spans="1:9" x14ac:dyDescent="0.25">
      <c r="A71" s="6">
        <v>43090</v>
      </c>
      <c r="B71" t="s">
        <v>13</v>
      </c>
      <c r="C71">
        <v>56433</v>
      </c>
      <c r="D71" t="s">
        <v>14</v>
      </c>
      <c r="E71" s="7">
        <v>1189.47</v>
      </c>
      <c r="F71" t="s">
        <v>15</v>
      </c>
      <c r="G71" t="s">
        <v>15</v>
      </c>
      <c r="H71" t="s">
        <v>15</v>
      </c>
      <c r="I71" t="s">
        <v>15</v>
      </c>
    </row>
    <row r="72" spans="1:9" x14ac:dyDescent="0.25">
      <c r="A72" s="6">
        <v>43090</v>
      </c>
      <c r="B72" t="s">
        <v>13</v>
      </c>
      <c r="C72">
        <v>56434</v>
      </c>
      <c r="D72" t="s">
        <v>14</v>
      </c>
      <c r="E72" s="7">
        <v>1131.1400000000001</v>
      </c>
      <c r="F72" t="s">
        <v>15</v>
      </c>
      <c r="G72" t="s">
        <v>15</v>
      </c>
      <c r="H72" t="s">
        <v>15</v>
      </c>
      <c r="I72" t="s">
        <v>15</v>
      </c>
    </row>
    <row r="73" spans="1:9" x14ac:dyDescent="0.25">
      <c r="A73" s="6">
        <v>43090</v>
      </c>
      <c r="B73" t="s">
        <v>13</v>
      </c>
      <c r="C73">
        <v>56435</v>
      </c>
      <c r="D73" t="s">
        <v>14</v>
      </c>
      <c r="E73" s="7">
        <v>1063.29</v>
      </c>
      <c r="F73" t="s">
        <v>15</v>
      </c>
      <c r="G73" t="s">
        <v>15</v>
      </c>
      <c r="H73" t="s">
        <v>15</v>
      </c>
      <c r="I73" t="s">
        <v>15</v>
      </c>
    </row>
    <row r="74" spans="1:9" x14ac:dyDescent="0.25">
      <c r="A74" s="6">
        <v>43105</v>
      </c>
      <c r="B74" t="s">
        <v>13</v>
      </c>
      <c r="C74">
        <v>56448</v>
      </c>
      <c r="D74" t="s">
        <v>14</v>
      </c>
      <c r="E74" s="7">
        <v>1283.57</v>
      </c>
      <c r="F74" t="s">
        <v>15</v>
      </c>
      <c r="G74" t="s">
        <v>15</v>
      </c>
      <c r="H74" t="s">
        <v>15</v>
      </c>
      <c r="I74" t="s">
        <v>15</v>
      </c>
    </row>
    <row r="75" spans="1:9" x14ac:dyDescent="0.25">
      <c r="A75" s="6">
        <v>43105</v>
      </c>
      <c r="B75" t="s">
        <v>13</v>
      </c>
      <c r="C75">
        <v>56449</v>
      </c>
      <c r="D75" t="s">
        <v>14</v>
      </c>
      <c r="E75" s="7">
        <v>1482</v>
      </c>
      <c r="F75" t="s">
        <v>15</v>
      </c>
      <c r="G75" t="s">
        <v>15</v>
      </c>
      <c r="H75" t="s">
        <v>15</v>
      </c>
      <c r="I75" t="s">
        <v>15</v>
      </c>
    </row>
    <row r="76" spans="1:9" x14ac:dyDescent="0.25">
      <c r="A76" s="6">
        <v>43105</v>
      </c>
      <c r="B76" t="s">
        <v>13</v>
      </c>
      <c r="C76">
        <v>56450</v>
      </c>
      <c r="D76" t="s">
        <v>14</v>
      </c>
      <c r="E76" s="7">
        <v>1664.22</v>
      </c>
      <c r="F76" t="s">
        <v>15</v>
      </c>
      <c r="G76" t="s">
        <v>15</v>
      </c>
      <c r="H76" t="s">
        <v>15</v>
      </c>
      <c r="I76" t="s">
        <v>15</v>
      </c>
    </row>
    <row r="77" spans="1:9" x14ac:dyDescent="0.25">
      <c r="A77" s="6">
        <v>43105</v>
      </c>
      <c r="B77" t="s">
        <v>13</v>
      </c>
      <c r="C77">
        <v>56451</v>
      </c>
      <c r="D77" t="s">
        <v>14</v>
      </c>
      <c r="E77" s="7">
        <v>1626.72</v>
      </c>
      <c r="F77" t="s">
        <v>15</v>
      </c>
      <c r="G77" t="s">
        <v>15</v>
      </c>
      <c r="H77" t="s">
        <v>15</v>
      </c>
      <c r="I77" t="s">
        <v>15</v>
      </c>
    </row>
    <row r="78" spans="1:9" x14ac:dyDescent="0.25">
      <c r="A78" s="6">
        <v>43105</v>
      </c>
      <c r="B78" t="s">
        <v>13</v>
      </c>
      <c r="C78">
        <v>56452</v>
      </c>
      <c r="D78" t="s">
        <v>14</v>
      </c>
      <c r="E78" s="7">
        <v>1143.73</v>
      </c>
      <c r="F78" t="s">
        <v>15</v>
      </c>
      <c r="G78" t="s">
        <v>15</v>
      </c>
      <c r="H78" t="s">
        <v>15</v>
      </c>
      <c r="I78" t="s">
        <v>15</v>
      </c>
    </row>
    <row r="79" spans="1:9" x14ac:dyDescent="0.25">
      <c r="A79" s="6">
        <v>43105</v>
      </c>
      <c r="B79" t="s">
        <v>13</v>
      </c>
      <c r="C79">
        <v>56453</v>
      </c>
      <c r="D79" t="s">
        <v>14</v>
      </c>
      <c r="E79" s="7">
        <v>1042.45</v>
      </c>
      <c r="F79" t="s">
        <v>15</v>
      </c>
      <c r="G79" t="s">
        <v>15</v>
      </c>
      <c r="H79" t="s">
        <v>15</v>
      </c>
      <c r="I79" t="s">
        <v>15</v>
      </c>
    </row>
    <row r="80" spans="1:9" x14ac:dyDescent="0.25">
      <c r="A80" s="6">
        <v>43119</v>
      </c>
      <c r="B80" t="s">
        <v>13</v>
      </c>
      <c r="C80">
        <v>56577</v>
      </c>
      <c r="D80" t="s">
        <v>14</v>
      </c>
      <c r="E80" s="7">
        <v>1262.17</v>
      </c>
      <c r="F80" t="s">
        <v>15</v>
      </c>
      <c r="G80" t="s">
        <v>15</v>
      </c>
      <c r="H80" t="s">
        <v>15</v>
      </c>
      <c r="I80" t="s">
        <v>15</v>
      </c>
    </row>
    <row r="81" spans="1:9" x14ac:dyDescent="0.25">
      <c r="A81" s="6">
        <v>43119</v>
      </c>
      <c r="B81" t="s">
        <v>13</v>
      </c>
      <c r="C81">
        <v>56578</v>
      </c>
      <c r="D81" t="s">
        <v>14</v>
      </c>
      <c r="E81" s="7">
        <v>1421.92</v>
      </c>
      <c r="F81" t="s">
        <v>15</v>
      </c>
      <c r="G81" t="s">
        <v>15</v>
      </c>
      <c r="H81" t="s">
        <v>15</v>
      </c>
      <c r="I81" t="s">
        <v>15</v>
      </c>
    </row>
    <row r="82" spans="1:9" x14ac:dyDescent="0.25">
      <c r="A82" s="6">
        <v>43119</v>
      </c>
      <c r="B82" t="s">
        <v>13</v>
      </c>
      <c r="C82">
        <v>56579</v>
      </c>
      <c r="D82" t="s">
        <v>14</v>
      </c>
      <c r="E82" s="7">
        <v>1788.62</v>
      </c>
      <c r="F82" t="s">
        <v>15</v>
      </c>
      <c r="G82" t="s">
        <v>15</v>
      </c>
      <c r="H82" t="s">
        <v>15</v>
      </c>
      <c r="I82" t="s">
        <v>15</v>
      </c>
    </row>
    <row r="83" spans="1:9" x14ac:dyDescent="0.25">
      <c r="A83" s="6">
        <v>43119</v>
      </c>
      <c r="B83" t="s">
        <v>13</v>
      </c>
      <c r="C83">
        <v>56580</v>
      </c>
      <c r="D83" t="s">
        <v>14</v>
      </c>
      <c r="E83" s="7">
        <v>1549.52</v>
      </c>
      <c r="F83" t="s">
        <v>15</v>
      </c>
      <c r="G83" t="s">
        <v>15</v>
      </c>
      <c r="H83" t="s">
        <v>15</v>
      </c>
      <c r="I83" t="s">
        <v>15</v>
      </c>
    </row>
    <row r="84" spans="1:9" x14ac:dyDescent="0.25">
      <c r="A84" s="6">
        <v>43119</v>
      </c>
      <c r="B84" t="s">
        <v>13</v>
      </c>
      <c r="C84">
        <v>56582</v>
      </c>
      <c r="D84" t="s">
        <v>14</v>
      </c>
      <c r="E84" s="7">
        <v>1060.08</v>
      </c>
      <c r="F84" t="s">
        <v>15</v>
      </c>
      <c r="G84" t="s">
        <v>15</v>
      </c>
      <c r="H84" t="s">
        <v>15</v>
      </c>
      <c r="I84" t="s">
        <v>15</v>
      </c>
    </row>
    <row r="85" spans="1:9" x14ac:dyDescent="0.25">
      <c r="A85" s="6">
        <v>43133</v>
      </c>
      <c r="B85" t="s">
        <v>13</v>
      </c>
      <c r="C85">
        <v>56705</v>
      </c>
      <c r="D85" t="s">
        <v>14</v>
      </c>
      <c r="E85" s="7">
        <v>1047.6500000000001</v>
      </c>
      <c r="F85" t="s">
        <v>15</v>
      </c>
      <c r="G85" t="s">
        <v>15</v>
      </c>
      <c r="H85" t="s">
        <v>15</v>
      </c>
      <c r="I85" t="s">
        <v>15</v>
      </c>
    </row>
    <row r="86" spans="1:9" x14ac:dyDescent="0.25">
      <c r="A86" s="6">
        <v>43133</v>
      </c>
      <c r="B86" t="s">
        <v>13</v>
      </c>
      <c r="C86">
        <v>56706</v>
      </c>
      <c r="D86" t="s">
        <v>14</v>
      </c>
      <c r="E86" s="7">
        <v>1724.67</v>
      </c>
      <c r="F86" t="s">
        <v>15</v>
      </c>
      <c r="G86" t="s">
        <v>15</v>
      </c>
      <c r="H86" t="s">
        <v>15</v>
      </c>
      <c r="I86" t="s">
        <v>15</v>
      </c>
    </row>
    <row r="87" spans="1:9" x14ac:dyDescent="0.25">
      <c r="A87" s="6">
        <v>43133</v>
      </c>
      <c r="B87" t="s">
        <v>13</v>
      </c>
      <c r="C87">
        <v>56707</v>
      </c>
      <c r="D87" t="s">
        <v>14</v>
      </c>
      <c r="E87" s="7">
        <v>2152.89</v>
      </c>
      <c r="F87" t="s">
        <v>15</v>
      </c>
      <c r="G87" t="s">
        <v>15</v>
      </c>
      <c r="H87" t="s">
        <v>15</v>
      </c>
      <c r="I87" t="s">
        <v>15</v>
      </c>
    </row>
    <row r="88" spans="1:9" x14ac:dyDescent="0.25">
      <c r="A88" s="6">
        <v>43133</v>
      </c>
      <c r="B88" t="s">
        <v>13</v>
      </c>
      <c r="C88">
        <v>56708</v>
      </c>
      <c r="D88" t="s">
        <v>14</v>
      </c>
      <c r="E88" s="7">
        <v>1516.05</v>
      </c>
      <c r="F88" t="s">
        <v>15</v>
      </c>
      <c r="G88" t="s">
        <v>15</v>
      </c>
      <c r="H88" t="s">
        <v>15</v>
      </c>
      <c r="I88" t="s">
        <v>15</v>
      </c>
    </row>
    <row r="89" spans="1:9" x14ac:dyDescent="0.25">
      <c r="A89" s="6">
        <v>43133</v>
      </c>
      <c r="B89" t="s">
        <v>13</v>
      </c>
      <c r="C89">
        <v>56709</v>
      </c>
      <c r="D89" t="s">
        <v>14</v>
      </c>
      <c r="E89" s="7">
        <v>1108.79</v>
      </c>
      <c r="F89" t="s">
        <v>15</v>
      </c>
      <c r="G89" t="s">
        <v>15</v>
      </c>
      <c r="H89" t="s">
        <v>15</v>
      </c>
      <c r="I89" t="s">
        <v>15</v>
      </c>
    </row>
    <row r="90" spans="1:9" x14ac:dyDescent="0.25">
      <c r="A90" s="6">
        <v>43131</v>
      </c>
      <c r="B90" t="s">
        <v>13</v>
      </c>
      <c r="C90">
        <v>56716</v>
      </c>
      <c r="D90" t="s">
        <v>14</v>
      </c>
      <c r="E90" s="7">
        <v>5517.31</v>
      </c>
      <c r="F90" t="s">
        <v>15</v>
      </c>
      <c r="G90" t="s">
        <v>15</v>
      </c>
      <c r="H90" t="s">
        <v>15</v>
      </c>
      <c r="I90" t="s">
        <v>15</v>
      </c>
    </row>
    <row r="91" spans="1:9" x14ac:dyDescent="0.25">
      <c r="A91" s="6">
        <v>43144</v>
      </c>
      <c r="B91" t="s">
        <v>13</v>
      </c>
      <c r="C91">
        <v>56826</v>
      </c>
      <c r="D91" t="s">
        <v>14</v>
      </c>
      <c r="E91" s="7">
        <v>1007.89</v>
      </c>
      <c r="F91" t="s">
        <v>15</v>
      </c>
      <c r="G91" t="s">
        <v>15</v>
      </c>
      <c r="H91" t="s">
        <v>15</v>
      </c>
      <c r="I91" t="s">
        <v>15</v>
      </c>
    </row>
    <row r="92" spans="1:9" x14ac:dyDescent="0.25">
      <c r="A92" s="6">
        <v>43144</v>
      </c>
      <c r="B92" t="s">
        <v>13</v>
      </c>
      <c r="C92">
        <v>56827</v>
      </c>
      <c r="D92" t="s">
        <v>14</v>
      </c>
      <c r="E92" s="7">
        <v>1436.95</v>
      </c>
      <c r="F92" t="s">
        <v>15</v>
      </c>
      <c r="G92" t="s">
        <v>15</v>
      </c>
      <c r="H92" t="s">
        <v>15</v>
      </c>
      <c r="I92" t="s">
        <v>15</v>
      </c>
    </row>
    <row r="93" spans="1:9" x14ac:dyDescent="0.25">
      <c r="A93" s="6">
        <v>43144</v>
      </c>
      <c r="B93" t="s">
        <v>13</v>
      </c>
      <c r="C93">
        <v>56828</v>
      </c>
      <c r="D93" t="s">
        <v>14</v>
      </c>
      <c r="E93" s="7">
        <v>2006.53</v>
      </c>
      <c r="F93" t="s">
        <v>15</v>
      </c>
      <c r="G93" t="s">
        <v>15</v>
      </c>
      <c r="H93" t="s">
        <v>15</v>
      </c>
      <c r="I93" t="s">
        <v>15</v>
      </c>
    </row>
    <row r="94" spans="1:9" x14ac:dyDescent="0.25">
      <c r="A94" s="6">
        <v>43144</v>
      </c>
      <c r="B94" t="s">
        <v>13</v>
      </c>
      <c r="C94">
        <v>56829</v>
      </c>
      <c r="D94" t="s">
        <v>14</v>
      </c>
      <c r="E94" s="7">
        <v>1360.34</v>
      </c>
      <c r="F94" t="s">
        <v>15</v>
      </c>
      <c r="G94" t="s">
        <v>15</v>
      </c>
      <c r="H94" t="s">
        <v>15</v>
      </c>
      <c r="I94" t="s">
        <v>15</v>
      </c>
    </row>
    <row r="95" spans="1:9" x14ac:dyDescent="0.25">
      <c r="A95" s="6">
        <v>43144</v>
      </c>
      <c r="B95" t="s">
        <v>13</v>
      </c>
      <c r="C95">
        <v>56830</v>
      </c>
      <c r="D95" t="s">
        <v>14</v>
      </c>
      <c r="E95" s="7">
        <v>1510.72</v>
      </c>
      <c r="F95" t="s">
        <v>15</v>
      </c>
      <c r="G95" t="s">
        <v>15</v>
      </c>
      <c r="H95" t="s">
        <v>15</v>
      </c>
      <c r="I95" t="s">
        <v>15</v>
      </c>
    </row>
    <row r="96" spans="1:9" x14ac:dyDescent="0.25">
      <c r="A96" s="6">
        <v>43144</v>
      </c>
      <c r="B96" t="s">
        <v>13</v>
      </c>
      <c r="C96">
        <v>56831</v>
      </c>
      <c r="D96" t="s">
        <v>14</v>
      </c>
      <c r="E96" s="7">
        <v>1120.42</v>
      </c>
      <c r="F96" t="s">
        <v>15</v>
      </c>
      <c r="G96" t="s">
        <v>15</v>
      </c>
      <c r="H96" t="s">
        <v>15</v>
      </c>
      <c r="I96" t="s">
        <v>15</v>
      </c>
    </row>
    <row r="97" spans="1:9" x14ac:dyDescent="0.25">
      <c r="A97" s="6">
        <v>43161</v>
      </c>
      <c r="B97" t="s">
        <v>13</v>
      </c>
      <c r="C97">
        <v>56957</v>
      </c>
      <c r="D97" t="s">
        <v>14</v>
      </c>
      <c r="E97" s="7">
        <v>1166.0999999999999</v>
      </c>
      <c r="F97" t="s">
        <v>15</v>
      </c>
      <c r="G97" t="s">
        <v>15</v>
      </c>
      <c r="H97" t="s">
        <v>15</v>
      </c>
      <c r="I97" t="s">
        <v>15</v>
      </c>
    </row>
    <row r="98" spans="1:9" x14ac:dyDescent="0.25">
      <c r="A98" s="6">
        <v>43161</v>
      </c>
      <c r="B98" t="s">
        <v>13</v>
      </c>
      <c r="C98">
        <v>56958</v>
      </c>
      <c r="D98" t="s">
        <v>14</v>
      </c>
      <c r="E98" s="7">
        <v>1961.63</v>
      </c>
      <c r="F98" t="s">
        <v>15</v>
      </c>
      <c r="G98" t="s">
        <v>15</v>
      </c>
      <c r="H98" t="s">
        <v>15</v>
      </c>
      <c r="I98" t="s">
        <v>15</v>
      </c>
    </row>
    <row r="99" spans="1:9" x14ac:dyDescent="0.25">
      <c r="A99" s="6">
        <v>43161</v>
      </c>
      <c r="B99" t="s">
        <v>13</v>
      </c>
      <c r="C99">
        <v>56959</v>
      </c>
      <c r="D99" t="s">
        <v>14</v>
      </c>
      <c r="E99" s="7">
        <v>1797.27</v>
      </c>
      <c r="F99" t="s">
        <v>15</v>
      </c>
      <c r="G99" t="s">
        <v>15</v>
      </c>
      <c r="H99" t="s">
        <v>15</v>
      </c>
      <c r="I99" t="s">
        <v>15</v>
      </c>
    </row>
    <row r="100" spans="1:9" x14ac:dyDescent="0.25">
      <c r="A100" s="6">
        <v>43161</v>
      </c>
      <c r="B100" t="s">
        <v>13</v>
      </c>
      <c r="C100">
        <v>56961</v>
      </c>
      <c r="D100" t="s">
        <v>14</v>
      </c>
      <c r="E100" s="7">
        <v>1240.92</v>
      </c>
      <c r="F100" t="s">
        <v>15</v>
      </c>
      <c r="G100" t="s">
        <v>15</v>
      </c>
      <c r="H100" t="s">
        <v>15</v>
      </c>
      <c r="I100" t="s">
        <v>15</v>
      </c>
    </row>
    <row r="101" spans="1:9" x14ac:dyDescent="0.25">
      <c r="A101" s="6">
        <v>43161</v>
      </c>
      <c r="B101" t="s">
        <v>13</v>
      </c>
      <c r="C101">
        <v>56962</v>
      </c>
      <c r="D101" t="s">
        <v>14</v>
      </c>
      <c r="E101" s="7">
        <v>1209.04</v>
      </c>
      <c r="F101" t="s">
        <v>15</v>
      </c>
      <c r="G101" t="s">
        <v>15</v>
      </c>
      <c r="H101" t="s">
        <v>15</v>
      </c>
      <c r="I101" t="s">
        <v>15</v>
      </c>
    </row>
    <row r="102" spans="1:9" x14ac:dyDescent="0.25">
      <c r="A102" s="6">
        <v>43175</v>
      </c>
      <c r="B102" t="s">
        <v>13</v>
      </c>
      <c r="C102">
        <v>57124</v>
      </c>
      <c r="D102" t="s">
        <v>14</v>
      </c>
      <c r="E102" s="7">
        <v>1448.76</v>
      </c>
      <c r="F102" t="s">
        <v>15</v>
      </c>
      <c r="G102" t="s">
        <v>15</v>
      </c>
      <c r="H102" t="s">
        <v>15</v>
      </c>
      <c r="I102" t="s">
        <v>15</v>
      </c>
    </row>
    <row r="103" spans="1:9" x14ac:dyDescent="0.25">
      <c r="A103" s="6">
        <v>43175</v>
      </c>
      <c r="B103" t="s">
        <v>13</v>
      </c>
      <c r="C103">
        <v>57125</v>
      </c>
      <c r="D103" t="s">
        <v>14</v>
      </c>
      <c r="E103" s="7">
        <v>1322.55</v>
      </c>
      <c r="F103" t="s">
        <v>15</v>
      </c>
      <c r="G103" t="s">
        <v>15</v>
      </c>
      <c r="H103" t="s">
        <v>15</v>
      </c>
      <c r="I103" t="s">
        <v>15</v>
      </c>
    </row>
    <row r="104" spans="1:9" x14ac:dyDescent="0.25">
      <c r="A104" s="6">
        <v>43175</v>
      </c>
      <c r="B104" t="s">
        <v>13</v>
      </c>
      <c r="C104">
        <v>57126</v>
      </c>
      <c r="D104" t="s">
        <v>14</v>
      </c>
      <c r="E104" s="7">
        <v>2108.7600000000002</v>
      </c>
      <c r="F104" t="s">
        <v>15</v>
      </c>
      <c r="G104" t="s">
        <v>15</v>
      </c>
      <c r="H104" t="s">
        <v>15</v>
      </c>
      <c r="I104" t="s">
        <v>15</v>
      </c>
    </row>
    <row r="105" spans="1:9" x14ac:dyDescent="0.25">
      <c r="A105" s="6">
        <v>43175</v>
      </c>
      <c r="B105" t="s">
        <v>13</v>
      </c>
      <c r="C105">
        <v>57127</v>
      </c>
      <c r="D105" t="s">
        <v>14</v>
      </c>
      <c r="E105" s="7">
        <v>1166.29</v>
      </c>
      <c r="F105" t="s">
        <v>15</v>
      </c>
      <c r="G105" t="s">
        <v>15</v>
      </c>
      <c r="H105" t="s">
        <v>15</v>
      </c>
      <c r="I105" t="s">
        <v>15</v>
      </c>
    </row>
    <row r="106" spans="1:9" x14ac:dyDescent="0.25">
      <c r="A106" s="6">
        <v>43175</v>
      </c>
      <c r="B106" t="s">
        <v>13</v>
      </c>
      <c r="C106">
        <v>57128</v>
      </c>
      <c r="D106" t="s">
        <v>14</v>
      </c>
      <c r="E106" s="7">
        <v>1103.6199999999999</v>
      </c>
      <c r="F106" t="s">
        <v>15</v>
      </c>
      <c r="G106" t="s">
        <v>15</v>
      </c>
      <c r="H106" t="s">
        <v>15</v>
      </c>
      <c r="I106" t="s">
        <v>15</v>
      </c>
    </row>
    <row r="107" spans="1:9" x14ac:dyDescent="0.25">
      <c r="A107" s="6">
        <v>43175</v>
      </c>
      <c r="B107" t="s">
        <v>13</v>
      </c>
      <c r="C107">
        <v>57129</v>
      </c>
      <c r="D107" t="s">
        <v>14</v>
      </c>
      <c r="E107" s="7">
        <v>1127.78</v>
      </c>
      <c r="F107" t="s">
        <v>15</v>
      </c>
      <c r="G107" t="s">
        <v>15</v>
      </c>
      <c r="H107" t="s">
        <v>15</v>
      </c>
      <c r="I107" t="s">
        <v>15</v>
      </c>
    </row>
    <row r="108" spans="1:9" x14ac:dyDescent="0.25">
      <c r="A108" s="6">
        <v>43187</v>
      </c>
      <c r="B108" t="s">
        <v>13</v>
      </c>
      <c r="C108">
        <v>57226</v>
      </c>
      <c r="D108" t="s">
        <v>14</v>
      </c>
      <c r="E108" s="7">
        <v>1303.3499999999999</v>
      </c>
      <c r="F108" t="s">
        <v>15</v>
      </c>
      <c r="G108" t="s">
        <v>15</v>
      </c>
      <c r="H108" t="s">
        <v>15</v>
      </c>
      <c r="I108" t="s">
        <v>15</v>
      </c>
    </row>
    <row r="109" spans="1:9" x14ac:dyDescent="0.25">
      <c r="A109" s="6">
        <v>43187</v>
      </c>
      <c r="B109" t="s">
        <v>13</v>
      </c>
      <c r="C109">
        <v>57227</v>
      </c>
      <c r="D109" t="s">
        <v>14</v>
      </c>
      <c r="E109" s="7">
        <v>1514.68</v>
      </c>
      <c r="F109" t="s">
        <v>15</v>
      </c>
      <c r="G109" t="s">
        <v>15</v>
      </c>
      <c r="H109" t="s">
        <v>15</v>
      </c>
      <c r="I109" t="s">
        <v>15</v>
      </c>
    </row>
    <row r="110" spans="1:9" x14ac:dyDescent="0.25">
      <c r="A110" s="6">
        <v>43187</v>
      </c>
      <c r="B110" t="s">
        <v>13</v>
      </c>
      <c r="C110">
        <v>57228</v>
      </c>
      <c r="D110" t="s">
        <v>14</v>
      </c>
      <c r="E110" s="7">
        <v>1139.4100000000001</v>
      </c>
      <c r="F110" t="s">
        <v>15</v>
      </c>
      <c r="G110" t="s">
        <v>15</v>
      </c>
      <c r="H110" t="s">
        <v>15</v>
      </c>
      <c r="I110" t="s">
        <v>15</v>
      </c>
    </row>
    <row r="111" spans="1:9" x14ac:dyDescent="0.25">
      <c r="A111" s="6">
        <v>43187</v>
      </c>
      <c r="B111" t="s">
        <v>13</v>
      </c>
      <c r="C111">
        <v>57229</v>
      </c>
      <c r="D111" t="s">
        <v>14</v>
      </c>
      <c r="E111" s="7">
        <v>1281.74</v>
      </c>
      <c r="F111" t="s">
        <v>15</v>
      </c>
      <c r="G111" t="s">
        <v>15</v>
      </c>
      <c r="H111" t="s">
        <v>15</v>
      </c>
      <c r="I111" t="s">
        <v>15</v>
      </c>
    </row>
    <row r="112" spans="1:9" x14ac:dyDescent="0.25">
      <c r="A112" s="6">
        <v>43188</v>
      </c>
      <c r="B112" t="s">
        <v>13</v>
      </c>
      <c r="C112">
        <v>57230</v>
      </c>
      <c r="D112" t="s">
        <v>14</v>
      </c>
      <c r="E112" s="7">
        <v>1756.11</v>
      </c>
      <c r="F112" t="s">
        <v>15</v>
      </c>
      <c r="G112" t="s">
        <v>15</v>
      </c>
      <c r="H112" t="s">
        <v>15</v>
      </c>
      <c r="I112" t="s">
        <v>15</v>
      </c>
    </row>
    <row r="113" spans="1:9" x14ac:dyDescent="0.25">
      <c r="A113" s="6">
        <v>43188</v>
      </c>
      <c r="B113" t="s">
        <v>13</v>
      </c>
      <c r="C113">
        <v>57231</v>
      </c>
      <c r="D113" t="s">
        <v>14</v>
      </c>
      <c r="E113" s="7">
        <v>1291.98</v>
      </c>
      <c r="F113" t="s">
        <v>15</v>
      </c>
      <c r="G113" t="s">
        <v>15</v>
      </c>
      <c r="H113" t="s">
        <v>15</v>
      </c>
      <c r="I113" t="s">
        <v>15</v>
      </c>
    </row>
    <row r="114" spans="1:9" x14ac:dyDescent="0.25">
      <c r="A114" s="6">
        <v>43188</v>
      </c>
      <c r="B114" t="s">
        <v>13</v>
      </c>
      <c r="C114">
        <v>57232</v>
      </c>
      <c r="D114" t="s">
        <v>14</v>
      </c>
      <c r="E114" s="7">
        <v>2342.33</v>
      </c>
      <c r="F114" t="s">
        <v>15</v>
      </c>
      <c r="G114" t="s">
        <v>15</v>
      </c>
      <c r="H114" t="s">
        <v>15</v>
      </c>
      <c r="I114" t="s">
        <v>15</v>
      </c>
    </row>
    <row r="115" spans="1:9" x14ac:dyDescent="0.25">
      <c r="A115" s="6">
        <v>43188</v>
      </c>
      <c r="B115" t="s">
        <v>13</v>
      </c>
      <c r="C115">
        <v>57233</v>
      </c>
      <c r="D115" t="s">
        <v>14</v>
      </c>
      <c r="E115" s="7">
        <v>1174.1600000000001</v>
      </c>
      <c r="F115" t="s">
        <v>15</v>
      </c>
      <c r="G115" t="s">
        <v>15</v>
      </c>
      <c r="H115" t="s">
        <v>15</v>
      </c>
      <c r="I115" t="s">
        <v>15</v>
      </c>
    </row>
    <row r="116" spans="1:9" x14ac:dyDescent="0.25">
      <c r="A116" s="6">
        <v>43188</v>
      </c>
      <c r="B116" t="s">
        <v>13</v>
      </c>
      <c r="C116">
        <v>57234</v>
      </c>
      <c r="D116" t="s">
        <v>14</v>
      </c>
      <c r="E116" s="7">
        <v>1300.1600000000001</v>
      </c>
      <c r="F116" t="s">
        <v>15</v>
      </c>
      <c r="G116" t="s">
        <v>15</v>
      </c>
      <c r="H116" t="s">
        <v>15</v>
      </c>
      <c r="I116" t="s">
        <v>15</v>
      </c>
    </row>
    <row r="117" spans="1:9" x14ac:dyDescent="0.25">
      <c r="A117" s="6">
        <v>43203</v>
      </c>
      <c r="B117" t="s">
        <v>13</v>
      </c>
      <c r="C117">
        <v>57331</v>
      </c>
      <c r="D117" t="s">
        <v>14</v>
      </c>
      <c r="E117" s="7">
        <v>1182.8699999999999</v>
      </c>
      <c r="F117" t="s">
        <v>15</v>
      </c>
      <c r="G117" t="s">
        <v>15</v>
      </c>
      <c r="H117" t="s">
        <v>15</v>
      </c>
      <c r="I117" t="s">
        <v>15</v>
      </c>
    </row>
    <row r="118" spans="1:9" x14ac:dyDescent="0.25">
      <c r="A118" s="6">
        <v>43203</v>
      </c>
      <c r="B118" t="s">
        <v>13</v>
      </c>
      <c r="C118">
        <v>57332</v>
      </c>
      <c r="D118" t="s">
        <v>14</v>
      </c>
      <c r="E118" s="7">
        <v>1408.03</v>
      </c>
      <c r="F118" t="s">
        <v>15</v>
      </c>
      <c r="G118" t="s">
        <v>15</v>
      </c>
      <c r="H118" t="s">
        <v>15</v>
      </c>
      <c r="I118" t="s">
        <v>15</v>
      </c>
    </row>
    <row r="119" spans="1:9" x14ac:dyDescent="0.25">
      <c r="A119" s="6">
        <v>43203</v>
      </c>
      <c r="B119" t="s">
        <v>13</v>
      </c>
      <c r="C119">
        <v>57333</v>
      </c>
      <c r="D119" t="s">
        <v>14</v>
      </c>
      <c r="E119" s="7">
        <v>1798.01</v>
      </c>
      <c r="F119" t="s">
        <v>15</v>
      </c>
      <c r="G119" t="s">
        <v>15</v>
      </c>
      <c r="H119" t="s">
        <v>15</v>
      </c>
      <c r="I119" t="s">
        <v>15</v>
      </c>
    </row>
    <row r="120" spans="1:9" x14ac:dyDescent="0.25">
      <c r="A120" s="6">
        <v>43203</v>
      </c>
      <c r="B120" t="s">
        <v>13</v>
      </c>
      <c r="C120">
        <v>57334</v>
      </c>
      <c r="D120" t="s">
        <v>14</v>
      </c>
      <c r="E120" s="7">
        <v>1199.05</v>
      </c>
      <c r="F120" t="s">
        <v>15</v>
      </c>
      <c r="G120" t="s">
        <v>15</v>
      </c>
      <c r="H120" t="s">
        <v>15</v>
      </c>
      <c r="I120" t="s">
        <v>15</v>
      </c>
    </row>
    <row r="121" spans="1:9" x14ac:dyDescent="0.25">
      <c r="A121" s="6">
        <v>43203</v>
      </c>
      <c r="B121" t="s">
        <v>13</v>
      </c>
      <c r="C121">
        <v>57335</v>
      </c>
      <c r="D121" t="s">
        <v>14</v>
      </c>
      <c r="E121" s="7">
        <v>1110.1099999999999</v>
      </c>
      <c r="F121" t="s">
        <v>15</v>
      </c>
      <c r="G121" t="s">
        <v>15</v>
      </c>
      <c r="H121" t="s">
        <v>15</v>
      </c>
      <c r="I121" t="s">
        <v>15</v>
      </c>
    </row>
    <row r="122" spans="1:9" x14ac:dyDescent="0.25">
      <c r="A122" s="6">
        <v>43217</v>
      </c>
      <c r="B122" t="s">
        <v>13</v>
      </c>
      <c r="C122">
        <v>57436</v>
      </c>
      <c r="D122" t="s">
        <v>14</v>
      </c>
      <c r="E122" s="7">
        <v>1526.5</v>
      </c>
      <c r="F122" t="s">
        <v>15</v>
      </c>
      <c r="G122" t="s">
        <v>15</v>
      </c>
      <c r="H122" t="s">
        <v>15</v>
      </c>
      <c r="I122" t="s">
        <v>15</v>
      </c>
    </row>
    <row r="123" spans="1:9" x14ac:dyDescent="0.25">
      <c r="A123" s="6">
        <v>43217</v>
      </c>
      <c r="B123" t="s">
        <v>13</v>
      </c>
      <c r="C123">
        <v>57437</v>
      </c>
      <c r="D123" t="s">
        <v>14</v>
      </c>
      <c r="E123" s="7">
        <v>1517.7</v>
      </c>
      <c r="F123" t="s">
        <v>15</v>
      </c>
      <c r="G123" t="s">
        <v>15</v>
      </c>
      <c r="H123" t="s">
        <v>15</v>
      </c>
      <c r="I123" t="s">
        <v>15</v>
      </c>
    </row>
    <row r="124" spans="1:9" x14ac:dyDescent="0.25">
      <c r="A124" s="6">
        <v>43217</v>
      </c>
      <c r="B124" t="s">
        <v>13</v>
      </c>
      <c r="C124">
        <v>57438</v>
      </c>
      <c r="D124" t="s">
        <v>14</v>
      </c>
      <c r="E124" s="7">
        <v>2043.01</v>
      </c>
      <c r="F124" t="s">
        <v>15</v>
      </c>
      <c r="G124" t="s">
        <v>15</v>
      </c>
      <c r="H124" t="s">
        <v>15</v>
      </c>
      <c r="I124" t="s">
        <v>15</v>
      </c>
    </row>
    <row r="125" spans="1:9" x14ac:dyDescent="0.25">
      <c r="A125" s="6">
        <v>43217</v>
      </c>
      <c r="B125" t="s">
        <v>13</v>
      </c>
      <c r="C125">
        <v>57439</v>
      </c>
      <c r="D125" t="s">
        <v>14</v>
      </c>
      <c r="E125" s="7">
        <v>1257.6500000000001</v>
      </c>
      <c r="F125" t="s">
        <v>15</v>
      </c>
      <c r="G125" t="s">
        <v>15</v>
      </c>
      <c r="H125" t="s">
        <v>15</v>
      </c>
      <c r="I125" t="s">
        <v>15</v>
      </c>
    </row>
    <row r="126" spans="1:9" x14ac:dyDescent="0.25">
      <c r="A126" s="6">
        <v>43217</v>
      </c>
      <c r="B126" t="s">
        <v>13</v>
      </c>
      <c r="C126">
        <v>57441</v>
      </c>
      <c r="D126" t="s">
        <v>14</v>
      </c>
      <c r="E126" s="7">
        <v>1225.3</v>
      </c>
      <c r="F126" t="s">
        <v>15</v>
      </c>
      <c r="G126" t="s">
        <v>15</v>
      </c>
      <c r="H126" t="s">
        <v>15</v>
      </c>
      <c r="I126" t="s">
        <v>15</v>
      </c>
    </row>
    <row r="127" spans="1:9" x14ac:dyDescent="0.25">
      <c r="A127" s="6">
        <v>43231</v>
      </c>
      <c r="B127" t="s">
        <v>13</v>
      </c>
      <c r="C127">
        <v>57494</v>
      </c>
      <c r="D127" t="s">
        <v>14</v>
      </c>
      <c r="E127" s="7">
        <v>1557.66</v>
      </c>
      <c r="F127" t="s">
        <v>15</v>
      </c>
      <c r="G127" t="s">
        <v>15</v>
      </c>
      <c r="H127" t="s">
        <v>15</v>
      </c>
      <c r="I127" t="s">
        <v>15</v>
      </c>
    </row>
    <row r="128" spans="1:9" x14ac:dyDescent="0.25">
      <c r="A128" s="6">
        <v>43231</v>
      </c>
      <c r="B128" t="s">
        <v>13</v>
      </c>
      <c r="C128">
        <v>57495</v>
      </c>
      <c r="D128" t="s">
        <v>14</v>
      </c>
      <c r="E128" s="7">
        <v>1517.43</v>
      </c>
      <c r="F128" t="s">
        <v>15</v>
      </c>
      <c r="G128" t="s">
        <v>15</v>
      </c>
      <c r="H128" t="s">
        <v>15</v>
      </c>
      <c r="I128" t="s">
        <v>15</v>
      </c>
    </row>
    <row r="129" spans="1:9" x14ac:dyDescent="0.25">
      <c r="A129" s="6">
        <v>43231</v>
      </c>
      <c r="B129" t="s">
        <v>13</v>
      </c>
      <c r="C129">
        <v>57496</v>
      </c>
      <c r="D129" t="s">
        <v>14</v>
      </c>
      <c r="E129" s="7">
        <v>1919.04</v>
      </c>
      <c r="F129" t="s">
        <v>15</v>
      </c>
      <c r="G129" t="s">
        <v>15</v>
      </c>
      <c r="H129" t="s">
        <v>15</v>
      </c>
      <c r="I129" t="s">
        <v>15</v>
      </c>
    </row>
    <row r="130" spans="1:9" x14ac:dyDescent="0.25">
      <c r="A130" s="6">
        <v>43231</v>
      </c>
      <c r="B130" t="s">
        <v>13</v>
      </c>
      <c r="C130">
        <v>57497</v>
      </c>
      <c r="D130" t="s">
        <v>14</v>
      </c>
      <c r="E130" s="7">
        <v>1266.82</v>
      </c>
      <c r="F130" t="s">
        <v>15</v>
      </c>
      <c r="G130" t="s">
        <v>15</v>
      </c>
      <c r="H130" t="s">
        <v>15</v>
      </c>
      <c r="I130" t="s">
        <v>15</v>
      </c>
    </row>
    <row r="131" spans="1:9" x14ac:dyDescent="0.25">
      <c r="A131" s="6">
        <v>43231</v>
      </c>
      <c r="B131" t="s">
        <v>13</v>
      </c>
      <c r="C131">
        <v>57498</v>
      </c>
      <c r="D131" t="s">
        <v>14</v>
      </c>
      <c r="E131" s="7">
        <v>1250.8399999999999</v>
      </c>
      <c r="F131" t="s">
        <v>15</v>
      </c>
      <c r="G131" t="s">
        <v>15</v>
      </c>
      <c r="H131" t="s">
        <v>15</v>
      </c>
      <c r="I131" t="s">
        <v>15</v>
      </c>
    </row>
    <row r="132" spans="1:9" x14ac:dyDescent="0.25">
      <c r="A132" s="6">
        <v>43231</v>
      </c>
      <c r="B132" t="s">
        <v>13</v>
      </c>
      <c r="C132">
        <v>57499</v>
      </c>
      <c r="D132" t="s">
        <v>14</v>
      </c>
      <c r="E132" s="7">
        <v>1175.48</v>
      </c>
      <c r="F132" t="s">
        <v>15</v>
      </c>
      <c r="G132" t="s">
        <v>15</v>
      </c>
      <c r="H132" t="s">
        <v>15</v>
      </c>
      <c r="I132" t="s">
        <v>15</v>
      </c>
    </row>
    <row r="133" spans="1:9" x14ac:dyDescent="0.25">
      <c r="A133" s="6">
        <v>43245</v>
      </c>
      <c r="B133" t="s">
        <v>13</v>
      </c>
      <c r="C133">
        <v>57689</v>
      </c>
      <c r="D133" t="s">
        <v>14</v>
      </c>
      <c r="E133" s="7">
        <v>1112.42</v>
      </c>
      <c r="F133" t="s">
        <v>15</v>
      </c>
      <c r="G133" t="s">
        <v>15</v>
      </c>
      <c r="H133" t="s">
        <v>15</v>
      </c>
      <c r="I133" t="s">
        <v>15</v>
      </c>
    </row>
    <row r="134" spans="1:9" x14ac:dyDescent="0.25">
      <c r="A134" s="6">
        <v>43245</v>
      </c>
      <c r="B134" t="s">
        <v>13</v>
      </c>
      <c r="C134">
        <v>57690</v>
      </c>
      <c r="D134" t="s">
        <v>14</v>
      </c>
      <c r="E134" s="7">
        <v>1406.2</v>
      </c>
      <c r="F134" t="s">
        <v>15</v>
      </c>
      <c r="G134" t="s">
        <v>15</v>
      </c>
      <c r="H134" t="s">
        <v>15</v>
      </c>
      <c r="I134" t="s">
        <v>15</v>
      </c>
    </row>
    <row r="135" spans="1:9" x14ac:dyDescent="0.25">
      <c r="A135" s="6">
        <v>43245</v>
      </c>
      <c r="B135" t="s">
        <v>13</v>
      </c>
      <c r="C135">
        <v>57691</v>
      </c>
      <c r="D135" t="s">
        <v>14</v>
      </c>
      <c r="E135" s="7">
        <v>1623.04</v>
      </c>
      <c r="F135" t="s">
        <v>15</v>
      </c>
      <c r="G135" t="s">
        <v>15</v>
      </c>
      <c r="H135" t="s">
        <v>15</v>
      </c>
      <c r="I135" t="s">
        <v>15</v>
      </c>
    </row>
    <row r="136" spans="1:9" x14ac:dyDescent="0.25">
      <c r="A136" s="6">
        <v>43245</v>
      </c>
      <c r="B136" t="s">
        <v>13</v>
      </c>
      <c r="C136">
        <v>57692</v>
      </c>
      <c r="D136" t="s">
        <v>14</v>
      </c>
      <c r="E136" s="7">
        <v>1235.4100000000001</v>
      </c>
      <c r="F136" t="s">
        <v>15</v>
      </c>
      <c r="G136" t="s">
        <v>15</v>
      </c>
      <c r="H136" t="s">
        <v>15</v>
      </c>
      <c r="I136" t="s">
        <v>15</v>
      </c>
    </row>
    <row r="137" spans="1:9" x14ac:dyDescent="0.25">
      <c r="A137" s="6">
        <v>43245</v>
      </c>
      <c r="B137" t="s">
        <v>13</v>
      </c>
      <c r="C137">
        <v>57693</v>
      </c>
      <c r="D137" t="s">
        <v>14</v>
      </c>
      <c r="E137" s="7">
        <v>1209.76</v>
      </c>
      <c r="F137" t="s">
        <v>15</v>
      </c>
      <c r="G137" t="s">
        <v>15</v>
      </c>
      <c r="H137" t="s">
        <v>15</v>
      </c>
      <c r="I137" t="s">
        <v>15</v>
      </c>
    </row>
    <row r="138" spans="1:9" x14ac:dyDescent="0.25">
      <c r="A138" s="6">
        <v>43245</v>
      </c>
      <c r="B138" t="s">
        <v>13</v>
      </c>
      <c r="C138">
        <v>57694</v>
      </c>
      <c r="D138" t="s">
        <v>14</v>
      </c>
      <c r="E138" s="7">
        <v>1150.6099999999999</v>
      </c>
      <c r="F138" t="s">
        <v>15</v>
      </c>
      <c r="G138" t="s">
        <v>15</v>
      </c>
      <c r="H138" t="s">
        <v>15</v>
      </c>
      <c r="I138" t="s">
        <v>15</v>
      </c>
    </row>
    <row r="139" spans="1:9" x14ac:dyDescent="0.25">
      <c r="A139" s="6">
        <v>43259</v>
      </c>
      <c r="B139" t="s">
        <v>13</v>
      </c>
      <c r="C139">
        <v>57801</v>
      </c>
      <c r="D139" t="s">
        <v>14</v>
      </c>
      <c r="E139" s="7">
        <v>1221.51</v>
      </c>
      <c r="F139" t="s">
        <v>15</v>
      </c>
      <c r="G139" t="s">
        <v>15</v>
      </c>
      <c r="H139" t="s">
        <v>15</v>
      </c>
      <c r="I139" t="s">
        <v>15</v>
      </c>
    </row>
    <row r="140" spans="1:9" x14ac:dyDescent="0.25">
      <c r="A140" s="6">
        <v>43259</v>
      </c>
      <c r="B140" t="s">
        <v>13</v>
      </c>
      <c r="C140">
        <v>57802</v>
      </c>
      <c r="D140" t="s">
        <v>14</v>
      </c>
      <c r="E140" s="7">
        <v>1405.11</v>
      </c>
      <c r="F140" t="s">
        <v>15</v>
      </c>
      <c r="G140" t="s">
        <v>15</v>
      </c>
      <c r="H140" t="s">
        <v>15</v>
      </c>
      <c r="I140" t="s">
        <v>15</v>
      </c>
    </row>
    <row r="141" spans="1:9" x14ac:dyDescent="0.25">
      <c r="A141" s="6">
        <v>43259</v>
      </c>
      <c r="B141" t="s">
        <v>13</v>
      </c>
      <c r="C141">
        <v>57803</v>
      </c>
      <c r="D141" t="s">
        <v>14</v>
      </c>
      <c r="E141" s="7">
        <v>2099.42</v>
      </c>
      <c r="F141" t="s">
        <v>15</v>
      </c>
      <c r="G141" t="s">
        <v>15</v>
      </c>
      <c r="H141" t="s">
        <v>15</v>
      </c>
      <c r="I141" t="s">
        <v>15</v>
      </c>
    </row>
    <row r="142" spans="1:9" x14ac:dyDescent="0.25">
      <c r="A142" s="6">
        <v>43259</v>
      </c>
      <c r="B142" t="s">
        <v>13</v>
      </c>
      <c r="C142">
        <v>57804</v>
      </c>
      <c r="D142" t="s">
        <v>14</v>
      </c>
      <c r="E142" s="7">
        <v>1235.7</v>
      </c>
      <c r="F142" t="s">
        <v>15</v>
      </c>
      <c r="G142" t="s">
        <v>15</v>
      </c>
      <c r="H142" t="s">
        <v>15</v>
      </c>
      <c r="I142" t="s">
        <v>15</v>
      </c>
    </row>
    <row r="143" spans="1:9" x14ac:dyDescent="0.25">
      <c r="A143" s="6">
        <v>43259</v>
      </c>
      <c r="B143" t="s">
        <v>13</v>
      </c>
      <c r="C143">
        <v>57805</v>
      </c>
      <c r="D143" t="s">
        <v>14</v>
      </c>
      <c r="E143" s="7">
        <v>1188.04</v>
      </c>
      <c r="F143" t="s">
        <v>15</v>
      </c>
      <c r="G143" t="s">
        <v>15</v>
      </c>
      <c r="H143" t="s">
        <v>15</v>
      </c>
      <c r="I143" t="s">
        <v>15</v>
      </c>
    </row>
    <row r="144" spans="1:9" x14ac:dyDescent="0.25">
      <c r="A144" s="6">
        <v>43259</v>
      </c>
      <c r="B144" t="s">
        <v>13</v>
      </c>
      <c r="C144">
        <v>57806</v>
      </c>
      <c r="D144" t="s">
        <v>14</v>
      </c>
      <c r="E144" s="7">
        <v>1134.01</v>
      </c>
      <c r="F144" t="s">
        <v>15</v>
      </c>
      <c r="G144" t="s">
        <v>15</v>
      </c>
      <c r="H144" t="s">
        <v>15</v>
      </c>
      <c r="I144" t="s">
        <v>15</v>
      </c>
    </row>
    <row r="145" spans="1:9" x14ac:dyDescent="0.25">
      <c r="A145" s="6">
        <v>43257</v>
      </c>
      <c r="B145" t="s">
        <v>13</v>
      </c>
      <c r="C145">
        <v>57835</v>
      </c>
      <c r="D145" t="s">
        <v>14</v>
      </c>
      <c r="E145" s="7">
        <v>9892.66</v>
      </c>
      <c r="F145" t="s">
        <v>15</v>
      </c>
      <c r="G145" t="s">
        <v>15</v>
      </c>
      <c r="H145" t="s">
        <v>15</v>
      </c>
      <c r="I145" t="s">
        <v>15</v>
      </c>
    </row>
    <row r="146" spans="1:9" x14ac:dyDescent="0.25">
      <c r="A146" s="6">
        <v>43273</v>
      </c>
      <c r="B146" t="s">
        <v>13</v>
      </c>
      <c r="C146">
        <v>57925</v>
      </c>
      <c r="D146" t="s">
        <v>14</v>
      </c>
      <c r="E146" s="7">
        <v>1831.06</v>
      </c>
      <c r="F146" t="s">
        <v>15</v>
      </c>
      <c r="G146" t="s">
        <v>15</v>
      </c>
      <c r="H146" t="s">
        <v>15</v>
      </c>
      <c r="I146" t="s">
        <v>15</v>
      </c>
    </row>
    <row r="147" spans="1:9" x14ac:dyDescent="0.25">
      <c r="A147" s="6">
        <v>43273</v>
      </c>
      <c r="B147" t="s">
        <v>13</v>
      </c>
      <c r="C147">
        <v>57926</v>
      </c>
      <c r="D147" t="s">
        <v>14</v>
      </c>
      <c r="E147" s="7">
        <v>1287.54</v>
      </c>
      <c r="F147" t="s">
        <v>15</v>
      </c>
      <c r="G147" t="s">
        <v>15</v>
      </c>
      <c r="H147" t="s">
        <v>15</v>
      </c>
      <c r="I147" t="s">
        <v>15</v>
      </c>
    </row>
    <row r="148" spans="1:9" x14ac:dyDescent="0.25">
      <c r="A148" s="6">
        <v>43273</v>
      </c>
      <c r="B148" t="s">
        <v>13</v>
      </c>
      <c r="C148">
        <v>57927</v>
      </c>
      <c r="D148" t="s">
        <v>14</v>
      </c>
      <c r="E148" s="7">
        <v>2425.38</v>
      </c>
      <c r="F148" t="s">
        <v>15</v>
      </c>
      <c r="G148" t="s">
        <v>15</v>
      </c>
      <c r="H148" t="s">
        <v>15</v>
      </c>
      <c r="I148" t="s">
        <v>15</v>
      </c>
    </row>
    <row r="149" spans="1:9" x14ac:dyDescent="0.25">
      <c r="A149" s="6">
        <v>43273</v>
      </c>
      <c r="B149" t="s">
        <v>13</v>
      </c>
      <c r="C149">
        <v>57928</v>
      </c>
      <c r="D149" t="s">
        <v>14</v>
      </c>
      <c r="E149" s="7">
        <v>1150.23</v>
      </c>
      <c r="F149" t="s">
        <v>15</v>
      </c>
      <c r="G149" t="s">
        <v>15</v>
      </c>
      <c r="H149" t="s">
        <v>15</v>
      </c>
      <c r="I149" t="s">
        <v>15</v>
      </c>
    </row>
    <row r="150" spans="1:9" x14ac:dyDescent="0.25">
      <c r="A150" s="6">
        <v>43273</v>
      </c>
      <c r="B150" t="s">
        <v>13</v>
      </c>
      <c r="C150">
        <v>57930</v>
      </c>
      <c r="D150" t="s">
        <v>14</v>
      </c>
      <c r="E150" s="7">
        <v>1202</v>
      </c>
      <c r="F150" t="s">
        <v>15</v>
      </c>
      <c r="G150" t="s">
        <v>15</v>
      </c>
      <c r="H150" t="s">
        <v>15</v>
      </c>
      <c r="I150" t="s">
        <v>15</v>
      </c>
    </row>
    <row r="151" spans="1:9" x14ac:dyDescent="0.25">
      <c r="A151" s="6">
        <v>43273</v>
      </c>
      <c r="B151" t="s">
        <v>13</v>
      </c>
      <c r="C151">
        <v>57931</v>
      </c>
      <c r="D151" t="s">
        <v>14</v>
      </c>
      <c r="E151" s="7">
        <v>1182</v>
      </c>
      <c r="F151" t="s">
        <v>15</v>
      </c>
      <c r="G151" t="s">
        <v>15</v>
      </c>
      <c r="H151" t="s">
        <v>15</v>
      </c>
      <c r="I151" t="s">
        <v>15</v>
      </c>
    </row>
    <row r="152" spans="1:9" x14ac:dyDescent="0.25">
      <c r="A152" s="6">
        <v>43283</v>
      </c>
      <c r="B152" t="s">
        <v>13</v>
      </c>
      <c r="C152">
        <v>58051</v>
      </c>
      <c r="D152" t="s">
        <v>14</v>
      </c>
      <c r="E152" s="7">
        <v>1635.01</v>
      </c>
      <c r="F152" t="s">
        <v>15</v>
      </c>
      <c r="G152" t="s">
        <v>15</v>
      </c>
      <c r="H152" t="s">
        <v>15</v>
      </c>
      <c r="I152" t="s">
        <v>15</v>
      </c>
    </row>
    <row r="153" spans="1:9" x14ac:dyDescent="0.25">
      <c r="A153" s="6">
        <v>43283</v>
      </c>
      <c r="B153" t="s">
        <v>13</v>
      </c>
      <c r="C153">
        <v>58052</v>
      </c>
      <c r="D153" t="s">
        <v>14</v>
      </c>
      <c r="E153" s="7">
        <v>1318.36</v>
      </c>
      <c r="F153" t="s">
        <v>15</v>
      </c>
      <c r="G153" t="s">
        <v>15</v>
      </c>
      <c r="H153" t="s">
        <v>15</v>
      </c>
      <c r="I153" t="s">
        <v>15</v>
      </c>
    </row>
    <row r="154" spans="1:9" x14ac:dyDescent="0.25">
      <c r="A154" s="6">
        <v>43283</v>
      </c>
      <c r="B154" t="s">
        <v>13</v>
      </c>
      <c r="C154">
        <v>58053</v>
      </c>
      <c r="D154" t="s">
        <v>14</v>
      </c>
      <c r="E154" s="7">
        <v>1959.48</v>
      </c>
      <c r="F154" t="s">
        <v>15</v>
      </c>
      <c r="G154" t="s">
        <v>15</v>
      </c>
      <c r="H154" t="s">
        <v>15</v>
      </c>
      <c r="I154" t="s">
        <v>15</v>
      </c>
    </row>
    <row r="155" spans="1:9" x14ac:dyDescent="0.25">
      <c r="A155" s="6">
        <v>43283</v>
      </c>
      <c r="B155" t="s">
        <v>13</v>
      </c>
      <c r="C155">
        <v>58054</v>
      </c>
      <c r="D155" t="s">
        <v>14</v>
      </c>
      <c r="E155" s="7">
        <v>1254.73</v>
      </c>
      <c r="F155" t="s">
        <v>15</v>
      </c>
      <c r="G155" t="s">
        <v>15</v>
      </c>
      <c r="H155" t="s">
        <v>15</v>
      </c>
      <c r="I155" t="s">
        <v>15</v>
      </c>
    </row>
    <row r="156" spans="1:9" x14ac:dyDescent="0.25">
      <c r="A156" s="6">
        <v>43283</v>
      </c>
      <c r="B156" t="s">
        <v>13</v>
      </c>
      <c r="C156">
        <v>58055</v>
      </c>
      <c r="D156" t="s">
        <v>14</v>
      </c>
      <c r="E156" s="7">
        <v>1047.3</v>
      </c>
      <c r="F156" t="s">
        <v>15</v>
      </c>
      <c r="G156" t="s">
        <v>15</v>
      </c>
      <c r="H156" t="s">
        <v>15</v>
      </c>
      <c r="I156" t="s">
        <v>15</v>
      </c>
    </row>
    <row r="157" spans="1:9" x14ac:dyDescent="0.25">
      <c r="A157" s="6">
        <v>43283</v>
      </c>
      <c r="B157" t="s">
        <v>13</v>
      </c>
      <c r="C157">
        <v>58056</v>
      </c>
      <c r="D157" t="s">
        <v>14</v>
      </c>
      <c r="E157" s="7">
        <v>1136.19</v>
      </c>
      <c r="F157" t="s">
        <v>15</v>
      </c>
      <c r="G157" t="s">
        <v>15</v>
      </c>
      <c r="H157" t="s">
        <v>15</v>
      </c>
      <c r="I157" t="s">
        <v>15</v>
      </c>
    </row>
    <row r="158" spans="1:9" x14ac:dyDescent="0.25">
      <c r="A158" s="6">
        <v>43299</v>
      </c>
      <c r="B158" t="s">
        <v>13</v>
      </c>
      <c r="C158">
        <v>58199</v>
      </c>
      <c r="D158" t="s">
        <v>14</v>
      </c>
      <c r="E158" s="7">
        <v>1616.48</v>
      </c>
      <c r="F158" t="s">
        <v>15</v>
      </c>
      <c r="G158" t="s">
        <v>15</v>
      </c>
      <c r="H158" t="s">
        <v>15</v>
      </c>
      <c r="I158" t="s">
        <v>15</v>
      </c>
    </row>
    <row r="159" spans="1:9" x14ac:dyDescent="0.25">
      <c r="A159" s="6">
        <v>43299</v>
      </c>
      <c r="B159" t="s">
        <v>13</v>
      </c>
      <c r="C159">
        <v>58200</v>
      </c>
      <c r="D159" t="s">
        <v>14</v>
      </c>
      <c r="E159" s="7">
        <v>1503.88</v>
      </c>
      <c r="F159" t="s">
        <v>15</v>
      </c>
      <c r="G159" t="s">
        <v>15</v>
      </c>
      <c r="H159" t="s">
        <v>15</v>
      </c>
      <c r="I159" t="s">
        <v>15</v>
      </c>
    </row>
    <row r="160" spans="1:9" x14ac:dyDescent="0.25">
      <c r="A160" s="6">
        <v>43299</v>
      </c>
      <c r="B160" t="s">
        <v>13</v>
      </c>
      <c r="C160">
        <v>58201</v>
      </c>
      <c r="D160" t="s">
        <v>14</v>
      </c>
      <c r="E160" s="7">
        <v>2366.3200000000002</v>
      </c>
      <c r="F160" t="s">
        <v>15</v>
      </c>
      <c r="G160" t="s">
        <v>15</v>
      </c>
      <c r="H160" t="s">
        <v>15</v>
      </c>
      <c r="I160" t="s">
        <v>15</v>
      </c>
    </row>
    <row r="161" spans="1:9" x14ac:dyDescent="0.25">
      <c r="A161" s="6">
        <v>43299</v>
      </c>
      <c r="B161" t="s">
        <v>13</v>
      </c>
      <c r="C161">
        <v>58202</v>
      </c>
      <c r="D161" t="s">
        <v>14</v>
      </c>
      <c r="E161" s="7">
        <v>1278.43</v>
      </c>
      <c r="F161" t="s">
        <v>15</v>
      </c>
      <c r="G161" t="s">
        <v>15</v>
      </c>
      <c r="H161" t="s">
        <v>15</v>
      </c>
      <c r="I161" t="s">
        <v>15</v>
      </c>
    </row>
    <row r="162" spans="1:9" x14ac:dyDescent="0.25">
      <c r="A162" s="6">
        <v>43299</v>
      </c>
      <c r="B162" t="s">
        <v>13</v>
      </c>
      <c r="C162">
        <v>58203</v>
      </c>
      <c r="D162" t="s">
        <v>14</v>
      </c>
      <c r="E162" s="7">
        <v>1603.88</v>
      </c>
      <c r="F162" t="s">
        <v>15</v>
      </c>
      <c r="G162" t="s">
        <v>15</v>
      </c>
      <c r="H162" t="s">
        <v>15</v>
      </c>
      <c r="I162" t="s">
        <v>15</v>
      </c>
    </row>
    <row r="163" spans="1:9" x14ac:dyDescent="0.25">
      <c r="A163" s="6">
        <v>43299</v>
      </c>
      <c r="B163" t="s">
        <v>13</v>
      </c>
      <c r="C163">
        <v>58204</v>
      </c>
      <c r="D163" t="s">
        <v>14</v>
      </c>
      <c r="E163" s="7">
        <v>1113.98</v>
      </c>
      <c r="F163" t="s">
        <v>15</v>
      </c>
      <c r="G163" t="s">
        <v>15</v>
      </c>
      <c r="H163" t="s">
        <v>15</v>
      </c>
      <c r="I163" t="s">
        <v>15</v>
      </c>
    </row>
    <row r="164" spans="1:9" x14ac:dyDescent="0.25">
      <c r="A164" s="6">
        <v>43312</v>
      </c>
      <c r="B164" t="s">
        <v>13</v>
      </c>
      <c r="C164">
        <v>58357</v>
      </c>
      <c r="D164" t="s">
        <v>14</v>
      </c>
      <c r="E164" s="7">
        <v>1598.6</v>
      </c>
      <c r="F164" t="s">
        <v>15</v>
      </c>
      <c r="G164" t="s">
        <v>15</v>
      </c>
      <c r="H164" t="s">
        <v>15</v>
      </c>
      <c r="I164" t="s">
        <v>15</v>
      </c>
    </row>
    <row r="165" spans="1:9" x14ac:dyDescent="0.25">
      <c r="A165" s="6">
        <v>43312</v>
      </c>
      <c r="B165" t="s">
        <v>13</v>
      </c>
      <c r="C165">
        <v>58358</v>
      </c>
      <c r="D165" t="s">
        <v>14</v>
      </c>
      <c r="E165" s="7">
        <v>1419.83</v>
      </c>
      <c r="F165" t="s">
        <v>15</v>
      </c>
      <c r="G165" t="s">
        <v>15</v>
      </c>
      <c r="H165" t="s">
        <v>15</v>
      </c>
      <c r="I165" t="s">
        <v>15</v>
      </c>
    </row>
    <row r="166" spans="1:9" x14ac:dyDescent="0.25">
      <c r="A166" s="6">
        <v>43312</v>
      </c>
      <c r="B166" t="s">
        <v>13</v>
      </c>
      <c r="C166">
        <v>58359</v>
      </c>
      <c r="D166" t="s">
        <v>14</v>
      </c>
      <c r="E166" s="7">
        <v>1716.28</v>
      </c>
      <c r="F166" t="s">
        <v>15</v>
      </c>
      <c r="G166" t="s">
        <v>15</v>
      </c>
      <c r="H166" t="s">
        <v>15</v>
      </c>
      <c r="I166" t="s">
        <v>15</v>
      </c>
    </row>
    <row r="167" spans="1:9" x14ac:dyDescent="0.25">
      <c r="A167" s="6">
        <v>43312</v>
      </c>
      <c r="B167" t="s">
        <v>13</v>
      </c>
      <c r="C167">
        <v>58360</v>
      </c>
      <c r="D167" t="s">
        <v>14</v>
      </c>
      <c r="E167" s="7">
        <v>1201.54</v>
      </c>
      <c r="F167" t="s">
        <v>15</v>
      </c>
      <c r="G167" t="s">
        <v>15</v>
      </c>
      <c r="H167" t="s">
        <v>15</v>
      </c>
      <c r="I167" t="s">
        <v>15</v>
      </c>
    </row>
    <row r="168" spans="1:9" x14ac:dyDescent="0.25">
      <c r="A168" s="6">
        <v>43312</v>
      </c>
      <c r="B168" t="s">
        <v>13</v>
      </c>
      <c r="C168">
        <v>58361</v>
      </c>
      <c r="D168" t="s">
        <v>14</v>
      </c>
      <c r="E168" s="7">
        <v>1116.3</v>
      </c>
      <c r="F168" t="s">
        <v>15</v>
      </c>
      <c r="G168" t="s">
        <v>15</v>
      </c>
      <c r="H168" t="s">
        <v>15</v>
      </c>
      <c r="I168" t="s">
        <v>15</v>
      </c>
    </row>
    <row r="169" spans="1:9" x14ac:dyDescent="0.25">
      <c r="A169" s="6">
        <v>43329</v>
      </c>
      <c r="B169" t="s">
        <v>13</v>
      </c>
      <c r="C169">
        <v>58521</v>
      </c>
      <c r="D169" t="s">
        <v>14</v>
      </c>
      <c r="E169" s="7">
        <v>1436.82</v>
      </c>
      <c r="F169" t="s">
        <v>15</v>
      </c>
      <c r="G169" t="s">
        <v>15</v>
      </c>
      <c r="H169" t="s">
        <v>15</v>
      </c>
      <c r="I169" t="s">
        <v>15</v>
      </c>
    </row>
    <row r="170" spans="1:9" x14ac:dyDescent="0.25">
      <c r="A170" s="6">
        <v>43329</v>
      </c>
      <c r="B170" t="s">
        <v>13</v>
      </c>
      <c r="C170">
        <v>58522</v>
      </c>
      <c r="D170" t="s">
        <v>14</v>
      </c>
      <c r="E170" s="7">
        <v>1769.19</v>
      </c>
      <c r="F170" t="s">
        <v>15</v>
      </c>
      <c r="G170" t="s">
        <v>15</v>
      </c>
      <c r="H170" t="s">
        <v>15</v>
      </c>
      <c r="I170" t="s">
        <v>15</v>
      </c>
    </row>
    <row r="171" spans="1:9" x14ac:dyDescent="0.25">
      <c r="A171" s="6">
        <v>43329</v>
      </c>
      <c r="B171" t="s">
        <v>13</v>
      </c>
      <c r="C171">
        <v>58523</v>
      </c>
      <c r="D171" t="s">
        <v>14</v>
      </c>
      <c r="E171" s="7">
        <v>2238.21</v>
      </c>
      <c r="F171" t="s">
        <v>15</v>
      </c>
      <c r="G171" t="s">
        <v>15</v>
      </c>
      <c r="H171" t="s">
        <v>15</v>
      </c>
      <c r="I171" t="s">
        <v>15</v>
      </c>
    </row>
    <row r="172" spans="1:9" x14ac:dyDescent="0.25">
      <c r="A172" s="6">
        <v>43329</v>
      </c>
      <c r="B172" t="s">
        <v>13</v>
      </c>
      <c r="C172">
        <v>58524</v>
      </c>
      <c r="D172" t="s">
        <v>14</v>
      </c>
      <c r="E172" s="7">
        <v>1163.78</v>
      </c>
      <c r="F172" t="s">
        <v>15</v>
      </c>
      <c r="G172" t="s">
        <v>15</v>
      </c>
      <c r="H172" t="s">
        <v>15</v>
      </c>
      <c r="I172" t="s">
        <v>15</v>
      </c>
    </row>
    <row r="173" spans="1:9" x14ac:dyDescent="0.25">
      <c r="A173" s="6">
        <v>43329</v>
      </c>
      <c r="B173" t="s">
        <v>13</v>
      </c>
      <c r="C173">
        <v>58526</v>
      </c>
      <c r="D173" t="s">
        <v>14</v>
      </c>
      <c r="E173" s="7">
        <v>1901.64</v>
      </c>
      <c r="F173" t="s">
        <v>15</v>
      </c>
      <c r="G173" t="s">
        <v>15</v>
      </c>
      <c r="H173" t="s">
        <v>15</v>
      </c>
      <c r="I173" t="s">
        <v>15</v>
      </c>
    </row>
    <row r="174" spans="1:9" x14ac:dyDescent="0.25">
      <c r="A174" s="6">
        <v>43329</v>
      </c>
      <c r="B174" t="s">
        <v>13</v>
      </c>
      <c r="C174">
        <v>58527</v>
      </c>
      <c r="D174" t="s">
        <v>14</v>
      </c>
      <c r="E174" s="7">
        <v>1228.17</v>
      </c>
      <c r="F174" t="s">
        <v>15</v>
      </c>
      <c r="G174" t="s">
        <v>15</v>
      </c>
      <c r="H174" t="s">
        <v>15</v>
      </c>
      <c r="I174" t="s">
        <v>15</v>
      </c>
    </row>
    <row r="175" spans="1:9" x14ac:dyDescent="0.25">
      <c r="A175" s="6">
        <v>43341</v>
      </c>
      <c r="B175" t="s">
        <v>13</v>
      </c>
      <c r="C175">
        <v>58666</v>
      </c>
      <c r="D175" t="s">
        <v>14</v>
      </c>
      <c r="E175" s="7">
        <v>1378.2</v>
      </c>
      <c r="F175" t="s">
        <v>15</v>
      </c>
      <c r="G175" t="s">
        <v>15</v>
      </c>
      <c r="H175" t="s">
        <v>15</v>
      </c>
      <c r="I175" t="s">
        <v>15</v>
      </c>
    </row>
    <row r="176" spans="1:9" x14ac:dyDescent="0.25">
      <c r="A176" s="6">
        <v>43341</v>
      </c>
      <c r="B176" t="s">
        <v>13</v>
      </c>
      <c r="C176">
        <v>58667</v>
      </c>
      <c r="D176" t="s">
        <v>14</v>
      </c>
      <c r="E176" s="7">
        <v>1421.74</v>
      </c>
      <c r="F176" t="s">
        <v>15</v>
      </c>
      <c r="G176" t="s">
        <v>15</v>
      </c>
      <c r="H176" t="s">
        <v>15</v>
      </c>
      <c r="I176" t="s">
        <v>15</v>
      </c>
    </row>
    <row r="177" spans="1:9" x14ac:dyDescent="0.25">
      <c r="A177" s="6">
        <v>43341</v>
      </c>
      <c r="B177" t="s">
        <v>13</v>
      </c>
      <c r="C177">
        <v>58668</v>
      </c>
      <c r="D177" t="s">
        <v>14</v>
      </c>
      <c r="E177" s="7">
        <v>2149.67</v>
      </c>
      <c r="F177" t="s">
        <v>15</v>
      </c>
      <c r="G177" t="s">
        <v>15</v>
      </c>
      <c r="H177" t="s">
        <v>15</v>
      </c>
      <c r="I177" t="s">
        <v>15</v>
      </c>
    </row>
    <row r="178" spans="1:9" x14ac:dyDescent="0.25">
      <c r="A178" s="6">
        <v>43341</v>
      </c>
      <c r="B178" t="s">
        <v>13</v>
      </c>
      <c r="C178">
        <v>58669</v>
      </c>
      <c r="D178" t="s">
        <v>14</v>
      </c>
      <c r="E178" s="7">
        <v>1317.29</v>
      </c>
      <c r="F178" t="s">
        <v>15</v>
      </c>
      <c r="G178" t="s">
        <v>15</v>
      </c>
      <c r="H178" t="s">
        <v>15</v>
      </c>
      <c r="I178" t="s">
        <v>15</v>
      </c>
    </row>
    <row r="179" spans="1:9" x14ac:dyDescent="0.25">
      <c r="A179" s="6">
        <v>43341</v>
      </c>
      <c r="B179" t="s">
        <v>13</v>
      </c>
      <c r="C179">
        <v>58670</v>
      </c>
      <c r="D179" t="s">
        <v>14</v>
      </c>
      <c r="E179" s="7">
        <v>1117.6199999999999</v>
      </c>
      <c r="F179" t="s">
        <v>15</v>
      </c>
      <c r="G179" t="s">
        <v>15</v>
      </c>
      <c r="H179" t="s">
        <v>15</v>
      </c>
      <c r="I179" t="s">
        <v>15</v>
      </c>
    </row>
    <row r="180" spans="1:9" x14ac:dyDescent="0.25">
      <c r="A180" s="6">
        <v>43357</v>
      </c>
      <c r="B180" t="s">
        <v>13</v>
      </c>
      <c r="C180">
        <v>58804</v>
      </c>
      <c r="D180" t="s">
        <v>14</v>
      </c>
      <c r="E180" s="7">
        <v>1124.68</v>
      </c>
      <c r="F180" t="s">
        <v>15</v>
      </c>
      <c r="G180" t="s">
        <v>15</v>
      </c>
      <c r="H180" t="s">
        <v>15</v>
      </c>
      <c r="I180" t="s">
        <v>15</v>
      </c>
    </row>
    <row r="181" spans="1:9" x14ac:dyDescent="0.25">
      <c r="A181" s="6">
        <v>43357</v>
      </c>
      <c r="B181" t="s">
        <v>13</v>
      </c>
      <c r="C181">
        <v>58805</v>
      </c>
      <c r="D181" t="s">
        <v>14</v>
      </c>
      <c r="E181" s="7">
        <v>1897.03</v>
      </c>
      <c r="F181" t="s">
        <v>15</v>
      </c>
      <c r="G181" t="s">
        <v>15</v>
      </c>
      <c r="H181" t="s">
        <v>15</v>
      </c>
      <c r="I181" t="s">
        <v>15</v>
      </c>
    </row>
    <row r="182" spans="1:9" x14ac:dyDescent="0.25">
      <c r="A182" s="6">
        <v>43357</v>
      </c>
      <c r="B182" t="s">
        <v>13</v>
      </c>
      <c r="C182">
        <v>58806</v>
      </c>
      <c r="D182" t="s">
        <v>14</v>
      </c>
      <c r="E182" s="7">
        <v>2316.35</v>
      </c>
      <c r="F182" t="s">
        <v>15</v>
      </c>
      <c r="G182" t="s">
        <v>15</v>
      </c>
      <c r="H182" t="s">
        <v>15</v>
      </c>
      <c r="I182" t="s">
        <v>15</v>
      </c>
    </row>
    <row r="183" spans="1:9" x14ac:dyDescent="0.25">
      <c r="A183" s="6">
        <v>43357</v>
      </c>
      <c r="B183" t="s">
        <v>13</v>
      </c>
      <c r="C183">
        <v>58807</v>
      </c>
      <c r="D183" t="s">
        <v>14</v>
      </c>
      <c r="E183" s="7">
        <v>1281.06</v>
      </c>
      <c r="F183" t="s">
        <v>15</v>
      </c>
      <c r="G183" t="s">
        <v>15</v>
      </c>
      <c r="H183" t="s">
        <v>15</v>
      </c>
      <c r="I183" t="s">
        <v>15</v>
      </c>
    </row>
    <row r="184" spans="1:9" x14ac:dyDescent="0.25">
      <c r="A184" s="6">
        <v>43357</v>
      </c>
      <c r="B184" t="s">
        <v>13</v>
      </c>
      <c r="C184">
        <v>58808</v>
      </c>
      <c r="D184" t="s">
        <v>14</v>
      </c>
      <c r="E184" s="7">
        <v>1177.58</v>
      </c>
      <c r="F184" t="s">
        <v>15</v>
      </c>
      <c r="G184" t="s">
        <v>15</v>
      </c>
      <c r="H184" t="s">
        <v>15</v>
      </c>
      <c r="I184" t="s">
        <v>15</v>
      </c>
    </row>
    <row r="185" spans="1:9" x14ac:dyDescent="0.25">
      <c r="A185" s="6">
        <v>43371</v>
      </c>
      <c r="B185" t="s">
        <v>13</v>
      </c>
      <c r="C185">
        <v>58948</v>
      </c>
      <c r="D185" t="s">
        <v>14</v>
      </c>
      <c r="E185" s="7">
        <v>1291.76</v>
      </c>
      <c r="F185" t="s">
        <v>15</v>
      </c>
      <c r="G185" t="s">
        <v>15</v>
      </c>
      <c r="H185" t="s">
        <v>15</v>
      </c>
      <c r="I185" t="s">
        <v>15</v>
      </c>
    </row>
    <row r="186" spans="1:9" x14ac:dyDescent="0.25">
      <c r="A186" s="6">
        <v>43371</v>
      </c>
      <c r="B186" t="s">
        <v>13</v>
      </c>
      <c r="C186">
        <v>58949</v>
      </c>
      <c r="D186" t="s">
        <v>14</v>
      </c>
      <c r="E186" s="7">
        <v>1444.24</v>
      </c>
      <c r="F186" t="s">
        <v>15</v>
      </c>
      <c r="G186" t="s">
        <v>15</v>
      </c>
      <c r="H186" t="s">
        <v>15</v>
      </c>
      <c r="I186" t="s">
        <v>15</v>
      </c>
    </row>
    <row r="187" spans="1:9" x14ac:dyDescent="0.25">
      <c r="A187" s="6">
        <v>43371</v>
      </c>
      <c r="B187" t="s">
        <v>13</v>
      </c>
      <c r="C187">
        <v>58950</v>
      </c>
      <c r="D187" t="s">
        <v>14</v>
      </c>
      <c r="E187" s="7">
        <v>1795.84</v>
      </c>
      <c r="F187" t="s">
        <v>15</v>
      </c>
      <c r="G187" t="s">
        <v>15</v>
      </c>
      <c r="H187" t="s">
        <v>15</v>
      </c>
      <c r="I187" t="s">
        <v>15</v>
      </c>
    </row>
    <row r="188" spans="1:9" x14ac:dyDescent="0.25">
      <c r="A188" s="6">
        <v>43371</v>
      </c>
      <c r="B188" t="s">
        <v>13</v>
      </c>
      <c r="C188">
        <v>58951</v>
      </c>
      <c r="D188" t="s">
        <v>14</v>
      </c>
      <c r="E188" s="7">
        <v>1278.58</v>
      </c>
      <c r="F188" t="s">
        <v>15</v>
      </c>
      <c r="G188" t="s">
        <v>15</v>
      </c>
      <c r="H188" t="s">
        <v>15</v>
      </c>
      <c r="I188" t="s">
        <v>15</v>
      </c>
    </row>
    <row r="189" spans="1:9" x14ac:dyDescent="0.25">
      <c r="A189" s="6">
        <v>43371</v>
      </c>
      <c r="B189" t="s">
        <v>13</v>
      </c>
      <c r="C189">
        <v>58952</v>
      </c>
      <c r="D189" t="s">
        <v>14</v>
      </c>
      <c r="E189" s="7">
        <v>1094.8399999999999</v>
      </c>
      <c r="F189" t="s">
        <v>15</v>
      </c>
      <c r="G189" t="s">
        <v>15</v>
      </c>
      <c r="H189" t="s">
        <v>15</v>
      </c>
      <c r="I189" t="s">
        <v>15</v>
      </c>
    </row>
    <row r="190" spans="1:9" x14ac:dyDescent="0.25">
      <c r="A190" s="6">
        <v>43370</v>
      </c>
      <c r="B190" t="s">
        <v>13</v>
      </c>
      <c r="C190">
        <v>58970</v>
      </c>
      <c r="D190" t="s">
        <v>14</v>
      </c>
      <c r="E190" s="7">
        <v>2872.33</v>
      </c>
      <c r="F190" t="s">
        <v>15</v>
      </c>
      <c r="G190" t="s">
        <v>15</v>
      </c>
      <c r="H190" t="s">
        <v>15</v>
      </c>
      <c r="I190" t="s">
        <v>15</v>
      </c>
    </row>
    <row r="191" spans="1:9" x14ac:dyDescent="0.25">
      <c r="A191" s="6">
        <v>43217</v>
      </c>
      <c r="B191" t="s">
        <v>16</v>
      </c>
      <c r="C191">
        <v>1</v>
      </c>
      <c r="D191" t="s">
        <v>17</v>
      </c>
      <c r="E191" s="7">
        <v>2270.0100000000002</v>
      </c>
      <c r="F191" t="s">
        <v>15</v>
      </c>
      <c r="G191" t="s">
        <v>15</v>
      </c>
      <c r="H191" t="s">
        <v>15</v>
      </c>
      <c r="I191" t="s">
        <v>15</v>
      </c>
    </row>
    <row r="192" spans="1:9" x14ac:dyDescent="0.25">
      <c r="A192" s="6">
        <v>43283</v>
      </c>
      <c r="B192" t="s">
        <v>16</v>
      </c>
      <c r="D192" t="s">
        <v>17</v>
      </c>
      <c r="E192" s="7">
        <v>2460.9899999999998</v>
      </c>
      <c r="F192" t="s">
        <v>15</v>
      </c>
      <c r="G192" t="s">
        <v>15</v>
      </c>
      <c r="H192" t="s">
        <v>15</v>
      </c>
      <c r="I192" t="s">
        <v>15</v>
      </c>
    </row>
    <row r="193" spans="1:9" x14ac:dyDescent="0.25">
      <c r="A193" s="6">
        <v>43019</v>
      </c>
      <c r="B193" t="s">
        <v>13</v>
      </c>
      <c r="C193">
        <v>55890</v>
      </c>
      <c r="D193" t="s">
        <v>14</v>
      </c>
      <c r="E193" s="7">
        <v>234.36</v>
      </c>
      <c r="F193" t="s">
        <v>15</v>
      </c>
      <c r="G193" t="s">
        <v>15</v>
      </c>
      <c r="H193" t="s">
        <v>15</v>
      </c>
      <c r="I193" t="s">
        <v>15</v>
      </c>
    </row>
    <row r="194" spans="1:9" x14ac:dyDescent="0.25">
      <c r="A194" s="6">
        <v>43019</v>
      </c>
      <c r="B194" t="s">
        <v>13</v>
      </c>
      <c r="C194">
        <v>55891</v>
      </c>
      <c r="D194" t="s">
        <v>14</v>
      </c>
      <c r="E194" s="7">
        <v>760.22</v>
      </c>
      <c r="F194" t="s">
        <v>15</v>
      </c>
      <c r="G194" t="s">
        <v>15</v>
      </c>
      <c r="H194" t="s">
        <v>15</v>
      </c>
      <c r="I194" t="s">
        <v>15</v>
      </c>
    </row>
    <row r="195" spans="1:9" x14ac:dyDescent="0.25">
      <c r="A195" s="6">
        <v>43035</v>
      </c>
      <c r="B195" t="s">
        <v>13</v>
      </c>
      <c r="C195">
        <v>55958</v>
      </c>
      <c r="D195" t="s">
        <v>14</v>
      </c>
      <c r="E195" s="7">
        <v>805.71</v>
      </c>
      <c r="F195" t="s">
        <v>15</v>
      </c>
      <c r="G195" t="s">
        <v>15</v>
      </c>
      <c r="H195" t="s">
        <v>15</v>
      </c>
      <c r="I195" t="s">
        <v>15</v>
      </c>
    </row>
    <row r="196" spans="1:9" x14ac:dyDescent="0.25">
      <c r="A196" s="6">
        <v>43035</v>
      </c>
      <c r="B196" t="s">
        <v>13</v>
      </c>
      <c r="C196">
        <v>55960</v>
      </c>
      <c r="D196" t="s">
        <v>14</v>
      </c>
      <c r="E196" s="7">
        <v>238.32</v>
      </c>
      <c r="F196" t="s">
        <v>15</v>
      </c>
      <c r="G196" t="s">
        <v>15</v>
      </c>
      <c r="H196" t="s">
        <v>15</v>
      </c>
      <c r="I196" t="s">
        <v>15</v>
      </c>
    </row>
    <row r="197" spans="1:9" x14ac:dyDescent="0.25">
      <c r="A197" s="6">
        <v>43035</v>
      </c>
      <c r="B197" t="s">
        <v>13</v>
      </c>
      <c r="C197">
        <v>55961</v>
      </c>
      <c r="D197" t="s">
        <v>14</v>
      </c>
      <c r="E197" s="7">
        <v>726.85</v>
      </c>
      <c r="F197" t="s">
        <v>15</v>
      </c>
      <c r="G197" t="s">
        <v>15</v>
      </c>
      <c r="H197" t="s">
        <v>15</v>
      </c>
      <c r="I197" t="s">
        <v>15</v>
      </c>
    </row>
    <row r="198" spans="1:9" x14ac:dyDescent="0.25">
      <c r="A198" s="6">
        <v>43048</v>
      </c>
      <c r="B198" t="s">
        <v>13</v>
      </c>
      <c r="C198">
        <v>56036</v>
      </c>
      <c r="D198" t="s">
        <v>14</v>
      </c>
      <c r="E198" s="7">
        <v>408.52</v>
      </c>
      <c r="F198" t="s">
        <v>15</v>
      </c>
      <c r="G198" t="s">
        <v>15</v>
      </c>
      <c r="H198" t="s">
        <v>15</v>
      </c>
      <c r="I198" t="s">
        <v>15</v>
      </c>
    </row>
    <row r="199" spans="1:9" x14ac:dyDescent="0.25">
      <c r="A199" s="6">
        <v>43048</v>
      </c>
      <c r="B199" t="s">
        <v>13</v>
      </c>
      <c r="C199">
        <v>56038</v>
      </c>
      <c r="D199" t="s">
        <v>14</v>
      </c>
      <c r="E199" s="7">
        <v>242.63</v>
      </c>
      <c r="F199" t="s">
        <v>15</v>
      </c>
      <c r="G199" t="s">
        <v>15</v>
      </c>
      <c r="H199" t="s">
        <v>15</v>
      </c>
      <c r="I199" t="s">
        <v>15</v>
      </c>
    </row>
    <row r="200" spans="1:9" x14ac:dyDescent="0.25">
      <c r="A200" s="6">
        <v>43048</v>
      </c>
      <c r="B200" t="s">
        <v>13</v>
      </c>
      <c r="C200">
        <v>56039</v>
      </c>
      <c r="D200" t="s">
        <v>14</v>
      </c>
      <c r="E200" s="7">
        <v>700.4</v>
      </c>
      <c r="F200" t="s">
        <v>15</v>
      </c>
      <c r="G200" t="s">
        <v>15</v>
      </c>
      <c r="H200" t="s">
        <v>15</v>
      </c>
      <c r="I200" t="s">
        <v>15</v>
      </c>
    </row>
    <row r="201" spans="1:9" x14ac:dyDescent="0.25">
      <c r="A201" s="6">
        <v>43061</v>
      </c>
      <c r="B201" t="s">
        <v>13</v>
      </c>
      <c r="C201">
        <v>56142</v>
      </c>
      <c r="D201" t="s">
        <v>14</v>
      </c>
      <c r="E201" s="7">
        <v>305.51</v>
      </c>
      <c r="F201" t="s">
        <v>15</v>
      </c>
      <c r="G201" t="s">
        <v>15</v>
      </c>
      <c r="H201" t="s">
        <v>15</v>
      </c>
      <c r="I201" t="s">
        <v>15</v>
      </c>
    </row>
    <row r="202" spans="1:9" x14ac:dyDescent="0.25">
      <c r="A202" s="6">
        <v>43061</v>
      </c>
      <c r="B202" t="s">
        <v>13</v>
      </c>
      <c r="C202">
        <v>56143</v>
      </c>
      <c r="D202" t="s">
        <v>14</v>
      </c>
      <c r="E202" s="7">
        <v>808.41</v>
      </c>
      <c r="F202" t="s">
        <v>15</v>
      </c>
      <c r="G202" t="s">
        <v>15</v>
      </c>
      <c r="H202" t="s">
        <v>15</v>
      </c>
      <c r="I202" t="s">
        <v>15</v>
      </c>
    </row>
    <row r="203" spans="1:9" x14ac:dyDescent="0.25">
      <c r="A203" s="6">
        <v>43077</v>
      </c>
      <c r="B203" t="s">
        <v>13</v>
      </c>
      <c r="C203">
        <v>56236</v>
      </c>
      <c r="D203" t="s">
        <v>14</v>
      </c>
      <c r="E203" s="7">
        <v>906.39</v>
      </c>
      <c r="F203" t="s">
        <v>15</v>
      </c>
      <c r="G203" t="s">
        <v>15</v>
      </c>
      <c r="H203" t="s">
        <v>15</v>
      </c>
      <c r="I203" t="s">
        <v>15</v>
      </c>
    </row>
    <row r="204" spans="1:9" x14ac:dyDescent="0.25">
      <c r="A204" s="6">
        <v>43077</v>
      </c>
      <c r="B204" t="s">
        <v>13</v>
      </c>
      <c r="C204">
        <v>56238</v>
      </c>
      <c r="D204" t="s">
        <v>14</v>
      </c>
      <c r="E204" s="7">
        <v>241.3</v>
      </c>
      <c r="F204" t="s">
        <v>15</v>
      </c>
      <c r="G204" t="s">
        <v>15</v>
      </c>
      <c r="H204" t="s">
        <v>15</v>
      </c>
      <c r="I204" t="s">
        <v>15</v>
      </c>
    </row>
    <row r="205" spans="1:9" x14ac:dyDescent="0.25">
      <c r="A205" s="6">
        <v>43077</v>
      </c>
      <c r="B205" t="s">
        <v>13</v>
      </c>
      <c r="C205">
        <v>56239</v>
      </c>
      <c r="D205" t="s">
        <v>14</v>
      </c>
      <c r="E205" s="7">
        <v>810.76</v>
      </c>
      <c r="F205" t="s">
        <v>15</v>
      </c>
      <c r="G205" t="s">
        <v>15</v>
      </c>
      <c r="H205" t="s">
        <v>15</v>
      </c>
      <c r="I205" t="s">
        <v>15</v>
      </c>
    </row>
    <row r="206" spans="1:9" x14ac:dyDescent="0.25">
      <c r="A206" s="6">
        <v>43074</v>
      </c>
      <c r="B206" t="s">
        <v>13</v>
      </c>
      <c r="C206">
        <v>56247</v>
      </c>
      <c r="D206" t="s">
        <v>14</v>
      </c>
      <c r="E206" s="7">
        <v>194.14</v>
      </c>
      <c r="F206" t="s">
        <v>15</v>
      </c>
      <c r="G206" t="s">
        <v>15</v>
      </c>
      <c r="H206" t="s">
        <v>15</v>
      </c>
      <c r="I206" t="s">
        <v>15</v>
      </c>
    </row>
    <row r="207" spans="1:9" x14ac:dyDescent="0.25">
      <c r="A207" s="6">
        <v>43074</v>
      </c>
      <c r="B207" t="s">
        <v>13</v>
      </c>
      <c r="C207">
        <v>56249</v>
      </c>
      <c r="D207" t="s">
        <v>14</v>
      </c>
      <c r="E207" s="7">
        <v>300.14</v>
      </c>
      <c r="F207" t="s">
        <v>15</v>
      </c>
      <c r="G207" t="s">
        <v>15</v>
      </c>
      <c r="H207" t="s">
        <v>15</v>
      </c>
      <c r="I207" t="s">
        <v>15</v>
      </c>
    </row>
    <row r="208" spans="1:9" x14ac:dyDescent="0.25">
      <c r="A208" s="6">
        <v>43074</v>
      </c>
      <c r="B208" t="s">
        <v>13</v>
      </c>
      <c r="C208">
        <v>56250</v>
      </c>
      <c r="D208" t="s">
        <v>14</v>
      </c>
      <c r="E208" s="7">
        <v>491.77</v>
      </c>
      <c r="F208" t="s">
        <v>15</v>
      </c>
      <c r="G208" t="s">
        <v>15</v>
      </c>
      <c r="H208" t="s">
        <v>15</v>
      </c>
      <c r="I208" t="s">
        <v>15</v>
      </c>
    </row>
    <row r="209" spans="1:9" x14ac:dyDescent="0.25">
      <c r="A209" s="6">
        <v>43074</v>
      </c>
      <c r="B209" t="s">
        <v>13</v>
      </c>
      <c r="C209">
        <v>56251</v>
      </c>
      <c r="D209" t="s">
        <v>14</v>
      </c>
      <c r="E209" s="7">
        <v>277.08</v>
      </c>
      <c r="F209" t="s">
        <v>15</v>
      </c>
      <c r="G209" t="s">
        <v>15</v>
      </c>
      <c r="H209" t="s">
        <v>15</v>
      </c>
      <c r="I209" t="s">
        <v>15</v>
      </c>
    </row>
    <row r="210" spans="1:9" x14ac:dyDescent="0.25">
      <c r="A210" s="6">
        <v>43074</v>
      </c>
      <c r="B210" t="s">
        <v>13</v>
      </c>
      <c r="C210">
        <v>56252</v>
      </c>
      <c r="D210" t="s">
        <v>14</v>
      </c>
      <c r="E210" s="7">
        <v>307.08</v>
      </c>
      <c r="F210" t="s">
        <v>15</v>
      </c>
      <c r="G210" t="s">
        <v>15</v>
      </c>
      <c r="H210" t="s">
        <v>15</v>
      </c>
      <c r="I210" t="s">
        <v>15</v>
      </c>
    </row>
    <row r="211" spans="1:9" x14ac:dyDescent="0.25">
      <c r="A211" s="6">
        <v>43074</v>
      </c>
      <c r="B211" t="s">
        <v>13</v>
      </c>
      <c r="C211">
        <v>56254</v>
      </c>
      <c r="D211" t="s">
        <v>14</v>
      </c>
      <c r="E211" s="7">
        <v>174.14</v>
      </c>
      <c r="F211" t="s">
        <v>15</v>
      </c>
      <c r="G211" t="s">
        <v>15</v>
      </c>
      <c r="H211" t="s">
        <v>15</v>
      </c>
      <c r="I211" t="s">
        <v>15</v>
      </c>
    </row>
    <row r="212" spans="1:9" x14ac:dyDescent="0.25">
      <c r="A212" s="6">
        <v>43074</v>
      </c>
      <c r="B212" t="s">
        <v>13</v>
      </c>
      <c r="C212">
        <v>56256</v>
      </c>
      <c r="D212" t="s">
        <v>14</v>
      </c>
      <c r="E212" s="7">
        <v>132.37</v>
      </c>
      <c r="F212" t="s">
        <v>15</v>
      </c>
      <c r="G212" t="s">
        <v>15</v>
      </c>
      <c r="H212" t="s">
        <v>15</v>
      </c>
      <c r="I212" t="s">
        <v>15</v>
      </c>
    </row>
    <row r="213" spans="1:9" x14ac:dyDescent="0.25">
      <c r="A213" s="6">
        <v>43074</v>
      </c>
      <c r="B213" t="s">
        <v>13</v>
      </c>
      <c r="C213">
        <v>56260</v>
      </c>
      <c r="D213" t="s">
        <v>14</v>
      </c>
      <c r="E213" s="7">
        <v>214.72</v>
      </c>
      <c r="F213" t="s">
        <v>15</v>
      </c>
      <c r="G213" t="s">
        <v>15</v>
      </c>
      <c r="H213" t="s">
        <v>15</v>
      </c>
      <c r="I213" t="s">
        <v>15</v>
      </c>
    </row>
    <row r="214" spans="1:9" x14ac:dyDescent="0.25">
      <c r="A214" s="6">
        <v>43074</v>
      </c>
      <c r="B214" t="s">
        <v>13</v>
      </c>
      <c r="C214">
        <v>56261</v>
      </c>
      <c r="D214" t="s">
        <v>14</v>
      </c>
      <c r="E214" s="7">
        <v>362.67</v>
      </c>
      <c r="F214" t="s">
        <v>15</v>
      </c>
      <c r="G214" t="s">
        <v>15</v>
      </c>
      <c r="H214" t="s">
        <v>15</v>
      </c>
      <c r="I214" t="s">
        <v>15</v>
      </c>
    </row>
    <row r="215" spans="1:9" x14ac:dyDescent="0.25">
      <c r="A215" s="6">
        <v>43074</v>
      </c>
      <c r="B215" t="s">
        <v>13</v>
      </c>
      <c r="C215">
        <v>56265</v>
      </c>
      <c r="D215" t="s">
        <v>14</v>
      </c>
      <c r="E215" s="7">
        <v>369.4</v>
      </c>
      <c r="F215" t="s">
        <v>15</v>
      </c>
      <c r="G215" t="s">
        <v>15</v>
      </c>
      <c r="H215" t="s">
        <v>15</v>
      </c>
      <c r="I215" t="s">
        <v>15</v>
      </c>
    </row>
    <row r="216" spans="1:9" x14ac:dyDescent="0.25">
      <c r="A216" s="6">
        <v>43074</v>
      </c>
      <c r="B216" t="s">
        <v>13</v>
      </c>
      <c r="C216">
        <v>56267</v>
      </c>
      <c r="D216" t="s">
        <v>14</v>
      </c>
      <c r="E216" s="7">
        <v>321.49</v>
      </c>
      <c r="F216" t="s">
        <v>15</v>
      </c>
      <c r="G216" t="s">
        <v>15</v>
      </c>
      <c r="H216" t="s">
        <v>15</v>
      </c>
      <c r="I216" t="s">
        <v>15</v>
      </c>
    </row>
    <row r="217" spans="1:9" x14ac:dyDescent="0.25">
      <c r="A217" s="6">
        <v>43074</v>
      </c>
      <c r="B217" t="s">
        <v>13</v>
      </c>
      <c r="C217">
        <v>56268</v>
      </c>
      <c r="D217" t="s">
        <v>14</v>
      </c>
      <c r="E217" s="7">
        <v>292.06</v>
      </c>
      <c r="F217" t="s">
        <v>15</v>
      </c>
      <c r="G217" t="s">
        <v>15</v>
      </c>
      <c r="H217" t="s">
        <v>15</v>
      </c>
      <c r="I217" t="s">
        <v>15</v>
      </c>
    </row>
    <row r="218" spans="1:9" x14ac:dyDescent="0.25">
      <c r="A218" s="6">
        <v>43074</v>
      </c>
      <c r="B218" t="s">
        <v>13</v>
      </c>
      <c r="C218">
        <v>56269</v>
      </c>
      <c r="D218" t="s">
        <v>14</v>
      </c>
      <c r="E218" s="7">
        <v>138.52000000000001</v>
      </c>
      <c r="F218" t="s">
        <v>15</v>
      </c>
      <c r="G218" t="s">
        <v>15</v>
      </c>
      <c r="H218" t="s">
        <v>15</v>
      </c>
      <c r="I218" t="s">
        <v>15</v>
      </c>
    </row>
    <row r="219" spans="1:9" x14ac:dyDescent="0.25">
      <c r="A219" s="6">
        <v>43074</v>
      </c>
      <c r="B219" t="s">
        <v>13</v>
      </c>
      <c r="C219">
        <v>56270</v>
      </c>
      <c r="D219" t="s">
        <v>14</v>
      </c>
      <c r="E219" s="7">
        <v>522.36</v>
      </c>
      <c r="F219" t="s">
        <v>15</v>
      </c>
      <c r="G219" t="s">
        <v>15</v>
      </c>
      <c r="H219" t="s">
        <v>15</v>
      </c>
      <c r="I219" t="s">
        <v>15</v>
      </c>
    </row>
    <row r="220" spans="1:9" x14ac:dyDescent="0.25">
      <c r="A220" s="6">
        <v>43074</v>
      </c>
      <c r="B220" t="s">
        <v>13</v>
      </c>
      <c r="C220">
        <v>56271</v>
      </c>
      <c r="D220" t="s">
        <v>14</v>
      </c>
      <c r="E220" s="7">
        <v>317.66000000000003</v>
      </c>
      <c r="F220" t="s">
        <v>15</v>
      </c>
      <c r="G220" t="s">
        <v>15</v>
      </c>
      <c r="H220" t="s">
        <v>15</v>
      </c>
      <c r="I220" t="s">
        <v>15</v>
      </c>
    </row>
    <row r="221" spans="1:9" x14ac:dyDescent="0.25">
      <c r="A221" s="6">
        <v>43074</v>
      </c>
      <c r="B221" t="s">
        <v>13</v>
      </c>
      <c r="C221">
        <v>56272</v>
      </c>
      <c r="D221" t="s">
        <v>14</v>
      </c>
      <c r="E221" s="7">
        <v>362.67</v>
      </c>
      <c r="F221" t="s">
        <v>15</v>
      </c>
      <c r="G221" t="s">
        <v>15</v>
      </c>
      <c r="H221" t="s">
        <v>15</v>
      </c>
      <c r="I221" t="s">
        <v>15</v>
      </c>
    </row>
    <row r="222" spans="1:9" x14ac:dyDescent="0.25">
      <c r="A222" s="6">
        <v>43074</v>
      </c>
      <c r="B222" t="s">
        <v>13</v>
      </c>
      <c r="C222">
        <v>56273</v>
      </c>
      <c r="D222" t="s">
        <v>14</v>
      </c>
      <c r="E222" s="7">
        <v>115.44</v>
      </c>
      <c r="F222" t="s">
        <v>15</v>
      </c>
      <c r="G222" t="s">
        <v>15</v>
      </c>
      <c r="H222" t="s">
        <v>15</v>
      </c>
      <c r="I222" t="s">
        <v>15</v>
      </c>
    </row>
    <row r="223" spans="1:9" x14ac:dyDescent="0.25">
      <c r="A223" s="6">
        <v>43074</v>
      </c>
      <c r="B223" t="s">
        <v>13</v>
      </c>
      <c r="C223">
        <v>56274</v>
      </c>
      <c r="D223" t="s">
        <v>14</v>
      </c>
      <c r="E223" s="7">
        <v>362.67</v>
      </c>
      <c r="F223" t="s">
        <v>15</v>
      </c>
      <c r="G223" t="s">
        <v>15</v>
      </c>
      <c r="H223" t="s">
        <v>15</v>
      </c>
      <c r="I223" t="s">
        <v>15</v>
      </c>
    </row>
    <row r="224" spans="1:9" x14ac:dyDescent="0.25">
      <c r="A224" s="6">
        <v>43074</v>
      </c>
      <c r="B224" t="s">
        <v>13</v>
      </c>
      <c r="C224">
        <v>56275</v>
      </c>
      <c r="D224" t="s">
        <v>14</v>
      </c>
      <c r="E224" s="7">
        <v>138.52000000000001</v>
      </c>
      <c r="F224" t="s">
        <v>15</v>
      </c>
      <c r="G224" t="s">
        <v>15</v>
      </c>
      <c r="H224" t="s">
        <v>15</v>
      </c>
      <c r="I224" t="s">
        <v>15</v>
      </c>
    </row>
    <row r="225" spans="1:9" x14ac:dyDescent="0.25">
      <c r="A225" s="6">
        <v>43074</v>
      </c>
      <c r="B225" t="s">
        <v>13</v>
      </c>
      <c r="C225">
        <v>56276</v>
      </c>
      <c r="D225" t="s">
        <v>14</v>
      </c>
      <c r="E225" s="7">
        <v>138.52000000000001</v>
      </c>
      <c r="F225" t="s">
        <v>15</v>
      </c>
      <c r="G225" t="s">
        <v>15</v>
      </c>
      <c r="H225" t="s">
        <v>15</v>
      </c>
      <c r="I225" t="s">
        <v>15</v>
      </c>
    </row>
    <row r="226" spans="1:9" x14ac:dyDescent="0.25">
      <c r="A226" s="6">
        <v>43074</v>
      </c>
      <c r="B226" t="s">
        <v>13</v>
      </c>
      <c r="C226">
        <v>56279</v>
      </c>
      <c r="D226" t="s">
        <v>14</v>
      </c>
      <c r="E226" s="7">
        <v>235.31</v>
      </c>
      <c r="F226" t="s">
        <v>15</v>
      </c>
      <c r="G226" t="s">
        <v>15</v>
      </c>
      <c r="H226" t="s">
        <v>15</v>
      </c>
      <c r="I226" t="s">
        <v>15</v>
      </c>
    </row>
    <row r="227" spans="1:9" x14ac:dyDescent="0.25">
      <c r="A227" s="6">
        <v>43074</v>
      </c>
      <c r="B227" t="s">
        <v>13</v>
      </c>
      <c r="C227">
        <v>56280</v>
      </c>
      <c r="D227" t="s">
        <v>14</v>
      </c>
      <c r="E227" s="7">
        <v>132.37</v>
      </c>
      <c r="F227" t="s">
        <v>15</v>
      </c>
      <c r="G227" t="s">
        <v>15</v>
      </c>
      <c r="H227" t="s">
        <v>15</v>
      </c>
      <c r="I227" t="s">
        <v>15</v>
      </c>
    </row>
    <row r="228" spans="1:9" x14ac:dyDescent="0.25">
      <c r="A228" s="6">
        <v>43074</v>
      </c>
      <c r="B228" t="s">
        <v>13</v>
      </c>
      <c r="C228">
        <v>56282</v>
      </c>
      <c r="D228" t="s">
        <v>14</v>
      </c>
      <c r="E228" s="7">
        <v>383.84</v>
      </c>
      <c r="F228" t="s">
        <v>15</v>
      </c>
      <c r="G228" t="s">
        <v>15</v>
      </c>
      <c r="H228" t="s">
        <v>15</v>
      </c>
      <c r="I228" t="s">
        <v>15</v>
      </c>
    </row>
    <row r="229" spans="1:9" x14ac:dyDescent="0.25">
      <c r="A229" s="6">
        <v>43074</v>
      </c>
      <c r="B229" t="s">
        <v>13</v>
      </c>
      <c r="C229">
        <v>56283</v>
      </c>
      <c r="D229" t="s">
        <v>14</v>
      </c>
      <c r="E229" s="7">
        <v>342.08</v>
      </c>
      <c r="F229" t="s">
        <v>15</v>
      </c>
      <c r="G229" t="s">
        <v>15</v>
      </c>
      <c r="H229" t="s">
        <v>15</v>
      </c>
      <c r="I229" t="s">
        <v>15</v>
      </c>
    </row>
    <row r="230" spans="1:9" x14ac:dyDescent="0.25">
      <c r="A230" s="6">
        <v>43074</v>
      </c>
      <c r="B230" t="s">
        <v>13</v>
      </c>
      <c r="C230">
        <v>56285</v>
      </c>
      <c r="D230" t="s">
        <v>14</v>
      </c>
      <c r="E230" s="7">
        <v>152.96</v>
      </c>
      <c r="F230" t="s">
        <v>15</v>
      </c>
      <c r="G230" t="s">
        <v>15</v>
      </c>
      <c r="H230" t="s">
        <v>15</v>
      </c>
      <c r="I230" t="s">
        <v>15</v>
      </c>
    </row>
    <row r="231" spans="1:9" x14ac:dyDescent="0.25">
      <c r="A231" s="6">
        <v>43074</v>
      </c>
      <c r="B231" t="s">
        <v>13</v>
      </c>
      <c r="C231">
        <v>56286</v>
      </c>
      <c r="D231" t="s">
        <v>14</v>
      </c>
      <c r="E231" s="7">
        <v>115.44</v>
      </c>
      <c r="F231" t="s">
        <v>15</v>
      </c>
      <c r="G231" t="s">
        <v>15</v>
      </c>
      <c r="H231" t="s">
        <v>15</v>
      </c>
      <c r="I231" t="s">
        <v>15</v>
      </c>
    </row>
    <row r="232" spans="1:9" x14ac:dyDescent="0.25">
      <c r="A232" s="6">
        <v>43074</v>
      </c>
      <c r="B232" t="s">
        <v>13</v>
      </c>
      <c r="C232">
        <v>56287</v>
      </c>
      <c r="D232" t="s">
        <v>14</v>
      </c>
      <c r="E232" s="7">
        <v>318.83999999999997</v>
      </c>
      <c r="F232" t="s">
        <v>15</v>
      </c>
      <c r="G232" t="s">
        <v>15</v>
      </c>
      <c r="H232" t="s">
        <v>15</v>
      </c>
      <c r="I232" t="s">
        <v>15</v>
      </c>
    </row>
    <row r="233" spans="1:9" x14ac:dyDescent="0.25">
      <c r="A233" s="6">
        <v>43074</v>
      </c>
      <c r="B233" t="s">
        <v>13</v>
      </c>
      <c r="C233">
        <v>56288</v>
      </c>
      <c r="D233" t="s">
        <v>14</v>
      </c>
      <c r="E233" s="7">
        <v>495.3</v>
      </c>
      <c r="F233" t="s">
        <v>15</v>
      </c>
      <c r="G233" t="s">
        <v>15</v>
      </c>
      <c r="H233" t="s">
        <v>15</v>
      </c>
      <c r="I233" t="s">
        <v>15</v>
      </c>
    </row>
    <row r="234" spans="1:9" x14ac:dyDescent="0.25">
      <c r="A234" s="6">
        <v>43074</v>
      </c>
      <c r="B234" t="s">
        <v>13</v>
      </c>
      <c r="C234">
        <v>56289</v>
      </c>
      <c r="D234" t="s">
        <v>14</v>
      </c>
      <c r="E234" s="7">
        <v>138.52000000000001</v>
      </c>
      <c r="F234" t="s">
        <v>15</v>
      </c>
      <c r="G234" t="s">
        <v>15</v>
      </c>
      <c r="H234" t="s">
        <v>15</v>
      </c>
      <c r="I234" t="s">
        <v>15</v>
      </c>
    </row>
    <row r="235" spans="1:9" x14ac:dyDescent="0.25">
      <c r="A235" s="6">
        <v>43090</v>
      </c>
      <c r="B235" t="s">
        <v>13</v>
      </c>
      <c r="C235">
        <v>56436</v>
      </c>
      <c r="D235" t="s">
        <v>14</v>
      </c>
      <c r="E235" s="7">
        <v>258.20999999999998</v>
      </c>
      <c r="F235" t="s">
        <v>15</v>
      </c>
      <c r="G235" t="s">
        <v>15</v>
      </c>
      <c r="H235" t="s">
        <v>15</v>
      </c>
      <c r="I235" t="s">
        <v>15</v>
      </c>
    </row>
    <row r="236" spans="1:9" x14ac:dyDescent="0.25">
      <c r="A236" s="6">
        <v>43090</v>
      </c>
      <c r="B236" t="s">
        <v>13</v>
      </c>
      <c r="C236">
        <v>56437</v>
      </c>
      <c r="D236" t="s">
        <v>14</v>
      </c>
      <c r="E236" s="7">
        <v>707.52</v>
      </c>
      <c r="F236" t="s">
        <v>15</v>
      </c>
      <c r="G236" t="s">
        <v>15</v>
      </c>
      <c r="H236" t="s">
        <v>15</v>
      </c>
      <c r="I236" t="s">
        <v>15</v>
      </c>
    </row>
    <row r="237" spans="1:9" x14ac:dyDescent="0.25">
      <c r="A237" s="6">
        <v>43105</v>
      </c>
      <c r="B237" t="s">
        <v>13</v>
      </c>
      <c r="C237">
        <v>56454</v>
      </c>
      <c r="D237" t="s">
        <v>14</v>
      </c>
      <c r="E237" s="7">
        <v>226.15</v>
      </c>
      <c r="F237" t="s">
        <v>15</v>
      </c>
      <c r="G237" t="s">
        <v>15</v>
      </c>
      <c r="H237" t="s">
        <v>15</v>
      </c>
      <c r="I237" t="s">
        <v>15</v>
      </c>
    </row>
    <row r="238" spans="1:9" x14ac:dyDescent="0.25">
      <c r="A238" s="6">
        <v>43105</v>
      </c>
      <c r="B238" t="s">
        <v>13</v>
      </c>
      <c r="C238">
        <v>56455</v>
      </c>
      <c r="D238" t="s">
        <v>14</v>
      </c>
      <c r="E238" s="7">
        <v>706.15</v>
      </c>
      <c r="F238" t="s">
        <v>15</v>
      </c>
      <c r="G238" t="s">
        <v>15</v>
      </c>
      <c r="H238" t="s">
        <v>15</v>
      </c>
      <c r="I238" t="s">
        <v>15</v>
      </c>
    </row>
    <row r="239" spans="1:9" x14ac:dyDescent="0.25">
      <c r="A239" s="6">
        <v>43119</v>
      </c>
      <c r="B239" t="s">
        <v>13</v>
      </c>
      <c r="C239">
        <v>56581</v>
      </c>
      <c r="D239" t="s">
        <v>14</v>
      </c>
      <c r="E239" s="7">
        <v>922.32</v>
      </c>
      <c r="F239" t="s">
        <v>15</v>
      </c>
      <c r="G239" t="s">
        <v>15</v>
      </c>
      <c r="H239" t="s">
        <v>15</v>
      </c>
      <c r="I239" t="s">
        <v>15</v>
      </c>
    </row>
    <row r="240" spans="1:9" x14ac:dyDescent="0.25">
      <c r="A240" s="6">
        <v>43119</v>
      </c>
      <c r="B240" t="s">
        <v>13</v>
      </c>
      <c r="C240">
        <v>56584</v>
      </c>
      <c r="D240" t="s">
        <v>14</v>
      </c>
      <c r="E240" s="7">
        <v>832.11</v>
      </c>
      <c r="F240" t="s">
        <v>15</v>
      </c>
      <c r="G240" t="s">
        <v>15</v>
      </c>
      <c r="H240" t="s">
        <v>15</v>
      </c>
      <c r="I240" t="s">
        <v>15</v>
      </c>
    </row>
    <row r="241" spans="1:9" x14ac:dyDescent="0.25">
      <c r="A241" s="6">
        <v>43133</v>
      </c>
      <c r="B241" t="s">
        <v>13</v>
      </c>
      <c r="C241">
        <v>56710</v>
      </c>
      <c r="D241" t="s">
        <v>14</v>
      </c>
      <c r="E241" s="7">
        <v>719.77</v>
      </c>
      <c r="F241" t="s">
        <v>15</v>
      </c>
      <c r="G241" t="s">
        <v>15</v>
      </c>
      <c r="H241" t="s">
        <v>15</v>
      </c>
      <c r="I241" t="s">
        <v>15</v>
      </c>
    </row>
    <row r="242" spans="1:9" x14ac:dyDescent="0.25">
      <c r="A242" s="6">
        <v>43144</v>
      </c>
      <c r="B242" t="s">
        <v>13</v>
      </c>
      <c r="C242">
        <v>56832</v>
      </c>
      <c r="D242" t="s">
        <v>14</v>
      </c>
      <c r="E242" s="7">
        <v>646.1</v>
      </c>
      <c r="F242" t="s">
        <v>15</v>
      </c>
      <c r="G242" t="s">
        <v>15</v>
      </c>
      <c r="H242" t="s">
        <v>15</v>
      </c>
      <c r="I242" t="s">
        <v>15</v>
      </c>
    </row>
    <row r="243" spans="1:9" x14ac:dyDescent="0.25">
      <c r="A243" s="6">
        <v>43144</v>
      </c>
      <c r="B243" t="s">
        <v>13</v>
      </c>
      <c r="C243">
        <v>56833</v>
      </c>
      <c r="D243" t="s">
        <v>14</v>
      </c>
      <c r="E243" s="7">
        <v>728.06</v>
      </c>
      <c r="F243" t="s">
        <v>15</v>
      </c>
      <c r="G243" t="s">
        <v>15</v>
      </c>
      <c r="H243" t="s">
        <v>15</v>
      </c>
      <c r="I243" t="s">
        <v>15</v>
      </c>
    </row>
    <row r="244" spans="1:9" x14ac:dyDescent="0.25">
      <c r="A244" s="6">
        <v>43157</v>
      </c>
      <c r="B244" t="s">
        <v>13</v>
      </c>
      <c r="C244">
        <v>56950</v>
      </c>
      <c r="D244" t="s">
        <v>14</v>
      </c>
      <c r="E244" s="7">
        <v>465.98</v>
      </c>
      <c r="F244" t="s">
        <v>15</v>
      </c>
      <c r="G244" t="s">
        <v>15</v>
      </c>
      <c r="H244" t="s">
        <v>15</v>
      </c>
      <c r="I244" t="s">
        <v>15</v>
      </c>
    </row>
    <row r="245" spans="1:9" x14ac:dyDescent="0.25">
      <c r="A245" s="6">
        <v>43161</v>
      </c>
      <c r="B245" t="s">
        <v>13</v>
      </c>
      <c r="C245">
        <v>56960</v>
      </c>
      <c r="D245" t="s">
        <v>14</v>
      </c>
      <c r="E245" s="7">
        <v>969.23</v>
      </c>
      <c r="F245" t="s">
        <v>15</v>
      </c>
      <c r="G245" t="s">
        <v>15</v>
      </c>
      <c r="H245" t="s">
        <v>15</v>
      </c>
      <c r="I245" t="s">
        <v>15</v>
      </c>
    </row>
    <row r="246" spans="1:9" x14ac:dyDescent="0.25">
      <c r="A246" s="6">
        <v>43161</v>
      </c>
      <c r="B246" t="s">
        <v>13</v>
      </c>
      <c r="C246">
        <v>56963</v>
      </c>
      <c r="D246" t="s">
        <v>14</v>
      </c>
      <c r="E246" s="7">
        <v>383.44</v>
      </c>
      <c r="F246" t="s">
        <v>15</v>
      </c>
      <c r="G246" t="s">
        <v>15</v>
      </c>
      <c r="H246" t="s">
        <v>15</v>
      </c>
      <c r="I246" t="s">
        <v>15</v>
      </c>
    </row>
    <row r="247" spans="1:9" x14ac:dyDescent="0.25">
      <c r="A247" s="6">
        <v>43161</v>
      </c>
      <c r="B247" t="s">
        <v>13</v>
      </c>
      <c r="C247">
        <v>56964</v>
      </c>
      <c r="D247" t="s">
        <v>14</v>
      </c>
      <c r="E247" s="7">
        <v>752.63</v>
      </c>
      <c r="F247" t="s">
        <v>15</v>
      </c>
      <c r="G247" t="s">
        <v>15</v>
      </c>
      <c r="H247" t="s">
        <v>15</v>
      </c>
      <c r="I247" t="s">
        <v>15</v>
      </c>
    </row>
    <row r="248" spans="1:9" x14ac:dyDescent="0.25">
      <c r="A248" s="6">
        <v>43175</v>
      </c>
      <c r="B248" t="s">
        <v>13</v>
      </c>
      <c r="C248">
        <v>57130</v>
      </c>
      <c r="D248" t="s">
        <v>14</v>
      </c>
      <c r="E248" s="7">
        <v>383.44</v>
      </c>
      <c r="F248" t="s">
        <v>15</v>
      </c>
      <c r="G248" t="s">
        <v>15</v>
      </c>
      <c r="H248" t="s">
        <v>15</v>
      </c>
      <c r="I248" t="s">
        <v>15</v>
      </c>
    </row>
    <row r="249" spans="1:9" x14ac:dyDescent="0.25">
      <c r="A249" s="6">
        <v>43175</v>
      </c>
      <c r="B249" t="s">
        <v>13</v>
      </c>
      <c r="C249">
        <v>57131</v>
      </c>
      <c r="D249" t="s">
        <v>14</v>
      </c>
      <c r="E249" s="7">
        <v>719.46</v>
      </c>
      <c r="F249" t="s">
        <v>15</v>
      </c>
      <c r="G249" t="s">
        <v>15</v>
      </c>
      <c r="H249" t="s">
        <v>15</v>
      </c>
      <c r="I249" t="s">
        <v>15</v>
      </c>
    </row>
    <row r="250" spans="1:9" x14ac:dyDescent="0.25">
      <c r="A250" s="6">
        <v>43179</v>
      </c>
      <c r="B250" t="s">
        <v>13</v>
      </c>
      <c r="C250">
        <v>57201</v>
      </c>
      <c r="D250" t="s">
        <v>14</v>
      </c>
      <c r="E250" s="7">
        <v>647.84</v>
      </c>
      <c r="F250" t="s">
        <v>15</v>
      </c>
      <c r="G250" t="s">
        <v>15</v>
      </c>
      <c r="H250" t="s">
        <v>15</v>
      </c>
      <c r="I250" t="s">
        <v>15</v>
      </c>
    </row>
    <row r="251" spans="1:9" x14ac:dyDescent="0.25">
      <c r="A251" s="6">
        <v>43187</v>
      </c>
      <c r="B251" t="s">
        <v>13</v>
      </c>
      <c r="C251">
        <v>57225</v>
      </c>
      <c r="D251" t="s">
        <v>14</v>
      </c>
      <c r="E251" s="7">
        <v>915.17</v>
      </c>
      <c r="F251" t="s">
        <v>15</v>
      </c>
      <c r="G251" t="s">
        <v>15</v>
      </c>
      <c r="H251" t="s">
        <v>15</v>
      </c>
      <c r="I251" t="s">
        <v>15</v>
      </c>
    </row>
    <row r="252" spans="1:9" x14ac:dyDescent="0.25">
      <c r="A252" s="6">
        <v>43188</v>
      </c>
      <c r="B252" t="s">
        <v>13</v>
      </c>
      <c r="C252">
        <v>57235</v>
      </c>
      <c r="D252" t="s">
        <v>14</v>
      </c>
      <c r="E252" s="7">
        <v>383.44</v>
      </c>
      <c r="F252" t="s">
        <v>15</v>
      </c>
      <c r="G252" t="s">
        <v>15</v>
      </c>
      <c r="H252" t="s">
        <v>15</v>
      </c>
      <c r="I252" t="s">
        <v>15</v>
      </c>
    </row>
    <row r="253" spans="1:9" x14ac:dyDescent="0.25">
      <c r="A253" s="6">
        <v>43188</v>
      </c>
      <c r="B253" t="s">
        <v>13</v>
      </c>
      <c r="C253">
        <v>57236</v>
      </c>
      <c r="D253" t="s">
        <v>14</v>
      </c>
      <c r="E253" s="7">
        <v>729.41</v>
      </c>
      <c r="F253" t="s">
        <v>15</v>
      </c>
      <c r="G253" t="s">
        <v>15</v>
      </c>
      <c r="H253" t="s">
        <v>15</v>
      </c>
      <c r="I253" t="s">
        <v>15</v>
      </c>
    </row>
    <row r="254" spans="1:9" x14ac:dyDescent="0.25">
      <c r="A254" s="6">
        <v>43203</v>
      </c>
      <c r="B254" t="s">
        <v>13</v>
      </c>
      <c r="C254">
        <v>57336</v>
      </c>
      <c r="D254" t="s">
        <v>14</v>
      </c>
      <c r="E254" s="7">
        <v>383.44</v>
      </c>
      <c r="F254" t="s">
        <v>15</v>
      </c>
      <c r="G254" t="s">
        <v>15</v>
      </c>
      <c r="H254" t="s">
        <v>15</v>
      </c>
      <c r="I254" t="s">
        <v>15</v>
      </c>
    </row>
    <row r="255" spans="1:9" x14ac:dyDescent="0.25">
      <c r="A255" s="6">
        <v>43203</v>
      </c>
      <c r="B255" t="s">
        <v>13</v>
      </c>
      <c r="C255">
        <v>57337</v>
      </c>
      <c r="D255" t="s">
        <v>14</v>
      </c>
      <c r="E255" s="7">
        <v>724.21</v>
      </c>
      <c r="F255" t="s">
        <v>15</v>
      </c>
      <c r="G255" t="s">
        <v>15</v>
      </c>
      <c r="H255" t="s">
        <v>15</v>
      </c>
      <c r="I255" t="s">
        <v>15</v>
      </c>
    </row>
    <row r="256" spans="1:9" x14ac:dyDescent="0.25">
      <c r="A256" s="6">
        <v>43209</v>
      </c>
      <c r="B256" t="s">
        <v>13</v>
      </c>
      <c r="C256">
        <v>57435</v>
      </c>
      <c r="D256" t="s">
        <v>14</v>
      </c>
      <c r="E256" s="7">
        <v>640.5</v>
      </c>
      <c r="F256" t="s">
        <v>15</v>
      </c>
      <c r="G256" t="s">
        <v>15</v>
      </c>
      <c r="H256" t="s">
        <v>15</v>
      </c>
      <c r="I256" t="s">
        <v>15</v>
      </c>
    </row>
    <row r="257" spans="1:9" x14ac:dyDescent="0.25">
      <c r="A257" s="6">
        <v>43217</v>
      </c>
      <c r="B257" t="s">
        <v>13</v>
      </c>
      <c r="C257">
        <v>57440</v>
      </c>
      <c r="D257" t="s">
        <v>14</v>
      </c>
      <c r="E257" s="7">
        <v>650.54999999999995</v>
      </c>
      <c r="F257" t="s">
        <v>15</v>
      </c>
      <c r="G257" t="s">
        <v>15</v>
      </c>
      <c r="H257" t="s">
        <v>15</v>
      </c>
      <c r="I257" t="s">
        <v>15</v>
      </c>
    </row>
    <row r="258" spans="1:9" x14ac:dyDescent="0.25">
      <c r="A258" s="6">
        <v>43217</v>
      </c>
      <c r="B258" t="s">
        <v>13</v>
      </c>
      <c r="C258">
        <v>57442</v>
      </c>
      <c r="D258" t="s">
        <v>14</v>
      </c>
      <c r="E258" s="7">
        <v>383.44</v>
      </c>
      <c r="F258" t="s">
        <v>15</v>
      </c>
      <c r="G258" t="s">
        <v>15</v>
      </c>
      <c r="H258" t="s">
        <v>15</v>
      </c>
      <c r="I258" t="s">
        <v>15</v>
      </c>
    </row>
    <row r="259" spans="1:9" x14ac:dyDescent="0.25">
      <c r="A259" s="6">
        <v>43217</v>
      </c>
      <c r="B259" t="s">
        <v>13</v>
      </c>
      <c r="C259">
        <v>57443</v>
      </c>
      <c r="D259" t="s">
        <v>14</v>
      </c>
      <c r="E259" s="7">
        <v>752.06</v>
      </c>
      <c r="F259" t="s">
        <v>15</v>
      </c>
      <c r="G259" t="s">
        <v>15</v>
      </c>
      <c r="H259" t="s">
        <v>15</v>
      </c>
      <c r="I259" t="s">
        <v>15</v>
      </c>
    </row>
    <row r="260" spans="1:9" x14ac:dyDescent="0.25">
      <c r="A260" s="6">
        <v>43231</v>
      </c>
      <c r="B260" t="s">
        <v>13</v>
      </c>
      <c r="C260">
        <v>57500</v>
      </c>
      <c r="D260" t="s">
        <v>14</v>
      </c>
      <c r="E260" s="7">
        <v>204.5</v>
      </c>
      <c r="F260" t="s">
        <v>15</v>
      </c>
      <c r="G260" t="s">
        <v>15</v>
      </c>
      <c r="H260" t="s">
        <v>15</v>
      </c>
      <c r="I260" t="s">
        <v>15</v>
      </c>
    </row>
    <row r="261" spans="1:9" x14ac:dyDescent="0.25">
      <c r="A261" s="6">
        <v>43231</v>
      </c>
      <c r="B261" t="s">
        <v>13</v>
      </c>
      <c r="C261">
        <v>57501</v>
      </c>
      <c r="D261" t="s">
        <v>14</v>
      </c>
      <c r="E261" s="7">
        <v>722.65</v>
      </c>
      <c r="F261" t="s">
        <v>15</v>
      </c>
      <c r="G261" t="s">
        <v>15</v>
      </c>
      <c r="H261" t="s">
        <v>15</v>
      </c>
      <c r="I261" t="s">
        <v>15</v>
      </c>
    </row>
    <row r="262" spans="1:9" x14ac:dyDescent="0.25">
      <c r="A262" s="6">
        <v>43245</v>
      </c>
      <c r="B262" t="s">
        <v>13</v>
      </c>
      <c r="C262">
        <v>57695</v>
      </c>
      <c r="D262" t="s">
        <v>14</v>
      </c>
      <c r="E262" s="7">
        <v>319.52999999999997</v>
      </c>
      <c r="F262" t="s">
        <v>15</v>
      </c>
      <c r="G262" t="s">
        <v>15</v>
      </c>
      <c r="H262" t="s">
        <v>15</v>
      </c>
      <c r="I262" t="s">
        <v>15</v>
      </c>
    </row>
    <row r="263" spans="1:9" x14ac:dyDescent="0.25">
      <c r="A263" s="6">
        <v>43245</v>
      </c>
      <c r="B263" t="s">
        <v>13</v>
      </c>
      <c r="C263">
        <v>57696</v>
      </c>
      <c r="D263" t="s">
        <v>14</v>
      </c>
      <c r="E263" s="7">
        <v>719.89</v>
      </c>
      <c r="F263" t="s">
        <v>15</v>
      </c>
      <c r="G263" t="s">
        <v>15</v>
      </c>
      <c r="H263" t="s">
        <v>15</v>
      </c>
      <c r="I263" t="s">
        <v>15</v>
      </c>
    </row>
    <row r="264" spans="1:9" x14ac:dyDescent="0.25">
      <c r="A264" s="6">
        <v>43245</v>
      </c>
      <c r="B264" t="s">
        <v>13</v>
      </c>
      <c r="C264">
        <v>57698</v>
      </c>
      <c r="D264" t="s">
        <v>14</v>
      </c>
      <c r="E264" s="7">
        <v>108.86</v>
      </c>
      <c r="F264" t="s">
        <v>15</v>
      </c>
      <c r="G264" t="s">
        <v>15</v>
      </c>
      <c r="H264" t="s">
        <v>15</v>
      </c>
      <c r="I264" t="s">
        <v>15</v>
      </c>
    </row>
    <row r="265" spans="1:9" x14ac:dyDescent="0.25">
      <c r="A265" s="6">
        <v>43245</v>
      </c>
      <c r="B265" t="s">
        <v>13</v>
      </c>
      <c r="C265">
        <v>57701</v>
      </c>
      <c r="D265" t="s">
        <v>14</v>
      </c>
      <c r="E265" s="7">
        <v>153.51</v>
      </c>
      <c r="F265" t="s">
        <v>15</v>
      </c>
      <c r="G265" t="s">
        <v>15</v>
      </c>
      <c r="H265" t="s">
        <v>15</v>
      </c>
      <c r="I265" t="s">
        <v>15</v>
      </c>
    </row>
    <row r="266" spans="1:9" x14ac:dyDescent="0.25">
      <c r="A266" s="6">
        <v>43245</v>
      </c>
      <c r="B266" t="s">
        <v>13</v>
      </c>
      <c r="C266">
        <v>57702</v>
      </c>
      <c r="D266" t="s">
        <v>14</v>
      </c>
      <c r="E266" s="7">
        <v>115.96</v>
      </c>
      <c r="F266" t="s">
        <v>15</v>
      </c>
      <c r="G266" t="s">
        <v>15</v>
      </c>
      <c r="H266" t="s">
        <v>15</v>
      </c>
      <c r="I266" t="s">
        <v>15</v>
      </c>
    </row>
    <row r="267" spans="1:9" x14ac:dyDescent="0.25">
      <c r="A267" s="6">
        <v>43259</v>
      </c>
      <c r="B267" t="s">
        <v>13</v>
      </c>
      <c r="C267">
        <v>57807</v>
      </c>
      <c r="D267" t="s">
        <v>14</v>
      </c>
      <c r="E267" s="7">
        <v>409</v>
      </c>
      <c r="F267" t="s">
        <v>15</v>
      </c>
      <c r="G267" t="s">
        <v>15</v>
      </c>
      <c r="H267" t="s">
        <v>15</v>
      </c>
      <c r="I267" t="s">
        <v>15</v>
      </c>
    </row>
    <row r="268" spans="1:9" x14ac:dyDescent="0.25">
      <c r="A268" s="6">
        <v>43259</v>
      </c>
      <c r="B268" t="s">
        <v>13</v>
      </c>
      <c r="C268">
        <v>57808</v>
      </c>
      <c r="D268" t="s">
        <v>14</v>
      </c>
      <c r="E268" s="7">
        <v>730.5</v>
      </c>
      <c r="F268" t="s">
        <v>15</v>
      </c>
      <c r="G268" t="s">
        <v>15</v>
      </c>
      <c r="H268" t="s">
        <v>15</v>
      </c>
      <c r="I268" t="s">
        <v>15</v>
      </c>
    </row>
    <row r="269" spans="1:9" x14ac:dyDescent="0.25">
      <c r="A269" s="6">
        <v>43259</v>
      </c>
      <c r="B269" t="s">
        <v>13</v>
      </c>
      <c r="C269">
        <v>57809</v>
      </c>
      <c r="D269" t="s">
        <v>14</v>
      </c>
      <c r="E269" s="7">
        <v>183.05</v>
      </c>
      <c r="F269" t="s">
        <v>15</v>
      </c>
      <c r="G269" t="s">
        <v>15</v>
      </c>
      <c r="H269" t="s">
        <v>15</v>
      </c>
      <c r="I269" t="s">
        <v>15</v>
      </c>
    </row>
    <row r="270" spans="1:9" x14ac:dyDescent="0.25">
      <c r="A270" s="6">
        <v>43259</v>
      </c>
      <c r="B270" t="s">
        <v>13</v>
      </c>
      <c r="C270">
        <v>57811</v>
      </c>
      <c r="D270" t="s">
        <v>14</v>
      </c>
      <c r="E270" s="7">
        <v>120.64</v>
      </c>
      <c r="F270" t="s">
        <v>15</v>
      </c>
      <c r="G270" t="s">
        <v>15</v>
      </c>
      <c r="H270" t="s">
        <v>15</v>
      </c>
      <c r="I270" t="s">
        <v>15</v>
      </c>
    </row>
    <row r="271" spans="1:9" x14ac:dyDescent="0.25">
      <c r="A271" s="6">
        <v>43259</v>
      </c>
      <c r="B271" t="s">
        <v>13</v>
      </c>
      <c r="C271">
        <v>57812</v>
      </c>
      <c r="D271" t="s">
        <v>14</v>
      </c>
      <c r="E271" s="7">
        <v>267.16000000000003</v>
      </c>
      <c r="F271" t="s">
        <v>15</v>
      </c>
      <c r="G271" t="s">
        <v>15</v>
      </c>
      <c r="H271" t="s">
        <v>15</v>
      </c>
      <c r="I271" t="s">
        <v>15</v>
      </c>
    </row>
    <row r="272" spans="1:9" x14ac:dyDescent="0.25">
      <c r="A272" s="6">
        <v>43259</v>
      </c>
      <c r="B272" t="s">
        <v>13</v>
      </c>
      <c r="C272">
        <v>57813</v>
      </c>
      <c r="D272" t="s">
        <v>14</v>
      </c>
      <c r="E272" s="7">
        <v>452.23</v>
      </c>
      <c r="F272" t="s">
        <v>15</v>
      </c>
      <c r="G272" t="s">
        <v>15</v>
      </c>
      <c r="H272" t="s">
        <v>15</v>
      </c>
      <c r="I272" t="s">
        <v>15</v>
      </c>
    </row>
    <row r="273" spans="1:9" x14ac:dyDescent="0.25">
      <c r="A273" s="6">
        <v>43259</v>
      </c>
      <c r="B273" t="s">
        <v>13</v>
      </c>
      <c r="C273">
        <v>57816</v>
      </c>
      <c r="D273" t="s">
        <v>14</v>
      </c>
      <c r="E273" s="7">
        <v>285.98</v>
      </c>
      <c r="F273" t="s">
        <v>15</v>
      </c>
      <c r="G273" t="s">
        <v>15</v>
      </c>
      <c r="H273" t="s">
        <v>15</v>
      </c>
      <c r="I273" t="s">
        <v>15</v>
      </c>
    </row>
    <row r="274" spans="1:9" x14ac:dyDescent="0.25">
      <c r="A274" s="6">
        <v>43259</v>
      </c>
      <c r="B274" t="s">
        <v>13</v>
      </c>
      <c r="C274">
        <v>57817</v>
      </c>
      <c r="D274" t="s">
        <v>14</v>
      </c>
      <c r="E274" s="7">
        <v>133.80000000000001</v>
      </c>
      <c r="F274" t="s">
        <v>15</v>
      </c>
      <c r="G274" t="s">
        <v>15</v>
      </c>
      <c r="H274" t="s">
        <v>15</v>
      </c>
      <c r="I274" t="s">
        <v>15</v>
      </c>
    </row>
    <row r="275" spans="1:9" x14ac:dyDescent="0.25">
      <c r="A275" s="6">
        <v>43259</v>
      </c>
      <c r="B275" t="s">
        <v>13</v>
      </c>
      <c r="C275">
        <v>57818</v>
      </c>
      <c r="D275" t="s">
        <v>14</v>
      </c>
      <c r="E275" s="7">
        <v>105.28</v>
      </c>
      <c r="F275" t="s">
        <v>15</v>
      </c>
      <c r="G275" t="s">
        <v>15</v>
      </c>
      <c r="H275" t="s">
        <v>15</v>
      </c>
      <c r="I275" t="s">
        <v>15</v>
      </c>
    </row>
    <row r="276" spans="1:9" x14ac:dyDescent="0.25">
      <c r="A276" s="6">
        <v>43259</v>
      </c>
      <c r="B276" t="s">
        <v>13</v>
      </c>
      <c r="C276">
        <v>57819</v>
      </c>
      <c r="D276" t="s">
        <v>14</v>
      </c>
      <c r="E276" s="7">
        <v>244.24</v>
      </c>
      <c r="F276" t="s">
        <v>15</v>
      </c>
      <c r="G276" t="s">
        <v>15</v>
      </c>
      <c r="H276" t="s">
        <v>15</v>
      </c>
      <c r="I276" t="s">
        <v>15</v>
      </c>
    </row>
    <row r="277" spans="1:9" x14ac:dyDescent="0.25">
      <c r="A277" s="6">
        <v>43259</v>
      </c>
      <c r="B277" t="s">
        <v>13</v>
      </c>
      <c r="C277">
        <v>57820</v>
      </c>
      <c r="D277" t="s">
        <v>14</v>
      </c>
      <c r="E277" s="7">
        <v>260.31</v>
      </c>
      <c r="F277" t="s">
        <v>15</v>
      </c>
      <c r="G277" t="s">
        <v>15</v>
      </c>
      <c r="H277" t="s">
        <v>15</v>
      </c>
      <c r="I277" t="s">
        <v>15</v>
      </c>
    </row>
    <row r="278" spans="1:9" x14ac:dyDescent="0.25">
      <c r="A278" s="6">
        <v>43259</v>
      </c>
      <c r="B278" t="s">
        <v>13</v>
      </c>
      <c r="C278">
        <v>57821</v>
      </c>
      <c r="D278" t="s">
        <v>14</v>
      </c>
      <c r="E278" s="7">
        <v>176.83</v>
      </c>
      <c r="F278" t="s">
        <v>15</v>
      </c>
      <c r="G278" t="s">
        <v>15</v>
      </c>
      <c r="H278" t="s">
        <v>15</v>
      </c>
      <c r="I278" t="s">
        <v>15</v>
      </c>
    </row>
    <row r="279" spans="1:9" x14ac:dyDescent="0.25">
      <c r="A279" s="6">
        <v>43259</v>
      </c>
      <c r="B279" t="s">
        <v>13</v>
      </c>
      <c r="C279">
        <v>57822</v>
      </c>
      <c r="D279" t="s">
        <v>14</v>
      </c>
      <c r="E279" s="7">
        <v>157.91999999999999</v>
      </c>
      <c r="F279" t="s">
        <v>15</v>
      </c>
      <c r="G279" t="s">
        <v>15</v>
      </c>
      <c r="H279" t="s">
        <v>15</v>
      </c>
      <c r="I279" t="s">
        <v>15</v>
      </c>
    </row>
    <row r="280" spans="1:9" x14ac:dyDescent="0.25">
      <c r="A280" s="6">
        <v>43259</v>
      </c>
      <c r="B280" t="s">
        <v>13</v>
      </c>
      <c r="C280">
        <v>57823</v>
      </c>
      <c r="D280" t="s">
        <v>14</v>
      </c>
      <c r="E280" s="7">
        <v>288.77</v>
      </c>
      <c r="F280" t="s">
        <v>15</v>
      </c>
      <c r="G280" t="s">
        <v>15</v>
      </c>
      <c r="H280" t="s">
        <v>15</v>
      </c>
      <c r="I280" t="s">
        <v>15</v>
      </c>
    </row>
    <row r="281" spans="1:9" x14ac:dyDescent="0.25">
      <c r="A281" s="6">
        <v>43259</v>
      </c>
      <c r="B281" t="s">
        <v>13</v>
      </c>
      <c r="C281">
        <v>57824</v>
      </c>
      <c r="D281" t="s">
        <v>14</v>
      </c>
      <c r="E281" s="7">
        <v>196.89</v>
      </c>
      <c r="F281" t="s">
        <v>15</v>
      </c>
      <c r="G281" t="s">
        <v>15</v>
      </c>
      <c r="H281" t="s">
        <v>15</v>
      </c>
      <c r="I281" t="s">
        <v>15</v>
      </c>
    </row>
    <row r="282" spans="1:9" x14ac:dyDescent="0.25">
      <c r="A282" s="6">
        <v>43259</v>
      </c>
      <c r="B282" t="s">
        <v>13</v>
      </c>
      <c r="C282">
        <v>57825</v>
      </c>
      <c r="D282" t="s">
        <v>14</v>
      </c>
      <c r="E282" s="7">
        <v>146.1</v>
      </c>
      <c r="F282" t="s">
        <v>15</v>
      </c>
      <c r="G282" t="s">
        <v>15</v>
      </c>
      <c r="H282" t="s">
        <v>15</v>
      </c>
      <c r="I282" t="s">
        <v>15</v>
      </c>
    </row>
    <row r="283" spans="1:9" x14ac:dyDescent="0.25">
      <c r="A283" s="6">
        <v>43259</v>
      </c>
      <c r="B283" t="s">
        <v>13</v>
      </c>
      <c r="C283">
        <v>57826</v>
      </c>
      <c r="D283" t="s">
        <v>14</v>
      </c>
      <c r="E283" s="7">
        <v>154.75</v>
      </c>
      <c r="F283" t="s">
        <v>15</v>
      </c>
      <c r="G283" t="s">
        <v>15</v>
      </c>
      <c r="H283" t="s">
        <v>15</v>
      </c>
      <c r="I283" t="s">
        <v>15</v>
      </c>
    </row>
    <row r="284" spans="1:9" x14ac:dyDescent="0.25">
      <c r="A284" s="6">
        <v>43259</v>
      </c>
      <c r="B284" t="s">
        <v>13</v>
      </c>
      <c r="C284">
        <v>57827</v>
      </c>
      <c r="D284" t="s">
        <v>14</v>
      </c>
      <c r="E284" s="7">
        <v>274.63</v>
      </c>
      <c r="F284" t="s">
        <v>15</v>
      </c>
      <c r="G284" t="s">
        <v>15</v>
      </c>
      <c r="H284" t="s">
        <v>15</v>
      </c>
      <c r="I284" t="s">
        <v>15</v>
      </c>
    </row>
    <row r="285" spans="1:9" x14ac:dyDescent="0.25">
      <c r="A285" s="6">
        <v>43259</v>
      </c>
      <c r="B285" t="s">
        <v>13</v>
      </c>
      <c r="C285">
        <v>57828</v>
      </c>
      <c r="D285" t="s">
        <v>14</v>
      </c>
      <c r="E285" s="7">
        <v>109.67</v>
      </c>
      <c r="F285" t="s">
        <v>15</v>
      </c>
      <c r="G285" t="s">
        <v>15</v>
      </c>
      <c r="H285" t="s">
        <v>15</v>
      </c>
      <c r="I285" t="s">
        <v>15</v>
      </c>
    </row>
    <row r="286" spans="1:9" x14ac:dyDescent="0.25">
      <c r="A286" s="6">
        <v>43259</v>
      </c>
      <c r="B286" t="s">
        <v>13</v>
      </c>
      <c r="C286">
        <v>57829</v>
      </c>
      <c r="D286" t="s">
        <v>14</v>
      </c>
      <c r="E286" s="7">
        <v>253.04</v>
      </c>
      <c r="F286" t="s">
        <v>15</v>
      </c>
      <c r="G286" t="s">
        <v>15</v>
      </c>
      <c r="H286" t="s">
        <v>15</v>
      </c>
      <c r="I286" t="s">
        <v>15</v>
      </c>
    </row>
    <row r="287" spans="1:9" x14ac:dyDescent="0.25">
      <c r="A287" s="6">
        <v>43273</v>
      </c>
      <c r="B287" t="s">
        <v>13</v>
      </c>
      <c r="C287">
        <v>57932</v>
      </c>
      <c r="D287" t="s">
        <v>14</v>
      </c>
      <c r="E287" s="7">
        <v>409</v>
      </c>
      <c r="F287" t="s">
        <v>15</v>
      </c>
      <c r="G287" t="s">
        <v>15</v>
      </c>
      <c r="H287" t="s">
        <v>15</v>
      </c>
      <c r="I287" t="s">
        <v>15</v>
      </c>
    </row>
    <row r="288" spans="1:9" x14ac:dyDescent="0.25">
      <c r="A288" s="6">
        <v>43273</v>
      </c>
      <c r="B288" t="s">
        <v>13</v>
      </c>
      <c r="C288">
        <v>57933</v>
      </c>
      <c r="D288" t="s">
        <v>14</v>
      </c>
      <c r="E288" s="7">
        <v>723.6</v>
      </c>
      <c r="F288" t="s">
        <v>15</v>
      </c>
      <c r="G288" t="s">
        <v>15</v>
      </c>
      <c r="H288" t="s">
        <v>15</v>
      </c>
      <c r="I288" t="s">
        <v>15</v>
      </c>
    </row>
    <row r="289" spans="1:9" x14ac:dyDescent="0.25">
      <c r="A289" s="6">
        <v>43273</v>
      </c>
      <c r="B289" t="s">
        <v>13</v>
      </c>
      <c r="C289">
        <v>57934</v>
      </c>
      <c r="D289" t="s">
        <v>14</v>
      </c>
      <c r="E289" s="7">
        <v>333.33</v>
      </c>
      <c r="F289" t="s">
        <v>15</v>
      </c>
      <c r="G289" t="s">
        <v>15</v>
      </c>
      <c r="H289" t="s">
        <v>15</v>
      </c>
      <c r="I289" t="s">
        <v>15</v>
      </c>
    </row>
    <row r="290" spans="1:9" x14ac:dyDescent="0.25">
      <c r="A290" s="6">
        <v>43273</v>
      </c>
      <c r="B290" t="s">
        <v>13</v>
      </c>
      <c r="C290">
        <v>57935</v>
      </c>
      <c r="D290" t="s">
        <v>14</v>
      </c>
      <c r="E290" s="7">
        <v>347.04</v>
      </c>
      <c r="F290" t="s">
        <v>15</v>
      </c>
      <c r="G290" t="s">
        <v>15</v>
      </c>
      <c r="H290" t="s">
        <v>15</v>
      </c>
      <c r="I290" t="s">
        <v>15</v>
      </c>
    </row>
    <row r="291" spans="1:9" x14ac:dyDescent="0.25">
      <c r="A291" s="6">
        <v>43273</v>
      </c>
      <c r="B291" t="s">
        <v>13</v>
      </c>
      <c r="C291">
        <v>57936</v>
      </c>
      <c r="D291" t="s">
        <v>14</v>
      </c>
      <c r="E291" s="7">
        <v>452.64</v>
      </c>
      <c r="F291" t="s">
        <v>15</v>
      </c>
      <c r="G291" t="s">
        <v>15</v>
      </c>
      <c r="H291" t="s">
        <v>15</v>
      </c>
      <c r="I291" t="s">
        <v>15</v>
      </c>
    </row>
    <row r="292" spans="1:9" x14ac:dyDescent="0.25">
      <c r="A292" s="6">
        <v>43273</v>
      </c>
      <c r="B292" t="s">
        <v>13</v>
      </c>
      <c r="C292">
        <v>57937</v>
      </c>
      <c r="D292" t="s">
        <v>14</v>
      </c>
      <c r="E292" s="7">
        <v>383.57</v>
      </c>
      <c r="F292" t="s">
        <v>15</v>
      </c>
      <c r="G292" t="s">
        <v>15</v>
      </c>
      <c r="H292" t="s">
        <v>15</v>
      </c>
      <c r="I292" t="s">
        <v>15</v>
      </c>
    </row>
    <row r="293" spans="1:9" x14ac:dyDescent="0.25">
      <c r="A293" s="6">
        <v>43273</v>
      </c>
      <c r="B293" t="s">
        <v>13</v>
      </c>
      <c r="C293">
        <v>57938</v>
      </c>
      <c r="D293" t="s">
        <v>14</v>
      </c>
      <c r="E293" s="7">
        <v>542.97</v>
      </c>
      <c r="F293" t="s">
        <v>15</v>
      </c>
      <c r="G293" t="s">
        <v>15</v>
      </c>
      <c r="H293" t="s">
        <v>15</v>
      </c>
      <c r="I293" t="s">
        <v>15</v>
      </c>
    </row>
    <row r="294" spans="1:9" x14ac:dyDescent="0.25">
      <c r="A294" s="6">
        <v>43273</v>
      </c>
      <c r="B294" t="s">
        <v>13</v>
      </c>
      <c r="C294">
        <v>57940</v>
      </c>
      <c r="D294" t="s">
        <v>14</v>
      </c>
      <c r="E294" s="7">
        <v>483.89</v>
      </c>
      <c r="F294" t="s">
        <v>15</v>
      </c>
      <c r="G294" t="s">
        <v>15</v>
      </c>
      <c r="H294" t="s">
        <v>15</v>
      </c>
      <c r="I294" t="s">
        <v>15</v>
      </c>
    </row>
    <row r="295" spans="1:9" x14ac:dyDescent="0.25">
      <c r="A295" s="6">
        <v>43273</v>
      </c>
      <c r="B295" t="s">
        <v>13</v>
      </c>
      <c r="C295">
        <v>57941</v>
      </c>
      <c r="D295" t="s">
        <v>14</v>
      </c>
      <c r="E295" s="7">
        <v>399.18</v>
      </c>
      <c r="F295" t="s">
        <v>15</v>
      </c>
      <c r="G295" t="s">
        <v>15</v>
      </c>
      <c r="H295" t="s">
        <v>15</v>
      </c>
      <c r="I295" t="s">
        <v>15</v>
      </c>
    </row>
    <row r="296" spans="1:9" x14ac:dyDescent="0.25">
      <c r="A296" s="6">
        <v>43273</v>
      </c>
      <c r="B296" t="s">
        <v>13</v>
      </c>
      <c r="C296">
        <v>57942</v>
      </c>
      <c r="D296" t="s">
        <v>14</v>
      </c>
      <c r="E296" s="7">
        <v>313.47000000000003</v>
      </c>
      <c r="F296" t="s">
        <v>15</v>
      </c>
      <c r="G296" t="s">
        <v>15</v>
      </c>
      <c r="H296" t="s">
        <v>15</v>
      </c>
      <c r="I296" t="s">
        <v>15</v>
      </c>
    </row>
    <row r="297" spans="1:9" x14ac:dyDescent="0.25">
      <c r="A297" s="6">
        <v>43273</v>
      </c>
      <c r="B297" t="s">
        <v>13</v>
      </c>
      <c r="C297">
        <v>57943</v>
      </c>
      <c r="D297" t="s">
        <v>14</v>
      </c>
      <c r="E297" s="7">
        <v>526.78</v>
      </c>
      <c r="F297" t="s">
        <v>15</v>
      </c>
      <c r="G297" t="s">
        <v>15</v>
      </c>
      <c r="H297" t="s">
        <v>15</v>
      </c>
      <c r="I297" t="s">
        <v>15</v>
      </c>
    </row>
    <row r="298" spans="1:9" x14ac:dyDescent="0.25">
      <c r="A298" s="6">
        <v>43273</v>
      </c>
      <c r="B298" t="s">
        <v>13</v>
      </c>
      <c r="C298">
        <v>57944</v>
      </c>
      <c r="D298" t="s">
        <v>14</v>
      </c>
      <c r="E298" s="7">
        <v>475.45</v>
      </c>
      <c r="F298" t="s">
        <v>15</v>
      </c>
      <c r="G298" t="s">
        <v>15</v>
      </c>
      <c r="H298" t="s">
        <v>15</v>
      </c>
      <c r="I298" t="s">
        <v>15</v>
      </c>
    </row>
    <row r="299" spans="1:9" x14ac:dyDescent="0.25">
      <c r="A299" s="6">
        <v>43273</v>
      </c>
      <c r="B299" t="s">
        <v>13</v>
      </c>
      <c r="C299">
        <v>57945</v>
      </c>
      <c r="D299" t="s">
        <v>14</v>
      </c>
      <c r="E299" s="7">
        <v>130.56</v>
      </c>
      <c r="F299" t="s">
        <v>15</v>
      </c>
      <c r="G299" t="s">
        <v>15</v>
      </c>
      <c r="H299" t="s">
        <v>15</v>
      </c>
      <c r="I299" t="s">
        <v>15</v>
      </c>
    </row>
    <row r="300" spans="1:9" x14ac:dyDescent="0.25">
      <c r="A300" s="6">
        <v>43273</v>
      </c>
      <c r="B300" t="s">
        <v>13</v>
      </c>
      <c r="C300">
        <v>57946</v>
      </c>
      <c r="D300" t="s">
        <v>14</v>
      </c>
      <c r="E300" s="7">
        <v>288.35000000000002</v>
      </c>
      <c r="F300" t="s">
        <v>15</v>
      </c>
      <c r="G300" t="s">
        <v>15</v>
      </c>
      <c r="H300" t="s">
        <v>15</v>
      </c>
      <c r="I300" t="s">
        <v>15</v>
      </c>
    </row>
    <row r="301" spans="1:9" x14ac:dyDescent="0.25">
      <c r="A301" s="6">
        <v>43273</v>
      </c>
      <c r="B301" t="s">
        <v>13</v>
      </c>
      <c r="C301">
        <v>57947</v>
      </c>
      <c r="D301" t="s">
        <v>14</v>
      </c>
      <c r="E301" s="7">
        <v>442.02</v>
      </c>
      <c r="F301" t="s">
        <v>15</v>
      </c>
      <c r="G301" t="s">
        <v>15</v>
      </c>
      <c r="H301" t="s">
        <v>15</v>
      </c>
      <c r="I301" t="s">
        <v>15</v>
      </c>
    </row>
    <row r="302" spans="1:9" x14ac:dyDescent="0.25">
      <c r="A302" s="6">
        <v>43273</v>
      </c>
      <c r="B302" t="s">
        <v>13</v>
      </c>
      <c r="C302">
        <v>57949</v>
      </c>
      <c r="D302" t="s">
        <v>14</v>
      </c>
      <c r="E302" s="7">
        <v>329.12</v>
      </c>
      <c r="F302" t="s">
        <v>15</v>
      </c>
      <c r="G302" t="s">
        <v>15</v>
      </c>
      <c r="H302" t="s">
        <v>15</v>
      </c>
      <c r="I302" t="s">
        <v>15</v>
      </c>
    </row>
    <row r="303" spans="1:9" x14ac:dyDescent="0.25">
      <c r="A303" s="6">
        <v>43273</v>
      </c>
      <c r="B303" t="s">
        <v>13</v>
      </c>
      <c r="C303">
        <v>57951</v>
      </c>
      <c r="D303" t="s">
        <v>14</v>
      </c>
      <c r="E303" s="7">
        <v>371.53</v>
      </c>
      <c r="F303" t="s">
        <v>15</v>
      </c>
      <c r="G303" t="s">
        <v>15</v>
      </c>
      <c r="H303" t="s">
        <v>15</v>
      </c>
      <c r="I303" t="s">
        <v>15</v>
      </c>
    </row>
    <row r="304" spans="1:9" x14ac:dyDescent="0.25">
      <c r="A304" s="6">
        <v>43273</v>
      </c>
      <c r="B304" t="s">
        <v>13</v>
      </c>
      <c r="C304">
        <v>57952</v>
      </c>
      <c r="D304" t="s">
        <v>14</v>
      </c>
      <c r="E304" s="7">
        <v>373.44</v>
      </c>
      <c r="F304" t="s">
        <v>15</v>
      </c>
      <c r="G304" t="s">
        <v>15</v>
      </c>
      <c r="H304" t="s">
        <v>15</v>
      </c>
      <c r="I304" t="s">
        <v>15</v>
      </c>
    </row>
    <row r="305" spans="1:9" x14ac:dyDescent="0.25">
      <c r="A305" s="6">
        <v>43273</v>
      </c>
      <c r="B305" t="s">
        <v>13</v>
      </c>
      <c r="C305">
        <v>57953</v>
      </c>
      <c r="D305" t="s">
        <v>14</v>
      </c>
      <c r="E305" s="7">
        <v>523.04999999999995</v>
      </c>
      <c r="F305" t="s">
        <v>15</v>
      </c>
      <c r="G305" t="s">
        <v>15</v>
      </c>
      <c r="H305" t="s">
        <v>15</v>
      </c>
      <c r="I305" t="s">
        <v>15</v>
      </c>
    </row>
    <row r="306" spans="1:9" x14ac:dyDescent="0.25">
      <c r="A306" s="6">
        <v>43273</v>
      </c>
      <c r="B306" t="s">
        <v>13</v>
      </c>
      <c r="C306">
        <v>57954</v>
      </c>
      <c r="D306" t="s">
        <v>14</v>
      </c>
      <c r="E306" s="7">
        <v>364.22</v>
      </c>
      <c r="F306" t="s">
        <v>15</v>
      </c>
      <c r="G306" t="s">
        <v>15</v>
      </c>
      <c r="H306" t="s">
        <v>15</v>
      </c>
      <c r="I306" t="s">
        <v>15</v>
      </c>
    </row>
    <row r="307" spans="1:9" x14ac:dyDescent="0.25">
      <c r="A307" s="6">
        <v>43283</v>
      </c>
      <c r="B307" t="s">
        <v>13</v>
      </c>
      <c r="C307">
        <v>58057</v>
      </c>
      <c r="D307" t="s">
        <v>14</v>
      </c>
      <c r="E307" s="7">
        <v>409</v>
      </c>
      <c r="F307" t="s">
        <v>15</v>
      </c>
      <c r="G307" t="s">
        <v>15</v>
      </c>
      <c r="H307" t="s">
        <v>15</v>
      </c>
      <c r="I307" t="s">
        <v>15</v>
      </c>
    </row>
    <row r="308" spans="1:9" x14ac:dyDescent="0.25">
      <c r="A308" s="6">
        <v>43283</v>
      </c>
      <c r="B308" t="s">
        <v>13</v>
      </c>
      <c r="C308">
        <v>58058</v>
      </c>
      <c r="D308" t="s">
        <v>14</v>
      </c>
      <c r="E308" s="7">
        <v>727.49</v>
      </c>
      <c r="F308" t="s">
        <v>15</v>
      </c>
      <c r="G308" t="s">
        <v>15</v>
      </c>
      <c r="H308" t="s">
        <v>15</v>
      </c>
      <c r="I308" t="s">
        <v>15</v>
      </c>
    </row>
    <row r="309" spans="1:9" x14ac:dyDescent="0.25">
      <c r="A309" s="6">
        <v>43283</v>
      </c>
      <c r="B309" t="s">
        <v>13</v>
      </c>
      <c r="C309">
        <v>58059</v>
      </c>
      <c r="D309" t="s">
        <v>14</v>
      </c>
      <c r="E309" s="7">
        <v>213.92</v>
      </c>
      <c r="F309" t="s">
        <v>15</v>
      </c>
      <c r="G309" t="s">
        <v>15</v>
      </c>
      <c r="H309" t="s">
        <v>15</v>
      </c>
      <c r="I309" t="s">
        <v>15</v>
      </c>
    </row>
    <row r="310" spans="1:9" x14ac:dyDescent="0.25">
      <c r="A310" s="6">
        <v>43283</v>
      </c>
      <c r="B310" t="s">
        <v>13</v>
      </c>
      <c r="C310">
        <v>58060</v>
      </c>
      <c r="D310" t="s">
        <v>14</v>
      </c>
      <c r="E310" s="7">
        <v>305.95999999999998</v>
      </c>
      <c r="F310" t="s">
        <v>15</v>
      </c>
      <c r="G310" t="s">
        <v>15</v>
      </c>
      <c r="H310" t="s">
        <v>15</v>
      </c>
      <c r="I310" t="s">
        <v>15</v>
      </c>
    </row>
    <row r="311" spans="1:9" x14ac:dyDescent="0.25">
      <c r="A311" s="6">
        <v>43283</v>
      </c>
      <c r="B311" t="s">
        <v>13</v>
      </c>
      <c r="C311">
        <v>58061</v>
      </c>
      <c r="D311" t="s">
        <v>14</v>
      </c>
      <c r="E311" s="7">
        <v>343.12</v>
      </c>
      <c r="F311" t="s">
        <v>15</v>
      </c>
      <c r="G311" t="s">
        <v>15</v>
      </c>
      <c r="H311" t="s">
        <v>15</v>
      </c>
      <c r="I311" t="s">
        <v>15</v>
      </c>
    </row>
    <row r="312" spans="1:9" x14ac:dyDescent="0.25">
      <c r="A312" s="6">
        <v>43283</v>
      </c>
      <c r="B312" t="s">
        <v>13</v>
      </c>
      <c r="C312">
        <v>58062</v>
      </c>
      <c r="D312" t="s">
        <v>14</v>
      </c>
      <c r="E312" s="7">
        <v>405.65</v>
      </c>
      <c r="F312" t="s">
        <v>15</v>
      </c>
      <c r="G312" t="s">
        <v>15</v>
      </c>
      <c r="H312" t="s">
        <v>15</v>
      </c>
      <c r="I312" t="s">
        <v>15</v>
      </c>
    </row>
    <row r="313" spans="1:9" x14ac:dyDescent="0.25">
      <c r="A313" s="6">
        <v>43283</v>
      </c>
      <c r="B313" t="s">
        <v>13</v>
      </c>
      <c r="C313">
        <v>58063</v>
      </c>
      <c r="D313" t="s">
        <v>14</v>
      </c>
      <c r="E313" s="7">
        <v>492.33</v>
      </c>
      <c r="F313" t="s">
        <v>15</v>
      </c>
      <c r="G313" t="s">
        <v>15</v>
      </c>
      <c r="H313" t="s">
        <v>15</v>
      </c>
      <c r="I313" t="s">
        <v>15</v>
      </c>
    </row>
    <row r="314" spans="1:9" x14ac:dyDescent="0.25">
      <c r="A314" s="6">
        <v>43283</v>
      </c>
      <c r="B314" t="s">
        <v>13</v>
      </c>
      <c r="C314">
        <v>58065</v>
      </c>
      <c r="D314" t="s">
        <v>14</v>
      </c>
      <c r="E314" s="7">
        <v>439.58</v>
      </c>
      <c r="F314" t="s">
        <v>15</v>
      </c>
      <c r="G314" t="s">
        <v>15</v>
      </c>
      <c r="H314" t="s">
        <v>15</v>
      </c>
      <c r="I314" t="s">
        <v>15</v>
      </c>
    </row>
    <row r="315" spans="1:9" x14ac:dyDescent="0.25">
      <c r="A315" s="6">
        <v>43283</v>
      </c>
      <c r="B315" t="s">
        <v>13</v>
      </c>
      <c r="C315">
        <v>58066</v>
      </c>
      <c r="D315" t="s">
        <v>14</v>
      </c>
      <c r="E315" s="7">
        <v>333.39</v>
      </c>
      <c r="F315" t="s">
        <v>15</v>
      </c>
      <c r="G315" t="s">
        <v>15</v>
      </c>
      <c r="H315" t="s">
        <v>15</v>
      </c>
      <c r="I315" t="s">
        <v>15</v>
      </c>
    </row>
    <row r="316" spans="1:9" x14ac:dyDescent="0.25">
      <c r="A316" s="6">
        <v>43283</v>
      </c>
      <c r="B316" t="s">
        <v>13</v>
      </c>
      <c r="C316">
        <v>58067</v>
      </c>
      <c r="D316" t="s">
        <v>14</v>
      </c>
      <c r="E316" s="7">
        <v>256.75</v>
      </c>
      <c r="F316" t="s">
        <v>15</v>
      </c>
      <c r="G316" t="s">
        <v>15</v>
      </c>
      <c r="H316" t="s">
        <v>15</v>
      </c>
      <c r="I316" t="s">
        <v>15</v>
      </c>
    </row>
    <row r="317" spans="1:9" x14ac:dyDescent="0.25">
      <c r="A317" s="6">
        <v>43283</v>
      </c>
      <c r="B317" t="s">
        <v>13</v>
      </c>
      <c r="C317">
        <v>58068</v>
      </c>
      <c r="D317" t="s">
        <v>14</v>
      </c>
      <c r="E317" s="7">
        <v>366.64</v>
      </c>
      <c r="F317" t="s">
        <v>15</v>
      </c>
      <c r="G317" t="s">
        <v>15</v>
      </c>
      <c r="H317" t="s">
        <v>15</v>
      </c>
      <c r="I317" t="s">
        <v>15</v>
      </c>
    </row>
    <row r="318" spans="1:9" x14ac:dyDescent="0.25">
      <c r="A318" s="6">
        <v>43283</v>
      </c>
      <c r="B318" t="s">
        <v>13</v>
      </c>
      <c r="C318">
        <v>58069</v>
      </c>
      <c r="D318" t="s">
        <v>14</v>
      </c>
      <c r="E318" s="7">
        <v>359.39</v>
      </c>
      <c r="F318" t="s">
        <v>15</v>
      </c>
      <c r="G318" t="s">
        <v>15</v>
      </c>
      <c r="H318" t="s">
        <v>15</v>
      </c>
      <c r="I318" t="s">
        <v>15</v>
      </c>
    </row>
    <row r="319" spans="1:9" x14ac:dyDescent="0.25">
      <c r="A319" s="6">
        <v>43283</v>
      </c>
      <c r="B319" t="s">
        <v>13</v>
      </c>
      <c r="C319">
        <v>58070</v>
      </c>
      <c r="D319" t="s">
        <v>14</v>
      </c>
      <c r="E319" s="7">
        <v>134.66999999999999</v>
      </c>
      <c r="F319" t="s">
        <v>15</v>
      </c>
      <c r="G319" t="s">
        <v>15</v>
      </c>
      <c r="H319" t="s">
        <v>15</v>
      </c>
      <c r="I319" t="s">
        <v>15</v>
      </c>
    </row>
    <row r="320" spans="1:9" x14ac:dyDescent="0.25">
      <c r="A320" s="6">
        <v>43283</v>
      </c>
      <c r="B320" t="s">
        <v>13</v>
      </c>
      <c r="C320">
        <v>58071</v>
      </c>
      <c r="D320" t="s">
        <v>14</v>
      </c>
      <c r="E320" s="7">
        <v>433.1</v>
      </c>
      <c r="F320" t="s">
        <v>15</v>
      </c>
      <c r="G320" t="s">
        <v>15</v>
      </c>
      <c r="H320" t="s">
        <v>15</v>
      </c>
      <c r="I320" t="s">
        <v>15</v>
      </c>
    </row>
    <row r="321" spans="1:9" x14ac:dyDescent="0.25">
      <c r="A321" s="6">
        <v>43283</v>
      </c>
      <c r="B321" t="s">
        <v>13</v>
      </c>
      <c r="C321">
        <v>58072</v>
      </c>
      <c r="D321" t="s">
        <v>14</v>
      </c>
      <c r="E321" s="7">
        <v>513.73</v>
      </c>
      <c r="F321" t="s">
        <v>15</v>
      </c>
      <c r="G321" t="s">
        <v>15</v>
      </c>
      <c r="H321" t="s">
        <v>15</v>
      </c>
      <c r="I321" t="s">
        <v>15</v>
      </c>
    </row>
    <row r="322" spans="1:9" x14ac:dyDescent="0.25">
      <c r="A322" s="6">
        <v>43283</v>
      </c>
      <c r="B322" t="s">
        <v>13</v>
      </c>
      <c r="C322">
        <v>58073</v>
      </c>
      <c r="D322" t="s">
        <v>14</v>
      </c>
      <c r="E322" s="7">
        <v>255.1</v>
      </c>
      <c r="F322" t="s">
        <v>15</v>
      </c>
      <c r="G322" t="s">
        <v>15</v>
      </c>
      <c r="H322" t="s">
        <v>15</v>
      </c>
      <c r="I322" t="s">
        <v>15</v>
      </c>
    </row>
    <row r="323" spans="1:9" x14ac:dyDescent="0.25">
      <c r="A323" s="6">
        <v>43283</v>
      </c>
      <c r="B323" t="s">
        <v>13</v>
      </c>
      <c r="C323">
        <v>58074</v>
      </c>
      <c r="D323" t="s">
        <v>14</v>
      </c>
      <c r="E323" s="7">
        <v>252.24</v>
      </c>
      <c r="F323" t="s">
        <v>15</v>
      </c>
      <c r="G323" t="s">
        <v>15</v>
      </c>
      <c r="H323" t="s">
        <v>15</v>
      </c>
      <c r="I323" t="s">
        <v>15</v>
      </c>
    </row>
    <row r="324" spans="1:9" x14ac:dyDescent="0.25">
      <c r="A324" s="6">
        <v>43283</v>
      </c>
      <c r="B324" t="s">
        <v>13</v>
      </c>
      <c r="C324">
        <v>58075</v>
      </c>
      <c r="D324" t="s">
        <v>14</v>
      </c>
      <c r="E324" s="7">
        <v>279.19</v>
      </c>
      <c r="F324" t="s">
        <v>15</v>
      </c>
      <c r="G324" t="s">
        <v>15</v>
      </c>
      <c r="H324" t="s">
        <v>15</v>
      </c>
      <c r="I324" t="s">
        <v>15</v>
      </c>
    </row>
    <row r="325" spans="1:9" x14ac:dyDescent="0.25">
      <c r="A325" s="6">
        <v>43283</v>
      </c>
      <c r="B325" t="s">
        <v>13</v>
      </c>
      <c r="C325">
        <v>58076</v>
      </c>
      <c r="D325" t="s">
        <v>14</v>
      </c>
      <c r="E325" s="7">
        <v>182.34</v>
      </c>
      <c r="F325" t="s">
        <v>15</v>
      </c>
      <c r="G325" t="s">
        <v>15</v>
      </c>
      <c r="H325" t="s">
        <v>15</v>
      </c>
      <c r="I325" t="s">
        <v>15</v>
      </c>
    </row>
    <row r="326" spans="1:9" x14ac:dyDescent="0.25">
      <c r="A326" s="6">
        <v>43283</v>
      </c>
      <c r="B326" t="s">
        <v>13</v>
      </c>
      <c r="C326">
        <v>58077</v>
      </c>
      <c r="D326" t="s">
        <v>14</v>
      </c>
      <c r="E326" s="7">
        <v>374.41</v>
      </c>
      <c r="F326" t="s">
        <v>15</v>
      </c>
      <c r="G326" t="s">
        <v>15</v>
      </c>
      <c r="H326" t="s">
        <v>15</v>
      </c>
      <c r="I326" t="s">
        <v>15</v>
      </c>
    </row>
    <row r="327" spans="1:9" x14ac:dyDescent="0.25">
      <c r="A327" s="6">
        <v>43283</v>
      </c>
      <c r="B327" t="s">
        <v>13</v>
      </c>
      <c r="C327">
        <v>58078</v>
      </c>
      <c r="D327" t="s">
        <v>14</v>
      </c>
      <c r="E327" s="7">
        <v>390.98</v>
      </c>
      <c r="F327" t="s">
        <v>15</v>
      </c>
      <c r="G327" t="s">
        <v>15</v>
      </c>
      <c r="H327" t="s">
        <v>15</v>
      </c>
      <c r="I327" t="s">
        <v>15</v>
      </c>
    </row>
    <row r="328" spans="1:9" x14ac:dyDescent="0.25">
      <c r="A328" s="6">
        <v>43299</v>
      </c>
      <c r="B328" t="s">
        <v>13</v>
      </c>
      <c r="C328">
        <v>58205</v>
      </c>
      <c r="D328" t="s">
        <v>14</v>
      </c>
      <c r="E328" s="7">
        <v>409</v>
      </c>
      <c r="F328" t="s">
        <v>15</v>
      </c>
      <c r="G328" t="s">
        <v>15</v>
      </c>
      <c r="H328" t="s">
        <v>15</v>
      </c>
      <c r="I328" t="s">
        <v>15</v>
      </c>
    </row>
    <row r="329" spans="1:9" x14ac:dyDescent="0.25">
      <c r="A329" s="6">
        <v>43299</v>
      </c>
      <c r="B329" t="s">
        <v>13</v>
      </c>
      <c r="C329">
        <v>58206</v>
      </c>
      <c r="D329" t="s">
        <v>14</v>
      </c>
      <c r="E329" s="7">
        <v>732.52</v>
      </c>
      <c r="F329" t="s">
        <v>15</v>
      </c>
      <c r="G329" t="s">
        <v>15</v>
      </c>
      <c r="H329" t="s">
        <v>15</v>
      </c>
      <c r="I329" t="s">
        <v>15</v>
      </c>
    </row>
    <row r="330" spans="1:9" x14ac:dyDescent="0.25">
      <c r="A330" s="6">
        <v>43299</v>
      </c>
      <c r="B330" t="s">
        <v>13</v>
      </c>
      <c r="C330">
        <v>58207</v>
      </c>
      <c r="D330" t="s">
        <v>14</v>
      </c>
      <c r="E330" s="7">
        <v>203.63</v>
      </c>
      <c r="F330" t="s">
        <v>15</v>
      </c>
      <c r="G330" t="s">
        <v>15</v>
      </c>
      <c r="H330" t="s">
        <v>15</v>
      </c>
      <c r="I330" t="s">
        <v>15</v>
      </c>
    </row>
    <row r="331" spans="1:9" x14ac:dyDescent="0.25">
      <c r="A331" s="6">
        <v>43299</v>
      </c>
      <c r="B331" t="s">
        <v>13</v>
      </c>
      <c r="C331">
        <v>58208</v>
      </c>
      <c r="D331" t="s">
        <v>14</v>
      </c>
      <c r="E331" s="7">
        <v>267.58999999999997</v>
      </c>
      <c r="F331" t="s">
        <v>15</v>
      </c>
      <c r="G331" t="s">
        <v>15</v>
      </c>
      <c r="H331" t="s">
        <v>15</v>
      </c>
      <c r="I331" t="s">
        <v>15</v>
      </c>
    </row>
    <row r="332" spans="1:9" x14ac:dyDescent="0.25">
      <c r="A332" s="6">
        <v>43299</v>
      </c>
      <c r="B332" t="s">
        <v>13</v>
      </c>
      <c r="C332">
        <v>58209</v>
      </c>
      <c r="D332" t="s">
        <v>14</v>
      </c>
      <c r="E332" s="7">
        <v>393.97</v>
      </c>
      <c r="F332" t="s">
        <v>15</v>
      </c>
      <c r="G332" t="s">
        <v>15</v>
      </c>
      <c r="H332" t="s">
        <v>15</v>
      </c>
      <c r="I332" t="s">
        <v>15</v>
      </c>
    </row>
    <row r="333" spans="1:9" x14ac:dyDescent="0.25">
      <c r="A333" s="6">
        <v>43299</v>
      </c>
      <c r="B333" t="s">
        <v>13</v>
      </c>
      <c r="C333">
        <v>58210</v>
      </c>
      <c r="D333" t="s">
        <v>14</v>
      </c>
      <c r="E333" s="7">
        <v>329.37</v>
      </c>
      <c r="F333" t="s">
        <v>15</v>
      </c>
      <c r="G333" t="s">
        <v>15</v>
      </c>
      <c r="H333" t="s">
        <v>15</v>
      </c>
      <c r="I333" t="s">
        <v>15</v>
      </c>
    </row>
    <row r="334" spans="1:9" x14ac:dyDescent="0.25">
      <c r="A334" s="6">
        <v>43299</v>
      </c>
      <c r="B334" t="s">
        <v>13</v>
      </c>
      <c r="C334">
        <v>58211</v>
      </c>
      <c r="D334" t="s">
        <v>14</v>
      </c>
      <c r="E334" s="7">
        <v>393.15</v>
      </c>
      <c r="F334" t="s">
        <v>15</v>
      </c>
      <c r="G334" t="s">
        <v>15</v>
      </c>
      <c r="H334" t="s">
        <v>15</v>
      </c>
      <c r="I334" t="s">
        <v>15</v>
      </c>
    </row>
    <row r="335" spans="1:9" x14ac:dyDescent="0.25">
      <c r="A335" s="6">
        <v>43299</v>
      </c>
      <c r="B335" t="s">
        <v>13</v>
      </c>
      <c r="C335">
        <v>58213</v>
      </c>
      <c r="D335" t="s">
        <v>14</v>
      </c>
      <c r="E335" s="7">
        <v>300.29000000000002</v>
      </c>
      <c r="F335" t="s">
        <v>15</v>
      </c>
      <c r="G335" t="s">
        <v>15</v>
      </c>
      <c r="H335" t="s">
        <v>15</v>
      </c>
      <c r="I335" t="s">
        <v>15</v>
      </c>
    </row>
    <row r="336" spans="1:9" x14ac:dyDescent="0.25">
      <c r="A336" s="6">
        <v>43299</v>
      </c>
      <c r="B336" t="s">
        <v>13</v>
      </c>
      <c r="C336">
        <v>58214</v>
      </c>
      <c r="D336" t="s">
        <v>14</v>
      </c>
      <c r="E336" s="7">
        <v>274.17</v>
      </c>
      <c r="F336" t="s">
        <v>15</v>
      </c>
      <c r="G336" t="s">
        <v>15</v>
      </c>
      <c r="H336" t="s">
        <v>15</v>
      </c>
      <c r="I336" t="s">
        <v>15</v>
      </c>
    </row>
    <row r="337" spans="1:9" x14ac:dyDescent="0.25">
      <c r="A337" s="6">
        <v>43299</v>
      </c>
      <c r="B337" t="s">
        <v>13</v>
      </c>
      <c r="C337">
        <v>58215</v>
      </c>
      <c r="D337" t="s">
        <v>14</v>
      </c>
      <c r="E337" s="7">
        <v>268.49</v>
      </c>
      <c r="F337" t="s">
        <v>15</v>
      </c>
      <c r="G337" t="s">
        <v>15</v>
      </c>
      <c r="H337" t="s">
        <v>15</v>
      </c>
      <c r="I337" t="s">
        <v>15</v>
      </c>
    </row>
    <row r="338" spans="1:9" x14ac:dyDescent="0.25">
      <c r="A338" s="6">
        <v>43299</v>
      </c>
      <c r="B338" t="s">
        <v>13</v>
      </c>
      <c r="C338">
        <v>58216</v>
      </c>
      <c r="D338" t="s">
        <v>14</v>
      </c>
      <c r="E338" s="7">
        <v>383.53</v>
      </c>
      <c r="F338" t="s">
        <v>15</v>
      </c>
      <c r="G338" t="s">
        <v>15</v>
      </c>
      <c r="H338" t="s">
        <v>15</v>
      </c>
      <c r="I338" t="s">
        <v>15</v>
      </c>
    </row>
    <row r="339" spans="1:9" x14ac:dyDescent="0.25">
      <c r="A339" s="6">
        <v>43299</v>
      </c>
      <c r="B339" t="s">
        <v>13</v>
      </c>
      <c r="C339">
        <v>58217</v>
      </c>
      <c r="D339" t="s">
        <v>14</v>
      </c>
      <c r="E339" s="7">
        <v>570.41</v>
      </c>
      <c r="F339" t="s">
        <v>15</v>
      </c>
      <c r="G339" t="s">
        <v>15</v>
      </c>
      <c r="H339" t="s">
        <v>15</v>
      </c>
      <c r="I339" t="s">
        <v>15</v>
      </c>
    </row>
    <row r="340" spans="1:9" x14ac:dyDescent="0.25">
      <c r="A340" s="6">
        <v>43299</v>
      </c>
      <c r="B340" t="s">
        <v>13</v>
      </c>
      <c r="C340">
        <v>58218</v>
      </c>
      <c r="D340" t="s">
        <v>14</v>
      </c>
      <c r="E340" s="7">
        <v>373.53</v>
      </c>
      <c r="F340" t="s">
        <v>15</v>
      </c>
      <c r="G340" t="s">
        <v>15</v>
      </c>
      <c r="H340" t="s">
        <v>15</v>
      </c>
      <c r="I340" t="s">
        <v>15</v>
      </c>
    </row>
    <row r="341" spans="1:9" x14ac:dyDescent="0.25">
      <c r="A341" s="6">
        <v>43299</v>
      </c>
      <c r="B341" t="s">
        <v>13</v>
      </c>
      <c r="C341">
        <v>58219</v>
      </c>
      <c r="D341" t="s">
        <v>14</v>
      </c>
      <c r="E341" s="7">
        <v>286.41000000000003</v>
      </c>
      <c r="F341" t="s">
        <v>15</v>
      </c>
      <c r="G341" t="s">
        <v>15</v>
      </c>
      <c r="H341" t="s">
        <v>15</v>
      </c>
      <c r="I341" t="s">
        <v>15</v>
      </c>
    </row>
    <row r="342" spans="1:9" x14ac:dyDescent="0.25">
      <c r="A342" s="6">
        <v>43299</v>
      </c>
      <c r="B342" t="s">
        <v>13</v>
      </c>
      <c r="C342">
        <v>58220</v>
      </c>
      <c r="D342" t="s">
        <v>14</v>
      </c>
      <c r="E342" s="7">
        <v>585.45000000000005</v>
      </c>
      <c r="F342" t="s">
        <v>15</v>
      </c>
      <c r="G342" t="s">
        <v>15</v>
      </c>
      <c r="H342" t="s">
        <v>15</v>
      </c>
      <c r="I342" t="s">
        <v>15</v>
      </c>
    </row>
    <row r="343" spans="1:9" x14ac:dyDescent="0.25">
      <c r="A343" s="6">
        <v>43299</v>
      </c>
      <c r="B343" t="s">
        <v>13</v>
      </c>
      <c r="C343">
        <v>58222</v>
      </c>
      <c r="D343" t="s">
        <v>14</v>
      </c>
      <c r="E343" s="7">
        <v>232.49</v>
      </c>
      <c r="F343" t="s">
        <v>15</v>
      </c>
      <c r="G343" t="s">
        <v>15</v>
      </c>
      <c r="H343" t="s">
        <v>15</v>
      </c>
      <c r="I343" t="s">
        <v>15</v>
      </c>
    </row>
    <row r="344" spans="1:9" x14ac:dyDescent="0.25">
      <c r="A344" s="6">
        <v>43299</v>
      </c>
      <c r="B344" t="s">
        <v>13</v>
      </c>
      <c r="C344">
        <v>58224</v>
      </c>
      <c r="D344" t="s">
        <v>14</v>
      </c>
      <c r="E344" s="7">
        <v>269.14999999999998</v>
      </c>
      <c r="F344" t="s">
        <v>15</v>
      </c>
      <c r="G344" t="s">
        <v>15</v>
      </c>
      <c r="H344" t="s">
        <v>15</v>
      </c>
      <c r="I344" t="s">
        <v>15</v>
      </c>
    </row>
    <row r="345" spans="1:9" x14ac:dyDescent="0.25">
      <c r="A345" s="6">
        <v>43299</v>
      </c>
      <c r="B345" t="s">
        <v>13</v>
      </c>
      <c r="C345">
        <v>58225</v>
      </c>
      <c r="D345" t="s">
        <v>14</v>
      </c>
      <c r="E345" s="7">
        <v>173.33</v>
      </c>
      <c r="F345" t="s">
        <v>15</v>
      </c>
      <c r="G345" t="s">
        <v>15</v>
      </c>
      <c r="H345" t="s">
        <v>15</v>
      </c>
      <c r="I345" t="s">
        <v>15</v>
      </c>
    </row>
    <row r="346" spans="1:9" x14ac:dyDescent="0.25">
      <c r="A346" s="6">
        <v>43299</v>
      </c>
      <c r="B346" t="s">
        <v>13</v>
      </c>
      <c r="C346">
        <v>58227</v>
      </c>
      <c r="D346" t="s">
        <v>14</v>
      </c>
      <c r="E346" s="7">
        <v>294.22000000000003</v>
      </c>
      <c r="F346" t="s">
        <v>15</v>
      </c>
      <c r="G346" t="s">
        <v>15</v>
      </c>
      <c r="H346" t="s">
        <v>15</v>
      </c>
      <c r="I346" t="s">
        <v>15</v>
      </c>
    </row>
    <row r="347" spans="1:9" x14ac:dyDescent="0.25">
      <c r="A347" s="6">
        <v>43312</v>
      </c>
      <c r="B347" t="s">
        <v>13</v>
      </c>
      <c r="C347">
        <v>58362</v>
      </c>
      <c r="D347" t="s">
        <v>14</v>
      </c>
      <c r="E347" s="7">
        <v>204.5</v>
      </c>
      <c r="F347" t="s">
        <v>15</v>
      </c>
      <c r="G347" t="s">
        <v>15</v>
      </c>
      <c r="H347" t="s">
        <v>15</v>
      </c>
      <c r="I347" t="s">
        <v>15</v>
      </c>
    </row>
    <row r="348" spans="1:9" x14ac:dyDescent="0.25">
      <c r="A348" s="6">
        <v>43312</v>
      </c>
      <c r="B348" t="s">
        <v>13</v>
      </c>
      <c r="C348">
        <v>58363</v>
      </c>
      <c r="D348" t="s">
        <v>14</v>
      </c>
      <c r="E348" s="7">
        <v>755.75</v>
      </c>
      <c r="F348" t="s">
        <v>15</v>
      </c>
      <c r="G348" t="s">
        <v>15</v>
      </c>
      <c r="H348" t="s">
        <v>15</v>
      </c>
      <c r="I348" t="s">
        <v>15</v>
      </c>
    </row>
    <row r="349" spans="1:9" x14ac:dyDescent="0.25">
      <c r="A349" s="6">
        <v>43312</v>
      </c>
      <c r="B349" t="s">
        <v>13</v>
      </c>
      <c r="C349">
        <v>58364</v>
      </c>
      <c r="D349" t="s">
        <v>14</v>
      </c>
      <c r="E349" s="7">
        <v>222.16</v>
      </c>
      <c r="F349" t="s">
        <v>15</v>
      </c>
      <c r="G349" t="s">
        <v>15</v>
      </c>
      <c r="H349" t="s">
        <v>15</v>
      </c>
      <c r="I349" t="s">
        <v>15</v>
      </c>
    </row>
    <row r="350" spans="1:9" x14ac:dyDescent="0.25">
      <c r="A350" s="6">
        <v>43312</v>
      </c>
      <c r="B350" t="s">
        <v>13</v>
      </c>
      <c r="C350">
        <v>58365</v>
      </c>
      <c r="D350" t="s">
        <v>14</v>
      </c>
      <c r="E350" s="7">
        <v>239.08</v>
      </c>
      <c r="F350" t="s">
        <v>15</v>
      </c>
      <c r="G350" t="s">
        <v>15</v>
      </c>
      <c r="H350" t="s">
        <v>15</v>
      </c>
      <c r="I350" t="s">
        <v>15</v>
      </c>
    </row>
    <row r="351" spans="1:9" x14ac:dyDescent="0.25">
      <c r="A351" s="6">
        <v>43312</v>
      </c>
      <c r="B351" t="s">
        <v>13</v>
      </c>
      <c r="C351">
        <v>58366</v>
      </c>
      <c r="D351" t="s">
        <v>14</v>
      </c>
      <c r="E351" s="7">
        <v>311.83</v>
      </c>
      <c r="F351" t="s">
        <v>15</v>
      </c>
      <c r="G351" t="s">
        <v>15</v>
      </c>
      <c r="H351" t="s">
        <v>15</v>
      </c>
      <c r="I351" t="s">
        <v>15</v>
      </c>
    </row>
    <row r="352" spans="1:9" x14ac:dyDescent="0.25">
      <c r="A352" s="6">
        <v>43312</v>
      </c>
      <c r="B352" t="s">
        <v>13</v>
      </c>
      <c r="C352">
        <v>58367</v>
      </c>
      <c r="D352" t="s">
        <v>14</v>
      </c>
      <c r="E352" s="7">
        <v>134.66999999999999</v>
      </c>
      <c r="F352" t="s">
        <v>15</v>
      </c>
      <c r="G352" t="s">
        <v>15</v>
      </c>
      <c r="H352" t="s">
        <v>15</v>
      </c>
      <c r="I352" t="s">
        <v>15</v>
      </c>
    </row>
    <row r="353" spans="1:9" x14ac:dyDescent="0.25">
      <c r="A353" s="6">
        <v>43312</v>
      </c>
      <c r="B353" t="s">
        <v>13</v>
      </c>
      <c r="C353">
        <v>58368</v>
      </c>
      <c r="D353" t="s">
        <v>14</v>
      </c>
      <c r="E353" s="7">
        <v>690.07</v>
      </c>
      <c r="F353" t="s">
        <v>15</v>
      </c>
      <c r="G353" t="s">
        <v>15</v>
      </c>
      <c r="H353" t="s">
        <v>15</v>
      </c>
      <c r="I353" t="s">
        <v>15</v>
      </c>
    </row>
    <row r="354" spans="1:9" x14ac:dyDescent="0.25">
      <c r="A354" s="6">
        <v>43312</v>
      </c>
      <c r="B354" t="s">
        <v>13</v>
      </c>
      <c r="C354">
        <v>58370</v>
      </c>
      <c r="D354" t="s">
        <v>14</v>
      </c>
      <c r="E354" s="7">
        <v>283.41000000000003</v>
      </c>
      <c r="F354" t="s">
        <v>15</v>
      </c>
      <c r="G354" t="s">
        <v>15</v>
      </c>
      <c r="H354" t="s">
        <v>15</v>
      </c>
      <c r="I354" t="s">
        <v>15</v>
      </c>
    </row>
    <row r="355" spans="1:9" x14ac:dyDescent="0.25">
      <c r="A355" s="6">
        <v>43312</v>
      </c>
      <c r="B355" t="s">
        <v>13</v>
      </c>
      <c r="C355">
        <v>58371</v>
      </c>
      <c r="D355" t="s">
        <v>14</v>
      </c>
      <c r="E355" s="7">
        <v>155.72</v>
      </c>
      <c r="F355" t="s">
        <v>15</v>
      </c>
      <c r="G355" t="s">
        <v>15</v>
      </c>
      <c r="H355" t="s">
        <v>15</v>
      </c>
      <c r="I355" t="s">
        <v>15</v>
      </c>
    </row>
    <row r="356" spans="1:9" x14ac:dyDescent="0.25">
      <c r="A356" s="6">
        <v>43312</v>
      </c>
      <c r="B356" t="s">
        <v>13</v>
      </c>
      <c r="C356">
        <v>58372</v>
      </c>
      <c r="D356" t="s">
        <v>14</v>
      </c>
      <c r="E356" s="7">
        <v>131.57</v>
      </c>
      <c r="F356" t="s">
        <v>15</v>
      </c>
      <c r="G356" t="s">
        <v>15</v>
      </c>
      <c r="H356" t="s">
        <v>15</v>
      </c>
      <c r="I356" t="s">
        <v>15</v>
      </c>
    </row>
    <row r="357" spans="1:9" x14ac:dyDescent="0.25">
      <c r="A357" s="6">
        <v>43312</v>
      </c>
      <c r="B357" t="s">
        <v>13</v>
      </c>
      <c r="C357">
        <v>58373</v>
      </c>
      <c r="D357" t="s">
        <v>14</v>
      </c>
      <c r="E357" s="7">
        <v>444.43</v>
      </c>
      <c r="F357" t="s">
        <v>15</v>
      </c>
      <c r="G357" t="s">
        <v>15</v>
      </c>
      <c r="H357" t="s">
        <v>15</v>
      </c>
      <c r="I357" t="s">
        <v>15</v>
      </c>
    </row>
    <row r="358" spans="1:9" x14ac:dyDescent="0.25">
      <c r="A358" s="6">
        <v>43312</v>
      </c>
      <c r="B358" t="s">
        <v>13</v>
      </c>
      <c r="C358">
        <v>58374</v>
      </c>
      <c r="D358" t="s">
        <v>14</v>
      </c>
      <c r="E358" s="7">
        <v>545.08000000000004</v>
      </c>
      <c r="F358" t="s">
        <v>15</v>
      </c>
      <c r="G358" t="s">
        <v>15</v>
      </c>
      <c r="H358" t="s">
        <v>15</v>
      </c>
      <c r="I358" t="s">
        <v>15</v>
      </c>
    </row>
    <row r="359" spans="1:9" x14ac:dyDescent="0.25">
      <c r="A359" s="6">
        <v>43312</v>
      </c>
      <c r="B359" t="s">
        <v>13</v>
      </c>
      <c r="C359">
        <v>58375</v>
      </c>
      <c r="D359" t="s">
        <v>14</v>
      </c>
      <c r="E359" s="7">
        <v>301.27</v>
      </c>
      <c r="F359" t="s">
        <v>15</v>
      </c>
      <c r="G359" t="s">
        <v>15</v>
      </c>
      <c r="H359" t="s">
        <v>15</v>
      </c>
      <c r="I359" t="s">
        <v>15</v>
      </c>
    </row>
    <row r="360" spans="1:9" x14ac:dyDescent="0.25">
      <c r="A360" s="6">
        <v>43312</v>
      </c>
      <c r="B360" t="s">
        <v>13</v>
      </c>
      <c r="C360">
        <v>58376</v>
      </c>
      <c r="D360" t="s">
        <v>14</v>
      </c>
      <c r="E360" s="7">
        <v>405.71</v>
      </c>
      <c r="F360" t="s">
        <v>15</v>
      </c>
      <c r="G360" t="s">
        <v>15</v>
      </c>
      <c r="H360" t="s">
        <v>15</v>
      </c>
      <c r="I360" t="s">
        <v>15</v>
      </c>
    </row>
    <row r="361" spans="1:9" x14ac:dyDescent="0.25">
      <c r="A361" s="6">
        <v>43312</v>
      </c>
      <c r="B361" t="s">
        <v>13</v>
      </c>
      <c r="C361">
        <v>58377</v>
      </c>
      <c r="D361" t="s">
        <v>14</v>
      </c>
      <c r="E361" s="7">
        <v>551.69000000000005</v>
      </c>
      <c r="F361" t="s">
        <v>15</v>
      </c>
      <c r="G361" t="s">
        <v>15</v>
      </c>
      <c r="H361" t="s">
        <v>15</v>
      </c>
      <c r="I361" t="s">
        <v>15</v>
      </c>
    </row>
    <row r="362" spans="1:9" x14ac:dyDescent="0.25">
      <c r="A362" s="6">
        <v>43312</v>
      </c>
      <c r="B362" t="s">
        <v>13</v>
      </c>
      <c r="C362">
        <v>58378</v>
      </c>
      <c r="D362" t="s">
        <v>14</v>
      </c>
      <c r="E362" s="7">
        <v>121.56</v>
      </c>
      <c r="F362" t="s">
        <v>15</v>
      </c>
      <c r="G362" t="s">
        <v>15</v>
      </c>
      <c r="H362" t="s">
        <v>15</v>
      </c>
      <c r="I362" t="s">
        <v>15</v>
      </c>
    </row>
    <row r="363" spans="1:9" x14ac:dyDescent="0.25">
      <c r="A363" s="6">
        <v>43312</v>
      </c>
      <c r="B363" t="s">
        <v>13</v>
      </c>
      <c r="C363">
        <v>58379</v>
      </c>
      <c r="D363" t="s">
        <v>14</v>
      </c>
      <c r="E363" s="7">
        <v>197.4</v>
      </c>
      <c r="F363" t="s">
        <v>15</v>
      </c>
      <c r="G363" t="s">
        <v>15</v>
      </c>
      <c r="H363" t="s">
        <v>15</v>
      </c>
      <c r="I363" t="s">
        <v>15</v>
      </c>
    </row>
    <row r="364" spans="1:9" x14ac:dyDescent="0.25">
      <c r="A364" s="6">
        <v>43312</v>
      </c>
      <c r="B364" t="s">
        <v>13</v>
      </c>
      <c r="C364">
        <v>58381</v>
      </c>
      <c r="D364" t="s">
        <v>14</v>
      </c>
      <c r="E364" s="7">
        <v>299.27</v>
      </c>
      <c r="F364" t="s">
        <v>15</v>
      </c>
      <c r="G364" t="s">
        <v>15</v>
      </c>
      <c r="H364" t="s">
        <v>15</v>
      </c>
      <c r="I364" t="s">
        <v>15</v>
      </c>
    </row>
    <row r="365" spans="1:9" x14ac:dyDescent="0.25">
      <c r="A365" s="6">
        <v>43312</v>
      </c>
      <c r="B365" t="s">
        <v>13</v>
      </c>
      <c r="C365">
        <v>58382</v>
      </c>
      <c r="D365" t="s">
        <v>14</v>
      </c>
      <c r="E365" s="7">
        <v>441.68</v>
      </c>
      <c r="F365" t="s">
        <v>15</v>
      </c>
      <c r="G365" t="s">
        <v>15</v>
      </c>
      <c r="H365" t="s">
        <v>15</v>
      </c>
      <c r="I365" t="s">
        <v>15</v>
      </c>
    </row>
    <row r="366" spans="1:9" x14ac:dyDescent="0.25">
      <c r="A366" s="6">
        <v>43312</v>
      </c>
      <c r="B366" t="s">
        <v>13</v>
      </c>
      <c r="C366">
        <v>58383</v>
      </c>
      <c r="D366" t="s">
        <v>14</v>
      </c>
      <c r="E366" s="7">
        <v>284.45</v>
      </c>
      <c r="F366" t="s">
        <v>15</v>
      </c>
      <c r="G366" t="s">
        <v>15</v>
      </c>
      <c r="H366" t="s">
        <v>15</v>
      </c>
      <c r="I366" t="s">
        <v>15</v>
      </c>
    </row>
    <row r="367" spans="1:9" x14ac:dyDescent="0.25">
      <c r="A367" s="6">
        <v>43312</v>
      </c>
      <c r="B367" t="s">
        <v>13</v>
      </c>
      <c r="C367">
        <v>58384</v>
      </c>
      <c r="D367" t="s">
        <v>14</v>
      </c>
      <c r="E367" s="7">
        <v>124.67</v>
      </c>
      <c r="F367" t="s">
        <v>15</v>
      </c>
      <c r="G367" t="s">
        <v>15</v>
      </c>
      <c r="H367" t="s">
        <v>15</v>
      </c>
      <c r="I367" t="s">
        <v>15</v>
      </c>
    </row>
    <row r="368" spans="1:9" x14ac:dyDescent="0.25">
      <c r="A368" s="6">
        <v>43329</v>
      </c>
      <c r="B368" t="s">
        <v>13</v>
      </c>
      <c r="C368">
        <v>58525</v>
      </c>
      <c r="D368" t="s">
        <v>14</v>
      </c>
      <c r="E368" s="7">
        <v>790.62</v>
      </c>
      <c r="F368" t="s">
        <v>15</v>
      </c>
      <c r="G368" t="s">
        <v>15</v>
      </c>
      <c r="H368" t="s">
        <v>15</v>
      </c>
      <c r="I368" t="s">
        <v>15</v>
      </c>
    </row>
    <row r="369" spans="1:9" x14ac:dyDescent="0.25">
      <c r="A369" s="6">
        <v>43329</v>
      </c>
      <c r="B369" t="s">
        <v>13</v>
      </c>
      <c r="C369">
        <v>58528</v>
      </c>
      <c r="D369" t="s">
        <v>14</v>
      </c>
      <c r="E369" s="7">
        <v>409</v>
      </c>
      <c r="F369" t="s">
        <v>15</v>
      </c>
      <c r="G369" t="s">
        <v>15</v>
      </c>
      <c r="H369" t="s">
        <v>15</v>
      </c>
      <c r="I369" t="s">
        <v>15</v>
      </c>
    </row>
    <row r="370" spans="1:9" x14ac:dyDescent="0.25">
      <c r="A370" s="6">
        <v>43329</v>
      </c>
      <c r="B370" t="s">
        <v>13</v>
      </c>
      <c r="C370">
        <v>58529</v>
      </c>
      <c r="D370" t="s">
        <v>14</v>
      </c>
      <c r="E370" s="7">
        <v>716.09</v>
      </c>
      <c r="F370" t="s">
        <v>15</v>
      </c>
      <c r="G370" t="s">
        <v>15</v>
      </c>
      <c r="H370" t="s">
        <v>15</v>
      </c>
      <c r="I370" t="s">
        <v>15</v>
      </c>
    </row>
    <row r="371" spans="1:9" x14ac:dyDescent="0.25">
      <c r="A371" s="6">
        <v>43329</v>
      </c>
      <c r="B371" t="s">
        <v>13</v>
      </c>
      <c r="C371">
        <v>58531</v>
      </c>
      <c r="D371" t="s">
        <v>14</v>
      </c>
      <c r="E371" s="7">
        <v>236.88</v>
      </c>
      <c r="F371" t="s">
        <v>15</v>
      </c>
      <c r="G371" t="s">
        <v>15</v>
      </c>
      <c r="H371" t="s">
        <v>15</v>
      </c>
      <c r="I371" t="s">
        <v>15</v>
      </c>
    </row>
    <row r="372" spans="1:9" x14ac:dyDescent="0.25">
      <c r="A372" s="6">
        <v>43329</v>
      </c>
      <c r="B372" t="s">
        <v>13</v>
      </c>
      <c r="C372">
        <v>58532</v>
      </c>
      <c r="D372" t="s">
        <v>14</v>
      </c>
      <c r="E372" s="7">
        <v>337.25</v>
      </c>
      <c r="F372" t="s">
        <v>15</v>
      </c>
      <c r="G372" t="s">
        <v>15</v>
      </c>
      <c r="H372" t="s">
        <v>15</v>
      </c>
      <c r="I372" t="s">
        <v>15</v>
      </c>
    </row>
    <row r="373" spans="1:9" x14ac:dyDescent="0.25">
      <c r="A373" s="6">
        <v>43329</v>
      </c>
      <c r="B373" t="s">
        <v>13</v>
      </c>
      <c r="C373">
        <v>58533</v>
      </c>
      <c r="D373" t="s">
        <v>14</v>
      </c>
      <c r="E373" s="7">
        <v>245.07</v>
      </c>
      <c r="F373" t="s">
        <v>15</v>
      </c>
      <c r="G373" t="s">
        <v>15</v>
      </c>
      <c r="H373" t="s">
        <v>15</v>
      </c>
      <c r="I373" t="s">
        <v>15</v>
      </c>
    </row>
    <row r="374" spans="1:9" x14ac:dyDescent="0.25">
      <c r="A374" s="6">
        <v>43329</v>
      </c>
      <c r="B374" t="s">
        <v>13</v>
      </c>
      <c r="C374">
        <v>58534</v>
      </c>
      <c r="D374" t="s">
        <v>14</v>
      </c>
      <c r="E374" s="7">
        <v>483.89</v>
      </c>
      <c r="F374" t="s">
        <v>15</v>
      </c>
      <c r="G374" t="s">
        <v>15</v>
      </c>
      <c r="H374" t="s">
        <v>15</v>
      </c>
      <c r="I374" t="s">
        <v>15</v>
      </c>
    </row>
    <row r="375" spans="1:9" x14ac:dyDescent="0.25">
      <c r="A375" s="6">
        <v>43329</v>
      </c>
      <c r="B375" t="s">
        <v>13</v>
      </c>
      <c r="C375">
        <v>58535</v>
      </c>
      <c r="D375" t="s">
        <v>14</v>
      </c>
      <c r="E375" s="7">
        <v>108.05</v>
      </c>
      <c r="F375" t="s">
        <v>15</v>
      </c>
      <c r="G375" t="s">
        <v>15</v>
      </c>
      <c r="H375" t="s">
        <v>15</v>
      </c>
      <c r="I375" t="s">
        <v>15</v>
      </c>
    </row>
    <row r="376" spans="1:9" x14ac:dyDescent="0.25">
      <c r="A376" s="6">
        <v>43329</v>
      </c>
      <c r="B376" t="s">
        <v>13</v>
      </c>
      <c r="C376">
        <v>58536</v>
      </c>
      <c r="D376" t="s">
        <v>14</v>
      </c>
      <c r="E376" s="7">
        <v>401.59</v>
      </c>
      <c r="F376" t="s">
        <v>15</v>
      </c>
      <c r="G376" t="s">
        <v>15</v>
      </c>
      <c r="H376" t="s">
        <v>15</v>
      </c>
      <c r="I376" t="s">
        <v>15</v>
      </c>
    </row>
    <row r="377" spans="1:9" x14ac:dyDescent="0.25">
      <c r="A377" s="6">
        <v>43329</v>
      </c>
      <c r="B377" t="s">
        <v>13</v>
      </c>
      <c r="C377">
        <v>58537</v>
      </c>
      <c r="D377" t="s">
        <v>14</v>
      </c>
      <c r="E377" s="7">
        <v>307.06</v>
      </c>
      <c r="F377" t="s">
        <v>15</v>
      </c>
      <c r="G377" t="s">
        <v>15</v>
      </c>
      <c r="H377" t="s">
        <v>15</v>
      </c>
      <c r="I377" t="s">
        <v>15</v>
      </c>
    </row>
    <row r="378" spans="1:9" x14ac:dyDescent="0.25">
      <c r="A378" s="6">
        <v>43329</v>
      </c>
      <c r="B378" t="s">
        <v>13</v>
      </c>
      <c r="C378">
        <v>58539</v>
      </c>
      <c r="D378" t="s">
        <v>14</v>
      </c>
      <c r="E378" s="7">
        <v>353.97</v>
      </c>
      <c r="F378" t="s">
        <v>15</v>
      </c>
      <c r="G378" t="s">
        <v>15</v>
      </c>
      <c r="H378" t="s">
        <v>15</v>
      </c>
      <c r="I378" t="s">
        <v>15</v>
      </c>
    </row>
    <row r="379" spans="1:9" x14ac:dyDescent="0.25">
      <c r="A379" s="6">
        <v>43329</v>
      </c>
      <c r="B379" t="s">
        <v>13</v>
      </c>
      <c r="C379">
        <v>58540</v>
      </c>
      <c r="D379" t="s">
        <v>14</v>
      </c>
      <c r="E379" s="7">
        <v>492.33</v>
      </c>
      <c r="F379" t="s">
        <v>15</v>
      </c>
      <c r="G379" t="s">
        <v>15</v>
      </c>
      <c r="H379" t="s">
        <v>15</v>
      </c>
      <c r="I379" t="s">
        <v>15</v>
      </c>
    </row>
    <row r="380" spans="1:9" x14ac:dyDescent="0.25">
      <c r="A380" s="6">
        <v>43329</v>
      </c>
      <c r="B380" t="s">
        <v>13</v>
      </c>
      <c r="C380">
        <v>58541</v>
      </c>
      <c r="D380" t="s">
        <v>14</v>
      </c>
      <c r="E380" s="7">
        <v>425.72</v>
      </c>
      <c r="F380" t="s">
        <v>15</v>
      </c>
      <c r="G380" t="s">
        <v>15</v>
      </c>
      <c r="H380" t="s">
        <v>15</v>
      </c>
      <c r="I380" t="s">
        <v>15</v>
      </c>
    </row>
    <row r="381" spans="1:9" x14ac:dyDescent="0.25">
      <c r="A381" s="6">
        <v>43329</v>
      </c>
      <c r="B381" t="s">
        <v>13</v>
      </c>
      <c r="C381">
        <v>58542</v>
      </c>
      <c r="D381" t="s">
        <v>14</v>
      </c>
      <c r="E381" s="7">
        <v>263.2</v>
      </c>
      <c r="F381" t="s">
        <v>15</v>
      </c>
      <c r="G381" t="s">
        <v>15</v>
      </c>
      <c r="H381" t="s">
        <v>15</v>
      </c>
      <c r="I381" t="s">
        <v>15</v>
      </c>
    </row>
    <row r="382" spans="1:9" x14ac:dyDescent="0.25">
      <c r="A382" s="6">
        <v>43329</v>
      </c>
      <c r="B382" t="s">
        <v>13</v>
      </c>
      <c r="C382">
        <v>58543</v>
      </c>
      <c r="D382" t="s">
        <v>14</v>
      </c>
      <c r="E382" s="7">
        <v>450.45</v>
      </c>
      <c r="F382" t="s">
        <v>15</v>
      </c>
      <c r="G382" t="s">
        <v>15</v>
      </c>
      <c r="H382" t="s">
        <v>15</v>
      </c>
      <c r="I382" t="s">
        <v>15</v>
      </c>
    </row>
    <row r="383" spans="1:9" x14ac:dyDescent="0.25">
      <c r="A383" s="6">
        <v>43329</v>
      </c>
      <c r="B383" t="s">
        <v>13</v>
      </c>
      <c r="C383">
        <v>58544</v>
      </c>
      <c r="D383" t="s">
        <v>14</v>
      </c>
      <c r="E383" s="7">
        <v>230.3</v>
      </c>
      <c r="F383" t="s">
        <v>15</v>
      </c>
      <c r="G383" t="s">
        <v>15</v>
      </c>
      <c r="H383" t="s">
        <v>15</v>
      </c>
      <c r="I383" t="s">
        <v>15</v>
      </c>
    </row>
    <row r="384" spans="1:9" x14ac:dyDescent="0.25">
      <c r="A384" s="6">
        <v>43329</v>
      </c>
      <c r="B384" t="s">
        <v>13</v>
      </c>
      <c r="C384">
        <v>58546</v>
      </c>
      <c r="D384" t="s">
        <v>14</v>
      </c>
      <c r="E384" s="7">
        <v>333.38</v>
      </c>
      <c r="F384" t="s">
        <v>15</v>
      </c>
      <c r="G384" t="s">
        <v>15</v>
      </c>
      <c r="H384" t="s">
        <v>15</v>
      </c>
      <c r="I384" t="s">
        <v>15</v>
      </c>
    </row>
    <row r="385" spans="1:9" x14ac:dyDescent="0.25">
      <c r="A385" s="6">
        <v>43329</v>
      </c>
      <c r="B385" t="s">
        <v>13</v>
      </c>
      <c r="C385">
        <v>58547</v>
      </c>
      <c r="D385" t="s">
        <v>14</v>
      </c>
      <c r="E385" s="7">
        <v>245.37</v>
      </c>
      <c r="F385" t="s">
        <v>15</v>
      </c>
      <c r="G385" t="s">
        <v>15</v>
      </c>
      <c r="H385" t="s">
        <v>15</v>
      </c>
      <c r="I385" t="s">
        <v>15</v>
      </c>
    </row>
    <row r="386" spans="1:9" x14ac:dyDescent="0.25">
      <c r="A386" s="6">
        <v>43329</v>
      </c>
      <c r="B386" t="s">
        <v>13</v>
      </c>
      <c r="C386">
        <v>58548</v>
      </c>
      <c r="D386" t="s">
        <v>14</v>
      </c>
      <c r="E386" s="7">
        <v>210.55</v>
      </c>
      <c r="F386" t="s">
        <v>15</v>
      </c>
      <c r="G386" t="s">
        <v>15</v>
      </c>
      <c r="H386" t="s">
        <v>15</v>
      </c>
      <c r="I386" t="s">
        <v>15</v>
      </c>
    </row>
    <row r="387" spans="1:9" x14ac:dyDescent="0.25">
      <c r="A387" s="6">
        <v>43329</v>
      </c>
      <c r="B387" t="s">
        <v>13</v>
      </c>
      <c r="C387">
        <v>58549</v>
      </c>
      <c r="D387" t="s">
        <v>14</v>
      </c>
      <c r="E387" s="7">
        <v>195.4</v>
      </c>
      <c r="F387" t="s">
        <v>15</v>
      </c>
      <c r="G387" t="s">
        <v>15</v>
      </c>
      <c r="H387" t="s">
        <v>15</v>
      </c>
      <c r="I387" t="s">
        <v>15</v>
      </c>
    </row>
    <row r="388" spans="1:9" x14ac:dyDescent="0.25">
      <c r="A388" s="6">
        <v>43341</v>
      </c>
      <c r="B388" t="s">
        <v>13</v>
      </c>
      <c r="C388">
        <v>58671</v>
      </c>
      <c r="D388" t="s">
        <v>14</v>
      </c>
      <c r="E388" s="7">
        <v>409</v>
      </c>
      <c r="F388" t="s">
        <v>15</v>
      </c>
      <c r="G388" t="s">
        <v>15</v>
      </c>
      <c r="H388" t="s">
        <v>15</v>
      </c>
      <c r="I388" t="s">
        <v>15</v>
      </c>
    </row>
    <row r="389" spans="1:9" x14ac:dyDescent="0.25">
      <c r="A389" s="6">
        <v>43341</v>
      </c>
      <c r="B389" t="s">
        <v>13</v>
      </c>
      <c r="C389">
        <v>58672</v>
      </c>
      <c r="D389" t="s">
        <v>14</v>
      </c>
      <c r="E389" s="7">
        <v>684.03</v>
      </c>
      <c r="F389" t="s">
        <v>15</v>
      </c>
      <c r="G389" t="s">
        <v>15</v>
      </c>
      <c r="H389" t="s">
        <v>15</v>
      </c>
      <c r="I389" t="s">
        <v>15</v>
      </c>
    </row>
    <row r="390" spans="1:9" x14ac:dyDescent="0.25">
      <c r="A390" s="6">
        <v>43341</v>
      </c>
      <c r="B390" t="s">
        <v>13</v>
      </c>
      <c r="C390">
        <v>58673</v>
      </c>
      <c r="D390" t="s">
        <v>14</v>
      </c>
      <c r="E390" s="7">
        <v>115.44</v>
      </c>
      <c r="F390" t="s">
        <v>15</v>
      </c>
      <c r="G390" t="s">
        <v>15</v>
      </c>
      <c r="H390" t="s">
        <v>15</v>
      </c>
      <c r="I390" t="s">
        <v>15</v>
      </c>
    </row>
    <row r="391" spans="1:9" x14ac:dyDescent="0.25">
      <c r="A391" s="6">
        <v>43341</v>
      </c>
      <c r="B391" t="s">
        <v>13</v>
      </c>
      <c r="C391">
        <v>58674</v>
      </c>
      <c r="D391" t="s">
        <v>14</v>
      </c>
      <c r="E391" s="7">
        <v>184.24</v>
      </c>
      <c r="F391" t="s">
        <v>15</v>
      </c>
      <c r="G391" t="s">
        <v>15</v>
      </c>
      <c r="H391" t="s">
        <v>15</v>
      </c>
      <c r="I391" t="s">
        <v>15</v>
      </c>
    </row>
    <row r="392" spans="1:9" x14ac:dyDescent="0.25">
      <c r="A392" s="6">
        <v>43341</v>
      </c>
      <c r="B392" t="s">
        <v>13</v>
      </c>
      <c r="C392">
        <v>58675</v>
      </c>
      <c r="D392" t="s">
        <v>14</v>
      </c>
      <c r="E392" s="7">
        <v>182.05</v>
      </c>
      <c r="F392" t="s">
        <v>15</v>
      </c>
      <c r="G392" t="s">
        <v>15</v>
      </c>
      <c r="H392" t="s">
        <v>15</v>
      </c>
      <c r="I392" t="s">
        <v>15</v>
      </c>
    </row>
    <row r="393" spans="1:9" x14ac:dyDescent="0.25">
      <c r="A393" s="6">
        <v>43341</v>
      </c>
      <c r="B393" t="s">
        <v>13</v>
      </c>
      <c r="C393">
        <v>58676</v>
      </c>
      <c r="D393" t="s">
        <v>14</v>
      </c>
      <c r="E393" s="7">
        <v>651.13</v>
      </c>
      <c r="F393" t="s">
        <v>15</v>
      </c>
      <c r="G393" t="s">
        <v>15</v>
      </c>
      <c r="H393" t="s">
        <v>15</v>
      </c>
      <c r="I393" t="s">
        <v>15</v>
      </c>
    </row>
    <row r="394" spans="1:9" x14ac:dyDescent="0.25">
      <c r="A394" s="6">
        <v>43341</v>
      </c>
      <c r="B394" t="s">
        <v>13</v>
      </c>
      <c r="C394">
        <v>58677</v>
      </c>
      <c r="D394" t="s">
        <v>14</v>
      </c>
      <c r="E394" s="7">
        <v>464.9</v>
      </c>
      <c r="F394" t="s">
        <v>15</v>
      </c>
      <c r="G394" t="s">
        <v>15</v>
      </c>
      <c r="H394" t="s">
        <v>15</v>
      </c>
      <c r="I394" t="s">
        <v>15</v>
      </c>
    </row>
    <row r="395" spans="1:9" x14ac:dyDescent="0.25">
      <c r="A395" s="6">
        <v>43341</v>
      </c>
      <c r="B395" t="s">
        <v>13</v>
      </c>
      <c r="C395">
        <v>58678</v>
      </c>
      <c r="D395" t="s">
        <v>14</v>
      </c>
      <c r="E395" s="7">
        <v>648.51</v>
      </c>
      <c r="F395" t="s">
        <v>15</v>
      </c>
      <c r="G395" t="s">
        <v>15</v>
      </c>
      <c r="H395" t="s">
        <v>15</v>
      </c>
      <c r="I395" t="s">
        <v>15</v>
      </c>
    </row>
    <row r="396" spans="1:9" x14ac:dyDescent="0.25">
      <c r="A396" s="6">
        <v>43341</v>
      </c>
      <c r="B396" t="s">
        <v>13</v>
      </c>
      <c r="C396">
        <v>58679</v>
      </c>
      <c r="D396" t="s">
        <v>14</v>
      </c>
      <c r="E396" s="7">
        <v>111.22</v>
      </c>
      <c r="F396" t="s">
        <v>15</v>
      </c>
      <c r="G396" t="s">
        <v>15</v>
      </c>
      <c r="H396" t="s">
        <v>15</v>
      </c>
      <c r="I396" t="s">
        <v>15</v>
      </c>
    </row>
    <row r="397" spans="1:9" x14ac:dyDescent="0.25">
      <c r="A397" s="6">
        <v>43341</v>
      </c>
      <c r="B397" t="s">
        <v>13</v>
      </c>
      <c r="C397">
        <v>58680</v>
      </c>
      <c r="D397" t="s">
        <v>14</v>
      </c>
      <c r="E397" s="7">
        <v>190.82</v>
      </c>
      <c r="F397" t="s">
        <v>15</v>
      </c>
      <c r="G397" t="s">
        <v>15</v>
      </c>
      <c r="H397" t="s">
        <v>15</v>
      </c>
      <c r="I397" t="s">
        <v>15</v>
      </c>
    </row>
    <row r="398" spans="1:9" x14ac:dyDescent="0.25">
      <c r="A398" s="6">
        <v>43341</v>
      </c>
      <c r="B398" t="s">
        <v>13</v>
      </c>
      <c r="C398">
        <v>58681</v>
      </c>
      <c r="D398" t="s">
        <v>14</v>
      </c>
      <c r="E398" s="7">
        <v>107.47</v>
      </c>
      <c r="F398" t="s">
        <v>15</v>
      </c>
      <c r="G398" t="s">
        <v>15</v>
      </c>
      <c r="H398" t="s">
        <v>15</v>
      </c>
      <c r="I398" t="s">
        <v>15</v>
      </c>
    </row>
    <row r="399" spans="1:9" x14ac:dyDescent="0.25">
      <c r="A399" s="6">
        <v>43341</v>
      </c>
      <c r="B399" t="s">
        <v>13</v>
      </c>
      <c r="C399">
        <v>58682</v>
      </c>
      <c r="D399" t="s">
        <v>14</v>
      </c>
      <c r="E399" s="7">
        <v>297</v>
      </c>
      <c r="F399" t="s">
        <v>15</v>
      </c>
      <c r="G399" t="s">
        <v>15</v>
      </c>
      <c r="H399" t="s">
        <v>15</v>
      </c>
      <c r="I399" t="s">
        <v>15</v>
      </c>
    </row>
    <row r="400" spans="1:9" x14ac:dyDescent="0.25">
      <c r="A400" s="6">
        <v>43341</v>
      </c>
      <c r="B400" t="s">
        <v>13</v>
      </c>
      <c r="C400">
        <v>58683</v>
      </c>
      <c r="D400" t="s">
        <v>14</v>
      </c>
      <c r="E400" s="7">
        <v>353.06</v>
      </c>
      <c r="F400" t="s">
        <v>15</v>
      </c>
      <c r="G400" t="s">
        <v>15</v>
      </c>
      <c r="H400" t="s">
        <v>15</v>
      </c>
      <c r="I400" t="s">
        <v>15</v>
      </c>
    </row>
    <row r="401" spans="1:9" x14ac:dyDescent="0.25">
      <c r="A401" s="6">
        <v>43341</v>
      </c>
      <c r="B401" t="s">
        <v>13</v>
      </c>
      <c r="C401">
        <v>58684</v>
      </c>
      <c r="D401" t="s">
        <v>14</v>
      </c>
      <c r="E401" s="7">
        <v>257.11</v>
      </c>
      <c r="F401" t="s">
        <v>15</v>
      </c>
      <c r="G401" t="s">
        <v>15</v>
      </c>
      <c r="H401" t="s">
        <v>15</v>
      </c>
      <c r="I401" t="s">
        <v>15</v>
      </c>
    </row>
    <row r="402" spans="1:9" x14ac:dyDescent="0.25">
      <c r="A402" s="6">
        <v>43341</v>
      </c>
      <c r="B402" t="s">
        <v>13</v>
      </c>
      <c r="C402">
        <v>58685</v>
      </c>
      <c r="D402" t="s">
        <v>14</v>
      </c>
      <c r="E402" s="7">
        <v>166.69</v>
      </c>
      <c r="F402" t="s">
        <v>15</v>
      </c>
      <c r="G402" t="s">
        <v>15</v>
      </c>
      <c r="H402" t="s">
        <v>15</v>
      </c>
      <c r="I402" t="s">
        <v>15</v>
      </c>
    </row>
    <row r="403" spans="1:9" x14ac:dyDescent="0.25">
      <c r="A403" s="6">
        <v>43341</v>
      </c>
      <c r="B403" t="s">
        <v>13</v>
      </c>
      <c r="C403">
        <v>58687</v>
      </c>
      <c r="D403" t="s">
        <v>14</v>
      </c>
      <c r="E403" s="7">
        <v>175.46</v>
      </c>
      <c r="F403" t="s">
        <v>15</v>
      </c>
      <c r="G403" t="s">
        <v>15</v>
      </c>
      <c r="H403" t="s">
        <v>15</v>
      </c>
      <c r="I403" t="s">
        <v>15</v>
      </c>
    </row>
    <row r="404" spans="1:9" x14ac:dyDescent="0.25">
      <c r="A404" s="6">
        <v>43341</v>
      </c>
      <c r="B404" t="s">
        <v>13</v>
      </c>
      <c r="C404">
        <v>58689</v>
      </c>
      <c r="D404" t="s">
        <v>14</v>
      </c>
      <c r="E404" s="7">
        <v>119.31</v>
      </c>
      <c r="F404" t="s">
        <v>15</v>
      </c>
      <c r="G404" t="s">
        <v>15</v>
      </c>
      <c r="H404" t="s">
        <v>15</v>
      </c>
      <c r="I404" t="s">
        <v>15</v>
      </c>
    </row>
    <row r="405" spans="1:9" x14ac:dyDescent="0.25">
      <c r="A405" s="6">
        <v>43341</v>
      </c>
      <c r="B405" t="s">
        <v>13</v>
      </c>
      <c r="C405">
        <v>58691</v>
      </c>
      <c r="D405" t="s">
        <v>14</v>
      </c>
      <c r="E405" s="7">
        <v>667.2</v>
      </c>
      <c r="F405" t="s">
        <v>15</v>
      </c>
      <c r="G405" t="s">
        <v>15</v>
      </c>
      <c r="H405" t="s">
        <v>15</v>
      </c>
      <c r="I405" t="s">
        <v>15</v>
      </c>
    </row>
    <row r="406" spans="1:9" x14ac:dyDescent="0.25">
      <c r="A406" s="6">
        <v>43357</v>
      </c>
      <c r="B406" t="s">
        <v>13</v>
      </c>
      <c r="C406">
        <v>58809</v>
      </c>
      <c r="D406" t="s">
        <v>14</v>
      </c>
      <c r="E406" s="7">
        <v>534.5</v>
      </c>
      <c r="F406" t="s">
        <v>15</v>
      </c>
      <c r="G406" t="s">
        <v>15</v>
      </c>
      <c r="H406" t="s">
        <v>15</v>
      </c>
      <c r="I406" t="s">
        <v>15</v>
      </c>
    </row>
    <row r="407" spans="1:9" x14ac:dyDescent="0.25">
      <c r="A407" s="6">
        <v>43357</v>
      </c>
      <c r="B407" t="s">
        <v>13</v>
      </c>
      <c r="C407">
        <v>58810</v>
      </c>
      <c r="D407" t="s">
        <v>14</v>
      </c>
      <c r="E407" s="7">
        <v>735.13</v>
      </c>
      <c r="F407" t="s">
        <v>15</v>
      </c>
      <c r="G407" t="s">
        <v>15</v>
      </c>
      <c r="H407" t="s">
        <v>15</v>
      </c>
      <c r="I407" t="s">
        <v>15</v>
      </c>
    </row>
    <row r="408" spans="1:9" x14ac:dyDescent="0.25">
      <c r="A408" s="6">
        <v>43357</v>
      </c>
      <c r="B408" t="s">
        <v>13</v>
      </c>
      <c r="C408">
        <v>58812</v>
      </c>
      <c r="D408" t="s">
        <v>14</v>
      </c>
      <c r="E408" s="7">
        <v>129.41</v>
      </c>
      <c r="F408" t="s">
        <v>15</v>
      </c>
      <c r="G408" t="s">
        <v>15</v>
      </c>
      <c r="H408" t="s">
        <v>15</v>
      </c>
      <c r="I408" t="s">
        <v>15</v>
      </c>
    </row>
    <row r="409" spans="1:9" x14ac:dyDescent="0.25">
      <c r="A409" s="6">
        <v>43357</v>
      </c>
      <c r="B409" t="s">
        <v>13</v>
      </c>
      <c r="C409">
        <v>58813</v>
      </c>
      <c r="D409" t="s">
        <v>14</v>
      </c>
      <c r="E409" s="7">
        <v>325.63</v>
      </c>
      <c r="F409" t="s">
        <v>15</v>
      </c>
      <c r="G409" t="s">
        <v>15</v>
      </c>
      <c r="H409" t="s">
        <v>15</v>
      </c>
      <c r="I409" t="s">
        <v>15</v>
      </c>
    </row>
    <row r="410" spans="1:9" x14ac:dyDescent="0.25">
      <c r="A410" s="6">
        <v>43357</v>
      </c>
      <c r="B410" t="s">
        <v>13</v>
      </c>
      <c r="C410">
        <v>58814</v>
      </c>
      <c r="D410" t="s">
        <v>14</v>
      </c>
      <c r="E410" s="7">
        <v>132.52000000000001</v>
      </c>
      <c r="F410" t="s">
        <v>15</v>
      </c>
      <c r="G410" t="s">
        <v>15</v>
      </c>
      <c r="H410" t="s">
        <v>15</v>
      </c>
      <c r="I410" t="s">
        <v>15</v>
      </c>
    </row>
    <row r="411" spans="1:9" x14ac:dyDescent="0.25">
      <c r="A411" s="6">
        <v>43357</v>
      </c>
      <c r="B411" t="s">
        <v>13</v>
      </c>
      <c r="C411">
        <v>58815</v>
      </c>
      <c r="D411" t="s">
        <v>14</v>
      </c>
      <c r="E411" s="7">
        <v>118.44</v>
      </c>
      <c r="F411" t="s">
        <v>15</v>
      </c>
      <c r="G411" t="s">
        <v>15</v>
      </c>
      <c r="H411" t="s">
        <v>15</v>
      </c>
      <c r="I411" t="s">
        <v>15</v>
      </c>
    </row>
    <row r="412" spans="1:9" x14ac:dyDescent="0.25">
      <c r="A412" s="6">
        <v>43357</v>
      </c>
      <c r="B412" t="s">
        <v>13</v>
      </c>
      <c r="C412">
        <v>58817</v>
      </c>
      <c r="D412" t="s">
        <v>14</v>
      </c>
      <c r="E412" s="7">
        <v>294.89</v>
      </c>
      <c r="F412" t="s">
        <v>15</v>
      </c>
      <c r="G412" t="s">
        <v>15</v>
      </c>
      <c r="H412" t="s">
        <v>15</v>
      </c>
      <c r="I412" t="s">
        <v>15</v>
      </c>
    </row>
    <row r="413" spans="1:9" x14ac:dyDescent="0.25">
      <c r="A413" s="6">
        <v>43357</v>
      </c>
      <c r="B413" t="s">
        <v>13</v>
      </c>
      <c r="C413">
        <v>58818</v>
      </c>
      <c r="D413" t="s">
        <v>14</v>
      </c>
      <c r="E413" s="7">
        <v>146.72999999999999</v>
      </c>
      <c r="F413" t="s">
        <v>15</v>
      </c>
      <c r="G413" t="s">
        <v>15</v>
      </c>
      <c r="H413" t="s">
        <v>15</v>
      </c>
      <c r="I413" t="s">
        <v>15</v>
      </c>
    </row>
    <row r="414" spans="1:9" x14ac:dyDescent="0.25">
      <c r="A414" s="6">
        <v>43357</v>
      </c>
      <c r="B414" t="s">
        <v>13</v>
      </c>
      <c r="C414">
        <v>58819</v>
      </c>
      <c r="D414" t="s">
        <v>14</v>
      </c>
      <c r="E414" s="7">
        <v>126.06</v>
      </c>
      <c r="F414" t="s">
        <v>15</v>
      </c>
      <c r="G414" t="s">
        <v>15</v>
      </c>
      <c r="H414" t="s">
        <v>15</v>
      </c>
      <c r="I414" t="s">
        <v>15</v>
      </c>
    </row>
    <row r="415" spans="1:9" x14ac:dyDescent="0.25">
      <c r="A415" s="6">
        <v>43357</v>
      </c>
      <c r="B415" t="s">
        <v>13</v>
      </c>
      <c r="C415">
        <v>58820</v>
      </c>
      <c r="D415" t="s">
        <v>14</v>
      </c>
      <c r="E415" s="7">
        <v>118.44</v>
      </c>
      <c r="F415" t="s">
        <v>15</v>
      </c>
      <c r="G415" t="s">
        <v>15</v>
      </c>
      <c r="H415" t="s">
        <v>15</v>
      </c>
      <c r="I415" t="s">
        <v>15</v>
      </c>
    </row>
    <row r="416" spans="1:9" x14ac:dyDescent="0.25">
      <c r="A416" s="6">
        <v>43357</v>
      </c>
      <c r="B416" t="s">
        <v>13</v>
      </c>
      <c r="C416">
        <v>58821</v>
      </c>
      <c r="D416" t="s">
        <v>14</v>
      </c>
      <c r="E416" s="7">
        <v>111.86</v>
      </c>
      <c r="F416" t="s">
        <v>15</v>
      </c>
      <c r="G416" t="s">
        <v>15</v>
      </c>
      <c r="H416" t="s">
        <v>15</v>
      </c>
      <c r="I416" t="s">
        <v>15</v>
      </c>
    </row>
    <row r="417" spans="1:9" x14ac:dyDescent="0.25">
      <c r="A417" s="6">
        <v>43357</v>
      </c>
      <c r="B417" t="s">
        <v>13</v>
      </c>
      <c r="C417">
        <v>58822</v>
      </c>
      <c r="D417" t="s">
        <v>14</v>
      </c>
      <c r="E417" s="7">
        <v>177.83</v>
      </c>
      <c r="F417" t="s">
        <v>15</v>
      </c>
      <c r="G417" t="s">
        <v>15</v>
      </c>
      <c r="H417" t="s">
        <v>15</v>
      </c>
      <c r="I417" t="s">
        <v>15</v>
      </c>
    </row>
    <row r="418" spans="1:9" x14ac:dyDescent="0.25">
      <c r="A418" s="6">
        <v>43357</v>
      </c>
      <c r="B418" t="s">
        <v>13</v>
      </c>
      <c r="C418">
        <v>58823</v>
      </c>
      <c r="D418" t="s">
        <v>14</v>
      </c>
      <c r="E418" s="7">
        <v>116.25</v>
      </c>
      <c r="F418" t="s">
        <v>15</v>
      </c>
      <c r="G418" t="s">
        <v>15</v>
      </c>
      <c r="H418" t="s">
        <v>15</v>
      </c>
      <c r="I418" t="s">
        <v>15</v>
      </c>
    </row>
    <row r="419" spans="1:9" x14ac:dyDescent="0.25">
      <c r="A419" s="6">
        <v>43371</v>
      </c>
      <c r="B419" t="s">
        <v>13</v>
      </c>
      <c r="C419">
        <v>58953</v>
      </c>
      <c r="D419" t="s">
        <v>14</v>
      </c>
      <c r="E419" s="7">
        <v>370.66</v>
      </c>
      <c r="F419" t="s">
        <v>15</v>
      </c>
      <c r="G419" t="s">
        <v>15</v>
      </c>
      <c r="H419" t="s">
        <v>15</v>
      </c>
      <c r="I419" t="s">
        <v>15</v>
      </c>
    </row>
    <row r="420" spans="1:9" x14ac:dyDescent="0.25">
      <c r="A420" s="6">
        <v>43371</v>
      </c>
      <c r="B420" t="s">
        <v>13</v>
      </c>
      <c r="C420">
        <v>58954</v>
      </c>
      <c r="D420" t="s">
        <v>14</v>
      </c>
      <c r="E420" s="7">
        <v>729.58</v>
      </c>
      <c r="F420" t="s">
        <v>15</v>
      </c>
      <c r="G420" t="s">
        <v>15</v>
      </c>
      <c r="H420" t="s">
        <v>15</v>
      </c>
      <c r="I420" t="s">
        <v>15</v>
      </c>
    </row>
    <row r="421" spans="1:9" x14ac:dyDescent="0.25">
      <c r="A421" s="6">
        <v>43370</v>
      </c>
      <c r="B421" t="s">
        <v>13</v>
      </c>
      <c r="C421">
        <v>58965</v>
      </c>
      <c r="D421" t="s">
        <v>14</v>
      </c>
      <c r="E421" s="7">
        <v>184.7</v>
      </c>
      <c r="F421" t="s">
        <v>15</v>
      </c>
      <c r="G421" t="s">
        <v>15</v>
      </c>
      <c r="H421" t="s">
        <v>15</v>
      </c>
      <c r="I421" t="s">
        <v>15</v>
      </c>
    </row>
    <row r="422" spans="1:9" x14ac:dyDescent="0.25">
      <c r="A422" s="6">
        <v>43370</v>
      </c>
      <c r="B422" t="s">
        <v>13</v>
      </c>
      <c r="C422">
        <v>58966</v>
      </c>
      <c r="D422" t="s">
        <v>14</v>
      </c>
      <c r="E422" s="7">
        <v>137.75</v>
      </c>
      <c r="F422" t="s">
        <v>15</v>
      </c>
      <c r="G422" t="s">
        <v>15</v>
      </c>
      <c r="H422" t="s">
        <v>15</v>
      </c>
      <c r="I422" t="s">
        <v>15</v>
      </c>
    </row>
    <row r="423" spans="1:9" x14ac:dyDescent="0.25">
      <c r="A423" s="6">
        <v>43370</v>
      </c>
      <c r="B423" t="s">
        <v>13</v>
      </c>
      <c r="C423">
        <v>58967</v>
      </c>
      <c r="D423" t="s">
        <v>14</v>
      </c>
      <c r="E423" s="7">
        <v>137.75</v>
      </c>
      <c r="F423" t="s">
        <v>15</v>
      </c>
      <c r="G423" t="s">
        <v>15</v>
      </c>
      <c r="H423" t="s">
        <v>15</v>
      </c>
      <c r="I423" t="s">
        <v>15</v>
      </c>
    </row>
    <row r="424" spans="1:9" x14ac:dyDescent="0.25">
      <c r="A424" s="6">
        <v>43370</v>
      </c>
      <c r="B424" t="s">
        <v>13</v>
      </c>
      <c r="C424">
        <v>58968</v>
      </c>
      <c r="D424" t="s">
        <v>14</v>
      </c>
      <c r="E424" s="7">
        <v>425.98</v>
      </c>
      <c r="F424" t="s">
        <v>15</v>
      </c>
      <c r="G424" t="s">
        <v>15</v>
      </c>
      <c r="H424" t="s">
        <v>15</v>
      </c>
      <c r="I424" t="s">
        <v>15</v>
      </c>
    </row>
    <row r="425" spans="1:9" x14ac:dyDescent="0.25">
      <c r="A425" s="6">
        <v>43370</v>
      </c>
      <c r="B425" t="s">
        <v>13</v>
      </c>
      <c r="C425">
        <v>58969</v>
      </c>
      <c r="D425" t="s">
        <v>14</v>
      </c>
      <c r="E425" s="7">
        <v>425.98</v>
      </c>
      <c r="F425" t="s">
        <v>15</v>
      </c>
      <c r="G425" t="s">
        <v>15</v>
      </c>
      <c r="H425" t="s">
        <v>15</v>
      </c>
      <c r="I425" t="s">
        <v>15</v>
      </c>
    </row>
    <row r="426" spans="1:9" x14ac:dyDescent="0.25">
      <c r="A426" s="6">
        <v>43074</v>
      </c>
      <c r="B426" t="s">
        <v>13</v>
      </c>
      <c r="C426">
        <v>56246</v>
      </c>
      <c r="D426" t="s">
        <v>14</v>
      </c>
      <c r="E426" s="7">
        <v>69.260000000000005</v>
      </c>
      <c r="F426" t="s">
        <v>15</v>
      </c>
      <c r="G426" t="s">
        <v>15</v>
      </c>
      <c r="H426" t="s">
        <v>15</v>
      </c>
      <c r="I426" t="s">
        <v>15</v>
      </c>
    </row>
    <row r="427" spans="1:9" x14ac:dyDescent="0.25">
      <c r="A427" s="6">
        <v>43074</v>
      </c>
      <c r="B427" t="s">
        <v>13</v>
      </c>
      <c r="C427">
        <v>56248</v>
      </c>
      <c r="D427" t="s">
        <v>14</v>
      </c>
      <c r="E427" s="7">
        <v>46.17</v>
      </c>
      <c r="F427" t="s">
        <v>15</v>
      </c>
      <c r="G427" t="s">
        <v>15</v>
      </c>
      <c r="H427" t="s">
        <v>15</v>
      </c>
      <c r="I427" t="s">
        <v>15</v>
      </c>
    </row>
    <row r="428" spans="1:9" x14ac:dyDescent="0.25">
      <c r="A428" s="6">
        <v>43074</v>
      </c>
      <c r="B428" t="s">
        <v>13</v>
      </c>
      <c r="C428">
        <v>56253</v>
      </c>
      <c r="D428" t="s">
        <v>14</v>
      </c>
      <c r="E428" s="7">
        <v>92.35</v>
      </c>
      <c r="F428" t="s">
        <v>15</v>
      </c>
      <c r="G428" t="s">
        <v>15</v>
      </c>
      <c r="H428" t="s">
        <v>15</v>
      </c>
      <c r="I428" t="s">
        <v>15</v>
      </c>
    </row>
    <row r="429" spans="1:9" x14ac:dyDescent="0.25">
      <c r="A429" s="6">
        <v>43074</v>
      </c>
      <c r="B429" t="s">
        <v>13</v>
      </c>
      <c r="C429">
        <v>56255</v>
      </c>
      <c r="D429" t="s">
        <v>14</v>
      </c>
      <c r="E429" s="7">
        <v>69.260000000000005</v>
      </c>
      <c r="F429" t="s">
        <v>15</v>
      </c>
      <c r="G429" t="s">
        <v>15</v>
      </c>
      <c r="H429" t="s">
        <v>15</v>
      </c>
      <c r="I429" t="s">
        <v>15</v>
      </c>
    </row>
    <row r="430" spans="1:9" x14ac:dyDescent="0.25">
      <c r="A430" s="6">
        <v>43074</v>
      </c>
      <c r="B430" t="s">
        <v>13</v>
      </c>
      <c r="C430">
        <v>56257</v>
      </c>
      <c r="D430" t="s">
        <v>14</v>
      </c>
      <c r="E430" s="7">
        <v>69.260000000000005</v>
      </c>
      <c r="F430" t="s">
        <v>15</v>
      </c>
      <c r="G430" t="s">
        <v>15</v>
      </c>
      <c r="H430" t="s">
        <v>15</v>
      </c>
      <c r="I430" t="s">
        <v>15</v>
      </c>
    </row>
    <row r="431" spans="1:9" x14ac:dyDescent="0.25">
      <c r="A431" s="6">
        <v>43074</v>
      </c>
      <c r="B431" t="s">
        <v>13</v>
      </c>
      <c r="C431">
        <v>56258</v>
      </c>
      <c r="D431" t="s">
        <v>14</v>
      </c>
      <c r="E431" s="7">
        <v>46.17</v>
      </c>
      <c r="F431" t="s">
        <v>15</v>
      </c>
      <c r="G431" t="s">
        <v>15</v>
      </c>
      <c r="H431" t="s">
        <v>15</v>
      </c>
      <c r="I431" t="s">
        <v>15</v>
      </c>
    </row>
    <row r="432" spans="1:9" x14ac:dyDescent="0.25">
      <c r="A432" s="6">
        <v>43074</v>
      </c>
      <c r="B432" t="s">
        <v>13</v>
      </c>
      <c r="C432">
        <v>56259</v>
      </c>
      <c r="D432" t="s">
        <v>14</v>
      </c>
      <c r="E432" s="7">
        <v>69.260000000000005</v>
      </c>
      <c r="F432" t="s">
        <v>15</v>
      </c>
      <c r="G432" t="s">
        <v>15</v>
      </c>
      <c r="H432" t="s">
        <v>15</v>
      </c>
      <c r="I432" t="s">
        <v>15</v>
      </c>
    </row>
    <row r="433" spans="1:9" x14ac:dyDescent="0.25">
      <c r="A433" s="6">
        <v>43074</v>
      </c>
      <c r="B433" t="s">
        <v>13</v>
      </c>
      <c r="C433">
        <v>56262</v>
      </c>
      <c r="D433" t="s">
        <v>14</v>
      </c>
      <c r="E433" s="7">
        <v>92.35</v>
      </c>
      <c r="F433" t="s">
        <v>15</v>
      </c>
      <c r="G433" t="s">
        <v>15</v>
      </c>
      <c r="H433" t="s">
        <v>15</v>
      </c>
      <c r="I433" t="s">
        <v>15</v>
      </c>
    </row>
    <row r="434" spans="1:9" x14ac:dyDescent="0.25">
      <c r="A434" s="6">
        <v>43074</v>
      </c>
      <c r="B434" t="s">
        <v>13</v>
      </c>
      <c r="C434">
        <v>56263</v>
      </c>
      <c r="D434" t="s">
        <v>14</v>
      </c>
      <c r="E434" s="7">
        <v>23.09</v>
      </c>
      <c r="F434" t="s">
        <v>15</v>
      </c>
      <c r="G434" t="s">
        <v>15</v>
      </c>
      <c r="H434" t="s">
        <v>15</v>
      </c>
      <c r="I434" t="s">
        <v>15</v>
      </c>
    </row>
    <row r="435" spans="1:9" x14ac:dyDescent="0.25">
      <c r="A435" s="6">
        <v>43074</v>
      </c>
      <c r="B435" t="s">
        <v>13</v>
      </c>
      <c r="C435">
        <v>56264</v>
      </c>
      <c r="D435" t="s">
        <v>14</v>
      </c>
      <c r="E435" s="7">
        <v>46.17</v>
      </c>
      <c r="F435" t="s">
        <v>15</v>
      </c>
      <c r="G435" t="s">
        <v>15</v>
      </c>
      <c r="H435" t="s">
        <v>15</v>
      </c>
      <c r="I435" t="s">
        <v>15</v>
      </c>
    </row>
    <row r="436" spans="1:9" x14ac:dyDescent="0.25">
      <c r="A436" s="6">
        <v>43074</v>
      </c>
      <c r="B436" t="s">
        <v>13</v>
      </c>
      <c r="C436">
        <v>56266</v>
      </c>
      <c r="D436" t="s">
        <v>14</v>
      </c>
      <c r="E436" s="7">
        <v>69.260000000000005</v>
      </c>
      <c r="F436" t="s">
        <v>15</v>
      </c>
      <c r="G436" t="s">
        <v>15</v>
      </c>
      <c r="H436" t="s">
        <v>15</v>
      </c>
      <c r="I436" t="s">
        <v>15</v>
      </c>
    </row>
    <row r="437" spans="1:9" x14ac:dyDescent="0.25">
      <c r="A437" s="6">
        <v>43074</v>
      </c>
      <c r="B437" t="s">
        <v>13</v>
      </c>
      <c r="C437">
        <v>56277</v>
      </c>
      <c r="D437" t="s">
        <v>14</v>
      </c>
      <c r="E437" s="7">
        <v>46.17</v>
      </c>
      <c r="F437" t="s">
        <v>15</v>
      </c>
      <c r="G437" t="s">
        <v>15</v>
      </c>
      <c r="H437" t="s">
        <v>15</v>
      </c>
      <c r="I437" t="s">
        <v>15</v>
      </c>
    </row>
    <row r="438" spans="1:9" x14ac:dyDescent="0.25">
      <c r="A438" s="6">
        <v>43074</v>
      </c>
      <c r="B438" t="s">
        <v>13</v>
      </c>
      <c r="C438">
        <v>56278</v>
      </c>
      <c r="D438" t="s">
        <v>14</v>
      </c>
      <c r="E438" s="7">
        <v>46.17</v>
      </c>
      <c r="F438" t="s">
        <v>15</v>
      </c>
      <c r="G438" t="s">
        <v>15</v>
      </c>
      <c r="H438" t="s">
        <v>15</v>
      </c>
      <c r="I438" t="s">
        <v>15</v>
      </c>
    </row>
    <row r="439" spans="1:9" x14ac:dyDescent="0.25">
      <c r="A439" s="6">
        <v>43074</v>
      </c>
      <c r="B439" t="s">
        <v>13</v>
      </c>
      <c r="C439">
        <v>56281</v>
      </c>
      <c r="D439" t="s">
        <v>14</v>
      </c>
      <c r="E439" s="7">
        <v>46.17</v>
      </c>
      <c r="F439" t="s">
        <v>15</v>
      </c>
      <c r="G439" t="s">
        <v>15</v>
      </c>
      <c r="H439" t="s">
        <v>15</v>
      </c>
      <c r="I439" t="s">
        <v>15</v>
      </c>
    </row>
    <row r="440" spans="1:9" x14ac:dyDescent="0.25">
      <c r="A440" s="6">
        <v>43074</v>
      </c>
      <c r="B440" t="s">
        <v>13</v>
      </c>
      <c r="C440">
        <v>56284</v>
      </c>
      <c r="D440" t="s">
        <v>14</v>
      </c>
      <c r="E440" s="7">
        <v>46.17</v>
      </c>
      <c r="F440" t="s">
        <v>15</v>
      </c>
      <c r="G440" t="s">
        <v>15</v>
      </c>
      <c r="H440" t="s">
        <v>15</v>
      </c>
      <c r="I440" t="s">
        <v>15</v>
      </c>
    </row>
    <row r="441" spans="1:9" x14ac:dyDescent="0.25">
      <c r="A441" s="6">
        <v>43077</v>
      </c>
      <c r="B441" t="s">
        <v>13</v>
      </c>
      <c r="C441">
        <v>56329</v>
      </c>
      <c r="D441" t="s">
        <v>14</v>
      </c>
      <c r="E441" s="7">
        <v>23.09</v>
      </c>
      <c r="F441" t="s">
        <v>15</v>
      </c>
      <c r="G441" t="s">
        <v>15</v>
      </c>
      <c r="H441" t="s">
        <v>15</v>
      </c>
      <c r="I441" t="s">
        <v>15</v>
      </c>
    </row>
    <row r="442" spans="1:9" x14ac:dyDescent="0.25">
      <c r="A442" s="6">
        <v>43077</v>
      </c>
      <c r="B442" t="s">
        <v>13</v>
      </c>
      <c r="C442">
        <v>56330</v>
      </c>
      <c r="D442" t="s">
        <v>14</v>
      </c>
      <c r="E442" s="7">
        <v>23.09</v>
      </c>
      <c r="F442" t="s">
        <v>15</v>
      </c>
      <c r="G442" t="s">
        <v>15</v>
      </c>
      <c r="H442" t="s">
        <v>15</v>
      </c>
      <c r="I442" t="s">
        <v>15</v>
      </c>
    </row>
    <row r="443" spans="1:9" x14ac:dyDescent="0.25">
      <c r="A443" s="6">
        <v>43077</v>
      </c>
      <c r="B443" t="s">
        <v>13</v>
      </c>
      <c r="C443">
        <v>56331</v>
      </c>
      <c r="D443" t="s">
        <v>14</v>
      </c>
      <c r="E443" s="7">
        <v>23.09</v>
      </c>
      <c r="F443" t="s">
        <v>15</v>
      </c>
      <c r="G443" t="s">
        <v>15</v>
      </c>
      <c r="H443" t="s">
        <v>15</v>
      </c>
      <c r="I443" t="s">
        <v>15</v>
      </c>
    </row>
    <row r="444" spans="1:9" x14ac:dyDescent="0.25">
      <c r="A444" s="6">
        <v>43077</v>
      </c>
      <c r="B444" t="s">
        <v>13</v>
      </c>
      <c r="C444">
        <v>56332</v>
      </c>
      <c r="D444" t="s">
        <v>14</v>
      </c>
      <c r="E444" s="7">
        <v>23.09</v>
      </c>
      <c r="F444" t="s">
        <v>15</v>
      </c>
      <c r="G444" t="s">
        <v>15</v>
      </c>
      <c r="H444" t="s">
        <v>15</v>
      </c>
      <c r="I444" t="s">
        <v>15</v>
      </c>
    </row>
    <row r="445" spans="1:9" x14ac:dyDescent="0.25">
      <c r="A445" s="6">
        <v>43077</v>
      </c>
      <c r="B445" t="s">
        <v>13</v>
      </c>
      <c r="C445">
        <v>56333</v>
      </c>
      <c r="D445" t="s">
        <v>14</v>
      </c>
      <c r="E445" s="7">
        <v>23.09</v>
      </c>
      <c r="F445" t="s">
        <v>15</v>
      </c>
      <c r="G445" t="s">
        <v>15</v>
      </c>
      <c r="H445" t="s">
        <v>15</v>
      </c>
      <c r="I445" t="s">
        <v>15</v>
      </c>
    </row>
    <row r="446" spans="1:9" x14ac:dyDescent="0.25">
      <c r="A446" s="6">
        <v>43077</v>
      </c>
      <c r="B446" t="s">
        <v>13</v>
      </c>
      <c r="C446">
        <v>56334</v>
      </c>
      <c r="D446" t="s">
        <v>14</v>
      </c>
      <c r="E446" s="7">
        <v>23.09</v>
      </c>
      <c r="F446" t="s">
        <v>15</v>
      </c>
      <c r="G446" t="s">
        <v>15</v>
      </c>
      <c r="H446" t="s">
        <v>15</v>
      </c>
      <c r="I446" t="s">
        <v>15</v>
      </c>
    </row>
    <row r="447" spans="1:9" x14ac:dyDescent="0.25">
      <c r="A447" s="6">
        <v>43077</v>
      </c>
      <c r="B447" t="s">
        <v>13</v>
      </c>
      <c r="C447">
        <v>56335</v>
      </c>
      <c r="D447" t="s">
        <v>14</v>
      </c>
      <c r="E447" s="7">
        <v>23.09</v>
      </c>
      <c r="F447" t="s">
        <v>15</v>
      </c>
      <c r="G447" t="s">
        <v>15</v>
      </c>
      <c r="H447" t="s">
        <v>15</v>
      </c>
      <c r="I447" t="s">
        <v>15</v>
      </c>
    </row>
    <row r="448" spans="1:9" x14ac:dyDescent="0.25">
      <c r="A448" s="6">
        <v>43077</v>
      </c>
      <c r="B448" t="s">
        <v>13</v>
      </c>
      <c r="C448">
        <v>56336</v>
      </c>
      <c r="D448" t="s">
        <v>14</v>
      </c>
      <c r="E448" s="7">
        <v>23.09</v>
      </c>
      <c r="F448" t="s">
        <v>15</v>
      </c>
      <c r="G448" t="s">
        <v>15</v>
      </c>
      <c r="H448" t="s">
        <v>15</v>
      </c>
      <c r="I448" t="s">
        <v>15</v>
      </c>
    </row>
    <row r="449" spans="1:9" x14ac:dyDescent="0.25">
      <c r="A449" s="6">
        <v>43077</v>
      </c>
      <c r="B449" t="s">
        <v>13</v>
      </c>
      <c r="C449">
        <v>56337</v>
      </c>
      <c r="D449" t="s">
        <v>14</v>
      </c>
      <c r="E449" s="7">
        <v>23.09</v>
      </c>
      <c r="F449" t="s">
        <v>15</v>
      </c>
      <c r="G449" t="s">
        <v>15</v>
      </c>
      <c r="H449" t="s">
        <v>15</v>
      </c>
      <c r="I449" t="s">
        <v>15</v>
      </c>
    </row>
    <row r="450" spans="1:9" x14ac:dyDescent="0.25">
      <c r="A450" s="6">
        <v>43119</v>
      </c>
      <c r="B450" t="s">
        <v>13</v>
      </c>
      <c r="C450">
        <v>56583</v>
      </c>
      <c r="D450" t="s">
        <v>14</v>
      </c>
      <c r="E450" s="7">
        <v>26.07</v>
      </c>
      <c r="F450" t="s">
        <v>15</v>
      </c>
      <c r="G450" t="s">
        <v>15</v>
      </c>
      <c r="H450" t="s">
        <v>15</v>
      </c>
      <c r="I450" t="s">
        <v>15</v>
      </c>
    </row>
    <row r="451" spans="1:9" x14ac:dyDescent="0.25">
      <c r="A451" s="6">
        <v>43217</v>
      </c>
      <c r="B451" t="s">
        <v>13</v>
      </c>
      <c r="C451">
        <v>57444</v>
      </c>
      <c r="D451" t="s">
        <v>14</v>
      </c>
      <c r="E451" s="7">
        <v>50.45</v>
      </c>
      <c r="F451" t="s">
        <v>15</v>
      </c>
      <c r="G451" t="s">
        <v>15</v>
      </c>
      <c r="H451" t="s">
        <v>15</v>
      </c>
      <c r="I451" t="s">
        <v>15</v>
      </c>
    </row>
    <row r="452" spans="1:9" x14ac:dyDescent="0.25">
      <c r="A452" s="6">
        <v>43217</v>
      </c>
      <c r="B452" t="s">
        <v>13</v>
      </c>
      <c r="C452">
        <v>57445</v>
      </c>
      <c r="D452" t="s">
        <v>14</v>
      </c>
      <c r="E452" s="7">
        <v>41.21</v>
      </c>
      <c r="F452" t="s">
        <v>15</v>
      </c>
      <c r="G452" t="s">
        <v>15</v>
      </c>
      <c r="H452" t="s">
        <v>15</v>
      </c>
      <c r="I452" t="s">
        <v>15</v>
      </c>
    </row>
    <row r="453" spans="1:9" x14ac:dyDescent="0.25">
      <c r="A453" s="6">
        <v>43245</v>
      </c>
      <c r="B453" t="s">
        <v>13</v>
      </c>
      <c r="C453">
        <v>57697</v>
      </c>
      <c r="D453" t="s">
        <v>14</v>
      </c>
      <c r="E453" s="7">
        <v>20.77</v>
      </c>
      <c r="F453" t="s">
        <v>15</v>
      </c>
      <c r="G453" t="s">
        <v>15</v>
      </c>
      <c r="H453" t="s">
        <v>15</v>
      </c>
      <c r="I453" t="s">
        <v>15</v>
      </c>
    </row>
    <row r="454" spans="1:9" x14ac:dyDescent="0.25">
      <c r="A454" s="6">
        <v>43245</v>
      </c>
      <c r="B454" t="s">
        <v>13</v>
      </c>
      <c r="C454">
        <v>57699</v>
      </c>
      <c r="D454" t="s">
        <v>14</v>
      </c>
      <c r="E454" s="7">
        <v>63.9</v>
      </c>
      <c r="F454" t="s">
        <v>15</v>
      </c>
      <c r="G454" t="s">
        <v>15</v>
      </c>
      <c r="H454" t="s">
        <v>15</v>
      </c>
      <c r="I454" t="s">
        <v>15</v>
      </c>
    </row>
    <row r="455" spans="1:9" x14ac:dyDescent="0.25">
      <c r="A455" s="6">
        <v>43245</v>
      </c>
      <c r="B455" t="s">
        <v>13</v>
      </c>
      <c r="C455">
        <v>57700</v>
      </c>
      <c r="D455" t="s">
        <v>14</v>
      </c>
      <c r="E455" s="7">
        <v>64.64</v>
      </c>
      <c r="F455" t="s">
        <v>15</v>
      </c>
      <c r="G455" t="s">
        <v>15</v>
      </c>
      <c r="H455" t="s">
        <v>15</v>
      </c>
      <c r="I455" t="s">
        <v>15</v>
      </c>
    </row>
    <row r="456" spans="1:9" x14ac:dyDescent="0.25">
      <c r="A456" s="6">
        <v>43245</v>
      </c>
      <c r="B456" t="s">
        <v>13</v>
      </c>
      <c r="C456">
        <v>57703</v>
      </c>
      <c r="D456" t="s">
        <v>14</v>
      </c>
      <c r="E456" s="7">
        <v>63.03</v>
      </c>
      <c r="F456" t="s">
        <v>15</v>
      </c>
      <c r="G456" t="s">
        <v>15</v>
      </c>
      <c r="H456" t="s">
        <v>15</v>
      </c>
      <c r="I456" t="s">
        <v>15</v>
      </c>
    </row>
    <row r="457" spans="1:9" x14ac:dyDescent="0.25">
      <c r="A457" s="6">
        <v>43245</v>
      </c>
      <c r="B457" t="s">
        <v>13</v>
      </c>
      <c r="C457">
        <v>57704</v>
      </c>
      <c r="D457" t="s">
        <v>14</v>
      </c>
      <c r="E457" s="7">
        <v>63.03</v>
      </c>
      <c r="F457" t="s">
        <v>15</v>
      </c>
      <c r="G457" t="s">
        <v>15</v>
      </c>
      <c r="H457" t="s">
        <v>15</v>
      </c>
      <c r="I457" t="s">
        <v>15</v>
      </c>
    </row>
    <row r="458" spans="1:9" x14ac:dyDescent="0.25">
      <c r="A458" s="6">
        <v>43245</v>
      </c>
      <c r="B458" t="s">
        <v>13</v>
      </c>
      <c r="C458">
        <v>57705</v>
      </c>
      <c r="D458" t="s">
        <v>14</v>
      </c>
      <c r="E458" s="7">
        <v>83.29</v>
      </c>
      <c r="F458" t="s">
        <v>15</v>
      </c>
      <c r="G458" t="s">
        <v>15</v>
      </c>
      <c r="H458" t="s">
        <v>15</v>
      </c>
      <c r="I458" t="s">
        <v>15</v>
      </c>
    </row>
    <row r="459" spans="1:9" x14ac:dyDescent="0.25">
      <c r="A459" s="6">
        <v>43245</v>
      </c>
      <c r="B459" t="s">
        <v>13</v>
      </c>
      <c r="C459">
        <v>57706</v>
      </c>
      <c r="D459" t="s">
        <v>14</v>
      </c>
      <c r="E459" s="7">
        <v>43.63</v>
      </c>
      <c r="F459" t="s">
        <v>15</v>
      </c>
      <c r="G459" t="s">
        <v>15</v>
      </c>
      <c r="H459" t="s">
        <v>15</v>
      </c>
      <c r="I459" t="s">
        <v>15</v>
      </c>
    </row>
    <row r="460" spans="1:9" x14ac:dyDescent="0.25">
      <c r="A460" s="6">
        <v>43245</v>
      </c>
      <c r="B460" t="s">
        <v>13</v>
      </c>
      <c r="C460">
        <v>57707</v>
      </c>
      <c r="D460" t="s">
        <v>14</v>
      </c>
      <c r="E460" s="7">
        <v>22.52</v>
      </c>
      <c r="F460" t="s">
        <v>15</v>
      </c>
      <c r="G460" t="s">
        <v>15</v>
      </c>
      <c r="H460" t="s">
        <v>15</v>
      </c>
      <c r="I460" t="s">
        <v>15</v>
      </c>
    </row>
    <row r="461" spans="1:9" x14ac:dyDescent="0.25">
      <c r="A461" s="6">
        <v>43245</v>
      </c>
      <c r="B461" t="s">
        <v>13</v>
      </c>
      <c r="C461">
        <v>57708</v>
      </c>
      <c r="D461" t="s">
        <v>14</v>
      </c>
      <c r="E461" s="7">
        <v>74.28</v>
      </c>
      <c r="F461" t="s">
        <v>15</v>
      </c>
      <c r="G461" t="s">
        <v>15</v>
      </c>
      <c r="H461" t="s">
        <v>15</v>
      </c>
      <c r="I461" t="s">
        <v>15</v>
      </c>
    </row>
    <row r="462" spans="1:9" x14ac:dyDescent="0.25">
      <c r="A462" s="6">
        <v>43245</v>
      </c>
      <c r="B462" t="s">
        <v>13</v>
      </c>
      <c r="C462">
        <v>57709</v>
      </c>
      <c r="D462" t="s">
        <v>14</v>
      </c>
      <c r="E462" s="7">
        <v>34.630000000000003</v>
      </c>
      <c r="F462" t="s">
        <v>15</v>
      </c>
      <c r="G462" t="s">
        <v>15</v>
      </c>
      <c r="H462" t="s">
        <v>15</v>
      </c>
      <c r="I462" t="s">
        <v>15</v>
      </c>
    </row>
    <row r="463" spans="1:9" x14ac:dyDescent="0.25">
      <c r="A463" s="6">
        <v>43259</v>
      </c>
      <c r="B463" t="s">
        <v>13</v>
      </c>
      <c r="C463">
        <v>57810</v>
      </c>
      <c r="D463" t="s">
        <v>14</v>
      </c>
      <c r="E463" s="7">
        <v>78.959999999999994</v>
      </c>
      <c r="F463" t="s">
        <v>15</v>
      </c>
      <c r="G463" t="s">
        <v>15</v>
      </c>
      <c r="H463" t="s">
        <v>15</v>
      </c>
      <c r="I463" t="s">
        <v>15</v>
      </c>
    </row>
    <row r="464" spans="1:9" x14ac:dyDescent="0.25">
      <c r="A464" s="6">
        <v>43259</v>
      </c>
      <c r="B464" t="s">
        <v>13</v>
      </c>
      <c r="C464">
        <v>57814</v>
      </c>
      <c r="D464" t="s">
        <v>14</v>
      </c>
      <c r="E464" s="7">
        <v>99.73</v>
      </c>
      <c r="F464" t="s">
        <v>15</v>
      </c>
      <c r="G464" t="s">
        <v>15</v>
      </c>
      <c r="H464" t="s">
        <v>15</v>
      </c>
      <c r="I464" t="s">
        <v>15</v>
      </c>
    </row>
    <row r="465" spans="1:9" x14ac:dyDescent="0.25">
      <c r="A465" s="6">
        <v>43259</v>
      </c>
      <c r="B465" t="s">
        <v>13</v>
      </c>
      <c r="C465">
        <v>57815</v>
      </c>
      <c r="D465" t="s">
        <v>14</v>
      </c>
      <c r="E465" s="7">
        <v>42.6</v>
      </c>
      <c r="F465" t="s">
        <v>15</v>
      </c>
      <c r="G465" t="s">
        <v>15</v>
      </c>
      <c r="H465" t="s">
        <v>15</v>
      </c>
      <c r="I465" t="s">
        <v>15</v>
      </c>
    </row>
    <row r="466" spans="1:9" x14ac:dyDescent="0.25">
      <c r="A466" s="6">
        <v>43273</v>
      </c>
      <c r="B466" t="s">
        <v>13</v>
      </c>
      <c r="C466">
        <v>57939</v>
      </c>
      <c r="D466" t="s">
        <v>14</v>
      </c>
      <c r="E466" s="7">
        <v>63.72</v>
      </c>
      <c r="F466" t="s">
        <v>15</v>
      </c>
      <c r="G466" t="s">
        <v>15</v>
      </c>
      <c r="H466" t="s">
        <v>15</v>
      </c>
      <c r="I466" t="s">
        <v>15</v>
      </c>
    </row>
    <row r="467" spans="1:9" x14ac:dyDescent="0.25">
      <c r="A467" s="6">
        <v>43273</v>
      </c>
      <c r="B467" t="s">
        <v>13</v>
      </c>
      <c r="C467">
        <v>57948</v>
      </c>
      <c r="D467" t="s">
        <v>14</v>
      </c>
      <c r="E467" s="7">
        <v>60.78</v>
      </c>
      <c r="F467" t="s">
        <v>15</v>
      </c>
      <c r="G467" t="s">
        <v>15</v>
      </c>
      <c r="H467" t="s">
        <v>15</v>
      </c>
      <c r="I467" t="s">
        <v>15</v>
      </c>
    </row>
    <row r="468" spans="1:9" x14ac:dyDescent="0.25">
      <c r="A468" s="6">
        <v>43273</v>
      </c>
      <c r="B468" t="s">
        <v>13</v>
      </c>
      <c r="C468">
        <v>57950</v>
      </c>
      <c r="D468" t="s">
        <v>14</v>
      </c>
      <c r="E468" s="7">
        <v>75.150000000000006</v>
      </c>
      <c r="F468" t="s">
        <v>15</v>
      </c>
      <c r="G468" t="s">
        <v>15</v>
      </c>
      <c r="H468" t="s">
        <v>15</v>
      </c>
      <c r="I468" t="s">
        <v>15</v>
      </c>
    </row>
    <row r="469" spans="1:9" x14ac:dyDescent="0.25">
      <c r="A469" s="6">
        <v>43272</v>
      </c>
      <c r="B469" t="s">
        <v>13</v>
      </c>
      <c r="C469">
        <v>57997</v>
      </c>
      <c r="D469" t="s">
        <v>14</v>
      </c>
      <c r="E469" s="7">
        <v>78.959999999999994</v>
      </c>
      <c r="F469" t="s">
        <v>15</v>
      </c>
      <c r="G469" t="s">
        <v>15</v>
      </c>
      <c r="H469" t="s">
        <v>15</v>
      </c>
      <c r="I469" t="s">
        <v>15</v>
      </c>
    </row>
    <row r="470" spans="1:9" x14ac:dyDescent="0.25">
      <c r="A470" s="6">
        <v>43283</v>
      </c>
      <c r="B470" t="s">
        <v>13</v>
      </c>
      <c r="C470">
        <v>58064</v>
      </c>
      <c r="D470" t="s">
        <v>14</v>
      </c>
      <c r="E470" s="7">
        <v>36.01</v>
      </c>
      <c r="F470" t="s">
        <v>15</v>
      </c>
      <c r="G470" t="s">
        <v>15</v>
      </c>
      <c r="H470" t="s">
        <v>15</v>
      </c>
      <c r="I470" t="s">
        <v>15</v>
      </c>
    </row>
    <row r="471" spans="1:9" x14ac:dyDescent="0.25">
      <c r="A471" s="6">
        <v>43299</v>
      </c>
      <c r="B471" t="s">
        <v>13</v>
      </c>
      <c r="C471">
        <v>58212</v>
      </c>
      <c r="D471" t="s">
        <v>14</v>
      </c>
      <c r="E471" s="7">
        <v>66.5</v>
      </c>
      <c r="F471" t="s">
        <v>15</v>
      </c>
      <c r="G471" t="s">
        <v>15</v>
      </c>
      <c r="H471" t="s">
        <v>15</v>
      </c>
      <c r="I471" t="s">
        <v>15</v>
      </c>
    </row>
    <row r="472" spans="1:9" x14ac:dyDescent="0.25">
      <c r="A472" s="6">
        <v>43299</v>
      </c>
      <c r="B472" t="s">
        <v>13</v>
      </c>
      <c r="C472">
        <v>58221</v>
      </c>
      <c r="D472" t="s">
        <v>14</v>
      </c>
      <c r="E472" s="7">
        <v>94.55</v>
      </c>
      <c r="F472" t="s">
        <v>15</v>
      </c>
      <c r="G472" t="s">
        <v>15</v>
      </c>
      <c r="H472" t="s">
        <v>15</v>
      </c>
      <c r="I472" t="s">
        <v>15</v>
      </c>
    </row>
    <row r="473" spans="1:9" x14ac:dyDescent="0.25">
      <c r="A473" s="6">
        <v>43299</v>
      </c>
      <c r="B473" t="s">
        <v>13</v>
      </c>
      <c r="C473">
        <v>58223</v>
      </c>
      <c r="D473" t="s">
        <v>14</v>
      </c>
      <c r="E473" s="7">
        <v>55.76</v>
      </c>
      <c r="F473" t="s">
        <v>15</v>
      </c>
      <c r="G473" t="s">
        <v>15</v>
      </c>
      <c r="H473" t="s">
        <v>15</v>
      </c>
      <c r="I473" t="s">
        <v>15</v>
      </c>
    </row>
    <row r="474" spans="1:9" x14ac:dyDescent="0.25">
      <c r="A474" s="6">
        <v>43299</v>
      </c>
      <c r="B474" t="s">
        <v>13</v>
      </c>
      <c r="C474">
        <v>58226</v>
      </c>
      <c r="D474" t="s">
        <v>14</v>
      </c>
      <c r="E474" s="7">
        <v>92.12</v>
      </c>
      <c r="F474" t="s">
        <v>15</v>
      </c>
      <c r="G474" t="s">
        <v>15</v>
      </c>
      <c r="H474" t="s">
        <v>15</v>
      </c>
      <c r="I474" t="s">
        <v>15</v>
      </c>
    </row>
    <row r="475" spans="1:9" x14ac:dyDescent="0.25">
      <c r="A475" s="6">
        <v>43312</v>
      </c>
      <c r="B475" t="s">
        <v>13</v>
      </c>
      <c r="C475">
        <v>58369</v>
      </c>
      <c r="D475" t="s">
        <v>14</v>
      </c>
      <c r="E475" s="7">
        <v>80.349999999999994</v>
      </c>
      <c r="F475" t="s">
        <v>15</v>
      </c>
      <c r="G475" t="s">
        <v>15</v>
      </c>
      <c r="H475" t="s">
        <v>15</v>
      </c>
      <c r="I475" t="s">
        <v>15</v>
      </c>
    </row>
    <row r="476" spans="1:9" x14ac:dyDescent="0.25">
      <c r="A476" s="6">
        <v>43312</v>
      </c>
      <c r="B476" t="s">
        <v>13</v>
      </c>
      <c r="C476">
        <v>58380</v>
      </c>
      <c r="D476" t="s">
        <v>14</v>
      </c>
      <c r="E476" s="7">
        <v>55.76</v>
      </c>
      <c r="F476" t="s">
        <v>15</v>
      </c>
      <c r="G476" t="s">
        <v>15</v>
      </c>
      <c r="H476" t="s">
        <v>15</v>
      </c>
      <c r="I476" t="s">
        <v>15</v>
      </c>
    </row>
    <row r="477" spans="1:9" x14ac:dyDescent="0.25">
      <c r="A477" s="6">
        <v>43329</v>
      </c>
      <c r="B477" t="s">
        <v>13</v>
      </c>
      <c r="C477">
        <v>58530</v>
      </c>
      <c r="D477" t="s">
        <v>14</v>
      </c>
      <c r="E477" s="7">
        <v>99.27</v>
      </c>
      <c r="F477" t="s">
        <v>15</v>
      </c>
      <c r="G477" t="s">
        <v>15</v>
      </c>
      <c r="H477" t="s">
        <v>15</v>
      </c>
      <c r="I477" t="s">
        <v>15</v>
      </c>
    </row>
    <row r="478" spans="1:9" x14ac:dyDescent="0.25">
      <c r="A478" s="6">
        <v>43329</v>
      </c>
      <c r="B478" t="s">
        <v>13</v>
      </c>
      <c r="C478">
        <v>58538</v>
      </c>
      <c r="D478" t="s">
        <v>14</v>
      </c>
      <c r="E478" s="7">
        <v>89.93</v>
      </c>
      <c r="F478" t="s">
        <v>15</v>
      </c>
      <c r="G478" t="s">
        <v>15</v>
      </c>
      <c r="H478" t="s">
        <v>15</v>
      </c>
      <c r="I478" t="s">
        <v>15</v>
      </c>
    </row>
    <row r="479" spans="1:9" x14ac:dyDescent="0.25">
      <c r="A479" s="6">
        <v>43329</v>
      </c>
      <c r="B479" t="s">
        <v>13</v>
      </c>
      <c r="C479">
        <v>58545</v>
      </c>
      <c r="D479" t="s">
        <v>14</v>
      </c>
      <c r="E479" s="7">
        <v>38.79</v>
      </c>
      <c r="F479" t="s">
        <v>15</v>
      </c>
      <c r="G479" t="s">
        <v>15</v>
      </c>
      <c r="H479" t="s">
        <v>15</v>
      </c>
      <c r="I479" t="s">
        <v>15</v>
      </c>
    </row>
    <row r="480" spans="1:9" x14ac:dyDescent="0.25">
      <c r="A480" s="6">
        <v>43341</v>
      </c>
      <c r="B480" t="s">
        <v>13</v>
      </c>
      <c r="C480">
        <v>58686</v>
      </c>
      <c r="D480" t="s">
        <v>14</v>
      </c>
      <c r="E480" s="7">
        <v>82.43</v>
      </c>
      <c r="F480" t="s">
        <v>15</v>
      </c>
      <c r="G480" t="s">
        <v>15</v>
      </c>
      <c r="H480" t="s">
        <v>15</v>
      </c>
      <c r="I480" t="s">
        <v>15</v>
      </c>
    </row>
    <row r="481" spans="1:9" x14ac:dyDescent="0.25">
      <c r="A481" s="6">
        <v>43341</v>
      </c>
      <c r="B481" t="s">
        <v>13</v>
      </c>
      <c r="C481">
        <v>58688</v>
      </c>
      <c r="D481" t="s">
        <v>14</v>
      </c>
      <c r="E481" s="7">
        <v>72.03</v>
      </c>
      <c r="F481" t="s">
        <v>15</v>
      </c>
      <c r="G481" t="s">
        <v>15</v>
      </c>
      <c r="H481" t="s">
        <v>15</v>
      </c>
      <c r="I481" t="s">
        <v>15</v>
      </c>
    </row>
    <row r="482" spans="1:9" x14ac:dyDescent="0.25">
      <c r="A482" s="6">
        <v>43341</v>
      </c>
      <c r="B482" t="s">
        <v>13</v>
      </c>
      <c r="C482">
        <v>58690</v>
      </c>
      <c r="D482" t="s">
        <v>14</v>
      </c>
      <c r="E482" s="7">
        <v>76.77</v>
      </c>
      <c r="F482" t="s">
        <v>15</v>
      </c>
      <c r="G482" t="s">
        <v>15</v>
      </c>
      <c r="H482" t="s">
        <v>15</v>
      </c>
      <c r="I482" t="s">
        <v>15</v>
      </c>
    </row>
    <row r="483" spans="1:9" x14ac:dyDescent="0.25">
      <c r="A483" s="6">
        <v>43357</v>
      </c>
      <c r="B483" t="s">
        <v>13</v>
      </c>
      <c r="C483">
        <v>58811</v>
      </c>
      <c r="D483" t="s">
        <v>14</v>
      </c>
      <c r="E483" s="7">
        <v>53.1</v>
      </c>
      <c r="F483" t="s">
        <v>15</v>
      </c>
      <c r="G483" t="s">
        <v>15</v>
      </c>
      <c r="H483" t="s">
        <v>15</v>
      </c>
      <c r="I483" t="s">
        <v>15</v>
      </c>
    </row>
    <row r="484" spans="1:9" x14ac:dyDescent="0.25">
      <c r="A484" s="6">
        <v>43357</v>
      </c>
      <c r="B484" t="s">
        <v>13</v>
      </c>
      <c r="C484">
        <v>58816</v>
      </c>
      <c r="D484" t="s">
        <v>14</v>
      </c>
      <c r="E484" s="7">
        <v>37.29</v>
      </c>
      <c r="F484" t="s">
        <v>15</v>
      </c>
      <c r="G484" t="s">
        <v>15</v>
      </c>
      <c r="H484" t="s">
        <v>15</v>
      </c>
      <c r="I484" t="s">
        <v>15</v>
      </c>
    </row>
    <row r="485" spans="1:9" x14ac:dyDescent="0.25">
      <c r="A485" s="6">
        <v>43371</v>
      </c>
      <c r="B485" t="s">
        <v>13</v>
      </c>
      <c r="C485">
        <v>58955</v>
      </c>
      <c r="D485" t="s">
        <v>14</v>
      </c>
      <c r="E485" s="7">
        <v>73.36</v>
      </c>
      <c r="F485" t="s">
        <v>15</v>
      </c>
      <c r="G485" t="s">
        <v>15</v>
      </c>
      <c r="H485" t="s">
        <v>15</v>
      </c>
      <c r="I485" t="s">
        <v>15</v>
      </c>
    </row>
    <row r="486" spans="1:9" x14ac:dyDescent="0.25">
      <c r="A486" s="6">
        <v>43371</v>
      </c>
      <c r="B486" t="s">
        <v>13</v>
      </c>
      <c r="C486">
        <v>58956</v>
      </c>
      <c r="D486" t="s">
        <v>14</v>
      </c>
      <c r="E486" s="7">
        <v>52.06</v>
      </c>
      <c r="F486" t="s">
        <v>15</v>
      </c>
      <c r="G486" t="s">
        <v>15</v>
      </c>
      <c r="H486" t="s">
        <v>15</v>
      </c>
      <c r="I486" t="s">
        <v>15</v>
      </c>
    </row>
    <row r="487" spans="1:9" x14ac:dyDescent="0.25">
      <c r="A487" s="6">
        <v>43371</v>
      </c>
      <c r="B487" t="s">
        <v>13</v>
      </c>
      <c r="C487">
        <v>58957</v>
      </c>
      <c r="D487" t="s">
        <v>14</v>
      </c>
      <c r="E487" s="7">
        <v>28.39</v>
      </c>
      <c r="F487" t="s">
        <v>15</v>
      </c>
      <c r="G487" t="s">
        <v>15</v>
      </c>
      <c r="H487" t="s">
        <v>15</v>
      </c>
      <c r="I487" t="s">
        <v>15</v>
      </c>
    </row>
    <row r="488" spans="1:9" x14ac:dyDescent="0.25">
      <c r="A488" s="6">
        <v>43371</v>
      </c>
      <c r="B488" t="s">
        <v>13</v>
      </c>
      <c r="C488">
        <v>58958</v>
      </c>
      <c r="D488" t="s">
        <v>14</v>
      </c>
      <c r="E488" s="7">
        <v>31.52</v>
      </c>
      <c r="F488" t="s">
        <v>15</v>
      </c>
      <c r="G488" t="s">
        <v>15</v>
      </c>
      <c r="H488" t="s">
        <v>15</v>
      </c>
      <c r="I488" t="s">
        <v>15</v>
      </c>
    </row>
    <row r="489" spans="1:9" x14ac:dyDescent="0.25">
      <c r="A489" s="6">
        <v>43371</v>
      </c>
      <c r="B489" t="s">
        <v>13</v>
      </c>
      <c r="C489">
        <v>58959</v>
      </c>
      <c r="D489" t="s">
        <v>14</v>
      </c>
      <c r="E489" s="7">
        <v>20.260000000000002</v>
      </c>
      <c r="F489" t="s">
        <v>15</v>
      </c>
      <c r="G489" t="s">
        <v>15</v>
      </c>
      <c r="H489" t="s">
        <v>15</v>
      </c>
      <c r="I489" t="s">
        <v>15</v>
      </c>
    </row>
    <row r="490" spans="1:9" x14ac:dyDescent="0.25">
      <c r="A490" s="6">
        <v>43104</v>
      </c>
      <c r="B490" t="s">
        <v>18</v>
      </c>
      <c r="C490">
        <v>0</v>
      </c>
      <c r="D490" t="s">
        <v>19</v>
      </c>
      <c r="E490" s="7">
        <v>33199.980000000003</v>
      </c>
      <c r="F490" t="s">
        <v>20</v>
      </c>
      <c r="G490" t="s">
        <v>21</v>
      </c>
      <c r="H490" t="str">
        <f>"T1 201801038202"</f>
        <v>T1 201801038202</v>
      </c>
      <c r="I490" t="str">
        <f>"FED WITHHOLDINGS"</f>
        <v>FED WITHHOLDINGS</v>
      </c>
    </row>
    <row r="491" spans="1:9" x14ac:dyDescent="0.25">
      <c r="E491" s="7"/>
      <c r="F491" t="s">
        <v>20</v>
      </c>
      <c r="G491" t="s">
        <v>21</v>
      </c>
      <c r="H491" t="str">
        <f>"T3 201801038202"</f>
        <v>T3 201801038202</v>
      </c>
      <c r="I491" t="str">
        <f>"FICA WITHHOLDINGS"</f>
        <v>FICA WITHHOLDINGS</v>
      </c>
    </row>
    <row r="492" spans="1:9" x14ac:dyDescent="0.25">
      <c r="E492" s="7"/>
      <c r="F492" t="s">
        <v>20</v>
      </c>
      <c r="G492" t="s">
        <v>21</v>
      </c>
      <c r="H492" t="str">
        <f>"T4 201801038202"</f>
        <v>T4 201801038202</v>
      </c>
      <c r="I492" t="str">
        <f>"MEDICARE WITHHOLDINGS"</f>
        <v>MEDICARE WITHHOLDINGS</v>
      </c>
    </row>
    <row r="493" spans="1:9" x14ac:dyDescent="0.25">
      <c r="A493" s="6">
        <v>43117</v>
      </c>
      <c r="B493" t="s">
        <v>18</v>
      </c>
      <c r="C493">
        <v>0</v>
      </c>
      <c r="D493" t="s">
        <v>19</v>
      </c>
      <c r="E493" s="7">
        <v>33296.54</v>
      </c>
      <c r="F493" t="s">
        <v>20</v>
      </c>
      <c r="G493" t="s">
        <v>21</v>
      </c>
      <c r="H493" t="str">
        <f>"T1 201801178215"</f>
        <v>T1 201801178215</v>
      </c>
      <c r="I493" t="str">
        <f>"FED WITHHOLDINGS"</f>
        <v>FED WITHHOLDINGS</v>
      </c>
    </row>
    <row r="494" spans="1:9" x14ac:dyDescent="0.25">
      <c r="E494" s="7"/>
      <c r="F494" t="s">
        <v>20</v>
      </c>
      <c r="G494" t="s">
        <v>21</v>
      </c>
      <c r="H494" t="str">
        <f>"T3 201801178215"</f>
        <v>T3 201801178215</v>
      </c>
      <c r="I494" t="str">
        <f>"FICA WITHHOLDINGS"</f>
        <v>FICA WITHHOLDINGS</v>
      </c>
    </row>
    <row r="495" spans="1:9" x14ac:dyDescent="0.25">
      <c r="E495" s="7"/>
      <c r="F495" t="s">
        <v>20</v>
      </c>
      <c r="G495" t="s">
        <v>21</v>
      </c>
      <c r="H495" t="str">
        <f>"T4 201801178215"</f>
        <v>T4 201801178215</v>
      </c>
      <c r="I495" t="str">
        <f>"MEDICARE WITHHOLDINGS"</f>
        <v>MEDICARE WITHHOLDINGS</v>
      </c>
    </row>
    <row r="496" spans="1:9" x14ac:dyDescent="0.25">
      <c r="A496" s="6">
        <v>43131</v>
      </c>
      <c r="B496" t="s">
        <v>18</v>
      </c>
      <c r="C496">
        <v>0</v>
      </c>
      <c r="D496" t="s">
        <v>19</v>
      </c>
      <c r="E496" s="7">
        <v>30494.61</v>
      </c>
      <c r="F496" t="s">
        <v>20</v>
      </c>
      <c r="G496" t="s">
        <v>21</v>
      </c>
      <c r="H496" t="str">
        <f>"T1 201801318246"</f>
        <v>T1 201801318246</v>
      </c>
      <c r="I496" t="str">
        <f>"FED WITHHOLDINGS"</f>
        <v>FED WITHHOLDINGS</v>
      </c>
    </row>
    <row r="497" spans="1:9" x14ac:dyDescent="0.25">
      <c r="E497" s="7"/>
      <c r="F497" t="s">
        <v>20</v>
      </c>
      <c r="G497" t="s">
        <v>21</v>
      </c>
      <c r="H497" t="str">
        <f>"T3 201801318246"</f>
        <v>T3 201801318246</v>
      </c>
      <c r="I497" t="str">
        <f>"FICA WITHHOLDINGS"</f>
        <v>FICA WITHHOLDINGS</v>
      </c>
    </row>
    <row r="498" spans="1:9" x14ac:dyDescent="0.25">
      <c r="E498" s="7"/>
      <c r="F498" t="s">
        <v>20</v>
      </c>
      <c r="G498" t="s">
        <v>21</v>
      </c>
      <c r="H498" t="str">
        <f>"T4 201801318246"</f>
        <v>T4 201801318246</v>
      </c>
      <c r="I498" t="str">
        <f>"MEDICARE WITHHOLDINGS"</f>
        <v>MEDICARE WITHHOLDINGS</v>
      </c>
    </row>
    <row r="499" spans="1:9" x14ac:dyDescent="0.25">
      <c r="A499" s="6">
        <v>43144</v>
      </c>
      <c r="B499" t="s">
        <v>18</v>
      </c>
      <c r="C499">
        <v>0</v>
      </c>
      <c r="D499" t="s">
        <v>19</v>
      </c>
      <c r="E499" s="7">
        <v>32772.81</v>
      </c>
      <c r="F499" t="s">
        <v>20</v>
      </c>
      <c r="G499" t="s">
        <v>21</v>
      </c>
      <c r="H499" t="str">
        <f>"T1 201801318247"</f>
        <v>T1 201801318247</v>
      </c>
      <c r="I499" t="str">
        <f>"FED WITHHOLDINGS"</f>
        <v>FED WITHHOLDINGS</v>
      </c>
    </row>
    <row r="500" spans="1:9" x14ac:dyDescent="0.25">
      <c r="E500" s="7"/>
      <c r="F500" t="s">
        <v>20</v>
      </c>
      <c r="G500" t="s">
        <v>21</v>
      </c>
      <c r="H500" t="str">
        <f>"T1 201802138272"</f>
        <v>T1 201802138272</v>
      </c>
      <c r="I500" t="str">
        <f>"FED WITHHOLDINGS"</f>
        <v>FED WITHHOLDINGS</v>
      </c>
    </row>
    <row r="501" spans="1:9" x14ac:dyDescent="0.25">
      <c r="E501" s="7"/>
      <c r="F501" t="s">
        <v>20</v>
      </c>
      <c r="G501" t="s">
        <v>21</v>
      </c>
      <c r="H501" t="str">
        <f>"T3 201801318247"</f>
        <v>T3 201801318247</v>
      </c>
      <c r="I501" t="str">
        <f>"FICA WITHHOLDINGS"</f>
        <v>FICA WITHHOLDINGS</v>
      </c>
    </row>
    <row r="502" spans="1:9" x14ac:dyDescent="0.25">
      <c r="E502" s="7"/>
      <c r="F502" t="s">
        <v>20</v>
      </c>
      <c r="G502" t="s">
        <v>21</v>
      </c>
      <c r="H502" t="str">
        <f>"T3 201802138272"</f>
        <v>T3 201802138272</v>
      </c>
      <c r="I502" t="str">
        <f>"FICA WITHHOLDINGS"</f>
        <v>FICA WITHHOLDINGS</v>
      </c>
    </row>
    <row r="503" spans="1:9" x14ac:dyDescent="0.25">
      <c r="E503" s="7"/>
      <c r="F503" t="s">
        <v>20</v>
      </c>
      <c r="G503" t="s">
        <v>21</v>
      </c>
      <c r="H503" t="str">
        <f>"T4 201801318247"</f>
        <v>T4 201801318247</v>
      </c>
      <c r="I503" t="str">
        <f>"MEDICARE WITHHOLDINGS"</f>
        <v>MEDICARE WITHHOLDINGS</v>
      </c>
    </row>
    <row r="504" spans="1:9" x14ac:dyDescent="0.25">
      <c r="E504" s="7"/>
      <c r="F504" t="s">
        <v>20</v>
      </c>
      <c r="G504" t="s">
        <v>21</v>
      </c>
      <c r="H504" t="str">
        <f>"T4 201802138272"</f>
        <v>T4 201802138272</v>
      </c>
      <c r="I504" t="str">
        <f>"MEDICARE WITHHOLDINGS"</f>
        <v>MEDICARE WITHHOLDINGS</v>
      </c>
    </row>
    <row r="505" spans="1:9" x14ac:dyDescent="0.25">
      <c r="A505" s="6">
        <v>43018</v>
      </c>
      <c r="B505" t="s">
        <v>18</v>
      </c>
      <c r="C505">
        <v>0</v>
      </c>
      <c r="D505" t="s">
        <v>19</v>
      </c>
      <c r="E505" s="7">
        <v>31843.32</v>
      </c>
      <c r="F505" t="s">
        <v>20</v>
      </c>
      <c r="G505" t="s">
        <v>21</v>
      </c>
      <c r="H505" t="str">
        <f>"T1 201710108129"</f>
        <v>T1 201710108129</v>
      </c>
      <c r="I505" t="str">
        <f>"FED WITHHOLDINGS"</f>
        <v>FED WITHHOLDINGS</v>
      </c>
    </row>
    <row r="506" spans="1:9" x14ac:dyDescent="0.25">
      <c r="E506" s="7"/>
      <c r="F506" t="s">
        <v>20</v>
      </c>
      <c r="G506" t="s">
        <v>21</v>
      </c>
      <c r="H506" t="str">
        <f>"T3 201710108129"</f>
        <v>T3 201710108129</v>
      </c>
      <c r="I506" t="str">
        <f>"FICA WITHHOLDINGS"</f>
        <v>FICA WITHHOLDINGS</v>
      </c>
    </row>
    <row r="507" spans="1:9" x14ac:dyDescent="0.25">
      <c r="E507" s="7"/>
      <c r="F507" t="s">
        <v>20</v>
      </c>
      <c r="G507" t="s">
        <v>21</v>
      </c>
      <c r="H507" t="str">
        <f>"T4 201710108129"</f>
        <v>T4 201710108129</v>
      </c>
      <c r="I507" t="str">
        <f>"MEDICARE WITHHOLDINGS"</f>
        <v>MEDICARE WITHHOLDINGS</v>
      </c>
    </row>
    <row r="508" spans="1:9" x14ac:dyDescent="0.25">
      <c r="A508" s="6">
        <v>43041</v>
      </c>
      <c r="B508" t="s">
        <v>18</v>
      </c>
      <c r="C508">
        <v>0</v>
      </c>
      <c r="D508" t="s">
        <v>19</v>
      </c>
      <c r="E508" s="7">
        <v>33890.839999999997</v>
      </c>
      <c r="F508" t="s">
        <v>20</v>
      </c>
      <c r="G508" t="s">
        <v>21</v>
      </c>
      <c r="H508" t="str">
        <f>"T1 201710258141"</f>
        <v>T1 201710258141</v>
      </c>
      <c r="I508" t="str">
        <f>"FED WITHHOLDINGS"</f>
        <v>FED WITHHOLDINGS</v>
      </c>
    </row>
    <row r="509" spans="1:9" x14ac:dyDescent="0.25">
      <c r="E509" s="7"/>
      <c r="F509" t="s">
        <v>20</v>
      </c>
      <c r="G509" t="s">
        <v>21</v>
      </c>
      <c r="H509" t="str">
        <f>"T3 201710258141"</f>
        <v>T3 201710258141</v>
      </c>
      <c r="I509" t="str">
        <f>"FICA WITHHOLDINGS"</f>
        <v>FICA WITHHOLDINGS</v>
      </c>
    </row>
    <row r="510" spans="1:9" x14ac:dyDescent="0.25">
      <c r="E510" s="7"/>
      <c r="F510" t="s">
        <v>20</v>
      </c>
      <c r="G510" t="s">
        <v>21</v>
      </c>
      <c r="H510" t="str">
        <f>"T4 201710258141"</f>
        <v>T4 201710258141</v>
      </c>
      <c r="I510" t="str">
        <f>"MEDICARE WITHHOLDINGS"</f>
        <v>MEDICARE WITHHOLDINGS</v>
      </c>
    </row>
    <row r="511" spans="1:9" x14ac:dyDescent="0.25">
      <c r="A511" s="6">
        <v>43047</v>
      </c>
      <c r="B511" t="s">
        <v>18</v>
      </c>
      <c r="C511">
        <v>0</v>
      </c>
      <c r="D511" t="s">
        <v>19</v>
      </c>
      <c r="E511" s="7">
        <v>33002.269999999997</v>
      </c>
      <c r="F511" t="s">
        <v>20</v>
      </c>
      <c r="G511" t="s">
        <v>21</v>
      </c>
      <c r="H511" t="str">
        <f>"T1 201711088155"</f>
        <v>T1 201711088155</v>
      </c>
      <c r="I511" t="str">
        <f>"FED WITHHOLDINGS"</f>
        <v>FED WITHHOLDINGS</v>
      </c>
    </row>
    <row r="512" spans="1:9" x14ac:dyDescent="0.25">
      <c r="E512" s="7"/>
      <c r="F512" t="s">
        <v>20</v>
      </c>
      <c r="G512" t="s">
        <v>21</v>
      </c>
      <c r="H512" t="str">
        <f>"T3 201711088155"</f>
        <v>T3 201711088155</v>
      </c>
      <c r="I512" t="str">
        <f>"FICA WITHHOLDINGS"</f>
        <v>FICA WITHHOLDINGS</v>
      </c>
    </row>
    <row r="513" spans="1:9" x14ac:dyDescent="0.25">
      <c r="E513" s="7"/>
      <c r="F513" t="s">
        <v>20</v>
      </c>
      <c r="G513" t="s">
        <v>21</v>
      </c>
      <c r="H513" t="str">
        <f>"T4 201711088155"</f>
        <v>T4 201711088155</v>
      </c>
      <c r="I513" t="str">
        <f>"MEDICARE WITHHOLDINGS"</f>
        <v>MEDICARE WITHHOLDINGS</v>
      </c>
    </row>
    <row r="514" spans="1:9" x14ac:dyDescent="0.25">
      <c r="A514" s="6">
        <v>43059</v>
      </c>
      <c r="B514" t="s">
        <v>18</v>
      </c>
      <c r="C514">
        <v>0</v>
      </c>
      <c r="D514" t="s">
        <v>19</v>
      </c>
      <c r="E514" s="7">
        <v>35267.1</v>
      </c>
      <c r="F514" t="s">
        <v>20</v>
      </c>
      <c r="G514" t="s">
        <v>21</v>
      </c>
      <c r="H514" t="str">
        <f>"T1 201711208170"</f>
        <v>T1 201711208170</v>
      </c>
      <c r="I514" t="str">
        <f>"FED WITHHOLDINGS"</f>
        <v>FED WITHHOLDINGS</v>
      </c>
    </row>
    <row r="515" spans="1:9" x14ac:dyDescent="0.25">
      <c r="E515" s="7"/>
      <c r="F515" t="s">
        <v>20</v>
      </c>
      <c r="G515" t="s">
        <v>21</v>
      </c>
      <c r="H515" t="str">
        <f>"T3 201711208170"</f>
        <v>T3 201711208170</v>
      </c>
      <c r="I515" t="str">
        <f>"FICA WITHHOLDINGS"</f>
        <v>FICA WITHHOLDINGS</v>
      </c>
    </row>
    <row r="516" spans="1:9" x14ac:dyDescent="0.25">
      <c r="E516" s="7"/>
      <c r="F516" t="s">
        <v>20</v>
      </c>
      <c r="G516" t="s">
        <v>21</v>
      </c>
      <c r="H516" t="str">
        <f>"T4 201711208170"</f>
        <v>T4 201711208170</v>
      </c>
      <c r="I516" t="str">
        <f>"MEDICARE WITHHOLDINGS"</f>
        <v>MEDICARE WITHHOLDINGS</v>
      </c>
    </row>
    <row r="517" spans="1:9" x14ac:dyDescent="0.25">
      <c r="A517" s="6">
        <v>43074</v>
      </c>
      <c r="B517" t="s">
        <v>18</v>
      </c>
      <c r="C517">
        <v>0</v>
      </c>
      <c r="D517" t="s">
        <v>19</v>
      </c>
      <c r="E517" s="7">
        <v>36246.769999999997</v>
      </c>
      <c r="F517" t="s">
        <v>20</v>
      </c>
      <c r="G517" t="s">
        <v>21</v>
      </c>
      <c r="H517" t="str">
        <f>"T1 201712058180"</f>
        <v>T1 201712058180</v>
      </c>
      <c r="I517" t="str">
        <f>"FED WITHHOLDINGS"</f>
        <v>FED WITHHOLDINGS</v>
      </c>
    </row>
    <row r="518" spans="1:9" x14ac:dyDescent="0.25">
      <c r="E518" s="7"/>
      <c r="F518" t="s">
        <v>20</v>
      </c>
      <c r="G518" t="s">
        <v>21</v>
      </c>
      <c r="H518" t="str">
        <f>"T1 201712058181"</f>
        <v>T1 201712058181</v>
      </c>
      <c r="I518" t="str">
        <f>"FED WITHHOLDINGS"</f>
        <v>FED WITHHOLDINGS</v>
      </c>
    </row>
    <row r="519" spans="1:9" x14ac:dyDescent="0.25">
      <c r="E519" s="7"/>
      <c r="F519" t="s">
        <v>20</v>
      </c>
      <c r="G519" t="s">
        <v>21</v>
      </c>
      <c r="H519" t="str">
        <f>"T3 201712058180"</f>
        <v>T3 201712058180</v>
      </c>
      <c r="I519" t="str">
        <f>"FICA WITHHOLDINGS"</f>
        <v>FICA WITHHOLDINGS</v>
      </c>
    </row>
    <row r="520" spans="1:9" x14ac:dyDescent="0.25">
      <c r="E520" s="7"/>
      <c r="F520" t="s">
        <v>20</v>
      </c>
      <c r="G520" t="s">
        <v>21</v>
      </c>
      <c r="H520" t="str">
        <f>"T3 201712058181"</f>
        <v>T3 201712058181</v>
      </c>
      <c r="I520" t="str">
        <f>"FICA WITHHOLDINGS"</f>
        <v>FICA WITHHOLDINGS</v>
      </c>
    </row>
    <row r="521" spans="1:9" x14ac:dyDescent="0.25">
      <c r="E521" s="7"/>
      <c r="F521" t="s">
        <v>20</v>
      </c>
      <c r="G521" t="s">
        <v>21</v>
      </c>
      <c r="H521" t="str">
        <f>"T4 201712058180"</f>
        <v>T4 201712058180</v>
      </c>
      <c r="I521" t="str">
        <f>"MEDICARE WITHHOLDINGS"</f>
        <v>MEDICARE WITHHOLDINGS</v>
      </c>
    </row>
    <row r="522" spans="1:9" x14ac:dyDescent="0.25">
      <c r="E522" s="7"/>
      <c r="F522" t="s">
        <v>20</v>
      </c>
      <c r="G522" t="s">
        <v>21</v>
      </c>
      <c r="H522" t="str">
        <f>"T4 201712058181"</f>
        <v>T4 201712058181</v>
      </c>
      <c r="I522" t="str">
        <f>"MEDICARE WITHHOLDINGS"</f>
        <v>MEDICARE WITHHOLDINGS</v>
      </c>
    </row>
    <row r="523" spans="1:9" x14ac:dyDescent="0.25">
      <c r="A523" s="6">
        <v>43077</v>
      </c>
      <c r="B523" t="s">
        <v>18</v>
      </c>
      <c r="C523">
        <v>0</v>
      </c>
      <c r="D523" t="s">
        <v>19</v>
      </c>
      <c r="E523" s="7">
        <v>34.380000000000003</v>
      </c>
      <c r="F523" t="s">
        <v>20</v>
      </c>
      <c r="G523" t="s">
        <v>21</v>
      </c>
      <c r="H523" t="str">
        <f>"T3 201712088186"</f>
        <v>T3 201712088186</v>
      </c>
      <c r="I523" t="str">
        <f>"FICA WITHHOLDINGS"</f>
        <v>FICA WITHHOLDINGS</v>
      </c>
    </row>
    <row r="524" spans="1:9" x14ac:dyDescent="0.25">
      <c r="E524" s="7"/>
      <c r="F524" t="s">
        <v>20</v>
      </c>
      <c r="G524" t="s">
        <v>21</v>
      </c>
      <c r="H524" t="str">
        <f>"T4 201712088186"</f>
        <v>T4 201712088186</v>
      </c>
      <c r="I524" t="str">
        <f>"MEDICARE WITHHOLDINGS"</f>
        <v>MEDICARE WITHHOLDINGS</v>
      </c>
    </row>
    <row r="525" spans="1:9" x14ac:dyDescent="0.25">
      <c r="A525" s="6">
        <v>43088</v>
      </c>
      <c r="B525" t="s">
        <v>18</v>
      </c>
      <c r="C525">
        <v>0</v>
      </c>
      <c r="D525" t="s">
        <v>19</v>
      </c>
      <c r="E525" s="7">
        <v>34410.97</v>
      </c>
      <c r="F525" t="s">
        <v>20</v>
      </c>
      <c r="G525" t="s">
        <v>21</v>
      </c>
      <c r="H525" t="str">
        <f>"T1 201712198199"</f>
        <v>T1 201712198199</v>
      </c>
      <c r="I525" t="str">
        <f>"FED WITHHOLDINGS"</f>
        <v>FED WITHHOLDINGS</v>
      </c>
    </row>
    <row r="526" spans="1:9" x14ac:dyDescent="0.25">
      <c r="E526" s="7"/>
      <c r="F526" t="s">
        <v>20</v>
      </c>
      <c r="G526" t="s">
        <v>21</v>
      </c>
      <c r="H526" t="str">
        <f>"T3 201712198199"</f>
        <v>T3 201712198199</v>
      </c>
      <c r="I526" t="str">
        <f>"FICA WITHHOLDINGS"</f>
        <v>FICA WITHHOLDINGS</v>
      </c>
    </row>
    <row r="527" spans="1:9" x14ac:dyDescent="0.25">
      <c r="E527" s="7"/>
      <c r="F527" t="s">
        <v>20</v>
      </c>
      <c r="G527" t="s">
        <v>21</v>
      </c>
      <c r="H527" t="str">
        <f>"T4 201712198199"</f>
        <v>T4 201712198199</v>
      </c>
      <c r="I527" t="str">
        <f>"MEDICARE WITHHOLDINGS"</f>
        <v>MEDICARE WITHHOLDINGS</v>
      </c>
    </row>
    <row r="528" spans="1:9" x14ac:dyDescent="0.25">
      <c r="A528" s="6">
        <v>43009</v>
      </c>
      <c r="B528" t="s">
        <v>22</v>
      </c>
      <c r="C528">
        <v>0</v>
      </c>
      <c r="D528" t="s">
        <v>23</v>
      </c>
      <c r="E528" s="7">
        <v>0</v>
      </c>
      <c r="F528" t="s">
        <v>20</v>
      </c>
      <c r="G528" t="s">
        <v>24</v>
      </c>
      <c r="H528" t="str">
        <f>"201801238219"</f>
        <v>201801238219</v>
      </c>
      <c r="I528" t="str">
        <f>"COR 2015 INVOICE"</f>
        <v>COR 2015 INVOICE</v>
      </c>
    </row>
    <row r="529" spans="1:9" x14ac:dyDescent="0.25">
      <c r="E529" s="7"/>
      <c r="F529" t="s">
        <v>20</v>
      </c>
      <c r="G529" t="s">
        <v>21</v>
      </c>
      <c r="H529" t="str">
        <f>"BME201509306851"</f>
        <v>BME201509306851</v>
      </c>
      <c r="I529" t="str">
        <f>"INSURANCE"</f>
        <v>INSURANCE</v>
      </c>
    </row>
    <row r="530" spans="1:9" x14ac:dyDescent="0.25">
      <c r="E530" s="7"/>
      <c r="F530" t="s">
        <v>20</v>
      </c>
      <c r="G530" t="s">
        <v>21</v>
      </c>
      <c r="H530" t="str">
        <f>"BME201510156898"</f>
        <v>BME201510156898</v>
      </c>
      <c r="I530" t="str">
        <f>"INSURANCE"</f>
        <v>INSURANCE</v>
      </c>
    </row>
    <row r="531" spans="1:9" x14ac:dyDescent="0.25">
      <c r="E531" s="7"/>
      <c r="F531" t="s">
        <v>20</v>
      </c>
      <c r="G531" t="s">
        <v>21</v>
      </c>
      <c r="H531" t="str">
        <f>"MED201509306851"</f>
        <v>MED201509306851</v>
      </c>
      <c r="I531" t="str">
        <f>"INSURANCE"</f>
        <v>INSURANCE</v>
      </c>
    </row>
    <row r="532" spans="1:9" x14ac:dyDescent="0.25">
      <c r="A532" s="6">
        <v>43009</v>
      </c>
      <c r="B532" t="s">
        <v>22</v>
      </c>
      <c r="C532">
        <v>0</v>
      </c>
      <c r="D532" t="s">
        <v>25</v>
      </c>
      <c r="E532" s="7">
        <v>0</v>
      </c>
      <c r="F532" t="s">
        <v>20</v>
      </c>
      <c r="G532" t="s">
        <v>24</v>
      </c>
      <c r="H532" t="str">
        <f>"201801238220"</f>
        <v>201801238220</v>
      </c>
      <c r="I532" t="str">
        <f>"COR 2015 INVOICE"</f>
        <v>COR 2015 INVOICE</v>
      </c>
    </row>
    <row r="533" spans="1:9" x14ac:dyDescent="0.25">
      <c r="E533" s="7"/>
      <c r="F533" t="s">
        <v>20</v>
      </c>
      <c r="G533" t="s">
        <v>21</v>
      </c>
      <c r="H533" t="str">
        <f>"ADD201509306851"</f>
        <v>ADD201509306851</v>
      </c>
      <c r="I533" t="str">
        <f>"AD&amp;D"</f>
        <v>AD&amp;D</v>
      </c>
    </row>
    <row r="534" spans="1:9" x14ac:dyDescent="0.25">
      <c r="E534" s="7"/>
      <c r="F534" t="s">
        <v>20</v>
      </c>
      <c r="G534" t="s">
        <v>21</v>
      </c>
      <c r="H534" t="str">
        <f>"HST201509306851"</f>
        <v>HST201509306851</v>
      </c>
      <c r="I534" t="str">
        <f>"SHORT TERM DISABILITY"</f>
        <v>SHORT TERM DISABILITY</v>
      </c>
    </row>
    <row r="535" spans="1:9" x14ac:dyDescent="0.25">
      <c r="E535" s="7"/>
      <c r="F535" t="s">
        <v>20</v>
      </c>
      <c r="G535" t="s">
        <v>21</v>
      </c>
      <c r="H535" t="str">
        <f>"VLS201509306851"</f>
        <v>VLS201509306851</v>
      </c>
      <c r="I535" t="str">
        <f>"SPOUSE LIFE"</f>
        <v>SPOUSE LIFE</v>
      </c>
    </row>
    <row r="536" spans="1:9" x14ac:dyDescent="0.25">
      <c r="E536" s="7"/>
      <c r="F536" t="s">
        <v>20</v>
      </c>
      <c r="G536" t="s">
        <v>21</v>
      </c>
      <c r="H536" t="str">
        <f>"VLS201510156898"</f>
        <v>VLS201510156898</v>
      </c>
      <c r="I536" t="str">
        <f>"SPOUSE LIFE"</f>
        <v>SPOUSE LIFE</v>
      </c>
    </row>
    <row r="537" spans="1:9" x14ac:dyDescent="0.25">
      <c r="E537" s="7"/>
      <c r="F537" t="s">
        <v>20</v>
      </c>
      <c r="G537" t="s">
        <v>21</v>
      </c>
      <c r="H537" t="str">
        <f>"VOE201509306851"</f>
        <v>VOE201509306851</v>
      </c>
      <c r="I537" t="str">
        <f>"EMPLOYEE LIFE"</f>
        <v>EMPLOYEE LIFE</v>
      </c>
    </row>
    <row r="538" spans="1:9" x14ac:dyDescent="0.25">
      <c r="E538" s="7"/>
      <c r="F538" t="s">
        <v>20</v>
      </c>
      <c r="G538" t="s">
        <v>21</v>
      </c>
      <c r="H538" t="str">
        <f>"VOE201510156898"</f>
        <v>VOE201510156898</v>
      </c>
      <c r="I538" t="str">
        <f>"EMPLOYEE LIFE"</f>
        <v>EMPLOYEE LIFE</v>
      </c>
    </row>
    <row r="539" spans="1:9" x14ac:dyDescent="0.25">
      <c r="E539" s="7"/>
      <c r="F539" t="s">
        <v>20</v>
      </c>
      <c r="G539" t="s">
        <v>21</v>
      </c>
      <c r="H539" t="str">
        <f>"VOL201509306851"</f>
        <v>VOL201509306851</v>
      </c>
      <c r="I539" t="str">
        <f>"LIFE"</f>
        <v>LIFE</v>
      </c>
    </row>
    <row r="540" spans="1:9" x14ac:dyDescent="0.25">
      <c r="E540" s="7"/>
      <c r="F540" t="s">
        <v>20</v>
      </c>
      <c r="G540" t="s">
        <v>21</v>
      </c>
      <c r="H540" t="str">
        <f>"VOL201510156898"</f>
        <v>VOL201510156898</v>
      </c>
      <c r="I540" t="str">
        <f>"LIFE"</f>
        <v>LIFE</v>
      </c>
    </row>
    <row r="541" spans="1:9" x14ac:dyDescent="0.25">
      <c r="A541" s="6">
        <v>43159</v>
      </c>
      <c r="B541" t="s">
        <v>18</v>
      </c>
      <c r="C541">
        <v>1</v>
      </c>
      <c r="D541" t="s">
        <v>19</v>
      </c>
      <c r="E541" s="7">
        <v>31133.86</v>
      </c>
      <c r="F541" t="s">
        <v>20</v>
      </c>
      <c r="G541" t="s">
        <v>21</v>
      </c>
      <c r="H541" t="str">
        <f>"T1 201802288290"</f>
        <v>T1 201802288290</v>
      </c>
      <c r="I541" t="str">
        <f>"FED WITHHOLDINGS"</f>
        <v>FED WITHHOLDINGS</v>
      </c>
    </row>
    <row r="542" spans="1:9" x14ac:dyDescent="0.25">
      <c r="E542" s="7"/>
      <c r="F542" t="s">
        <v>20</v>
      </c>
      <c r="G542" t="s">
        <v>21</v>
      </c>
      <c r="H542" t="str">
        <f>"T3 201802288290"</f>
        <v>T3 201802288290</v>
      </c>
      <c r="I542" t="str">
        <f>"FICA WITHHOLDINGS"</f>
        <v>FICA WITHHOLDINGS</v>
      </c>
    </row>
    <row r="543" spans="1:9" x14ac:dyDescent="0.25">
      <c r="E543" s="7"/>
      <c r="F543" t="s">
        <v>20</v>
      </c>
      <c r="G543" t="s">
        <v>21</v>
      </c>
      <c r="H543" t="str">
        <f>"T4 201802288290"</f>
        <v>T4 201802288290</v>
      </c>
      <c r="I543" t="str">
        <f>"MEDICARE WITHHOLDINGS"</f>
        <v>MEDICARE WITHHOLDINGS</v>
      </c>
    </row>
    <row r="544" spans="1:9" x14ac:dyDescent="0.25">
      <c r="A544" s="6">
        <v>43159</v>
      </c>
      <c r="B544" t="s">
        <v>18</v>
      </c>
      <c r="C544">
        <v>2</v>
      </c>
      <c r="D544" t="s">
        <v>19</v>
      </c>
      <c r="E544" s="7">
        <v>125.62</v>
      </c>
      <c r="F544" t="s">
        <v>20</v>
      </c>
      <c r="G544" t="s">
        <v>21</v>
      </c>
      <c r="H544" t="str">
        <f>"T1 201802268289"</f>
        <v>T1 201802268289</v>
      </c>
      <c r="I544" t="str">
        <f>"FED WITHHOLDINGS"</f>
        <v>FED WITHHOLDINGS</v>
      </c>
    </row>
    <row r="545" spans="1:9" x14ac:dyDescent="0.25">
      <c r="E545" s="7"/>
      <c r="F545" t="s">
        <v>20</v>
      </c>
      <c r="G545" t="s">
        <v>21</v>
      </c>
      <c r="H545" t="str">
        <f>"T3 201802268289"</f>
        <v>T3 201802268289</v>
      </c>
      <c r="I545" t="str">
        <f>"FICA WITHHOLDINGS"</f>
        <v>FICA WITHHOLDINGS</v>
      </c>
    </row>
    <row r="546" spans="1:9" x14ac:dyDescent="0.25">
      <c r="E546" s="7"/>
      <c r="F546" t="s">
        <v>20</v>
      </c>
      <c r="G546" t="s">
        <v>21</v>
      </c>
      <c r="H546" t="str">
        <f>"T4 201802268289"</f>
        <v>T4 201802268289</v>
      </c>
      <c r="I546" t="str">
        <f>"MEDICARE WITHHOLDINGS"</f>
        <v>MEDICARE WITHHOLDINGS</v>
      </c>
    </row>
    <row r="547" spans="1:9" x14ac:dyDescent="0.25">
      <c r="A547" s="6">
        <v>43173</v>
      </c>
      <c r="B547" t="s">
        <v>18</v>
      </c>
      <c r="C547">
        <v>3</v>
      </c>
      <c r="D547" t="s">
        <v>19</v>
      </c>
      <c r="E547" s="7">
        <v>29953.09</v>
      </c>
      <c r="F547" t="s">
        <v>20</v>
      </c>
      <c r="G547" t="s">
        <v>21</v>
      </c>
      <c r="H547" t="str">
        <f>"T1 201803148308"</f>
        <v>T1 201803148308</v>
      </c>
      <c r="I547" t="str">
        <f>"FED WITHHOLDINGS"</f>
        <v>FED WITHHOLDINGS</v>
      </c>
    </row>
    <row r="548" spans="1:9" x14ac:dyDescent="0.25">
      <c r="E548" s="7"/>
      <c r="F548" t="s">
        <v>20</v>
      </c>
      <c r="G548" t="s">
        <v>21</v>
      </c>
      <c r="H548" t="str">
        <f>"T3 201803148308"</f>
        <v>T3 201803148308</v>
      </c>
      <c r="I548" t="str">
        <f>"FICA WITHHOLDINGS"</f>
        <v>FICA WITHHOLDINGS</v>
      </c>
    </row>
    <row r="549" spans="1:9" x14ac:dyDescent="0.25">
      <c r="E549" s="7"/>
      <c r="F549" t="s">
        <v>20</v>
      </c>
      <c r="G549" t="s">
        <v>21</v>
      </c>
      <c r="H549" t="str">
        <f>"T4 201803148308"</f>
        <v>T4 201803148308</v>
      </c>
      <c r="I549" t="str">
        <f>"MEDICARE WITHHOLDINGS"</f>
        <v>MEDICARE WITHHOLDINGS</v>
      </c>
    </row>
    <row r="550" spans="1:9" x14ac:dyDescent="0.25">
      <c r="A550" s="6">
        <v>43187</v>
      </c>
      <c r="B550" t="s">
        <v>18</v>
      </c>
      <c r="C550">
        <v>4</v>
      </c>
      <c r="D550" t="s">
        <v>19</v>
      </c>
      <c r="E550" s="7">
        <v>8764.6299999999992</v>
      </c>
      <c r="F550" t="s">
        <v>20</v>
      </c>
      <c r="G550" t="s">
        <v>21</v>
      </c>
      <c r="H550" t="str">
        <f>"T1 201803208320"</f>
        <v>T1 201803208320</v>
      </c>
      <c r="I550" t="str">
        <f>"FED WITHHOLDINGS"</f>
        <v>FED WITHHOLDINGS</v>
      </c>
    </row>
    <row r="551" spans="1:9" x14ac:dyDescent="0.25">
      <c r="E551" s="7"/>
      <c r="F551" t="s">
        <v>20</v>
      </c>
      <c r="G551" t="s">
        <v>21</v>
      </c>
      <c r="H551" t="str">
        <f>"T3 201803208320"</f>
        <v>T3 201803208320</v>
      </c>
      <c r="I551" t="str">
        <f>"FICA WITHHOLDINGS"</f>
        <v>FICA WITHHOLDINGS</v>
      </c>
    </row>
    <row r="552" spans="1:9" x14ac:dyDescent="0.25">
      <c r="E552" s="7"/>
      <c r="F552" t="s">
        <v>20</v>
      </c>
      <c r="G552" t="s">
        <v>21</v>
      </c>
      <c r="H552" t="str">
        <f>"T4 201803208320"</f>
        <v>T4 201803208320</v>
      </c>
      <c r="I552" t="str">
        <f>"MEDICARE WITHHOLDINGS"</f>
        <v>MEDICARE WITHHOLDINGS</v>
      </c>
    </row>
    <row r="553" spans="1:9" x14ac:dyDescent="0.25">
      <c r="A553" s="6">
        <v>43187</v>
      </c>
      <c r="B553" t="s">
        <v>18</v>
      </c>
      <c r="C553">
        <v>5</v>
      </c>
      <c r="D553" t="s">
        <v>19</v>
      </c>
      <c r="E553" s="7">
        <v>1867.27</v>
      </c>
      <c r="F553" t="s">
        <v>20</v>
      </c>
      <c r="G553" t="s">
        <v>21</v>
      </c>
      <c r="H553" t="str">
        <f>"T1 201803288326"</f>
        <v>T1 201803288326</v>
      </c>
      <c r="I553" t="str">
        <f>"FED WITHHOLDINGS"</f>
        <v>FED WITHHOLDINGS</v>
      </c>
    </row>
    <row r="554" spans="1:9" x14ac:dyDescent="0.25">
      <c r="E554" s="7"/>
      <c r="F554" t="s">
        <v>20</v>
      </c>
      <c r="G554" t="s">
        <v>21</v>
      </c>
      <c r="H554" t="str">
        <f>"T3 201803288326"</f>
        <v>T3 201803288326</v>
      </c>
      <c r="I554" t="str">
        <f>"FICA WITHHOLDINGS"</f>
        <v>FICA WITHHOLDINGS</v>
      </c>
    </row>
    <row r="555" spans="1:9" x14ac:dyDescent="0.25">
      <c r="E555" s="7"/>
      <c r="F555" t="s">
        <v>20</v>
      </c>
      <c r="G555" t="s">
        <v>21</v>
      </c>
      <c r="H555" t="str">
        <f>"T4 201803288326"</f>
        <v>T4 201803288326</v>
      </c>
      <c r="I555" t="str">
        <f>"MEDICARE WITHHOLDINGS"</f>
        <v>MEDICARE WITHHOLDINGS</v>
      </c>
    </row>
    <row r="556" spans="1:9" x14ac:dyDescent="0.25">
      <c r="A556" s="6">
        <v>43187</v>
      </c>
      <c r="B556" t="s">
        <v>18</v>
      </c>
      <c r="C556">
        <v>6</v>
      </c>
      <c r="D556" t="s">
        <v>19</v>
      </c>
      <c r="E556" s="7">
        <v>30659.42</v>
      </c>
      <c r="F556" t="s">
        <v>20</v>
      </c>
      <c r="G556" t="s">
        <v>21</v>
      </c>
      <c r="H556" t="str">
        <f>"T1 201803288327"</f>
        <v>T1 201803288327</v>
      </c>
      <c r="I556" t="str">
        <f>"FED WITHHOLDINGS"</f>
        <v>FED WITHHOLDINGS</v>
      </c>
    </row>
    <row r="557" spans="1:9" x14ac:dyDescent="0.25">
      <c r="E557" s="7"/>
      <c r="F557" t="s">
        <v>20</v>
      </c>
      <c r="G557" t="s">
        <v>21</v>
      </c>
      <c r="H557" t="str">
        <f>"T3 201803288327"</f>
        <v>T3 201803288327</v>
      </c>
      <c r="I557" t="str">
        <f>"FICA WITHHOLDINGS"</f>
        <v>FICA WITHHOLDINGS</v>
      </c>
    </row>
    <row r="558" spans="1:9" x14ac:dyDescent="0.25">
      <c r="E558" s="7"/>
      <c r="F558" t="s">
        <v>20</v>
      </c>
      <c r="G558" t="s">
        <v>21</v>
      </c>
      <c r="H558" t="str">
        <f>"T4 201803288327"</f>
        <v>T4 201803288327</v>
      </c>
      <c r="I558" t="str">
        <f>"MEDICARE WITHHOLDINGS"</f>
        <v>MEDICARE WITHHOLDINGS</v>
      </c>
    </row>
    <row r="559" spans="1:9" x14ac:dyDescent="0.25">
      <c r="A559" s="6">
        <v>43201</v>
      </c>
      <c r="B559" t="s">
        <v>18</v>
      </c>
      <c r="C559">
        <v>7</v>
      </c>
      <c r="D559" t="s">
        <v>19</v>
      </c>
      <c r="E559" s="7">
        <v>29411.919999999998</v>
      </c>
      <c r="F559" t="s">
        <v>20</v>
      </c>
      <c r="G559" t="s">
        <v>21</v>
      </c>
      <c r="H559" t="str">
        <f>"T1 201804118341"</f>
        <v>T1 201804118341</v>
      </c>
      <c r="I559" t="str">
        <f>"FED WITHHOLDINGS"</f>
        <v>FED WITHHOLDINGS</v>
      </c>
    </row>
    <row r="560" spans="1:9" x14ac:dyDescent="0.25">
      <c r="E560" s="7"/>
      <c r="F560" t="s">
        <v>20</v>
      </c>
      <c r="G560" t="s">
        <v>21</v>
      </c>
      <c r="H560" t="str">
        <f>"T3 201804118341"</f>
        <v>T3 201804118341</v>
      </c>
      <c r="I560" t="str">
        <f>"FICA WITHHOLDINGS"</f>
        <v>FICA WITHHOLDINGS</v>
      </c>
    </row>
    <row r="561" spans="1:9" x14ac:dyDescent="0.25">
      <c r="E561" s="7"/>
      <c r="F561" t="s">
        <v>20</v>
      </c>
      <c r="G561" t="s">
        <v>21</v>
      </c>
      <c r="H561" t="str">
        <f>"T4 201804118341"</f>
        <v>T4 201804118341</v>
      </c>
      <c r="I561" t="str">
        <f>"MEDICARE WITHHOLDINGS"</f>
        <v>MEDICARE WITHHOLDINGS</v>
      </c>
    </row>
    <row r="562" spans="1:9" x14ac:dyDescent="0.25">
      <c r="A562" s="6">
        <v>43220</v>
      </c>
      <c r="B562" t="s">
        <v>18</v>
      </c>
      <c r="C562">
        <v>8</v>
      </c>
      <c r="D562" t="s">
        <v>19</v>
      </c>
      <c r="E562" s="7">
        <v>30634.58</v>
      </c>
      <c r="F562" t="s">
        <v>20</v>
      </c>
      <c r="G562" t="s">
        <v>21</v>
      </c>
      <c r="H562" t="str">
        <f>"T1 201804258355"</f>
        <v>T1 201804258355</v>
      </c>
      <c r="I562" t="str">
        <f>"FED WITHHOLDINGS"</f>
        <v>FED WITHHOLDINGS</v>
      </c>
    </row>
    <row r="563" spans="1:9" x14ac:dyDescent="0.25">
      <c r="E563" s="7"/>
      <c r="F563" t="s">
        <v>20</v>
      </c>
      <c r="G563" t="s">
        <v>21</v>
      </c>
      <c r="H563" t="str">
        <f>"T3 201804258355"</f>
        <v>T3 201804258355</v>
      </c>
      <c r="I563" t="str">
        <f>"FICA WITHHOLDINGS"</f>
        <v>FICA WITHHOLDINGS</v>
      </c>
    </row>
    <row r="564" spans="1:9" x14ac:dyDescent="0.25">
      <c r="E564" s="7"/>
      <c r="F564" t="s">
        <v>20</v>
      </c>
      <c r="G564" t="s">
        <v>21</v>
      </c>
      <c r="H564" t="str">
        <f>"T4 201804258355"</f>
        <v>T4 201804258355</v>
      </c>
      <c r="I564" t="str">
        <f>"MEDICARE WITHHOLDINGS"</f>
        <v>MEDICARE WITHHOLDINGS</v>
      </c>
    </row>
    <row r="565" spans="1:9" x14ac:dyDescent="0.25">
      <c r="A565" s="6">
        <v>43220</v>
      </c>
      <c r="B565" t="s">
        <v>18</v>
      </c>
      <c r="C565">
        <v>9</v>
      </c>
      <c r="D565" t="s">
        <v>19</v>
      </c>
      <c r="E565" s="7">
        <v>947.02</v>
      </c>
      <c r="F565" t="s">
        <v>20</v>
      </c>
      <c r="G565" t="s">
        <v>21</v>
      </c>
      <c r="H565" t="str">
        <f>"T1 201804268356"</f>
        <v>T1 201804268356</v>
      </c>
      <c r="I565" t="str">
        <f>"FED WITHHOLDINGS"</f>
        <v>FED WITHHOLDINGS</v>
      </c>
    </row>
    <row r="566" spans="1:9" x14ac:dyDescent="0.25">
      <c r="E566" s="7"/>
      <c r="F566" t="s">
        <v>20</v>
      </c>
      <c r="G566" t="s">
        <v>21</v>
      </c>
      <c r="H566" t="str">
        <f>"T3 201804268356"</f>
        <v>T3 201804268356</v>
      </c>
      <c r="I566" t="str">
        <f>"FICA WITHHOLDINGS"</f>
        <v>FICA WITHHOLDINGS</v>
      </c>
    </row>
    <row r="567" spans="1:9" x14ac:dyDescent="0.25">
      <c r="E567" s="7"/>
      <c r="F567" t="s">
        <v>20</v>
      </c>
      <c r="G567" t="s">
        <v>21</v>
      </c>
      <c r="H567" t="str">
        <f>"T4 201804268356"</f>
        <v>T4 201804268356</v>
      </c>
      <c r="I567" t="str">
        <f>"MEDICARE WITHHOLDINGS"</f>
        <v>MEDICARE WITHHOLDINGS</v>
      </c>
    </row>
    <row r="568" spans="1:9" x14ac:dyDescent="0.25">
      <c r="A568" s="6">
        <v>43220</v>
      </c>
      <c r="B568" t="s">
        <v>18</v>
      </c>
      <c r="C568">
        <v>10</v>
      </c>
      <c r="D568" t="s">
        <v>19</v>
      </c>
      <c r="E568" s="7">
        <v>199.33</v>
      </c>
      <c r="F568" t="s">
        <v>20</v>
      </c>
      <c r="G568" t="s">
        <v>21</v>
      </c>
      <c r="H568" t="str">
        <f>"T1 201804198354"</f>
        <v>T1 201804198354</v>
      </c>
      <c r="I568" t="str">
        <f>"FED WITHHOLDINGS"</f>
        <v>FED WITHHOLDINGS</v>
      </c>
    </row>
    <row r="569" spans="1:9" x14ac:dyDescent="0.25">
      <c r="E569" s="7"/>
      <c r="F569" t="s">
        <v>20</v>
      </c>
      <c r="G569" t="s">
        <v>21</v>
      </c>
      <c r="H569" t="str">
        <f>"T3 201804198354"</f>
        <v>T3 201804198354</v>
      </c>
      <c r="I569" t="str">
        <f>"FICA WITHHOLDINGS"</f>
        <v>FICA WITHHOLDINGS</v>
      </c>
    </row>
    <row r="570" spans="1:9" x14ac:dyDescent="0.25">
      <c r="E570" s="7"/>
      <c r="F570" t="s">
        <v>20</v>
      </c>
      <c r="G570" t="s">
        <v>21</v>
      </c>
      <c r="H570" t="str">
        <f>"T4 201804198354"</f>
        <v>T4 201804198354</v>
      </c>
      <c r="I570" t="str">
        <f>"MEDICARE WITHHOLDINGS"</f>
        <v>MEDICARE WITHHOLDINGS</v>
      </c>
    </row>
    <row r="571" spans="1:9" x14ac:dyDescent="0.25">
      <c r="A571" s="6">
        <v>43229</v>
      </c>
      <c r="B571" t="s">
        <v>18</v>
      </c>
      <c r="C571">
        <v>11</v>
      </c>
      <c r="D571" t="s">
        <v>19</v>
      </c>
      <c r="E571" s="7">
        <v>31704.41</v>
      </c>
      <c r="F571" t="s">
        <v>20</v>
      </c>
      <c r="G571" t="s">
        <v>21</v>
      </c>
      <c r="H571" t="str">
        <f>"T1 201805098364"</f>
        <v>T1 201805098364</v>
      </c>
      <c r="I571" t="str">
        <f>"FED WITHHOLDINGS"</f>
        <v>FED WITHHOLDINGS</v>
      </c>
    </row>
    <row r="572" spans="1:9" x14ac:dyDescent="0.25">
      <c r="E572" s="7"/>
      <c r="F572" t="s">
        <v>20</v>
      </c>
      <c r="G572" t="s">
        <v>21</v>
      </c>
      <c r="H572" t="str">
        <f>"T3 201805098364"</f>
        <v>T3 201805098364</v>
      </c>
      <c r="I572" t="str">
        <f>"FICA WITHHOLDINGS"</f>
        <v>FICA WITHHOLDINGS</v>
      </c>
    </row>
    <row r="573" spans="1:9" x14ac:dyDescent="0.25">
      <c r="E573" s="7"/>
      <c r="F573" t="s">
        <v>20</v>
      </c>
      <c r="G573" t="s">
        <v>21</v>
      </c>
      <c r="H573" t="str">
        <f>"T4 201805098364"</f>
        <v>T4 201805098364</v>
      </c>
      <c r="I573" t="str">
        <f>"MEDICARE WITHHOLDINGS"</f>
        <v>MEDICARE WITHHOLDINGS</v>
      </c>
    </row>
    <row r="574" spans="1:9" x14ac:dyDescent="0.25">
      <c r="A574" s="6">
        <v>43244</v>
      </c>
      <c r="B574" t="s">
        <v>18</v>
      </c>
      <c r="C574">
        <v>12</v>
      </c>
      <c r="D574" t="s">
        <v>19</v>
      </c>
      <c r="E574" s="7">
        <v>30959.9</v>
      </c>
      <c r="F574" t="s">
        <v>20</v>
      </c>
      <c r="G574" t="s">
        <v>21</v>
      </c>
      <c r="H574" t="str">
        <f>"T1 201805238388"</f>
        <v>T1 201805238388</v>
      </c>
      <c r="I574" t="str">
        <f>"FED WITHHOLDINGS"</f>
        <v>FED WITHHOLDINGS</v>
      </c>
    </row>
    <row r="575" spans="1:9" x14ac:dyDescent="0.25">
      <c r="E575" s="7"/>
      <c r="F575" t="s">
        <v>20</v>
      </c>
      <c r="G575" t="s">
        <v>21</v>
      </c>
      <c r="H575" t="str">
        <f>"T3 201805238388"</f>
        <v>T3 201805238388</v>
      </c>
      <c r="I575" t="str">
        <f>"FICA WITHHOLDINGS"</f>
        <v>FICA WITHHOLDINGS</v>
      </c>
    </row>
    <row r="576" spans="1:9" x14ac:dyDescent="0.25">
      <c r="E576" s="7"/>
      <c r="F576" t="s">
        <v>20</v>
      </c>
      <c r="G576" t="s">
        <v>21</v>
      </c>
      <c r="H576" t="str">
        <f>"T4 201805238388"</f>
        <v>T4 201805238388</v>
      </c>
      <c r="I576" t="str">
        <f>"MEDICARE WITHHOLDINGS"</f>
        <v>MEDICARE WITHHOLDINGS</v>
      </c>
    </row>
    <row r="577" spans="1:9" x14ac:dyDescent="0.25">
      <c r="A577" s="6">
        <v>43257</v>
      </c>
      <c r="B577" t="s">
        <v>18</v>
      </c>
      <c r="C577">
        <v>13</v>
      </c>
      <c r="D577" t="s">
        <v>19</v>
      </c>
      <c r="E577" s="7">
        <v>35764.49</v>
      </c>
      <c r="F577" t="s">
        <v>20</v>
      </c>
      <c r="G577" t="s">
        <v>21</v>
      </c>
      <c r="H577" t="str">
        <f>"T1 201806068400"</f>
        <v>T1 201806068400</v>
      </c>
      <c r="I577" t="str">
        <f>"FED WITHHOLDINGS"</f>
        <v>FED WITHHOLDINGS</v>
      </c>
    </row>
    <row r="578" spans="1:9" x14ac:dyDescent="0.25">
      <c r="E578" s="7"/>
      <c r="F578" t="s">
        <v>20</v>
      </c>
      <c r="G578" t="s">
        <v>21</v>
      </c>
      <c r="H578" t="str">
        <f>"T3 201806068400"</f>
        <v>T3 201806068400</v>
      </c>
      <c r="I578" t="str">
        <f>"FICA WITHHOLDINGS"</f>
        <v>FICA WITHHOLDINGS</v>
      </c>
    </row>
    <row r="579" spans="1:9" x14ac:dyDescent="0.25">
      <c r="E579" s="7"/>
      <c r="F579" t="s">
        <v>20</v>
      </c>
      <c r="G579" t="s">
        <v>21</v>
      </c>
      <c r="H579" t="str">
        <f>"T4 201806068400"</f>
        <v>T4 201806068400</v>
      </c>
      <c r="I579" t="str">
        <f>"MEDICARE WITHHOLDINGS"</f>
        <v>MEDICARE WITHHOLDINGS</v>
      </c>
    </row>
    <row r="580" spans="1:9" x14ac:dyDescent="0.25">
      <c r="A580" s="6">
        <v>43258</v>
      </c>
      <c r="B580" t="s">
        <v>18</v>
      </c>
      <c r="C580">
        <v>14</v>
      </c>
      <c r="D580" t="s">
        <v>19</v>
      </c>
      <c r="E580" s="7">
        <v>6827.97</v>
      </c>
      <c r="F580" t="s">
        <v>20</v>
      </c>
      <c r="G580" t="s">
        <v>21</v>
      </c>
      <c r="H580" t="str">
        <f>"T1 201806068402"</f>
        <v>T1 201806068402</v>
      </c>
      <c r="I580" t="str">
        <f>"FED WITHHOLDINGS"</f>
        <v>FED WITHHOLDINGS</v>
      </c>
    </row>
    <row r="581" spans="1:9" x14ac:dyDescent="0.25">
      <c r="E581" s="7"/>
      <c r="F581" t="s">
        <v>20</v>
      </c>
      <c r="G581" t="s">
        <v>21</v>
      </c>
      <c r="H581" t="str">
        <f>"T3 201806068402"</f>
        <v>T3 201806068402</v>
      </c>
      <c r="I581" t="str">
        <f>"FICA WITHHOLDINGS"</f>
        <v>FICA WITHHOLDINGS</v>
      </c>
    </row>
    <row r="582" spans="1:9" x14ac:dyDescent="0.25">
      <c r="E582" s="7"/>
      <c r="F582" t="s">
        <v>20</v>
      </c>
      <c r="G582" t="s">
        <v>21</v>
      </c>
      <c r="H582" t="str">
        <f>"T4 201806068402"</f>
        <v>T4 201806068402</v>
      </c>
      <c r="I582" t="str">
        <f>"MEDICARE WITHHOLDINGS"</f>
        <v>MEDICARE WITHHOLDINGS</v>
      </c>
    </row>
    <row r="583" spans="1:9" x14ac:dyDescent="0.25">
      <c r="A583" s="6">
        <v>43271</v>
      </c>
      <c r="B583" t="s">
        <v>18</v>
      </c>
      <c r="C583">
        <v>15</v>
      </c>
      <c r="D583" t="s">
        <v>19</v>
      </c>
      <c r="E583" s="7">
        <v>40610.11</v>
      </c>
      <c r="F583" t="s">
        <v>20</v>
      </c>
      <c r="G583" t="s">
        <v>21</v>
      </c>
      <c r="H583" t="str">
        <f>"T1 201806208412"</f>
        <v>T1 201806208412</v>
      </c>
      <c r="I583" t="str">
        <f>"FED WITHHOLDINGS"</f>
        <v>FED WITHHOLDINGS</v>
      </c>
    </row>
    <row r="584" spans="1:9" x14ac:dyDescent="0.25">
      <c r="E584" s="7"/>
      <c r="F584" t="s">
        <v>20</v>
      </c>
      <c r="G584" t="s">
        <v>21</v>
      </c>
      <c r="H584" t="str">
        <f>"T3 201806208412"</f>
        <v>T3 201806208412</v>
      </c>
      <c r="I584" t="str">
        <f>"FICA WITHHOLDINGS"</f>
        <v>FICA WITHHOLDINGS</v>
      </c>
    </row>
    <row r="585" spans="1:9" x14ac:dyDescent="0.25">
      <c r="E585" s="7"/>
      <c r="F585" t="s">
        <v>20</v>
      </c>
      <c r="G585" t="s">
        <v>21</v>
      </c>
      <c r="H585" t="str">
        <f>"T4 201806208412"</f>
        <v>T4 201806208412</v>
      </c>
      <c r="I585" t="str">
        <f>"MEDICARE WITHHOLDINGS"</f>
        <v>MEDICARE WITHHOLDINGS</v>
      </c>
    </row>
    <row r="586" spans="1:9" x14ac:dyDescent="0.25">
      <c r="A586" s="6">
        <v>43276</v>
      </c>
      <c r="B586" t="s">
        <v>18</v>
      </c>
      <c r="C586">
        <v>16</v>
      </c>
      <c r="D586" t="s">
        <v>19</v>
      </c>
      <c r="E586" s="7">
        <v>13.08</v>
      </c>
      <c r="F586" t="s">
        <v>20</v>
      </c>
      <c r="G586" t="s">
        <v>21</v>
      </c>
      <c r="H586" t="str">
        <f>"T3 201806218422"</f>
        <v>T3 201806218422</v>
      </c>
      <c r="I586" t="str">
        <f>"FICA WITHHOLDINGS"</f>
        <v>FICA WITHHOLDINGS</v>
      </c>
    </row>
    <row r="587" spans="1:9" x14ac:dyDescent="0.25">
      <c r="E587" s="7"/>
      <c r="F587" t="s">
        <v>20</v>
      </c>
      <c r="G587" t="s">
        <v>21</v>
      </c>
      <c r="H587" t="str">
        <f>"T4 201806218422"</f>
        <v>T4 201806218422</v>
      </c>
      <c r="I587" t="str">
        <f>"MEDICARE WITHHOLDINGS"</f>
        <v>MEDICARE WITHHOLDINGS</v>
      </c>
    </row>
    <row r="588" spans="1:9" x14ac:dyDescent="0.25">
      <c r="A588" s="6">
        <v>43283</v>
      </c>
      <c r="B588" t="s">
        <v>18</v>
      </c>
      <c r="C588">
        <v>17</v>
      </c>
      <c r="D588" t="s">
        <v>19</v>
      </c>
      <c r="E588" s="7">
        <v>32383.35</v>
      </c>
      <c r="F588" t="s">
        <v>20</v>
      </c>
      <c r="G588" t="s">
        <v>21</v>
      </c>
      <c r="H588" t="str">
        <f>"T1 201807028428"</f>
        <v>T1 201807028428</v>
      </c>
      <c r="I588" t="str">
        <f>"FED WITHHOLDINGS"</f>
        <v>FED WITHHOLDINGS</v>
      </c>
    </row>
    <row r="589" spans="1:9" x14ac:dyDescent="0.25">
      <c r="E589" s="7"/>
      <c r="F589" t="s">
        <v>20</v>
      </c>
      <c r="G589" t="s">
        <v>21</v>
      </c>
      <c r="H589" t="str">
        <f>"T3 201807028428"</f>
        <v>T3 201807028428</v>
      </c>
      <c r="I589" t="str">
        <f>"FICA WITHHOLDINGS"</f>
        <v>FICA WITHHOLDINGS</v>
      </c>
    </row>
    <row r="590" spans="1:9" x14ac:dyDescent="0.25">
      <c r="E590" s="7"/>
      <c r="F590" t="s">
        <v>20</v>
      </c>
      <c r="G590" t="s">
        <v>21</v>
      </c>
      <c r="H590" t="str">
        <f>"T4 201807028428"</f>
        <v>T4 201807028428</v>
      </c>
      <c r="I590" t="str">
        <f>"MEDICARE WITHHOLDINGS"</f>
        <v>MEDICARE WITHHOLDINGS</v>
      </c>
    </row>
    <row r="591" spans="1:9" x14ac:dyDescent="0.25">
      <c r="A591" s="6">
        <v>43299</v>
      </c>
      <c r="B591" t="s">
        <v>18</v>
      </c>
      <c r="C591">
        <v>18</v>
      </c>
      <c r="D591" t="s">
        <v>19</v>
      </c>
      <c r="E591" s="7">
        <v>745.09</v>
      </c>
      <c r="F591" t="s">
        <v>20</v>
      </c>
      <c r="G591" t="s">
        <v>21</v>
      </c>
      <c r="H591" t="str">
        <f>"T1 201807028429"</f>
        <v>T1 201807028429</v>
      </c>
      <c r="I591" t="str">
        <f>"FED WITHHOLDINGS"</f>
        <v>FED WITHHOLDINGS</v>
      </c>
    </row>
    <row r="592" spans="1:9" x14ac:dyDescent="0.25">
      <c r="E592" s="7"/>
      <c r="F592" t="s">
        <v>20</v>
      </c>
      <c r="G592" t="s">
        <v>21</v>
      </c>
      <c r="H592" t="str">
        <f>"T3 201807028429"</f>
        <v>T3 201807028429</v>
      </c>
      <c r="I592" t="str">
        <f>"FICA WITHHOLDINGS"</f>
        <v>FICA WITHHOLDINGS</v>
      </c>
    </row>
    <row r="593" spans="1:9" x14ac:dyDescent="0.25">
      <c r="E593" s="7"/>
      <c r="F593" t="s">
        <v>20</v>
      </c>
      <c r="G593" t="s">
        <v>21</v>
      </c>
      <c r="H593" t="str">
        <f>"T4 201807028429"</f>
        <v>T4 201807028429</v>
      </c>
      <c r="I593" t="str">
        <f>"MEDICARE WITHHOLDINGS"</f>
        <v>MEDICARE WITHHOLDINGS</v>
      </c>
    </row>
    <row r="594" spans="1:9" x14ac:dyDescent="0.25">
      <c r="A594" s="6">
        <v>43299</v>
      </c>
      <c r="B594" t="s">
        <v>18</v>
      </c>
      <c r="C594">
        <v>19</v>
      </c>
      <c r="D594" t="s">
        <v>19</v>
      </c>
      <c r="E594" s="7">
        <v>31824.18</v>
      </c>
      <c r="F594" t="s">
        <v>20</v>
      </c>
      <c r="G594" t="s">
        <v>21</v>
      </c>
      <c r="H594" t="str">
        <f>"T1 201807188432"</f>
        <v>T1 201807188432</v>
      </c>
      <c r="I594" t="str">
        <f>"FED WITHHOLDINGS"</f>
        <v>FED WITHHOLDINGS</v>
      </c>
    </row>
    <row r="595" spans="1:9" x14ac:dyDescent="0.25">
      <c r="E595" s="7"/>
      <c r="F595" t="s">
        <v>20</v>
      </c>
      <c r="G595" t="s">
        <v>21</v>
      </c>
      <c r="H595" t="str">
        <f>"T3 201807188432"</f>
        <v>T3 201807188432</v>
      </c>
      <c r="I595" t="str">
        <f>"FICA WITHHOLDINGS"</f>
        <v>FICA WITHHOLDINGS</v>
      </c>
    </row>
    <row r="596" spans="1:9" x14ac:dyDescent="0.25">
      <c r="E596" s="7"/>
      <c r="F596" t="s">
        <v>20</v>
      </c>
      <c r="G596" t="s">
        <v>21</v>
      </c>
      <c r="H596" t="str">
        <f>"T4 201807188432"</f>
        <v>T4 201807188432</v>
      </c>
      <c r="I596" t="str">
        <f>"MEDICARE WITHHOLDINGS"</f>
        <v>MEDICARE WITHHOLDINGS</v>
      </c>
    </row>
    <row r="597" spans="1:9" x14ac:dyDescent="0.25">
      <c r="A597" s="6">
        <v>43312</v>
      </c>
      <c r="B597" t="s">
        <v>18</v>
      </c>
      <c r="C597">
        <v>20</v>
      </c>
      <c r="D597" t="s">
        <v>19</v>
      </c>
      <c r="E597" s="7">
        <v>31024.91</v>
      </c>
      <c r="F597" t="s">
        <v>20</v>
      </c>
      <c r="G597" t="s">
        <v>21</v>
      </c>
      <c r="H597" t="str">
        <f>"T1 201807318460"</f>
        <v>T1 201807318460</v>
      </c>
      <c r="I597" t="str">
        <f>"FED WITHHOLDINGS"</f>
        <v>FED WITHHOLDINGS</v>
      </c>
    </row>
    <row r="598" spans="1:9" x14ac:dyDescent="0.25">
      <c r="E598" s="7"/>
      <c r="F598" t="s">
        <v>20</v>
      </c>
      <c r="G598" t="s">
        <v>21</v>
      </c>
      <c r="H598" t="str">
        <f>"T3 201807318460"</f>
        <v>T3 201807318460</v>
      </c>
      <c r="I598" t="str">
        <f>"FICA WITHHOLDINGS"</f>
        <v>FICA WITHHOLDINGS</v>
      </c>
    </row>
    <row r="599" spans="1:9" x14ac:dyDescent="0.25">
      <c r="E599" s="7"/>
      <c r="F599" t="s">
        <v>20</v>
      </c>
      <c r="G599" t="s">
        <v>21</v>
      </c>
      <c r="H599" t="str">
        <f>"T4 201807318460"</f>
        <v>T4 201807318460</v>
      </c>
      <c r="I599" t="str">
        <f>"MEDICARE WITHHOLDINGS"</f>
        <v>MEDICARE WITHHOLDINGS</v>
      </c>
    </row>
    <row r="600" spans="1:9" x14ac:dyDescent="0.25">
      <c r="A600" s="6">
        <v>43327</v>
      </c>
      <c r="B600" t="s">
        <v>18</v>
      </c>
      <c r="C600">
        <v>21</v>
      </c>
      <c r="D600" t="s">
        <v>19</v>
      </c>
      <c r="E600" s="7">
        <v>32084.6</v>
      </c>
      <c r="F600" t="s">
        <v>20</v>
      </c>
      <c r="G600" t="s">
        <v>21</v>
      </c>
      <c r="H600" t="str">
        <f>"T1 201808158466"</f>
        <v>T1 201808158466</v>
      </c>
      <c r="I600" t="str">
        <f>"FED WITHHOLDINGS"</f>
        <v>FED WITHHOLDINGS</v>
      </c>
    </row>
    <row r="601" spans="1:9" x14ac:dyDescent="0.25">
      <c r="E601" s="7"/>
      <c r="F601" t="s">
        <v>20</v>
      </c>
      <c r="G601" t="s">
        <v>21</v>
      </c>
      <c r="H601" t="str">
        <f>"T3 201808158466"</f>
        <v>T3 201808158466</v>
      </c>
      <c r="I601" t="str">
        <f>"FICA WITHHOLDINGS"</f>
        <v>FICA WITHHOLDINGS</v>
      </c>
    </row>
    <row r="602" spans="1:9" x14ac:dyDescent="0.25">
      <c r="E602" s="7"/>
      <c r="F602" t="s">
        <v>20</v>
      </c>
      <c r="G602" t="s">
        <v>21</v>
      </c>
      <c r="H602" t="str">
        <f>"T4 201808158466"</f>
        <v>T4 201808158466</v>
      </c>
      <c r="I602" t="str">
        <f>"MEDICARE WITHHOLDINGS"</f>
        <v>MEDICARE WITHHOLDINGS</v>
      </c>
    </row>
    <row r="603" spans="1:9" x14ac:dyDescent="0.25">
      <c r="A603" s="6">
        <v>43341</v>
      </c>
      <c r="B603" t="s">
        <v>18</v>
      </c>
      <c r="C603">
        <v>22</v>
      </c>
      <c r="D603" t="s">
        <v>19</v>
      </c>
      <c r="E603" s="7">
        <v>30728.92</v>
      </c>
      <c r="F603" t="s">
        <v>20</v>
      </c>
      <c r="G603" t="s">
        <v>21</v>
      </c>
      <c r="H603" t="str">
        <f>"T1 201808298477"</f>
        <v>T1 201808298477</v>
      </c>
      <c r="I603" t="str">
        <f>"FED WITHHOLDINGS"</f>
        <v>FED WITHHOLDINGS</v>
      </c>
    </row>
    <row r="604" spans="1:9" x14ac:dyDescent="0.25">
      <c r="E604" s="7"/>
      <c r="F604" t="s">
        <v>20</v>
      </c>
      <c r="G604" t="s">
        <v>21</v>
      </c>
      <c r="H604" t="str">
        <f>"T3 201808298477"</f>
        <v>T3 201808298477</v>
      </c>
      <c r="I604" t="str">
        <f>"FICA WITHHOLDINGS"</f>
        <v>FICA WITHHOLDINGS</v>
      </c>
    </row>
    <row r="605" spans="1:9" x14ac:dyDescent="0.25">
      <c r="E605" s="7"/>
      <c r="F605" t="s">
        <v>20</v>
      </c>
      <c r="G605" t="s">
        <v>21</v>
      </c>
      <c r="H605" t="str">
        <f>"T4 201808298477"</f>
        <v>T4 201808298477</v>
      </c>
      <c r="I605" t="str">
        <f>"MEDICARE WITHHOLDINGS"</f>
        <v>MEDICARE WITHHOLDINGS</v>
      </c>
    </row>
    <row r="606" spans="1:9" x14ac:dyDescent="0.25">
      <c r="A606" s="6">
        <v>43355</v>
      </c>
      <c r="B606" t="s">
        <v>18</v>
      </c>
      <c r="C606">
        <v>23</v>
      </c>
      <c r="D606" t="s">
        <v>19</v>
      </c>
      <c r="E606" s="7">
        <v>30321.06</v>
      </c>
      <c r="F606" t="s">
        <v>20</v>
      </c>
      <c r="G606" t="s">
        <v>21</v>
      </c>
      <c r="H606" t="str">
        <f>"T1 201809128485"</f>
        <v>T1 201809128485</v>
      </c>
      <c r="I606" t="str">
        <f>"FED WITHHOLDINGS"</f>
        <v>FED WITHHOLDINGS</v>
      </c>
    </row>
    <row r="607" spans="1:9" x14ac:dyDescent="0.25">
      <c r="E607" s="7"/>
      <c r="F607" t="s">
        <v>20</v>
      </c>
      <c r="G607" t="s">
        <v>21</v>
      </c>
      <c r="H607" t="str">
        <f>"T3 201809128485"</f>
        <v>T3 201809128485</v>
      </c>
      <c r="I607" t="str">
        <f>"FICA WITHHOLDINGS"</f>
        <v>FICA WITHHOLDINGS</v>
      </c>
    </row>
    <row r="608" spans="1:9" x14ac:dyDescent="0.25">
      <c r="E608" s="7"/>
      <c r="F608" t="s">
        <v>20</v>
      </c>
      <c r="G608" t="s">
        <v>21</v>
      </c>
      <c r="H608" t="str">
        <f>"T4 201809128485"</f>
        <v>T4 201809128485</v>
      </c>
      <c r="I608" t="str">
        <f>"MEDICARE WITHHOLDINGS"</f>
        <v>MEDICARE WITHHOLDINGS</v>
      </c>
    </row>
    <row r="609" spans="1:9" x14ac:dyDescent="0.25">
      <c r="A609" s="6">
        <v>43369</v>
      </c>
      <c r="B609" t="s">
        <v>18</v>
      </c>
      <c r="C609">
        <v>24</v>
      </c>
      <c r="D609" t="s">
        <v>19</v>
      </c>
      <c r="E609" s="7">
        <v>30138.2</v>
      </c>
      <c r="F609" t="s">
        <v>20</v>
      </c>
      <c r="G609" t="s">
        <v>21</v>
      </c>
      <c r="H609" t="str">
        <f>"T1 201809268491"</f>
        <v>T1 201809268491</v>
      </c>
      <c r="I609" t="str">
        <f>"FED WITHHOLDINGS"</f>
        <v>FED WITHHOLDINGS</v>
      </c>
    </row>
    <row r="610" spans="1:9" x14ac:dyDescent="0.25">
      <c r="E610" s="7"/>
      <c r="F610" t="s">
        <v>20</v>
      </c>
      <c r="G610" t="s">
        <v>21</v>
      </c>
      <c r="H610" t="str">
        <f>"T3 201809268491"</f>
        <v>T3 201809268491</v>
      </c>
      <c r="I610" t="str">
        <f>"FICA WITHHOLDINGS"</f>
        <v>FICA WITHHOLDINGS</v>
      </c>
    </row>
    <row r="611" spans="1:9" x14ac:dyDescent="0.25">
      <c r="E611" s="7"/>
      <c r="F611" t="s">
        <v>20</v>
      </c>
      <c r="G611" t="s">
        <v>21</v>
      </c>
      <c r="H611" t="str">
        <f>"T4 201809268491"</f>
        <v>T4 201809268491</v>
      </c>
      <c r="I611" t="str">
        <f>"MEDICARE WITHHOLDINGS"</f>
        <v>MEDICARE WITHHOLDINGS</v>
      </c>
    </row>
    <row r="612" spans="1:9" x14ac:dyDescent="0.25">
      <c r="A612" s="6">
        <v>43010</v>
      </c>
      <c r="B612" t="s">
        <v>26</v>
      </c>
      <c r="C612">
        <v>55859</v>
      </c>
      <c r="D612" t="s">
        <v>27</v>
      </c>
      <c r="E612" s="7">
        <v>571.9</v>
      </c>
      <c r="F612" t="s">
        <v>20</v>
      </c>
      <c r="G612" t="s">
        <v>21</v>
      </c>
      <c r="H612" t="str">
        <f>"TML 2017"</f>
        <v>TML 2017</v>
      </c>
      <c r="I612" t="str">
        <f>"RICARDO CARRASCO"</f>
        <v>RICARDO CARRASCO</v>
      </c>
    </row>
    <row r="613" spans="1:9" x14ac:dyDescent="0.25">
      <c r="A613" s="6">
        <v>43013</v>
      </c>
      <c r="B613" t="s">
        <v>26</v>
      </c>
      <c r="C613">
        <v>55860</v>
      </c>
      <c r="D613" t="s">
        <v>28</v>
      </c>
      <c r="E613" s="7">
        <v>9722.5</v>
      </c>
      <c r="F613" t="s">
        <v>20</v>
      </c>
      <c r="G613" t="s">
        <v>21</v>
      </c>
      <c r="H613" t="str">
        <f>"1888"</f>
        <v>1888</v>
      </c>
      <c r="I613" t="str">
        <f t="shared" ref="I613:I618" si="0">"THE LAW OFFICES OF LOUIS T. RO"</f>
        <v>THE LAW OFFICES OF LOUIS T. RO</v>
      </c>
    </row>
    <row r="614" spans="1:9" x14ac:dyDescent="0.25">
      <c r="E614" s="7"/>
      <c r="F614" t="s">
        <v>20</v>
      </c>
      <c r="G614" t="s">
        <v>21</v>
      </c>
      <c r="H614" t="str">
        <f>"1889"</f>
        <v>1889</v>
      </c>
      <c r="I614" t="str">
        <f t="shared" si="0"/>
        <v>THE LAW OFFICES OF LOUIS T. RO</v>
      </c>
    </row>
    <row r="615" spans="1:9" x14ac:dyDescent="0.25">
      <c r="E615" s="7"/>
      <c r="F615" t="s">
        <v>20</v>
      </c>
      <c r="G615" t="s">
        <v>21</v>
      </c>
      <c r="H615" t="str">
        <f>"1890"</f>
        <v>1890</v>
      </c>
      <c r="I615" t="str">
        <f t="shared" si="0"/>
        <v>THE LAW OFFICES OF LOUIS T. RO</v>
      </c>
    </row>
    <row r="616" spans="1:9" x14ac:dyDescent="0.25">
      <c r="E616" s="7"/>
      <c r="F616" t="s">
        <v>20</v>
      </c>
      <c r="G616" t="s">
        <v>21</v>
      </c>
      <c r="H616" t="str">
        <f>"1891"</f>
        <v>1891</v>
      </c>
      <c r="I616" t="str">
        <f t="shared" si="0"/>
        <v>THE LAW OFFICES OF LOUIS T. RO</v>
      </c>
    </row>
    <row r="617" spans="1:9" x14ac:dyDescent="0.25">
      <c r="E617" s="7"/>
      <c r="F617" t="s">
        <v>20</v>
      </c>
      <c r="G617" t="s">
        <v>21</v>
      </c>
      <c r="H617" t="str">
        <f>"1893"</f>
        <v>1893</v>
      </c>
      <c r="I617" t="str">
        <f t="shared" si="0"/>
        <v>THE LAW OFFICES OF LOUIS T. RO</v>
      </c>
    </row>
    <row r="618" spans="1:9" x14ac:dyDescent="0.25">
      <c r="E618" s="7"/>
      <c r="F618" t="s">
        <v>20</v>
      </c>
      <c r="G618" t="s">
        <v>21</v>
      </c>
      <c r="H618" t="str">
        <f>"1894"</f>
        <v>1894</v>
      </c>
      <c r="I618" t="str">
        <f t="shared" si="0"/>
        <v>THE LAW OFFICES OF LOUIS T. RO</v>
      </c>
    </row>
    <row r="619" spans="1:9" x14ac:dyDescent="0.25">
      <c r="A619" s="6">
        <v>43013</v>
      </c>
      <c r="B619" t="s">
        <v>26</v>
      </c>
      <c r="C619">
        <v>55861</v>
      </c>
      <c r="D619" t="s">
        <v>29</v>
      </c>
      <c r="E619" s="7">
        <v>9565.89</v>
      </c>
      <c r="F619" t="s">
        <v>20</v>
      </c>
      <c r="G619" t="s">
        <v>21</v>
      </c>
      <c r="H619" t="str">
        <f>"28599"</f>
        <v>28599</v>
      </c>
      <c r="I619" t="str">
        <f>"M &amp; S ENGINEERING  LLC"</f>
        <v>M &amp; S ENGINEERING  LLC</v>
      </c>
    </row>
    <row r="620" spans="1:9" x14ac:dyDescent="0.25">
      <c r="E620" s="7"/>
      <c r="F620" t="s">
        <v>20</v>
      </c>
      <c r="G620" t="s">
        <v>21</v>
      </c>
      <c r="H620" t="str">
        <f>"28822"</f>
        <v>28822</v>
      </c>
      <c r="I620" t="str">
        <f>"M &amp; S ENGINEERING  LLC"</f>
        <v>M &amp; S ENGINEERING  LLC</v>
      </c>
    </row>
    <row r="621" spans="1:9" x14ac:dyDescent="0.25">
      <c r="E621" s="7"/>
      <c r="F621" t="s">
        <v>20</v>
      </c>
      <c r="G621" t="s">
        <v>21</v>
      </c>
      <c r="H621" t="str">
        <f>"28823"</f>
        <v>28823</v>
      </c>
      <c r="I621" t="str">
        <f>"M &amp; S ENGINEERING  LLC"</f>
        <v>M &amp; S ENGINEERING  LLC</v>
      </c>
    </row>
    <row r="622" spans="1:9" x14ac:dyDescent="0.25">
      <c r="A622" s="6">
        <v>43013</v>
      </c>
      <c r="B622" t="s">
        <v>26</v>
      </c>
      <c r="C622">
        <v>55862</v>
      </c>
      <c r="D622" t="s">
        <v>30</v>
      </c>
      <c r="E622" s="7">
        <v>162</v>
      </c>
      <c r="F622" t="s">
        <v>20</v>
      </c>
      <c r="G622" t="s">
        <v>21</v>
      </c>
      <c r="H622" t="str">
        <f>"2017-15"</f>
        <v>2017-15</v>
      </c>
      <c r="I622" t="str">
        <f>"MARIA GONZALES"</f>
        <v>MARIA GONZALES</v>
      </c>
    </row>
    <row r="623" spans="1:9" x14ac:dyDescent="0.25">
      <c r="A623" s="6">
        <v>43013</v>
      </c>
      <c r="B623" t="s">
        <v>26</v>
      </c>
      <c r="C623">
        <v>55863</v>
      </c>
      <c r="D623" t="s">
        <v>31</v>
      </c>
      <c r="E623" s="7">
        <v>2365</v>
      </c>
      <c r="F623" t="s">
        <v>20</v>
      </c>
      <c r="G623" t="s">
        <v>21</v>
      </c>
      <c r="H623" t="str">
        <f>"2017169"</f>
        <v>2017169</v>
      </c>
      <c r="I623" t="str">
        <f>"THE LAW OFFICE OF TOM CALDWELL"</f>
        <v>THE LAW OFFICE OF TOM CALDWELL</v>
      </c>
    </row>
    <row r="624" spans="1:9" x14ac:dyDescent="0.25">
      <c r="A624" s="6">
        <v>43013</v>
      </c>
      <c r="B624" t="s">
        <v>26</v>
      </c>
      <c r="C624">
        <v>55864</v>
      </c>
      <c r="D624" t="s">
        <v>32</v>
      </c>
      <c r="E624" s="7">
        <v>80</v>
      </c>
      <c r="F624" t="s">
        <v>20</v>
      </c>
      <c r="G624" t="s">
        <v>21</v>
      </c>
      <c r="H624" t="str">
        <f>"9/30/17"</f>
        <v>9/30/17</v>
      </c>
      <c r="I624" t="str">
        <f>"SHARON KERRIGAN"</f>
        <v>SHARON KERRIGAN</v>
      </c>
    </row>
    <row r="625" spans="1:9" x14ac:dyDescent="0.25">
      <c r="A625" s="6">
        <v>43013</v>
      </c>
      <c r="B625" t="s">
        <v>26</v>
      </c>
      <c r="C625">
        <v>55865</v>
      </c>
      <c r="D625" t="s">
        <v>33</v>
      </c>
      <c r="E625" s="7">
        <v>80</v>
      </c>
      <c r="F625" t="s">
        <v>20</v>
      </c>
      <c r="G625" t="s">
        <v>21</v>
      </c>
      <c r="H625" t="str">
        <f>"9/30/17"</f>
        <v>9/30/17</v>
      </c>
      <c r="I625" t="str">
        <f>"DEBORAH KORCZYK"</f>
        <v>DEBORAH KORCZYK</v>
      </c>
    </row>
    <row r="626" spans="1:9" x14ac:dyDescent="0.25">
      <c r="A626" s="6">
        <v>43013</v>
      </c>
      <c r="B626" t="s">
        <v>26</v>
      </c>
      <c r="C626">
        <v>55866</v>
      </c>
      <c r="D626" t="s">
        <v>34</v>
      </c>
      <c r="E626" s="7">
        <v>365.9</v>
      </c>
      <c r="F626" t="s">
        <v>20</v>
      </c>
      <c r="G626" t="s">
        <v>21</v>
      </c>
      <c r="H626" t="str">
        <f>"9/20-9/30"</f>
        <v>9/20-9/30</v>
      </c>
      <c r="I626" t="str">
        <f>"SHIRLEY UNDERWOOD"</f>
        <v>SHIRLEY UNDERWOOD</v>
      </c>
    </row>
    <row r="627" spans="1:9" x14ac:dyDescent="0.25">
      <c r="A627" s="6">
        <v>43013</v>
      </c>
      <c r="B627" t="s">
        <v>26</v>
      </c>
      <c r="C627">
        <v>55867</v>
      </c>
      <c r="D627" t="s">
        <v>28</v>
      </c>
      <c r="E627" s="7">
        <v>2000</v>
      </c>
      <c r="F627" t="s">
        <v>20</v>
      </c>
      <c r="G627" t="s">
        <v>21</v>
      </c>
      <c r="H627" t="str">
        <f>"1892"</f>
        <v>1892</v>
      </c>
      <c r="I627" t="str">
        <f>"THE LAW OFFICES OF LOUIS T. RO"</f>
        <v>THE LAW OFFICES OF LOUIS T. RO</v>
      </c>
    </row>
    <row r="628" spans="1:9" x14ac:dyDescent="0.25">
      <c r="A628" s="6">
        <v>43013</v>
      </c>
      <c r="B628" t="s">
        <v>26</v>
      </c>
      <c r="C628">
        <v>55868</v>
      </c>
      <c r="D628" t="s">
        <v>35</v>
      </c>
      <c r="E628" s="7">
        <v>200</v>
      </c>
      <c r="F628" t="s">
        <v>20</v>
      </c>
      <c r="G628" t="s">
        <v>21</v>
      </c>
      <c r="H628" t="str">
        <f>"102017-5/2016"</f>
        <v>102017-5/2016</v>
      </c>
      <c r="I628" t="str">
        <f>"JANITORIAL SERVICES"</f>
        <v>JANITORIAL SERVICES</v>
      </c>
    </row>
    <row r="629" spans="1:9" x14ac:dyDescent="0.25">
      <c r="A629" s="6">
        <v>43013</v>
      </c>
      <c r="B629" t="s">
        <v>26</v>
      </c>
      <c r="C629">
        <v>55869</v>
      </c>
      <c r="D629" t="s">
        <v>36</v>
      </c>
      <c r="E629" s="7">
        <v>75</v>
      </c>
      <c r="F629" t="s">
        <v>20</v>
      </c>
      <c r="G629" t="s">
        <v>21</v>
      </c>
      <c r="H629" t="str">
        <f>"102017-COUNCIL"</f>
        <v>102017-COUNCIL</v>
      </c>
      <c r="I629" t="str">
        <f>""</f>
        <v/>
      </c>
    </row>
    <row r="630" spans="1:9" x14ac:dyDescent="0.25">
      <c r="A630" s="6">
        <v>43013</v>
      </c>
      <c r="B630" t="s">
        <v>26</v>
      </c>
      <c r="C630">
        <v>55870</v>
      </c>
      <c r="D630" t="s">
        <v>37</v>
      </c>
      <c r="E630" s="7">
        <v>75</v>
      </c>
      <c r="F630" t="s">
        <v>20</v>
      </c>
      <c r="G630" t="s">
        <v>21</v>
      </c>
      <c r="H630" t="str">
        <f>"102017-COUNCIL"</f>
        <v>102017-COUNCIL</v>
      </c>
      <c r="I630" t="str">
        <f>""</f>
        <v/>
      </c>
    </row>
    <row r="631" spans="1:9" x14ac:dyDescent="0.25">
      <c r="A631" s="6">
        <v>43013</v>
      </c>
      <c r="B631" t="s">
        <v>26</v>
      </c>
      <c r="C631">
        <v>55871</v>
      </c>
      <c r="D631" t="s">
        <v>38</v>
      </c>
      <c r="E631" s="7">
        <v>100</v>
      </c>
      <c r="F631" t="s">
        <v>20</v>
      </c>
      <c r="G631" t="s">
        <v>21</v>
      </c>
      <c r="H631" t="str">
        <f>"102017-MAYOR"</f>
        <v>102017-MAYOR</v>
      </c>
      <c r="I631" t="str">
        <f>""</f>
        <v/>
      </c>
    </row>
    <row r="632" spans="1:9" x14ac:dyDescent="0.25">
      <c r="A632" s="6">
        <v>43013</v>
      </c>
      <c r="B632" t="s">
        <v>26</v>
      </c>
      <c r="C632">
        <v>55872</v>
      </c>
      <c r="D632" t="s">
        <v>39</v>
      </c>
      <c r="E632" s="7">
        <v>75</v>
      </c>
      <c r="F632" t="s">
        <v>20</v>
      </c>
      <c r="G632" t="s">
        <v>21</v>
      </c>
      <c r="H632" t="str">
        <f>"102017-COUNCIL"</f>
        <v>102017-COUNCIL</v>
      </c>
      <c r="I632" t="str">
        <f>""</f>
        <v/>
      </c>
    </row>
    <row r="633" spans="1:9" x14ac:dyDescent="0.25">
      <c r="A633" s="6">
        <v>43013</v>
      </c>
      <c r="B633" t="s">
        <v>26</v>
      </c>
      <c r="C633">
        <v>55873</v>
      </c>
      <c r="D633" t="s">
        <v>40</v>
      </c>
      <c r="E633" s="7">
        <v>75</v>
      </c>
      <c r="F633" t="s">
        <v>20</v>
      </c>
      <c r="G633" t="s">
        <v>21</v>
      </c>
      <c r="H633" t="str">
        <f>"102017-COUNCIL"</f>
        <v>102017-COUNCIL</v>
      </c>
      <c r="I633" t="str">
        <f>""</f>
        <v/>
      </c>
    </row>
    <row r="634" spans="1:9" x14ac:dyDescent="0.25">
      <c r="A634" s="6">
        <v>43013</v>
      </c>
      <c r="B634" t="s">
        <v>26</v>
      </c>
      <c r="C634">
        <v>55874</v>
      </c>
      <c r="D634" t="s">
        <v>41</v>
      </c>
      <c r="E634" s="7">
        <v>75</v>
      </c>
      <c r="F634" t="s">
        <v>20</v>
      </c>
      <c r="G634" t="s">
        <v>21</v>
      </c>
      <c r="H634" t="str">
        <f>"102017-COUNCIL"</f>
        <v>102017-COUNCIL</v>
      </c>
      <c r="I634" t="str">
        <f>""</f>
        <v/>
      </c>
    </row>
    <row r="635" spans="1:9" x14ac:dyDescent="0.25">
      <c r="A635" s="6">
        <v>43017</v>
      </c>
      <c r="B635" t="s">
        <v>26</v>
      </c>
      <c r="C635">
        <v>55875</v>
      </c>
      <c r="D635" t="s">
        <v>42</v>
      </c>
      <c r="E635" s="7">
        <v>75.19</v>
      </c>
      <c r="F635" t="s">
        <v>20</v>
      </c>
      <c r="G635" t="s">
        <v>21</v>
      </c>
      <c r="H635" t="str">
        <f>"TRNG 10/18/17"</f>
        <v>TRNG 10/18/17</v>
      </c>
      <c r="I635" t="str">
        <f>"MARGARET TEJADA"</f>
        <v>MARGARET TEJADA</v>
      </c>
    </row>
    <row r="636" spans="1:9" x14ac:dyDescent="0.25">
      <c r="A636" s="6">
        <v>43017</v>
      </c>
      <c r="B636" t="s">
        <v>26</v>
      </c>
      <c r="C636">
        <v>55876</v>
      </c>
      <c r="D636" t="s">
        <v>43</v>
      </c>
      <c r="E636" s="7">
        <v>171.3</v>
      </c>
      <c r="F636" t="s">
        <v>20</v>
      </c>
      <c r="G636" t="s">
        <v>21</v>
      </c>
      <c r="H636" t="str">
        <f>"TRNG 10/19-20"</f>
        <v>TRNG 10/19-20</v>
      </c>
      <c r="I636" t="str">
        <f>"ANDREA MARTINEZ"</f>
        <v>ANDREA MARTINEZ</v>
      </c>
    </row>
    <row r="637" spans="1:9" x14ac:dyDescent="0.25">
      <c r="A637" s="6">
        <v>43017</v>
      </c>
      <c r="B637" t="s">
        <v>26</v>
      </c>
      <c r="C637">
        <v>55877</v>
      </c>
      <c r="D637" t="s">
        <v>44</v>
      </c>
      <c r="E637" s="7">
        <v>150.6</v>
      </c>
      <c r="F637" t="s">
        <v>20</v>
      </c>
      <c r="G637" t="s">
        <v>21</v>
      </c>
      <c r="H637" t="str">
        <f>"TRNG 10/17-18"</f>
        <v>TRNG 10/17-18</v>
      </c>
      <c r="I637" t="str">
        <f>"MONICA VELIZ"</f>
        <v>MONICA VELIZ</v>
      </c>
    </row>
    <row r="638" spans="1:9" x14ac:dyDescent="0.25">
      <c r="A638" s="6">
        <v>43017</v>
      </c>
      <c r="B638" t="s">
        <v>26</v>
      </c>
      <c r="C638">
        <v>55878</v>
      </c>
      <c r="D638" t="s">
        <v>45</v>
      </c>
      <c r="E638" s="7">
        <v>120.7</v>
      </c>
      <c r="F638" t="s">
        <v>20</v>
      </c>
      <c r="G638" t="s">
        <v>21</v>
      </c>
      <c r="H638" t="str">
        <f>"TRNG 10/16-17"</f>
        <v>TRNG 10/16-17</v>
      </c>
      <c r="I638" t="str">
        <f>"CONNIE MORENO"</f>
        <v>CONNIE MORENO</v>
      </c>
    </row>
    <row r="639" spans="1:9" x14ac:dyDescent="0.25">
      <c r="A639" s="6">
        <v>43017</v>
      </c>
      <c r="B639" t="s">
        <v>26</v>
      </c>
      <c r="C639">
        <v>55879</v>
      </c>
      <c r="D639" t="s">
        <v>46</v>
      </c>
      <c r="E639" s="7">
        <v>2700</v>
      </c>
      <c r="F639" t="s">
        <v>20</v>
      </c>
      <c r="G639" t="s">
        <v>21</v>
      </c>
      <c r="H639" t="str">
        <f>"9023"</f>
        <v>9023</v>
      </c>
      <c r="I639" t="str">
        <f>"HAYES ENGINEERING  INC"</f>
        <v>HAYES ENGINEERING  INC</v>
      </c>
    </row>
    <row r="640" spans="1:9" x14ac:dyDescent="0.25">
      <c r="A640" s="6">
        <v>43017</v>
      </c>
      <c r="B640" t="s">
        <v>26</v>
      </c>
      <c r="C640">
        <v>55880</v>
      </c>
      <c r="D640" t="s">
        <v>47</v>
      </c>
      <c r="E640" s="7">
        <v>206453.7</v>
      </c>
      <c r="F640" t="s">
        <v>20</v>
      </c>
      <c r="G640" t="s">
        <v>21</v>
      </c>
      <c r="H640" t="str">
        <f>"COFAP9282017"</f>
        <v>COFAP9282017</v>
      </c>
      <c r="I640" t="str">
        <f>"HEARTLAND PARK &amp; RECREATION  L"</f>
        <v>HEARTLAND PARK &amp; RECREATION  L</v>
      </c>
    </row>
    <row r="641" spans="1:9" x14ac:dyDescent="0.25">
      <c r="A641" s="6">
        <v>43017</v>
      </c>
      <c r="B641" t="s">
        <v>26</v>
      </c>
      <c r="C641">
        <v>55881</v>
      </c>
      <c r="D641" t="s">
        <v>48</v>
      </c>
      <c r="E641" s="7">
        <v>1390</v>
      </c>
      <c r="F641" t="s">
        <v>20</v>
      </c>
      <c r="G641" t="s">
        <v>21</v>
      </c>
      <c r="H641" t="str">
        <f>"T1086"</f>
        <v>T1086</v>
      </c>
      <c r="I641" t="str">
        <f>"RANDY HOLLAR  LLC"</f>
        <v>RANDY HOLLAR  LLC</v>
      </c>
    </row>
    <row r="642" spans="1:9" x14ac:dyDescent="0.25">
      <c r="E642" s="7"/>
      <c r="F642" t="s">
        <v>20</v>
      </c>
      <c r="G642" t="s">
        <v>21</v>
      </c>
      <c r="H642" t="str">
        <f>"T1098"</f>
        <v>T1098</v>
      </c>
      <c r="I642" t="str">
        <f>"RANDY HOLLAR  LLC"</f>
        <v>RANDY HOLLAR  LLC</v>
      </c>
    </row>
    <row r="643" spans="1:9" x14ac:dyDescent="0.25">
      <c r="A643" s="6">
        <v>43017</v>
      </c>
      <c r="B643" t="s">
        <v>26</v>
      </c>
      <c r="C643">
        <v>55882</v>
      </c>
      <c r="D643" t="s">
        <v>49</v>
      </c>
      <c r="E643" s="7">
        <v>150.6</v>
      </c>
      <c r="F643" t="s">
        <v>20</v>
      </c>
      <c r="G643" t="s">
        <v>21</v>
      </c>
      <c r="H643" t="str">
        <f>"TRNG 10/16-17"</f>
        <v>TRNG 10/16-17</v>
      </c>
      <c r="I643" t="str">
        <f>"DORA LOPEZ"</f>
        <v>DORA LOPEZ</v>
      </c>
    </row>
    <row r="644" spans="1:9" x14ac:dyDescent="0.25">
      <c r="A644" s="6">
        <v>43017</v>
      </c>
      <c r="B644" t="s">
        <v>26</v>
      </c>
      <c r="C644">
        <v>55883</v>
      </c>
      <c r="D644" t="s">
        <v>50</v>
      </c>
      <c r="E644" s="7">
        <v>375.93</v>
      </c>
      <c r="F644" t="s">
        <v>20</v>
      </c>
      <c r="G644" t="s">
        <v>21</v>
      </c>
      <c r="H644" t="str">
        <f>"TRNG 10/16-17"</f>
        <v>TRNG 10/16-17</v>
      </c>
      <c r="I644" t="str">
        <f>"CHRISTINA CANTU"</f>
        <v>CHRISTINA CANTU</v>
      </c>
    </row>
    <row r="645" spans="1:9" x14ac:dyDescent="0.25">
      <c r="A645" s="6">
        <v>43018</v>
      </c>
      <c r="B645" t="s">
        <v>26</v>
      </c>
      <c r="C645">
        <v>55892</v>
      </c>
      <c r="D645" t="s">
        <v>51</v>
      </c>
      <c r="E645" s="7">
        <v>327.84</v>
      </c>
      <c r="F645" t="s">
        <v>20</v>
      </c>
      <c r="G645" t="s">
        <v>21</v>
      </c>
      <c r="H645" t="str">
        <f>"CLE201710108129"</f>
        <v>CLE201710108129</v>
      </c>
      <c r="I645" t="str">
        <f>"CLEAT ONLY DUES"</f>
        <v>CLEAT ONLY DUES</v>
      </c>
    </row>
    <row r="646" spans="1:9" x14ac:dyDescent="0.25">
      <c r="E646" s="7"/>
      <c r="F646" t="s">
        <v>20</v>
      </c>
      <c r="G646" t="s">
        <v>21</v>
      </c>
      <c r="H646" t="str">
        <f>"PDD201710108129"</f>
        <v>PDD201710108129</v>
      </c>
      <c r="I646" t="str">
        <f>"POLICE OFFICERS ASSOC DUES"</f>
        <v>POLICE OFFICERS ASSOC DUES</v>
      </c>
    </row>
    <row r="647" spans="1:9" x14ac:dyDescent="0.25">
      <c r="A647" s="6">
        <v>43018</v>
      </c>
      <c r="B647" t="s">
        <v>26</v>
      </c>
      <c r="C647">
        <v>55893</v>
      </c>
      <c r="D647" t="s">
        <v>52</v>
      </c>
      <c r="E647" s="7">
        <v>1745.38</v>
      </c>
      <c r="F647" t="s">
        <v>20</v>
      </c>
      <c r="G647" t="s">
        <v>21</v>
      </c>
      <c r="H647" t="str">
        <f>"CJM201710108129"</f>
        <v>CJM201710108129</v>
      </c>
      <c r="I647" t="str">
        <f>"1248728810120679CV LISA M FISH"</f>
        <v>1248728810120679CV LISA M FISH</v>
      </c>
    </row>
    <row r="648" spans="1:9" x14ac:dyDescent="0.25">
      <c r="E648" s="7"/>
      <c r="F648" t="s">
        <v>20</v>
      </c>
      <c r="G648" t="s">
        <v>21</v>
      </c>
      <c r="H648" t="str">
        <f>"CPS201710108129"</f>
        <v>CPS201710108129</v>
      </c>
      <c r="I648" t="str">
        <f>"G MENDOZA 00123012032010EM5054"</f>
        <v>G MENDOZA 00123012032010EM5054</v>
      </c>
    </row>
    <row r="649" spans="1:9" x14ac:dyDescent="0.25">
      <c r="E649" s="7"/>
      <c r="F649" t="s">
        <v>20</v>
      </c>
      <c r="G649" t="s">
        <v>21</v>
      </c>
      <c r="H649" t="str">
        <f>"CS 201710108129"</f>
        <v>CS 201710108129</v>
      </c>
      <c r="I649" t="str">
        <f>"CAUSE#98EM504113 PEGGY RIVAS"</f>
        <v>CAUSE#98EM504113 PEGGY RIVAS</v>
      </c>
    </row>
    <row r="650" spans="1:9" x14ac:dyDescent="0.25">
      <c r="E650" s="7"/>
      <c r="F650" t="s">
        <v>20</v>
      </c>
      <c r="G650" t="s">
        <v>21</v>
      </c>
      <c r="H650" t="str">
        <f>"CS1201710108129"</f>
        <v>CS1201710108129</v>
      </c>
      <c r="I650" t="str">
        <f>"CAUSE# 10008CVW DEBRA ESQUEDA"</f>
        <v>CAUSE# 10008CVW DEBRA ESQUEDA</v>
      </c>
    </row>
    <row r="651" spans="1:9" x14ac:dyDescent="0.25">
      <c r="E651" s="7"/>
      <c r="F651" t="s">
        <v>20</v>
      </c>
      <c r="G651" t="s">
        <v>21</v>
      </c>
      <c r="H651" t="str">
        <f>"CSJ201710108129"</f>
        <v>CSJ201710108129</v>
      </c>
      <c r="I651" t="str">
        <f>"CAUSE# 0010185272 MARIANN GUTI"</f>
        <v>CAUSE# 0010185272 MARIANN GUTI</v>
      </c>
    </row>
    <row r="652" spans="1:9" x14ac:dyDescent="0.25">
      <c r="E652" s="7"/>
      <c r="F652" t="s">
        <v>20</v>
      </c>
      <c r="G652" t="s">
        <v>21</v>
      </c>
      <c r="H652" t="str">
        <f>"CST201710108129"</f>
        <v>CST201710108129</v>
      </c>
      <c r="I652" t="str">
        <f>"CAUSE #0009418917 SONIA PEREZ"</f>
        <v>CAUSE #0009418917 SONIA PEREZ</v>
      </c>
    </row>
    <row r="653" spans="1:9" x14ac:dyDescent="0.25">
      <c r="A653" s="6">
        <v>43018</v>
      </c>
      <c r="B653" t="s">
        <v>26</v>
      </c>
      <c r="C653">
        <v>55894</v>
      </c>
      <c r="D653" t="s">
        <v>53</v>
      </c>
      <c r="E653" s="7">
        <v>99.1</v>
      </c>
      <c r="F653" t="s">
        <v>20</v>
      </c>
      <c r="G653" t="s">
        <v>21</v>
      </c>
      <c r="H653" t="str">
        <f>"MCO201710108129"</f>
        <v>MCO201710108129</v>
      </c>
      <c r="I653" t="str">
        <f>"MONICA CORDOVA"</f>
        <v>MONICA CORDOVA</v>
      </c>
    </row>
    <row r="654" spans="1:9" x14ac:dyDescent="0.25">
      <c r="A654" s="6">
        <v>43018</v>
      </c>
      <c r="B654" t="s">
        <v>26</v>
      </c>
      <c r="C654">
        <v>55895</v>
      </c>
      <c r="D654" t="s">
        <v>54</v>
      </c>
      <c r="E654" s="7">
        <v>696.63</v>
      </c>
      <c r="F654" t="s">
        <v>20</v>
      </c>
      <c r="G654" t="s">
        <v>21</v>
      </c>
      <c r="H654" t="str">
        <f>"457201710108129"</f>
        <v>457201710108129</v>
      </c>
      <c r="I654" t="str">
        <f>"CASE # 180-60751 457B DEDUCT"</f>
        <v>CASE # 180-60751 457B DEDUCT</v>
      </c>
    </row>
    <row r="655" spans="1:9" x14ac:dyDescent="0.25">
      <c r="A655" s="6">
        <v>43018</v>
      </c>
      <c r="B655" t="s">
        <v>26</v>
      </c>
      <c r="C655">
        <v>55896</v>
      </c>
      <c r="D655" t="s">
        <v>55</v>
      </c>
      <c r="E655" s="7">
        <v>12250</v>
      </c>
      <c r="F655" t="s">
        <v>20</v>
      </c>
      <c r="G655" t="s">
        <v>21</v>
      </c>
      <c r="H655" t="str">
        <f>"1062"</f>
        <v>1062</v>
      </c>
      <c r="I655" t="str">
        <f>"LEVEL 4 CONSULTING"</f>
        <v>LEVEL 4 CONSULTING</v>
      </c>
    </row>
    <row r="656" spans="1:9" x14ac:dyDescent="0.25">
      <c r="A656" s="6">
        <v>43018</v>
      </c>
      <c r="B656" t="s">
        <v>26</v>
      </c>
      <c r="C656">
        <v>55897</v>
      </c>
      <c r="D656" t="s">
        <v>28</v>
      </c>
      <c r="E656" s="7">
        <v>720</v>
      </c>
      <c r="F656" t="s">
        <v>20</v>
      </c>
      <c r="G656" t="s">
        <v>21</v>
      </c>
      <c r="H656" t="str">
        <f>"1895"</f>
        <v>1895</v>
      </c>
      <c r="I656" t="str">
        <f>"THE LAW OFFICES OF LOUIS T. RO"</f>
        <v>THE LAW OFFICES OF LOUIS T. RO</v>
      </c>
    </row>
    <row r="657" spans="1:9" x14ac:dyDescent="0.25">
      <c r="E657" s="7"/>
      <c r="F657" t="s">
        <v>20</v>
      </c>
      <c r="G657" t="s">
        <v>21</v>
      </c>
      <c r="H657" t="str">
        <f>"1896"</f>
        <v>1896</v>
      </c>
      <c r="I657" t="str">
        <f>"THE LAW OFFICES OF LOUIS T. RO"</f>
        <v>THE LAW OFFICES OF LOUIS T. RO</v>
      </c>
    </row>
    <row r="658" spans="1:9" x14ac:dyDescent="0.25">
      <c r="A658" s="6">
        <v>43028</v>
      </c>
      <c r="B658" t="s">
        <v>26</v>
      </c>
      <c r="C658">
        <v>55898</v>
      </c>
      <c r="D658" t="s">
        <v>56</v>
      </c>
      <c r="E658" s="7">
        <v>50</v>
      </c>
      <c r="F658" t="s">
        <v>20</v>
      </c>
      <c r="G658" t="s">
        <v>21</v>
      </c>
      <c r="H658" t="str">
        <f>"161907"</f>
        <v>161907</v>
      </c>
      <c r="I658" t="str">
        <f>"GERALD LUBIANSKI ENTERPRISES"</f>
        <v>GERALD LUBIANSKI ENTERPRISES</v>
      </c>
    </row>
    <row r="659" spans="1:9" x14ac:dyDescent="0.25">
      <c r="E659" s="7"/>
      <c r="F659" t="s">
        <v>20</v>
      </c>
      <c r="G659" t="s">
        <v>21</v>
      </c>
      <c r="H659" t="str">
        <f>"161987"</f>
        <v>161987</v>
      </c>
      <c r="I659" t="str">
        <f>"GERALD LUBIANSKI ENTERPRISES"</f>
        <v>GERALD LUBIANSKI ENTERPRISES</v>
      </c>
    </row>
    <row r="660" spans="1:9" x14ac:dyDescent="0.25">
      <c r="E660" s="7"/>
      <c r="F660" t="s">
        <v>20</v>
      </c>
      <c r="G660" t="s">
        <v>21</v>
      </c>
      <c r="H660" t="str">
        <f>"161995"</f>
        <v>161995</v>
      </c>
      <c r="I660" t="str">
        <f>"GERALD LUBIANSKI ENTERPRISES"</f>
        <v>GERALD LUBIANSKI ENTERPRISES</v>
      </c>
    </row>
    <row r="661" spans="1:9" x14ac:dyDescent="0.25">
      <c r="E661" s="7"/>
      <c r="F661" t="s">
        <v>20</v>
      </c>
      <c r="G661" t="s">
        <v>21</v>
      </c>
      <c r="H661" t="str">
        <f>"162028"</f>
        <v>162028</v>
      </c>
      <c r="I661" t="str">
        <f>"GERALD LUBIANSKI ENTERPRISES"</f>
        <v>GERALD LUBIANSKI ENTERPRISES</v>
      </c>
    </row>
    <row r="662" spans="1:9" x14ac:dyDescent="0.25">
      <c r="E662" s="7"/>
      <c r="F662" t="s">
        <v>20</v>
      </c>
      <c r="G662" t="s">
        <v>21</v>
      </c>
      <c r="H662" t="str">
        <f>"162074"</f>
        <v>162074</v>
      </c>
      <c r="I662" t="str">
        <f>"GERALD LUBIANSKI ENTERPRISES"</f>
        <v>GERALD LUBIANSKI ENTERPRISES</v>
      </c>
    </row>
    <row r="663" spans="1:9" x14ac:dyDescent="0.25">
      <c r="A663" s="6">
        <v>43028</v>
      </c>
      <c r="B663" t="s">
        <v>26</v>
      </c>
      <c r="C663">
        <v>55899</v>
      </c>
      <c r="D663" t="s">
        <v>57</v>
      </c>
      <c r="E663" s="7">
        <v>9470.4599999999991</v>
      </c>
      <c r="F663" t="s">
        <v>20</v>
      </c>
      <c r="G663" t="s">
        <v>21</v>
      </c>
      <c r="H663" t="str">
        <f>"201710188131"</f>
        <v>201710188131</v>
      </c>
      <c r="I663" t="str">
        <f>"F.E.L.P.S."</f>
        <v>F.E.L.P.S.</v>
      </c>
    </row>
    <row r="664" spans="1:9" x14ac:dyDescent="0.25">
      <c r="A664" s="6">
        <v>43028</v>
      </c>
      <c r="B664" t="s">
        <v>26</v>
      </c>
      <c r="C664">
        <v>55900</v>
      </c>
      <c r="D664" t="s">
        <v>58</v>
      </c>
      <c r="E664" s="7">
        <v>540</v>
      </c>
      <c r="F664" t="s">
        <v>20</v>
      </c>
      <c r="G664" t="s">
        <v>21</v>
      </c>
      <c r="H664" t="str">
        <f>"508429"</f>
        <v>508429</v>
      </c>
      <c r="I664" t="str">
        <f t="shared" ref="I664:I674" si="1">"DEASON ANIMAL HOSPITAL"</f>
        <v>DEASON ANIMAL HOSPITAL</v>
      </c>
    </row>
    <row r="665" spans="1:9" x14ac:dyDescent="0.25">
      <c r="E665" s="7"/>
      <c r="F665" t="s">
        <v>20</v>
      </c>
      <c r="G665" t="s">
        <v>21</v>
      </c>
      <c r="H665" t="str">
        <f>"508701"</f>
        <v>508701</v>
      </c>
      <c r="I665" t="str">
        <f t="shared" si="1"/>
        <v>DEASON ANIMAL HOSPITAL</v>
      </c>
    </row>
    <row r="666" spans="1:9" x14ac:dyDescent="0.25">
      <c r="E666" s="7"/>
      <c r="F666" t="s">
        <v>20</v>
      </c>
      <c r="G666" t="s">
        <v>21</v>
      </c>
      <c r="H666" t="str">
        <f>"508789"</f>
        <v>508789</v>
      </c>
      <c r="I666" t="str">
        <f t="shared" si="1"/>
        <v>DEASON ANIMAL HOSPITAL</v>
      </c>
    </row>
    <row r="667" spans="1:9" x14ac:dyDescent="0.25">
      <c r="E667" s="7"/>
      <c r="F667" t="s">
        <v>20</v>
      </c>
      <c r="G667" t="s">
        <v>21</v>
      </c>
      <c r="H667" t="str">
        <f>"508797"</f>
        <v>508797</v>
      </c>
      <c r="I667" t="str">
        <f t="shared" si="1"/>
        <v>DEASON ANIMAL HOSPITAL</v>
      </c>
    </row>
    <row r="668" spans="1:9" x14ac:dyDescent="0.25">
      <c r="E668" s="7"/>
      <c r="F668" t="s">
        <v>20</v>
      </c>
      <c r="G668" t="s">
        <v>21</v>
      </c>
      <c r="H668" t="str">
        <f>"508813"</f>
        <v>508813</v>
      </c>
      <c r="I668" t="str">
        <f t="shared" si="1"/>
        <v>DEASON ANIMAL HOSPITAL</v>
      </c>
    </row>
    <row r="669" spans="1:9" x14ac:dyDescent="0.25">
      <c r="E669" s="7"/>
      <c r="F669" t="s">
        <v>20</v>
      </c>
      <c r="G669" t="s">
        <v>21</v>
      </c>
      <c r="H669" t="str">
        <f>"508821"</f>
        <v>508821</v>
      </c>
      <c r="I669" t="str">
        <f t="shared" si="1"/>
        <v>DEASON ANIMAL HOSPITAL</v>
      </c>
    </row>
    <row r="670" spans="1:9" x14ac:dyDescent="0.25">
      <c r="E670" s="7"/>
      <c r="F670" t="s">
        <v>20</v>
      </c>
      <c r="G670" t="s">
        <v>21</v>
      </c>
      <c r="H670" t="str">
        <f>"509158"</f>
        <v>509158</v>
      </c>
      <c r="I670" t="str">
        <f t="shared" si="1"/>
        <v>DEASON ANIMAL HOSPITAL</v>
      </c>
    </row>
    <row r="671" spans="1:9" x14ac:dyDescent="0.25">
      <c r="E671" s="7"/>
      <c r="F671" t="s">
        <v>20</v>
      </c>
      <c r="G671" t="s">
        <v>21</v>
      </c>
      <c r="H671" t="str">
        <f>"509262"</f>
        <v>509262</v>
      </c>
      <c r="I671" t="str">
        <f t="shared" si="1"/>
        <v>DEASON ANIMAL HOSPITAL</v>
      </c>
    </row>
    <row r="672" spans="1:9" x14ac:dyDescent="0.25">
      <c r="E672" s="7"/>
      <c r="F672" t="s">
        <v>20</v>
      </c>
      <c r="G672" t="s">
        <v>21</v>
      </c>
      <c r="H672" t="str">
        <f>"509411"</f>
        <v>509411</v>
      </c>
      <c r="I672" t="str">
        <f t="shared" si="1"/>
        <v>DEASON ANIMAL HOSPITAL</v>
      </c>
    </row>
    <row r="673" spans="1:9" x14ac:dyDescent="0.25">
      <c r="E673" s="7"/>
      <c r="F673" t="s">
        <v>20</v>
      </c>
      <c r="G673" t="s">
        <v>21</v>
      </c>
      <c r="H673" t="str">
        <f>"509507"</f>
        <v>509507</v>
      </c>
      <c r="I673" t="str">
        <f t="shared" si="1"/>
        <v>DEASON ANIMAL HOSPITAL</v>
      </c>
    </row>
    <row r="674" spans="1:9" x14ac:dyDescent="0.25">
      <c r="E674" s="7"/>
      <c r="F674" t="s">
        <v>20</v>
      </c>
      <c r="G674" t="s">
        <v>21</v>
      </c>
      <c r="H674" t="str">
        <f>"510740"</f>
        <v>510740</v>
      </c>
      <c r="I674" t="str">
        <f t="shared" si="1"/>
        <v>DEASON ANIMAL HOSPITAL</v>
      </c>
    </row>
    <row r="675" spans="1:9" x14ac:dyDescent="0.25">
      <c r="A675" s="6">
        <v>43028</v>
      </c>
      <c r="B675" t="s">
        <v>26</v>
      </c>
      <c r="C675">
        <v>55902</v>
      </c>
      <c r="D675" t="s">
        <v>59</v>
      </c>
      <c r="E675" s="7">
        <v>13885.19</v>
      </c>
      <c r="F675" t="s">
        <v>20</v>
      </c>
      <c r="G675" t="s">
        <v>24</v>
      </c>
      <c r="H675" t="str">
        <f>"CM077113"</f>
        <v>CM077113</v>
      </c>
      <c r="I675" t="str">
        <f t="shared" ref="I675:I683" si="2">"FERGUSON WATERWORKS - MUNICIPA"</f>
        <v>FERGUSON WATERWORKS - MUNICIPA</v>
      </c>
    </row>
    <row r="676" spans="1:9" x14ac:dyDescent="0.25">
      <c r="E676" s="7"/>
      <c r="F676" t="s">
        <v>20</v>
      </c>
      <c r="G676" t="s">
        <v>21</v>
      </c>
      <c r="H676" t="str">
        <f>"0873370"</f>
        <v>0873370</v>
      </c>
      <c r="I676" t="str">
        <f t="shared" si="2"/>
        <v>FERGUSON WATERWORKS - MUNICIPA</v>
      </c>
    </row>
    <row r="677" spans="1:9" x14ac:dyDescent="0.25">
      <c r="E677" s="7"/>
      <c r="F677" t="s">
        <v>20</v>
      </c>
      <c r="G677" t="s">
        <v>21</v>
      </c>
      <c r="H677" t="str">
        <f>"0879167"</f>
        <v>0879167</v>
      </c>
      <c r="I677" t="str">
        <f t="shared" si="2"/>
        <v>FERGUSON WATERWORKS - MUNICIPA</v>
      </c>
    </row>
    <row r="678" spans="1:9" x14ac:dyDescent="0.25">
      <c r="E678" s="7"/>
      <c r="F678" t="s">
        <v>20</v>
      </c>
      <c r="G678" t="s">
        <v>21</v>
      </c>
      <c r="H678" t="str">
        <f>"0879677"</f>
        <v>0879677</v>
      </c>
      <c r="I678" t="str">
        <f t="shared" si="2"/>
        <v>FERGUSON WATERWORKS - MUNICIPA</v>
      </c>
    </row>
    <row r="679" spans="1:9" x14ac:dyDescent="0.25">
      <c r="E679" s="7"/>
      <c r="F679" t="s">
        <v>20</v>
      </c>
      <c r="G679" t="s">
        <v>21</v>
      </c>
      <c r="H679" t="str">
        <f>"0879677-1"</f>
        <v>0879677-1</v>
      </c>
      <c r="I679" t="str">
        <f t="shared" si="2"/>
        <v>FERGUSON WATERWORKS - MUNICIPA</v>
      </c>
    </row>
    <row r="680" spans="1:9" x14ac:dyDescent="0.25">
      <c r="E680" s="7"/>
      <c r="F680" t="s">
        <v>20</v>
      </c>
      <c r="G680" t="s">
        <v>21</v>
      </c>
      <c r="H680" t="str">
        <f>"0879751"</f>
        <v>0879751</v>
      </c>
      <c r="I680" t="str">
        <f t="shared" si="2"/>
        <v>FERGUSON WATERWORKS - MUNICIPA</v>
      </c>
    </row>
    <row r="681" spans="1:9" x14ac:dyDescent="0.25">
      <c r="E681" s="7"/>
      <c r="F681" t="s">
        <v>20</v>
      </c>
      <c r="G681" t="s">
        <v>21</v>
      </c>
      <c r="H681" t="str">
        <f>"0883281-2"</f>
        <v>0883281-2</v>
      </c>
      <c r="I681" t="str">
        <f t="shared" si="2"/>
        <v>FERGUSON WATERWORKS - MUNICIPA</v>
      </c>
    </row>
    <row r="682" spans="1:9" x14ac:dyDescent="0.25">
      <c r="E682" s="7"/>
      <c r="F682" t="s">
        <v>20</v>
      </c>
      <c r="G682" t="s">
        <v>21</v>
      </c>
      <c r="H682" t="str">
        <f>"0890527"</f>
        <v>0890527</v>
      </c>
      <c r="I682" t="str">
        <f t="shared" si="2"/>
        <v>FERGUSON WATERWORKS - MUNICIPA</v>
      </c>
    </row>
    <row r="683" spans="1:9" x14ac:dyDescent="0.25">
      <c r="E683" s="7"/>
      <c r="F683" t="s">
        <v>20</v>
      </c>
      <c r="G683" t="s">
        <v>21</v>
      </c>
      <c r="H683" t="str">
        <f>"0903302"</f>
        <v>0903302</v>
      </c>
      <c r="I683" t="str">
        <f t="shared" si="2"/>
        <v>FERGUSON WATERWORKS - MUNICIPA</v>
      </c>
    </row>
    <row r="684" spans="1:9" x14ac:dyDescent="0.25">
      <c r="A684" s="6">
        <v>43028</v>
      </c>
      <c r="B684" t="s">
        <v>26</v>
      </c>
      <c r="C684">
        <v>55904</v>
      </c>
      <c r="D684" t="s">
        <v>60</v>
      </c>
      <c r="E684" s="7">
        <v>590.98</v>
      </c>
      <c r="F684" t="s">
        <v>20</v>
      </c>
      <c r="G684" t="s">
        <v>21</v>
      </c>
      <c r="H684" t="str">
        <f>"8110200546"</f>
        <v>8110200546</v>
      </c>
      <c r="I684" t="str">
        <f>"COCA-COLA ENTERPRISES"</f>
        <v>COCA-COLA ENTERPRISES</v>
      </c>
    </row>
    <row r="685" spans="1:9" x14ac:dyDescent="0.25">
      <c r="A685" s="6">
        <v>43028</v>
      </c>
      <c r="B685" t="s">
        <v>26</v>
      </c>
      <c r="C685">
        <v>55905</v>
      </c>
      <c r="D685" t="s">
        <v>61</v>
      </c>
      <c r="E685" s="7">
        <v>10230.030000000001</v>
      </c>
      <c r="F685" t="s">
        <v>20</v>
      </c>
      <c r="G685" t="s">
        <v>21</v>
      </c>
      <c r="H685" t="str">
        <f>"025-195908"</f>
        <v>025-195908</v>
      </c>
      <c r="I685" t="str">
        <f>"TYLER TECHNOLOGIES  INC."</f>
        <v>TYLER TECHNOLOGIES  INC.</v>
      </c>
    </row>
    <row r="686" spans="1:9" x14ac:dyDescent="0.25">
      <c r="E686" s="7"/>
      <c r="F686" t="s">
        <v>20</v>
      </c>
      <c r="G686" t="s">
        <v>21</v>
      </c>
      <c r="H686" t="str">
        <f>"025-196560"</f>
        <v>025-196560</v>
      </c>
      <c r="I686" t="str">
        <f>"TYLER TECHNOLOGIES  INC."</f>
        <v>TYLER TECHNOLOGIES  INC.</v>
      </c>
    </row>
    <row r="687" spans="1:9" x14ac:dyDescent="0.25">
      <c r="A687" s="6">
        <v>43028</v>
      </c>
      <c r="B687" t="s">
        <v>26</v>
      </c>
      <c r="C687">
        <v>55906</v>
      </c>
      <c r="D687" t="s">
        <v>0</v>
      </c>
      <c r="E687" s="7">
        <v>2561.6</v>
      </c>
      <c r="F687" t="s">
        <v>20</v>
      </c>
      <c r="G687" t="s">
        <v>21</v>
      </c>
      <c r="H687" t="str">
        <f>"201710188130"</f>
        <v>201710188130</v>
      </c>
      <c r="I687" t="str">
        <f>"CITY OF FLORESVILLE"</f>
        <v>CITY OF FLORESVILLE</v>
      </c>
    </row>
    <row r="688" spans="1:9" x14ac:dyDescent="0.25">
      <c r="A688" s="6">
        <v>43028</v>
      </c>
      <c r="B688" t="s">
        <v>26</v>
      </c>
      <c r="C688">
        <v>55907</v>
      </c>
      <c r="D688" t="s">
        <v>62</v>
      </c>
      <c r="E688" s="7">
        <v>5413.79</v>
      </c>
      <c r="F688" t="s">
        <v>20</v>
      </c>
      <c r="G688" t="s">
        <v>21</v>
      </c>
      <c r="H688" t="str">
        <f>"56068"</f>
        <v>56068</v>
      </c>
      <c r="I688" t="str">
        <f>"SBS ADMINISTRATIVE SERVICES  L"</f>
        <v>SBS ADMINISTRATIVE SERVICES  L</v>
      </c>
    </row>
    <row r="689" spans="1:9" x14ac:dyDescent="0.25">
      <c r="E689" s="7"/>
      <c r="F689" t="s">
        <v>20</v>
      </c>
      <c r="G689" t="s">
        <v>21</v>
      </c>
      <c r="H689" t="str">
        <f>"HRA FUNDING"</f>
        <v>HRA FUNDING</v>
      </c>
      <c r="I689" t="str">
        <f>"SBS ADMINISTRATIVE SERVICES  L"</f>
        <v>SBS ADMINISTRATIVE SERVICES  L</v>
      </c>
    </row>
    <row r="690" spans="1:9" x14ac:dyDescent="0.25">
      <c r="A690" s="6">
        <v>43028</v>
      </c>
      <c r="B690" t="s">
        <v>26</v>
      </c>
      <c r="C690">
        <v>55908</v>
      </c>
      <c r="D690" t="s">
        <v>63</v>
      </c>
      <c r="E690" s="7">
        <v>57.61</v>
      </c>
      <c r="F690" t="s">
        <v>20</v>
      </c>
      <c r="G690" t="s">
        <v>21</v>
      </c>
      <c r="H690" t="str">
        <f>"87749589"</f>
        <v>87749589</v>
      </c>
      <c r="I690" t="str">
        <f>"CINTAS CORPORATION"</f>
        <v>CINTAS CORPORATION</v>
      </c>
    </row>
    <row r="691" spans="1:9" x14ac:dyDescent="0.25">
      <c r="A691" s="6">
        <v>43028</v>
      </c>
      <c r="B691" t="s">
        <v>26</v>
      </c>
      <c r="C691">
        <v>55909</v>
      </c>
      <c r="D691" t="s">
        <v>64</v>
      </c>
      <c r="E691" s="7">
        <v>5600</v>
      </c>
      <c r="F691" t="s">
        <v>20</v>
      </c>
      <c r="G691" t="s">
        <v>21</v>
      </c>
      <c r="H691" t="str">
        <f>"7369"</f>
        <v>7369</v>
      </c>
      <c r="I691" t="str">
        <f>"DREWA DESIGNS  INC."</f>
        <v>DREWA DESIGNS  INC.</v>
      </c>
    </row>
    <row r="692" spans="1:9" x14ac:dyDescent="0.25">
      <c r="A692" s="6">
        <v>43028</v>
      </c>
      <c r="B692" t="s">
        <v>26</v>
      </c>
      <c r="C692">
        <v>55910</v>
      </c>
      <c r="D692" t="s">
        <v>65</v>
      </c>
      <c r="E692" s="7">
        <v>374.02</v>
      </c>
      <c r="F692" t="s">
        <v>20</v>
      </c>
      <c r="G692" t="s">
        <v>21</v>
      </c>
      <c r="H692" t="str">
        <f>"9.27.17"</f>
        <v>9.27.17</v>
      </c>
      <c r="I692" t="str">
        <f>"SAM'S CLUB/SYNCHRONY BANK"</f>
        <v>SAM'S CLUB/SYNCHRONY BANK</v>
      </c>
    </row>
    <row r="693" spans="1:9" x14ac:dyDescent="0.25">
      <c r="A693" s="6">
        <v>43028</v>
      </c>
      <c r="B693" t="s">
        <v>26</v>
      </c>
      <c r="C693">
        <v>55911</v>
      </c>
      <c r="D693" t="s">
        <v>66</v>
      </c>
      <c r="E693" s="7">
        <v>2000</v>
      </c>
      <c r="F693" t="s">
        <v>20</v>
      </c>
      <c r="G693" t="s">
        <v>21</v>
      </c>
      <c r="H693" t="str">
        <f>"51003"</f>
        <v>51003</v>
      </c>
      <c r="I693" t="str">
        <f>"LOPEZ EXTERMINATING SERVICE  I"</f>
        <v>LOPEZ EXTERMINATING SERVICE  I</v>
      </c>
    </row>
    <row r="694" spans="1:9" x14ac:dyDescent="0.25">
      <c r="A694" s="6">
        <v>43028</v>
      </c>
      <c r="B694" t="s">
        <v>26</v>
      </c>
      <c r="C694">
        <v>55912</v>
      </c>
      <c r="D694" t="s">
        <v>67</v>
      </c>
      <c r="E694" s="7">
        <v>270.7</v>
      </c>
      <c r="F694" t="s">
        <v>20</v>
      </c>
      <c r="G694" t="s">
        <v>21</v>
      </c>
      <c r="H694" t="str">
        <f>"201710188137"</f>
        <v>201710188137</v>
      </c>
      <c r="I694" t="str">
        <f>"ANYTIME FITNESS"</f>
        <v>ANYTIME FITNESS</v>
      </c>
    </row>
    <row r="695" spans="1:9" x14ac:dyDescent="0.25">
      <c r="A695" s="6">
        <v>43028</v>
      </c>
      <c r="B695" t="s">
        <v>26</v>
      </c>
      <c r="C695">
        <v>55913</v>
      </c>
      <c r="D695" t="s">
        <v>68</v>
      </c>
      <c r="E695" s="7">
        <v>500</v>
      </c>
      <c r="F695" t="s">
        <v>20</v>
      </c>
      <c r="G695" t="s">
        <v>21</v>
      </c>
      <c r="H695" t="str">
        <f>"0391949-IN"</f>
        <v>0391949-IN</v>
      </c>
      <c r="I695" t="str">
        <f>"SOUTHWASTE DISPOSAL  LLP"</f>
        <v>SOUTHWASTE DISPOSAL  LLP</v>
      </c>
    </row>
    <row r="696" spans="1:9" x14ac:dyDescent="0.25">
      <c r="E696" s="7"/>
      <c r="F696" t="s">
        <v>20</v>
      </c>
      <c r="G696" t="s">
        <v>21</v>
      </c>
      <c r="H696" t="str">
        <f>"0393146-IN"</f>
        <v>0393146-IN</v>
      </c>
      <c r="I696" t="str">
        <f>"SOUTHWASTE DISPOSAL  LLP"</f>
        <v>SOUTHWASTE DISPOSAL  LLP</v>
      </c>
    </row>
    <row r="697" spans="1:9" x14ac:dyDescent="0.25">
      <c r="A697" s="6">
        <v>43028</v>
      </c>
      <c r="B697" t="s">
        <v>26</v>
      </c>
      <c r="C697">
        <v>55914</v>
      </c>
      <c r="D697" t="s">
        <v>69</v>
      </c>
      <c r="E697" s="7">
        <v>1741.28</v>
      </c>
      <c r="F697" t="s">
        <v>20</v>
      </c>
      <c r="G697" t="s">
        <v>21</v>
      </c>
      <c r="H697" t="str">
        <f>"3384890"</f>
        <v>3384890</v>
      </c>
      <c r="I697" t="str">
        <f>"EWALD TRACTOR SUPPLY"</f>
        <v>EWALD TRACTOR SUPPLY</v>
      </c>
    </row>
    <row r="698" spans="1:9" x14ac:dyDescent="0.25">
      <c r="E698" s="7"/>
      <c r="F698" t="s">
        <v>20</v>
      </c>
      <c r="G698" t="s">
        <v>21</v>
      </c>
      <c r="H698" t="str">
        <f>"3384990"</f>
        <v>3384990</v>
      </c>
      <c r="I698" t="str">
        <f>"EWALD TRACTOR SUPPLY"</f>
        <v>EWALD TRACTOR SUPPLY</v>
      </c>
    </row>
    <row r="699" spans="1:9" x14ac:dyDescent="0.25">
      <c r="E699" s="7"/>
      <c r="F699" t="s">
        <v>20</v>
      </c>
      <c r="G699" t="s">
        <v>21</v>
      </c>
      <c r="H699" t="str">
        <f>"4321239"</f>
        <v>4321239</v>
      </c>
      <c r="I699" t="str">
        <f>"EWALD TRACTOR SUPPLY"</f>
        <v>EWALD TRACTOR SUPPLY</v>
      </c>
    </row>
    <row r="700" spans="1:9" x14ac:dyDescent="0.25">
      <c r="A700" s="6">
        <v>43028</v>
      </c>
      <c r="B700" t="s">
        <v>26</v>
      </c>
      <c r="C700">
        <v>55915</v>
      </c>
      <c r="D700" t="s">
        <v>70</v>
      </c>
      <c r="E700" s="7">
        <v>72.95</v>
      </c>
      <c r="F700" t="s">
        <v>20</v>
      </c>
      <c r="G700" t="s">
        <v>21</v>
      </c>
      <c r="H700" t="str">
        <f>"A950209"</f>
        <v>A950209</v>
      </c>
      <c r="I700" t="str">
        <f>"TEXAS WIRED MUSIC  INC."</f>
        <v>TEXAS WIRED MUSIC  INC.</v>
      </c>
    </row>
    <row r="701" spans="1:9" x14ac:dyDescent="0.25">
      <c r="A701" s="6">
        <v>43028</v>
      </c>
      <c r="B701" t="s">
        <v>26</v>
      </c>
      <c r="C701">
        <v>55916</v>
      </c>
      <c r="D701" t="s">
        <v>71</v>
      </c>
      <c r="E701" s="7">
        <v>816.24</v>
      </c>
      <c r="F701" t="s">
        <v>20</v>
      </c>
      <c r="G701" t="s">
        <v>21</v>
      </c>
      <c r="H701" t="str">
        <f>"087731172"</f>
        <v>087731172</v>
      </c>
      <c r="I701" t="str">
        <f>"CINTAS CORPORATION #087"</f>
        <v>CINTAS CORPORATION #087</v>
      </c>
    </row>
    <row r="702" spans="1:9" x14ac:dyDescent="0.25">
      <c r="E702" s="7"/>
      <c r="F702" t="s">
        <v>20</v>
      </c>
      <c r="G702" t="s">
        <v>21</v>
      </c>
      <c r="H702" t="str">
        <f>"087736080"</f>
        <v>087736080</v>
      </c>
      <c r="I702" t="str">
        <f>"CINTAS CORPORATION #087"</f>
        <v>CINTAS CORPORATION #087</v>
      </c>
    </row>
    <row r="703" spans="1:9" x14ac:dyDescent="0.25">
      <c r="E703" s="7"/>
      <c r="F703" t="s">
        <v>20</v>
      </c>
      <c r="G703" t="s">
        <v>21</v>
      </c>
      <c r="H703" t="str">
        <f>"087741029"</f>
        <v>087741029</v>
      </c>
      <c r="I703" t="str">
        <f>"CINTAS CORPORATION #087"</f>
        <v>CINTAS CORPORATION #087</v>
      </c>
    </row>
    <row r="704" spans="1:9" x14ac:dyDescent="0.25">
      <c r="E704" s="7"/>
      <c r="F704" t="s">
        <v>20</v>
      </c>
      <c r="G704" t="s">
        <v>21</v>
      </c>
      <c r="H704" t="str">
        <f>"087746106"</f>
        <v>087746106</v>
      </c>
      <c r="I704" t="str">
        <f>"CINTAS CORPORATION #087"</f>
        <v>CINTAS CORPORATION #087</v>
      </c>
    </row>
    <row r="705" spans="1:9" x14ac:dyDescent="0.25">
      <c r="A705" s="6">
        <v>43028</v>
      </c>
      <c r="B705" t="s">
        <v>26</v>
      </c>
      <c r="C705">
        <v>55918</v>
      </c>
      <c r="D705" t="s">
        <v>72</v>
      </c>
      <c r="E705" s="7">
        <v>103.2</v>
      </c>
      <c r="F705" t="s">
        <v>20</v>
      </c>
      <c r="G705" t="s">
        <v>21</v>
      </c>
      <c r="H705" t="str">
        <f>"445924"</f>
        <v>445924</v>
      </c>
      <c r="I705" t="str">
        <f>"WESCO RECEIVABLES CORP."</f>
        <v>WESCO RECEIVABLES CORP.</v>
      </c>
    </row>
    <row r="706" spans="1:9" x14ac:dyDescent="0.25">
      <c r="A706" s="6">
        <v>43028</v>
      </c>
      <c r="B706" t="s">
        <v>26</v>
      </c>
      <c r="C706">
        <v>55919</v>
      </c>
      <c r="D706" t="s">
        <v>73</v>
      </c>
      <c r="E706" s="7">
        <v>39189.75</v>
      </c>
      <c r="F706" t="s">
        <v>20</v>
      </c>
      <c r="G706" t="s">
        <v>21</v>
      </c>
      <c r="H706" t="str">
        <f>"10.01.17"</f>
        <v>10.01.17</v>
      </c>
      <c r="I706" t="str">
        <f>"TML INTERGOVERNMENTAL RISK POO"</f>
        <v>TML INTERGOVERNMENTAL RISK POO</v>
      </c>
    </row>
    <row r="707" spans="1:9" x14ac:dyDescent="0.25">
      <c r="A707" s="6">
        <v>43028</v>
      </c>
      <c r="B707" t="s">
        <v>26</v>
      </c>
      <c r="C707">
        <v>55920</v>
      </c>
      <c r="D707" t="s">
        <v>74</v>
      </c>
      <c r="E707" s="7">
        <v>3840.63</v>
      </c>
      <c r="F707" t="s">
        <v>20</v>
      </c>
      <c r="G707" t="s">
        <v>21</v>
      </c>
      <c r="H707" t="str">
        <f>"9793340160"</f>
        <v>9793340160</v>
      </c>
      <c r="I707" t="str">
        <f>"VERIZON WIRELESS"</f>
        <v>VERIZON WIRELESS</v>
      </c>
    </row>
    <row r="708" spans="1:9" x14ac:dyDescent="0.25">
      <c r="E708" s="7"/>
      <c r="F708" t="s">
        <v>20</v>
      </c>
      <c r="G708" t="s">
        <v>21</v>
      </c>
      <c r="H708" t="str">
        <f>"9793340161"</f>
        <v>9793340161</v>
      </c>
      <c r="I708" t="str">
        <f>"VERIZON WIRELESS"</f>
        <v>VERIZON WIRELESS</v>
      </c>
    </row>
    <row r="709" spans="1:9" x14ac:dyDescent="0.25">
      <c r="A709" s="6">
        <v>43028</v>
      </c>
      <c r="B709" t="s">
        <v>26</v>
      </c>
      <c r="C709">
        <v>55921</v>
      </c>
      <c r="D709" t="s">
        <v>30</v>
      </c>
      <c r="E709" s="7">
        <v>270</v>
      </c>
      <c r="F709" t="s">
        <v>20</v>
      </c>
      <c r="G709" t="s">
        <v>21</v>
      </c>
      <c r="H709" t="str">
        <f>"2017-16"</f>
        <v>2017-16</v>
      </c>
      <c r="I709" t="str">
        <f>"MARIA GONZALES"</f>
        <v>MARIA GONZALES</v>
      </c>
    </row>
    <row r="710" spans="1:9" x14ac:dyDescent="0.25">
      <c r="A710" s="6">
        <v>43028</v>
      </c>
      <c r="B710" t="s">
        <v>26</v>
      </c>
      <c r="C710">
        <v>55922</v>
      </c>
      <c r="D710" t="s">
        <v>75</v>
      </c>
      <c r="E710" s="7">
        <v>160</v>
      </c>
      <c r="F710" t="s">
        <v>20</v>
      </c>
      <c r="G710" t="s">
        <v>21</v>
      </c>
      <c r="H710" t="str">
        <f>"554035"</f>
        <v>554035</v>
      </c>
      <c r="I710" t="str">
        <f>"TRACTOR SUPPLY CREDIT PLAN"</f>
        <v>TRACTOR SUPPLY CREDIT PLAN</v>
      </c>
    </row>
    <row r="711" spans="1:9" x14ac:dyDescent="0.25">
      <c r="A711" s="6">
        <v>43028</v>
      </c>
      <c r="B711" t="s">
        <v>26</v>
      </c>
      <c r="C711">
        <v>55923</v>
      </c>
      <c r="D711" t="s">
        <v>76</v>
      </c>
      <c r="E711" s="7">
        <v>2393.2199999999998</v>
      </c>
      <c r="F711" t="s">
        <v>20</v>
      </c>
      <c r="G711" t="s">
        <v>21</v>
      </c>
      <c r="H711" t="str">
        <f>"61"</f>
        <v>61</v>
      </c>
      <c r="I711" t="str">
        <f>"WILSON COUNTY TAX COLLECTOR"</f>
        <v>WILSON COUNTY TAX COLLECTOR</v>
      </c>
    </row>
    <row r="712" spans="1:9" x14ac:dyDescent="0.25">
      <c r="A712" s="6">
        <v>43028</v>
      </c>
      <c r="B712" t="s">
        <v>26</v>
      </c>
      <c r="C712">
        <v>55924</v>
      </c>
      <c r="D712" t="s">
        <v>77</v>
      </c>
      <c r="E712" s="7">
        <v>2164.3200000000002</v>
      </c>
      <c r="F712" t="s">
        <v>20</v>
      </c>
      <c r="G712" t="s">
        <v>21</v>
      </c>
      <c r="H712" t="str">
        <f>"857001928-17"</f>
        <v>857001928-17</v>
      </c>
      <c r="I712" t="str">
        <f>"DPC INDUSTRIES  INC."</f>
        <v>DPC INDUSTRIES  INC.</v>
      </c>
    </row>
    <row r="713" spans="1:9" x14ac:dyDescent="0.25">
      <c r="E713" s="7"/>
      <c r="F713" t="s">
        <v>20</v>
      </c>
      <c r="G713" t="s">
        <v>21</v>
      </c>
      <c r="H713" t="str">
        <f>"857001970-17"</f>
        <v>857001970-17</v>
      </c>
      <c r="I713" t="str">
        <f>"DPC INDUSTRIES  INC."</f>
        <v>DPC INDUSTRIES  INC.</v>
      </c>
    </row>
    <row r="714" spans="1:9" x14ac:dyDescent="0.25">
      <c r="E714" s="7"/>
      <c r="F714" t="s">
        <v>20</v>
      </c>
      <c r="G714" t="s">
        <v>21</v>
      </c>
      <c r="H714" t="str">
        <f>"857002008-17"</f>
        <v>857002008-17</v>
      </c>
      <c r="I714" t="str">
        <f>"DPC INDUSTRIES  INC."</f>
        <v>DPC INDUSTRIES  INC.</v>
      </c>
    </row>
    <row r="715" spans="1:9" x14ac:dyDescent="0.25">
      <c r="A715" s="6">
        <v>43028</v>
      </c>
      <c r="B715" t="s">
        <v>26</v>
      </c>
      <c r="C715">
        <v>55925</v>
      </c>
      <c r="D715" t="s">
        <v>78</v>
      </c>
      <c r="E715" s="7">
        <v>3522.37</v>
      </c>
      <c r="F715" t="s">
        <v>20</v>
      </c>
      <c r="G715" t="s">
        <v>21</v>
      </c>
      <c r="H715" t="str">
        <f>"23194"</f>
        <v>23194</v>
      </c>
      <c r="I715" t="str">
        <f>"DENTON NAVARRO ROCHA BERNAL HY"</f>
        <v>DENTON NAVARRO ROCHA BERNAL HY</v>
      </c>
    </row>
    <row r="716" spans="1:9" x14ac:dyDescent="0.25">
      <c r="A716" s="6">
        <v>43028</v>
      </c>
      <c r="B716" t="s">
        <v>26</v>
      </c>
      <c r="C716">
        <v>55926</v>
      </c>
      <c r="D716" t="s">
        <v>79</v>
      </c>
      <c r="E716" s="7">
        <v>16.84</v>
      </c>
      <c r="F716" t="s">
        <v>20</v>
      </c>
      <c r="G716" t="s">
        <v>21</v>
      </c>
      <c r="H716" t="str">
        <f>"5-944-48976"</f>
        <v>5-944-48976</v>
      </c>
      <c r="I716" t="str">
        <f>"FEDEX"</f>
        <v>FEDEX</v>
      </c>
    </row>
    <row r="717" spans="1:9" x14ac:dyDescent="0.25">
      <c r="A717" s="6">
        <v>43028</v>
      </c>
      <c r="B717" t="s">
        <v>26</v>
      </c>
      <c r="C717">
        <v>55927</v>
      </c>
      <c r="D717" t="s">
        <v>80</v>
      </c>
      <c r="E717" s="7">
        <v>2146.13</v>
      </c>
      <c r="F717" t="s">
        <v>20</v>
      </c>
      <c r="G717" t="s">
        <v>21</v>
      </c>
      <c r="H717" t="str">
        <f>"1648-20171001-1"</f>
        <v>1648-20171001-1</v>
      </c>
      <c r="I717" t="str">
        <f>"LVWIFI.COM"</f>
        <v>LVWIFI.COM</v>
      </c>
    </row>
    <row r="718" spans="1:9" x14ac:dyDescent="0.25">
      <c r="E718" s="7"/>
      <c r="F718" t="s">
        <v>20</v>
      </c>
      <c r="G718" t="s">
        <v>21</v>
      </c>
      <c r="H718" t="str">
        <f>"2313-20171001-1"</f>
        <v>2313-20171001-1</v>
      </c>
      <c r="I718" t="str">
        <f>"LVWIFI.COM"</f>
        <v>LVWIFI.COM</v>
      </c>
    </row>
    <row r="719" spans="1:9" x14ac:dyDescent="0.25">
      <c r="E719" s="7"/>
      <c r="F719" t="s">
        <v>20</v>
      </c>
      <c r="G719" t="s">
        <v>21</v>
      </c>
      <c r="H719" t="str">
        <f>"2314-20171001-1"</f>
        <v>2314-20171001-1</v>
      </c>
      <c r="I719" t="str">
        <f>"LVWIFI.COM"</f>
        <v>LVWIFI.COM</v>
      </c>
    </row>
    <row r="720" spans="1:9" x14ac:dyDescent="0.25">
      <c r="E720" s="7"/>
      <c r="F720" t="s">
        <v>20</v>
      </c>
      <c r="G720" t="s">
        <v>21</v>
      </c>
      <c r="H720" t="str">
        <f>"2478-20171001-1"</f>
        <v>2478-20171001-1</v>
      </c>
      <c r="I720" t="str">
        <f>"LVWIFI.COM"</f>
        <v>LVWIFI.COM</v>
      </c>
    </row>
    <row r="721" spans="1:9" x14ac:dyDescent="0.25">
      <c r="A721" s="6">
        <v>43028</v>
      </c>
      <c r="B721" t="s">
        <v>26</v>
      </c>
      <c r="C721">
        <v>55928</v>
      </c>
      <c r="D721" t="s">
        <v>81</v>
      </c>
      <c r="E721" s="7">
        <v>145.55000000000001</v>
      </c>
      <c r="F721" t="s">
        <v>20</v>
      </c>
      <c r="G721" t="s">
        <v>21</v>
      </c>
      <c r="H721" t="str">
        <f>"AM 10.18.17"</f>
        <v>AM 10.18.17</v>
      </c>
      <c r="I721" t="str">
        <f>"CITY OF FLORESVILLE -PETTY CAS"</f>
        <v>CITY OF FLORESVILLE -PETTY CAS</v>
      </c>
    </row>
    <row r="722" spans="1:9" x14ac:dyDescent="0.25">
      <c r="A722" s="6">
        <v>43028</v>
      </c>
      <c r="B722" t="s">
        <v>26</v>
      </c>
      <c r="C722">
        <v>55929</v>
      </c>
      <c r="D722" t="s">
        <v>82</v>
      </c>
      <c r="E722" s="7">
        <v>2458.9</v>
      </c>
      <c r="F722" t="s">
        <v>20</v>
      </c>
      <c r="G722" t="s">
        <v>21</v>
      </c>
      <c r="H722" t="str">
        <f>"SI-1013536"</f>
        <v>SI-1013536</v>
      </c>
      <c r="I722" t="str">
        <f>"BASS COMPUTER  INC."</f>
        <v>BASS COMPUTER  INC.</v>
      </c>
    </row>
    <row r="723" spans="1:9" x14ac:dyDescent="0.25">
      <c r="E723" s="7"/>
      <c r="F723" t="s">
        <v>20</v>
      </c>
      <c r="G723" t="s">
        <v>21</v>
      </c>
      <c r="H723" t="str">
        <f>"SI-1013889"</f>
        <v>SI-1013889</v>
      </c>
      <c r="I723" t="str">
        <f>"BASS COMPUTER  INC."</f>
        <v>BASS COMPUTER  INC.</v>
      </c>
    </row>
    <row r="724" spans="1:9" x14ac:dyDescent="0.25">
      <c r="E724" s="7"/>
      <c r="F724" t="s">
        <v>20</v>
      </c>
      <c r="G724" t="s">
        <v>21</v>
      </c>
      <c r="H724" t="str">
        <f>"SI-1013956"</f>
        <v>SI-1013956</v>
      </c>
      <c r="I724" t="str">
        <f>"BASS COMPUTER  INC."</f>
        <v>BASS COMPUTER  INC.</v>
      </c>
    </row>
    <row r="725" spans="1:9" x14ac:dyDescent="0.25">
      <c r="A725" s="6">
        <v>43028</v>
      </c>
      <c r="B725" t="s">
        <v>26</v>
      </c>
      <c r="C725">
        <v>55930</v>
      </c>
      <c r="D725" t="s">
        <v>83</v>
      </c>
      <c r="E725" s="7">
        <v>918</v>
      </c>
      <c r="F725" t="s">
        <v>20</v>
      </c>
      <c r="G725" t="s">
        <v>21</v>
      </c>
      <c r="H725" t="str">
        <f>"135754"</f>
        <v>135754</v>
      </c>
      <c r="I725" t="str">
        <f>"APPRIVER"</f>
        <v>APPRIVER</v>
      </c>
    </row>
    <row r="726" spans="1:9" x14ac:dyDescent="0.25">
      <c r="A726" s="6">
        <v>43028</v>
      </c>
      <c r="B726" t="s">
        <v>26</v>
      </c>
      <c r="C726">
        <v>55931</v>
      </c>
      <c r="D726" t="s">
        <v>84</v>
      </c>
      <c r="E726" s="7">
        <v>450</v>
      </c>
      <c r="F726" t="s">
        <v>20</v>
      </c>
      <c r="G726" t="s">
        <v>21</v>
      </c>
      <c r="H726" t="str">
        <f>"1135599"</f>
        <v>1135599</v>
      </c>
      <c r="I726" t="str">
        <f>"STANTEC CONSULTING SERVICES IN"</f>
        <v>STANTEC CONSULTING SERVICES IN</v>
      </c>
    </row>
    <row r="727" spans="1:9" x14ac:dyDescent="0.25">
      <c r="A727" s="6">
        <v>43028</v>
      </c>
      <c r="B727" t="s">
        <v>26</v>
      </c>
      <c r="C727">
        <v>55932</v>
      </c>
      <c r="D727" t="s">
        <v>85</v>
      </c>
      <c r="E727" s="7">
        <v>605.91</v>
      </c>
      <c r="F727" t="s">
        <v>20</v>
      </c>
      <c r="G727" t="s">
        <v>21</v>
      </c>
      <c r="H727" t="str">
        <f>"201710188132"</f>
        <v>201710188132</v>
      </c>
      <c r="I727" t="str">
        <f>"FRONTIER"</f>
        <v>FRONTIER</v>
      </c>
    </row>
    <row r="728" spans="1:9" x14ac:dyDescent="0.25">
      <c r="E728" s="7"/>
      <c r="F728" t="s">
        <v>20</v>
      </c>
      <c r="G728" t="s">
        <v>21</v>
      </c>
      <c r="H728" t="str">
        <f>"201710188133"</f>
        <v>201710188133</v>
      </c>
      <c r="I728" t="str">
        <f>"FRONTIER"</f>
        <v>FRONTIER</v>
      </c>
    </row>
    <row r="729" spans="1:9" x14ac:dyDescent="0.25">
      <c r="E729" s="7"/>
      <c r="F729" t="s">
        <v>20</v>
      </c>
      <c r="G729" t="s">
        <v>21</v>
      </c>
      <c r="H729" t="str">
        <f>"201710188134"</f>
        <v>201710188134</v>
      </c>
      <c r="I729" t="str">
        <f>"FRONTIER"</f>
        <v>FRONTIER</v>
      </c>
    </row>
    <row r="730" spans="1:9" x14ac:dyDescent="0.25">
      <c r="E730" s="7"/>
      <c r="F730" t="s">
        <v>20</v>
      </c>
      <c r="G730" t="s">
        <v>21</v>
      </c>
      <c r="H730" t="str">
        <f>"201710188136"</f>
        <v>201710188136</v>
      </c>
      <c r="I730" t="str">
        <f>"FRONTIER"</f>
        <v>FRONTIER</v>
      </c>
    </row>
    <row r="731" spans="1:9" x14ac:dyDescent="0.25">
      <c r="A731" s="6">
        <v>43028</v>
      </c>
      <c r="B731" t="s">
        <v>26</v>
      </c>
      <c r="C731">
        <v>55933</v>
      </c>
      <c r="D731" t="s">
        <v>86</v>
      </c>
      <c r="E731" s="7">
        <v>1500</v>
      </c>
      <c r="F731" t="s">
        <v>20</v>
      </c>
      <c r="G731" t="s">
        <v>21</v>
      </c>
      <c r="H731" t="str">
        <f>"201710188135"</f>
        <v>201710188135</v>
      </c>
      <c r="I731" t="str">
        <f>"FROST BANK"</f>
        <v>FROST BANK</v>
      </c>
    </row>
    <row r="732" spans="1:9" x14ac:dyDescent="0.25">
      <c r="A732" s="6">
        <v>43028</v>
      </c>
      <c r="B732" t="s">
        <v>26</v>
      </c>
      <c r="C732">
        <v>55934</v>
      </c>
      <c r="D732" t="s">
        <v>87</v>
      </c>
      <c r="E732" s="7">
        <v>2186.37</v>
      </c>
      <c r="F732" t="s">
        <v>20</v>
      </c>
      <c r="G732" t="s">
        <v>21</v>
      </c>
      <c r="H732" t="str">
        <f>"7146"</f>
        <v>7146</v>
      </c>
      <c r="I732" t="str">
        <f>"SAVVYTECH SECURITY HOUSTON INC"</f>
        <v>SAVVYTECH SECURITY HOUSTON INC</v>
      </c>
    </row>
    <row r="733" spans="1:9" x14ac:dyDescent="0.25">
      <c r="A733" s="6">
        <v>43028</v>
      </c>
      <c r="B733" t="s">
        <v>26</v>
      </c>
      <c r="C733">
        <v>55935</v>
      </c>
      <c r="D733" t="s">
        <v>88</v>
      </c>
      <c r="E733" s="7">
        <v>124.28</v>
      </c>
      <c r="F733" t="s">
        <v>20</v>
      </c>
      <c r="G733" t="s">
        <v>21</v>
      </c>
      <c r="H733" t="str">
        <f>"219005724"</f>
        <v>219005724</v>
      </c>
      <c r="I733" t="str">
        <f>"CIOX HEALTH  LLC"</f>
        <v>CIOX HEALTH  LLC</v>
      </c>
    </row>
    <row r="734" spans="1:9" x14ac:dyDescent="0.25">
      <c r="A734" s="6">
        <v>43028</v>
      </c>
      <c r="B734" t="s">
        <v>26</v>
      </c>
      <c r="C734">
        <v>55936</v>
      </c>
      <c r="D734" t="s">
        <v>89</v>
      </c>
      <c r="E734" s="7">
        <v>606.54</v>
      </c>
      <c r="F734" t="s">
        <v>20</v>
      </c>
      <c r="G734" t="s">
        <v>21</v>
      </c>
      <c r="H734" t="str">
        <f>"W174554"</f>
        <v>W174554</v>
      </c>
      <c r="I734" t="str">
        <f>"SCHOOLSin"</f>
        <v>SCHOOLSin</v>
      </c>
    </row>
    <row r="735" spans="1:9" x14ac:dyDescent="0.25">
      <c r="A735" s="6">
        <v>43028</v>
      </c>
      <c r="B735" t="s">
        <v>26</v>
      </c>
      <c r="C735">
        <v>55937</v>
      </c>
      <c r="D735" t="s">
        <v>90</v>
      </c>
      <c r="E735" s="7">
        <v>381.04</v>
      </c>
      <c r="F735" t="s">
        <v>20</v>
      </c>
      <c r="G735" t="s">
        <v>24</v>
      </c>
      <c r="H735" t="str">
        <f>"102085"</f>
        <v>102085</v>
      </c>
      <c r="I735" t="str">
        <f>"AFLAC"</f>
        <v>AFLAC</v>
      </c>
    </row>
    <row r="736" spans="1:9" x14ac:dyDescent="0.25">
      <c r="E736" s="7"/>
      <c r="F736" t="s">
        <v>20</v>
      </c>
      <c r="G736" t="s">
        <v>21</v>
      </c>
      <c r="H736" t="str">
        <f>"ACA201710108129"</f>
        <v>ACA201710108129</v>
      </c>
      <c r="I736" t="str">
        <f>"AFLAC INSURANCE"</f>
        <v>AFLAC INSURANCE</v>
      </c>
    </row>
    <row r="737" spans="1:9" x14ac:dyDescent="0.25">
      <c r="E737" s="7"/>
      <c r="F737" t="s">
        <v>20</v>
      </c>
      <c r="G737" t="s">
        <v>21</v>
      </c>
      <c r="H737" t="str">
        <f>"AD2201710108129"</f>
        <v>AD2201710108129</v>
      </c>
      <c r="I737" t="str">
        <f>"AFLAC INSURANCE"</f>
        <v>AFLAC INSURANCE</v>
      </c>
    </row>
    <row r="738" spans="1:9" x14ac:dyDescent="0.25">
      <c r="E738" s="7"/>
      <c r="F738" t="s">
        <v>20</v>
      </c>
      <c r="G738" t="s">
        <v>21</v>
      </c>
      <c r="H738" t="str">
        <f>"ADR201710108129"</f>
        <v>ADR201710108129</v>
      </c>
      <c r="I738" t="str">
        <f>"INSURANCE"</f>
        <v>INSURANCE</v>
      </c>
    </row>
    <row r="739" spans="1:9" x14ac:dyDescent="0.25">
      <c r="E739" s="7"/>
      <c r="F739" t="s">
        <v>20</v>
      </c>
      <c r="G739" t="s">
        <v>21</v>
      </c>
      <c r="H739" t="str">
        <f>"AF1201710108129"</f>
        <v>AF1201710108129</v>
      </c>
      <c r="I739" t="str">
        <f>"AFLAC INSURANCE"</f>
        <v>AFLAC INSURANCE</v>
      </c>
    </row>
    <row r="740" spans="1:9" x14ac:dyDescent="0.25">
      <c r="E740" s="7"/>
      <c r="F740" t="s">
        <v>20</v>
      </c>
      <c r="G740" t="s">
        <v>21</v>
      </c>
      <c r="H740" t="str">
        <f>"ASP201710108129"</f>
        <v>ASP201710108129</v>
      </c>
      <c r="I740" t="str">
        <f>"AFLAC INSURANCE"</f>
        <v>AFLAC INSURANCE</v>
      </c>
    </row>
    <row r="741" spans="1:9" x14ac:dyDescent="0.25">
      <c r="E741" s="7"/>
      <c r="F741" t="s">
        <v>20</v>
      </c>
      <c r="G741" t="s">
        <v>21</v>
      </c>
      <c r="H741" t="str">
        <f>"HCO201710108129"</f>
        <v>HCO201710108129</v>
      </c>
      <c r="I741" t="str">
        <f>"AFLAC INSURANCE"</f>
        <v>AFLAC INSURANCE</v>
      </c>
    </row>
    <row r="742" spans="1:9" x14ac:dyDescent="0.25">
      <c r="E742" s="7"/>
      <c r="F742" t="s">
        <v>20</v>
      </c>
      <c r="G742" t="s">
        <v>21</v>
      </c>
      <c r="H742" t="str">
        <f>"STD201710108129"</f>
        <v>STD201710108129</v>
      </c>
      <c r="I742" t="str">
        <f>"INSURANCE"</f>
        <v>INSURANCE</v>
      </c>
    </row>
    <row r="743" spans="1:9" x14ac:dyDescent="0.25">
      <c r="A743" s="6">
        <v>43028</v>
      </c>
      <c r="B743" t="s">
        <v>91</v>
      </c>
      <c r="C743">
        <v>55939</v>
      </c>
      <c r="D743" t="s">
        <v>92</v>
      </c>
      <c r="E743" s="7">
        <v>18843.75</v>
      </c>
      <c r="F743" t="s">
        <v>20</v>
      </c>
      <c r="G743" t="s">
        <v>21</v>
      </c>
      <c r="H743" t="str">
        <f>"RET201710108129"</f>
        <v>RET201710108129</v>
      </c>
      <c r="I743" t="str">
        <f>"TMRS CITY OF FLORESVILLE"</f>
        <v>TMRS CITY OF FLORESVILLE</v>
      </c>
    </row>
    <row r="744" spans="1:9" x14ac:dyDescent="0.25">
      <c r="A744" s="6">
        <v>43028</v>
      </c>
      <c r="B744" t="s">
        <v>91</v>
      </c>
      <c r="C744">
        <v>55939</v>
      </c>
      <c r="D744" t="s">
        <v>92</v>
      </c>
      <c r="E744" s="7">
        <v>18843.75</v>
      </c>
      <c r="F744" t="s">
        <v>20</v>
      </c>
      <c r="G744" t="s">
        <v>93</v>
      </c>
      <c r="H744" t="str">
        <f>"CHECK"</f>
        <v>CHECK</v>
      </c>
      <c r="I744" t="str">
        <f>""</f>
        <v/>
      </c>
    </row>
    <row r="745" spans="1:9" x14ac:dyDescent="0.25">
      <c r="A745" s="6">
        <v>43028</v>
      </c>
      <c r="B745" t="s">
        <v>91</v>
      </c>
      <c r="C745">
        <v>55941</v>
      </c>
      <c r="D745" t="s">
        <v>94</v>
      </c>
      <c r="E745" s="7">
        <v>1028.8699999999999</v>
      </c>
      <c r="F745" t="s">
        <v>20</v>
      </c>
      <c r="G745" t="s">
        <v>21</v>
      </c>
      <c r="H745" t="str">
        <f>"DEN201710108129"</f>
        <v>DEN201710108129</v>
      </c>
      <c r="I745" t="str">
        <f>"DENTAL INSURANCE"</f>
        <v>DENTAL INSURANCE</v>
      </c>
    </row>
    <row r="746" spans="1:9" x14ac:dyDescent="0.25">
      <c r="A746" s="6">
        <v>43028</v>
      </c>
      <c r="B746" t="s">
        <v>91</v>
      </c>
      <c r="C746">
        <v>55941</v>
      </c>
      <c r="D746" t="s">
        <v>94</v>
      </c>
      <c r="E746" s="7">
        <v>1028.8699999999999</v>
      </c>
      <c r="F746" t="s">
        <v>20</v>
      </c>
      <c r="G746" t="s">
        <v>93</v>
      </c>
      <c r="H746" t="str">
        <f>"CHECK"</f>
        <v>CHECK</v>
      </c>
      <c r="I746" t="str">
        <f>""</f>
        <v/>
      </c>
    </row>
    <row r="747" spans="1:9" x14ac:dyDescent="0.25">
      <c r="A747" s="6">
        <v>43028</v>
      </c>
      <c r="B747" t="s">
        <v>26</v>
      </c>
      <c r="C747">
        <v>55942</v>
      </c>
      <c r="D747" t="s">
        <v>95</v>
      </c>
      <c r="E747" s="7">
        <v>59.46</v>
      </c>
      <c r="F747" t="s">
        <v>20</v>
      </c>
      <c r="G747" t="s">
        <v>21</v>
      </c>
      <c r="H747" t="str">
        <f>"201709011"</f>
        <v>201709011</v>
      </c>
      <c r="I747" t="str">
        <f>"LEGAL PLANS"</f>
        <v>LEGAL PLANS</v>
      </c>
    </row>
    <row r="748" spans="1:9" x14ac:dyDescent="0.25">
      <c r="E748" s="7"/>
      <c r="F748" t="s">
        <v>20</v>
      </c>
      <c r="G748" t="s">
        <v>21</v>
      </c>
      <c r="H748" t="str">
        <f>"LEA201710108129"</f>
        <v>LEA201710108129</v>
      </c>
      <c r="I748" t="str">
        <f>"INSURANCE"</f>
        <v>INSURANCE</v>
      </c>
    </row>
    <row r="749" spans="1:9" x14ac:dyDescent="0.25">
      <c r="A749" s="6">
        <v>43028</v>
      </c>
      <c r="B749" t="s">
        <v>26</v>
      </c>
      <c r="C749">
        <v>55943</v>
      </c>
      <c r="D749" t="s">
        <v>96</v>
      </c>
      <c r="E749" s="7">
        <v>187.3</v>
      </c>
      <c r="F749" t="s">
        <v>20</v>
      </c>
      <c r="G749" t="s">
        <v>21</v>
      </c>
      <c r="H749" t="str">
        <f>"201710208138"</f>
        <v>201710208138</v>
      </c>
      <c r="I749" t="str">
        <f>"LEGALSHIELD"</f>
        <v>LEGALSHIELD</v>
      </c>
    </row>
    <row r="750" spans="1:9" x14ac:dyDescent="0.25">
      <c r="E750" s="7"/>
      <c r="F750" t="s">
        <v>20</v>
      </c>
      <c r="G750" t="s">
        <v>21</v>
      </c>
      <c r="H750" t="str">
        <f>"PPL201710108129"</f>
        <v>PPL201710108129</v>
      </c>
      <c r="I750" t="str">
        <f>"INSURANCE"</f>
        <v>INSURANCE</v>
      </c>
    </row>
    <row r="751" spans="1:9" x14ac:dyDescent="0.25">
      <c r="A751" s="6">
        <v>43028</v>
      </c>
      <c r="B751" t="s">
        <v>91</v>
      </c>
      <c r="C751">
        <v>55944</v>
      </c>
      <c r="D751" t="s">
        <v>97</v>
      </c>
      <c r="E751" s="7">
        <v>33710.07</v>
      </c>
      <c r="F751" t="s">
        <v>20</v>
      </c>
      <c r="G751" t="s">
        <v>21</v>
      </c>
      <c r="H751" t="str">
        <f>"BME201710108129"</f>
        <v>BME201710108129</v>
      </c>
      <c r="I751" t="str">
        <f>"INSURANCE"</f>
        <v>INSURANCE</v>
      </c>
    </row>
    <row r="752" spans="1:9" x14ac:dyDescent="0.25">
      <c r="E752" s="7"/>
      <c r="F752" t="s">
        <v>20</v>
      </c>
      <c r="G752" t="s">
        <v>21</v>
      </c>
      <c r="H752" t="str">
        <f>"MED201710108129"</f>
        <v>MED201710108129</v>
      </c>
      <c r="I752" t="str">
        <f>"INSURANCE"</f>
        <v>INSURANCE</v>
      </c>
    </row>
    <row r="753" spans="1:9" x14ac:dyDescent="0.25">
      <c r="A753" s="6">
        <v>43028</v>
      </c>
      <c r="B753" t="s">
        <v>91</v>
      </c>
      <c r="C753">
        <v>55944</v>
      </c>
      <c r="D753" t="s">
        <v>97</v>
      </c>
      <c r="E753" s="7">
        <v>33710.07</v>
      </c>
      <c r="F753" t="s">
        <v>20</v>
      </c>
      <c r="G753" t="s">
        <v>93</v>
      </c>
      <c r="H753" t="str">
        <f>"CHECK"</f>
        <v>CHECK</v>
      </c>
      <c r="I753" t="str">
        <f>""</f>
        <v/>
      </c>
    </row>
    <row r="754" spans="1:9" x14ac:dyDescent="0.25">
      <c r="A754" s="6">
        <v>43028</v>
      </c>
      <c r="B754" t="s">
        <v>26</v>
      </c>
      <c r="C754">
        <v>55946</v>
      </c>
      <c r="D754" t="s">
        <v>98</v>
      </c>
      <c r="E754" s="7">
        <v>2446.81</v>
      </c>
      <c r="F754" t="s">
        <v>20</v>
      </c>
      <c r="G754" t="s">
        <v>21</v>
      </c>
      <c r="H754" t="str">
        <f>"201710208139"</f>
        <v>201710208139</v>
      </c>
      <c r="I754" t="str">
        <f>"DEARBORN NATIONAL"</f>
        <v>DEARBORN NATIONAL</v>
      </c>
    </row>
    <row r="755" spans="1:9" x14ac:dyDescent="0.25">
      <c r="E755" s="7"/>
      <c r="F755" t="s">
        <v>20</v>
      </c>
      <c r="G755" t="s">
        <v>21</v>
      </c>
      <c r="H755" t="str">
        <f>"ADD201710108129"</f>
        <v>ADD201710108129</v>
      </c>
      <c r="I755" t="str">
        <f>"AD&amp;D"</f>
        <v>AD&amp;D</v>
      </c>
    </row>
    <row r="756" spans="1:9" x14ac:dyDescent="0.25">
      <c r="E756" s="7"/>
      <c r="F756" t="s">
        <v>20</v>
      </c>
      <c r="G756" t="s">
        <v>21</v>
      </c>
      <c r="H756" t="str">
        <f>"LIF201710108129"</f>
        <v>LIF201710108129</v>
      </c>
      <c r="I756" t="str">
        <f>"INSURANCE"</f>
        <v>INSURANCE</v>
      </c>
    </row>
    <row r="757" spans="1:9" x14ac:dyDescent="0.25">
      <c r="E757" s="7"/>
      <c r="F757" t="s">
        <v>20</v>
      </c>
      <c r="G757" t="s">
        <v>21</v>
      </c>
      <c r="H757" t="str">
        <f>"VLC201710108129"</f>
        <v>VLC201710108129</v>
      </c>
      <c r="I757" t="str">
        <f>"CHILD LIFE INSURANCE"</f>
        <v>CHILD LIFE INSURANCE</v>
      </c>
    </row>
    <row r="758" spans="1:9" x14ac:dyDescent="0.25">
      <c r="E758" s="7"/>
      <c r="F758" t="s">
        <v>20</v>
      </c>
      <c r="G758" t="s">
        <v>21</v>
      </c>
      <c r="H758" t="str">
        <f>"VLS201710108129"</f>
        <v>VLS201710108129</v>
      </c>
      <c r="I758" t="str">
        <f>"SPOUSE LIFE"</f>
        <v>SPOUSE LIFE</v>
      </c>
    </row>
    <row r="759" spans="1:9" x14ac:dyDescent="0.25">
      <c r="E759" s="7"/>
      <c r="F759" t="s">
        <v>20</v>
      </c>
      <c r="G759" t="s">
        <v>21</v>
      </c>
      <c r="H759" t="str">
        <f>"VOE201710108129"</f>
        <v>VOE201710108129</v>
      </c>
      <c r="I759" t="str">
        <f>"EMPLOYEE LIFE"</f>
        <v>EMPLOYEE LIFE</v>
      </c>
    </row>
    <row r="760" spans="1:9" x14ac:dyDescent="0.25">
      <c r="E760" s="7"/>
      <c r="F760" t="s">
        <v>20</v>
      </c>
      <c r="G760" t="s">
        <v>21</v>
      </c>
      <c r="H760" t="str">
        <f>"VOL201710108129"</f>
        <v>VOL201710108129</v>
      </c>
      <c r="I760" t="str">
        <f>"LIFE"</f>
        <v>LIFE</v>
      </c>
    </row>
    <row r="761" spans="1:9" x14ac:dyDescent="0.25">
      <c r="A761" s="6">
        <v>43028</v>
      </c>
      <c r="B761" t="s">
        <v>91</v>
      </c>
      <c r="C761">
        <v>55949</v>
      </c>
      <c r="D761" t="s">
        <v>99</v>
      </c>
      <c r="E761" s="7">
        <v>302.07</v>
      </c>
      <c r="F761" t="s">
        <v>20</v>
      </c>
      <c r="G761" t="s">
        <v>21</v>
      </c>
      <c r="H761" t="str">
        <f>"VIS201710108129"</f>
        <v>VIS201710108129</v>
      </c>
      <c r="I761" t="str">
        <f>"VISION INSURANCE"</f>
        <v>VISION INSURANCE</v>
      </c>
    </row>
    <row r="762" spans="1:9" x14ac:dyDescent="0.25">
      <c r="A762" s="6">
        <v>43028</v>
      </c>
      <c r="B762" t="s">
        <v>91</v>
      </c>
      <c r="C762">
        <v>55949</v>
      </c>
      <c r="D762" t="s">
        <v>99</v>
      </c>
      <c r="E762" s="7">
        <v>302.07</v>
      </c>
      <c r="F762" t="s">
        <v>20</v>
      </c>
      <c r="G762" t="s">
        <v>93</v>
      </c>
      <c r="H762" t="str">
        <f>"CHECK"</f>
        <v>CHECK</v>
      </c>
      <c r="I762" t="str">
        <f>""</f>
        <v/>
      </c>
    </row>
    <row r="763" spans="1:9" x14ac:dyDescent="0.25">
      <c r="A763" s="6">
        <v>43028</v>
      </c>
      <c r="B763" t="s">
        <v>26</v>
      </c>
      <c r="C763">
        <v>55950</v>
      </c>
      <c r="D763" t="s">
        <v>34</v>
      </c>
      <c r="E763" s="7">
        <v>357.4</v>
      </c>
      <c r="F763" t="s">
        <v>20</v>
      </c>
      <c r="G763" t="s">
        <v>21</v>
      </c>
      <c r="H763" t="str">
        <f>"10/2-10/15"</f>
        <v>10/2-10/15</v>
      </c>
      <c r="I763" t="str">
        <f>"SHIRLEY UNDERWOOD"</f>
        <v>SHIRLEY UNDERWOOD</v>
      </c>
    </row>
    <row r="764" spans="1:9" x14ac:dyDescent="0.25">
      <c r="A764" s="6">
        <v>43028</v>
      </c>
      <c r="B764" t="s">
        <v>91</v>
      </c>
      <c r="C764">
        <v>55951</v>
      </c>
      <c r="D764" t="s">
        <v>100</v>
      </c>
      <c r="E764" s="7">
        <v>1200</v>
      </c>
      <c r="F764" t="s">
        <v>20</v>
      </c>
      <c r="G764" t="s">
        <v>21</v>
      </c>
      <c r="H764" t="str">
        <f>"2334889"</f>
        <v>2334889</v>
      </c>
      <c r="I764" t="str">
        <f>"GAONA &amp; SONS"</f>
        <v>GAONA &amp; SONS</v>
      </c>
    </row>
    <row r="765" spans="1:9" x14ac:dyDescent="0.25">
      <c r="A765" s="6">
        <v>43028</v>
      </c>
      <c r="B765" t="s">
        <v>91</v>
      </c>
      <c r="C765">
        <v>55951</v>
      </c>
      <c r="D765" t="s">
        <v>100</v>
      </c>
      <c r="E765" s="7">
        <v>1200</v>
      </c>
      <c r="F765" t="s">
        <v>20</v>
      </c>
      <c r="G765" t="s">
        <v>93</v>
      </c>
      <c r="H765" t="str">
        <f>"CHECK"</f>
        <v>CHECK</v>
      </c>
      <c r="I765" t="str">
        <f>""</f>
        <v/>
      </c>
    </row>
    <row r="766" spans="1:9" x14ac:dyDescent="0.25">
      <c r="A766" s="6">
        <v>43028</v>
      </c>
      <c r="B766" t="s">
        <v>91</v>
      </c>
      <c r="C766">
        <v>55952</v>
      </c>
      <c r="D766" t="s">
        <v>101</v>
      </c>
      <c r="E766" s="7">
        <v>449</v>
      </c>
      <c r="F766" t="s">
        <v>20</v>
      </c>
      <c r="G766" t="s">
        <v>21</v>
      </c>
      <c r="H766" t="str">
        <f>"201710208140"</f>
        <v>201710208140</v>
      </c>
      <c r="I766" t="str">
        <f>"P.G. SHOCKS"</f>
        <v>P.G. SHOCKS</v>
      </c>
    </row>
    <row r="767" spans="1:9" x14ac:dyDescent="0.25">
      <c r="A767" s="6">
        <v>43028</v>
      </c>
      <c r="B767" t="s">
        <v>91</v>
      </c>
      <c r="C767">
        <v>55952</v>
      </c>
      <c r="D767" t="s">
        <v>101</v>
      </c>
      <c r="E767" s="7">
        <v>449</v>
      </c>
      <c r="F767" t="s">
        <v>20</v>
      </c>
      <c r="G767" t="s">
        <v>93</v>
      </c>
      <c r="H767" t="str">
        <f>"CHECK"</f>
        <v>CHECK</v>
      </c>
      <c r="I767" t="str">
        <f>""</f>
        <v/>
      </c>
    </row>
    <row r="768" spans="1:9" x14ac:dyDescent="0.25">
      <c r="A768" s="6">
        <v>43041</v>
      </c>
      <c r="B768" t="s">
        <v>26</v>
      </c>
      <c r="C768">
        <v>55962</v>
      </c>
      <c r="D768" t="s">
        <v>102</v>
      </c>
      <c r="E768" s="7">
        <v>170.41</v>
      </c>
      <c r="F768" t="s">
        <v>20</v>
      </c>
      <c r="G768" t="s">
        <v>21</v>
      </c>
      <c r="H768" t="str">
        <f>"201711018146"</f>
        <v>201711018146</v>
      </c>
      <c r="I768" t="str">
        <f>"CENTERPOINT ENERGY ENTEX"</f>
        <v>CENTERPOINT ENERGY ENTEX</v>
      </c>
    </row>
    <row r="769" spans="1:9" x14ac:dyDescent="0.25">
      <c r="E769" s="7"/>
      <c r="F769" t="s">
        <v>20</v>
      </c>
      <c r="G769" t="s">
        <v>21</v>
      </c>
      <c r="H769" t="str">
        <f>"201711018147"</f>
        <v>201711018147</v>
      </c>
      <c r="I769" t="str">
        <f>"CENTERPOINT ENERGY ENTEX"</f>
        <v>CENTERPOINT ENERGY ENTEX</v>
      </c>
    </row>
    <row r="770" spans="1:9" x14ac:dyDescent="0.25">
      <c r="E770" s="7"/>
      <c r="F770" t="s">
        <v>20</v>
      </c>
      <c r="G770" t="s">
        <v>21</v>
      </c>
      <c r="H770" t="str">
        <f>"201711018148"</f>
        <v>201711018148</v>
      </c>
      <c r="I770" t="str">
        <f>"CENTERPOINT ENERGY ENTEX"</f>
        <v>CENTERPOINT ENERGY ENTEX</v>
      </c>
    </row>
    <row r="771" spans="1:9" x14ac:dyDescent="0.25">
      <c r="E771" s="7"/>
      <c r="F771" t="s">
        <v>20</v>
      </c>
      <c r="G771" t="s">
        <v>21</v>
      </c>
      <c r="H771" t="str">
        <f>"201711018149"</f>
        <v>201711018149</v>
      </c>
      <c r="I771" t="str">
        <f>"CENTERPOINT ENERGY ENTEX"</f>
        <v>CENTERPOINT ENERGY ENTEX</v>
      </c>
    </row>
    <row r="772" spans="1:9" x14ac:dyDescent="0.25">
      <c r="A772" s="6">
        <v>43041</v>
      </c>
      <c r="B772" t="s">
        <v>26</v>
      </c>
      <c r="C772">
        <v>55963</v>
      </c>
      <c r="D772" t="s">
        <v>57</v>
      </c>
      <c r="E772" s="7">
        <v>23585.94</v>
      </c>
      <c r="F772" t="s">
        <v>20</v>
      </c>
      <c r="G772" t="s">
        <v>21</v>
      </c>
      <c r="H772" t="str">
        <f>"10.17.17"</f>
        <v>10.17.17</v>
      </c>
      <c r="I772" t="str">
        <f>"F.E.L.P.S."</f>
        <v>F.E.L.P.S.</v>
      </c>
    </row>
    <row r="773" spans="1:9" x14ac:dyDescent="0.25">
      <c r="A773" s="6">
        <v>43041</v>
      </c>
      <c r="B773" t="s">
        <v>26</v>
      </c>
      <c r="C773">
        <v>55964</v>
      </c>
      <c r="D773" t="s">
        <v>103</v>
      </c>
      <c r="E773" s="7">
        <v>62498.73</v>
      </c>
      <c r="F773" t="s">
        <v>20</v>
      </c>
      <c r="G773" t="s">
        <v>21</v>
      </c>
      <c r="H773" t="str">
        <f>"SALES TAX"</f>
        <v>SALES TAX</v>
      </c>
      <c r="I773" t="str">
        <f>"F. E. D. C."</f>
        <v>F. E. D. C.</v>
      </c>
    </row>
    <row r="774" spans="1:9" x14ac:dyDescent="0.25">
      <c r="A774" s="6">
        <v>43041</v>
      </c>
      <c r="B774" t="s">
        <v>26</v>
      </c>
      <c r="C774">
        <v>55965</v>
      </c>
      <c r="D774" t="s">
        <v>104</v>
      </c>
      <c r="E774" s="7">
        <v>1026.44</v>
      </c>
      <c r="F774" t="s">
        <v>20</v>
      </c>
      <c r="G774" t="s">
        <v>21</v>
      </c>
      <c r="H774" t="str">
        <f>"201711018145"</f>
        <v>201711018145</v>
      </c>
      <c r="I774" t="str">
        <f>"WILSON COUNTY NEWS"</f>
        <v>WILSON COUNTY NEWS</v>
      </c>
    </row>
    <row r="775" spans="1:9" x14ac:dyDescent="0.25">
      <c r="E775" s="7"/>
      <c r="F775" t="s">
        <v>20</v>
      </c>
      <c r="G775" t="s">
        <v>21</v>
      </c>
      <c r="H775" t="str">
        <f>"CN1068"</f>
        <v>CN1068</v>
      </c>
      <c r="I775" t="str">
        <f>"WILSON COUNTY NEWS"</f>
        <v>WILSON COUNTY NEWS</v>
      </c>
    </row>
    <row r="776" spans="1:9" x14ac:dyDescent="0.25">
      <c r="A776" s="6">
        <v>43041</v>
      </c>
      <c r="B776" t="s">
        <v>26</v>
      </c>
      <c r="C776">
        <v>55966</v>
      </c>
      <c r="D776" t="s">
        <v>105</v>
      </c>
      <c r="E776" s="7">
        <v>28</v>
      </c>
      <c r="F776" t="s">
        <v>20</v>
      </c>
      <c r="G776" t="s">
        <v>21</v>
      </c>
      <c r="H776" t="str">
        <f>"271290"</f>
        <v>271290</v>
      </c>
      <c r="I776" t="str">
        <f>"LUBE WORKS"</f>
        <v>LUBE WORKS</v>
      </c>
    </row>
    <row r="777" spans="1:9" x14ac:dyDescent="0.25">
      <c r="E777" s="7"/>
      <c r="F777" t="s">
        <v>20</v>
      </c>
      <c r="G777" t="s">
        <v>21</v>
      </c>
      <c r="H777" t="str">
        <f>"271976"</f>
        <v>271976</v>
      </c>
      <c r="I777" t="str">
        <f>"LUBE WORKS"</f>
        <v>LUBE WORKS</v>
      </c>
    </row>
    <row r="778" spans="1:9" x14ac:dyDescent="0.25">
      <c r="E778" s="7"/>
      <c r="F778" t="s">
        <v>20</v>
      </c>
      <c r="G778" t="s">
        <v>21</v>
      </c>
      <c r="H778" t="str">
        <f>"271982"</f>
        <v>271982</v>
      </c>
      <c r="I778" t="str">
        <f>"LUBE WORKS"</f>
        <v>LUBE WORKS</v>
      </c>
    </row>
    <row r="779" spans="1:9" x14ac:dyDescent="0.25">
      <c r="E779" s="7"/>
      <c r="F779" t="s">
        <v>20</v>
      </c>
      <c r="G779" t="s">
        <v>21</v>
      </c>
      <c r="H779" t="str">
        <f>"272061"</f>
        <v>272061</v>
      </c>
      <c r="I779" t="str">
        <f>"LUBE WORKS"</f>
        <v>LUBE WORKS</v>
      </c>
    </row>
    <row r="780" spans="1:9" x14ac:dyDescent="0.25">
      <c r="A780" s="6">
        <v>43041</v>
      </c>
      <c r="B780" t="s">
        <v>26</v>
      </c>
      <c r="C780">
        <v>55967</v>
      </c>
      <c r="D780" t="s">
        <v>106</v>
      </c>
      <c r="E780" s="7">
        <v>60</v>
      </c>
      <c r="F780" t="s">
        <v>20</v>
      </c>
      <c r="G780" t="s">
        <v>21</v>
      </c>
      <c r="H780" t="str">
        <f>"OBS173000514"</f>
        <v>OBS173000514</v>
      </c>
      <c r="I780" t="str">
        <f>"OMNIBASE SERVICES OF TEXAS"</f>
        <v>OMNIBASE SERVICES OF TEXAS</v>
      </c>
    </row>
    <row r="781" spans="1:9" x14ac:dyDescent="0.25">
      <c r="A781" s="6">
        <v>43041</v>
      </c>
      <c r="B781" t="s">
        <v>26</v>
      </c>
      <c r="C781">
        <v>55968</v>
      </c>
      <c r="D781" t="s">
        <v>107</v>
      </c>
      <c r="E781" s="7">
        <v>118.33</v>
      </c>
      <c r="F781" t="s">
        <v>20</v>
      </c>
      <c r="G781" t="s">
        <v>21</v>
      </c>
      <c r="H781" t="str">
        <f>"1166960-20170930"</f>
        <v>1166960-20170930</v>
      </c>
      <c r="I781" t="str">
        <f>"LEXISNEXIS RISK SOLUTIONS"</f>
        <v>LEXISNEXIS RISK SOLUTIONS</v>
      </c>
    </row>
    <row r="782" spans="1:9" x14ac:dyDescent="0.25">
      <c r="A782" s="6">
        <v>43041</v>
      </c>
      <c r="B782" t="s">
        <v>26</v>
      </c>
      <c r="C782">
        <v>55969</v>
      </c>
      <c r="D782" t="s">
        <v>108</v>
      </c>
      <c r="E782" s="7">
        <v>1403.37</v>
      </c>
      <c r="F782" t="s">
        <v>20</v>
      </c>
      <c r="G782" t="s">
        <v>21</v>
      </c>
      <c r="H782" t="str">
        <f>"41295582689"</f>
        <v>41295582689</v>
      </c>
      <c r="I782" t="str">
        <f>"POOLSURE"</f>
        <v>POOLSURE</v>
      </c>
    </row>
    <row r="783" spans="1:9" x14ac:dyDescent="0.25">
      <c r="A783" s="6">
        <v>43041</v>
      </c>
      <c r="B783" t="s">
        <v>26</v>
      </c>
      <c r="C783">
        <v>55970</v>
      </c>
      <c r="D783" t="s">
        <v>109</v>
      </c>
      <c r="E783" s="7">
        <v>1428</v>
      </c>
      <c r="F783" t="s">
        <v>20</v>
      </c>
      <c r="G783" t="s">
        <v>21</v>
      </c>
      <c r="H783" t="str">
        <f>"242885"</f>
        <v>242885</v>
      </c>
      <c r="I783" t="str">
        <f>"LEADSONLINE"</f>
        <v>LEADSONLINE</v>
      </c>
    </row>
    <row r="784" spans="1:9" x14ac:dyDescent="0.25">
      <c r="A784" s="6">
        <v>43041</v>
      </c>
      <c r="B784" t="s">
        <v>26</v>
      </c>
      <c r="C784">
        <v>55971</v>
      </c>
      <c r="D784" t="s">
        <v>110</v>
      </c>
      <c r="E784" s="7">
        <v>9291.48</v>
      </c>
      <c r="F784" t="s">
        <v>20</v>
      </c>
      <c r="G784" t="s">
        <v>21</v>
      </c>
      <c r="H784" t="str">
        <f>"1386616"</f>
        <v>1386616</v>
      </c>
      <c r="I784" t="str">
        <f t="shared" ref="I784:I791" si="3">"BUREAU VERITAS NORTH AMERICA"</f>
        <v>BUREAU VERITAS NORTH AMERICA</v>
      </c>
    </row>
    <row r="785" spans="1:9" x14ac:dyDescent="0.25">
      <c r="E785" s="7"/>
      <c r="F785" t="s">
        <v>20</v>
      </c>
      <c r="G785" t="s">
        <v>21</v>
      </c>
      <c r="H785" t="str">
        <f>"1386617"</f>
        <v>1386617</v>
      </c>
      <c r="I785" t="str">
        <f t="shared" si="3"/>
        <v>BUREAU VERITAS NORTH AMERICA</v>
      </c>
    </row>
    <row r="786" spans="1:9" x14ac:dyDescent="0.25">
      <c r="E786" s="7"/>
      <c r="F786" t="s">
        <v>20</v>
      </c>
      <c r="G786" t="s">
        <v>21</v>
      </c>
      <c r="H786" t="str">
        <f>"1386618"</f>
        <v>1386618</v>
      </c>
      <c r="I786" t="str">
        <f t="shared" si="3"/>
        <v>BUREAU VERITAS NORTH AMERICA</v>
      </c>
    </row>
    <row r="787" spans="1:9" x14ac:dyDescent="0.25">
      <c r="E787" s="7"/>
      <c r="F787" t="s">
        <v>20</v>
      </c>
      <c r="G787" t="s">
        <v>21</v>
      </c>
      <c r="H787" t="str">
        <f>"1386619"</f>
        <v>1386619</v>
      </c>
      <c r="I787" t="str">
        <f t="shared" si="3"/>
        <v>BUREAU VERITAS NORTH AMERICA</v>
      </c>
    </row>
    <row r="788" spans="1:9" x14ac:dyDescent="0.25">
      <c r="E788" s="7"/>
      <c r="F788" t="s">
        <v>20</v>
      </c>
      <c r="G788" t="s">
        <v>21</v>
      </c>
      <c r="H788" t="str">
        <f>"1386620"</f>
        <v>1386620</v>
      </c>
      <c r="I788" t="str">
        <f t="shared" si="3"/>
        <v>BUREAU VERITAS NORTH AMERICA</v>
      </c>
    </row>
    <row r="789" spans="1:9" x14ac:dyDescent="0.25">
      <c r="E789" s="7"/>
      <c r="F789" t="s">
        <v>20</v>
      </c>
      <c r="G789" t="s">
        <v>21</v>
      </c>
      <c r="H789" t="str">
        <f>"1386621"</f>
        <v>1386621</v>
      </c>
      <c r="I789" t="str">
        <f t="shared" si="3"/>
        <v>BUREAU VERITAS NORTH AMERICA</v>
      </c>
    </row>
    <row r="790" spans="1:9" x14ac:dyDescent="0.25">
      <c r="E790" s="7"/>
      <c r="F790" t="s">
        <v>20</v>
      </c>
      <c r="G790" t="s">
        <v>21</v>
      </c>
      <c r="H790" t="str">
        <f>"1386622"</f>
        <v>1386622</v>
      </c>
      <c r="I790" t="str">
        <f t="shared" si="3"/>
        <v>BUREAU VERITAS NORTH AMERICA</v>
      </c>
    </row>
    <row r="791" spans="1:9" x14ac:dyDescent="0.25">
      <c r="E791" s="7"/>
      <c r="F791" t="s">
        <v>20</v>
      </c>
      <c r="G791" t="s">
        <v>21</v>
      </c>
      <c r="H791" t="str">
        <f>"1386623"</f>
        <v>1386623</v>
      </c>
      <c r="I791" t="str">
        <f t="shared" si="3"/>
        <v>BUREAU VERITAS NORTH AMERICA</v>
      </c>
    </row>
    <row r="792" spans="1:9" x14ac:dyDescent="0.25">
      <c r="A792" s="6">
        <v>43041</v>
      </c>
      <c r="B792" t="s">
        <v>26</v>
      </c>
      <c r="C792">
        <v>55973</v>
      </c>
      <c r="D792" t="s">
        <v>111</v>
      </c>
      <c r="E792" s="7">
        <v>50</v>
      </c>
      <c r="F792" t="s">
        <v>20</v>
      </c>
      <c r="G792" t="s">
        <v>21</v>
      </c>
      <c r="H792" t="str">
        <f>"10/20/17 PV REF"</f>
        <v>10/20/17 PV REF</v>
      </c>
      <c r="I792" t="str">
        <f>"PAV REFUND"</f>
        <v>PAV REFUND</v>
      </c>
    </row>
    <row r="793" spans="1:9" x14ac:dyDescent="0.25">
      <c r="A793" s="6">
        <v>43041</v>
      </c>
      <c r="B793" t="s">
        <v>26</v>
      </c>
      <c r="C793">
        <v>55974</v>
      </c>
      <c r="D793" t="s">
        <v>112</v>
      </c>
      <c r="E793" s="7">
        <v>50</v>
      </c>
      <c r="F793" t="s">
        <v>20</v>
      </c>
      <c r="G793" t="s">
        <v>21</v>
      </c>
      <c r="H793" t="str">
        <f>"10/21/17 PV REF"</f>
        <v>10/21/17 PV REF</v>
      </c>
      <c r="I793" t="str">
        <f>"PAV REF"</f>
        <v>PAV REF</v>
      </c>
    </row>
    <row r="794" spans="1:9" x14ac:dyDescent="0.25">
      <c r="A794" s="6">
        <v>43041</v>
      </c>
      <c r="B794" t="s">
        <v>26</v>
      </c>
      <c r="C794">
        <v>55975</v>
      </c>
      <c r="D794" t="s">
        <v>113</v>
      </c>
      <c r="E794" s="7">
        <v>50</v>
      </c>
      <c r="F794" t="s">
        <v>20</v>
      </c>
      <c r="G794" t="s">
        <v>21</v>
      </c>
      <c r="H794" t="str">
        <f>"10/7/17 PV REF"</f>
        <v>10/7/17 PV REF</v>
      </c>
      <c r="I794" t="str">
        <f>"PAV REF"</f>
        <v>PAV REF</v>
      </c>
    </row>
    <row r="795" spans="1:9" x14ac:dyDescent="0.25">
      <c r="A795" s="6">
        <v>43041</v>
      </c>
      <c r="B795" t="s">
        <v>26</v>
      </c>
      <c r="C795">
        <v>55976</v>
      </c>
      <c r="D795" t="s">
        <v>61</v>
      </c>
      <c r="E795" s="7">
        <v>188</v>
      </c>
      <c r="F795" t="s">
        <v>20</v>
      </c>
      <c r="G795" t="s">
        <v>21</v>
      </c>
      <c r="H795" t="str">
        <f>"025-205010"</f>
        <v>025-205010</v>
      </c>
      <c r="I795" t="str">
        <f>"TYLER TECHNOLOGIES  INC."</f>
        <v>TYLER TECHNOLOGIES  INC.</v>
      </c>
    </row>
    <row r="796" spans="1:9" x14ac:dyDescent="0.25">
      <c r="A796" s="6">
        <v>43041</v>
      </c>
      <c r="B796" t="s">
        <v>26</v>
      </c>
      <c r="C796">
        <v>55977</v>
      </c>
      <c r="D796" t="s">
        <v>114</v>
      </c>
      <c r="E796" s="7">
        <v>9569.14</v>
      </c>
      <c r="F796" t="s">
        <v>20</v>
      </c>
      <c r="G796" t="s">
        <v>21</v>
      </c>
      <c r="H796" t="str">
        <f>"FYE 9/30/17"</f>
        <v>FYE 9/30/17</v>
      </c>
      <c r="I796" t="str">
        <f>"STATE COMPTROLLER"</f>
        <v>STATE COMPTROLLER</v>
      </c>
    </row>
    <row r="797" spans="1:9" x14ac:dyDescent="0.25">
      <c r="E797" s="7"/>
      <c r="F797" t="s">
        <v>20</v>
      </c>
      <c r="G797" t="s">
        <v>21</v>
      </c>
      <c r="H797" t="str">
        <f>"FYE 9/30/17*"</f>
        <v>FYE 9/30/17*</v>
      </c>
      <c r="I797" t="str">
        <f>"STATE COMPTROLLER"</f>
        <v>STATE COMPTROLLER</v>
      </c>
    </row>
    <row r="798" spans="1:9" x14ac:dyDescent="0.25">
      <c r="A798" s="6">
        <v>43041</v>
      </c>
      <c r="B798" t="s">
        <v>26</v>
      </c>
      <c r="C798">
        <v>55978</v>
      </c>
      <c r="D798" t="s">
        <v>115</v>
      </c>
      <c r="E798" s="7">
        <v>1405.06</v>
      </c>
      <c r="F798" t="s">
        <v>20</v>
      </c>
      <c r="G798" t="s">
        <v>21</v>
      </c>
      <c r="H798" t="str">
        <f>"3547018640"</f>
        <v>3547018640</v>
      </c>
      <c r="I798" t="str">
        <f t="shared" ref="I798:I809" si="4">"AUTOZONE"</f>
        <v>AUTOZONE</v>
      </c>
    </row>
    <row r="799" spans="1:9" x14ac:dyDescent="0.25">
      <c r="E799" s="7"/>
      <c r="F799" t="s">
        <v>20</v>
      </c>
      <c r="G799" t="s">
        <v>21</v>
      </c>
      <c r="H799" t="str">
        <f>"3547019021"</f>
        <v>3547019021</v>
      </c>
      <c r="I799" t="str">
        <f t="shared" si="4"/>
        <v>AUTOZONE</v>
      </c>
    </row>
    <row r="800" spans="1:9" x14ac:dyDescent="0.25">
      <c r="E800" s="7"/>
      <c r="F800" t="s">
        <v>20</v>
      </c>
      <c r="G800" t="s">
        <v>21</v>
      </c>
      <c r="H800" t="str">
        <f>"3547019098"</f>
        <v>3547019098</v>
      </c>
      <c r="I800" t="str">
        <f t="shared" si="4"/>
        <v>AUTOZONE</v>
      </c>
    </row>
    <row r="801" spans="1:9" x14ac:dyDescent="0.25">
      <c r="E801" s="7"/>
      <c r="F801" t="s">
        <v>20</v>
      </c>
      <c r="G801" t="s">
        <v>21</v>
      </c>
      <c r="H801" t="str">
        <f>"3547020437"</f>
        <v>3547020437</v>
      </c>
      <c r="I801" t="str">
        <f t="shared" si="4"/>
        <v>AUTOZONE</v>
      </c>
    </row>
    <row r="802" spans="1:9" x14ac:dyDescent="0.25">
      <c r="E802" s="7"/>
      <c r="F802" t="s">
        <v>20</v>
      </c>
      <c r="G802" t="s">
        <v>21</v>
      </c>
      <c r="H802" t="str">
        <f>"3547022416"</f>
        <v>3547022416</v>
      </c>
      <c r="I802" t="str">
        <f t="shared" si="4"/>
        <v>AUTOZONE</v>
      </c>
    </row>
    <row r="803" spans="1:9" x14ac:dyDescent="0.25">
      <c r="E803" s="7"/>
      <c r="F803" t="s">
        <v>20</v>
      </c>
      <c r="G803" t="s">
        <v>21</v>
      </c>
      <c r="H803" t="str">
        <f>"3547022542"</f>
        <v>3547022542</v>
      </c>
      <c r="I803" t="str">
        <f t="shared" si="4"/>
        <v>AUTOZONE</v>
      </c>
    </row>
    <row r="804" spans="1:9" x14ac:dyDescent="0.25">
      <c r="E804" s="7"/>
      <c r="F804" t="s">
        <v>20</v>
      </c>
      <c r="G804" t="s">
        <v>21</v>
      </c>
      <c r="H804" t="str">
        <f>"3547022709"</f>
        <v>3547022709</v>
      </c>
      <c r="I804" t="str">
        <f t="shared" si="4"/>
        <v>AUTOZONE</v>
      </c>
    </row>
    <row r="805" spans="1:9" x14ac:dyDescent="0.25">
      <c r="E805" s="7"/>
      <c r="F805" t="s">
        <v>20</v>
      </c>
      <c r="G805" t="s">
        <v>21</v>
      </c>
      <c r="H805" t="str">
        <f>"3547023565"</f>
        <v>3547023565</v>
      </c>
      <c r="I805" t="str">
        <f t="shared" si="4"/>
        <v>AUTOZONE</v>
      </c>
    </row>
    <row r="806" spans="1:9" x14ac:dyDescent="0.25">
      <c r="E806" s="7"/>
      <c r="F806" t="s">
        <v>20</v>
      </c>
      <c r="G806" t="s">
        <v>21</v>
      </c>
      <c r="H806" t="str">
        <f>"3547023791"</f>
        <v>3547023791</v>
      </c>
      <c r="I806" t="str">
        <f t="shared" si="4"/>
        <v>AUTOZONE</v>
      </c>
    </row>
    <row r="807" spans="1:9" x14ac:dyDescent="0.25">
      <c r="E807" s="7"/>
      <c r="F807" t="s">
        <v>20</v>
      </c>
      <c r="G807" t="s">
        <v>21</v>
      </c>
      <c r="H807" t="str">
        <f>"3547023803"</f>
        <v>3547023803</v>
      </c>
      <c r="I807" t="str">
        <f t="shared" si="4"/>
        <v>AUTOZONE</v>
      </c>
    </row>
    <row r="808" spans="1:9" x14ac:dyDescent="0.25">
      <c r="E808" s="7"/>
      <c r="F808" t="s">
        <v>20</v>
      </c>
      <c r="G808" t="s">
        <v>21</v>
      </c>
      <c r="H808" t="str">
        <f>"3547023811"</f>
        <v>3547023811</v>
      </c>
      <c r="I808" t="str">
        <f t="shared" si="4"/>
        <v>AUTOZONE</v>
      </c>
    </row>
    <row r="809" spans="1:9" x14ac:dyDescent="0.25">
      <c r="E809" s="7"/>
      <c r="F809" t="s">
        <v>20</v>
      </c>
      <c r="G809" t="s">
        <v>21</v>
      </c>
      <c r="H809" t="str">
        <f>"3547024378"</f>
        <v>3547024378</v>
      </c>
      <c r="I809" t="str">
        <f t="shared" si="4"/>
        <v>AUTOZONE</v>
      </c>
    </row>
    <row r="810" spans="1:9" x14ac:dyDescent="0.25">
      <c r="A810" s="6">
        <v>43041</v>
      </c>
      <c r="B810" t="s">
        <v>26</v>
      </c>
      <c r="C810">
        <v>55980</v>
      </c>
      <c r="D810" t="s">
        <v>63</v>
      </c>
      <c r="E810" s="7">
        <v>456.34</v>
      </c>
      <c r="F810" t="s">
        <v>20</v>
      </c>
      <c r="G810" t="s">
        <v>21</v>
      </c>
      <c r="H810" t="str">
        <f>"8403372818"</f>
        <v>8403372818</v>
      </c>
      <c r="I810" t="str">
        <f>"CINTAS CORPORATION"</f>
        <v>CINTAS CORPORATION</v>
      </c>
    </row>
    <row r="811" spans="1:9" x14ac:dyDescent="0.25">
      <c r="A811" s="6">
        <v>43041</v>
      </c>
      <c r="B811" t="s">
        <v>26</v>
      </c>
      <c r="C811">
        <v>55981</v>
      </c>
      <c r="D811" t="s">
        <v>116</v>
      </c>
      <c r="E811" s="7">
        <v>956.45</v>
      </c>
      <c r="F811" t="s">
        <v>20</v>
      </c>
      <c r="G811" t="s">
        <v>21</v>
      </c>
      <c r="H811" t="str">
        <f>"INV536892"</f>
        <v>INV536892</v>
      </c>
      <c r="I811" t="str">
        <f>"THE LIFEGUARD STORE  INC."</f>
        <v>THE LIFEGUARD STORE  INC.</v>
      </c>
    </row>
    <row r="812" spans="1:9" x14ac:dyDescent="0.25">
      <c r="E812" s="7"/>
      <c r="F812" t="s">
        <v>20</v>
      </c>
      <c r="G812" t="s">
        <v>21</v>
      </c>
      <c r="H812" t="str">
        <f>"INV567680"</f>
        <v>INV567680</v>
      </c>
      <c r="I812" t="str">
        <f>"THE LIFEGUARD STORE  INC."</f>
        <v>THE LIFEGUARD STORE  INC.</v>
      </c>
    </row>
    <row r="813" spans="1:9" x14ac:dyDescent="0.25">
      <c r="A813" s="6">
        <v>43041</v>
      </c>
      <c r="B813" t="s">
        <v>26</v>
      </c>
      <c r="C813">
        <v>55982</v>
      </c>
      <c r="D813" t="s">
        <v>117</v>
      </c>
      <c r="E813" s="7">
        <v>1722.1</v>
      </c>
      <c r="F813" t="s">
        <v>20</v>
      </c>
      <c r="G813" t="s">
        <v>21</v>
      </c>
      <c r="H813" t="str">
        <f>"9/2017"</f>
        <v>9/2017</v>
      </c>
      <c r="I813" t="str">
        <f>"LINEBARGER GOGGAN BLAIR &amp; SAMP"</f>
        <v>LINEBARGER GOGGAN BLAIR &amp; SAMP</v>
      </c>
    </row>
    <row r="814" spans="1:9" x14ac:dyDescent="0.25">
      <c r="A814" s="6">
        <v>43041</v>
      </c>
      <c r="B814" t="s">
        <v>26</v>
      </c>
      <c r="C814">
        <v>55983</v>
      </c>
      <c r="D814" t="s">
        <v>118</v>
      </c>
      <c r="E814" s="7">
        <v>801.21</v>
      </c>
      <c r="F814" t="s">
        <v>20</v>
      </c>
      <c r="G814" t="s">
        <v>21</v>
      </c>
      <c r="H814" t="str">
        <f>"10690"</f>
        <v>10690</v>
      </c>
      <c r="I814" t="str">
        <f>"BRYAN AIR CONDITIONING &amp; HEATI"</f>
        <v>BRYAN AIR CONDITIONING &amp; HEATI</v>
      </c>
    </row>
    <row r="815" spans="1:9" x14ac:dyDescent="0.25">
      <c r="A815" s="6">
        <v>43041</v>
      </c>
      <c r="B815" t="s">
        <v>26</v>
      </c>
      <c r="C815">
        <v>55984</v>
      </c>
      <c r="D815" t="s">
        <v>119</v>
      </c>
      <c r="E815" s="7">
        <v>214</v>
      </c>
      <c r="F815" t="s">
        <v>20</v>
      </c>
      <c r="G815" t="s">
        <v>21</v>
      </c>
      <c r="H815" t="str">
        <f>"33975"</f>
        <v>33975</v>
      </c>
      <c r="I815" t="str">
        <f>"PRUSKI'S TIRE SHOP  L.L.C."</f>
        <v>PRUSKI'S TIRE SHOP  L.L.C.</v>
      </c>
    </row>
    <row r="816" spans="1:9" x14ac:dyDescent="0.25">
      <c r="E816" s="7"/>
      <c r="F816" t="s">
        <v>20</v>
      </c>
      <c r="G816" t="s">
        <v>21</v>
      </c>
      <c r="H816" t="str">
        <f>"33994"</f>
        <v>33994</v>
      </c>
      <c r="I816" t="str">
        <f>"PRUSKI'S TIRE SHOP  L.L.C."</f>
        <v>PRUSKI'S TIRE SHOP  L.L.C.</v>
      </c>
    </row>
    <row r="817" spans="1:9" x14ac:dyDescent="0.25">
      <c r="A817" s="6">
        <v>43041</v>
      </c>
      <c r="B817" t="s">
        <v>26</v>
      </c>
      <c r="C817">
        <v>55985</v>
      </c>
      <c r="D817" t="s">
        <v>120</v>
      </c>
      <c r="E817" s="7">
        <v>1785.89</v>
      </c>
      <c r="F817" t="s">
        <v>20</v>
      </c>
      <c r="G817" t="s">
        <v>21</v>
      </c>
      <c r="H817" t="str">
        <f>"70576015"</f>
        <v>70576015</v>
      </c>
      <c r="I817" t="str">
        <f>"VERIZON BUSINESS"</f>
        <v>VERIZON BUSINESS</v>
      </c>
    </row>
    <row r="818" spans="1:9" x14ac:dyDescent="0.25">
      <c r="E818" s="7"/>
      <c r="F818" t="s">
        <v>20</v>
      </c>
      <c r="G818" t="s">
        <v>21</v>
      </c>
      <c r="H818" t="str">
        <f>"70576017"</f>
        <v>70576017</v>
      </c>
      <c r="I818" t="str">
        <f>"VERIZON BUSINESS"</f>
        <v>VERIZON BUSINESS</v>
      </c>
    </row>
    <row r="819" spans="1:9" x14ac:dyDescent="0.25">
      <c r="A819" s="6">
        <v>43041</v>
      </c>
      <c r="B819" t="s">
        <v>26</v>
      </c>
      <c r="C819">
        <v>55986</v>
      </c>
      <c r="D819" t="s">
        <v>121</v>
      </c>
      <c r="E819" s="7">
        <v>29512.13</v>
      </c>
      <c r="F819" t="s">
        <v>20</v>
      </c>
      <c r="G819" t="s">
        <v>21</v>
      </c>
      <c r="H819" t="str">
        <f>"3"</f>
        <v>3</v>
      </c>
      <c r="I819" t="str">
        <f>"FLORESVILLE ISD"</f>
        <v>FLORESVILLE ISD</v>
      </c>
    </row>
    <row r="820" spans="1:9" x14ac:dyDescent="0.25">
      <c r="A820" s="6">
        <v>43041</v>
      </c>
      <c r="B820" t="s">
        <v>26</v>
      </c>
      <c r="C820">
        <v>55987</v>
      </c>
      <c r="D820" t="s">
        <v>122</v>
      </c>
      <c r="E820" s="7">
        <v>10</v>
      </c>
      <c r="F820" t="s">
        <v>20</v>
      </c>
      <c r="G820" t="s">
        <v>21</v>
      </c>
      <c r="H820" t="str">
        <f>"0758637"</f>
        <v>0758637</v>
      </c>
      <c r="I820" t="str">
        <f>"VILLA TIRES"</f>
        <v>VILLA TIRES</v>
      </c>
    </row>
    <row r="821" spans="1:9" x14ac:dyDescent="0.25">
      <c r="A821" s="6">
        <v>43041</v>
      </c>
      <c r="B821" t="s">
        <v>26</v>
      </c>
      <c r="C821">
        <v>55988</v>
      </c>
      <c r="D821" t="s">
        <v>74</v>
      </c>
      <c r="E821" s="7">
        <v>50.26</v>
      </c>
      <c r="F821" t="s">
        <v>20</v>
      </c>
      <c r="G821" t="s">
        <v>21</v>
      </c>
      <c r="H821" t="str">
        <f>"9794103304"</f>
        <v>9794103304</v>
      </c>
      <c r="I821" t="str">
        <f>"VERIZON WIRELESS"</f>
        <v>VERIZON WIRELESS</v>
      </c>
    </row>
    <row r="822" spans="1:9" x14ac:dyDescent="0.25">
      <c r="A822" s="6">
        <v>43041</v>
      </c>
      <c r="B822" t="s">
        <v>26</v>
      </c>
      <c r="C822">
        <v>55989</v>
      </c>
      <c r="D822" t="s">
        <v>123</v>
      </c>
      <c r="E822" s="7">
        <v>545.74</v>
      </c>
      <c r="F822" t="s">
        <v>20</v>
      </c>
      <c r="G822" t="s">
        <v>21</v>
      </c>
      <c r="H822" t="str">
        <f>"972866850001"</f>
        <v>972866850001</v>
      </c>
      <c r="I822" t="str">
        <f>"OFFICE DEPOT  INC."</f>
        <v>OFFICE DEPOT  INC.</v>
      </c>
    </row>
    <row r="823" spans="1:9" x14ac:dyDescent="0.25">
      <c r="A823" s="6">
        <v>43041</v>
      </c>
      <c r="B823" t="s">
        <v>26</v>
      </c>
      <c r="C823">
        <v>55990</v>
      </c>
      <c r="D823" t="s">
        <v>124</v>
      </c>
      <c r="E823" s="7">
        <v>20.97</v>
      </c>
      <c r="F823" t="s">
        <v>20</v>
      </c>
      <c r="G823" t="s">
        <v>21</v>
      </c>
      <c r="H823" t="str">
        <f>"11152239"</f>
        <v>11152239</v>
      </c>
      <c r="I823" t="str">
        <f>"MCCOY'S CORPORATION"</f>
        <v>MCCOY'S CORPORATION</v>
      </c>
    </row>
    <row r="824" spans="1:9" x14ac:dyDescent="0.25">
      <c r="A824" s="6">
        <v>43041</v>
      </c>
      <c r="B824" t="s">
        <v>26</v>
      </c>
      <c r="C824">
        <v>55991</v>
      </c>
      <c r="D824" t="s">
        <v>78</v>
      </c>
      <c r="E824" s="7">
        <v>1762.93</v>
      </c>
      <c r="F824" t="s">
        <v>20</v>
      </c>
      <c r="G824" t="s">
        <v>21</v>
      </c>
      <c r="H824" t="str">
        <f>"23264"</f>
        <v>23264</v>
      </c>
      <c r="I824" t="str">
        <f>"DENTON NAVARRO ROCHA BERNAL HY"</f>
        <v>DENTON NAVARRO ROCHA BERNAL HY</v>
      </c>
    </row>
    <row r="825" spans="1:9" x14ac:dyDescent="0.25">
      <c r="A825" s="6">
        <v>43041</v>
      </c>
      <c r="B825" t="s">
        <v>26</v>
      </c>
      <c r="C825">
        <v>55992</v>
      </c>
      <c r="D825" t="s">
        <v>125</v>
      </c>
      <c r="E825" s="7">
        <v>250</v>
      </c>
      <c r="F825" t="s">
        <v>20</v>
      </c>
      <c r="G825" t="s">
        <v>21</v>
      </c>
      <c r="H825" t="str">
        <f>"17-0933"</f>
        <v>17-0933</v>
      </c>
      <c r="I825" t="str">
        <f>"INTREPID SURVEYING CORPORATION"</f>
        <v>INTREPID SURVEYING CORPORATION</v>
      </c>
    </row>
    <row r="826" spans="1:9" x14ac:dyDescent="0.25">
      <c r="A826" s="6">
        <v>43041</v>
      </c>
      <c r="B826" t="s">
        <v>26</v>
      </c>
      <c r="C826">
        <v>55993</v>
      </c>
      <c r="D826" t="s">
        <v>126</v>
      </c>
      <c r="E826" s="7">
        <v>77125.279999999999</v>
      </c>
      <c r="F826" t="s">
        <v>20</v>
      </c>
      <c r="G826" t="s">
        <v>21</v>
      </c>
      <c r="H826" t="str">
        <f>"0859-001913832"</f>
        <v>0859-001913832</v>
      </c>
      <c r="I826" t="str">
        <f>"REPUBLIC SERVICES #859"</f>
        <v>REPUBLIC SERVICES #859</v>
      </c>
    </row>
    <row r="827" spans="1:9" x14ac:dyDescent="0.25">
      <c r="A827" s="6">
        <v>43041</v>
      </c>
      <c r="B827" t="s">
        <v>26</v>
      </c>
      <c r="C827">
        <v>55994</v>
      </c>
      <c r="D827" t="s">
        <v>127</v>
      </c>
      <c r="E827" s="7">
        <v>140</v>
      </c>
      <c r="F827" t="s">
        <v>20</v>
      </c>
      <c r="G827" t="s">
        <v>21</v>
      </c>
      <c r="H827" t="str">
        <f>"730035"</f>
        <v>730035</v>
      </c>
      <c r="I827" t="str">
        <f>"A &amp; B COMMUNICATIONS"</f>
        <v>A &amp; B COMMUNICATIONS</v>
      </c>
    </row>
    <row r="828" spans="1:9" x14ac:dyDescent="0.25">
      <c r="E828" s="7"/>
      <c r="F828" t="s">
        <v>20</v>
      </c>
      <c r="G828" t="s">
        <v>21</v>
      </c>
      <c r="H828" t="str">
        <f>"730036"</f>
        <v>730036</v>
      </c>
      <c r="I828" t="str">
        <f>"A &amp; B COMMUNICATIONS"</f>
        <v>A &amp; B COMMUNICATIONS</v>
      </c>
    </row>
    <row r="829" spans="1:9" x14ac:dyDescent="0.25">
      <c r="A829" s="6">
        <v>43041</v>
      </c>
      <c r="B829" t="s">
        <v>26</v>
      </c>
      <c r="C829">
        <v>55995</v>
      </c>
      <c r="D829" t="s">
        <v>128</v>
      </c>
      <c r="E829" s="7">
        <v>48.99</v>
      </c>
      <c r="F829" t="s">
        <v>20</v>
      </c>
      <c r="G829" t="s">
        <v>21</v>
      </c>
      <c r="H829" t="str">
        <f>"TRAVEL 10/25/17"</f>
        <v>TRAVEL 10/25/17</v>
      </c>
      <c r="I829" t="str">
        <f>"HELEN S. MARTINEZ"</f>
        <v>HELEN S. MARTINEZ</v>
      </c>
    </row>
    <row r="830" spans="1:9" x14ac:dyDescent="0.25">
      <c r="A830" s="6">
        <v>43041</v>
      </c>
      <c r="B830" t="s">
        <v>26</v>
      </c>
      <c r="C830">
        <v>55996</v>
      </c>
      <c r="D830" t="s">
        <v>129</v>
      </c>
      <c r="E830" s="7">
        <v>94.16</v>
      </c>
      <c r="F830" t="s">
        <v>20</v>
      </c>
      <c r="G830" t="s">
        <v>21</v>
      </c>
      <c r="H830" t="str">
        <f>"P26954"</f>
        <v>P26954</v>
      </c>
      <c r="I830" t="str">
        <f>"AG-PRO COMPANIES"</f>
        <v>AG-PRO COMPANIES</v>
      </c>
    </row>
    <row r="831" spans="1:9" x14ac:dyDescent="0.25">
      <c r="A831" s="6">
        <v>43041</v>
      </c>
      <c r="B831" t="s">
        <v>26</v>
      </c>
      <c r="C831">
        <v>55997</v>
      </c>
      <c r="D831" t="s">
        <v>130</v>
      </c>
      <c r="E831" s="7">
        <v>1966.24</v>
      </c>
      <c r="F831" t="s">
        <v>20</v>
      </c>
      <c r="G831" t="s">
        <v>21</v>
      </c>
      <c r="H831" t="str">
        <f>"INV514183"</f>
        <v>INV514183</v>
      </c>
      <c r="I831" t="str">
        <f>"DOCUMATION"</f>
        <v>DOCUMATION</v>
      </c>
    </row>
    <row r="832" spans="1:9" x14ac:dyDescent="0.25">
      <c r="A832" s="6">
        <v>43041</v>
      </c>
      <c r="B832" t="s">
        <v>26</v>
      </c>
      <c r="C832">
        <v>55998</v>
      </c>
      <c r="D832" t="s">
        <v>131</v>
      </c>
      <c r="E832" s="7">
        <v>47.99</v>
      </c>
      <c r="F832" t="s">
        <v>20</v>
      </c>
      <c r="G832" t="s">
        <v>21</v>
      </c>
      <c r="H832" t="str">
        <f>"023449"</f>
        <v>023449</v>
      </c>
      <c r="I832" t="str">
        <f>"R &amp; S TEXAS PARTS CO"</f>
        <v>R &amp; S TEXAS PARTS CO</v>
      </c>
    </row>
    <row r="833" spans="1:9" x14ac:dyDescent="0.25">
      <c r="A833" s="6">
        <v>43041</v>
      </c>
      <c r="B833" t="s">
        <v>26</v>
      </c>
      <c r="C833">
        <v>55999</v>
      </c>
      <c r="D833" t="s">
        <v>84</v>
      </c>
      <c r="E833" s="7">
        <v>564.25</v>
      </c>
      <c r="F833" t="s">
        <v>20</v>
      </c>
      <c r="G833" t="s">
        <v>21</v>
      </c>
      <c r="H833" t="str">
        <f>"1269246"</f>
        <v>1269246</v>
      </c>
      <c r="I833" t="str">
        <f>"STANTEC CONSULTING SERVICES IN"</f>
        <v>STANTEC CONSULTING SERVICES IN</v>
      </c>
    </row>
    <row r="834" spans="1:9" x14ac:dyDescent="0.25">
      <c r="A834" s="6">
        <v>43041</v>
      </c>
      <c r="B834" t="s">
        <v>26</v>
      </c>
      <c r="C834">
        <v>56000</v>
      </c>
      <c r="D834" t="s">
        <v>85</v>
      </c>
      <c r="E834" s="7">
        <v>333.41</v>
      </c>
      <c r="F834" t="s">
        <v>20</v>
      </c>
      <c r="G834" t="s">
        <v>21</v>
      </c>
      <c r="H834" t="str">
        <f>"201711018142"</f>
        <v>201711018142</v>
      </c>
      <c r="I834" t="str">
        <f t="shared" ref="I834:I840" si="5">"FRONTIER"</f>
        <v>FRONTIER</v>
      </c>
    </row>
    <row r="835" spans="1:9" x14ac:dyDescent="0.25">
      <c r="E835" s="7"/>
      <c r="F835" t="s">
        <v>20</v>
      </c>
      <c r="G835" t="s">
        <v>21</v>
      </c>
      <c r="H835" t="str">
        <f>"201711018143"</f>
        <v>201711018143</v>
      </c>
      <c r="I835" t="str">
        <f t="shared" si="5"/>
        <v>FRONTIER</v>
      </c>
    </row>
    <row r="836" spans="1:9" x14ac:dyDescent="0.25">
      <c r="E836" s="7"/>
      <c r="F836" t="s">
        <v>20</v>
      </c>
      <c r="G836" t="s">
        <v>21</v>
      </c>
      <c r="H836" t="str">
        <f>"201711018144"</f>
        <v>201711018144</v>
      </c>
      <c r="I836" t="str">
        <f t="shared" si="5"/>
        <v>FRONTIER</v>
      </c>
    </row>
    <row r="837" spans="1:9" x14ac:dyDescent="0.25">
      <c r="E837" s="7"/>
      <c r="F837" t="s">
        <v>20</v>
      </c>
      <c r="G837" t="s">
        <v>21</v>
      </c>
      <c r="H837" t="str">
        <f>"201711018150"</f>
        <v>201711018150</v>
      </c>
      <c r="I837" t="str">
        <f t="shared" si="5"/>
        <v>FRONTIER</v>
      </c>
    </row>
    <row r="838" spans="1:9" x14ac:dyDescent="0.25">
      <c r="E838" s="7"/>
      <c r="F838" t="s">
        <v>20</v>
      </c>
      <c r="G838" t="s">
        <v>21</v>
      </c>
      <c r="H838" t="str">
        <f>"201711018151"</f>
        <v>201711018151</v>
      </c>
      <c r="I838" t="str">
        <f t="shared" si="5"/>
        <v>FRONTIER</v>
      </c>
    </row>
    <row r="839" spans="1:9" x14ac:dyDescent="0.25">
      <c r="E839" s="7"/>
      <c r="F839" t="s">
        <v>20</v>
      </c>
      <c r="G839" t="s">
        <v>21</v>
      </c>
      <c r="H839" t="str">
        <f>"201711018152"</f>
        <v>201711018152</v>
      </c>
      <c r="I839" t="str">
        <f t="shared" si="5"/>
        <v>FRONTIER</v>
      </c>
    </row>
    <row r="840" spans="1:9" x14ac:dyDescent="0.25">
      <c r="E840" s="7"/>
      <c r="F840" t="s">
        <v>20</v>
      </c>
      <c r="G840" t="s">
        <v>21</v>
      </c>
      <c r="H840" t="str">
        <f>"201711018153"</f>
        <v>201711018153</v>
      </c>
      <c r="I840" t="str">
        <f t="shared" si="5"/>
        <v>FRONTIER</v>
      </c>
    </row>
    <row r="841" spans="1:9" x14ac:dyDescent="0.25">
      <c r="A841" s="6">
        <v>43041</v>
      </c>
      <c r="B841" t="s">
        <v>26</v>
      </c>
      <c r="C841">
        <v>56002</v>
      </c>
      <c r="D841" t="s">
        <v>132</v>
      </c>
      <c r="E841" s="7">
        <v>49.45</v>
      </c>
      <c r="F841" t="s">
        <v>20</v>
      </c>
      <c r="G841" t="s">
        <v>21</v>
      </c>
      <c r="H841" t="str">
        <f>"16008854101117"</f>
        <v>16008854101117</v>
      </c>
      <c r="I841" t="str">
        <f>"SPARKLETTS &amp; SIERRA SPRINGS"</f>
        <v>SPARKLETTS &amp; SIERRA SPRINGS</v>
      </c>
    </row>
    <row r="842" spans="1:9" x14ac:dyDescent="0.25">
      <c r="A842" s="6">
        <v>43041</v>
      </c>
      <c r="B842" t="s">
        <v>26</v>
      </c>
      <c r="C842">
        <v>56003</v>
      </c>
      <c r="D842" t="s">
        <v>133</v>
      </c>
      <c r="E842" s="7">
        <v>64001.2</v>
      </c>
      <c r="F842" t="s">
        <v>20</v>
      </c>
      <c r="G842" t="s">
        <v>21</v>
      </c>
      <c r="H842" t="str">
        <f>"PAY APP#3"</f>
        <v>PAY APP#3</v>
      </c>
      <c r="I842" t="str">
        <f>"WAUTERS ENGINEERING"</f>
        <v>WAUTERS ENGINEERING</v>
      </c>
    </row>
    <row r="843" spans="1:9" x14ac:dyDescent="0.25">
      <c r="A843" s="6">
        <v>43041</v>
      </c>
      <c r="B843" t="s">
        <v>26</v>
      </c>
      <c r="C843">
        <v>56004</v>
      </c>
      <c r="D843" t="s">
        <v>134</v>
      </c>
      <c r="E843" s="7">
        <v>7939.2</v>
      </c>
      <c r="F843" t="s">
        <v>20</v>
      </c>
      <c r="G843" t="s">
        <v>21</v>
      </c>
      <c r="H843" t="str">
        <f>"2017-118.01"</f>
        <v>2017-118.01</v>
      </c>
      <c r="I843" t="str">
        <f>"MOODY ENGINEERING GROUP INC."</f>
        <v>MOODY ENGINEERING GROUP INC.</v>
      </c>
    </row>
    <row r="844" spans="1:9" x14ac:dyDescent="0.25">
      <c r="E844" s="7"/>
      <c r="F844" t="s">
        <v>20</v>
      </c>
      <c r="G844" t="s">
        <v>21</v>
      </c>
      <c r="H844" t="str">
        <f>"2017-118.02"</f>
        <v>2017-118.02</v>
      </c>
      <c r="I844" t="str">
        <f>"MOODY ENGINEERING GROUP INC."</f>
        <v>MOODY ENGINEERING GROUP INC.</v>
      </c>
    </row>
    <row r="845" spans="1:9" x14ac:dyDescent="0.25">
      <c r="E845" s="7"/>
      <c r="F845" t="s">
        <v>20</v>
      </c>
      <c r="G845" t="s">
        <v>21</v>
      </c>
      <c r="H845" t="str">
        <f>"2017-118.4"</f>
        <v>2017-118.4</v>
      </c>
      <c r="I845" t="str">
        <f>"MOODY ENGINEERING GROUP INC."</f>
        <v>MOODY ENGINEERING GROUP INC.</v>
      </c>
    </row>
    <row r="846" spans="1:9" x14ac:dyDescent="0.25">
      <c r="E846" s="7"/>
      <c r="F846" t="s">
        <v>20</v>
      </c>
      <c r="G846" t="s">
        <v>21</v>
      </c>
      <c r="H846" t="str">
        <f>"2017-118.5"</f>
        <v>2017-118.5</v>
      </c>
      <c r="I846" t="str">
        <f>"MOODY ENGINEERING GROUP INC."</f>
        <v>MOODY ENGINEERING GROUP INC.</v>
      </c>
    </row>
    <row r="847" spans="1:9" x14ac:dyDescent="0.25">
      <c r="A847" s="6">
        <v>43041</v>
      </c>
      <c r="B847" t="s">
        <v>91</v>
      </c>
      <c r="C847">
        <v>56005</v>
      </c>
      <c r="D847" t="s">
        <v>135</v>
      </c>
      <c r="E847" s="7">
        <v>180452.5</v>
      </c>
      <c r="F847" t="s">
        <v>20</v>
      </c>
      <c r="G847" t="s">
        <v>21</v>
      </c>
      <c r="H847" t="str">
        <f>"PAY APP#3"</f>
        <v>PAY APP#3</v>
      </c>
      <c r="I847" t="str">
        <f>"HENOCK CONSTRUCTION  LLC"</f>
        <v>HENOCK CONSTRUCTION  LLC</v>
      </c>
    </row>
    <row r="848" spans="1:9" x14ac:dyDescent="0.25">
      <c r="E848" s="7"/>
      <c r="F848" t="s">
        <v>20</v>
      </c>
      <c r="G848" t="s">
        <v>21</v>
      </c>
      <c r="H848" t="str">
        <f>"USDA PAY APP#3"</f>
        <v>USDA PAY APP#3</v>
      </c>
      <c r="I848" t="str">
        <f>"HENOCK CONSTRUCTION  LLC"</f>
        <v>HENOCK CONSTRUCTION  LLC</v>
      </c>
    </row>
    <row r="849" spans="1:9" x14ac:dyDescent="0.25">
      <c r="A849" s="6">
        <v>43041</v>
      </c>
      <c r="B849" t="s">
        <v>91</v>
      </c>
      <c r="C849">
        <v>56005</v>
      </c>
      <c r="D849" t="s">
        <v>135</v>
      </c>
      <c r="E849" s="7">
        <v>180452.5</v>
      </c>
      <c r="F849" t="s">
        <v>20</v>
      </c>
      <c r="G849" t="s">
        <v>93</v>
      </c>
      <c r="H849" t="str">
        <f>"CHECK"</f>
        <v>CHECK</v>
      </c>
      <c r="I849" t="str">
        <f>""</f>
        <v/>
      </c>
    </row>
    <row r="850" spans="1:9" x14ac:dyDescent="0.25">
      <c r="A850" s="6">
        <v>43041</v>
      </c>
      <c r="B850" t="s">
        <v>26</v>
      </c>
      <c r="C850">
        <v>56006</v>
      </c>
      <c r="D850" t="s">
        <v>135</v>
      </c>
      <c r="E850" s="7">
        <v>168625</v>
      </c>
      <c r="F850" t="s">
        <v>20</v>
      </c>
      <c r="G850" t="s">
        <v>21</v>
      </c>
      <c r="H850" t="str">
        <f>"PAYAPP#3"</f>
        <v>PAYAPP#3</v>
      </c>
      <c r="I850" t="str">
        <f>"HENOCK CONSTRUCTION  LLC"</f>
        <v>HENOCK CONSTRUCTION  LLC</v>
      </c>
    </row>
    <row r="851" spans="1:9" x14ac:dyDescent="0.25">
      <c r="A851" s="6">
        <v>43041</v>
      </c>
      <c r="B851" t="s">
        <v>26</v>
      </c>
      <c r="C851">
        <v>56007</v>
      </c>
      <c r="D851" t="s">
        <v>135</v>
      </c>
      <c r="E851" s="7">
        <v>11827.5</v>
      </c>
      <c r="F851" t="s">
        <v>20</v>
      </c>
      <c r="G851" t="s">
        <v>21</v>
      </c>
      <c r="H851" t="str">
        <f>"USDA PAYAPP#3"</f>
        <v>USDA PAYAPP#3</v>
      </c>
      <c r="I851" t="str">
        <f>"HENOCK CONSTRUCTION  LLC"</f>
        <v>HENOCK CONSTRUCTION  LLC</v>
      </c>
    </row>
    <row r="852" spans="1:9" x14ac:dyDescent="0.25">
      <c r="A852" s="6">
        <v>43041</v>
      </c>
      <c r="B852" t="s">
        <v>26</v>
      </c>
      <c r="C852">
        <v>56008</v>
      </c>
      <c r="D852" t="s">
        <v>35</v>
      </c>
      <c r="E852" s="7">
        <v>200</v>
      </c>
      <c r="F852" t="s">
        <v>20</v>
      </c>
      <c r="G852" t="s">
        <v>21</v>
      </c>
      <c r="H852" t="str">
        <f>"112017-5/2016"</f>
        <v>112017-5/2016</v>
      </c>
      <c r="I852" t="str">
        <f>"JANITORIAL SERVICES"</f>
        <v>JANITORIAL SERVICES</v>
      </c>
    </row>
    <row r="853" spans="1:9" x14ac:dyDescent="0.25">
      <c r="A853" s="6">
        <v>43041</v>
      </c>
      <c r="B853" t="s">
        <v>26</v>
      </c>
      <c r="C853">
        <v>56009</v>
      </c>
      <c r="D853" t="s">
        <v>36</v>
      </c>
      <c r="E853" s="7">
        <v>75</v>
      </c>
      <c r="F853" t="s">
        <v>20</v>
      </c>
      <c r="G853" t="s">
        <v>21</v>
      </c>
      <c r="H853" t="str">
        <f>"112017-COUNCIL"</f>
        <v>112017-COUNCIL</v>
      </c>
      <c r="I853" t="str">
        <f>""</f>
        <v/>
      </c>
    </row>
    <row r="854" spans="1:9" x14ac:dyDescent="0.25">
      <c r="A854" s="6">
        <v>43041</v>
      </c>
      <c r="B854" t="s">
        <v>26</v>
      </c>
      <c r="C854">
        <v>56010</v>
      </c>
      <c r="D854" t="s">
        <v>37</v>
      </c>
      <c r="E854" s="7">
        <v>75</v>
      </c>
      <c r="F854" t="s">
        <v>20</v>
      </c>
      <c r="G854" t="s">
        <v>21</v>
      </c>
      <c r="H854" t="str">
        <f>"112017-COUNCIL"</f>
        <v>112017-COUNCIL</v>
      </c>
      <c r="I854" t="str">
        <f>""</f>
        <v/>
      </c>
    </row>
    <row r="855" spans="1:9" x14ac:dyDescent="0.25">
      <c r="A855" s="6">
        <v>43041</v>
      </c>
      <c r="B855" t="s">
        <v>26</v>
      </c>
      <c r="C855">
        <v>56011</v>
      </c>
      <c r="D855" t="s">
        <v>38</v>
      </c>
      <c r="E855" s="7">
        <v>100</v>
      </c>
      <c r="F855" t="s">
        <v>20</v>
      </c>
      <c r="G855" t="s">
        <v>21</v>
      </c>
      <c r="H855" t="str">
        <f>"112017-MAYOR"</f>
        <v>112017-MAYOR</v>
      </c>
      <c r="I855" t="str">
        <f>""</f>
        <v/>
      </c>
    </row>
    <row r="856" spans="1:9" x14ac:dyDescent="0.25">
      <c r="A856" s="6">
        <v>43041</v>
      </c>
      <c r="B856" t="s">
        <v>26</v>
      </c>
      <c r="C856">
        <v>56012</v>
      </c>
      <c r="D856" t="s">
        <v>39</v>
      </c>
      <c r="E856" s="7">
        <v>75</v>
      </c>
      <c r="F856" t="s">
        <v>20</v>
      </c>
      <c r="G856" t="s">
        <v>21</v>
      </c>
      <c r="H856" t="str">
        <f>"112017-COUNCIL"</f>
        <v>112017-COUNCIL</v>
      </c>
      <c r="I856" t="str">
        <f>""</f>
        <v/>
      </c>
    </row>
    <row r="857" spans="1:9" x14ac:dyDescent="0.25">
      <c r="A857" s="6">
        <v>43041</v>
      </c>
      <c r="B857" t="s">
        <v>26</v>
      </c>
      <c r="C857">
        <v>56013</v>
      </c>
      <c r="D857" t="s">
        <v>40</v>
      </c>
      <c r="E857" s="7">
        <v>75</v>
      </c>
      <c r="F857" t="s">
        <v>20</v>
      </c>
      <c r="G857" t="s">
        <v>21</v>
      </c>
      <c r="H857" t="str">
        <f>"112017-COUNCIL"</f>
        <v>112017-COUNCIL</v>
      </c>
      <c r="I857" t="str">
        <f>""</f>
        <v/>
      </c>
    </row>
    <row r="858" spans="1:9" x14ac:dyDescent="0.25">
      <c r="A858" s="6">
        <v>43041</v>
      </c>
      <c r="B858" t="s">
        <v>26</v>
      </c>
      <c r="C858">
        <v>56014</v>
      </c>
      <c r="D858" t="s">
        <v>41</v>
      </c>
      <c r="E858" s="7">
        <v>75</v>
      </c>
      <c r="F858" t="s">
        <v>20</v>
      </c>
      <c r="G858" t="s">
        <v>21</v>
      </c>
      <c r="H858" t="str">
        <f>"112017-COUNCIL"</f>
        <v>112017-COUNCIL</v>
      </c>
      <c r="I858" t="str">
        <f>""</f>
        <v/>
      </c>
    </row>
    <row r="859" spans="1:9" x14ac:dyDescent="0.25">
      <c r="A859" s="6">
        <v>43041</v>
      </c>
      <c r="B859" t="s">
        <v>26</v>
      </c>
      <c r="C859">
        <v>56015</v>
      </c>
      <c r="D859" t="s">
        <v>51</v>
      </c>
      <c r="E859" s="7">
        <v>327.84</v>
      </c>
      <c r="F859" t="s">
        <v>20</v>
      </c>
      <c r="G859" t="s">
        <v>21</v>
      </c>
      <c r="H859" t="str">
        <f>"CLE201710258141"</f>
        <v>CLE201710258141</v>
      </c>
      <c r="I859" t="str">
        <f>"CLEAT ONLY DUES"</f>
        <v>CLEAT ONLY DUES</v>
      </c>
    </row>
    <row r="860" spans="1:9" x14ac:dyDescent="0.25">
      <c r="E860" s="7"/>
      <c r="F860" t="s">
        <v>20</v>
      </c>
      <c r="G860" t="s">
        <v>21</v>
      </c>
      <c r="H860" t="str">
        <f>"PDD201710258141"</f>
        <v>PDD201710258141</v>
      </c>
      <c r="I860" t="str">
        <f>"POLICE OFFICERS ASSOC DUES"</f>
        <v>POLICE OFFICERS ASSOC DUES</v>
      </c>
    </row>
    <row r="861" spans="1:9" x14ac:dyDescent="0.25">
      <c r="A861" s="6">
        <v>43041</v>
      </c>
      <c r="B861" t="s">
        <v>26</v>
      </c>
      <c r="C861">
        <v>56016</v>
      </c>
      <c r="D861" t="s">
        <v>52</v>
      </c>
      <c r="E861" s="7">
        <v>1745.38</v>
      </c>
      <c r="F861" t="s">
        <v>20</v>
      </c>
      <c r="G861" t="s">
        <v>21</v>
      </c>
      <c r="H861" t="str">
        <f>"CJM201710258141"</f>
        <v>CJM201710258141</v>
      </c>
      <c r="I861" t="str">
        <f>"1248728810120679CV LISA M FISH"</f>
        <v>1248728810120679CV LISA M FISH</v>
      </c>
    </row>
    <row r="862" spans="1:9" x14ac:dyDescent="0.25">
      <c r="E862" s="7"/>
      <c r="F862" t="s">
        <v>20</v>
      </c>
      <c r="G862" t="s">
        <v>21</v>
      </c>
      <c r="H862" t="str">
        <f>"CPS201710258141"</f>
        <v>CPS201710258141</v>
      </c>
      <c r="I862" t="str">
        <f>"G MENDOZA 00123012032010EM5054"</f>
        <v>G MENDOZA 00123012032010EM5054</v>
      </c>
    </row>
    <row r="863" spans="1:9" x14ac:dyDescent="0.25">
      <c r="E863" s="7"/>
      <c r="F863" t="s">
        <v>20</v>
      </c>
      <c r="G863" t="s">
        <v>21</v>
      </c>
      <c r="H863" t="str">
        <f>"CS 201710258141"</f>
        <v>CS 201710258141</v>
      </c>
      <c r="I863" t="str">
        <f>"CAUSE#98EM504113 PEGGY RIVAS"</f>
        <v>CAUSE#98EM504113 PEGGY RIVAS</v>
      </c>
    </row>
    <row r="864" spans="1:9" x14ac:dyDescent="0.25">
      <c r="E864" s="7"/>
      <c r="F864" t="s">
        <v>20</v>
      </c>
      <c r="G864" t="s">
        <v>21</v>
      </c>
      <c r="H864" t="str">
        <f>"CS1201710258141"</f>
        <v>CS1201710258141</v>
      </c>
      <c r="I864" t="str">
        <f>"CAUSE# 10008CVW DEBRA ESQUEDA"</f>
        <v>CAUSE# 10008CVW DEBRA ESQUEDA</v>
      </c>
    </row>
    <row r="865" spans="1:9" x14ac:dyDescent="0.25">
      <c r="E865" s="7"/>
      <c r="F865" t="s">
        <v>20</v>
      </c>
      <c r="G865" t="s">
        <v>21</v>
      </c>
      <c r="H865" t="str">
        <f>"CSJ201710258141"</f>
        <v>CSJ201710258141</v>
      </c>
      <c r="I865" t="str">
        <f>"CAUSE# 0010185272 MARIANN GUTI"</f>
        <v>CAUSE# 0010185272 MARIANN GUTI</v>
      </c>
    </row>
    <row r="866" spans="1:9" x14ac:dyDescent="0.25">
      <c r="E866" s="7"/>
      <c r="F866" t="s">
        <v>20</v>
      </c>
      <c r="G866" t="s">
        <v>21</v>
      </c>
      <c r="H866" t="str">
        <f>"CST201710258141"</f>
        <v>CST201710258141</v>
      </c>
      <c r="I866" t="str">
        <f>"CAUSE #0009418917 SONIA PEREZ"</f>
        <v>CAUSE #0009418917 SONIA PEREZ</v>
      </c>
    </row>
    <row r="867" spans="1:9" x14ac:dyDescent="0.25">
      <c r="A867" s="6">
        <v>43041</v>
      </c>
      <c r="B867" t="s">
        <v>26</v>
      </c>
      <c r="C867">
        <v>56017</v>
      </c>
      <c r="D867" t="s">
        <v>53</v>
      </c>
      <c r="E867" s="7">
        <v>99.1</v>
      </c>
      <c r="F867" t="s">
        <v>20</v>
      </c>
      <c r="G867" t="s">
        <v>21</v>
      </c>
      <c r="H867" t="str">
        <f>"MCO201710258141"</f>
        <v>MCO201710258141</v>
      </c>
      <c r="I867" t="str">
        <f>"MONICA CORDOVA"</f>
        <v>MONICA CORDOVA</v>
      </c>
    </row>
    <row r="868" spans="1:9" x14ac:dyDescent="0.25">
      <c r="A868" s="6">
        <v>43041</v>
      </c>
      <c r="B868" t="s">
        <v>26</v>
      </c>
      <c r="C868">
        <v>56018</v>
      </c>
      <c r="D868" t="s">
        <v>54</v>
      </c>
      <c r="E868" s="7">
        <v>696.63</v>
      </c>
      <c r="F868" t="s">
        <v>20</v>
      </c>
      <c r="G868" t="s">
        <v>21</v>
      </c>
      <c r="H868" t="str">
        <f>"457201710258141"</f>
        <v>457201710258141</v>
      </c>
      <c r="I868" t="str">
        <f>"CASE # 180-60751 457B DEDUCT"</f>
        <v>CASE # 180-60751 457B DEDUCT</v>
      </c>
    </row>
    <row r="869" spans="1:9" x14ac:dyDescent="0.25">
      <c r="A869" s="6">
        <v>43041</v>
      </c>
      <c r="B869" t="s">
        <v>26</v>
      </c>
      <c r="C869">
        <v>56019</v>
      </c>
      <c r="D869" t="s">
        <v>33</v>
      </c>
      <c r="E869" s="7">
        <v>80</v>
      </c>
      <c r="F869" t="s">
        <v>20</v>
      </c>
      <c r="G869" t="s">
        <v>21</v>
      </c>
      <c r="H869" t="str">
        <f>"10.21.17"</f>
        <v>10.21.17</v>
      </c>
      <c r="I869" t="str">
        <f>"DEBORAH KORCZYK"</f>
        <v>DEBORAH KORCZYK</v>
      </c>
    </row>
    <row r="870" spans="1:9" x14ac:dyDescent="0.25">
      <c r="A870" s="6">
        <v>43041</v>
      </c>
      <c r="B870" t="s">
        <v>26</v>
      </c>
      <c r="C870">
        <v>56020</v>
      </c>
      <c r="D870" t="s">
        <v>34</v>
      </c>
      <c r="E870" s="7">
        <v>384.2</v>
      </c>
      <c r="F870" t="s">
        <v>20</v>
      </c>
      <c r="G870" t="s">
        <v>21</v>
      </c>
      <c r="H870" t="str">
        <f>"10/16-10/29"</f>
        <v>10/16-10/29</v>
      </c>
      <c r="I870" t="str">
        <f>"SHIRLEY UNDERWOOD"</f>
        <v>SHIRLEY UNDERWOOD</v>
      </c>
    </row>
    <row r="871" spans="1:9" x14ac:dyDescent="0.25">
      <c r="A871" s="6">
        <v>43041</v>
      </c>
      <c r="B871" t="s">
        <v>26</v>
      </c>
      <c r="C871">
        <v>56021</v>
      </c>
      <c r="D871" t="s">
        <v>100</v>
      </c>
      <c r="E871" s="7">
        <v>1200</v>
      </c>
      <c r="F871" t="s">
        <v>20</v>
      </c>
      <c r="G871" t="s">
        <v>21</v>
      </c>
      <c r="H871" t="str">
        <f>"*2334889"</f>
        <v>*2334889</v>
      </c>
      <c r="I871" t="str">
        <f>"GAONA &amp; SONS"</f>
        <v>GAONA &amp; SONS</v>
      </c>
    </row>
    <row r="872" spans="1:9" x14ac:dyDescent="0.25">
      <c r="A872" s="6">
        <v>43041</v>
      </c>
      <c r="B872" t="s">
        <v>26</v>
      </c>
      <c r="C872">
        <v>56022</v>
      </c>
      <c r="D872" t="s">
        <v>101</v>
      </c>
      <c r="E872" s="7">
        <v>449</v>
      </c>
      <c r="F872" t="s">
        <v>20</v>
      </c>
      <c r="G872" t="s">
        <v>21</v>
      </c>
      <c r="H872" t="str">
        <f>"FPD"</f>
        <v>FPD</v>
      </c>
      <c r="I872" t="str">
        <f>"P.G. SHOCKS"</f>
        <v>P.G. SHOCKS</v>
      </c>
    </row>
    <row r="873" spans="1:9" x14ac:dyDescent="0.25">
      <c r="A873" s="6">
        <v>43041</v>
      </c>
      <c r="B873" t="s">
        <v>26</v>
      </c>
      <c r="C873">
        <v>56023</v>
      </c>
      <c r="D873" t="s">
        <v>30</v>
      </c>
      <c r="E873" s="7">
        <v>270</v>
      </c>
      <c r="F873" t="s">
        <v>20</v>
      </c>
      <c r="G873" t="s">
        <v>21</v>
      </c>
      <c r="H873" t="str">
        <f>"2017-17"</f>
        <v>2017-17</v>
      </c>
      <c r="I873" t="str">
        <f>"MARIA GONZALES"</f>
        <v>MARIA GONZALES</v>
      </c>
    </row>
    <row r="874" spans="1:9" x14ac:dyDescent="0.25">
      <c r="A874" s="6">
        <v>43042</v>
      </c>
      <c r="B874" t="s">
        <v>26</v>
      </c>
      <c r="C874">
        <v>56024</v>
      </c>
      <c r="D874" t="s">
        <v>136</v>
      </c>
      <c r="E874" s="7">
        <v>858</v>
      </c>
      <c r="F874" t="s">
        <v>20</v>
      </c>
      <c r="G874" t="s">
        <v>21</v>
      </c>
      <c r="H874" t="str">
        <f>"10/3-10/20"</f>
        <v>10/3-10/20</v>
      </c>
      <c r="I874" t="str">
        <f>"INEZ CLARICE TRINIDAD"</f>
        <v>INEZ CLARICE TRINIDAD</v>
      </c>
    </row>
    <row r="875" spans="1:9" x14ac:dyDescent="0.25">
      <c r="E875" s="7"/>
      <c r="F875" t="s">
        <v>20</v>
      </c>
      <c r="G875" t="s">
        <v>21</v>
      </c>
      <c r="H875" t="str">
        <f>"9/18-9/29"</f>
        <v>9/18-9/29</v>
      </c>
      <c r="I875" t="str">
        <f>"INEZ CLARICE TRINIDAD"</f>
        <v>INEZ CLARICE TRINIDAD</v>
      </c>
    </row>
    <row r="876" spans="1:9" x14ac:dyDescent="0.25">
      <c r="A876" s="6">
        <v>43042</v>
      </c>
      <c r="B876" t="s">
        <v>26</v>
      </c>
      <c r="C876">
        <v>56025</v>
      </c>
      <c r="D876" t="s">
        <v>137</v>
      </c>
      <c r="E876" s="7">
        <v>121.9</v>
      </c>
      <c r="F876" t="s">
        <v>20</v>
      </c>
      <c r="G876" t="s">
        <v>21</v>
      </c>
      <c r="H876" t="str">
        <f>"1440548"</f>
        <v>1440548</v>
      </c>
      <c r="I876" t="str">
        <f>"OMNIBUS-M  INC.D.B.A."</f>
        <v>OMNIBUS-M  INC.D.B.A.</v>
      </c>
    </row>
    <row r="877" spans="1:9" x14ac:dyDescent="0.25">
      <c r="E877" s="7"/>
      <c r="F877" t="s">
        <v>20</v>
      </c>
      <c r="G877" t="s">
        <v>21</v>
      </c>
      <c r="H877" t="str">
        <f>"1440549"</f>
        <v>1440549</v>
      </c>
      <c r="I877" t="str">
        <f>"OMNIBUS-M  INC.D.B.A."</f>
        <v>OMNIBUS-M  INC.D.B.A.</v>
      </c>
    </row>
    <row r="878" spans="1:9" x14ac:dyDescent="0.25">
      <c r="A878" s="6">
        <v>43042</v>
      </c>
      <c r="B878" t="s">
        <v>26</v>
      </c>
      <c r="C878">
        <v>56026</v>
      </c>
      <c r="D878" t="s">
        <v>138</v>
      </c>
      <c r="E878" s="7">
        <v>1846.08</v>
      </c>
      <c r="F878" t="s">
        <v>20</v>
      </c>
      <c r="G878" t="s">
        <v>21</v>
      </c>
      <c r="H878" t="str">
        <f>"201711038154"</f>
        <v>201711038154</v>
      </c>
      <c r="I878" t="str">
        <f>"CITY OF FLORESVILLE-FLEX SPEND"</f>
        <v>CITY OF FLORESVILLE-FLEX SPEND</v>
      </c>
    </row>
    <row r="879" spans="1:9" x14ac:dyDescent="0.25">
      <c r="A879" s="6">
        <v>43042</v>
      </c>
      <c r="B879" t="s">
        <v>26</v>
      </c>
      <c r="C879">
        <v>56027</v>
      </c>
      <c r="D879" t="s">
        <v>139</v>
      </c>
      <c r="E879" s="7">
        <v>600</v>
      </c>
      <c r="F879" t="s">
        <v>20</v>
      </c>
      <c r="G879" t="s">
        <v>21</v>
      </c>
      <c r="H879" t="str">
        <f>"22360"</f>
        <v>22360</v>
      </c>
      <c r="I879" t="str">
        <f>"ANGEL FIRE &amp; SAFETY"</f>
        <v>ANGEL FIRE &amp; SAFETY</v>
      </c>
    </row>
    <row r="880" spans="1:9" x14ac:dyDescent="0.25">
      <c r="E880" s="7"/>
      <c r="F880" t="s">
        <v>20</v>
      </c>
      <c r="G880" t="s">
        <v>21</v>
      </c>
      <c r="H880" t="str">
        <f>"22413"</f>
        <v>22413</v>
      </c>
      <c r="I880" t="str">
        <f>"ANGEL FIRE &amp; SAFETY"</f>
        <v>ANGEL FIRE &amp; SAFETY</v>
      </c>
    </row>
    <row r="881" spans="1:9" x14ac:dyDescent="0.25">
      <c r="A881" s="6">
        <v>43042</v>
      </c>
      <c r="B881" t="s">
        <v>26</v>
      </c>
      <c r="C881">
        <v>56028</v>
      </c>
      <c r="D881" t="s">
        <v>140</v>
      </c>
      <c r="E881" s="7">
        <v>5696</v>
      </c>
      <c r="F881" t="s">
        <v>20</v>
      </c>
      <c r="G881" t="s">
        <v>21</v>
      </c>
      <c r="H881" t="str">
        <f>"4"</f>
        <v>4</v>
      </c>
      <c r="I881" t="str">
        <f>"DEBRA J. DOCKERY"</f>
        <v>DEBRA J. DOCKERY</v>
      </c>
    </row>
    <row r="882" spans="1:9" x14ac:dyDescent="0.25">
      <c r="A882" s="6">
        <v>43042</v>
      </c>
      <c r="B882" t="s">
        <v>26</v>
      </c>
      <c r="C882">
        <v>56029</v>
      </c>
      <c r="D882" t="s">
        <v>141</v>
      </c>
      <c r="E882" s="7">
        <v>768.94</v>
      </c>
      <c r="F882" t="s">
        <v>20</v>
      </c>
      <c r="G882" t="s">
        <v>21</v>
      </c>
      <c r="H882" t="str">
        <f>"20357"</f>
        <v>20357</v>
      </c>
      <c r="I882" t="str">
        <f>"WESTON SIGNS LLC"</f>
        <v>WESTON SIGNS LLC</v>
      </c>
    </row>
    <row r="883" spans="1:9" x14ac:dyDescent="0.25">
      <c r="E883" s="7"/>
      <c r="F883" t="s">
        <v>20</v>
      </c>
      <c r="G883" t="s">
        <v>21</v>
      </c>
      <c r="H883" t="str">
        <f>"20358"</f>
        <v>20358</v>
      </c>
      <c r="I883" t="str">
        <f>"WESTON SIGNS LLC"</f>
        <v>WESTON SIGNS LLC</v>
      </c>
    </row>
    <row r="884" spans="1:9" x14ac:dyDescent="0.25">
      <c r="A884" s="6">
        <v>43042</v>
      </c>
      <c r="B884" t="s">
        <v>26</v>
      </c>
      <c r="C884">
        <v>56030</v>
      </c>
      <c r="D884" t="s">
        <v>142</v>
      </c>
      <c r="E884" s="7">
        <v>169</v>
      </c>
      <c r="F884" t="s">
        <v>20</v>
      </c>
      <c r="G884" t="s">
        <v>21</v>
      </c>
      <c r="H884" t="str">
        <f>"9.26.17"</f>
        <v>9.26.17</v>
      </c>
      <c r="I884" t="str">
        <f>"SPORTS MEDIA"</f>
        <v>SPORTS MEDIA</v>
      </c>
    </row>
    <row r="885" spans="1:9" x14ac:dyDescent="0.25">
      <c r="A885" s="6">
        <v>43047</v>
      </c>
      <c r="B885" t="s">
        <v>26</v>
      </c>
      <c r="C885">
        <v>56040</v>
      </c>
      <c r="D885" t="s">
        <v>51</v>
      </c>
      <c r="E885" s="7">
        <v>327.84</v>
      </c>
      <c r="F885" t="s">
        <v>20</v>
      </c>
      <c r="G885" t="s">
        <v>21</v>
      </c>
      <c r="H885" t="str">
        <f>"CLE201711088155"</f>
        <v>CLE201711088155</v>
      </c>
      <c r="I885" t="str">
        <f>"CLEAT ONLY DUES"</f>
        <v>CLEAT ONLY DUES</v>
      </c>
    </row>
    <row r="886" spans="1:9" x14ac:dyDescent="0.25">
      <c r="E886" s="7"/>
      <c r="F886" t="s">
        <v>20</v>
      </c>
      <c r="G886" t="s">
        <v>21</v>
      </c>
      <c r="H886" t="str">
        <f>"PDD201711088155"</f>
        <v>PDD201711088155</v>
      </c>
      <c r="I886" t="str">
        <f>"POLICE OFFICERS ASSOC DUES"</f>
        <v>POLICE OFFICERS ASSOC DUES</v>
      </c>
    </row>
    <row r="887" spans="1:9" x14ac:dyDescent="0.25">
      <c r="A887" s="6">
        <v>43047</v>
      </c>
      <c r="B887" t="s">
        <v>26</v>
      </c>
      <c r="C887">
        <v>56041</v>
      </c>
      <c r="D887" t="s">
        <v>52</v>
      </c>
      <c r="E887" s="7">
        <v>1745.38</v>
      </c>
      <c r="F887" t="s">
        <v>20</v>
      </c>
      <c r="G887" t="s">
        <v>21</v>
      </c>
      <c r="H887" t="str">
        <f>"CJM201711088155"</f>
        <v>CJM201711088155</v>
      </c>
      <c r="I887" t="str">
        <f>"1248728810120679CV LISA M FISH"</f>
        <v>1248728810120679CV LISA M FISH</v>
      </c>
    </row>
    <row r="888" spans="1:9" x14ac:dyDescent="0.25">
      <c r="E888" s="7"/>
      <c r="F888" t="s">
        <v>20</v>
      </c>
      <c r="G888" t="s">
        <v>21</v>
      </c>
      <c r="H888" t="str">
        <f>"CPS201711088155"</f>
        <v>CPS201711088155</v>
      </c>
      <c r="I888" t="str">
        <f>"G MENDOZA 00123012032010EM5054"</f>
        <v>G MENDOZA 00123012032010EM5054</v>
      </c>
    </row>
    <row r="889" spans="1:9" x14ac:dyDescent="0.25">
      <c r="E889" s="7"/>
      <c r="F889" t="s">
        <v>20</v>
      </c>
      <c r="G889" t="s">
        <v>21</v>
      </c>
      <c r="H889" t="str">
        <f>"CS 201711088155"</f>
        <v>CS 201711088155</v>
      </c>
      <c r="I889" t="str">
        <f>"CAUSE#98EM504113 PEGGY RIVAS"</f>
        <v>CAUSE#98EM504113 PEGGY RIVAS</v>
      </c>
    </row>
    <row r="890" spans="1:9" x14ac:dyDescent="0.25">
      <c r="E890" s="7"/>
      <c r="F890" t="s">
        <v>20</v>
      </c>
      <c r="G890" t="s">
        <v>21</v>
      </c>
      <c r="H890" t="str">
        <f>"CS1201711088155"</f>
        <v>CS1201711088155</v>
      </c>
      <c r="I890" t="str">
        <f>"CAUSE# 10008CVW DEBRA ESQUEDA"</f>
        <v>CAUSE# 10008CVW DEBRA ESQUEDA</v>
      </c>
    </row>
    <row r="891" spans="1:9" x14ac:dyDescent="0.25">
      <c r="E891" s="7"/>
      <c r="F891" t="s">
        <v>20</v>
      </c>
      <c r="G891" t="s">
        <v>21</v>
      </c>
      <c r="H891" t="str">
        <f>"CSJ201711088155"</f>
        <v>CSJ201711088155</v>
      </c>
      <c r="I891" t="str">
        <f>"CAUSE# 0010185272 MARIANN GUTI"</f>
        <v>CAUSE# 0010185272 MARIANN GUTI</v>
      </c>
    </row>
    <row r="892" spans="1:9" x14ac:dyDescent="0.25">
      <c r="E892" s="7"/>
      <c r="F892" t="s">
        <v>20</v>
      </c>
      <c r="G892" t="s">
        <v>21</v>
      </c>
      <c r="H892" t="str">
        <f>"CST201711088155"</f>
        <v>CST201711088155</v>
      </c>
      <c r="I892" t="str">
        <f>"CAUSE #0009418917 SONIA PEREZ"</f>
        <v>CAUSE #0009418917 SONIA PEREZ</v>
      </c>
    </row>
    <row r="893" spans="1:9" x14ac:dyDescent="0.25">
      <c r="A893" s="6">
        <v>43047</v>
      </c>
      <c r="B893" t="s">
        <v>26</v>
      </c>
      <c r="C893">
        <v>56042</v>
      </c>
      <c r="D893" t="s">
        <v>53</v>
      </c>
      <c r="E893" s="7">
        <v>99.1</v>
      </c>
      <c r="F893" t="s">
        <v>20</v>
      </c>
      <c r="G893" t="s">
        <v>21</v>
      </c>
      <c r="H893" t="str">
        <f>"MCO201711088155"</f>
        <v>MCO201711088155</v>
      </c>
      <c r="I893" t="str">
        <f>"MONICA CORDOVA"</f>
        <v>MONICA CORDOVA</v>
      </c>
    </row>
    <row r="894" spans="1:9" x14ac:dyDescent="0.25">
      <c r="A894" s="6">
        <v>43047</v>
      </c>
      <c r="B894" t="s">
        <v>26</v>
      </c>
      <c r="C894">
        <v>56043</v>
      </c>
      <c r="D894" t="s">
        <v>54</v>
      </c>
      <c r="E894" s="7">
        <v>845.48</v>
      </c>
      <c r="F894" t="s">
        <v>20</v>
      </c>
      <c r="G894" t="s">
        <v>21</v>
      </c>
      <c r="H894" t="str">
        <f>"457201711088155"</f>
        <v>457201711088155</v>
      </c>
      <c r="I894" t="str">
        <f>"CASE # 180-60751 457B DEDUCT"</f>
        <v>CASE # 180-60751 457B DEDUCT</v>
      </c>
    </row>
    <row r="895" spans="1:9" x14ac:dyDescent="0.25">
      <c r="A895" s="6">
        <v>43047</v>
      </c>
      <c r="B895" t="s">
        <v>26</v>
      </c>
      <c r="C895">
        <v>56044</v>
      </c>
      <c r="D895" t="s">
        <v>143</v>
      </c>
      <c r="E895" s="7">
        <v>275.45999999999998</v>
      </c>
      <c r="F895" t="s">
        <v>20</v>
      </c>
      <c r="G895" t="s">
        <v>21</v>
      </c>
      <c r="H895" t="str">
        <f>"9401729254"</f>
        <v>9401729254</v>
      </c>
      <c r="I895" t="str">
        <f>"ERGON ASPHALT AND EMULSIONS  I"</f>
        <v>ERGON ASPHALT AND EMULSIONS  I</v>
      </c>
    </row>
    <row r="896" spans="1:9" x14ac:dyDescent="0.25">
      <c r="A896" s="6">
        <v>43047</v>
      </c>
      <c r="B896" t="s">
        <v>26</v>
      </c>
      <c r="C896">
        <v>56045</v>
      </c>
      <c r="D896" t="s">
        <v>144</v>
      </c>
      <c r="E896" s="7">
        <v>280</v>
      </c>
      <c r="F896" t="s">
        <v>20</v>
      </c>
      <c r="G896" t="s">
        <v>21</v>
      </c>
      <c r="H896" t="str">
        <f>"SECURITY 11/4/17"</f>
        <v>SECURITY 11/4/17</v>
      </c>
      <c r="I896" t="str">
        <f>"DARIA FOWLER"</f>
        <v>DARIA FOWLER</v>
      </c>
    </row>
    <row r="897" spans="1:9" x14ac:dyDescent="0.25">
      <c r="A897" s="6">
        <v>43047</v>
      </c>
      <c r="B897" t="s">
        <v>26</v>
      </c>
      <c r="C897">
        <v>56046</v>
      </c>
      <c r="D897" t="s">
        <v>68</v>
      </c>
      <c r="E897" s="7">
        <v>1100</v>
      </c>
      <c r="F897" t="s">
        <v>20</v>
      </c>
      <c r="G897" t="s">
        <v>21</v>
      </c>
      <c r="H897" t="str">
        <f>"0 393366-IN"</f>
        <v>0 393366-IN</v>
      </c>
      <c r="I897" t="str">
        <f>"SOUTHWASTE DISPOSAL  LLP"</f>
        <v>SOUTHWASTE DISPOSAL  LLP</v>
      </c>
    </row>
    <row r="898" spans="1:9" x14ac:dyDescent="0.25">
      <c r="E898" s="7"/>
      <c r="F898" t="s">
        <v>20</v>
      </c>
      <c r="G898" t="s">
        <v>21</v>
      </c>
      <c r="H898" t="str">
        <f>"0 393449-IN"</f>
        <v>0 393449-IN</v>
      </c>
      <c r="I898" t="str">
        <f>"SOUTHWASTE DISPOSAL  LLP"</f>
        <v>SOUTHWASTE DISPOSAL  LLP</v>
      </c>
    </row>
    <row r="899" spans="1:9" x14ac:dyDescent="0.25">
      <c r="E899" s="7"/>
      <c r="F899" t="s">
        <v>20</v>
      </c>
      <c r="G899" t="s">
        <v>21</v>
      </c>
      <c r="H899" t="str">
        <f>"0 394296-IN"</f>
        <v>0 394296-IN</v>
      </c>
      <c r="I899" t="str">
        <f>"SOUTHWASTE DISPOSAL  LLP"</f>
        <v>SOUTHWASTE DISPOSAL  LLP</v>
      </c>
    </row>
    <row r="900" spans="1:9" x14ac:dyDescent="0.25">
      <c r="E900" s="7"/>
      <c r="F900" t="s">
        <v>20</v>
      </c>
      <c r="G900" t="s">
        <v>21</v>
      </c>
      <c r="H900" t="str">
        <f>"0 395260-IN"</f>
        <v>0 395260-IN</v>
      </c>
      <c r="I900" t="str">
        <f>"SOUTHWASTE DISPOSAL  LLP"</f>
        <v>SOUTHWASTE DISPOSAL  LLP</v>
      </c>
    </row>
    <row r="901" spans="1:9" x14ac:dyDescent="0.25">
      <c r="A901" s="6">
        <v>43047</v>
      </c>
      <c r="B901" t="s">
        <v>26</v>
      </c>
      <c r="C901">
        <v>56047</v>
      </c>
      <c r="D901" t="s">
        <v>145</v>
      </c>
      <c r="E901" s="7">
        <v>2532.67</v>
      </c>
      <c r="F901" t="s">
        <v>20</v>
      </c>
      <c r="G901" t="s">
        <v>21</v>
      </c>
      <c r="H901" t="str">
        <f>"IV170007161"</f>
        <v>IV170007161</v>
      </c>
      <c r="I901" t="str">
        <f>"ARROW-MAGNOLIA INTERNATIONAL I"</f>
        <v>ARROW-MAGNOLIA INTERNATIONAL I</v>
      </c>
    </row>
    <row r="902" spans="1:9" x14ac:dyDescent="0.25">
      <c r="A902" s="6">
        <v>43047</v>
      </c>
      <c r="B902" t="s">
        <v>26</v>
      </c>
      <c r="C902">
        <v>56048</v>
      </c>
      <c r="D902" t="s">
        <v>146</v>
      </c>
      <c r="E902" s="7">
        <v>1164.5</v>
      </c>
      <c r="F902" t="s">
        <v>20</v>
      </c>
      <c r="G902" t="s">
        <v>21</v>
      </c>
      <c r="H902" t="str">
        <f>"723083"</f>
        <v>723083</v>
      </c>
      <c r="I902" t="str">
        <f>"LARRY SRALLA ELECTRIC"</f>
        <v>LARRY SRALLA ELECTRIC</v>
      </c>
    </row>
    <row r="903" spans="1:9" x14ac:dyDescent="0.25">
      <c r="E903" s="7"/>
      <c r="F903" t="s">
        <v>20</v>
      </c>
      <c r="G903" t="s">
        <v>21</v>
      </c>
      <c r="H903" t="str">
        <f>"723084"</f>
        <v>723084</v>
      </c>
      <c r="I903" t="str">
        <f>"LARRY SRALLA ELECTRIC"</f>
        <v>LARRY SRALLA ELECTRIC</v>
      </c>
    </row>
    <row r="904" spans="1:9" x14ac:dyDescent="0.25">
      <c r="E904" s="7"/>
      <c r="F904" t="s">
        <v>20</v>
      </c>
      <c r="G904" t="s">
        <v>21</v>
      </c>
      <c r="H904" t="str">
        <f>"723086"</f>
        <v>723086</v>
      </c>
      <c r="I904" t="str">
        <f>"LARRY SRALLA ELECTRIC"</f>
        <v>LARRY SRALLA ELECTRIC</v>
      </c>
    </row>
    <row r="905" spans="1:9" x14ac:dyDescent="0.25">
      <c r="E905" s="7"/>
      <c r="F905" t="s">
        <v>20</v>
      </c>
      <c r="G905" t="s">
        <v>21</v>
      </c>
      <c r="H905" t="str">
        <f>"723087"</f>
        <v>723087</v>
      </c>
      <c r="I905" t="str">
        <f>"LARRY SRALLA ELECTRIC"</f>
        <v>LARRY SRALLA ELECTRIC</v>
      </c>
    </row>
    <row r="906" spans="1:9" x14ac:dyDescent="0.25">
      <c r="E906" s="7"/>
      <c r="F906" t="s">
        <v>20</v>
      </c>
      <c r="G906" t="s">
        <v>21</v>
      </c>
      <c r="H906" t="str">
        <f>"723090"</f>
        <v>723090</v>
      </c>
      <c r="I906" t="str">
        <f>"LARRY SRALLA ELECTRIC"</f>
        <v>LARRY SRALLA ELECTRIC</v>
      </c>
    </row>
    <row r="907" spans="1:9" x14ac:dyDescent="0.25">
      <c r="A907" s="6">
        <v>43047</v>
      </c>
      <c r="B907" t="s">
        <v>26</v>
      </c>
      <c r="C907">
        <v>56049</v>
      </c>
      <c r="D907" t="s">
        <v>77</v>
      </c>
      <c r="E907" s="7">
        <v>959.52</v>
      </c>
      <c r="F907" t="s">
        <v>20</v>
      </c>
      <c r="G907" t="s">
        <v>21</v>
      </c>
      <c r="H907" t="str">
        <f>"857001694-17"</f>
        <v>857001694-17</v>
      </c>
      <c r="I907" t="str">
        <f>"DPC INDUSTRIES  INC."</f>
        <v>DPC INDUSTRIES  INC.</v>
      </c>
    </row>
    <row r="908" spans="1:9" x14ac:dyDescent="0.25">
      <c r="E908" s="7"/>
      <c r="F908" t="s">
        <v>20</v>
      </c>
      <c r="G908" t="s">
        <v>21</v>
      </c>
      <c r="H908" t="str">
        <f>"DE85002232-17"</f>
        <v>DE85002232-17</v>
      </c>
      <c r="I908" t="str">
        <f>"DPC INDUSTRIES  INC."</f>
        <v>DPC INDUSTRIES  INC.</v>
      </c>
    </row>
    <row r="909" spans="1:9" x14ac:dyDescent="0.25">
      <c r="E909" s="7"/>
      <c r="F909" t="s">
        <v>20</v>
      </c>
      <c r="G909" t="s">
        <v>21</v>
      </c>
      <c r="H909" t="str">
        <f>"DE85002469-17"</f>
        <v>DE85002469-17</v>
      </c>
      <c r="I909" t="str">
        <f>"DPC INDUSTRIES  INC."</f>
        <v>DPC INDUSTRIES  INC.</v>
      </c>
    </row>
    <row r="910" spans="1:9" x14ac:dyDescent="0.25">
      <c r="A910" s="6">
        <v>43047</v>
      </c>
      <c r="B910" t="s">
        <v>26</v>
      </c>
      <c r="C910">
        <v>56050</v>
      </c>
      <c r="D910" t="s">
        <v>147</v>
      </c>
      <c r="E910" s="7">
        <v>183.67</v>
      </c>
      <c r="F910" t="s">
        <v>20</v>
      </c>
      <c r="G910" t="s">
        <v>21</v>
      </c>
      <c r="H910" t="str">
        <f>"420"</f>
        <v>420</v>
      </c>
      <c r="I910" t="str">
        <f>"SRALLA ELECTRIC"</f>
        <v>SRALLA ELECTRIC</v>
      </c>
    </row>
    <row r="911" spans="1:9" x14ac:dyDescent="0.25">
      <c r="E911" s="7"/>
      <c r="F911" t="s">
        <v>20</v>
      </c>
      <c r="G911" t="s">
        <v>21</v>
      </c>
      <c r="H911" t="str">
        <f>"424"</f>
        <v>424</v>
      </c>
      <c r="I911" t="str">
        <f>"SRALLA ELECTRIC"</f>
        <v>SRALLA ELECTRIC</v>
      </c>
    </row>
    <row r="912" spans="1:9" x14ac:dyDescent="0.25">
      <c r="A912" s="6">
        <v>43047</v>
      </c>
      <c r="B912" t="s">
        <v>26</v>
      </c>
      <c r="C912">
        <v>56051</v>
      </c>
      <c r="D912" t="s">
        <v>148</v>
      </c>
      <c r="E912" s="7">
        <v>7057.85</v>
      </c>
      <c r="F912" t="s">
        <v>20</v>
      </c>
      <c r="G912" t="s">
        <v>21</v>
      </c>
      <c r="H912" t="str">
        <f>"CWQ0052782"</f>
        <v>CWQ0052782</v>
      </c>
      <c r="I912" t="str">
        <f>"TEXAS COMMISSION ON ENVIRONMEN"</f>
        <v>TEXAS COMMISSION ON ENVIRONMEN</v>
      </c>
    </row>
    <row r="913" spans="1:9" x14ac:dyDescent="0.25">
      <c r="E913" s="7"/>
      <c r="F913" t="s">
        <v>20</v>
      </c>
      <c r="G913" t="s">
        <v>21</v>
      </c>
      <c r="H913" t="str">
        <f>"STX0039156"</f>
        <v>STX0039156</v>
      </c>
      <c r="I913" t="str">
        <f>"TEXAS COMMISSION ON ENVIRONMEN"</f>
        <v>TEXAS COMMISSION ON ENVIRONMEN</v>
      </c>
    </row>
    <row r="914" spans="1:9" x14ac:dyDescent="0.25">
      <c r="A914" s="6">
        <v>43047</v>
      </c>
      <c r="B914" t="s">
        <v>26</v>
      </c>
      <c r="C914">
        <v>56052</v>
      </c>
      <c r="D914" t="s">
        <v>128</v>
      </c>
      <c r="E914" s="7">
        <v>253.19</v>
      </c>
      <c r="F914" t="s">
        <v>20</v>
      </c>
      <c r="G914" t="s">
        <v>21</v>
      </c>
      <c r="H914" t="str">
        <f>"TRAINING"</f>
        <v>TRAINING</v>
      </c>
      <c r="I914" t="str">
        <f>"HELEN S. MARTINEZ"</f>
        <v>HELEN S. MARTINEZ</v>
      </c>
    </row>
    <row r="915" spans="1:9" x14ac:dyDescent="0.25">
      <c r="A915" s="6">
        <v>43047</v>
      </c>
      <c r="B915" t="s">
        <v>26</v>
      </c>
      <c r="C915">
        <v>56053</v>
      </c>
      <c r="D915" t="s">
        <v>149</v>
      </c>
      <c r="E915" s="7">
        <v>143.71</v>
      </c>
      <c r="F915" t="s">
        <v>20</v>
      </c>
      <c r="G915" t="s">
        <v>21</v>
      </c>
      <c r="H915" t="str">
        <f>"158633"</f>
        <v>158633</v>
      </c>
      <c r="I915" t="str">
        <f>"SEWER EQUIPMENT"</f>
        <v>SEWER EQUIPMENT</v>
      </c>
    </row>
    <row r="916" spans="1:9" x14ac:dyDescent="0.25">
      <c r="A916" s="6">
        <v>43052</v>
      </c>
      <c r="B916" t="s">
        <v>26</v>
      </c>
      <c r="C916">
        <v>56054</v>
      </c>
      <c r="D916" t="s">
        <v>150</v>
      </c>
      <c r="E916" s="7">
        <v>45000</v>
      </c>
      <c r="F916" t="s">
        <v>20</v>
      </c>
      <c r="G916" t="s">
        <v>21</v>
      </c>
      <c r="H916" t="str">
        <f>"201711138158"</f>
        <v>201711138158</v>
      </c>
      <c r="I916" t="str">
        <f>"FLORESVILLE CHAMBER OF COMMERC"</f>
        <v>FLORESVILLE CHAMBER OF COMMERC</v>
      </c>
    </row>
    <row r="917" spans="1:9" x14ac:dyDescent="0.25">
      <c r="A917" s="6">
        <v>43052</v>
      </c>
      <c r="B917" t="s">
        <v>26</v>
      </c>
      <c r="C917">
        <v>56055</v>
      </c>
      <c r="D917" t="s">
        <v>104</v>
      </c>
      <c r="E917" s="7">
        <v>1261.5999999999999</v>
      </c>
      <c r="F917" t="s">
        <v>20</v>
      </c>
      <c r="G917" t="s">
        <v>21</v>
      </c>
      <c r="H917" t="str">
        <f>"43039"</f>
        <v>43039</v>
      </c>
      <c r="I917" t="str">
        <f>"WILSON COUNTY NEWS"</f>
        <v>WILSON COUNTY NEWS</v>
      </c>
    </row>
    <row r="918" spans="1:9" x14ac:dyDescent="0.25">
      <c r="A918" s="6">
        <v>43052</v>
      </c>
      <c r="B918" t="s">
        <v>26</v>
      </c>
      <c r="C918">
        <v>56056</v>
      </c>
      <c r="D918" t="s">
        <v>90</v>
      </c>
      <c r="E918" s="7">
        <v>2348.4</v>
      </c>
      <c r="F918" t="s">
        <v>20</v>
      </c>
      <c r="G918" t="s">
        <v>21</v>
      </c>
      <c r="H918" t="str">
        <f>"11/2017"</f>
        <v>11/2017</v>
      </c>
      <c r="I918" t="str">
        <f>"AFLAC"</f>
        <v>AFLAC</v>
      </c>
    </row>
    <row r="919" spans="1:9" x14ac:dyDescent="0.25">
      <c r="E919" s="7"/>
      <c r="F919" t="s">
        <v>20</v>
      </c>
      <c r="G919" t="s">
        <v>21</v>
      </c>
      <c r="H919" t="str">
        <f>"ACA201710258141"</f>
        <v>ACA201710258141</v>
      </c>
      <c r="I919" t="str">
        <f>"AFLAC INSURANCE"</f>
        <v>AFLAC INSURANCE</v>
      </c>
    </row>
    <row r="920" spans="1:9" x14ac:dyDescent="0.25">
      <c r="E920" s="7"/>
      <c r="F920" t="s">
        <v>20</v>
      </c>
      <c r="G920" t="s">
        <v>21</v>
      </c>
      <c r="H920" t="str">
        <f>"ACA201711088155"</f>
        <v>ACA201711088155</v>
      </c>
      <c r="I920" t="str">
        <f>"AFLAC INSURANCE"</f>
        <v>AFLAC INSURANCE</v>
      </c>
    </row>
    <row r="921" spans="1:9" x14ac:dyDescent="0.25">
      <c r="E921" s="7"/>
      <c r="F921" t="s">
        <v>20</v>
      </c>
      <c r="G921" t="s">
        <v>21</v>
      </c>
      <c r="H921" t="str">
        <f>"AD2201710258141"</f>
        <v>AD2201710258141</v>
      </c>
      <c r="I921" t="str">
        <f>"AFLAC INSURANCE"</f>
        <v>AFLAC INSURANCE</v>
      </c>
    </row>
    <row r="922" spans="1:9" x14ac:dyDescent="0.25">
      <c r="E922" s="7"/>
      <c r="F922" t="s">
        <v>20</v>
      </c>
      <c r="G922" t="s">
        <v>21</v>
      </c>
      <c r="H922" t="str">
        <f>"AD2201711088155"</f>
        <v>AD2201711088155</v>
      </c>
      <c r="I922" t="str">
        <f>"AFLAC INSURANCE"</f>
        <v>AFLAC INSURANCE</v>
      </c>
    </row>
    <row r="923" spans="1:9" x14ac:dyDescent="0.25">
      <c r="E923" s="7"/>
      <c r="F923" t="s">
        <v>20</v>
      </c>
      <c r="G923" t="s">
        <v>21</v>
      </c>
      <c r="H923" t="str">
        <f>"ADR201710258141"</f>
        <v>ADR201710258141</v>
      </c>
      <c r="I923" t="str">
        <f>"INSURANCE"</f>
        <v>INSURANCE</v>
      </c>
    </row>
    <row r="924" spans="1:9" x14ac:dyDescent="0.25">
      <c r="E924" s="7"/>
      <c r="F924" t="s">
        <v>20</v>
      </c>
      <c r="G924" t="s">
        <v>21</v>
      </c>
      <c r="H924" t="str">
        <f>"ADR201711088155"</f>
        <v>ADR201711088155</v>
      </c>
      <c r="I924" t="str">
        <f>"INSURANCE"</f>
        <v>INSURANCE</v>
      </c>
    </row>
    <row r="925" spans="1:9" x14ac:dyDescent="0.25">
      <c r="E925" s="7"/>
      <c r="F925" t="s">
        <v>20</v>
      </c>
      <c r="G925" t="s">
        <v>21</v>
      </c>
      <c r="H925" t="str">
        <f>"AF1201710258141"</f>
        <v>AF1201710258141</v>
      </c>
      <c r="I925" t="str">
        <f t="shared" ref="I925:I930" si="6">"AFLAC INSURANCE"</f>
        <v>AFLAC INSURANCE</v>
      </c>
    </row>
    <row r="926" spans="1:9" x14ac:dyDescent="0.25">
      <c r="E926" s="7"/>
      <c r="F926" t="s">
        <v>20</v>
      </c>
      <c r="G926" t="s">
        <v>21</v>
      </c>
      <c r="H926" t="str">
        <f>"AF1201711088155"</f>
        <v>AF1201711088155</v>
      </c>
      <c r="I926" t="str">
        <f t="shared" si="6"/>
        <v>AFLAC INSURANCE</v>
      </c>
    </row>
    <row r="927" spans="1:9" x14ac:dyDescent="0.25">
      <c r="E927" s="7"/>
      <c r="F927" t="s">
        <v>20</v>
      </c>
      <c r="G927" t="s">
        <v>21</v>
      </c>
      <c r="H927" t="str">
        <f>"ASP201710258141"</f>
        <v>ASP201710258141</v>
      </c>
      <c r="I927" t="str">
        <f t="shared" si="6"/>
        <v>AFLAC INSURANCE</v>
      </c>
    </row>
    <row r="928" spans="1:9" x14ac:dyDescent="0.25">
      <c r="E928" s="7"/>
      <c r="F928" t="s">
        <v>20</v>
      </c>
      <c r="G928" t="s">
        <v>21</v>
      </c>
      <c r="H928" t="str">
        <f>"ASP201711088155"</f>
        <v>ASP201711088155</v>
      </c>
      <c r="I928" t="str">
        <f t="shared" si="6"/>
        <v>AFLAC INSURANCE</v>
      </c>
    </row>
    <row r="929" spans="1:9" x14ac:dyDescent="0.25">
      <c r="E929" s="7"/>
      <c r="F929" t="s">
        <v>20</v>
      </c>
      <c r="G929" t="s">
        <v>21</v>
      </c>
      <c r="H929" t="str">
        <f>"HCO201710258141"</f>
        <v>HCO201710258141</v>
      </c>
      <c r="I929" t="str">
        <f t="shared" si="6"/>
        <v>AFLAC INSURANCE</v>
      </c>
    </row>
    <row r="930" spans="1:9" x14ac:dyDescent="0.25">
      <c r="E930" s="7"/>
      <c r="F930" t="s">
        <v>20</v>
      </c>
      <c r="G930" t="s">
        <v>21</v>
      </c>
      <c r="H930" t="str">
        <f>"HCO201711088155"</f>
        <v>HCO201711088155</v>
      </c>
      <c r="I930" t="str">
        <f t="shared" si="6"/>
        <v>AFLAC INSURANCE</v>
      </c>
    </row>
    <row r="931" spans="1:9" x14ac:dyDescent="0.25">
      <c r="E931" s="7"/>
      <c r="F931" t="s">
        <v>20</v>
      </c>
      <c r="G931" t="s">
        <v>21</v>
      </c>
      <c r="H931" t="str">
        <f>"STD201710258141"</f>
        <v>STD201710258141</v>
      </c>
      <c r="I931" t="str">
        <f>"INSURANCE"</f>
        <v>INSURANCE</v>
      </c>
    </row>
    <row r="932" spans="1:9" x14ac:dyDescent="0.25">
      <c r="E932" s="7"/>
      <c r="F932" t="s">
        <v>20</v>
      </c>
      <c r="G932" t="s">
        <v>21</v>
      </c>
      <c r="H932" t="str">
        <f>"STD201711088155"</f>
        <v>STD201711088155</v>
      </c>
      <c r="I932" t="str">
        <f>"INSURANCE"</f>
        <v>INSURANCE</v>
      </c>
    </row>
    <row r="933" spans="1:9" x14ac:dyDescent="0.25">
      <c r="A933" s="6">
        <v>43052</v>
      </c>
      <c r="B933" t="s">
        <v>26</v>
      </c>
      <c r="C933">
        <v>56059</v>
      </c>
      <c r="D933" t="s">
        <v>151</v>
      </c>
      <c r="E933" s="7">
        <v>50</v>
      </c>
      <c r="F933" t="s">
        <v>20</v>
      </c>
      <c r="G933" t="s">
        <v>21</v>
      </c>
      <c r="H933" t="str">
        <f>"9.9.17 PV REF"</f>
        <v>9.9.17 PV REF</v>
      </c>
      <c r="I933" t="str">
        <f>"PAV REFUND"</f>
        <v>PAV REFUND</v>
      </c>
    </row>
    <row r="934" spans="1:9" x14ac:dyDescent="0.25">
      <c r="A934" s="6">
        <v>43052</v>
      </c>
      <c r="B934" t="s">
        <v>26</v>
      </c>
      <c r="C934">
        <v>56060</v>
      </c>
      <c r="D934" t="s">
        <v>92</v>
      </c>
      <c r="E934" s="7">
        <v>38878.78</v>
      </c>
      <c r="F934" t="s">
        <v>20</v>
      </c>
      <c r="G934" t="s">
        <v>24</v>
      </c>
      <c r="H934" t="str">
        <f>"11/2017"</f>
        <v>11/2017</v>
      </c>
      <c r="I934" t="str">
        <f>"TEXAS MUNICIPAL RETIREMENT SYS"</f>
        <v>TEXAS MUNICIPAL RETIREMENT SYS</v>
      </c>
    </row>
    <row r="935" spans="1:9" x14ac:dyDescent="0.25">
      <c r="E935" s="7"/>
      <c r="F935" t="s">
        <v>20</v>
      </c>
      <c r="G935" t="s">
        <v>21</v>
      </c>
      <c r="H935" t="str">
        <f>"RET201710258141"</f>
        <v>RET201710258141</v>
      </c>
      <c r="I935" t="str">
        <f>"TMRS CITY OF FLORESVILLE"</f>
        <v>TMRS CITY OF FLORESVILLE</v>
      </c>
    </row>
    <row r="936" spans="1:9" x14ac:dyDescent="0.25">
      <c r="E936" s="7"/>
      <c r="F936" t="s">
        <v>20</v>
      </c>
      <c r="G936" t="s">
        <v>21</v>
      </c>
      <c r="H936" t="str">
        <f>"RET201711088155"</f>
        <v>RET201711088155</v>
      </c>
      <c r="I936" t="str">
        <f>"TMRS CITY OF FLORESVILLE"</f>
        <v>TMRS CITY OF FLORESVILLE</v>
      </c>
    </row>
    <row r="937" spans="1:9" x14ac:dyDescent="0.25">
      <c r="A937" s="6">
        <v>43052</v>
      </c>
      <c r="B937" t="s">
        <v>26</v>
      </c>
      <c r="C937">
        <v>56063</v>
      </c>
      <c r="D937" t="s">
        <v>94</v>
      </c>
      <c r="E937" s="7">
        <v>2057.7399999999998</v>
      </c>
      <c r="F937" t="s">
        <v>20</v>
      </c>
      <c r="G937" t="s">
        <v>21</v>
      </c>
      <c r="H937" t="str">
        <f>"DEN201710258141"</f>
        <v>DEN201710258141</v>
      </c>
      <c r="I937" t="str">
        <f>"DENTAL INSURANCE"</f>
        <v>DENTAL INSURANCE</v>
      </c>
    </row>
    <row r="938" spans="1:9" x14ac:dyDescent="0.25">
      <c r="E938" s="7"/>
      <c r="F938" t="s">
        <v>20</v>
      </c>
      <c r="G938" t="s">
        <v>21</v>
      </c>
      <c r="H938" t="str">
        <f>"DEN201711088155"</f>
        <v>DEN201711088155</v>
      </c>
      <c r="I938" t="str">
        <f>"DENTAL INSURANCE"</f>
        <v>DENTAL INSURANCE</v>
      </c>
    </row>
    <row r="939" spans="1:9" x14ac:dyDescent="0.25">
      <c r="A939" s="6">
        <v>43052</v>
      </c>
      <c r="B939" t="s">
        <v>26</v>
      </c>
      <c r="C939">
        <v>56064</v>
      </c>
      <c r="D939" t="s">
        <v>95</v>
      </c>
      <c r="E939" s="7">
        <v>73.56</v>
      </c>
      <c r="F939" t="s">
        <v>20</v>
      </c>
      <c r="G939" t="s">
        <v>21</v>
      </c>
      <c r="H939" t="str">
        <f>"LEA201710258141"</f>
        <v>LEA201710258141</v>
      </c>
      <c r="I939" t="str">
        <f>"INSURANCE"</f>
        <v>INSURANCE</v>
      </c>
    </row>
    <row r="940" spans="1:9" x14ac:dyDescent="0.25">
      <c r="E940" s="7"/>
      <c r="F940" t="s">
        <v>20</v>
      </c>
      <c r="G940" t="s">
        <v>21</v>
      </c>
      <c r="H940" t="str">
        <f>"LEA201711088155"</f>
        <v>LEA201711088155</v>
      </c>
      <c r="I940" t="str">
        <f>"INSURANCE"</f>
        <v>INSURANCE</v>
      </c>
    </row>
    <row r="941" spans="1:9" x14ac:dyDescent="0.25">
      <c r="A941" s="6">
        <v>43052</v>
      </c>
      <c r="B941" t="s">
        <v>26</v>
      </c>
      <c r="C941">
        <v>56065</v>
      </c>
      <c r="D941" t="s">
        <v>152</v>
      </c>
      <c r="E941" s="7">
        <v>2670</v>
      </c>
      <c r="F941" t="s">
        <v>20</v>
      </c>
      <c r="G941" t="s">
        <v>21</v>
      </c>
      <c r="H941" t="str">
        <f>"201711138160"</f>
        <v>201711138160</v>
      </c>
      <c r="I941" t="str">
        <f>"81ST DISTRICT ATTORNEY"</f>
        <v>81ST DISTRICT ATTORNEY</v>
      </c>
    </row>
    <row r="942" spans="1:9" x14ac:dyDescent="0.25">
      <c r="A942" s="6">
        <v>43052</v>
      </c>
      <c r="B942" t="s">
        <v>26</v>
      </c>
      <c r="C942">
        <v>56066</v>
      </c>
      <c r="D942" t="s">
        <v>70</v>
      </c>
      <c r="E942" s="7">
        <v>72.95</v>
      </c>
      <c r="F942" t="s">
        <v>20</v>
      </c>
      <c r="G942" t="s">
        <v>21</v>
      </c>
      <c r="H942" t="str">
        <f>"A954475"</f>
        <v>A954475</v>
      </c>
      <c r="I942" t="str">
        <f>"TEXAS WIRED MUSIC  INC."</f>
        <v>TEXAS WIRED MUSIC  INC.</v>
      </c>
    </row>
    <row r="943" spans="1:9" x14ac:dyDescent="0.25">
      <c r="A943" s="6">
        <v>43052</v>
      </c>
      <c r="B943" t="s">
        <v>26</v>
      </c>
      <c r="C943">
        <v>56067</v>
      </c>
      <c r="D943" t="s">
        <v>96</v>
      </c>
      <c r="E943" s="7">
        <v>842.85</v>
      </c>
      <c r="F943" t="s">
        <v>20</v>
      </c>
      <c r="G943" t="s">
        <v>21</v>
      </c>
      <c r="H943" t="str">
        <f>"11/2017"</f>
        <v>11/2017</v>
      </c>
      <c r="I943" t="str">
        <f>"LEGALSHIELD"</f>
        <v>LEGALSHIELD</v>
      </c>
    </row>
    <row r="944" spans="1:9" x14ac:dyDescent="0.25">
      <c r="E944" s="7"/>
      <c r="F944" t="s">
        <v>20</v>
      </c>
      <c r="G944" t="s">
        <v>21</v>
      </c>
      <c r="H944" t="str">
        <f>"PPL201710258141"</f>
        <v>PPL201710258141</v>
      </c>
      <c r="I944" t="str">
        <f>"INSURANCE"</f>
        <v>INSURANCE</v>
      </c>
    </row>
    <row r="945" spans="1:9" x14ac:dyDescent="0.25">
      <c r="E945" s="7"/>
      <c r="F945" t="s">
        <v>20</v>
      </c>
      <c r="G945" t="s">
        <v>21</v>
      </c>
      <c r="H945" t="str">
        <f>"PPL201711088155"</f>
        <v>PPL201711088155</v>
      </c>
      <c r="I945" t="str">
        <f>"INSURANCE"</f>
        <v>INSURANCE</v>
      </c>
    </row>
    <row r="946" spans="1:9" x14ac:dyDescent="0.25">
      <c r="A946" s="6">
        <v>43052</v>
      </c>
      <c r="B946" t="s">
        <v>26</v>
      </c>
      <c r="C946">
        <v>56068</v>
      </c>
      <c r="D946" t="s">
        <v>79</v>
      </c>
      <c r="E946" s="7">
        <v>36.72</v>
      </c>
      <c r="F946" t="s">
        <v>20</v>
      </c>
      <c r="G946" t="s">
        <v>21</v>
      </c>
      <c r="H946" t="str">
        <f>"5-981-40129"</f>
        <v>5-981-40129</v>
      </c>
      <c r="I946" t="str">
        <f>"FEDEX"</f>
        <v>FEDEX</v>
      </c>
    </row>
    <row r="947" spans="1:9" x14ac:dyDescent="0.25">
      <c r="A947" s="6">
        <v>43052</v>
      </c>
      <c r="B947" t="s">
        <v>91</v>
      </c>
      <c r="C947">
        <v>56069</v>
      </c>
      <c r="D947" t="s">
        <v>97</v>
      </c>
      <c r="E947" s="7">
        <v>66974.09</v>
      </c>
      <c r="F947" t="s">
        <v>20</v>
      </c>
      <c r="G947" t="s">
        <v>21</v>
      </c>
      <c r="H947" t="str">
        <f>"BME201710258141"</f>
        <v>BME201710258141</v>
      </c>
      <c r="I947" t="str">
        <f>"INSURANCE"</f>
        <v>INSURANCE</v>
      </c>
    </row>
    <row r="948" spans="1:9" x14ac:dyDescent="0.25">
      <c r="E948" s="7"/>
      <c r="F948" t="s">
        <v>20</v>
      </c>
      <c r="G948" t="s">
        <v>21</v>
      </c>
      <c r="H948" t="str">
        <f>"BME201711088155"</f>
        <v>BME201711088155</v>
      </c>
      <c r="I948" t="str">
        <f>"INSURANCE"</f>
        <v>INSURANCE</v>
      </c>
    </row>
    <row r="949" spans="1:9" x14ac:dyDescent="0.25">
      <c r="E949" s="7"/>
      <c r="F949" t="s">
        <v>20</v>
      </c>
      <c r="G949" t="s">
        <v>21</v>
      </c>
      <c r="H949" t="str">
        <f>"MED201710258141"</f>
        <v>MED201710258141</v>
      </c>
      <c r="I949" t="str">
        <f>"INSURANCE"</f>
        <v>INSURANCE</v>
      </c>
    </row>
    <row r="950" spans="1:9" x14ac:dyDescent="0.25">
      <c r="E950" s="7"/>
      <c r="F950" t="s">
        <v>20</v>
      </c>
      <c r="G950" t="s">
        <v>21</v>
      </c>
      <c r="H950" t="str">
        <f>"MED201711088155"</f>
        <v>MED201711088155</v>
      </c>
      <c r="I950" t="str">
        <f>"INSURANCE"</f>
        <v>INSURANCE</v>
      </c>
    </row>
    <row r="951" spans="1:9" x14ac:dyDescent="0.25">
      <c r="A951" s="6">
        <v>43052</v>
      </c>
      <c r="B951" t="s">
        <v>91</v>
      </c>
      <c r="C951">
        <v>56069</v>
      </c>
      <c r="D951" t="s">
        <v>97</v>
      </c>
      <c r="E951" s="7">
        <v>66974.09</v>
      </c>
      <c r="F951" t="s">
        <v>20</v>
      </c>
      <c r="G951" t="s">
        <v>93</v>
      </c>
      <c r="H951" t="str">
        <f>"CHECK"</f>
        <v>CHECK</v>
      </c>
      <c r="I951" t="str">
        <f>""</f>
        <v/>
      </c>
    </row>
    <row r="952" spans="1:9" x14ac:dyDescent="0.25">
      <c r="A952" s="6">
        <v>43052</v>
      </c>
      <c r="B952" t="s">
        <v>26</v>
      </c>
      <c r="C952">
        <v>56073</v>
      </c>
      <c r="D952" t="s">
        <v>98</v>
      </c>
      <c r="E952" s="7">
        <v>3133.12</v>
      </c>
      <c r="F952" t="s">
        <v>20</v>
      </c>
      <c r="G952" t="s">
        <v>21</v>
      </c>
      <c r="H952" t="str">
        <f>"11/2017"</f>
        <v>11/2017</v>
      </c>
      <c r="I952" t="str">
        <f>"DEARBORN NATIONAL"</f>
        <v>DEARBORN NATIONAL</v>
      </c>
    </row>
    <row r="953" spans="1:9" x14ac:dyDescent="0.25">
      <c r="E953" s="7"/>
      <c r="F953" t="s">
        <v>20</v>
      </c>
      <c r="G953" t="s">
        <v>21</v>
      </c>
      <c r="H953" t="str">
        <f>"ADD201710258141"</f>
        <v>ADD201710258141</v>
      </c>
      <c r="I953" t="str">
        <f>"AD&amp;D"</f>
        <v>AD&amp;D</v>
      </c>
    </row>
    <row r="954" spans="1:9" x14ac:dyDescent="0.25">
      <c r="E954" s="7"/>
      <c r="F954" t="s">
        <v>20</v>
      </c>
      <c r="G954" t="s">
        <v>21</v>
      </c>
      <c r="H954" t="str">
        <f>"ADD201711088155"</f>
        <v>ADD201711088155</v>
      </c>
      <c r="I954" t="str">
        <f>"AD&amp;D"</f>
        <v>AD&amp;D</v>
      </c>
    </row>
    <row r="955" spans="1:9" x14ac:dyDescent="0.25">
      <c r="E955" s="7"/>
      <c r="F955" t="s">
        <v>20</v>
      </c>
      <c r="G955" t="s">
        <v>21</v>
      </c>
      <c r="H955" t="str">
        <f>"LIF201710258141"</f>
        <v>LIF201710258141</v>
      </c>
      <c r="I955" t="str">
        <f>"INSURANCE"</f>
        <v>INSURANCE</v>
      </c>
    </row>
    <row r="956" spans="1:9" x14ac:dyDescent="0.25">
      <c r="E956" s="7"/>
      <c r="F956" t="s">
        <v>20</v>
      </c>
      <c r="G956" t="s">
        <v>21</v>
      </c>
      <c r="H956" t="str">
        <f>"LIF201711088155"</f>
        <v>LIF201711088155</v>
      </c>
      <c r="I956" t="str">
        <f>"INSURANCE"</f>
        <v>INSURANCE</v>
      </c>
    </row>
    <row r="957" spans="1:9" x14ac:dyDescent="0.25">
      <c r="E957" s="7"/>
      <c r="F957" t="s">
        <v>20</v>
      </c>
      <c r="G957" t="s">
        <v>21</v>
      </c>
      <c r="H957" t="str">
        <f>"VLC201710258141"</f>
        <v>VLC201710258141</v>
      </c>
      <c r="I957" t="str">
        <f>"CHILD LIFE INSURANCE"</f>
        <v>CHILD LIFE INSURANCE</v>
      </c>
    </row>
    <row r="958" spans="1:9" x14ac:dyDescent="0.25">
      <c r="E958" s="7"/>
      <c r="F958" t="s">
        <v>20</v>
      </c>
      <c r="G958" t="s">
        <v>21</v>
      </c>
      <c r="H958" t="str">
        <f>"VLC201711088155"</f>
        <v>VLC201711088155</v>
      </c>
      <c r="I958" t="str">
        <f>"CHILD LIFE INSURANCE"</f>
        <v>CHILD LIFE INSURANCE</v>
      </c>
    </row>
    <row r="959" spans="1:9" x14ac:dyDescent="0.25">
      <c r="E959" s="7"/>
      <c r="F959" t="s">
        <v>20</v>
      </c>
      <c r="G959" t="s">
        <v>21</v>
      </c>
      <c r="H959" t="str">
        <f>"VLS201710258141"</f>
        <v>VLS201710258141</v>
      </c>
      <c r="I959" t="str">
        <f>"SPOUSE LIFE"</f>
        <v>SPOUSE LIFE</v>
      </c>
    </row>
    <row r="960" spans="1:9" x14ac:dyDescent="0.25">
      <c r="E960" s="7"/>
      <c r="F960" t="s">
        <v>20</v>
      </c>
      <c r="G960" t="s">
        <v>21</v>
      </c>
      <c r="H960" t="str">
        <f>"VLS201711088155"</f>
        <v>VLS201711088155</v>
      </c>
      <c r="I960" t="str">
        <f>"SPOUSE LIFE"</f>
        <v>SPOUSE LIFE</v>
      </c>
    </row>
    <row r="961" spans="1:9" x14ac:dyDescent="0.25">
      <c r="E961" s="7"/>
      <c r="F961" t="s">
        <v>20</v>
      </c>
      <c r="G961" t="s">
        <v>21</v>
      </c>
      <c r="H961" t="str">
        <f>"VOE201710258141"</f>
        <v>VOE201710258141</v>
      </c>
      <c r="I961" t="str">
        <f>"EMPLOYEE LIFE"</f>
        <v>EMPLOYEE LIFE</v>
      </c>
    </row>
    <row r="962" spans="1:9" x14ac:dyDescent="0.25">
      <c r="E962" s="7"/>
      <c r="F962" t="s">
        <v>20</v>
      </c>
      <c r="G962" t="s">
        <v>21</v>
      </c>
      <c r="H962" t="str">
        <f>"VOE201711088155"</f>
        <v>VOE201711088155</v>
      </c>
      <c r="I962" t="str">
        <f>"EMPLOYEE LIFE"</f>
        <v>EMPLOYEE LIFE</v>
      </c>
    </row>
    <row r="963" spans="1:9" x14ac:dyDescent="0.25">
      <c r="E963" s="7"/>
      <c r="F963" t="s">
        <v>20</v>
      </c>
      <c r="G963" t="s">
        <v>21</v>
      </c>
      <c r="H963" t="str">
        <f>"VOL201710258141"</f>
        <v>VOL201710258141</v>
      </c>
      <c r="I963" t="str">
        <f>"LIFE"</f>
        <v>LIFE</v>
      </c>
    </row>
    <row r="964" spans="1:9" x14ac:dyDescent="0.25">
      <c r="E964" s="7"/>
      <c r="F964" t="s">
        <v>20</v>
      </c>
      <c r="G964" t="s">
        <v>21</v>
      </c>
      <c r="H964" t="str">
        <f>"VOL201711088155"</f>
        <v>VOL201711088155</v>
      </c>
      <c r="I964" t="str">
        <f>"LIFE"</f>
        <v>LIFE</v>
      </c>
    </row>
    <row r="965" spans="1:9" x14ac:dyDescent="0.25">
      <c r="A965" s="6">
        <v>43052</v>
      </c>
      <c r="B965" t="s">
        <v>26</v>
      </c>
      <c r="C965">
        <v>56080</v>
      </c>
      <c r="D965" t="s">
        <v>153</v>
      </c>
      <c r="E965" s="7">
        <v>2000</v>
      </c>
      <c r="F965" t="s">
        <v>20</v>
      </c>
      <c r="G965" t="s">
        <v>21</v>
      </c>
      <c r="H965" t="str">
        <f>"110317"</f>
        <v>110317</v>
      </c>
      <c r="I965" t="str">
        <f>"FULLER COMPANY"</f>
        <v>FULLER COMPANY</v>
      </c>
    </row>
    <row r="966" spans="1:9" x14ac:dyDescent="0.25">
      <c r="E966" s="7"/>
      <c r="F966" t="s">
        <v>20</v>
      </c>
      <c r="G966" t="s">
        <v>21</v>
      </c>
      <c r="H966" t="str">
        <f>"120117"</f>
        <v>120117</v>
      </c>
      <c r="I966" t="str">
        <f>"FULLER COMPANY"</f>
        <v>FULLER COMPANY</v>
      </c>
    </row>
    <row r="967" spans="1:9" x14ac:dyDescent="0.25">
      <c r="A967" s="6">
        <v>43052</v>
      </c>
      <c r="B967" t="s">
        <v>26</v>
      </c>
      <c r="C967">
        <v>56081</v>
      </c>
      <c r="D967" t="s">
        <v>83</v>
      </c>
      <c r="E967" s="7">
        <v>918</v>
      </c>
      <c r="F967" t="s">
        <v>20</v>
      </c>
      <c r="G967" t="s">
        <v>21</v>
      </c>
      <c r="H967" t="str">
        <f>"182247"</f>
        <v>182247</v>
      </c>
      <c r="I967" t="str">
        <f>"APPRIVER"</f>
        <v>APPRIVER</v>
      </c>
    </row>
    <row r="968" spans="1:9" x14ac:dyDescent="0.25">
      <c r="A968" s="6">
        <v>43052</v>
      </c>
      <c r="B968" t="s">
        <v>26</v>
      </c>
      <c r="C968">
        <v>56082</v>
      </c>
      <c r="D968" t="s">
        <v>85</v>
      </c>
      <c r="E968" s="7">
        <v>652.85</v>
      </c>
      <c r="F968" t="s">
        <v>20</v>
      </c>
      <c r="G968" t="s">
        <v>21</v>
      </c>
      <c r="H968" t="str">
        <f>"201711138157"</f>
        <v>201711138157</v>
      </c>
      <c r="I968" t="str">
        <f>"FRONTIER"</f>
        <v>FRONTIER</v>
      </c>
    </row>
    <row r="969" spans="1:9" x14ac:dyDescent="0.25">
      <c r="E969" s="7"/>
      <c r="F969" t="s">
        <v>20</v>
      </c>
      <c r="G969" t="s">
        <v>21</v>
      </c>
      <c r="H969" t="str">
        <f>"201711138159"</f>
        <v>201711138159</v>
      </c>
      <c r="I969" t="str">
        <f>"FRONTIER"</f>
        <v>FRONTIER</v>
      </c>
    </row>
    <row r="970" spans="1:9" x14ac:dyDescent="0.25">
      <c r="A970" s="6">
        <v>43052</v>
      </c>
      <c r="B970" t="s">
        <v>26</v>
      </c>
      <c r="C970">
        <v>56083</v>
      </c>
      <c r="D970" t="s">
        <v>99</v>
      </c>
      <c r="E970" s="7">
        <v>604.14</v>
      </c>
      <c r="F970" t="s">
        <v>20</v>
      </c>
      <c r="G970" t="s">
        <v>21</v>
      </c>
      <c r="H970" t="str">
        <f>"VIS201710258141"</f>
        <v>VIS201710258141</v>
      </c>
      <c r="I970" t="str">
        <f>"VISION INSURANCE"</f>
        <v>VISION INSURANCE</v>
      </c>
    </row>
    <row r="971" spans="1:9" x14ac:dyDescent="0.25">
      <c r="E971" s="7"/>
      <c r="F971" t="s">
        <v>20</v>
      </c>
      <c r="G971" t="s">
        <v>21</v>
      </c>
      <c r="H971" t="str">
        <f>"VIS201711088155"</f>
        <v>VIS201711088155</v>
      </c>
      <c r="I971" t="str">
        <f>"VISION INSURANCE"</f>
        <v>VISION INSURANCE</v>
      </c>
    </row>
    <row r="972" spans="1:9" x14ac:dyDescent="0.25">
      <c r="A972" s="6">
        <v>43052</v>
      </c>
      <c r="B972" t="s">
        <v>26</v>
      </c>
      <c r="C972">
        <v>56084</v>
      </c>
      <c r="D972" t="s">
        <v>48</v>
      </c>
      <c r="E972" s="7">
        <v>876.8</v>
      </c>
      <c r="F972" t="s">
        <v>20</v>
      </c>
      <c r="G972" t="s">
        <v>21</v>
      </c>
      <c r="H972" t="str">
        <f>"1526"</f>
        <v>1526</v>
      </c>
      <c r="I972" t="str">
        <f>"RANDY HOLLAR  LLC"</f>
        <v>RANDY HOLLAR  LLC</v>
      </c>
    </row>
    <row r="973" spans="1:9" x14ac:dyDescent="0.25">
      <c r="A973" s="6">
        <v>43052</v>
      </c>
      <c r="B973" t="s">
        <v>26</v>
      </c>
      <c r="C973">
        <v>56085</v>
      </c>
      <c r="D973" t="s">
        <v>154</v>
      </c>
      <c r="E973" s="7">
        <v>1281.5999999999999</v>
      </c>
      <c r="F973" t="s">
        <v>20</v>
      </c>
      <c r="G973" t="s">
        <v>21</v>
      </c>
      <c r="H973" t="str">
        <f>"IN496184"</f>
        <v>IN496184</v>
      </c>
      <c r="I973" t="str">
        <f>"SUMMUS INDUSTRIES  INC."</f>
        <v>SUMMUS INDUSTRIES  INC.</v>
      </c>
    </row>
    <row r="974" spans="1:9" x14ac:dyDescent="0.25">
      <c r="A974" s="6">
        <v>43052</v>
      </c>
      <c r="B974" t="s">
        <v>26</v>
      </c>
      <c r="C974">
        <v>56086</v>
      </c>
      <c r="D974" t="s">
        <v>155</v>
      </c>
      <c r="E974" s="7">
        <v>3115</v>
      </c>
      <c r="F974" t="s">
        <v>20</v>
      </c>
      <c r="G974" t="s">
        <v>21</v>
      </c>
      <c r="H974" t="str">
        <f>"201711138161"</f>
        <v>201711138161</v>
      </c>
      <c r="I974" t="str">
        <f>"ATASCOSA COUNTY"</f>
        <v>ATASCOSA COUNTY</v>
      </c>
    </row>
    <row r="975" spans="1:9" x14ac:dyDescent="0.25">
      <c r="A975" s="6">
        <v>43052</v>
      </c>
      <c r="B975" t="s">
        <v>26</v>
      </c>
      <c r="C975">
        <v>56087</v>
      </c>
      <c r="D975" t="s">
        <v>47</v>
      </c>
      <c r="E975" s="7">
        <v>119175.65</v>
      </c>
      <c r="F975" t="s">
        <v>20</v>
      </c>
      <c r="G975" t="s">
        <v>21</v>
      </c>
      <c r="H975" t="str">
        <f>"DRAW#9"</f>
        <v>DRAW#9</v>
      </c>
      <c r="I975" t="str">
        <f>"HEARTLAND PARK &amp; RECREATION  L"</f>
        <v>HEARTLAND PARK &amp; RECREATION  L</v>
      </c>
    </row>
    <row r="976" spans="1:9" x14ac:dyDescent="0.25">
      <c r="A976" s="6">
        <v>43052</v>
      </c>
      <c r="B976" t="s">
        <v>26</v>
      </c>
      <c r="C976">
        <v>56088</v>
      </c>
      <c r="D976" t="s">
        <v>156</v>
      </c>
      <c r="E976" s="7">
        <v>870</v>
      </c>
      <c r="F976" t="s">
        <v>20</v>
      </c>
      <c r="G976" t="s">
        <v>21</v>
      </c>
      <c r="H976" t="str">
        <f>"201711138162"</f>
        <v>201711138162</v>
      </c>
      <c r="I976" t="str">
        <f>"GLI DISTRIBUTING"</f>
        <v>GLI DISTRIBUTING</v>
      </c>
    </row>
    <row r="977" spans="1:9" x14ac:dyDescent="0.25">
      <c r="A977" s="6">
        <v>43052</v>
      </c>
      <c r="B977" t="s">
        <v>26</v>
      </c>
      <c r="C977">
        <v>56089</v>
      </c>
      <c r="D977" t="s">
        <v>157</v>
      </c>
      <c r="E977" s="7">
        <v>414</v>
      </c>
      <c r="F977" t="s">
        <v>20</v>
      </c>
      <c r="G977" t="s">
        <v>21</v>
      </c>
      <c r="H977" t="str">
        <f>"201711138163"</f>
        <v>201711138163</v>
      </c>
      <c r="I977" t="str">
        <f>"GLAZIERS"</f>
        <v>GLAZIERS</v>
      </c>
    </row>
    <row r="978" spans="1:9" x14ac:dyDescent="0.25">
      <c r="A978" s="6">
        <v>43053</v>
      </c>
      <c r="B978" t="s">
        <v>26</v>
      </c>
      <c r="C978">
        <v>56090</v>
      </c>
      <c r="D978" t="s">
        <v>158</v>
      </c>
      <c r="E978" s="7">
        <v>1750</v>
      </c>
      <c r="F978" t="s">
        <v>20</v>
      </c>
      <c r="G978" t="s">
        <v>21</v>
      </c>
      <c r="H978" t="str">
        <f>"HILL/HOLCOMBE"</f>
        <v>HILL/HOLCOMBE</v>
      </c>
      <c r="I978" t="str">
        <f>"GEORGE NICKLAS SILVA"</f>
        <v>GEORGE NICKLAS SILVA</v>
      </c>
    </row>
    <row r="979" spans="1:9" x14ac:dyDescent="0.25">
      <c r="A979" s="6">
        <v>43053</v>
      </c>
      <c r="B979" t="s">
        <v>26</v>
      </c>
      <c r="C979">
        <v>56091</v>
      </c>
      <c r="D979" t="s">
        <v>158</v>
      </c>
      <c r="E979" s="7">
        <v>1750</v>
      </c>
      <c r="F979" t="s">
        <v>20</v>
      </c>
      <c r="G979" t="s">
        <v>21</v>
      </c>
      <c r="H979" t="str">
        <f>"HILL/HOLCOMBE FNL"</f>
        <v>HILL/HOLCOMBE FNL</v>
      </c>
      <c r="I979" t="str">
        <f>"GEORGE NICKLAS SILVA"</f>
        <v>GEORGE NICKLAS SILVA</v>
      </c>
    </row>
    <row r="980" spans="1:9" x14ac:dyDescent="0.25">
      <c r="A980" s="6">
        <v>43055</v>
      </c>
      <c r="B980" t="s">
        <v>91</v>
      </c>
      <c r="C980">
        <v>56092</v>
      </c>
      <c r="D980" t="s">
        <v>159</v>
      </c>
      <c r="E980" s="7">
        <v>385.5</v>
      </c>
      <c r="F980" t="s">
        <v>20</v>
      </c>
      <c r="G980" t="s">
        <v>21</v>
      </c>
      <c r="H980" t="str">
        <f>"37536"</f>
        <v>37536</v>
      </c>
      <c r="I980" t="str">
        <f>"PHOTOGRAPHS BY JIM"</f>
        <v>PHOTOGRAPHS BY JIM</v>
      </c>
    </row>
    <row r="981" spans="1:9" x14ac:dyDescent="0.25">
      <c r="A981" s="6">
        <v>43055</v>
      </c>
      <c r="B981" t="s">
        <v>91</v>
      </c>
      <c r="C981">
        <v>56092</v>
      </c>
      <c r="D981" t="s">
        <v>159</v>
      </c>
      <c r="E981" s="7">
        <v>385.5</v>
      </c>
      <c r="F981" t="s">
        <v>20</v>
      </c>
      <c r="G981" t="s">
        <v>93</v>
      </c>
      <c r="H981" t="str">
        <f>"CHECK"</f>
        <v>CHECK</v>
      </c>
      <c r="I981" t="str">
        <f>""</f>
        <v/>
      </c>
    </row>
    <row r="982" spans="1:9" x14ac:dyDescent="0.25">
      <c r="A982" s="6">
        <v>43055</v>
      </c>
      <c r="B982" t="s">
        <v>26</v>
      </c>
      <c r="C982">
        <v>56093</v>
      </c>
      <c r="D982" t="s">
        <v>30</v>
      </c>
      <c r="E982" s="7">
        <v>276.8</v>
      </c>
      <c r="F982" t="s">
        <v>20</v>
      </c>
      <c r="G982" t="s">
        <v>21</v>
      </c>
      <c r="H982" t="str">
        <f>"2017-18"</f>
        <v>2017-18</v>
      </c>
      <c r="I982" t="str">
        <f>"MARIA GONZALES"</f>
        <v>MARIA GONZALES</v>
      </c>
    </row>
    <row r="983" spans="1:9" x14ac:dyDescent="0.25">
      <c r="A983" s="6">
        <v>43055</v>
      </c>
      <c r="B983" t="s">
        <v>26</v>
      </c>
      <c r="C983">
        <v>56094</v>
      </c>
      <c r="D983" t="s">
        <v>160</v>
      </c>
      <c r="E983" s="7">
        <v>267.38</v>
      </c>
      <c r="F983" t="s">
        <v>20</v>
      </c>
      <c r="G983" t="s">
        <v>21</v>
      </c>
      <c r="H983" t="str">
        <f>"TRNG11/28-12/1"</f>
        <v>TRNG11/28-12/1</v>
      </c>
      <c r="I983" t="str">
        <f>"MONICA CORDOVA"</f>
        <v>MONICA CORDOVA</v>
      </c>
    </row>
    <row r="984" spans="1:9" x14ac:dyDescent="0.25">
      <c r="A984" s="6">
        <v>43055</v>
      </c>
      <c r="B984" t="s">
        <v>26</v>
      </c>
      <c r="C984">
        <v>56095</v>
      </c>
      <c r="D984" t="s">
        <v>161</v>
      </c>
      <c r="E984" s="7">
        <v>440</v>
      </c>
      <c r="F984" t="s">
        <v>20</v>
      </c>
      <c r="G984" t="s">
        <v>21</v>
      </c>
      <c r="H984" t="str">
        <f>"HOT WELLS MTG"</f>
        <v>HOT WELLS MTG</v>
      </c>
      <c r="I984" t="str">
        <f>"TWO SAWERS BBQ &amp; CATERING CO."</f>
        <v>TWO SAWERS BBQ &amp; CATERING CO.</v>
      </c>
    </row>
    <row r="985" spans="1:9" x14ac:dyDescent="0.25">
      <c r="A985" s="6">
        <v>43055</v>
      </c>
      <c r="B985" t="s">
        <v>26</v>
      </c>
      <c r="C985">
        <v>56096</v>
      </c>
      <c r="D985" t="s">
        <v>162</v>
      </c>
      <c r="E985" s="7">
        <v>10000</v>
      </c>
      <c r="F985" t="s">
        <v>20</v>
      </c>
      <c r="G985" t="s">
        <v>21</v>
      </c>
      <c r="H985" t="str">
        <f>"AGENDA ITEM 3B"</f>
        <v>AGENDA ITEM 3B</v>
      </c>
      <c r="I985" t="str">
        <f>"FLORESVILLE ATHLETIC BOOSTER C"</f>
        <v>FLORESVILLE ATHLETIC BOOSTER C</v>
      </c>
    </row>
    <row r="986" spans="1:9" x14ac:dyDescent="0.25">
      <c r="A986" s="6">
        <v>43055</v>
      </c>
      <c r="B986" t="s">
        <v>26</v>
      </c>
      <c r="C986">
        <v>56097</v>
      </c>
      <c r="D986" t="s">
        <v>163</v>
      </c>
      <c r="E986" s="7">
        <v>3000</v>
      </c>
      <c r="F986" t="s">
        <v>20</v>
      </c>
      <c r="G986" t="s">
        <v>21</v>
      </c>
      <c r="H986" t="str">
        <f>"AGENDA ITEM 4F"</f>
        <v>AGENDA ITEM 4F</v>
      </c>
      <c r="I986" t="str">
        <f>"MINISTERIAL ALLIANCE"</f>
        <v>MINISTERIAL ALLIANCE</v>
      </c>
    </row>
    <row r="987" spans="1:9" x14ac:dyDescent="0.25">
      <c r="A987" s="6">
        <v>43055</v>
      </c>
      <c r="B987" t="s">
        <v>26</v>
      </c>
      <c r="C987">
        <v>56098</v>
      </c>
      <c r="D987" t="s">
        <v>34</v>
      </c>
      <c r="E987" s="7">
        <v>404.77</v>
      </c>
      <c r="F987" t="s">
        <v>20</v>
      </c>
      <c r="G987" t="s">
        <v>21</v>
      </c>
      <c r="H987" t="str">
        <f>"10/30-11/11"</f>
        <v>10/30-11/11</v>
      </c>
      <c r="I987" t="str">
        <f>"SHIRLEY UNDERWOOD"</f>
        <v>SHIRLEY UNDERWOOD</v>
      </c>
    </row>
    <row r="988" spans="1:9" x14ac:dyDescent="0.25">
      <c r="A988" s="6">
        <v>43056</v>
      </c>
      <c r="B988" t="s">
        <v>26</v>
      </c>
      <c r="C988">
        <v>56099</v>
      </c>
      <c r="D988" t="s">
        <v>57</v>
      </c>
      <c r="E988" s="7">
        <v>7820.21</v>
      </c>
      <c r="F988" t="s">
        <v>20</v>
      </c>
      <c r="G988" t="s">
        <v>21</v>
      </c>
      <c r="H988" t="str">
        <f>"11.01.17"</f>
        <v>11.01.17</v>
      </c>
      <c r="I988" t="str">
        <f>"F.E.L.P.S."</f>
        <v>F.E.L.P.S.</v>
      </c>
    </row>
    <row r="989" spans="1:9" x14ac:dyDescent="0.25">
      <c r="A989" s="6">
        <v>43056</v>
      </c>
      <c r="B989" t="s">
        <v>26</v>
      </c>
      <c r="C989">
        <v>56100</v>
      </c>
      <c r="D989" t="s">
        <v>164</v>
      </c>
      <c r="E989" s="7">
        <v>490</v>
      </c>
      <c r="F989" t="s">
        <v>20</v>
      </c>
      <c r="G989" t="s">
        <v>21</v>
      </c>
      <c r="H989" t="str">
        <f>"967927"</f>
        <v>967927</v>
      </c>
      <c r="I989" t="str">
        <f>"A-Z COMMUNICATIONS"</f>
        <v>A-Z COMMUNICATIONS</v>
      </c>
    </row>
    <row r="990" spans="1:9" x14ac:dyDescent="0.25">
      <c r="A990" s="6">
        <v>43056</v>
      </c>
      <c r="B990" t="s">
        <v>91</v>
      </c>
      <c r="C990">
        <v>56101</v>
      </c>
      <c r="D990" t="s">
        <v>165</v>
      </c>
      <c r="E990" s="7">
        <v>150.36000000000001</v>
      </c>
      <c r="F990" t="s">
        <v>20</v>
      </c>
      <c r="G990" t="s">
        <v>21</v>
      </c>
      <c r="H990" t="str">
        <f>"014888"</f>
        <v>014888</v>
      </c>
      <c r="I990" t="str">
        <f>"WAL-MART BUSINESS/SYNCB"</f>
        <v>WAL-MART BUSINESS/SYNCB</v>
      </c>
    </row>
    <row r="991" spans="1:9" x14ac:dyDescent="0.25">
      <c r="A991" s="6">
        <v>43056</v>
      </c>
      <c r="B991" t="s">
        <v>91</v>
      </c>
      <c r="C991">
        <v>56101</v>
      </c>
      <c r="D991" t="s">
        <v>165</v>
      </c>
      <c r="E991" s="7">
        <v>150.36000000000001</v>
      </c>
      <c r="F991" t="s">
        <v>20</v>
      </c>
      <c r="G991" t="s">
        <v>93</v>
      </c>
      <c r="H991" t="str">
        <f>"CHECK"</f>
        <v>CHECK</v>
      </c>
      <c r="I991" t="str">
        <f>""</f>
        <v/>
      </c>
    </row>
    <row r="992" spans="1:9" x14ac:dyDescent="0.25">
      <c r="A992" s="6">
        <v>43056</v>
      </c>
      <c r="B992" t="s">
        <v>26</v>
      </c>
      <c r="C992">
        <v>56102</v>
      </c>
      <c r="D992" t="s">
        <v>103</v>
      </c>
      <c r="E992" s="7">
        <v>71460.88</v>
      </c>
      <c r="F992" t="s">
        <v>20</v>
      </c>
      <c r="G992" t="s">
        <v>21</v>
      </c>
      <c r="H992" t="str">
        <f>"4802"</f>
        <v>4802</v>
      </c>
      <c r="I992" t="str">
        <f>"F. E. D. C."</f>
        <v>F. E. D. C.</v>
      </c>
    </row>
    <row r="993" spans="1:9" x14ac:dyDescent="0.25">
      <c r="A993" s="6">
        <v>43056</v>
      </c>
      <c r="B993" t="s">
        <v>26</v>
      </c>
      <c r="C993">
        <v>56103</v>
      </c>
      <c r="D993" t="s">
        <v>104</v>
      </c>
      <c r="E993" s="7">
        <v>120</v>
      </c>
      <c r="F993" t="s">
        <v>20</v>
      </c>
      <c r="G993" t="s">
        <v>21</v>
      </c>
      <c r="H993" t="str">
        <f>"1261401011"</f>
        <v>1261401011</v>
      </c>
      <c r="I993" t="str">
        <f>"WILSON COUNTY NEWS"</f>
        <v>WILSON COUNTY NEWS</v>
      </c>
    </row>
    <row r="994" spans="1:9" x14ac:dyDescent="0.25">
      <c r="A994" s="6">
        <v>43056</v>
      </c>
      <c r="B994" t="s">
        <v>26</v>
      </c>
      <c r="C994">
        <v>56104</v>
      </c>
      <c r="D994" t="s">
        <v>59</v>
      </c>
      <c r="E994" s="7">
        <v>5615.01</v>
      </c>
      <c r="F994" t="s">
        <v>20</v>
      </c>
      <c r="G994" t="s">
        <v>21</v>
      </c>
      <c r="H994" t="str">
        <f>"0903302-2"</f>
        <v>0903302-2</v>
      </c>
      <c r="I994" t="str">
        <f>"FERGUSON WATERWORKS - MUNICIPA"</f>
        <v>FERGUSON WATERWORKS - MUNICIPA</v>
      </c>
    </row>
    <row r="995" spans="1:9" x14ac:dyDescent="0.25">
      <c r="E995" s="7"/>
      <c r="F995" t="s">
        <v>20</v>
      </c>
      <c r="G995" t="s">
        <v>21</v>
      </c>
      <c r="H995" t="str">
        <f>"0905707-1"</f>
        <v>0905707-1</v>
      </c>
      <c r="I995" t="str">
        <f>"FERGUSON WATERWORKS - MUNICIPA"</f>
        <v>FERGUSON WATERWORKS - MUNICIPA</v>
      </c>
    </row>
    <row r="996" spans="1:9" x14ac:dyDescent="0.25">
      <c r="E996" s="7"/>
      <c r="F996" t="s">
        <v>20</v>
      </c>
      <c r="G996" t="s">
        <v>21</v>
      </c>
      <c r="H996" t="str">
        <f>"0906071"</f>
        <v>0906071</v>
      </c>
      <c r="I996" t="str">
        <f>"FERGUSON WATERWORKS - MUNICIPA"</f>
        <v>FERGUSON WATERWORKS - MUNICIPA</v>
      </c>
    </row>
    <row r="997" spans="1:9" x14ac:dyDescent="0.25">
      <c r="E997" s="7"/>
      <c r="F997" t="s">
        <v>20</v>
      </c>
      <c r="G997" t="s">
        <v>21</v>
      </c>
      <c r="H997" t="str">
        <f>"0909730-1"</f>
        <v>0909730-1</v>
      </c>
      <c r="I997" t="str">
        <f>"FERGUSON WATERWORKS - MUNICIPA"</f>
        <v>FERGUSON WATERWORKS - MUNICIPA</v>
      </c>
    </row>
    <row r="998" spans="1:9" x14ac:dyDescent="0.25">
      <c r="E998" s="7"/>
      <c r="F998" t="s">
        <v>20</v>
      </c>
      <c r="G998" t="s">
        <v>21</v>
      </c>
      <c r="H998" t="str">
        <f>"0912856"</f>
        <v>0912856</v>
      </c>
      <c r="I998" t="str">
        <f>"FERGUSON WATERWORKS - MUNICIPA"</f>
        <v>FERGUSON WATERWORKS - MUNICIPA</v>
      </c>
    </row>
    <row r="999" spans="1:9" x14ac:dyDescent="0.25">
      <c r="A999" s="6">
        <v>43056</v>
      </c>
      <c r="B999" t="s">
        <v>26</v>
      </c>
      <c r="C999">
        <v>56105</v>
      </c>
      <c r="D999" t="s">
        <v>166</v>
      </c>
      <c r="E999" s="7">
        <v>601</v>
      </c>
      <c r="F999" t="s">
        <v>20</v>
      </c>
      <c r="G999" t="s">
        <v>21</v>
      </c>
      <c r="H999" t="str">
        <f>"201711178164"</f>
        <v>201711178164</v>
      </c>
      <c r="I999" t="str">
        <f>"PITNEY BOWES PURCHASE POWER"</f>
        <v>PITNEY BOWES PURCHASE POWER</v>
      </c>
    </row>
    <row r="1000" spans="1:9" x14ac:dyDescent="0.25">
      <c r="A1000" s="6">
        <v>43056</v>
      </c>
      <c r="B1000" t="s">
        <v>26</v>
      </c>
      <c r="C1000">
        <v>56106</v>
      </c>
      <c r="D1000" t="s">
        <v>107</v>
      </c>
      <c r="E1000" s="7">
        <v>1.6</v>
      </c>
      <c r="F1000" t="s">
        <v>20</v>
      </c>
      <c r="G1000" t="s">
        <v>21</v>
      </c>
      <c r="H1000" t="str">
        <f>"1166960-20171031"</f>
        <v>1166960-20171031</v>
      </c>
      <c r="I1000" t="str">
        <f>"LEXISNEXIS RISK SOLUTIONS"</f>
        <v>LEXISNEXIS RISK SOLUTIONS</v>
      </c>
    </row>
    <row r="1001" spans="1:9" x14ac:dyDescent="0.25">
      <c r="A1001" s="6">
        <v>43056</v>
      </c>
      <c r="B1001" t="s">
        <v>26</v>
      </c>
      <c r="C1001">
        <v>56107</v>
      </c>
      <c r="D1001" t="s">
        <v>110</v>
      </c>
      <c r="E1001" s="7">
        <v>6007.79</v>
      </c>
      <c r="F1001" t="s">
        <v>20</v>
      </c>
      <c r="G1001" t="s">
        <v>21</v>
      </c>
      <c r="H1001" t="str">
        <f>"1383025"</f>
        <v>1383025</v>
      </c>
      <c r="I1001" t="str">
        <f t="shared" ref="I1001:I1013" si="7">"BUREAU VERITAS NORTH AMERICA"</f>
        <v>BUREAU VERITAS NORTH AMERICA</v>
      </c>
    </row>
    <row r="1002" spans="1:9" x14ac:dyDescent="0.25">
      <c r="E1002" s="7"/>
      <c r="F1002" t="s">
        <v>20</v>
      </c>
      <c r="G1002" t="s">
        <v>21</v>
      </c>
      <c r="H1002" t="str">
        <f>"1383026"</f>
        <v>1383026</v>
      </c>
      <c r="I1002" t="str">
        <f t="shared" si="7"/>
        <v>BUREAU VERITAS NORTH AMERICA</v>
      </c>
    </row>
    <row r="1003" spans="1:9" x14ac:dyDescent="0.25">
      <c r="E1003" s="7"/>
      <c r="F1003" t="s">
        <v>20</v>
      </c>
      <c r="G1003" t="s">
        <v>21</v>
      </c>
      <c r="H1003" t="str">
        <f>"1383027"</f>
        <v>1383027</v>
      </c>
      <c r="I1003" t="str">
        <f t="shared" si="7"/>
        <v>BUREAU VERITAS NORTH AMERICA</v>
      </c>
    </row>
    <row r="1004" spans="1:9" x14ac:dyDescent="0.25">
      <c r="E1004" s="7"/>
      <c r="F1004" t="s">
        <v>20</v>
      </c>
      <c r="G1004" t="s">
        <v>21</v>
      </c>
      <c r="H1004" t="str">
        <f>"1383028"</f>
        <v>1383028</v>
      </c>
      <c r="I1004" t="str">
        <f t="shared" si="7"/>
        <v>BUREAU VERITAS NORTH AMERICA</v>
      </c>
    </row>
    <row r="1005" spans="1:9" x14ac:dyDescent="0.25">
      <c r="E1005" s="7"/>
      <c r="F1005" t="s">
        <v>20</v>
      </c>
      <c r="G1005" t="s">
        <v>21</v>
      </c>
      <c r="H1005" t="str">
        <f>"1383029"</f>
        <v>1383029</v>
      </c>
      <c r="I1005" t="str">
        <f t="shared" si="7"/>
        <v>BUREAU VERITAS NORTH AMERICA</v>
      </c>
    </row>
    <row r="1006" spans="1:9" x14ac:dyDescent="0.25">
      <c r="E1006" s="7"/>
      <c r="F1006" t="s">
        <v>20</v>
      </c>
      <c r="G1006" t="s">
        <v>21</v>
      </c>
      <c r="H1006" t="str">
        <f>"1383030"</f>
        <v>1383030</v>
      </c>
      <c r="I1006" t="str">
        <f t="shared" si="7"/>
        <v>BUREAU VERITAS NORTH AMERICA</v>
      </c>
    </row>
    <row r="1007" spans="1:9" x14ac:dyDescent="0.25">
      <c r="E1007" s="7"/>
      <c r="F1007" t="s">
        <v>20</v>
      </c>
      <c r="G1007" t="s">
        <v>21</v>
      </c>
      <c r="H1007" t="str">
        <f>"1383031"</f>
        <v>1383031</v>
      </c>
      <c r="I1007" t="str">
        <f t="shared" si="7"/>
        <v>BUREAU VERITAS NORTH AMERICA</v>
      </c>
    </row>
    <row r="1008" spans="1:9" x14ac:dyDescent="0.25">
      <c r="E1008" s="7"/>
      <c r="F1008" t="s">
        <v>20</v>
      </c>
      <c r="G1008" t="s">
        <v>21</v>
      </c>
      <c r="H1008" t="str">
        <f>"1383032"</f>
        <v>1383032</v>
      </c>
      <c r="I1008" t="str">
        <f t="shared" si="7"/>
        <v>BUREAU VERITAS NORTH AMERICA</v>
      </c>
    </row>
    <row r="1009" spans="1:9" x14ac:dyDescent="0.25">
      <c r="E1009" s="7"/>
      <c r="F1009" t="s">
        <v>20</v>
      </c>
      <c r="G1009" t="s">
        <v>21</v>
      </c>
      <c r="H1009" t="str">
        <f>"13830333"</f>
        <v>13830333</v>
      </c>
      <c r="I1009" t="str">
        <f t="shared" si="7"/>
        <v>BUREAU VERITAS NORTH AMERICA</v>
      </c>
    </row>
    <row r="1010" spans="1:9" x14ac:dyDescent="0.25">
      <c r="E1010" s="7"/>
      <c r="F1010" t="s">
        <v>20</v>
      </c>
      <c r="G1010" t="s">
        <v>21</v>
      </c>
      <c r="H1010" t="str">
        <f>"1383034"</f>
        <v>1383034</v>
      </c>
      <c r="I1010" t="str">
        <f t="shared" si="7"/>
        <v>BUREAU VERITAS NORTH AMERICA</v>
      </c>
    </row>
    <row r="1011" spans="1:9" x14ac:dyDescent="0.25">
      <c r="E1011" s="7"/>
      <c r="F1011" t="s">
        <v>20</v>
      </c>
      <c r="G1011" t="s">
        <v>21</v>
      </c>
      <c r="H1011" t="str">
        <f>"1383036"</f>
        <v>1383036</v>
      </c>
      <c r="I1011" t="str">
        <f t="shared" si="7"/>
        <v>BUREAU VERITAS NORTH AMERICA</v>
      </c>
    </row>
    <row r="1012" spans="1:9" x14ac:dyDescent="0.25">
      <c r="E1012" s="7"/>
      <c r="F1012" t="s">
        <v>20</v>
      </c>
      <c r="G1012" t="s">
        <v>21</v>
      </c>
      <c r="H1012" t="str">
        <f>"1383037"</f>
        <v>1383037</v>
      </c>
      <c r="I1012" t="str">
        <f t="shared" si="7"/>
        <v>BUREAU VERITAS NORTH AMERICA</v>
      </c>
    </row>
    <row r="1013" spans="1:9" x14ac:dyDescent="0.25">
      <c r="E1013" s="7"/>
      <c r="F1013" t="s">
        <v>20</v>
      </c>
      <c r="G1013" t="s">
        <v>21</v>
      </c>
      <c r="H1013" t="str">
        <f>"1383038"</f>
        <v>1383038</v>
      </c>
      <c r="I1013" t="str">
        <f t="shared" si="7"/>
        <v>BUREAU VERITAS NORTH AMERICA</v>
      </c>
    </row>
    <row r="1014" spans="1:9" x14ac:dyDescent="0.25">
      <c r="A1014" s="6">
        <v>43056</v>
      </c>
      <c r="B1014" t="s">
        <v>26</v>
      </c>
      <c r="C1014">
        <v>56110</v>
      </c>
      <c r="D1014" t="s">
        <v>0</v>
      </c>
      <c r="E1014" s="7">
        <v>2386.0300000000002</v>
      </c>
      <c r="F1014" t="s">
        <v>20</v>
      </c>
      <c r="G1014" t="s">
        <v>21</v>
      </c>
      <c r="H1014" t="str">
        <f>"11.10.17"</f>
        <v>11.10.17</v>
      </c>
      <c r="I1014" t="str">
        <f>"CITY OF FLORESVILLE"</f>
        <v>CITY OF FLORESVILLE</v>
      </c>
    </row>
    <row r="1015" spans="1:9" x14ac:dyDescent="0.25">
      <c r="A1015" s="6">
        <v>43056</v>
      </c>
      <c r="B1015" t="s">
        <v>26</v>
      </c>
      <c r="C1015">
        <v>56111</v>
      </c>
      <c r="D1015" t="s">
        <v>167</v>
      </c>
      <c r="E1015" s="7">
        <v>205.11</v>
      </c>
      <c r="F1015" t="s">
        <v>20</v>
      </c>
      <c r="G1015" t="s">
        <v>21</v>
      </c>
      <c r="H1015" t="str">
        <f>"26993"</f>
        <v>26993</v>
      </c>
      <c r="I1015" t="str">
        <f>"DATA FLOW"</f>
        <v>DATA FLOW</v>
      </c>
    </row>
    <row r="1016" spans="1:9" x14ac:dyDescent="0.25">
      <c r="A1016" s="6">
        <v>43056</v>
      </c>
      <c r="B1016" t="s">
        <v>26</v>
      </c>
      <c r="C1016">
        <v>56112</v>
      </c>
      <c r="D1016" t="s">
        <v>168</v>
      </c>
      <c r="E1016" s="7">
        <v>604</v>
      </c>
      <c r="F1016" t="s">
        <v>20</v>
      </c>
      <c r="G1016" t="s">
        <v>21</v>
      </c>
      <c r="H1016" t="str">
        <f>"LI-5022"</f>
        <v>LI-5022</v>
      </c>
      <c r="I1016" t="str">
        <f t="shared" ref="I1016:I1023" si="8">"BEXAR COUNTY AUDITOR/ATTN:CRIM"</f>
        <v>BEXAR COUNTY AUDITOR/ATTN:CRIM</v>
      </c>
    </row>
    <row r="1017" spans="1:9" x14ac:dyDescent="0.25">
      <c r="E1017" s="7"/>
      <c r="F1017" t="s">
        <v>20</v>
      </c>
      <c r="G1017" t="s">
        <v>21</v>
      </c>
      <c r="H1017" t="str">
        <f>"LI-5024"</f>
        <v>LI-5024</v>
      </c>
      <c r="I1017" t="str">
        <f t="shared" si="8"/>
        <v>BEXAR COUNTY AUDITOR/ATTN:CRIM</v>
      </c>
    </row>
    <row r="1018" spans="1:9" x14ac:dyDescent="0.25">
      <c r="E1018" s="7"/>
      <c r="F1018" t="s">
        <v>20</v>
      </c>
      <c r="G1018" t="s">
        <v>21</v>
      </c>
      <c r="H1018" t="str">
        <f>"LI-5025"</f>
        <v>LI-5025</v>
      </c>
      <c r="I1018" t="str">
        <f t="shared" si="8"/>
        <v>BEXAR COUNTY AUDITOR/ATTN:CRIM</v>
      </c>
    </row>
    <row r="1019" spans="1:9" x14ac:dyDescent="0.25">
      <c r="E1019" s="7"/>
      <c r="F1019" t="s">
        <v>20</v>
      </c>
      <c r="G1019" t="s">
        <v>21</v>
      </c>
      <c r="H1019" t="str">
        <f>"LI-5026"</f>
        <v>LI-5026</v>
      </c>
      <c r="I1019" t="str">
        <f t="shared" si="8"/>
        <v>BEXAR COUNTY AUDITOR/ATTN:CRIM</v>
      </c>
    </row>
    <row r="1020" spans="1:9" x14ac:dyDescent="0.25">
      <c r="E1020" s="7"/>
      <c r="F1020" t="s">
        <v>20</v>
      </c>
      <c r="G1020" t="s">
        <v>21</v>
      </c>
      <c r="H1020" t="str">
        <f>"LI-5027"</f>
        <v>LI-5027</v>
      </c>
      <c r="I1020" t="str">
        <f t="shared" si="8"/>
        <v>BEXAR COUNTY AUDITOR/ATTN:CRIM</v>
      </c>
    </row>
    <row r="1021" spans="1:9" x14ac:dyDescent="0.25">
      <c r="E1021" s="7"/>
      <c r="F1021" t="s">
        <v>20</v>
      </c>
      <c r="G1021" t="s">
        <v>21</v>
      </c>
      <c r="H1021" t="str">
        <f>"LI-5028"</f>
        <v>LI-5028</v>
      </c>
      <c r="I1021" t="str">
        <f t="shared" si="8"/>
        <v>BEXAR COUNTY AUDITOR/ATTN:CRIM</v>
      </c>
    </row>
    <row r="1022" spans="1:9" x14ac:dyDescent="0.25">
      <c r="E1022" s="7"/>
      <c r="F1022" t="s">
        <v>20</v>
      </c>
      <c r="G1022" t="s">
        <v>21</v>
      </c>
      <c r="H1022" t="str">
        <f>"LI-5029"</f>
        <v>LI-5029</v>
      </c>
      <c r="I1022" t="str">
        <f t="shared" si="8"/>
        <v>BEXAR COUNTY AUDITOR/ATTN:CRIM</v>
      </c>
    </row>
    <row r="1023" spans="1:9" x14ac:dyDescent="0.25">
      <c r="E1023" s="7"/>
      <c r="F1023" t="s">
        <v>20</v>
      </c>
      <c r="G1023" t="s">
        <v>21</v>
      </c>
      <c r="H1023" t="str">
        <f>"LI-5030"</f>
        <v>LI-5030</v>
      </c>
      <c r="I1023" t="str">
        <f t="shared" si="8"/>
        <v>BEXAR COUNTY AUDITOR/ATTN:CRIM</v>
      </c>
    </row>
    <row r="1024" spans="1:9" x14ac:dyDescent="0.25">
      <c r="A1024" s="6">
        <v>43056</v>
      </c>
      <c r="B1024" t="s">
        <v>26</v>
      </c>
      <c r="C1024">
        <v>56114</v>
      </c>
      <c r="D1024" t="s">
        <v>62</v>
      </c>
      <c r="E1024" s="7">
        <v>153</v>
      </c>
      <c r="F1024" t="s">
        <v>20</v>
      </c>
      <c r="G1024" t="s">
        <v>21</v>
      </c>
      <c r="H1024" t="str">
        <f>"56484"</f>
        <v>56484</v>
      </c>
      <c r="I1024" t="str">
        <f>"SBS ADMINISTRATIVE SERVICES  L"</f>
        <v>SBS ADMINISTRATIVE SERVICES  L</v>
      </c>
    </row>
    <row r="1025" spans="1:9" x14ac:dyDescent="0.25">
      <c r="A1025" s="6">
        <v>43056</v>
      </c>
      <c r="B1025" t="s">
        <v>26</v>
      </c>
      <c r="C1025">
        <v>56115</v>
      </c>
      <c r="D1025" t="s">
        <v>169</v>
      </c>
      <c r="E1025" s="7">
        <v>17.489999999999998</v>
      </c>
      <c r="F1025" t="s">
        <v>20</v>
      </c>
      <c r="G1025" t="s">
        <v>21</v>
      </c>
      <c r="H1025" t="str">
        <f>"99061"</f>
        <v>99061</v>
      </c>
      <c r="I1025" t="str">
        <f>"THE POLICE AND SHERIFFS PRESS"</f>
        <v>THE POLICE AND SHERIFFS PRESS</v>
      </c>
    </row>
    <row r="1026" spans="1:9" x14ac:dyDescent="0.25">
      <c r="A1026" s="6">
        <v>43056</v>
      </c>
      <c r="B1026" t="s">
        <v>26</v>
      </c>
      <c r="C1026">
        <v>56116</v>
      </c>
      <c r="D1026" t="s">
        <v>63</v>
      </c>
      <c r="E1026" s="7">
        <v>446.03</v>
      </c>
      <c r="F1026" t="s">
        <v>20</v>
      </c>
      <c r="G1026" t="s">
        <v>21</v>
      </c>
      <c r="H1026" t="str">
        <f>"8403400733"</f>
        <v>8403400733</v>
      </c>
      <c r="I1026" t="str">
        <f>"CINTAS CORPORATION"</f>
        <v>CINTAS CORPORATION</v>
      </c>
    </row>
    <row r="1027" spans="1:9" x14ac:dyDescent="0.25">
      <c r="A1027" s="6">
        <v>43056</v>
      </c>
      <c r="B1027" t="s">
        <v>26</v>
      </c>
      <c r="C1027">
        <v>56117</v>
      </c>
      <c r="D1027" t="s">
        <v>64</v>
      </c>
      <c r="E1027" s="7">
        <v>3980</v>
      </c>
      <c r="F1027" t="s">
        <v>20</v>
      </c>
      <c r="G1027" t="s">
        <v>21</v>
      </c>
      <c r="H1027" t="str">
        <f>"7385"</f>
        <v>7385</v>
      </c>
      <c r="I1027" t="str">
        <f>"DREWA DESIGNS  INC."</f>
        <v>DREWA DESIGNS  INC.</v>
      </c>
    </row>
    <row r="1028" spans="1:9" x14ac:dyDescent="0.25">
      <c r="A1028" s="6">
        <v>43056</v>
      </c>
      <c r="B1028" t="s">
        <v>26</v>
      </c>
      <c r="C1028">
        <v>56118</v>
      </c>
      <c r="D1028" t="s">
        <v>117</v>
      </c>
      <c r="E1028" s="7">
        <v>1552.15</v>
      </c>
      <c r="F1028" t="s">
        <v>20</v>
      </c>
      <c r="G1028" t="s">
        <v>21</v>
      </c>
      <c r="H1028" t="str">
        <f>"OCT 2017"</f>
        <v>OCT 2017</v>
      </c>
      <c r="I1028" t="str">
        <f>"LINEBARGER GOGGAN BLAIR &amp; SAMP"</f>
        <v>LINEBARGER GOGGAN BLAIR &amp; SAMP</v>
      </c>
    </row>
    <row r="1029" spans="1:9" x14ac:dyDescent="0.25">
      <c r="A1029" s="6">
        <v>43056</v>
      </c>
      <c r="B1029" t="s">
        <v>26</v>
      </c>
      <c r="C1029">
        <v>56119</v>
      </c>
      <c r="D1029" t="s">
        <v>67</v>
      </c>
      <c r="E1029" s="7">
        <v>324.83999999999997</v>
      </c>
      <c r="F1029" t="s">
        <v>20</v>
      </c>
      <c r="G1029" t="s">
        <v>21</v>
      </c>
      <c r="H1029" t="str">
        <f>"201711178168"</f>
        <v>201711178168</v>
      </c>
      <c r="I1029" t="str">
        <f>"ANYTIME FITNESS"</f>
        <v>ANYTIME FITNESS</v>
      </c>
    </row>
    <row r="1030" spans="1:9" x14ac:dyDescent="0.25">
      <c r="A1030" s="6">
        <v>43056</v>
      </c>
      <c r="B1030" t="s">
        <v>26</v>
      </c>
      <c r="C1030">
        <v>56120</v>
      </c>
      <c r="D1030" t="s">
        <v>68</v>
      </c>
      <c r="E1030" s="7">
        <v>300</v>
      </c>
      <c r="F1030" t="s">
        <v>20</v>
      </c>
      <c r="G1030" t="s">
        <v>21</v>
      </c>
      <c r="H1030" t="str">
        <f>"0397732-IN"</f>
        <v>0397732-IN</v>
      </c>
      <c r="I1030" t="str">
        <f>"SOUTHWASTE DISPOSAL  LLP"</f>
        <v>SOUTHWASTE DISPOSAL  LLP</v>
      </c>
    </row>
    <row r="1031" spans="1:9" x14ac:dyDescent="0.25">
      <c r="A1031" s="6">
        <v>43056</v>
      </c>
      <c r="B1031" t="s">
        <v>26</v>
      </c>
      <c r="C1031">
        <v>56121</v>
      </c>
      <c r="D1031" t="s">
        <v>74</v>
      </c>
      <c r="E1031" s="7">
        <v>209.35</v>
      </c>
      <c r="F1031" t="s">
        <v>20</v>
      </c>
      <c r="G1031" t="s">
        <v>21</v>
      </c>
      <c r="H1031" t="str">
        <f>"9795106616"</f>
        <v>9795106616</v>
      </c>
      <c r="I1031" t="str">
        <f>"VERIZON WIRELESS"</f>
        <v>VERIZON WIRELESS</v>
      </c>
    </row>
    <row r="1032" spans="1:9" x14ac:dyDescent="0.25">
      <c r="A1032" s="6">
        <v>43056</v>
      </c>
      <c r="B1032" t="s">
        <v>26</v>
      </c>
      <c r="C1032">
        <v>56122</v>
      </c>
      <c r="D1032" t="s">
        <v>170</v>
      </c>
      <c r="E1032" s="7">
        <v>2729</v>
      </c>
      <c r="F1032" t="s">
        <v>20</v>
      </c>
      <c r="G1032" t="s">
        <v>21</v>
      </c>
      <c r="H1032" t="str">
        <f>"28713"</f>
        <v>28713</v>
      </c>
      <c r="I1032" t="str">
        <f>"BARRETT &amp; SONS  INC."</f>
        <v>BARRETT &amp; SONS  INC.</v>
      </c>
    </row>
    <row r="1033" spans="1:9" x14ac:dyDescent="0.25">
      <c r="E1033" s="7"/>
      <c r="F1033" t="s">
        <v>20</v>
      </c>
      <c r="G1033" t="s">
        <v>21</v>
      </c>
      <c r="H1033" t="str">
        <f>"28774"</f>
        <v>28774</v>
      </c>
      <c r="I1033" t="str">
        <f>"BARRETT &amp; SONS  INC."</f>
        <v>BARRETT &amp; SONS  INC.</v>
      </c>
    </row>
    <row r="1034" spans="1:9" x14ac:dyDescent="0.25">
      <c r="A1034" s="6">
        <v>43056</v>
      </c>
      <c r="B1034" t="s">
        <v>26</v>
      </c>
      <c r="C1034">
        <v>56123</v>
      </c>
      <c r="D1034" t="s">
        <v>171</v>
      </c>
      <c r="E1034" s="7">
        <v>1372.25</v>
      </c>
      <c r="F1034" t="s">
        <v>20</v>
      </c>
      <c r="G1034" t="s">
        <v>21</v>
      </c>
      <c r="H1034" t="str">
        <f>"201711178169"</f>
        <v>201711178169</v>
      </c>
      <c r="I1034" t="str">
        <f>"PHESCO INTERNATIONAL  LLC"</f>
        <v>PHESCO INTERNATIONAL  LLC</v>
      </c>
    </row>
    <row r="1035" spans="1:9" x14ac:dyDescent="0.25">
      <c r="A1035" s="6">
        <v>43056</v>
      </c>
      <c r="B1035" t="s">
        <v>26</v>
      </c>
      <c r="C1035">
        <v>56124</v>
      </c>
      <c r="D1035" t="s">
        <v>137</v>
      </c>
      <c r="E1035" s="7">
        <v>121.9</v>
      </c>
      <c r="F1035" t="s">
        <v>20</v>
      </c>
      <c r="G1035" t="s">
        <v>21</v>
      </c>
      <c r="H1035" t="str">
        <f>"1439316"</f>
        <v>1439316</v>
      </c>
      <c r="I1035" t="str">
        <f>"OMNIBUS-M  INC.D.B.A."</f>
        <v>OMNIBUS-M  INC.D.B.A.</v>
      </c>
    </row>
    <row r="1036" spans="1:9" x14ac:dyDescent="0.25">
      <c r="E1036" s="7"/>
      <c r="F1036" t="s">
        <v>20</v>
      </c>
      <c r="G1036" t="s">
        <v>21</v>
      </c>
      <c r="H1036" t="str">
        <f>"1439317"</f>
        <v>1439317</v>
      </c>
      <c r="I1036" t="str">
        <f>"OMNIBUS-M  INC.D.B.A."</f>
        <v>OMNIBUS-M  INC.D.B.A.</v>
      </c>
    </row>
    <row r="1037" spans="1:9" x14ac:dyDescent="0.25">
      <c r="A1037" s="6">
        <v>43056</v>
      </c>
      <c r="B1037" t="s">
        <v>26</v>
      </c>
      <c r="C1037">
        <v>56125</v>
      </c>
      <c r="D1037" t="s">
        <v>124</v>
      </c>
      <c r="E1037" s="7">
        <v>69.33</v>
      </c>
      <c r="F1037" t="s">
        <v>20</v>
      </c>
      <c r="G1037" t="s">
        <v>21</v>
      </c>
      <c r="H1037" t="str">
        <f>"11151547"</f>
        <v>11151547</v>
      </c>
      <c r="I1037" t="str">
        <f>"MCCOY'S CORPORATION"</f>
        <v>MCCOY'S CORPORATION</v>
      </c>
    </row>
    <row r="1038" spans="1:9" x14ac:dyDescent="0.25">
      <c r="A1038" s="6">
        <v>43056</v>
      </c>
      <c r="B1038" t="s">
        <v>26</v>
      </c>
      <c r="C1038">
        <v>56126</v>
      </c>
      <c r="D1038" t="s">
        <v>78</v>
      </c>
      <c r="E1038" s="7">
        <v>2843.05</v>
      </c>
      <c r="F1038" t="s">
        <v>20</v>
      </c>
      <c r="G1038" t="s">
        <v>21</v>
      </c>
      <c r="H1038" t="str">
        <f>"23265"</f>
        <v>23265</v>
      </c>
      <c r="I1038" t="str">
        <f>"DENTON NAVARRO ROCHA BERNAL HY"</f>
        <v>DENTON NAVARRO ROCHA BERNAL HY</v>
      </c>
    </row>
    <row r="1039" spans="1:9" x14ac:dyDescent="0.25">
      <c r="A1039" s="6">
        <v>43056</v>
      </c>
      <c r="B1039" t="s">
        <v>26</v>
      </c>
      <c r="C1039">
        <v>56127</v>
      </c>
      <c r="D1039" t="s">
        <v>172</v>
      </c>
      <c r="E1039" s="7">
        <v>1956.56</v>
      </c>
      <c r="F1039" t="s">
        <v>20</v>
      </c>
      <c r="G1039" t="s">
        <v>21</v>
      </c>
      <c r="H1039" t="str">
        <f>"00213316"</f>
        <v>00213316</v>
      </c>
      <c r="I1039" t="str">
        <f>"CAPITAL BEARING SERVICES"</f>
        <v>CAPITAL BEARING SERVICES</v>
      </c>
    </row>
    <row r="1040" spans="1:9" x14ac:dyDescent="0.25">
      <c r="A1040" s="6">
        <v>43056</v>
      </c>
      <c r="B1040" t="s">
        <v>26</v>
      </c>
      <c r="C1040">
        <v>56128</v>
      </c>
      <c r="D1040" t="s">
        <v>80</v>
      </c>
      <c r="E1040" s="7">
        <v>1776.91</v>
      </c>
      <c r="F1040" t="s">
        <v>20</v>
      </c>
      <c r="G1040" t="s">
        <v>21</v>
      </c>
      <c r="H1040" t="str">
        <f>"1648-20171101-1"</f>
        <v>1648-20171101-1</v>
      </c>
      <c r="I1040" t="str">
        <f>"LVWIFI.COM"</f>
        <v>LVWIFI.COM</v>
      </c>
    </row>
    <row r="1041" spans="1:9" x14ac:dyDescent="0.25">
      <c r="E1041" s="7"/>
      <c r="F1041" t="s">
        <v>20</v>
      </c>
      <c r="G1041" t="s">
        <v>21</v>
      </c>
      <c r="H1041" t="str">
        <f>"2313-20171101-1"</f>
        <v>2313-20171101-1</v>
      </c>
      <c r="I1041" t="str">
        <f>"LVWIFI.COM"</f>
        <v>LVWIFI.COM</v>
      </c>
    </row>
    <row r="1042" spans="1:9" x14ac:dyDescent="0.25">
      <c r="E1042" s="7"/>
      <c r="F1042" t="s">
        <v>20</v>
      </c>
      <c r="G1042" t="s">
        <v>21</v>
      </c>
      <c r="H1042" t="str">
        <f>"2314-20171101-1"</f>
        <v>2314-20171101-1</v>
      </c>
      <c r="I1042" t="str">
        <f>"LVWIFI.COM"</f>
        <v>LVWIFI.COM</v>
      </c>
    </row>
    <row r="1043" spans="1:9" x14ac:dyDescent="0.25">
      <c r="E1043" s="7"/>
      <c r="F1043" t="s">
        <v>20</v>
      </c>
      <c r="G1043" t="s">
        <v>21</v>
      </c>
      <c r="H1043" t="str">
        <f>"2478-20171101-1"</f>
        <v>2478-20171101-1</v>
      </c>
      <c r="I1043" t="str">
        <f>"LVWIFI.COM"</f>
        <v>LVWIFI.COM</v>
      </c>
    </row>
    <row r="1044" spans="1:9" x14ac:dyDescent="0.25">
      <c r="A1044" s="6">
        <v>43056</v>
      </c>
      <c r="B1044" t="s">
        <v>26</v>
      </c>
      <c r="C1044">
        <v>56129</v>
      </c>
      <c r="D1044" t="s">
        <v>85</v>
      </c>
      <c r="E1044" s="7">
        <v>163.95</v>
      </c>
      <c r="F1044" t="s">
        <v>20</v>
      </c>
      <c r="G1044" t="s">
        <v>21</v>
      </c>
      <c r="H1044" t="str">
        <f>"201711178165"</f>
        <v>201711178165</v>
      </c>
      <c r="I1044" t="str">
        <f>"FRONTIER"</f>
        <v>FRONTIER</v>
      </c>
    </row>
    <row r="1045" spans="1:9" x14ac:dyDescent="0.25">
      <c r="E1045" s="7"/>
      <c r="F1045" t="s">
        <v>20</v>
      </c>
      <c r="G1045" t="s">
        <v>21</v>
      </c>
      <c r="H1045" t="str">
        <f>"201711178166"</f>
        <v>201711178166</v>
      </c>
      <c r="I1045" t="str">
        <f>"FRONTIER"</f>
        <v>FRONTIER</v>
      </c>
    </row>
    <row r="1046" spans="1:9" x14ac:dyDescent="0.25">
      <c r="E1046" s="7"/>
      <c r="F1046" t="s">
        <v>20</v>
      </c>
      <c r="G1046" t="s">
        <v>21</v>
      </c>
      <c r="H1046" t="str">
        <f>"201711178167"</f>
        <v>201711178167</v>
      </c>
      <c r="I1046" t="str">
        <f>"FRONTIER"</f>
        <v>FRONTIER</v>
      </c>
    </row>
    <row r="1047" spans="1:9" x14ac:dyDescent="0.25">
      <c r="A1047" s="6">
        <v>43056</v>
      </c>
      <c r="B1047" t="s">
        <v>26</v>
      </c>
      <c r="C1047">
        <v>56130</v>
      </c>
      <c r="D1047" t="s">
        <v>173</v>
      </c>
      <c r="E1047" s="7">
        <v>75</v>
      </c>
      <c r="F1047" t="s">
        <v>20</v>
      </c>
      <c r="G1047" t="s">
        <v>21</v>
      </c>
      <c r="H1047" t="str">
        <f>"TRNG 11/20-11/22"</f>
        <v>TRNG 11/20-11/22</v>
      </c>
      <c r="I1047" t="str">
        <f>"BEXAR COUNTY SHERIFF'S OFFICE"</f>
        <v>BEXAR COUNTY SHERIFF'S OFFICE</v>
      </c>
    </row>
    <row r="1048" spans="1:9" x14ac:dyDescent="0.25">
      <c r="A1048" s="6">
        <v>43056</v>
      </c>
      <c r="B1048" t="s">
        <v>26</v>
      </c>
      <c r="C1048">
        <v>56131</v>
      </c>
      <c r="D1048" t="s">
        <v>174</v>
      </c>
      <c r="E1048" s="7">
        <v>75</v>
      </c>
      <c r="F1048" t="s">
        <v>20</v>
      </c>
      <c r="G1048" t="s">
        <v>21</v>
      </c>
      <c r="H1048" t="str">
        <f>"ID#43866"</f>
        <v>ID#43866</v>
      </c>
      <c r="I1048" t="str">
        <f>"TMHRA"</f>
        <v>TMHRA</v>
      </c>
    </row>
    <row r="1049" spans="1:9" x14ac:dyDescent="0.25">
      <c r="A1049" s="6">
        <v>43056</v>
      </c>
      <c r="B1049" t="s">
        <v>26</v>
      </c>
      <c r="C1049">
        <v>56132</v>
      </c>
      <c r="D1049" t="s">
        <v>132</v>
      </c>
      <c r="E1049" s="7">
        <v>83.34</v>
      </c>
      <c r="F1049" t="s">
        <v>20</v>
      </c>
      <c r="G1049" t="s">
        <v>21</v>
      </c>
      <c r="H1049" t="str">
        <f>"16992887110917"</f>
        <v>16992887110917</v>
      </c>
      <c r="I1049" t="str">
        <f>"SPARKLETTS &amp; SIERRA SPRINGS"</f>
        <v>SPARKLETTS &amp; SIERRA SPRINGS</v>
      </c>
    </row>
    <row r="1050" spans="1:9" x14ac:dyDescent="0.25">
      <c r="A1050" s="6">
        <v>43056</v>
      </c>
      <c r="B1050" t="s">
        <v>26</v>
      </c>
      <c r="C1050">
        <v>56133</v>
      </c>
      <c r="D1050" t="s">
        <v>133</v>
      </c>
      <c r="E1050" s="7">
        <v>153519.72</v>
      </c>
      <c r="F1050" t="s">
        <v>20</v>
      </c>
      <c r="G1050" t="s">
        <v>21</v>
      </c>
      <c r="H1050" t="str">
        <f>"PAY APP#4"</f>
        <v>PAY APP#4</v>
      </c>
      <c r="I1050" t="str">
        <f>"WAUTERS ENGINEERING"</f>
        <v>WAUTERS ENGINEERING</v>
      </c>
    </row>
    <row r="1051" spans="1:9" x14ac:dyDescent="0.25">
      <c r="A1051" s="6">
        <v>43056</v>
      </c>
      <c r="B1051" t="s">
        <v>26</v>
      </c>
      <c r="C1051">
        <v>56134</v>
      </c>
      <c r="D1051" t="s">
        <v>48</v>
      </c>
      <c r="E1051" s="7">
        <v>646.79999999999995</v>
      </c>
      <c r="F1051" t="s">
        <v>20</v>
      </c>
      <c r="G1051" t="s">
        <v>21</v>
      </c>
      <c r="H1051" t="str">
        <f>"1528"</f>
        <v>1528</v>
      </c>
      <c r="I1051" t="str">
        <f>"RANDY HOLLAR  LLC"</f>
        <v>RANDY HOLLAR  LLC</v>
      </c>
    </row>
    <row r="1052" spans="1:9" x14ac:dyDescent="0.25">
      <c r="A1052" s="6">
        <v>43059</v>
      </c>
      <c r="B1052" t="s">
        <v>26</v>
      </c>
      <c r="C1052">
        <v>56144</v>
      </c>
      <c r="D1052" t="s">
        <v>51</v>
      </c>
      <c r="E1052" s="7">
        <v>327.84</v>
      </c>
      <c r="F1052" t="s">
        <v>20</v>
      </c>
      <c r="G1052" t="s">
        <v>21</v>
      </c>
      <c r="H1052" t="str">
        <f>"CLE201711208170"</f>
        <v>CLE201711208170</v>
      </c>
      <c r="I1052" t="str">
        <f>"CLEAT ONLY DUES"</f>
        <v>CLEAT ONLY DUES</v>
      </c>
    </row>
    <row r="1053" spans="1:9" x14ac:dyDescent="0.25">
      <c r="E1053" s="7"/>
      <c r="F1053" t="s">
        <v>20</v>
      </c>
      <c r="G1053" t="s">
        <v>21</v>
      </c>
      <c r="H1053" t="str">
        <f>"PDD201711208170"</f>
        <v>PDD201711208170</v>
      </c>
      <c r="I1053" t="str">
        <f>"POLICE OFFICERS ASSOC DUES"</f>
        <v>POLICE OFFICERS ASSOC DUES</v>
      </c>
    </row>
    <row r="1054" spans="1:9" x14ac:dyDescent="0.25">
      <c r="A1054" s="6">
        <v>43059</v>
      </c>
      <c r="B1054" t="s">
        <v>26</v>
      </c>
      <c r="C1054">
        <v>56145</v>
      </c>
      <c r="D1054" t="s">
        <v>52</v>
      </c>
      <c r="E1054" s="7">
        <v>1745.38</v>
      </c>
      <c r="F1054" t="s">
        <v>20</v>
      </c>
      <c r="G1054" t="s">
        <v>21</v>
      </c>
      <c r="H1054" t="str">
        <f>"CJM201711208170"</f>
        <v>CJM201711208170</v>
      </c>
      <c r="I1054" t="str">
        <f>"1248728810120679CV LISA M FISH"</f>
        <v>1248728810120679CV LISA M FISH</v>
      </c>
    </row>
    <row r="1055" spans="1:9" x14ac:dyDescent="0.25">
      <c r="E1055" s="7"/>
      <c r="F1055" t="s">
        <v>20</v>
      </c>
      <c r="G1055" t="s">
        <v>21</v>
      </c>
      <c r="H1055" t="str">
        <f>"CPS201711208170"</f>
        <v>CPS201711208170</v>
      </c>
      <c r="I1055" t="str">
        <f>"G MENDOZA 00123012032010EM5054"</f>
        <v>G MENDOZA 00123012032010EM5054</v>
      </c>
    </row>
    <row r="1056" spans="1:9" x14ac:dyDescent="0.25">
      <c r="E1056" s="7"/>
      <c r="F1056" t="s">
        <v>20</v>
      </c>
      <c r="G1056" t="s">
        <v>21</v>
      </c>
      <c r="H1056" t="str">
        <f>"CS 201711208170"</f>
        <v>CS 201711208170</v>
      </c>
      <c r="I1056" t="str">
        <f>"CAUSE#98EM504113 PEGGY RIVAS"</f>
        <v>CAUSE#98EM504113 PEGGY RIVAS</v>
      </c>
    </row>
    <row r="1057" spans="1:9" x14ac:dyDescent="0.25">
      <c r="E1057" s="7"/>
      <c r="F1057" t="s">
        <v>20</v>
      </c>
      <c r="G1057" t="s">
        <v>21</v>
      </c>
      <c r="H1057" t="str">
        <f>"CS1201711208170"</f>
        <v>CS1201711208170</v>
      </c>
      <c r="I1057" t="str">
        <f>"CAUSE# 10008CVW DEBRA ESQUEDA"</f>
        <v>CAUSE# 10008CVW DEBRA ESQUEDA</v>
      </c>
    </row>
    <row r="1058" spans="1:9" x14ac:dyDescent="0.25">
      <c r="E1058" s="7"/>
      <c r="F1058" t="s">
        <v>20</v>
      </c>
      <c r="G1058" t="s">
        <v>21</v>
      </c>
      <c r="H1058" t="str">
        <f>"CSJ201711208170"</f>
        <v>CSJ201711208170</v>
      </c>
      <c r="I1058" t="str">
        <f>"CAUSE# 0010185272 MARIANN GUTI"</f>
        <v>CAUSE# 0010185272 MARIANN GUTI</v>
      </c>
    </row>
    <row r="1059" spans="1:9" x14ac:dyDescent="0.25">
      <c r="E1059" s="7"/>
      <c r="F1059" t="s">
        <v>20</v>
      </c>
      <c r="G1059" t="s">
        <v>21</v>
      </c>
      <c r="H1059" t="str">
        <f>"CST201711208170"</f>
        <v>CST201711208170</v>
      </c>
      <c r="I1059" t="str">
        <f>"CAUSE #0009418917 SONIA PEREZ"</f>
        <v>CAUSE #0009418917 SONIA PEREZ</v>
      </c>
    </row>
    <row r="1060" spans="1:9" x14ac:dyDescent="0.25">
      <c r="A1060" s="6">
        <v>43059</v>
      </c>
      <c r="B1060" t="s">
        <v>26</v>
      </c>
      <c r="C1060">
        <v>56146</v>
      </c>
      <c r="D1060" t="s">
        <v>53</v>
      </c>
      <c r="E1060" s="7">
        <v>99.1</v>
      </c>
      <c r="F1060" t="s">
        <v>20</v>
      </c>
      <c r="G1060" t="s">
        <v>21</v>
      </c>
      <c r="H1060" t="str">
        <f>"MCO201711208170"</f>
        <v>MCO201711208170</v>
      </c>
      <c r="I1060" t="str">
        <f>"MONICA CORDOVA"</f>
        <v>MONICA CORDOVA</v>
      </c>
    </row>
    <row r="1061" spans="1:9" x14ac:dyDescent="0.25">
      <c r="A1061" s="6">
        <v>43059</v>
      </c>
      <c r="B1061" t="s">
        <v>26</v>
      </c>
      <c r="C1061">
        <v>56147</v>
      </c>
      <c r="D1061" t="s">
        <v>54</v>
      </c>
      <c r="E1061" s="7">
        <v>845.48</v>
      </c>
      <c r="F1061" t="s">
        <v>20</v>
      </c>
      <c r="G1061" t="s">
        <v>21</v>
      </c>
      <c r="H1061" t="str">
        <f>"457201711208170"</f>
        <v>457201711208170</v>
      </c>
      <c r="I1061" t="str">
        <f>"CASE # 180-60751 457B DEDUCT"</f>
        <v>CASE # 180-60751 457B DEDUCT</v>
      </c>
    </row>
    <row r="1062" spans="1:9" x14ac:dyDescent="0.25">
      <c r="A1062" s="6">
        <v>43059</v>
      </c>
      <c r="B1062" t="s">
        <v>91</v>
      </c>
      <c r="C1062">
        <v>56148</v>
      </c>
      <c r="D1062" t="s">
        <v>31</v>
      </c>
      <c r="E1062" s="7">
        <v>2720</v>
      </c>
      <c r="F1062" t="s">
        <v>20</v>
      </c>
      <c r="G1062" t="s">
        <v>21</v>
      </c>
      <c r="H1062" t="str">
        <f>"2017171"</f>
        <v>2017171</v>
      </c>
      <c r="I1062" t="str">
        <f>"THE LAW OFFICE OF TOM CALDWELL"</f>
        <v>THE LAW OFFICE OF TOM CALDWELL</v>
      </c>
    </row>
    <row r="1063" spans="1:9" x14ac:dyDescent="0.25">
      <c r="A1063" s="6">
        <v>43059</v>
      </c>
      <c r="B1063" t="s">
        <v>91</v>
      </c>
      <c r="C1063">
        <v>56148</v>
      </c>
      <c r="D1063" t="s">
        <v>31</v>
      </c>
      <c r="E1063" s="7">
        <v>2720</v>
      </c>
      <c r="F1063" t="s">
        <v>20</v>
      </c>
      <c r="G1063" t="s">
        <v>93</v>
      </c>
      <c r="H1063" t="str">
        <f>"CHECK"</f>
        <v>CHECK</v>
      </c>
      <c r="I1063" t="str">
        <f>""</f>
        <v/>
      </c>
    </row>
    <row r="1064" spans="1:9" x14ac:dyDescent="0.25">
      <c r="A1064" s="6">
        <v>43059</v>
      </c>
      <c r="B1064" t="s">
        <v>26</v>
      </c>
      <c r="C1064">
        <v>56149</v>
      </c>
      <c r="D1064" t="s">
        <v>175</v>
      </c>
      <c r="E1064" s="7">
        <v>1500</v>
      </c>
      <c r="F1064" t="s">
        <v>20</v>
      </c>
      <c r="G1064" t="s">
        <v>21</v>
      </c>
      <c r="H1064" t="str">
        <f>"150919"</f>
        <v>150919</v>
      </c>
      <c r="I1064" t="str">
        <f>"AMER TECHNOLOGY  INC."</f>
        <v>AMER TECHNOLOGY  INC.</v>
      </c>
    </row>
    <row r="1065" spans="1:9" x14ac:dyDescent="0.25">
      <c r="E1065" s="7"/>
      <c r="F1065" t="s">
        <v>20</v>
      </c>
      <c r="G1065" t="s">
        <v>21</v>
      </c>
      <c r="H1065" t="str">
        <f>"151010"</f>
        <v>151010</v>
      </c>
      <c r="I1065" t="str">
        <f>"AMER TECHNOLOGY  INC."</f>
        <v>AMER TECHNOLOGY  INC.</v>
      </c>
    </row>
    <row r="1066" spans="1:9" x14ac:dyDescent="0.25">
      <c r="E1066" s="7"/>
      <c r="F1066" t="s">
        <v>20</v>
      </c>
      <c r="G1066" t="s">
        <v>21</v>
      </c>
      <c r="H1066" t="str">
        <f>"151011"</f>
        <v>151011</v>
      </c>
      <c r="I1066" t="str">
        <f>"AMER TECHNOLOGY  INC."</f>
        <v>AMER TECHNOLOGY  INC.</v>
      </c>
    </row>
    <row r="1067" spans="1:9" x14ac:dyDescent="0.25">
      <c r="A1067" s="6">
        <v>43059</v>
      </c>
      <c r="B1067" t="s">
        <v>26</v>
      </c>
      <c r="C1067">
        <v>56150</v>
      </c>
      <c r="D1067" t="s">
        <v>176</v>
      </c>
      <c r="E1067" s="7">
        <v>150009.98000000001</v>
      </c>
      <c r="F1067" t="s">
        <v>20</v>
      </c>
      <c r="G1067" t="s">
        <v>21</v>
      </c>
      <c r="H1067" t="str">
        <f>"PAY APP#11"</f>
        <v>PAY APP#11</v>
      </c>
      <c r="I1067" t="str">
        <f>"PEPPER-LAWSON WATERWORKS"</f>
        <v>PEPPER-LAWSON WATERWORKS</v>
      </c>
    </row>
    <row r="1068" spans="1:9" x14ac:dyDescent="0.25">
      <c r="A1068" s="6">
        <v>43059</v>
      </c>
      <c r="B1068" t="s">
        <v>26</v>
      </c>
      <c r="C1068">
        <v>56151</v>
      </c>
      <c r="D1068" t="s">
        <v>135</v>
      </c>
      <c r="E1068" s="7">
        <v>4940</v>
      </c>
      <c r="F1068" t="s">
        <v>20</v>
      </c>
      <c r="G1068" t="s">
        <v>21</v>
      </c>
      <c r="H1068" t="str">
        <f>"USDA PAY APP#4"</f>
        <v>USDA PAY APP#4</v>
      </c>
      <c r="I1068" t="str">
        <f>"HENOCK CONSTRUCTION  LLC"</f>
        <v>HENOCK CONSTRUCTION  LLC</v>
      </c>
    </row>
    <row r="1069" spans="1:9" x14ac:dyDescent="0.25">
      <c r="A1069" s="6">
        <v>43059</v>
      </c>
      <c r="B1069" t="s">
        <v>26</v>
      </c>
      <c r="C1069">
        <v>56152</v>
      </c>
      <c r="D1069" t="s">
        <v>55</v>
      </c>
      <c r="E1069" s="7">
        <v>1100</v>
      </c>
      <c r="F1069" t="s">
        <v>20</v>
      </c>
      <c r="G1069" t="s">
        <v>21</v>
      </c>
      <c r="H1069" t="str">
        <f>"1069"</f>
        <v>1069</v>
      </c>
      <c r="I1069" t="str">
        <f>"LEVEL 4 CONSULTING"</f>
        <v>LEVEL 4 CONSULTING</v>
      </c>
    </row>
    <row r="1070" spans="1:9" x14ac:dyDescent="0.25">
      <c r="A1070" s="6">
        <v>43059</v>
      </c>
      <c r="B1070" t="s">
        <v>26</v>
      </c>
      <c r="C1070">
        <v>56153</v>
      </c>
      <c r="D1070" t="s">
        <v>176</v>
      </c>
      <c r="E1070" s="7">
        <v>864784.79</v>
      </c>
      <c r="F1070" t="s">
        <v>20</v>
      </c>
      <c r="G1070" t="s">
        <v>21</v>
      </c>
      <c r="H1070" t="str">
        <f>"PAY APP#10"</f>
        <v>PAY APP#10</v>
      </c>
      <c r="I1070" t="str">
        <f>"PEPPER-LAWSON WATERWORKS"</f>
        <v>PEPPER-LAWSON WATERWORKS</v>
      </c>
    </row>
    <row r="1071" spans="1:9" x14ac:dyDescent="0.25">
      <c r="A1071" s="6">
        <v>43059</v>
      </c>
      <c r="B1071" t="s">
        <v>26</v>
      </c>
      <c r="C1071">
        <v>56154</v>
      </c>
      <c r="D1071" t="s">
        <v>135</v>
      </c>
      <c r="E1071" s="7">
        <v>85500</v>
      </c>
      <c r="F1071" t="s">
        <v>20</v>
      </c>
      <c r="G1071" t="s">
        <v>21</v>
      </c>
      <c r="H1071" t="str">
        <f>"PAY APP#4"</f>
        <v>PAY APP#4</v>
      </c>
      <c r="I1071" t="str">
        <f>"HENOCK CONSTRUCTION  LLC"</f>
        <v>HENOCK CONSTRUCTION  LLC</v>
      </c>
    </row>
    <row r="1072" spans="1:9" x14ac:dyDescent="0.25">
      <c r="A1072" s="6">
        <v>43066</v>
      </c>
      <c r="B1072" t="s">
        <v>26</v>
      </c>
      <c r="C1072">
        <v>56155</v>
      </c>
      <c r="D1072" t="s">
        <v>159</v>
      </c>
      <c r="E1072" s="7">
        <v>395.5</v>
      </c>
      <c r="F1072" t="s">
        <v>20</v>
      </c>
      <c r="G1072" t="s">
        <v>21</v>
      </c>
      <c r="H1072" t="str">
        <f>"*37536"</f>
        <v>*37536</v>
      </c>
      <c r="I1072" t="str">
        <f>"PHOTOGRAPHS BY JIM"</f>
        <v>PHOTOGRAPHS BY JIM</v>
      </c>
    </row>
    <row r="1073" spans="1:9" x14ac:dyDescent="0.25">
      <c r="A1073" s="6">
        <v>43069</v>
      </c>
      <c r="B1073" t="s">
        <v>26</v>
      </c>
      <c r="C1073">
        <v>56156</v>
      </c>
      <c r="D1073" t="s">
        <v>177</v>
      </c>
      <c r="E1073" s="7">
        <v>7200</v>
      </c>
      <c r="F1073" t="s">
        <v>20</v>
      </c>
      <c r="G1073" t="s">
        <v>21</v>
      </c>
      <c r="H1073" t="str">
        <f>"DISPATCH FEE"</f>
        <v>DISPATCH FEE</v>
      </c>
      <c r="I1073" t="str">
        <f>"WILSON COUNTY TREASURER"</f>
        <v>WILSON COUNTY TREASURER</v>
      </c>
    </row>
    <row r="1074" spans="1:9" x14ac:dyDescent="0.25">
      <c r="A1074" s="6">
        <v>43069</v>
      </c>
      <c r="B1074" t="s">
        <v>26</v>
      </c>
      <c r="C1074">
        <v>56157</v>
      </c>
      <c r="D1074" t="s">
        <v>102</v>
      </c>
      <c r="E1074" s="7">
        <v>343.64</v>
      </c>
      <c r="F1074" t="s">
        <v>20</v>
      </c>
      <c r="G1074" t="s">
        <v>21</v>
      </c>
      <c r="H1074" t="str">
        <f>"201711308176"</f>
        <v>201711308176</v>
      </c>
      <c r="I1074" t="str">
        <f>"CENTERPOINT ENERGY ENTEX"</f>
        <v>CENTERPOINT ENERGY ENTEX</v>
      </c>
    </row>
    <row r="1075" spans="1:9" x14ac:dyDescent="0.25">
      <c r="E1075" s="7"/>
      <c r="F1075" t="s">
        <v>20</v>
      </c>
      <c r="G1075" t="s">
        <v>21</v>
      </c>
      <c r="H1075" t="str">
        <f>"201711308177"</f>
        <v>201711308177</v>
      </c>
      <c r="I1075" t="str">
        <f>"CENTERPOINT ENERGY ENTEX"</f>
        <v>CENTERPOINT ENERGY ENTEX</v>
      </c>
    </row>
    <row r="1076" spans="1:9" x14ac:dyDescent="0.25">
      <c r="E1076" s="7"/>
      <c r="F1076" t="s">
        <v>20</v>
      </c>
      <c r="G1076" t="s">
        <v>21</v>
      </c>
      <c r="H1076" t="str">
        <f>"201711308178"</f>
        <v>201711308178</v>
      </c>
      <c r="I1076" t="str">
        <f>"CENTERPOINT ENERGY ENTEX"</f>
        <v>CENTERPOINT ENERGY ENTEX</v>
      </c>
    </row>
    <row r="1077" spans="1:9" x14ac:dyDescent="0.25">
      <c r="E1077" s="7"/>
      <c r="F1077" t="s">
        <v>20</v>
      </c>
      <c r="G1077" t="s">
        <v>21</v>
      </c>
      <c r="H1077" t="str">
        <f>"201711308179"</f>
        <v>201711308179</v>
      </c>
      <c r="I1077" t="str">
        <f>"CENTERPOINT ENERGY ENTEX"</f>
        <v>CENTERPOINT ENERGY ENTEX</v>
      </c>
    </row>
    <row r="1078" spans="1:9" x14ac:dyDescent="0.25">
      <c r="A1078" s="6">
        <v>43069</v>
      </c>
      <c r="B1078" t="s">
        <v>26</v>
      </c>
      <c r="C1078">
        <v>56158</v>
      </c>
      <c r="D1078" t="s">
        <v>57</v>
      </c>
      <c r="E1078" s="7">
        <v>20804.29</v>
      </c>
      <c r="F1078" t="s">
        <v>20</v>
      </c>
      <c r="G1078" t="s">
        <v>21</v>
      </c>
      <c r="H1078" t="str">
        <f>"11.15.17"</f>
        <v>11.15.17</v>
      </c>
      <c r="I1078" t="str">
        <f>"F.E.L.P.S."</f>
        <v>F.E.L.P.S.</v>
      </c>
    </row>
    <row r="1079" spans="1:9" x14ac:dyDescent="0.25">
      <c r="A1079" s="6">
        <v>43069</v>
      </c>
      <c r="B1079" t="s">
        <v>26</v>
      </c>
      <c r="C1079">
        <v>56159</v>
      </c>
      <c r="D1079" t="s">
        <v>178</v>
      </c>
      <c r="E1079" s="7">
        <v>150.24</v>
      </c>
      <c r="F1079" t="s">
        <v>20</v>
      </c>
      <c r="G1079" t="s">
        <v>21</v>
      </c>
      <c r="H1079" t="str">
        <f>"50057541"</f>
        <v>50057541</v>
      </c>
      <c r="I1079" t="str">
        <f>"RICHARDSON BROS.  INC."</f>
        <v>RICHARDSON BROS.  INC.</v>
      </c>
    </row>
    <row r="1080" spans="1:9" x14ac:dyDescent="0.25">
      <c r="A1080" s="6">
        <v>43069</v>
      </c>
      <c r="B1080" t="s">
        <v>26</v>
      </c>
      <c r="C1080">
        <v>56160</v>
      </c>
      <c r="D1080" t="s">
        <v>58</v>
      </c>
      <c r="E1080" s="7">
        <v>270.32</v>
      </c>
      <c r="F1080" t="s">
        <v>20</v>
      </c>
      <c r="G1080" t="s">
        <v>21</v>
      </c>
      <c r="H1080" t="str">
        <f>"511787"</f>
        <v>511787</v>
      </c>
      <c r="I1080" t="str">
        <f>"DEASON ANIMAL HOSPITAL"</f>
        <v>DEASON ANIMAL HOSPITAL</v>
      </c>
    </row>
    <row r="1081" spans="1:9" x14ac:dyDescent="0.25">
      <c r="E1081" s="7"/>
      <c r="F1081" t="s">
        <v>20</v>
      </c>
      <c r="G1081" t="s">
        <v>21</v>
      </c>
      <c r="H1081" t="str">
        <f>"512287"</f>
        <v>512287</v>
      </c>
      <c r="I1081" t="str">
        <f>"DEASON ANIMAL HOSPITAL"</f>
        <v>DEASON ANIMAL HOSPITAL</v>
      </c>
    </row>
    <row r="1082" spans="1:9" x14ac:dyDescent="0.25">
      <c r="E1082" s="7"/>
      <c r="F1082" t="s">
        <v>20</v>
      </c>
      <c r="G1082" t="s">
        <v>21</v>
      </c>
      <c r="H1082" t="str">
        <f>"512667"</f>
        <v>512667</v>
      </c>
      <c r="I1082" t="str">
        <f>"DEASON ANIMAL HOSPITAL"</f>
        <v>DEASON ANIMAL HOSPITAL</v>
      </c>
    </row>
    <row r="1083" spans="1:9" x14ac:dyDescent="0.25">
      <c r="E1083" s="7"/>
      <c r="F1083" t="s">
        <v>20</v>
      </c>
      <c r="G1083" t="s">
        <v>21</v>
      </c>
      <c r="H1083" t="str">
        <f>"513151"</f>
        <v>513151</v>
      </c>
      <c r="I1083" t="str">
        <f>"DEASON ANIMAL HOSPITAL"</f>
        <v>DEASON ANIMAL HOSPITAL</v>
      </c>
    </row>
    <row r="1084" spans="1:9" x14ac:dyDescent="0.25">
      <c r="E1084" s="7"/>
      <c r="F1084" t="s">
        <v>20</v>
      </c>
      <c r="G1084" t="s">
        <v>21</v>
      </c>
      <c r="H1084" t="str">
        <f>"513317"</f>
        <v>513317</v>
      </c>
      <c r="I1084" t="str">
        <f>"DEASON ANIMAL HOSPITAL"</f>
        <v>DEASON ANIMAL HOSPITAL</v>
      </c>
    </row>
    <row r="1085" spans="1:9" x14ac:dyDescent="0.25">
      <c r="A1085" s="6">
        <v>43069</v>
      </c>
      <c r="B1085" t="s">
        <v>26</v>
      </c>
      <c r="C1085">
        <v>56161</v>
      </c>
      <c r="D1085" t="s">
        <v>105</v>
      </c>
      <c r="E1085" s="7">
        <v>105</v>
      </c>
      <c r="F1085" t="s">
        <v>20</v>
      </c>
      <c r="G1085" t="s">
        <v>21</v>
      </c>
      <c r="H1085" t="str">
        <f>"269510"</f>
        <v>269510</v>
      </c>
      <c r="I1085" t="str">
        <f t="shared" ref="I1085:I1099" si="9">"LUBE WORKS"</f>
        <v>LUBE WORKS</v>
      </c>
    </row>
    <row r="1086" spans="1:9" x14ac:dyDescent="0.25">
      <c r="E1086" s="7"/>
      <c r="F1086" t="s">
        <v>20</v>
      </c>
      <c r="G1086" t="s">
        <v>21</v>
      </c>
      <c r="H1086" t="str">
        <f>"269513"</f>
        <v>269513</v>
      </c>
      <c r="I1086" t="str">
        <f t="shared" si="9"/>
        <v>LUBE WORKS</v>
      </c>
    </row>
    <row r="1087" spans="1:9" x14ac:dyDescent="0.25">
      <c r="E1087" s="7"/>
      <c r="F1087" t="s">
        <v>20</v>
      </c>
      <c r="G1087" t="s">
        <v>21</v>
      </c>
      <c r="H1087" t="str">
        <f>"269539"</f>
        <v>269539</v>
      </c>
      <c r="I1087" t="str">
        <f t="shared" si="9"/>
        <v>LUBE WORKS</v>
      </c>
    </row>
    <row r="1088" spans="1:9" x14ac:dyDescent="0.25">
      <c r="E1088" s="7"/>
      <c r="F1088" t="s">
        <v>20</v>
      </c>
      <c r="G1088" t="s">
        <v>21</v>
      </c>
      <c r="H1088" t="str">
        <f>"269540"</f>
        <v>269540</v>
      </c>
      <c r="I1088" t="str">
        <f t="shared" si="9"/>
        <v>LUBE WORKS</v>
      </c>
    </row>
    <row r="1089" spans="1:9" x14ac:dyDescent="0.25">
      <c r="E1089" s="7"/>
      <c r="F1089" t="s">
        <v>20</v>
      </c>
      <c r="G1089" t="s">
        <v>21</v>
      </c>
      <c r="H1089" t="str">
        <f>"272283"</f>
        <v>272283</v>
      </c>
      <c r="I1089" t="str">
        <f t="shared" si="9"/>
        <v>LUBE WORKS</v>
      </c>
    </row>
    <row r="1090" spans="1:9" x14ac:dyDescent="0.25">
      <c r="E1090" s="7"/>
      <c r="F1090" t="s">
        <v>20</v>
      </c>
      <c r="G1090" t="s">
        <v>21</v>
      </c>
      <c r="H1090" t="str">
        <f>"272327"</f>
        <v>272327</v>
      </c>
      <c r="I1090" t="str">
        <f t="shared" si="9"/>
        <v>LUBE WORKS</v>
      </c>
    </row>
    <row r="1091" spans="1:9" x14ac:dyDescent="0.25">
      <c r="E1091" s="7"/>
      <c r="F1091" t="s">
        <v>20</v>
      </c>
      <c r="G1091" t="s">
        <v>21</v>
      </c>
      <c r="H1091" t="str">
        <f>"272554"</f>
        <v>272554</v>
      </c>
      <c r="I1091" t="str">
        <f t="shared" si="9"/>
        <v>LUBE WORKS</v>
      </c>
    </row>
    <row r="1092" spans="1:9" x14ac:dyDescent="0.25">
      <c r="E1092" s="7"/>
      <c r="F1092" t="s">
        <v>20</v>
      </c>
      <c r="G1092" t="s">
        <v>21</v>
      </c>
      <c r="H1092" t="str">
        <f>"272587"</f>
        <v>272587</v>
      </c>
      <c r="I1092" t="str">
        <f t="shared" si="9"/>
        <v>LUBE WORKS</v>
      </c>
    </row>
    <row r="1093" spans="1:9" x14ac:dyDescent="0.25">
      <c r="E1093" s="7"/>
      <c r="F1093" t="s">
        <v>20</v>
      </c>
      <c r="G1093" t="s">
        <v>21</v>
      </c>
      <c r="H1093" t="str">
        <f>"272597"</f>
        <v>272597</v>
      </c>
      <c r="I1093" t="str">
        <f t="shared" si="9"/>
        <v>LUBE WORKS</v>
      </c>
    </row>
    <row r="1094" spans="1:9" x14ac:dyDescent="0.25">
      <c r="E1094" s="7"/>
      <c r="F1094" t="s">
        <v>20</v>
      </c>
      <c r="G1094" t="s">
        <v>21</v>
      </c>
      <c r="H1094" t="str">
        <f>"272605"</f>
        <v>272605</v>
      </c>
      <c r="I1094" t="str">
        <f t="shared" si="9"/>
        <v>LUBE WORKS</v>
      </c>
    </row>
    <row r="1095" spans="1:9" x14ac:dyDescent="0.25">
      <c r="E1095" s="7"/>
      <c r="F1095" t="s">
        <v>20</v>
      </c>
      <c r="G1095" t="s">
        <v>21</v>
      </c>
      <c r="H1095" t="str">
        <f>"272638"</f>
        <v>272638</v>
      </c>
      <c r="I1095" t="str">
        <f t="shared" si="9"/>
        <v>LUBE WORKS</v>
      </c>
    </row>
    <row r="1096" spans="1:9" x14ac:dyDescent="0.25">
      <c r="E1096" s="7"/>
      <c r="F1096" t="s">
        <v>20</v>
      </c>
      <c r="G1096" t="s">
        <v>21</v>
      </c>
      <c r="H1096" t="str">
        <f>"272649"</f>
        <v>272649</v>
      </c>
      <c r="I1096" t="str">
        <f t="shared" si="9"/>
        <v>LUBE WORKS</v>
      </c>
    </row>
    <row r="1097" spans="1:9" x14ac:dyDescent="0.25">
      <c r="E1097" s="7"/>
      <c r="F1097" t="s">
        <v>20</v>
      </c>
      <c r="G1097" t="s">
        <v>21</v>
      </c>
      <c r="H1097" t="str">
        <f>"272654"</f>
        <v>272654</v>
      </c>
      <c r="I1097" t="str">
        <f t="shared" si="9"/>
        <v>LUBE WORKS</v>
      </c>
    </row>
    <row r="1098" spans="1:9" x14ac:dyDescent="0.25">
      <c r="E1098" s="7"/>
      <c r="F1098" t="s">
        <v>20</v>
      </c>
      <c r="G1098" t="s">
        <v>21</v>
      </c>
      <c r="H1098" t="str">
        <f>"272753"</f>
        <v>272753</v>
      </c>
      <c r="I1098" t="str">
        <f t="shared" si="9"/>
        <v>LUBE WORKS</v>
      </c>
    </row>
    <row r="1099" spans="1:9" x14ac:dyDescent="0.25">
      <c r="E1099" s="7"/>
      <c r="F1099" t="s">
        <v>20</v>
      </c>
      <c r="G1099" t="s">
        <v>21</v>
      </c>
      <c r="H1099" t="str">
        <f>"272762"</f>
        <v>272762</v>
      </c>
      <c r="I1099" t="str">
        <f t="shared" si="9"/>
        <v>LUBE WORKS</v>
      </c>
    </row>
    <row r="1100" spans="1:9" x14ac:dyDescent="0.25">
      <c r="A1100" s="6">
        <v>43069</v>
      </c>
      <c r="B1100" t="s">
        <v>26</v>
      </c>
      <c r="C1100">
        <v>56164</v>
      </c>
      <c r="D1100" t="s">
        <v>179</v>
      </c>
      <c r="E1100" s="7">
        <v>898.75</v>
      </c>
      <c r="F1100" t="s">
        <v>20</v>
      </c>
      <c r="G1100" t="s">
        <v>21</v>
      </c>
      <c r="H1100" t="str">
        <f>"50360F"</f>
        <v>50360F</v>
      </c>
      <c r="I1100" t="str">
        <f>"ANCIRA FORD-MERCURY"</f>
        <v>ANCIRA FORD-MERCURY</v>
      </c>
    </row>
    <row r="1101" spans="1:9" x14ac:dyDescent="0.25">
      <c r="E1101" s="7"/>
      <c r="F1101" t="s">
        <v>20</v>
      </c>
      <c r="G1101" t="s">
        <v>21</v>
      </c>
      <c r="H1101" t="str">
        <f>"50389F"</f>
        <v>50389F</v>
      </c>
      <c r="I1101" t="str">
        <f>"ANCIRA FORD-MERCURY"</f>
        <v>ANCIRA FORD-MERCURY</v>
      </c>
    </row>
    <row r="1102" spans="1:9" x14ac:dyDescent="0.25">
      <c r="E1102" s="7"/>
      <c r="F1102" t="s">
        <v>20</v>
      </c>
      <c r="G1102" t="s">
        <v>21</v>
      </c>
      <c r="H1102" t="str">
        <f>"FOCS226702"</f>
        <v>FOCS226702</v>
      </c>
      <c r="I1102" t="str">
        <f>"ANCIRA FORD-MERCURY"</f>
        <v>ANCIRA FORD-MERCURY</v>
      </c>
    </row>
    <row r="1103" spans="1:9" x14ac:dyDescent="0.25">
      <c r="A1103" s="6">
        <v>43069</v>
      </c>
      <c r="B1103" t="s">
        <v>26</v>
      </c>
      <c r="C1103">
        <v>56165</v>
      </c>
      <c r="D1103" t="s">
        <v>180</v>
      </c>
      <c r="E1103" s="7">
        <v>161.96</v>
      </c>
      <c r="F1103" t="s">
        <v>20</v>
      </c>
      <c r="G1103" t="s">
        <v>21</v>
      </c>
      <c r="H1103" t="str">
        <f>"111799"</f>
        <v>111799</v>
      </c>
      <c r="I1103" t="str">
        <f>"DITTMAR LUMBER CO."</f>
        <v>DITTMAR LUMBER CO.</v>
      </c>
    </row>
    <row r="1104" spans="1:9" x14ac:dyDescent="0.25">
      <c r="A1104" s="6">
        <v>43069</v>
      </c>
      <c r="B1104" t="s">
        <v>26</v>
      </c>
      <c r="C1104">
        <v>56166</v>
      </c>
      <c r="D1104" t="s">
        <v>108</v>
      </c>
      <c r="E1104" s="7">
        <v>1443.68</v>
      </c>
      <c r="F1104" t="s">
        <v>20</v>
      </c>
      <c r="G1104" t="s">
        <v>21</v>
      </c>
      <c r="H1104" t="str">
        <f>"041295584731"</f>
        <v>041295584731</v>
      </c>
      <c r="I1104" t="str">
        <f>"POOLSURE"</f>
        <v>POOLSURE</v>
      </c>
    </row>
    <row r="1105" spans="1:9" x14ac:dyDescent="0.25">
      <c r="A1105" s="6">
        <v>43069</v>
      </c>
      <c r="B1105" t="s">
        <v>26</v>
      </c>
      <c r="C1105">
        <v>56167</v>
      </c>
      <c r="D1105" t="s">
        <v>181</v>
      </c>
      <c r="E1105" s="7">
        <v>43.08</v>
      </c>
      <c r="F1105" t="s">
        <v>20</v>
      </c>
      <c r="G1105" t="s">
        <v>21</v>
      </c>
      <c r="H1105" t="str">
        <f>"201711278171"</f>
        <v>201711278171</v>
      </c>
      <c r="I1105" t="str">
        <f>"AT&amp;T"</f>
        <v>AT&amp;T</v>
      </c>
    </row>
    <row r="1106" spans="1:9" x14ac:dyDescent="0.25">
      <c r="A1106" s="6">
        <v>43069</v>
      </c>
      <c r="B1106" t="s">
        <v>26</v>
      </c>
      <c r="C1106">
        <v>56168</v>
      </c>
      <c r="D1106" t="s">
        <v>182</v>
      </c>
      <c r="E1106" s="7">
        <v>40</v>
      </c>
      <c r="F1106" t="s">
        <v>20</v>
      </c>
      <c r="G1106" t="s">
        <v>21</v>
      </c>
      <c r="H1106" t="str">
        <f>"TEST REIMB"</f>
        <v>TEST REIMB</v>
      </c>
      <c r="I1106" t="str">
        <f>"TRNG REIMB"</f>
        <v>TRNG REIMB</v>
      </c>
    </row>
    <row r="1107" spans="1:9" x14ac:dyDescent="0.25">
      <c r="A1107" s="6">
        <v>43069</v>
      </c>
      <c r="B1107" t="s">
        <v>26</v>
      </c>
      <c r="C1107">
        <v>56169</v>
      </c>
      <c r="D1107" t="s">
        <v>183</v>
      </c>
      <c r="E1107" s="7">
        <v>82.12</v>
      </c>
      <c r="F1107" t="s">
        <v>20</v>
      </c>
      <c r="G1107" t="s">
        <v>21</v>
      </c>
      <c r="H1107" t="str">
        <f>"TRNG 12.1.17"</f>
        <v>TRNG 12.1.17</v>
      </c>
      <c r="I1107" t="str">
        <f>"TRAINING"</f>
        <v>TRAINING</v>
      </c>
    </row>
    <row r="1108" spans="1:9" x14ac:dyDescent="0.25">
      <c r="A1108" s="6">
        <v>43069</v>
      </c>
      <c r="B1108" t="s">
        <v>26</v>
      </c>
      <c r="C1108">
        <v>56170</v>
      </c>
      <c r="D1108" t="s">
        <v>61</v>
      </c>
      <c r="E1108" s="7">
        <v>2401.6</v>
      </c>
      <c r="F1108" t="s">
        <v>20</v>
      </c>
      <c r="G1108" t="s">
        <v>21</v>
      </c>
      <c r="H1108" t="str">
        <f>"025-201984"</f>
        <v>025-201984</v>
      </c>
      <c r="I1108" t="str">
        <f>"TYLER TECHNOLOGIES  INC."</f>
        <v>TYLER TECHNOLOGIES  INC.</v>
      </c>
    </row>
    <row r="1109" spans="1:9" x14ac:dyDescent="0.25">
      <c r="E1109" s="7"/>
      <c r="F1109" t="s">
        <v>20</v>
      </c>
      <c r="G1109" t="s">
        <v>21</v>
      </c>
      <c r="H1109" t="str">
        <f>"025-207371"</f>
        <v>025-207371</v>
      </c>
      <c r="I1109" t="str">
        <f>"TYLER TECHNOLOGIES  INC."</f>
        <v>TYLER TECHNOLOGIES  INC.</v>
      </c>
    </row>
    <row r="1110" spans="1:9" x14ac:dyDescent="0.25">
      <c r="E1110" s="7"/>
      <c r="F1110" t="s">
        <v>20</v>
      </c>
      <c r="G1110" t="s">
        <v>21</v>
      </c>
      <c r="H1110" t="str">
        <f>"025-207991"</f>
        <v>025-207991</v>
      </c>
      <c r="I1110" t="str">
        <f>"TYLER TECHNOLOGIES  INC."</f>
        <v>TYLER TECHNOLOGIES  INC.</v>
      </c>
    </row>
    <row r="1111" spans="1:9" x14ac:dyDescent="0.25">
      <c r="A1111" s="6">
        <v>43069</v>
      </c>
      <c r="B1111" t="s">
        <v>26</v>
      </c>
      <c r="C1111">
        <v>56171</v>
      </c>
      <c r="D1111" t="s">
        <v>114</v>
      </c>
      <c r="E1111" s="7">
        <v>731.93</v>
      </c>
      <c r="F1111" t="s">
        <v>20</v>
      </c>
      <c r="G1111" t="s">
        <v>21</v>
      </c>
      <c r="H1111" t="str">
        <f>"201711298174"</f>
        <v>201711298174</v>
      </c>
      <c r="I1111" t="str">
        <f>"STATE COMPTROLLER"</f>
        <v>STATE COMPTROLLER</v>
      </c>
    </row>
    <row r="1112" spans="1:9" x14ac:dyDescent="0.25">
      <c r="A1112" s="6">
        <v>43069</v>
      </c>
      <c r="B1112" t="s">
        <v>26</v>
      </c>
      <c r="C1112">
        <v>56172</v>
      </c>
      <c r="D1112" t="s">
        <v>184</v>
      </c>
      <c r="E1112" s="7">
        <v>888</v>
      </c>
      <c r="F1112" t="s">
        <v>20</v>
      </c>
      <c r="G1112" t="s">
        <v>21</v>
      </c>
      <c r="H1112" t="str">
        <f>"1047-530"</f>
        <v>1047-530</v>
      </c>
      <c r="I1112" t="str">
        <f>"POLLUTION CONTROL SERVICES"</f>
        <v>POLLUTION CONTROL SERVICES</v>
      </c>
    </row>
    <row r="1113" spans="1:9" x14ac:dyDescent="0.25">
      <c r="A1113" s="6">
        <v>43069</v>
      </c>
      <c r="B1113" t="s">
        <v>26</v>
      </c>
      <c r="C1113">
        <v>56173</v>
      </c>
      <c r="D1113" t="s">
        <v>115</v>
      </c>
      <c r="E1113" s="7">
        <v>480.45</v>
      </c>
      <c r="F1113" t="s">
        <v>20</v>
      </c>
      <c r="G1113" t="s">
        <v>21</v>
      </c>
      <c r="H1113" t="str">
        <f>"3547009471"</f>
        <v>3547009471</v>
      </c>
      <c r="I1113" t="str">
        <f>"AUTOZONE"</f>
        <v>AUTOZONE</v>
      </c>
    </row>
    <row r="1114" spans="1:9" x14ac:dyDescent="0.25">
      <c r="E1114" s="7"/>
      <c r="F1114" t="s">
        <v>20</v>
      </c>
      <c r="G1114" t="s">
        <v>21</v>
      </c>
      <c r="H1114" t="str">
        <f>"3547009472"</f>
        <v>3547009472</v>
      </c>
      <c r="I1114" t="str">
        <f>"AUTOZONE"</f>
        <v>AUTOZONE</v>
      </c>
    </row>
    <row r="1115" spans="1:9" x14ac:dyDescent="0.25">
      <c r="E1115" s="7"/>
      <c r="F1115" t="s">
        <v>20</v>
      </c>
      <c r="G1115" t="s">
        <v>21</v>
      </c>
      <c r="H1115" t="str">
        <f>"3547028059"</f>
        <v>3547028059</v>
      </c>
      <c r="I1115" t="str">
        <f>"AUTOZONE"</f>
        <v>AUTOZONE</v>
      </c>
    </row>
    <row r="1116" spans="1:9" x14ac:dyDescent="0.25">
      <c r="E1116" s="7"/>
      <c r="F1116" t="s">
        <v>20</v>
      </c>
      <c r="G1116" t="s">
        <v>21</v>
      </c>
      <c r="H1116" t="str">
        <f>"3547028973"</f>
        <v>3547028973</v>
      </c>
      <c r="I1116" t="str">
        <f>"AUTOZONE"</f>
        <v>AUTOZONE</v>
      </c>
    </row>
    <row r="1117" spans="1:9" x14ac:dyDescent="0.25">
      <c r="A1117" s="6">
        <v>43069</v>
      </c>
      <c r="B1117" t="s">
        <v>26</v>
      </c>
      <c r="C1117">
        <v>56174</v>
      </c>
      <c r="D1117" t="s">
        <v>63</v>
      </c>
      <c r="E1117" s="7">
        <v>99</v>
      </c>
      <c r="F1117" t="s">
        <v>20</v>
      </c>
      <c r="G1117" t="s">
        <v>21</v>
      </c>
      <c r="H1117" t="str">
        <f>"8403410112"</f>
        <v>8403410112</v>
      </c>
      <c r="I1117" t="str">
        <f>"CINTAS CORPORATION"</f>
        <v>CINTAS CORPORATION</v>
      </c>
    </row>
    <row r="1118" spans="1:9" x14ac:dyDescent="0.25">
      <c r="A1118" s="6">
        <v>43069</v>
      </c>
      <c r="B1118" t="s">
        <v>26</v>
      </c>
      <c r="C1118">
        <v>56175</v>
      </c>
      <c r="D1118" t="s">
        <v>185</v>
      </c>
      <c r="E1118" s="7">
        <v>638.57000000000005</v>
      </c>
      <c r="F1118" t="s">
        <v>20</v>
      </c>
      <c r="G1118" t="s">
        <v>21</v>
      </c>
      <c r="H1118" t="str">
        <f>"704453"</f>
        <v>704453</v>
      </c>
      <c r="I1118" t="str">
        <f>"SOUTHWAY FORD"</f>
        <v>SOUTHWAY FORD</v>
      </c>
    </row>
    <row r="1119" spans="1:9" x14ac:dyDescent="0.25">
      <c r="E1119" s="7"/>
      <c r="F1119" t="s">
        <v>20</v>
      </c>
      <c r="G1119" t="s">
        <v>21</v>
      </c>
      <c r="H1119" t="str">
        <f>"705587"</f>
        <v>705587</v>
      </c>
      <c r="I1119" t="str">
        <f>"SOUTHWAY FORD"</f>
        <v>SOUTHWAY FORD</v>
      </c>
    </row>
    <row r="1120" spans="1:9" x14ac:dyDescent="0.25">
      <c r="E1120" s="7"/>
      <c r="F1120" t="s">
        <v>20</v>
      </c>
      <c r="G1120" t="s">
        <v>21</v>
      </c>
      <c r="H1120" t="str">
        <f>"706010"</f>
        <v>706010</v>
      </c>
      <c r="I1120" t="str">
        <f>"SOUTHWAY FORD"</f>
        <v>SOUTHWAY FORD</v>
      </c>
    </row>
    <row r="1121" spans="1:9" x14ac:dyDescent="0.25">
      <c r="A1121" s="6">
        <v>43069</v>
      </c>
      <c r="B1121" t="s">
        <v>26</v>
      </c>
      <c r="C1121">
        <v>56176</v>
      </c>
      <c r="D1121" t="s">
        <v>186</v>
      </c>
      <c r="E1121" s="7">
        <v>5957.83</v>
      </c>
      <c r="F1121" t="s">
        <v>20</v>
      </c>
      <c r="G1121" t="s">
        <v>21</v>
      </c>
      <c r="H1121" t="str">
        <f>"1ST QTR 2018"</f>
        <v>1ST QTR 2018</v>
      </c>
      <c r="I1121" t="str">
        <f>"WILSON COUNTY APPRAISAL DISTRI"</f>
        <v>WILSON COUNTY APPRAISAL DISTRI</v>
      </c>
    </row>
    <row r="1122" spans="1:9" x14ac:dyDescent="0.25">
      <c r="A1122" s="6">
        <v>43069</v>
      </c>
      <c r="B1122" t="s">
        <v>26</v>
      </c>
      <c r="C1122">
        <v>56177</v>
      </c>
      <c r="D1122" t="s">
        <v>66</v>
      </c>
      <c r="E1122" s="7">
        <v>502.88</v>
      </c>
      <c r="F1122" t="s">
        <v>20</v>
      </c>
      <c r="G1122" t="s">
        <v>21</v>
      </c>
      <c r="H1122" t="str">
        <f>"51239"</f>
        <v>51239</v>
      </c>
      <c r="I1122" t="str">
        <f>"LOPEZ EXTERMINATING SERVICE  I"</f>
        <v>LOPEZ EXTERMINATING SERVICE  I</v>
      </c>
    </row>
    <row r="1123" spans="1:9" x14ac:dyDescent="0.25">
      <c r="A1123" s="6">
        <v>43069</v>
      </c>
      <c r="B1123" t="s">
        <v>26</v>
      </c>
      <c r="C1123">
        <v>56178</v>
      </c>
      <c r="D1123" t="s">
        <v>187</v>
      </c>
      <c r="E1123" s="7">
        <v>2740.47</v>
      </c>
      <c r="F1123" t="s">
        <v>20</v>
      </c>
      <c r="G1123" t="s">
        <v>21</v>
      </c>
      <c r="H1123" t="str">
        <f>"WI015306"</f>
        <v>WI015306</v>
      </c>
      <c r="I1123" t="str">
        <f>"RIVER CITY HYDRAULICS  INC."</f>
        <v>RIVER CITY HYDRAULICS  INC.</v>
      </c>
    </row>
    <row r="1124" spans="1:9" x14ac:dyDescent="0.25">
      <c r="A1124" s="6">
        <v>43069</v>
      </c>
      <c r="B1124" t="s">
        <v>26</v>
      </c>
      <c r="C1124">
        <v>56179</v>
      </c>
      <c r="D1124" t="s">
        <v>188</v>
      </c>
      <c r="E1124" s="7">
        <v>101.5</v>
      </c>
      <c r="F1124" t="s">
        <v>20</v>
      </c>
      <c r="G1124" t="s">
        <v>21</v>
      </c>
      <c r="H1124" t="str">
        <f>"24502"</f>
        <v>24502</v>
      </c>
      <c r="I1124" t="str">
        <f>"ALAN HYDRAULICS &amp; MACHINERY CO"</f>
        <v>ALAN HYDRAULICS &amp; MACHINERY CO</v>
      </c>
    </row>
    <row r="1125" spans="1:9" x14ac:dyDescent="0.25">
      <c r="A1125" s="6">
        <v>43069</v>
      </c>
      <c r="B1125" t="s">
        <v>26</v>
      </c>
      <c r="C1125">
        <v>56180</v>
      </c>
      <c r="D1125" t="s">
        <v>119</v>
      </c>
      <c r="E1125" s="7">
        <v>116.4</v>
      </c>
      <c r="F1125" t="s">
        <v>20</v>
      </c>
      <c r="G1125" t="s">
        <v>21</v>
      </c>
      <c r="H1125" t="str">
        <f>"33574"</f>
        <v>33574</v>
      </c>
      <c r="I1125" t="str">
        <f>"PRUSKI'S TIRE SHOP  L.L.C."</f>
        <v>PRUSKI'S TIRE SHOP  L.L.C.</v>
      </c>
    </row>
    <row r="1126" spans="1:9" x14ac:dyDescent="0.25">
      <c r="E1126" s="7"/>
      <c r="F1126" t="s">
        <v>20</v>
      </c>
      <c r="G1126" t="s">
        <v>21</v>
      </c>
      <c r="H1126" t="str">
        <f>"33578"</f>
        <v>33578</v>
      </c>
      <c r="I1126" t="str">
        <f>"PRUSKI'S TIRE SHOP  L.L.C."</f>
        <v>PRUSKI'S TIRE SHOP  L.L.C.</v>
      </c>
    </row>
    <row r="1127" spans="1:9" x14ac:dyDescent="0.25">
      <c r="A1127" s="6">
        <v>43069</v>
      </c>
      <c r="B1127" t="s">
        <v>26</v>
      </c>
      <c r="C1127">
        <v>56181</v>
      </c>
      <c r="D1127" t="s">
        <v>120</v>
      </c>
      <c r="E1127" s="7">
        <v>2982.85</v>
      </c>
      <c r="F1127" t="s">
        <v>20</v>
      </c>
      <c r="G1127" t="s">
        <v>21</v>
      </c>
      <c r="H1127" t="str">
        <f>"08343681"</f>
        <v>08343681</v>
      </c>
      <c r="I1127" t="str">
        <f>"VERIZON BUSINESS"</f>
        <v>VERIZON BUSINESS</v>
      </c>
    </row>
    <row r="1128" spans="1:9" x14ac:dyDescent="0.25">
      <c r="E1128" s="7"/>
      <c r="F1128" t="s">
        <v>20</v>
      </c>
      <c r="G1128" t="s">
        <v>21</v>
      </c>
      <c r="H1128" t="str">
        <f>"66111849"</f>
        <v>66111849</v>
      </c>
      <c r="I1128" t="str">
        <f>"VERIZON BUSINESS"</f>
        <v>VERIZON BUSINESS</v>
      </c>
    </row>
    <row r="1129" spans="1:9" x14ac:dyDescent="0.25">
      <c r="E1129" s="7"/>
      <c r="F1129" t="s">
        <v>20</v>
      </c>
      <c r="G1129" t="s">
        <v>21</v>
      </c>
      <c r="H1129" t="str">
        <f>"70599061"</f>
        <v>70599061</v>
      </c>
      <c r="I1129" t="str">
        <f>"VERIZON BUSINESS"</f>
        <v>VERIZON BUSINESS</v>
      </c>
    </row>
    <row r="1130" spans="1:9" x14ac:dyDescent="0.25">
      <c r="E1130" s="7"/>
      <c r="F1130" t="s">
        <v>20</v>
      </c>
      <c r="G1130" t="s">
        <v>21</v>
      </c>
      <c r="H1130" t="str">
        <f>"70603975"</f>
        <v>70603975</v>
      </c>
      <c r="I1130" t="str">
        <f>"VERIZON BUSINESS"</f>
        <v>VERIZON BUSINESS</v>
      </c>
    </row>
    <row r="1131" spans="1:9" x14ac:dyDescent="0.25">
      <c r="A1131" s="6">
        <v>43069</v>
      </c>
      <c r="B1131" t="s">
        <v>26</v>
      </c>
      <c r="C1131">
        <v>56183</v>
      </c>
      <c r="D1131" t="s">
        <v>68</v>
      </c>
      <c r="E1131" s="7">
        <v>600</v>
      </c>
      <c r="F1131" t="s">
        <v>20</v>
      </c>
      <c r="G1131" t="s">
        <v>21</v>
      </c>
      <c r="H1131" t="str">
        <f>"0396116-IN"</f>
        <v>0396116-IN</v>
      </c>
      <c r="I1131" t="str">
        <f>"SOUTHWASTE DISPOSAL  LLP"</f>
        <v>SOUTHWASTE DISPOSAL  LLP</v>
      </c>
    </row>
    <row r="1132" spans="1:9" x14ac:dyDescent="0.25">
      <c r="E1132" s="7"/>
      <c r="F1132" t="s">
        <v>20</v>
      </c>
      <c r="G1132" t="s">
        <v>21</v>
      </c>
      <c r="H1132" t="str">
        <f>"0396370-IN"</f>
        <v>0396370-IN</v>
      </c>
      <c r="I1132" t="str">
        <f>"SOUTHWASTE DISPOSAL  LLP"</f>
        <v>SOUTHWASTE DISPOSAL  LLP</v>
      </c>
    </row>
    <row r="1133" spans="1:9" x14ac:dyDescent="0.25">
      <c r="A1133" s="6">
        <v>43069</v>
      </c>
      <c r="B1133" t="s">
        <v>26</v>
      </c>
      <c r="C1133">
        <v>56184</v>
      </c>
      <c r="D1133" t="s">
        <v>189</v>
      </c>
      <c r="E1133" s="7">
        <v>11899.54</v>
      </c>
      <c r="F1133" t="s">
        <v>20</v>
      </c>
      <c r="G1133" t="s">
        <v>21</v>
      </c>
      <c r="H1133" t="str">
        <f>"W57227"</f>
        <v>W57227</v>
      </c>
      <c r="I1133" t="str">
        <f>"ASCO"</f>
        <v>ASCO</v>
      </c>
    </row>
    <row r="1134" spans="1:9" x14ac:dyDescent="0.25">
      <c r="A1134" s="6">
        <v>43069</v>
      </c>
      <c r="B1134" t="s">
        <v>26</v>
      </c>
      <c r="C1134">
        <v>56185</v>
      </c>
      <c r="D1134" t="s">
        <v>69</v>
      </c>
      <c r="E1134" s="7">
        <v>151.43</v>
      </c>
      <c r="F1134" t="s">
        <v>20</v>
      </c>
      <c r="G1134" t="s">
        <v>21</v>
      </c>
      <c r="H1134" t="str">
        <f>"3385149"</f>
        <v>3385149</v>
      </c>
      <c r="I1134" t="str">
        <f>"EWALD TRACTOR SUPPLY"</f>
        <v>EWALD TRACTOR SUPPLY</v>
      </c>
    </row>
    <row r="1135" spans="1:9" x14ac:dyDescent="0.25">
      <c r="E1135" s="7"/>
      <c r="F1135" t="s">
        <v>20</v>
      </c>
      <c r="G1135" t="s">
        <v>21</v>
      </c>
      <c r="H1135" t="str">
        <f>"3385208"</f>
        <v>3385208</v>
      </c>
      <c r="I1135" t="str">
        <f>"EWALD TRACTOR SUPPLY"</f>
        <v>EWALD TRACTOR SUPPLY</v>
      </c>
    </row>
    <row r="1136" spans="1:9" x14ac:dyDescent="0.25">
      <c r="E1136" s="7"/>
      <c r="F1136" t="s">
        <v>20</v>
      </c>
      <c r="G1136" t="s">
        <v>21</v>
      </c>
      <c r="H1136" t="str">
        <f>"3385338"</f>
        <v>3385338</v>
      </c>
      <c r="I1136" t="str">
        <f>"EWALD TRACTOR SUPPLY"</f>
        <v>EWALD TRACTOR SUPPLY</v>
      </c>
    </row>
    <row r="1137" spans="1:9" x14ac:dyDescent="0.25">
      <c r="A1137" s="6">
        <v>43069</v>
      </c>
      <c r="B1137" t="s">
        <v>26</v>
      </c>
      <c r="C1137">
        <v>56186</v>
      </c>
      <c r="D1137" t="s">
        <v>71</v>
      </c>
      <c r="E1137" s="7">
        <v>57.61</v>
      </c>
      <c r="F1137" t="s">
        <v>20</v>
      </c>
      <c r="G1137" t="s">
        <v>21</v>
      </c>
      <c r="H1137" t="str">
        <f>"087749589"</f>
        <v>087749589</v>
      </c>
      <c r="I1137" t="str">
        <f>"CINTAS CORPORATION #087"</f>
        <v>CINTAS CORPORATION #087</v>
      </c>
    </row>
    <row r="1138" spans="1:9" x14ac:dyDescent="0.25">
      <c r="A1138" s="6">
        <v>43069</v>
      </c>
      <c r="B1138" t="s">
        <v>26</v>
      </c>
      <c r="C1138">
        <v>56187</v>
      </c>
      <c r="D1138" t="s">
        <v>122</v>
      </c>
      <c r="E1138" s="7">
        <v>35</v>
      </c>
      <c r="F1138" t="s">
        <v>20</v>
      </c>
      <c r="G1138" t="s">
        <v>21</v>
      </c>
      <c r="H1138" t="str">
        <f>"0758634"</f>
        <v>0758634</v>
      </c>
      <c r="I1138" t="str">
        <f>"VILLA TIRES"</f>
        <v>VILLA TIRES</v>
      </c>
    </row>
    <row r="1139" spans="1:9" x14ac:dyDescent="0.25">
      <c r="A1139" s="6">
        <v>43069</v>
      </c>
      <c r="B1139" t="s">
        <v>26</v>
      </c>
      <c r="C1139">
        <v>56188</v>
      </c>
      <c r="D1139" t="s">
        <v>74</v>
      </c>
      <c r="E1139" s="7">
        <v>4015.08</v>
      </c>
      <c r="F1139" t="s">
        <v>20</v>
      </c>
      <c r="G1139" t="s">
        <v>21</v>
      </c>
      <c r="H1139" t="str">
        <f>"9795106615"</f>
        <v>9795106615</v>
      </c>
      <c r="I1139" t="str">
        <f>"VERIZON WIRELESS"</f>
        <v>VERIZON WIRELESS</v>
      </c>
    </row>
    <row r="1140" spans="1:9" x14ac:dyDescent="0.25">
      <c r="E1140" s="7"/>
      <c r="F1140" t="s">
        <v>20</v>
      </c>
      <c r="G1140" t="s">
        <v>21</v>
      </c>
      <c r="H1140" t="str">
        <f>"9795878233"</f>
        <v>9795878233</v>
      </c>
      <c r="I1140" t="str">
        <f>"VERIZON WIRELESS"</f>
        <v>VERIZON WIRELESS</v>
      </c>
    </row>
    <row r="1141" spans="1:9" x14ac:dyDescent="0.25">
      <c r="A1141" s="6">
        <v>43069</v>
      </c>
      <c r="B1141" t="s">
        <v>26</v>
      </c>
      <c r="C1141">
        <v>56190</v>
      </c>
      <c r="D1141" t="s">
        <v>30</v>
      </c>
      <c r="E1141" s="7">
        <v>276.8</v>
      </c>
      <c r="F1141" t="s">
        <v>20</v>
      </c>
      <c r="G1141" t="s">
        <v>21</v>
      </c>
      <c r="H1141" t="str">
        <f>"2017-19"</f>
        <v>2017-19</v>
      </c>
      <c r="I1141" t="str">
        <f>"MARIA GONZALES"</f>
        <v>MARIA GONZALES</v>
      </c>
    </row>
    <row r="1142" spans="1:9" x14ac:dyDescent="0.25">
      <c r="A1142" s="6">
        <v>43069</v>
      </c>
      <c r="B1142" t="s">
        <v>26</v>
      </c>
      <c r="C1142">
        <v>56191</v>
      </c>
      <c r="D1142" t="s">
        <v>123</v>
      </c>
      <c r="E1142" s="7">
        <v>1146.55</v>
      </c>
      <c r="F1142" t="s">
        <v>20</v>
      </c>
      <c r="G1142" t="s">
        <v>21</v>
      </c>
      <c r="H1142" t="str">
        <f>"964004617001"</f>
        <v>964004617001</v>
      </c>
      <c r="I1142" t="str">
        <f t="shared" ref="I1142:I1152" si="10">"OFFICE DEPOT  INC."</f>
        <v>OFFICE DEPOT  INC.</v>
      </c>
    </row>
    <row r="1143" spans="1:9" x14ac:dyDescent="0.25">
      <c r="E1143" s="7"/>
      <c r="F1143" t="s">
        <v>20</v>
      </c>
      <c r="G1143" t="s">
        <v>21</v>
      </c>
      <c r="H1143" t="str">
        <f>"964004981001"</f>
        <v>964004981001</v>
      </c>
      <c r="I1143" t="str">
        <f t="shared" si="10"/>
        <v>OFFICE DEPOT  INC.</v>
      </c>
    </row>
    <row r="1144" spans="1:9" x14ac:dyDescent="0.25">
      <c r="E1144" s="7"/>
      <c r="F1144" t="s">
        <v>20</v>
      </c>
      <c r="G1144" t="s">
        <v>21</v>
      </c>
      <c r="H1144" t="str">
        <f>"976300290001"</f>
        <v>976300290001</v>
      </c>
      <c r="I1144" t="str">
        <f t="shared" si="10"/>
        <v>OFFICE DEPOT  INC.</v>
      </c>
    </row>
    <row r="1145" spans="1:9" x14ac:dyDescent="0.25">
      <c r="E1145" s="7"/>
      <c r="F1145" t="s">
        <v>20</v>
      </c>
      <c r="G1145" t="s">
        <v>21</v>
      </c>
      <c r="H1145" t="str">
        <f>"976300717001"</f>
        <v>976300717001</v>
      </c>
      <c r="I1145" t="str">
        <f t="shared" si="10"/>
        <v>OFFICE DEPOT  INC.</v>
      </c>
    </row>
    <row r="1146" spans="1:9" x14ac:dyDescent="0.25">
      <c r="E1146" s="7"/>
      <c r="F1146" t="s">
        <v>20</v>
      </c>
      <c r="G1146" t="s">
        <v>21</v>
      </c>
      <c r="H1146" t="str">
        <f>"976300718001"</f>
        <v>976300718001</v>
      </c>
      <c r="I1146" t="str">
        <f t="shared" si="10"/>
        <v>OFFICE DEPOT  INC.</v>
      </c>
    </row>
    <row r="1147" spans="1:9" x14ac:dyDescent="0.25">
      <c r="E1147" s="7"/>
      <c r="F1147" t="s">
        <v>20</v>
      </c>
      <c r="G1147" t="s">
        <v>21</v>
      </c>
      <c r="H1147" t="str">
        <f>"977166877001"</f>
        <v>977166877001</v>
      </c>
      <c r="I1147" t="str">
        <f t="shared" si="10"/>
        <v>OFFICE DEPOT  INC.</v>
      </c>
    </row>
    <row r="1148" spans="1:9" x14ac:dyDescent="0.25">
      <c r="E1148" s="7"/>
      <c r="F1148" t="s">
        <v>20</v>
      </c>
      <c r="G1148" t="s">
        <v>21</v>
      </c>
      <c r="H1148" t="str">
        <f>"977168359001"</f>
        <v>977168359001</v>
      </c>
      <c r="I1148" t="str">
        <f t="shared" si="10"/>
        <v>OFFICE DEPOT  INC.</v>
      </c>
    </row>
    <row r="1149" spans="1:9" x14ac:dyDescent="0.25">
      <c r="E1149" s="7"/>
      <c r="F1149" t="s">
        <v>20</v>
      </c>
      <c r="G1149" t="s">
        <v>21</v>
      </c>
      <c r="H1149" t="str">
        <f>"977170592001"</f>
        <v>977170592001</v>
      </c>
      <c r="I1149" t="str">
        <f t="shared" si="10"/>
        <v>OFFICE DEPOT  INC.</v>
      </c>
    </row>
    <row r="1150" spans="1:9" x14ac:dyDescent="0.25">
      <c r="E1150" s="7"/>
      <c r="F1150" t="s">
        <v>20</v>
      </c>
      <c r="G1150" t="s">
        <v>21</v>
      </c>
      <c r="H1150" t="str">
        <f>"978341005001"</f>
        <v>978341005001</v>
      </c>
      <c r="I1150" t="str">
        <f t="shared" si="10"/>
        <v>OFFICE DEPOT  INC.</v>
      </c>
    </row>
    <row r="1151" spans="1:9" x14ac:dyDescent="0.25">
      <c r="E1151" s="7"/>
      <c r="F1151" t="s">
        <v>20</v>
      </c>
      <c r="G1151" t="s">
        <v>21</v>
      </c>
      <c r="H1151" t="str">
        <f>"978343350001"</f>
        <v>978343350001</v>
      </c>
      <c r="I1151" t="str">
        <f t="shared" si="10"/>
        <v>OFFICE DEPOT  INC.</v>
      </c>
    </row>
    <row r="1152" spans="1:9" x14ac:dyDescent="0.25">
      <c r="E1152" s="7"/>
      <c r="F1152" t="s">
        <v>20</v>
      </c>
      <c r="G1152" t="s">
        <v>21</v>
      </c>
      <c r="H1152" t="str">
        <f>"978343351001"</f>
        <v>978343351001</v>
      </c>
      <c r="I1152" t="str">
        <f t="shared" si="10"/>
        <v>OFFICE DEPOT  INC.</v>
      </c>
    </row>
    <row r="1153" spans="1:9" x14ac:dyDescent="0.25">
      <c r="A1153" s="6">
        <v>43069</v>
      </c>
      <c r="B1153" t="s">
        <v>26</v>
      </c>
      <c r="C1153">
        <v>56194</v>
      </c>
      <c r="D1153" t="s">
        <v>77</v>
      </c>
      <c r="E1153" s="7">
        <v>1493.84</v>
      </c>
      <c r="F1153" t="s">
        <v>20</v>
      </c>
      <c r="G1153" t="s">
        <v>21</v>
      </c>
      <c r="H1153" t="str">
        <f>"857002201-17"</f>
        <v>857002201-17</v>
      </c>
      <c r="I1153" t="str">
        <f>"DPC INDUSTRIES  INC."</f>
        <v>DPC INDUSTRIES  INC.</v>
      </c>
    </row>
    <row r="1154" spans="1:9" x14ac:dyDescent="0.25">
      <c r="E1154" s="7"/>
      <c r="F1154" t="s">
        <v>20</v>
      </c>
      <c r="G1154" t="s">
        <v>21</v>
      </c>
      <c r="H1154" t="str">
        <f>"857002222-17"</f>
        <v>857002222-17</v>
      </c>
      <c r="I1154" t="str">
        <f>"DPC INDUSTRIES  INC."</f>
        <v>DPC INDUSTRIES  INC.</v>
      </c>
    </row>
    <row r="1155" spans="1:9" x14ac:dyDescent="0.25">
      <c r="A1155" s="6">
        <v>43069</v>
      </c>
      <c r="B1155" t="s">
        <v>26</v>
      </c>
      <c r="C1155">
        <v>56195</v>
      </c>
      <c r="D1155" t="s">
        <v>78</v>
      </c>
      <c r="E1155" s="7">
        <v>11851.58</v>
      </c>
      <c r="F1155" t="s">
        <v>20</v>
      </c>
      <c r="G1155" t="s">
        <v>21</v>
      </c>
      <c r="H1155" t="str">
        <f>"23385"</f>
        <v>23385</v>
      </c>
      <c r="I1155" t="str">
        <f>"DENTON NAVARRO ROCHA BERNAL HY"</f>
        <v>DENTON NAVARRO ROCHA BERNAL HY</v>
      </c>
    </row>
    <row r="1156" spans="1:9" x14ac:dyDescent="0.25">
      <c r="E1156" s="7"/>
      <c r="F1156" t="s">
        <v>20</v>
      </c>
      <c r="G1156" t="s">
        <v>21</v>
      </c>
      <c r="H1156" t="str">
        <f>"23387"</f>
        <v>23387</v>
      </c>
      <c r="I1156" t="str">
        <f>"DENTON NAVARRO ROCHA BERNAL HY"</f>
        <v>DENTON NAVARRO ROCHA BERNAL HY</v>
      </c>
    </row>
    <row r="1157" spans="1:9" x14ac:dyDescent="0.25">
      <c r="A1157" s="6">
        <v>43069</v>
      </c>
      <c r="B1157" t="s">
        <v>26</v>
      </c>
      <c r="C1157">
        <v>56196</v>
      </c>
      <c r="D1157" t="s">
        <v>190</v>
      </c>
      <c r="E1157" s="7">
        <v>39</v>
      </c>
      <c r="F1157" t="s">
        <v>20</v>
      </c>
      <c r="G1157" t="s">
        <v>21</v>
      </c>
      <c r="H1157" t="str">
        <f>"14705"</f>
        <v>14705</v>
      </c>
      <c r="I1157" t="str">
        <f>"NASASP"</f>
        <v>NASASP</v>
      </c>
    </row>
    <row r="1158" spans="1:9" x14ac:dyDescent="0.25">
      <c r="A1158" s="6">
        <v>43069</v>
      </c>
      <c r="B1158" t="s">
        <v>26</v>
      </c>
      <c r="C1158">
        <v>56197</v>
      </c>
      <c r="D1158" t="s">
        <v>125</v>
      </c>
      <c r="E1158" s="7">
        <v>360</v>
      </c>
      <c r="F1158" t="s">
        <v>20</v>
      </c>
      <c r="G1158" t="s">
        <v>21</v>
      </c>
      <c r="H1158" t="str">
        <f>"17-0741"</f>
        <v>17-0741</v>
      </c>
      <c r="I1158" t="str">
        <f>"INTREPID SURVEYING CORPORATION"</f>
        <v>INTREPID SURVEYING CORPORATION</v>
      </c>
    </row>
    <row r="1159" spans="1:9" x14ac:dyDescent="0.25">
      <c r="A1159" s="6">
        <v>43069</v>
      </c>
      <c r="B1159" t="s">
        <v>26</v>
      </c>
      <c r="C1159">
        <v>56198</v>
      </c>
      <c r="D1159" t="s">
        <v>79</v>
      </c>
      <c r="E1159" s="7">
        <v>238</v>
      </c>
      <c r="F1159" t="s">
        <v>20</v>
      </c>
      <c r="G1159" t="s">
        <v>21</v>
      </c>
      <c r="H1159" t="str">
        <f>"5-995-78565"</f>
        <v>5-995-78565</v>
      </c>
      <c r="I1159" t="str">
        <f>"FEDEX"</f>
        <v>FEDEX</v>
      </c>
    </row>
    <row r="1160" spans="1:9" x14ac:dyDescent="0.25">
      <c r="E1160" s="7"/>
      <c r="F1160" t="s">
        <v>20</v>
      </c>
      <c r="G1160" t="s">
        <v>21</v>
      </c>
      <c r="H1160" t="str">
        <f>"6-003-38470"</f>
        <v>6-003-38470</v>
      </c>
      <c r="I1160" t="str">
        <f>"FEDEX"</f>
        <v>FEDEX</v>
      </c>
    </row>
    <row r="1161" spans="1:9" x14ac:dyDescent="0.25">
      <c r="A1161" s="6">
        <v>43069</v>
      </c>
      <c r="B1161" t="s">
        <v>26</v>
      </c>
      <c r="C1161">
        <v>56199</v>
      </c>
      <c r="D1161" t="s">
        <v>139</v>
      </c>
      <c r="E1161" s="7">
        <v>65</v>
      </c>
      <c r="F1161" t="s">
        <v>20</v>
      </c>
      <c r="G1161" t="s">
        <v>21</v>
      </c>
      <c r="H1161" t="str">
        <f>"22548"</f>
        <v>22548</v>
      </c>
      <c r="I1161" t="str">
        <f>"ANGEL FIRE &amp; SAFETY"</f>
        <v>ANGEL FIRE &amp; SAFETY</v>
      </c>
    </row>
    <row r="1162" spans="1:9" x14ac:dyDescent="0.25">
      <c r="A1162" s="6">
        <v>43069</v>
      </c>
      <c r="B1162" t="s">
        <v>26</v>
      </c>
      <c r="C1162">
        <v>56200</v>
      </c>
      <c r="D1162" t="s">
        <v>191</v>
      </c>
      <c r="E1162" s="7">
        <v>1530.21</v>
      </c>
      <c r="F1162" t="s">
        <v>20</v>
      </c>
      <c r="G1162" t="s">
        <v>21</v>
      </c>
      <c r="H1162" t="str">
        <f>"INV06-000726"</f>
        <v>INV06-000726</v>
      </c>
      <c r="I1162" t="str">
        <f>"MUNISERVICES  LLC"</f>
        <v>MUNISERVICES  LLC</v>
      </c>
    </row>
    <row r="1163" spans="1:9" x14ac:dyDescent="0.25">
      <c r="A1163" s="6">
        <v>43069</v>
      </c>
      <c r="B1163" t="s">
        <v>26</v>
      </c>
      <c r="C1163">
        <v>56201</v>
      </c>
      <c r="D1163" t="s">
        <v>148</v>
      </c>
      <c r="E1163" s="7">
        <v>6264.65</v>
      </c>
      <c r="F1163" t="s">
        <v>20</v>
      </c>
      <c r="G1163" t="s">
        <v>21</v>
      </c>
      <c r="H1163" t="str">
        <f>"PHS0177813"</f>
        <v>PHS0177813</v>
      </c>
      <c r="I1163" t="str">
        <f>"TEXAS COMMISSION ON ENVIRONMEN"</f>
        <v>TEXAS COMMISSION ON ENVIRONMEN</v>
      </c>
    </row>
    <row r="1164" spans="1:9" x14ac:dyDescent="0.25">
      <c r="A1164" s="6">
        <v>43069</v>
      </c>
      <c r="B1164" t="s">
        <v>26</v>
      </c>
      <c r="C1164">
        <v>56202</v>
      </c>
      <c r="D1164" t="s">
        <v>129</v>
      </c>
      <c r="E1164" s="7">
        <v>216.27</v>
      </c>
      <c r="F1164" t="s">
        <v>20</v>
      </c>
      <c r="G1164" t="s">
        <v>21</v>
      </c>
      <c r="H1164" t="str">
        <f>"P26249"</f>
        <v>P26249</v>
      </c>
      <c r="I1164" t="str">
        <f>"AG-PRO COMPANIES"</f>
        <v>AG-PRO COMPANIES</v>
      </c>
    </row>
    <row r="1165" spans="1:9" x14ac:dyDescent="0.25">
      <c r="E1165" s="7"/>
      <c r="F1165" t="s">
        <v>20</v>
      </c>
      <c r="G1165" t="s">
        <v>21</v>
      </c>
      <c r="H1165" t="str">
        <f>"P26250"</f>
        <v>P26250</v>
      </c>
      <c r="I1165" t="str">
        <f>"AG-PRO COMPANIES"</f>
        <v>AG-PRO COMPANIES</v>
      </c>
    </row>
    <row r="1166" spans="1:9" x14ac:dyDescent="0.25">
      <c r="A1166" s="6">
        <v>43069</v>
      </c>
      <c r="B1166" t="s">
        <v>26</v>
      </c>
      <c r="C1166">
        <v>56203</v>
      </c>
      <c r="D1166" t="s">
        <v>32</v>
      </c>
      <c r="E1166" s="7">
        <v>155</v>
      </c>
      <c r="F1166" t="s">
        <v>20</v>
      </c>
      <c r="G1166" t="s">
        <v>21</v>
      </c>
      <c r="H1166" t="str">
        <f>"11.11.17"</f>
        <v>11.11.17</v>
      </c>
      <c r="I1166" t="str">
        <f>"SHARON KERRIGAN"</f>
        <v>SHARON KERRIGAN</v>
      </c>
    </row>
    <row r="1167" spans="1:9" x14ac:dyDescent="0.25">
      <c r="E1167" s="7"/>
      <c r="F1167" t="s">
        <v>20</v>
      </c>
      <c r="G1167" t="s">
        <v>21</v>
      </c>
      <c r="H1167" t="str">
        <f>"11.18.17"</f>
        <v>11.18.17</v>
      </c>
      <c r="I1167" t="str">
        <f>"SHARON KERRIGAN"</f>
        <v>SHARON KERRIGAN</v>
      </c>
    </row>
    <row r="1168" spans="1:9" x14ac:dyDescent="0.25">
      <c r="A1168" s="6">
        <v>43069</v>
      </c>
      <c r="B1168" t="s">
        <v>26</v>
      </c>
      <c r="C1168">
        <v>56204</v>
      </c>
      <c r="D1168" t="s">
        <v>33</v>
      </c>
      <c r="E1168" s="7">
        <v>155</v>
      </c>
      <c r="F1168" t="s">
        <v>20</v>
      </c>
      <c r="G1168" t="s">
        <v>21</v>
      </c>
      <c r="H1168" t="str">
        <f>"11.11.17"</f>
        <v>11.11.17</v>
      </c>
      <c r="I1168" t="str">
        <f>"DEBORAH KORCZYK"</f>
        <v>DEBORAH KORCZYK</v>
      </c>
    </row>
    <row r="1169" spans="1:9" x14ac:dyDescent="0.25">
      <c r="E1169" s="7"/>
      <c r="F1169" t="s">
        <v>20</v>
      </c>
      <c r="G1169" t="s">
        <v>21</v>
      </c>
      <c r="H1169" t="str">
        <f>"11.18.17"</f>
        <v>11.18.17</v>
      </c>
      <c r="I1169" t="str">
        <f>"DEBORAH KORCZYK"</f>
        <v>DEBORAH KORCZYK</v>
      </c>
    </row>
    <row r="1170" spans="1:9" x14ac:dyDescent="0.25">
      <c r="A1170" s="6">
        <v>43069</v>
      </c>
      <c r="B1170" t="s">
        <v>26</v>
      </c>
      <c r="C1170">
        <v>56205</v>
      </c>
      <c r="D1170" t="s">
        <v>192</v>
      </c>
      <c r="E1170" s="7">
        <v>2409.62</v>
      </c>
      <c r="F1170" t="s">
        <v>20</v>
      </c>
      <c r="G1170" t="s">
        <v>21</v>
      </c>
      <c r="H1170" t="str">
        <f>"56560888"</f>
        <v>56560888</v>
      </c>
      <c r="I1170" t="str">
        <f>"DE LAGE LANDEN PUBLIC FINANCE"</f>
        <v>DE LAGE LANDEN PUBLIC FINANCE</v>
      </c>
    </row>
    <row r="1171" spans="1:9" x14ac:dyDescent="0.25">
      <c r="E1171" s="7"/>
      <c r="F1171" t="s">
        <v>20</v>
      </c>
      <c r="G1171" t="s">
        <v>21</v>
      </c>
      <c r="H1171" t="str">
        <f>"56590884"</f>
        <v>56590884</v>
      </c>
      <c r="I1171" t="str">
        <f>"DE LAGE LANDEN PUBLIC FINANCE"</f>
        <v>DE LAGE LANDEN PUBLIC FINANCE</v>
      </c>
    </row>
    <row r="1172" spans="1:9" x14ac:dyDescent="0.25">
      <c r="E1172" s="7"/>
      <c r="F1172" t="s">
        <v>20</v>
      </c>
      <c r="G1172" t="s">
        <v>21</v>
      </c>
      <c r="H1172" t="str">
        <f>"56590893"</f>
        <v>56590893</v>
      </c>
      <c r="I1172" t="str">
        <f>"DE LAGE LANDEN PUBLIC FINANCE"</f>
        <v>DE LAGE LANDEN PUBLIC FINANCE</v>
      </c>
    </row>
    <row r="1173" spans="1:9" x14ac:dyDescent="0.25">
      <c r="A1173" s="6">
        <v>43069</v>
      </c>
      <c r="B1173" t="s">
        <v>26</v>
      </c>
      <c r="C1173">
        <v>56207</v>
      </c>
      <c r="D1173" t="s">
        <v>97</v>
      </c>
      <c r="E1173" s="7">
        <v>361.92</v>
      </c>
      <c r="F1173" t="s">
        <v>20</v>
      </c>
      <c r="G1173" t="s">
        <v>21</v>
      </c>
      <c r="H1173" t="str">
        <f>"ACCT#169922"</f>
        <v>ACCT#169922</v>
      </c>
      <c r="I1173" t="str">
        <f>"HEALTH CARE SERVICE CORPORATIO"</f>
        <v>HEALTH CARE SERVICE CORPORATIO</v>
      </c>
    </row>
    <row r="1174" spans="1:9" x14ac:dyDescent="0.25">
      <c r="A1174" s="6">
        <v>43069</v>
      </c>
      <c r="B1174" t="s">
        <v>26</v>
      </c>
      <c r="C1174">
        <v>56208</v>
      </c>
      <c r="D1174" t="s">
        <v>131</v>
      </c>
      <c r="E1174" s="7">
        <v>604.23</v>
      </c>
      <c r="F1174" t="s">
        <v>20</v>
      </c>
      <c r="G1174" t="s">
        <v>24</v>
      </c>
      <c r="H1174" t="str">
        <f>"023163"</f>
        <v>023163</v>
      </c>
      <c r="I1174" t="str">
        <f t="shared" ref="I1174:I1183" si="11">"R &amp; S TEXAS PARTS CO"</f>
        <v>R &amp; S TEXAS PARTS CO</v>
      </c>
    </row>
    <row r="1175" spans="1:9" x14ac:dyDescent="0.25">
      <c r="E1175" s="7"/>
      <c r="F1175" t="s">
        <v>20</v>
      </c>
      <c r="G1175" t="s">
        <v>24</v>
      </c>
      <c r="H1175" t="str">
        <f>"023944"</f>
        <v>023944</v>
      </c>
      <c r="I1175" t="str">
        <f t="shared" si="11"/>
        <v>R &amp; S TEXAS PARTS CO</v>
      </c>
    </row>
    <row r="1176" spans="1:9" x14ac:dyDescent="0.25">
      <c r="E1176" s="7"/>
      <c r="F1176" t="s">
        <v>20</v>
      </c>
      <c r="G1176" t="s">
        <v>21</v>
      </c>
      <c r="H1176" t="str">
        <f>"022742"</f>
        <v>022742</v>
      </c>
      <c r="I1176" t="str">
        <f t="shared" si="11"/>
        <v>R &amp; S TEXAS PARTS CO</v>
      </c>
    </row>
    <row r="1177" spans="1:9" x14ac:dyDescent="0.25">
      <c r="E1177" s="7"/>
      <c r="F1177" t="s">
        <v>20</v>
      </c>
      <c r="G1177" t="s">
        <v>21</v>
      </c>
      <c r="H1177" t="str">
        <f>"022744"</f>
        <v>022744</v>
      </c>
      <c r="I1177" t="str">
        <f t="shared" si="11"/>
        <v>R &amp; S TEXAS PARTS CO</v>
      </c>
    </row>
    <row r="1178" spans="1:9" x14ac:dyDescent="0.25">
      <c r="E1178" s="7"/>
      <c r="F1178" t="s">
        <v>20</v>
      </c>
      <c r="G1178" t="s">
        <v>21</v>
      </c>
      <c r="H1178" t="str">
        <f>"023123"</f>
        <v>023123</v>
      </c>
      <c r="I1178" t="str">
        <f t="shared" si="11"/>
        <v>R &amp; S TEXAS PARTS CO</v>
      </c>
    </row>
    <row r="1179" spans="1:9" x14ac:dyDescent="0.25">
      <c r="E1179" s="7"/>
      <c r="F1179" t="s">
        <v>20</v>
      </c>
      <c r="G1179" t="s">
        <v>21</v>
      </c>
      <c r="H1179" t="str">
        <f>"023807"</f>
        <v>023807</v>
      </c>
      <c r="I1179" t="str">
        <f t="shared" si="11"/>
        <v>R &amp; S TEXAS PARTS CO</v>
      </c>
    </row>
    <row r="1180" spans="1:9" x14ac:dyDescent="0.25">
      <c r="E1180" s="7"/>
      <c r="F1180" t="s">
        <v>20</v>
      </c>
      <c r="G1180" t="s">
        <v>21</v>
      </c>
      <c r="H1180" t="str">
        <f>"023904"</f>
        <v>023904</v>
      </c>
      <c r="I1180" t="str">
        <f t="shared" si="11"/>
        <v>R &amp; S TEXAS PARTS CO</v>
      </c>
    </row>
    <row r="1181" spans="1:9" x14ac:dyDescent="0.25">
      <c r="E1181" s="7"/>
      <c r="F1181" t="s">
        <v>20</v>
      </c>
      <c r="G1181" t="s">
        <v>21</v>
      </c>
      <c r="H1181" t="str">
        <f>"023905"</f>
        <v>023905</v>
      </c>
      <c r="I1181" t="str">
        <f t="shared" si="11"/>
        <v>R &amp; S TEXAS PARTS CO</v>
      </c>
    </row>
    <row r="1182" spans="1:9" x14ac:dyDescent="0.25">
      <c r="E1182" s="7"/>
      <c r="F1182" t="s">
        <v>20</v>
      </c>
      <c r="G1182" t="s">
        <v>21</v>
      </c>
      <c r="H1182" t="str">
        <f>"023980"</f>
        <v>023980</v>
      </c>
      <c r="I1182" t="str">
        <f t="shared" si="11"/>
        <v>R &amp; S TEXAS PARTS CO</v>
      </c>
    </row>
    <row r="1183" spans="1:9" x14ac:dyDescent="0.25">
      <c r="E1183" s="7"/>
      <c r="F1183" t="s">
        <v>20</v>
      </c>
      <c r="G1183" t="s">
        <v>21</v>
      </c>
      <c r="H1183" t="str">
        <f>"024360"</f>
        <v>024360</v>
      </c>
      <c r="I1183" t="str">
        <f t="shared" si="11"/>
        <v>R &amp; S TEXAS PARTS CO</v>
      </c>
    </row>
    <row r="1184" spans="1:9" x14ac:dyDescent="0.25">
      <c r="A1184" s="6">
        <v>43069</v>
      </c>
      <c r="B1184" t="s">
        <v>26</v>
      </c>
      <c r="C1184">
        <v>56210</v>
      </c>
      <c r="D1184" t="s">
        <v>84</v>
      </c>
      <c r="E1184" s="7">
        <v>21666.28</v>
      </c>
      <c r="F1184" t="s">
        <v>20</v>
      </c>
      <c r="G1184" t="s">
        <v>21</v>
      </c>
      <c r="H1184" t="str">
        <f>"1258370"</f>
        <v>1258370</v>
      </c>
      <c r="I1184" t="str">
        <f>"STANTEC CONSULTING SERVICES IN"</f>
        <v>STANTEC CONSULTING SERVICES IN</v>
      </c>
    </row>
    <row r="1185" spans="1:9" x14ac:dyDescent="0.25">
      <c r="A1185" s="6">
        <v>43069</v>
      </c>
      <c r="B1185" t="s">
        <v>26</v>
      </c>
      <c r="C1185">
        <v>56211</v>
      </c>
      <c r="D1185" t="s">
        <v>85</v>
      </c>
      <c r="E1185" s="7">
        <v>253.79</v>
      </c>
      <c r="F1185" t="s">
        <v>20</v>
      </c>
      <c r="G1185" t="s">
        <v>21</v>
      </c>
      <c r="H1185" t="str">
        <f>"201711278172"</f>
        <v>201711278172</v>
      </c>
      <c r="I1185" t="str">
        <f>"FRONTIER"</f>
        <v>FRONTIER</v>
      </c>
    </row>
    <row r="1186" spans="1:9" x14ac:dyDescent="0.25">
      <c r="E1186" s="7"/>
      <c r="F1186" t="s">
        <v>20</v>
      </c>
      <c r="G1186" t="s">
        <v>21</v>
      </c>
      <c r="H1186" t="str">
        <f>"201711278173"</f>
        <v>201711278173</v>
      </c>
      <c r="I1186" t="str">
        <f>"FRONTIER"</f>
        <v>FRONTIER</v>
      </c>
    </row>
    <row r="1187" spans="1:9" x14ac:dyDescent="0.25">
      <c r="E1187" s="7"/>
      <c r="F1187" t="s">
        <v>20</v>
      </c>
      <c r="G1187" t="s">
        <v>21</v>
      </c>
      <c r="H1187" t="str">
        <f>"201711308175"</f>
        <v>201711308175</v>
      </c>
      <c r="I1187" t="str">
        <f>"FRONTIER"</f>
        <v>FRONTIER</v>
      </c>
    </row>
    <row r="1188" spans="1:9" x14ac:dyDescent="0.25">
      <c r="A1188" s="6">
        <v>43069</v>
      </c>
      <c r="B1188" t="s">
        <v>26</v>
      </c>
      <c r="C1188">
        <v>56212</v>
      </c>
      <c r="D1188" t="s">
        <v>34</v>
      </c>
      <c r="E1188" s="7">
        <v>332.2</v>
      </c>
      <c r="F1188" t="s">
        <v>20</v>
      </c>
      <c r="G1188" t="s">
        <v>21</v>
      </c>
      <c r="H1188" t="str">
        <f>"11.13-11.18"</f>
        <v>11.13-11.18</v>
      </c>
      <c r="I1188" t="str">
        <f>"SHIRLEY UNDERWOOD"</f>
        <v>SHIRLEY UNDERWOOD</v>
      </c>
    </row>
    <row r="1189" spans="1:9" x14ac:dyDescent="0.25">
      <c r="A1189" s="6">
        <v>43069</v>
      </c>
      <c r="B1189" t="s">
        <v>26</v>
      </c>
      <c r="C1189">
        <v>56213</v>
      </c>
      <c r="D1189" t="s">
        <v>193</v>
      </c>
      <c r="E1189" s="7">
        <v>91.47</v>
      </c>
      <c r="F1189" t="s">
        <v>20</v>
      </c>
      <c r="G1189" t="s">
        <v>21</v>
      </c>
      <c r="H1189" t="str">
        <f>"24098"</f>
        <v>24098</v>
      </c>
      <c r="I1189" t="str">
        <f>"MIDWAY AUTOMOTIVE"</f>
        <v>MIDWAY AUTOMOTIVE</v>
      </c>
    </row>
    <row r="1190" spans="1:9" x14ac:dyDescent="0.25">
      <c r="A1190" s="6">
        <v>43069</v>
      </c>
      <c r="B1190" t="s">
        <v>26</v>
      </c>
      <c r="C1190">
        <v>56214</v>
      </c>
      <c r="D1190" t="s">
        <v>194</v>
      </c>
      <c r="E1190" s="7">
        <v>230.38</v>
      </c>
      <c r="F1190" t="s">
        <v>20</v>
      </c>
      <c r="G1190" t="s">
        <v>21</v>
      </c>
      <c r="H1190" t="str">
        <f>"OR8669032"</f>
        <v>OR8669032</v>
      </c>
      <c r="I1190" t="str">
        <f>"GALLS  LLC-D.B.A. STERLING'S U"</f>
        <v>GALLS  LLC-D.B.A. STERLING'S U</v>
      </c>
    </row>
    <row r="1191" spans="1:9" x14ac:dyDescent="0.25">
      <c r="A1191" s="6">
        <v>43069</v>
      </c>
      <c r="B1191" t="s">
        <v>26</v>
      </c>
      <c r="C1191">
        <v>56215</v>
      </c>
      <c r="D1191" t="s">
        <v>132</v>
      </c>
      <c r="E1191" s="7">
        <v>86.56</v>
      </c>
      <c r="F1191" t="s">
        <v>20</v>
      </c>
      <c r="G1191" t="s">
        <v>21</v>
      </c>
      <c r="H1191" t="str">
        <f>"16008854110817"</f>
        <v>16008854110817</v>
      </c>
      <c r="I1191" t="str">
        <f>"SPARKLETTS &amp; SIERRA SPRINGS"</f>
        <v>SPARKLETTS &amp; SIERRA SPRINGS</v>
      </c>
    </row>
    <row r="1192" spans="1:9" x14ac:dyDescent="0.25">
      <c r="A1192" s="6">
        <v>43069</v>
      </c>
      <c r="B1192" t="s">
        <v>26</v>
      </c>
      <c r="C1192">
        <v>56216</v>
      </c>
      <c r="D1192" t="s">
        <v>195</v>
      </c>
      <c r="E1192" s="7">
        <v>3384.13</v>
      </c>
      <c r="F1192" t="s">
        <v>20</v>
      </c>
      <c r="G1192" t="s">
        <v>21</v>
      </c>
      <c r="H1192" t="str">
        <f>"1565201711"</f>
        <v>1565201711</v>
      </c>
      <c r="I1192" t="str">
        <f>"ARISTA INFORMATION SYSTEMS  IN"</f>
        <v>ARISTA INFORMATION SYSTEMS  IN</v>
      </c>
    </row>
    <row r="1193" spans="1:9" x14ac:dyDescent="0.25">
      <c r="E1193" s="7"/>
      <c r="F1193" t="s">
        <v>20</v>
      </c>
      <c r="G1193" t="s">
        <v>21</v>
      </c>
      <c r="H1193" t="str">
        <f>"24301"</f>
        <v>24301</v>
      </c>
      <c r="I1193" t="str">
        <f>"ARISTA INFORMATION SYSTEMS  IN"</f>
        <v>ARISTA INFORMATION SYSTEMS  IN</v>
      </c>
    </row>
    <row r="1194" spans="1:9" x14ac:dyDescent="0.25">
      <c r="A1194" s="6">
        <v>43069</v>
      </c>
      <c r="B1194" t="s">
        <v>26</v>
      </c>
      <c r="C1194">
        <v>56217</v>
      </c>
      <c r="D1194" t="s">
        <v>196</v>
      </c>
      <c r="E1194" s="7">
        <v>3147.33</v>
      </c>
      <c r="F1194" t="s">
        <v>20</v>
      </c>
      <c r="G1194" t="s">
        <v>21</v>
      </c>
      <c r="H1194" t="str">
        <f>"2017-0209"</f>
        <v>2017-0209</v>
      </c>
      <c r="I1194" t="str">
        <f>"RF SPECIALTIES OF TX"</f>
        <v>RF SPECIALTIES OF TX</v>
      </c>
    </row>
    <row r="1195" spans="1:9" x14ac:dyDescent="0.25">
      <c r="A1195" s="6">
        <v>43069</v>
      </c>
      <c r="B1195" t="s">
        <v>26</v>
      </c>
      <c r="C1195">
        <v>56218</v>
      </c>
      <c r="D1195" t="s">
        <v>197</v>
      </c>
      <c r="E1195" s="7">
        <v>2844</v>
      </c>
      <c r="F1195" t="s">
        <v>20</v>
      </c>
      <c r="G1195" t="s">
        <v>21</v>
      </c>
      <c r="H1195" t="str">
        <f>"174502"</f>
        <v>174502</v>
      </c>
      <c r="I1195" t="str">
        <f>"WHOLESALE CHEMICAL COMPANY  IN"</f>
        <v>WHOLESALE CHEMICAL COMPANY  IN</v>
      </c>
    </row>
    <row r="1196" spans="1:9" x14ac:dyDescent="0.25">
      <c r="A1196" s="6">
        <v>43069</v>
      </c>
      <c r="B1196" t="s">
        <v>26</v>
      </c>
      <c r="C1196">
        <v>56219</v>
      </c>
      <c r="D1196" t="s">
        <v>198</v>
      </c>
      <c r="E1196" s="7">
        <v>75</v>
      </c>
      <c r="F1196" t="s">
        <v>20</v>
      </c>
      <c r="G1196" t="s">
        <v>21</v>
      </c>
      <c r="H1196" t="str">
        <f>"11.18.17"</f>
        <v>11.18.17</v>
      </c>
      <c r="I1196" t="str">
        <f>"ABELINA MURILLO"</f>
        <v>ABELINA MURILLO</v>
      </c>
    </row>
    <row r="1197" spans="1:9" x14ac:dyDescent="0.25">
      <c r="A1197" s="6">
        <v>43069</v>
      </c>
      <c r="B1197" t="s">
        <v>26</v>
      </c>
      <c r="C1197">
        <v>56220</v>
      </c>
      <c r="D1197" t="s">
        <v>199</v>
      </c>
      <c r="E1197" s="7">
        <v>256.32</v>
      </c>
      <c r="F1197" t="s">
        <v>20</v>
      </c>
      <c r="G1197" t="s">
        <v>21</v>
      </c>
      <c r="H1197" t="str">
        <f>"2479"</f>
        <v>2479</v>
      </c>
      <c r="I1197" t="str">
        <f>"THE UPS STORE"</f>
        <v>THE UPS STORE</v>
      </c>
    </row>
    <row r="1198" spans="1:9" x14ac:dyDescent="0.25">
      <c r="A1198" s="6">
        <v>43069</v>
      </c>
      <c r="B1198" t="s">
        <v>26</v>
      </c>
      <c r="C1198">
        <v>56221</v>
      </c>
      <c r="D1198" t="s">
        <v>55</v>
      </c>
      <c r="E1198" s="7">
        <v>6125</v>
      </c>
      <c r="F1198" t="s">
        <v>20</v>
      </c>
      <c r="G1198" t="s">
        <v>21</v>
      </c>
      <c r="H1198" t="str">
        <f>"1076"</f>
        <v>1076</v>
      </c>
      <c r="I1198" t="str">
        <f>"LEVEL 4 CONSULTING"</f>
        <v>LEVEL 4 CONSULTING</v>
      </c>
    </row>
    <row r="1199" spans="1:9" x14ac:dyDescent="0.25">
      <c r="A1199" s="6">
        <v>43069</v>
      </c>
      <c r="B1199" t="s">
        <v>26</v>
      </c>
      <c r="C1199">
        <v>56222</v>
      </c>
      <c r="D1199" t="s">
        <v>50</v>
      </c>
      <c r="E1199" s="7">
        <v>119.78</v>
      </c>
      <c r="F1199" t="s">
        <v>20</v>
      </c>
      <c r="G1199" t="s">
        <v>21</v>
      </c>
      <c r="H1199" t="str">
        <f>"TRAINING 12/7-12/8"</f>
        <v>TRAINING 12/7-12/8</v>
      </c>
      <c r="I1199" t="str">
        <f>"CHRISTINA CANTU"</f>
        <v>CHRISTINA CANTU</v>
      </c>
    </row>
    <row r="1200" spans="1:9" x14ac:dyDescent="0.25">
      <c r="A1200" s="6">
        <v>43070</v>
      </c>
      <c r="B1200" t="s">
        <v>26</v>
      </c>
      <c r="C1200">
        <v>56223</v>
      </c>
      <c r="D1200" t="s">
        <v>31</v>
      </c>
      <c r="E1200" s="7">
        <v>2720</v>
      </c>
      <c r="F1200" t="s">
        <v>20</v>
      </c>
      <c r="G1200" t="s">
        <v>21</v>
      </c>
      <c r="H1200" t="str">
        <f>"2017171*"</f>
        <v>2017171*</v>
      </c>
      <c r="I1200" t="str">
        <f>"THE LAW OFFICE OF TOM CALDWELL"</f>
        <v>THE LAW OFFICE OF TOM CALDWELL</v>
      </c>
    </row>
    <row r="1201" spans="1:9" x14ac:dyDescent="0.25">
      <c r="A1201" s="6">
        <v>43073</v>
      </c>
      <c r="B1201" t="s">
        <v>26</v>
      </c>
      <c r="C1201">
        <v>56224</v>
      </c>
      <c r="D1201" t="s">
        <v>59</v>
      </c>
      <c r="E1201" s="7">
        <v>315.55</v>
      </c>
      <c r="F1201" t="s">
        <v>20</v>
      </c>
      <c r="G1201" t="s">
        <v>21</v>
      </c>
      <c r="H1201" t="str">
        <f>"0907173"</f>
        <v>0907173</v>
      </c>
      <c r="I1201" t="str">
        <f>"FERGUSON WATERWORKS - MUNICIPA"</f>
        <v>FERGUSON WATERWORKS - MUNICIPA</v>
      </c>
    </row>
    <row r="1202" spans="1:9" x14ac:dyDescent="0.25">
      <c r="A1202" s="6">
        <v>43073</v>
      </c>
      <c r="B1202" t="s">
        <v>26</v>
      </c>
      <c r="C1202">
        <v>56225</v>
      </c>
      <c r="D1202" t="s">
        <v>29</v>
      </c>
      <c r="E1202" s="7">
        <v>19148.75</v>
      </c>
      <c r="F1202" t="s">
        <v>20</v>
      </c>
      <c r="G1202" t="s">
        <v>21</v>
      </c>
      <c r="H1202" t="str">
        <f>"29476"</f>
        <v>29476</v>
      </c>
      <c r="I1202" t="str">
        <f>"M &amp; S ENGINEERING  LLC"</f>
        <v>M &amp; S ENGINEERING  LLC</v>
      </c>
    </row>
    <row r="1203" spans="1:9" x14ac:dyDescent="0.25">
      <c r="A1203" s="6">
        <v>43073</v>
      </c>
      <c r="B1203" t="s">
        <v>26</v>
      </c>
      <c r="C1203">
        <v>56226</v>
      </c>
      <c r="D1203" t="s">
        <v>126</v>
      </c>
      <c r="E1203" s="7">
        <v>77102.2</v>
      </c>
      <c r="F1203" t="s">
        <v>20</v>
      </c>
      <c r="G1203" t="s">
        <v>21</v>
      </c>
      <c r="H1203" t="str">
        <f>"0859-001933281"</f>
        <v>0859-001933281</v>
      </c>
      <c r="I1203" t="str">
        <f>"REPUBLIC SERVICES #859"</f>
        <v>REPUBLIC SERVICES #859</v>
      </c>
    </row>
    <row r="1204" spans="1:9" x14ac:dyDescent="0.25">
      <c r="A1204" s="6">
        <v>43073</v>
      </c>
      <c r="B1204" t="s">
        <v>26</v>
      </c>
      <c r="C1204">
        <v>56227</v>
      </c>
      <c r="D1204" t="s">
        <v>81</v>
      </c>
      <c r="E1204" s="7">
        <v>266.31</v>
      </c>
      <c r="F1204" t="s">
        <v>20</v>
      </c>
      <c r="G1204" t="s">
        <v>21</v>
      </c>
      <c r="H1204" t="str">
        <f>"AM 11.29.17"</f>
        <v>AM 11.29.17</v>
      </c>
      <c r="I1204" t="str">
        <f>"CITY OF FLORESVILLE -PETTY CAS"</f>
        <v>CITY OF FLORESVILLE -PETTY CAS</v>
      </c>
    </row>
    <row r="1205" spans="1:9" x14ac:dyDescent="0.25">
      <c r="E1205" s="7"/>
      <c r="F1205" t="s">
        <v>20</v>
      </c>
      <c r="G1205" t="s">
        <v>21</v>
      </c>
      <c r="H1205" t="str">
        <f>"BC 11.29.17"</f>
        <v>BC 11.29.17</v>
      </c>
      <c r="I1205" t="str">
        <f>"CITY OF FLORESVILLE -PETTY CAS"</f>
        <v>CITY OF FLORESVILLE -PETTY CAS</v>
      </c>
    </row>
    <row r="1206" spans="1:9" x14ac:dyDescent="0.25">
      <c r="A1206" s="6">
        <v>43073</v>
      </c>
      <c r="B1206" t="s">
        <v>26</v>
      </c>
      <c r="C1206">
        <v>56228</v>
      </c>
      <c r="D1206" t="s">
        <v>84</v>
      </c>
      <c r="E1206" s="7">
        <v>3566.63</v>
      </c>
      <c r="F1206" t="s">
        <v>20</v>
      </c>
      <c r="G1206" t="s">
        <v>21</v>
      </c>
      <c r="H1206" t="str">
        <f>"1237842"</f>
        <v>1237842</v>
      </c>
      <c r="I1206" t="str">
        <f>"STANTEC CONSULTING SERVICES IN"</f>
        <v>STANTEC CONSULTING SERVICES IN</v>
      </c>
    </row>
    <row r="1207" spans="1:9" x14ac:dyDescent="0.25">
      <c r="E1207" s="7"/>
      <c r="F1207" t="s">
        <v>20</v>
      </c>
      <c r="G1207" t="s">
        <v>21</v>
      </c>
      <c r="H1207" t="str">
        <f>"1237843"</f>
        <v>1237843</v>
      </c>
      <c r="I1207" t="str">
        <f>"STANTEC CONSULTING SERVICES IN"</f>
        <v>STANTEC CONSULTING SERVICES IN</v>
      </c>
    </row>
    <row r="1208" spans="1:9" x14ac:dyDescent="0.25">
      <c r="E1208" s="7"/>
      <c r="F1208" t="s">
        <v>20</v>
      </c>
      <c r="G1208" t="s">
        <v>21</v>
      </c>
      <c r="H1208" t="str">
        <f>"1237844"</f>
        <v>1237844</v>
      </c>
      <c r="I1208" t="str">
        <f>"STANTEC CONSULTING SERVICES IN"</f>
        <v>STANTEC CONSULTING SERVICES IN</v>
      </c>
    </row>
    <row r="1209" spans="1:9" x14ac:dyDescent="0.25">
      <c r="A1209" s="6">
        <v>43073</v>
      </c>
      <c r="B1209" t="s">
        <v>26</v>
      </c>
      <c r="C1209">
        <v>56229</v>
      </c>
      <c r="D1209" t="s">
        <v>140</v>
      </c>
      <c r="E1209" s="7">
        <v>7526.4</v>
      </c>
      <c r="F1209" t="s">
        <v>20</v>
      </c>
      <c r="G1209" t="s">
        <v>21</v>
      </c>
      <c r="H1209" t="str">
        <f>"5"</f>
        <v>5</v>
      </c>
      <c r="I1209" t="str">
        <f>"DEBRA J. DOCKERY"</f>
        <v>DEBRA J. DOCKERY</v>
      </c>
    </row>
    <row r="1210" spans="1:9" x14ac:dyDescent="0.25">
      <c r="A1210" s="6">
        <v>43073</v>
      </c>
      <c r="B1210" t="s">
        <v>26</v>
      </c>
      <c r="C1210">
        <v>56230</v>
      </c>
      <c r="D1210" t="s">
        <v>200</v>
      </c>
      <c r="E1210" s="7">
        <v>10000</v>
      </c>
      <c r="F1210" t="s">
        <v>20</v>
      </c>
      <c r="G1210" t="s">
        <v>21</v>
      </c>
      <c r="H1210" t="str">
        <f>"417663"</f>
        <v>417663</v>
      </c>
      <c r="I1210" t="str">
        <f>"MARIO AVILES"</f>
        <v>MARIO AVILES</v>
      </c>
    </row>
    <row r="1211" spans="1:9" x14ac:dyDescent="0.25">
      <c r="A1211" s="6">
        <v>43074</v>
      </c>
      <c r="B1211" t="s">
        <v>26</v>
      </c>
      <c r="C1211">
        <v>56240</v>
      </c>
      <c r="D1211" t="s">
        <v>156</v>
      </c>
      <c r="E1211" s="7">
        <v>373.5</v>
      </c>
      <c r="F1211" t="s">
        <v>20</v>
      </c>
      <c r="G1211" t="s">
        <v>21</v>
      </c>
      <c r="H1211" t="str">
        <f>"12.5.17"</f>
        <v>12.5.17</v>
      </c>
      <c r="I1211" t="str">
        <f>"GLI DISTRIBUTING"</f>
        <v>GLI DISTRIBUTING</v>
      </c>
    </row>
    <row r="1212" spans="1:9" x14ac:dyDescent="0.25">
      <c r="A1212" s="6">
        <v>43074</v>
      </c>
      <c r="B1212" t="s">
        <v>26</v>
      </c>
      <c r="C1212">
        <v>56241</v>
      </c>
      <c r="D1212" t="s">
        <v>51</v>
      </c>
      <c r="E1212" s="7">
        <v>327.84</v>
      </c>
      <c r="F1212" t="s">
        <v>20</v>
      </c>
      <c r="G1212" t="s">
        <v>21</v>
      </c>
      <c r="H1212" t="str">
        <f>"CLE201712058180"</f>
        <v>CLE201712058180</v>
      </c>
      <c r="I1212" t="str">
        <f>"CLEAT ONLY DUES"</f>
        <v>CLEAT ONLY DUES</v>
      </c>
    </row>
    <row r="1213" spans="1:9" x14ac:dyDescent="0.25">
      <c r="E1213" s="7"/>
      <c r="F1213" t="s">
        <v>20</v>
      </c>
      <c r="G1213" t="s">
        <v>21</v>
      </c>
      <c r="H1213" t="str">
        <f>"PDD201712058180"</f>
        <v>PDD201712058180</v>
      </c>
      <c r="I1213" t="str">
        <f>"POLICE OFFICERS ASSOC DUES"</f>
        <v>POLICE OFFICERS ASSOC DUES</v>
      </c>
    </row>
    <row r="1214" spans="1:9" x14ac:dyDescent="0.25">
      <c r="A1214" s="6">
        <v>43074</v>
      </c>
      <c r="B1214" t="s">
        <v>91</v>
      </c>
      <c r="C1214">
        <v>56242</v>
      </c>
      <c r="D1214" t="s">
        <v>90</v>
      </c>
      <c r="E1214" s="7">
        <v>114.96</v>
      </c>
      <c r="F1214" t="s">
        <v>20</v>
      </c>
      <c r="G1214" t="s">
        <v>21</v>
      </c>
      <c r="H1214" t="str">
        <f>"AFS201712058180"</f>
        <v>AFS201712058180</v>
      </c>
      <c r="I1214" t="str">
        <f>"AFLAC STD"</f>
        <v>AFLAC STD</v>
      </c>
    </row>
    <row r="1215" spans="1:9" x14ac:dyDescent="0.25">
      <c r="A1215" s="6">
        <v>43074</v>
      </c>
      <c r="B1215" t="s">
        <v>91</v>
      </c>
      <c r="C1215">
        <v>56242</v>
      </c>
      <c r="D1215" t="s">
        <v>90</v>
      </c>
      <c r="E1215" s="7">
        <v>114.96</v>
      </c>
      <c r="F1215" t="s">
        <v>20</v>
      </c>
      <c r="G1215" t="s">
        <v>93</v>
      </c>
      <c r="H1215" t="str">
        <f>"CHECK"</f>
        <v>CHECK</v>
      </c>
      <c r="I1215" t="str">
        <f>""</f>
        <v/>
      </c>
    </row>
    <row r="1216" spans="1:9" x14ac:dyDescent="0.25">
      <c r="A1216" s="6">
        <v>43074</v>
      </c>
      <c r="B1216" t="s">
        <v>26</v>
      </c>
      <c r="C1216">
        <v>56243</v>
      </c>
      <c r="D1216" t="s">
        <v>52</v>
      </c>
      <c r="E1216" s="7">
        <v>1745.38</v>
      </c>
      <c r="F1216" t="s">
        <v>20</v>
      </c>
      <c r="G1216" t="s">
        <v>21</v>
      </c>
      <c r="H1216" t="str">
        <f>"CJM201712058180"</f>
        <v>CJM201712058180</v>
      </c>
      <c r="I1216" t="str">
        <f>"1248728810120679CV LISA M FISH"</f>
        <v>1248728810120679CV LISA M FISH</v>
      </c>
    </row>
    <row r="1217" spans="1:9" x14ac:dyDescent="0.25">
      <c r="E1217" s="7"/>
      <c r="F1217" t="s">
        <v>20</v>
      </c>
      <c r="G1217" t="s">
        <v>21</v>
      </c>
      <c r="H1217" t="str">
        <f>"CPS201712058180"</f>
        <v>CPS201712058180</v>
      </c>
      <c r="I1217" t="str">
        <f>"G MENDOZA 00123012032010EM5054"</f>
        <v>G MENDOZA 00123012032010EM5054</v>
      </c>
    </row>
    <row r="1218" spans="1:9" x14ac:dyDescent="0.25">
      <c r="E1218" s="7"/>
      <c r="F1218" t="s">
        <v>20</v>
      </c>
      <c r="G1218" t="s">
        <v>21</v>
      </c>
      <c r="H1218" t="str">
        <f>"CS 201712058180"</f>
        <v>CS 201712058180</v>
      </c>
      <c r="I1218" t="str">
        <f>"CAUSE#98EM504113 PEGGY RIVAS"</f>
        <v>CAUSE#98EM504113 PEGGY RIVAS</v>
      </c>
    </row>
    <row r="1219" spans="1:9" x14ac:dyDescent="0.25">
      <c r="E1219" s="7"/>
      <c r="F1219" t="s">
        <v>20</v>
      </c>
      <c r="G1219" t="s">
        <v>21</v>
      </c>
      <c r="H1219" t="str">
        <f>"CS1201712058180"</f>
        <v>CS1201712058180</v>
      </c>
      <c r="I1219" t="str">
        <f>"CAUSE# 10008CVW DEBRA ESQUEDA"</f>
        <v>CAUSE# 10008CVW DEBRA ESQUEDA</v>
      </c>
    </row>
    <row r="1220" spans="1:9" x14ac:dyDescent="0.25">
      <c r="E1220" s="7"/>
      <c r="F1220" t="s">
        <v>20</v>
      </c>
      <c r="G1220" t="s">
        <v>21</v>
      </c>
      <c r="H1220" t="str">
        <f>"CSJ201712058180"</f>
        <v>CSJ201712058180</v>
      </c>
      <c r="I1220" t="str">
        <f>"CAUSE# 0010185272 MARIANN GUTI"</f>
        <v>CAUSE# 0010185272 MARIANN GUTI</v>
      </c>
    </row>
    <row r="1221" spans="1:9" x14ac:dyDescent="0.25">
      <c r="E1221" s="7"/>
      <c r="F1221" t="s">
        <v>20</v>
      </c>
      <c r="G1221" t="s">
        <v>21</v>
      </c>
      <c r="H1221" t="str">
        <f>"CST201712058180"</f>
        <v>CST201712058180</v>
      </c>
      <c r="I1221" t="str">
        <f>"CAUSE #0009418917 SONIA PEREZ"</f>
        <v>CAUSE #0009418917 SONIA PEREZ</v>
      </c>
    </row>
    <row r="1222" spans="1:9" x14ac:dyDescent="0.25">
      <c r="A1222" s="6">
        <v>43074</v>
      </c>
      <c r="B1222" t="s">
        <v>26</v>
      </c>
      <c r="C1222">
        <v>56244</v>
      </c>
      <c r="D1222" t="s">
        <v>53</v>
      </c>
      <c r="E1222" s="7">
        <v>99.1</v>
      </c>
      <c r="F1222" t="s">
        <v>20</v>
      </c>
      <c r="G1222" t="s">
        <v>21</v>
      </c>
      <c r="H1222" t="str">
        <f>"MCO201712058180"</f>
        <v>MCO201712058180</v>
      </c>
      <c r="I1222" t="str">
        <f>"MONICA CORDOVA"</f>
        <v>MONICA CORDOVA</v>
      </c>
    </row>
    <row r="1223" spans="1:9" x14ac:dyDescent="0.25">
      <c r="A1223" s="6">
        <v>43074</v>
      </c>
      <c r="B1223" t="s">
        <v>26</v>
      </c>
      <c r="C1223">
        <v>56245</v>
      </c>
      <c r="D1223" t="s">
        <v>54</v>
      </c>
      <c r="E1223" s="7">
        <v>845.48</v>
      </c>
      <c r="F1223" t="s">
        <v>20</v>
      </c>
      <c r="G1223" t="s">
        <v>21</v>
      </c>
      <c r="H1223" t="str">
        <f>"457201712058180"</f>
        <v>457201712058180</v>
      </c>
      <c r="I1223" t="str">
        <f>"CASE # 180-60751 457B DEDUCT"</f>
        <v>CASE # 180-60751 457B DEDUCT</v>
      </c>
    </row>
    <row r="1224" spans="1:9" x14ac:dyDescent="0.25">
      <c r="A1224" s="6">
        <v>43074</v>
      </c>
      <c r="B1224" t="s">
        <v>26</v>
      </c>
      <c r="C1224">
        <v>56290</v>
      </c>
      <c r="D1224" t="s">
        <v>56</v>
      </c>
      <c r="E1224" s="7">
        <v>340</v>
      </c>
      <c r="F1224" t="s">
        <v>20</v>
      </c>
      <c r="G1224" t="s">
        <v>21</v>
      </c>
      <c r="H1224" t="str">
        <f>"162108"</f>
        <v>162108</v>
      </c>
      <c r="I1224" t="str">
        <f t="shared" ref="I1224:I1257" si="12">"GERALD LUBIANSKI ENTERPRISES"</f>
        <v>GERALD LUBIANSKI ENTERPRISES</v>
      </c>
    </row>
    <row r="1225" spans="1:9" x14ac:dyDescent="0.25">
      <c r="E1225" s="7"/>
      <c r="F1225" t="s">
        <v>20</v>
      </c>
      <c r="G1225" t="s">
        <v>21</v>
      </c>
      <c r="H1225" t="str">
        <f>"162133"</f>
        <v>162133</v>
      </c>
      <c r="I1225" t="str">
        <f t="shared" si="12"/>
        <v>GERALD LUBIANSKI ENTERPRISES</v>
      </c>
    </row>
    <row r="1226" spans="1:9" x14ac:dyDescent="0.25">
      <c r="E1226" s="7"/>
      <c r="F1226" t="s">
        <v>20</v>
      </c>
      <c r="G1226" t="s">
        <v>21</v>
      </c>
      <c r="H1226" t="str">
        <f>"162204"</f>
        <v>162204</v>
      </c>
      <c r="I1226" t="str">
        <f t="shared" si="12"/>
        <v>GERALD LUBIANSKI ENTERPRISES</v>
      </c>
    </row>
    <row r="1227" spans="1:9" x14ac:dyDescent="0.25">
      <c r="E1227" s="7"/>
      <c r="F1227" t="s">
        <v>20</v>
      </c>
      <c r="G1227" t="s">
        <v>21</v>
      </c>
      <c r="H1227" t="str">
        <f>"162225"</f>
        <v>162225</v>
      </c>
      <c r="I1227" t="str">
        <f t="shared" si="12"/>
        <v>GERALD LUBIANSKI ENTERPRISES</v>
      </c>
    </row>
    <row r="1228" spans="1:9" x14ac:dyDescent="0.25">
      <c r="E1228" s="7"/>
      <c r="F1228" t="s">
        <v>20</v>
      </c>
      <c r="G1228" t="s">
        <v>21</v>
      </c>
      <c r="H1228" t="str">
        <f>"162240"</f>
        <v>162240</v>
      </c>
      <c r="I1228" t="str">
        <f t="shared" si="12"/>
        <v>GERALD LUBIANSKI ENTERPRISES</v>
      </c>
    </row>
    <row r="1229" spans="1:9" x14ac:dyDescent="0.25">
      <c r="E1229" s="7"/>
      <c r="F1229" t="s">
        <v>20</v>
      </c>
      <c r="G1229" t="s">
        <v>21</v>
      </c>
      <c r="H1229" t="str">
        <f>"162250"</f>
        <v>162250</v>
      </c>
      <c r="I1229" t="str">
        <f t="shared" si="12"/>
        <v>GERALD LUBIANSKI ENTERPRISES</v>
      </c>
    </row>
    <row r="1230" spans="1:9" x14ac:dyDescent="0.25">
      <c r="E1230" s="7"/>
      <c r="F1230" t="s">
        <v>20</v>
      </c>
      <c r="G1230" t="s">
        <v>21</v>
      </c>
      <c r="H1230" t="str">
        <f>"162282"</f>
        <v>162282</v>
      </c>
      <c r="I1230" t="str">
        <f t="shared" si="12"/>
        <v>GERALD LUBIANSKI ENTERPRISES</v>
      </c>
    </row>
    <row r="1231" spans="1:9" x14ac:dyDescent="0.25">
      <c r="E1231" s="7"/>
      <c r="F1231" t="s">
        <v>20</v>
      </c>
      <c r="G1231" t="s">
        <v>21</v>
      </c>
      <c r="H1231" t="str">
        <f>"162368"</f>
        <v>162368</v>
      </c>
      <c r="I1231" t="str">
        <f t="shared" si="12"/>
        <v>GERALD LUBIANSKI ENTERPRISES</v>
      </c>
    </row>
    <row r="1232" spans="1:9" x14ac:dyDescent="0.25">
      <c r="E1232" s="7"/>
      <c r="F1232" t="s">
        <v>20</v>
      </c>
      <c r="G1232" t="s">
        <v>21</v>
      </c>
      <c r="H1232" t="str">
        <f>"162376"</f>
        <v>162376</v>
      </c>
      <c r="I1232" t="str">
        <f t="shared" si="12"/>
        <v>GERALD LUBIANSKI ENTERPRISES</v>
      </c>
    </row>
    <row r="1233" spans="5:9" x14ac:dyDescent="0.25">
      <c r="E1233" s="7"/>
      <c r="F1233" t="s">
        <v>20</v>
      </c>
      <c r="G1233" t="s">
        <v>21</v>
      </c>
      <c r="H1233" t="str">
        <f>"162390"</f>
        <v>162390</v>
      </c>
      <c r="I1233" t="str">
        <f t="shared" si="12"/>
        <v>GERALD LUBIANSKI ENTERPRISES</v>
      </c>
    </row>
    <row r="1234" spans="5:9" x14ac:dyDescent="0.25">
      <c r="E1234" s="7"/>
      <c r="F1234" t="s">
        <v>20</v>
      </c>
      <c r="G1234" t="s">
        <v>21</v>
      </c>
      <c r="H1234" t="str">
        <f>"162397"</f>
        <v>162397</v>
      </c>
      <c r="I1234" t="str">
        <f t="shared" si="12"/>
        <v>GERALD LUBIANSKI ENTERPRISES</v>
      </c>
    </row>
    <row r="1235" spans="5:9" x14ac:dyDescent="0.25">
      <c r="E1235" s="7"/>
      <c r="F1235" t="s">
        <v>20</v>
      </c>
      <c r="G1235" t="s">
        <v>21</v>
      </c>
      <c r="H1235" t="str">
        <f>"162413"</f>
        <v>162413</v>
      </c>
      <c r="I1235" t="str">
        <f t="shared" si="12"/>
        <v>GERALD LUBIANSKI ENTERPRISES</v>
      </c>
    </row>
    <row r="1236" spans="5:9" x14ac:dyDescent="0.25">
      <c r="E1236" s="7"/>
      <c r="F1236" t="s">
        <v>20</v>
      </c>
      <c r="G1236" t="s">
        <v>21</v>
      </c>
      <c r="H1236" t="str">
        <f>"162439"</f>
        <v>162439</v>
      </c>
      <c r="I1236" t="str">
        <f t="shared" si="12"/>
        <v>GERALD LUBIANSKI ENTERPRISES</v>
      </c>
    </row>
    <row r="1237" spans="5:9" x14ac:dyDescent="0.25">
      <c r="E1237" s="7"/>
      <c r="F1237" t="s">
        <v>20</v>
      </c>
      <c r="G1237" t="s">
        <v>21</v>
      </c>
      <c r="H1237" t="str">
        <f>"162456"</f>
        <v>162456</v>
      </c>
      <c r="I1237" t="str">
        <f t="shared" si="12"/>
        <v>GERALD LUBIANSKI ENTERPRISES</v>
      </c>
    </row>
    <row r="1238" spans="5:9" x14ac:dyDescent="0.25">
      <c r="E1238" s="7"/>
      <c r="F1238" t="s">
        <v>20</v>
      </c>
      <c r="G1238" t="s">
        <v>21</v>
      </c>
      <c r="H1238" t="str">
        <f>"162501"</f>
        <v>162501</v>
      </c>
      <c r="I1238" t="str">
        <f t="shared" si="12"/>
        <v>GERALD LUBIANSKI ENTERPRISES</v>
      </c>
    </row>
    <row r="1239" spans="5:9" x14ac:dyDescent="0.25">
      <c r="E1239" s="7"/>
      <c r="F1239" t="s">
        <v>20</v>
      </c>
      <c r="G1239" t="s">
        <v>21</v>
      </c>
      <c r="H1239" t="str">
        <f>"162525"</f>
        <v>162525</v>
      </c>
      <c r="I1239" t="str">
        <f t="shared" si="12"/>
        <v>GERALD LUBIANSKI ENTERPRISES</v>
      </c>
    </row>
    <row r="1240" spans="5:9" x14ac:dyDescent="0.25">
      <c r="E1240" s="7"/>
      <c r="F1240" t="s">
        <v>20</v>
      </c>
      <c r="G1240" t="s">
        <v>21</v>
      </c>
      <c r="H1240" t="str">
        <f>"162536"</f>
        <v>162536</v>
      </c>
      <c r="I1240" t="str">
        <f t="shared" si="12"/>
        <v>GERALD LUBIANSKI ENTERPRISES</v>
      </c>
    </row>
    <row r="1241" spans="5:9" x14ac:dyDescent="0.25">
      <c r="E1241" s="7"/>
      <c r="F1241" t="s">
        <v>20</v>
      </c>
      <c r="G1241" t="s">
        <v>21</v>
      </c>
      <c r="H1241" t="str">
        <f>"162565"</f>
        <v>162565</v>
      </c>
      <c r="I1241" t="str">
        <f t="shared" si="12"/>
        <v>GERALD LUBIANSKI ENTERPRISES</v>
      </c>
    </row>
    <row r="1242" spans="5:9" x14ac:dyDescent="0.25">
      <c r="E1242" s="7"/>
      <c r="F1242" t="s">
        <v>20</v>
      </c>
      <c r="G1242" t="s">
        <v>21</v>
      </c>
      <c r="H1242" t="str">
        <f>"162612"</f>
        <v>162612</v>
      </c>
      <c r="I1242" t="str">
        <f t="shared" si="12"/>
        <v>GERALD LUBIANSKI ENTERPRISES</v>
      </c>
    </row>
    <row r="1243" spans="5:9" x14ac:dyDescent="0.25">
      <c r="E1243" s="7"/>
      <c r="F1243" t="s">
        <v>20</v>
      </c>
      <c r="G1243" t="s">
        <v>21</v>
      </c>
      <c r="H1243" t="str">
        <f>"162620"</f>
        <v>162620</v>
      </c>
      <c r="I1243" t="str">
        <f t="shared" si="12"/>
        <v>GERALD LUBIANSKI ENTERPRISES</v>
      </c>
    </row>
    <row r="1244" spans="5:9" x14ac:dyDescent="0.25">
      <c r="E1244" s="7"/>
      <c r="F1244" t="s">
        <v>20</v>
      </c>
      <c r="G1244" t="s">
        <v>21</v>
      </c>
      <c r="H1244" t="str">
        <f>"162661"</f>
        <v>162661</v>
      </c>
      <c r="I1244" t="str">
        <f t="shared" si="12"/>
        <v>GERALD LUBIANSKI ENTERPRISES</v>
      </c>
    </row>
    <row r="1245" spans="5:9" x14ac:dyDescent="0.25">
      <c r="E1245" s="7"/>
      <c r="F1245" t="s">
        <v>20</v>
      </c>
      <c r="G1245" t="s">
        <v>21</v>
      </c>
      <c r="H1245" t="str">
        <f>"162691"</f>
        <v>162691</v>
      </c>
      <c r="I1245" t="str">
        <f t="shared" si="12"/>
        <v>GERALD LUBIANSKI ENTERPRISES</v>
      </c>
    </row>
    <row r="1246" spans="5:9" x14ac:dyDescent="0.25">
      <c r="E1246" s="7"/>
      <c r="F1246" t="s">
        <v>20</v>
      </c>
      <c r="G1246" t="s">
        <v>21</v>
      </c>
      <c r="H1246" t="str">
        <f>"162704"</f>
        <v>162704</v>
      </c>
      <c r="I1246" t="str">
        <f t="shared" si="12"/>
        <v>GERALD LUBIANSKI ENTERPRISES</v>
      </c>
    </row>
    <row r="1247" spans="5:9" x14ac:dyDescent="0.25">
      <c r="E1247" s="7"/>
      <c r="F1247" t="s">
        <v>20</v>
      </c>
      <c r="G1247" t="s">
        <v>21</v>
      </c>
      <c r="H1247" t="str">
        <f>"162741"</f>
        <v>162741</v>
      </c>
      <c r="I1247" t="str">
        <f t="shared" si="12"/>
        <v>GERALD LUBIANSKI ENTERPRISES</v>
      </c>
    </row>
    <row r="1248" spans="5:9" x14ac:dyDescent="0.25">
      <c r="E1248" s="7"/>
      <c r="F1248" t="s">
        <v>20</v>
      </c>
      <c r="G1248" t="s">
        <v>21</v>
      </c>
      <c r="H1248" t="str">
        <f>"162789"</f>
        <v>162789</v>
      </c>
      <c r="I1248" t="str">
        <f t="shared" si="12"/>
        <v>GERALD LUBIANSKI ENTERPRISES</v>
      </c>
    </row>
    <row r="1249" spans="1:9" x14ac:dyDescent="0.25">
      <c r="E1249" s="7"/>
      <c r="F1249" t="s">
        <v>20</v>
      </c>
      <c r="G1249" t="s">
        <v>21</v>
      </c>
      <c r="H1249" t="str">
        <f>"162844"</f>
        <v>162844</v>
      </c>
      <c r="I1249" t="str">
        <f t="shared" si="12"/>
        <v>GERALD LUBIANSKI ENTERPRISES</v>
      </c>
    </row>
    <row r="1250" spans="1:9" x14ac:dyDescent="0.25">
      <c r="E1250" s="7"/>
      <c r="F1250" t="s">
        <v>20</v>
      </c>
      <c r="G1250" t="s">
        <v>21</v>
      </c>
      <c r="H1250" t="str">
        <f>"162861"</f>
        <v>162861</v>
      </c>
      <c r="I1250" t="str">
        <f t="shared" si="12"/>
        <v>GERALD LUBIANSKI ENTERPRISES</v>
      </c>
    </row>
    <row r="1251" spans="1:9" x14ac:dyDescent="0.25">
      <c r="E1251" s="7"/>
      <c r="F1251" t="s">
        <v>20</v>
      </c>
      <c r="G1251" t="s">
        <v>21</v>
      </c>
      <c r="H1251" t="str">
        <f>"162894"</f>
        <v>162894</v>
      </c>
      <c r="I1251" t="str">
        <f t="shared" si="12"/>
        <v>GERALD LUBIANSKI ENTERPRISES</v>
      </c>
    </row>
    <row r="1252" spans="1:9" x14ac:dyDescent="0.25">
      <c r="E1252" s="7"/>
      <c r="F1252" t="s">
        <v>20</v>
      </c>
      <c r="G1252" t="s">
        <v>21</v>
      </c>
      <c r="H1252" t="str">
        <f>"163010"</f>
        <v>163010</v>
      </c>
      <c r="I1252" t="str">
        <f t="shared" si="12"/>
        <v>GERALD LUBIANSKI ENTERPRISES</v>
      </c>
    </row>
    <row r="1253" spans="1:9" x14ac:dyDescent="0.25">
      <c r="E1253" s="7"/>
      <c r="F1253" t="s">
        <v>20</v>
      </c>
      <c r="G1253" t="s">
        <v>21</v>
      </c>
      <c r="H1253" t="str">
        <f>"163014"</f>
        <v>163014</v>
      </c>
      <c r="I1253" t="str">
        <f t="shared" si="12"/>
        <v>GERALD LUBIANSKI ENTERPRISES</v>
      </c>
    </row>
    <row r="1254" spans="1:9" x14ac:dyDescent="0.25">
      <c r="E1254" s="7"/>
      <c r="F1254" t="s">
        <v>20</v>
      </c>
      <c r="G1254" t="s">
        <v>21</v>
      </c>
      <c r="H1254" t="str">
        <f>"163051"</f>
        <v>163051</v>
      </c>
      <c r="I1254" t="str">
        <f t="shared" si="12"/>
        <v>GERALD LUBIANSKI ENTERPRISES</v>
      </c>
    </row>
    <row r="1255" spans="1:9" x14ac:dyDescent="0.25">
      <c r="E1255" s="7"/>
      <c r="F1255" t="s">
        <v>20</v>
      </c>
      <c r="G1255" t="s">
        <v>21</v>
      </c>
      <c r="H1255" t="str">
        <f>"163072"</f>
        <v>163072</v>
      </c>
      <c r="I1255" t="str">
        <f t="shared" si="12"/>
        <v>GERALD LUBIANSKI ENTERPRISES</v>
      </c>
    </row>
    <row r="1256" spans="1:9" x14ac:dyDescent="0.25">
      <c r="E1256" s="7"/>
      <c r="F1256" t="s">
        <v>20</v>
      </c>
      <c r="G1256" t="s">
        <v>21</v>
      </c>
      <c r="H1256" t="str">
        <f>"163110"</f>
        <v>163110</v>
      </c>
      <c r="I1256" t="str">
        <f t="shared" si="12"/>
        <v>GERALD LUBIANSKI ENTERPRISES</v>
      </c>
    </row>
    <row r="1257" spans="1:9" x14ac:dyDescent="0.25">
      <c r="E1257" s="7"/>
      <c r="F1257" t="s">
        <v>20</v>
      </c>
      <c r="G1257" t="s">
        <v>21</v>
      </c>
      <c r="H1257" t="str">
        <f>"163117"</f>
        <v>163117</v>
      </c>
      <c r="I1257" t="str">
        <f t="shared" si="12"/>
        <v>GERALD LUBIANSKI ENTERPRISES</v>
      </c>
    </row>
    <row r="1258" spans="1:9" x14ac:dyDescent="0.25">
      <c r="A1258" s="6">
        <v>43074</v>
      </c>
      <c r="B1258" t="s">
        <v>26</v>
      </c>
      <c r="C1258">
        <v>56296</v>
      </c>
      <c r="D1258" t="s">
        <v>143</v>
      </c>
      <c r="E1258" s="7">
        <v>358.74</v>
      </c>
      <c r="F1258" t="s">
        <v>20</v>
      </c>
      <c r="G1258" t="s">
        <v>21</v>
      </c>
      <c r="H1258" t="str">
        <f>"9401752414"</f>
        <v>9401752414</v>
      </c>
      <c r="I1258" t="str">
        <f>"ERGON ASPHALT AND EMULSIONS  I"</f>
        <v>ERGON ASPHALT AND EMULSIONS  I</v>
      </c>
    </row>
    <row r="1259" spans="1:9" x14ac:dyDescent="0.25">
      <c r="A1259" s="6">
        <v>43074</v>
      </c>
      <c r="B1259" t="s">
        <v>26</v>
      </c>
      <c r="C1259">
        <v>56297</v>
      </c>
      <c r="D1259" t="s">
        <v>165</v>
      </c>
      <c r="E1259" s="7">
        <v>191.28</v>
      </c>
      <c r="F1259" t="s">
        <v>20</v>
      </c>
      <c r="G1259" t="s">
        <v>21</v>
      </c>
      <c r="H1259" t="str">
        <f>"11.16.17"</f>
        <v>11.16.17</v>
      </c>
      <c r="I1259" t="str">
        <f>"WAL-MART BUSINESS/SYNCB"</f>
        <v>WAL-MART BUSINESS/SYNCB</v>
      </c>
    </row>
    <row r="1260" spans="1:9" x14ac:dyDescent="0.25">
      <c r="A1260" s="6">
        <v>43074</v>
      </c>
      <c r="B1260" t="s">
        <v>26</v>
      </c>
      <c r="C1260">
        <v>56298</v>
      </c>
      <c r="D1260" t="s">
        <v>201</v>
      </c>
      <c r="E1260" s="7">
        <v>633.99</v>
      </c>
      <c r="F1260" t="s">
        <v>20</v>
      </c>
      <c r="G1260" t="s">
        <v>21</v>
      </c>
      <c r="H1260" t="str">
        <f>"141477"</f>
        <v>141477</v>
      </c>
      <c r="I1260" t="str">
        <f>"WILSON COUNTY HARDWARE"</f>
        <v>WILSON COUNTY HARDWARE</v>
      </c>
    </row>
    <row r="1261" spans="1:9" x14ac:dyDescent="0.25">
      <c r="E1261" s="7"/>
      <c r="F1261" t="s">
        <v>20</v>
      </c>
      <c r="G1261" t="s">
        <v>21</v>
      </c>
      <c r="H1261" t="str">
        <f>"141479"</f>
        <v>141479</v>
      </c>
      <c r="I1261" t="str">
        <f>"WILSON COUNTY HARDWARE"</f>
        <v>WILSON COUNTY HARDWARE</v>
      </c>
    </row>
    <row r="1262" spans="1:9" x14ac:dyDescent="0.25">
      <c r="E1262" s="7"/>
      <c r="F1262" t="s">
        <v>20</v>
      </c>
      <c r="G1262" t="s">
        <v>21</v>
      </c>
      <c r="H1262" t="str">
        <f>"201712058184"</f>
        <v>201712058184</v>
      </c>
      <c r="I1262" t="str">
        <f>"WILSON COUNTY HARDWARE"</f>
        <v>WILSON COUNTY HARDWARE</v>
      </c>
    </row>
    <row r="1263" spans="1:9" x14ac:dyDescent="0.25">
      <c r="A1263" s="6">
        <v>43074</v>
      </c>
      <c r="B1263" t="s">
        <v>26</v>
      </c>
      <c r="C1263">
        <v>56299</v>
      </c>
      <c r="D1263" t="s">
        <v>59</v>
      </c>
      <c r="E1263" s="7">
        <v>17889.05</v>
      </c>
      <c r="F1263" t="s">
        <v>20</v>
      </c>
      <c r="G1263" t="s">
        <v>21</v>
      </c>
      <c r="H1263" t="str">
        <f>"0903302-1"</f>
        <v>0903302-1</v>
      </c>
      <c r="I1263" t="str">
        <f>"FERGUSON WATERWORKS - MUNICIPA"</f>
        <v>FERGUSON WATERWORKS - MUNICIPA</v>
      </c>
    </row>
    <row r="1264" spans="1:9" x14ac:dyDescent="0.25">
      <c r="E1264" s="7"/>
      <c r="F1264" t="s">
        <v>20</v>
      </c>
      <c r="G1264" t="s">
        <v>21</v>
      </c>
      <c r="H1264" t="str">
        <f>"0905707"</f>
        <v>0905707</v>
      </c>
      <c r="I1264" t="str">
        <f>"FERGUSON WATERWORKS - MUNICIPA"</f>
        <v>FERGUSON WATERWORKS - MUNICIPA</v>
      </c>
    </row>
    <row r="1265" spans="1:9" x14ac:dyDescent="0.25">
      <c r="A1265" s="6">
        <v>43074</v>
      </c>
      <c r="B1265" t="s">
        <v>26</v>
      </c>
      <c r="C1265">
        <v>56300</v>
      </c>
      <c r="D1265" t="s">
        <v>202</v>
      </c>
      <c r="E1265" s="7">
        <v>265.56</v>
      </c>
      <c r="F1265" t="s">
        <v>20</v>
      </c>
      <c r="G1265" t="s">
        <v>21</v>
      </c>
      <c r="H1265" t="str">
        <f>"61647686"</f>
        <v>61647686</v>
      </c>
      <c r="I1265" t="str">
        <f>"VULCAN CONSTRUCTION MATERIALS"</f>
        <v>VULCAN CONSTRUCTION MATERIALS</v>
      </c>
    </row>
    <row r="1266" spans="1:9" x14ac:dyDescent="0.25">
      <c r="A1266" s="6">
        <v>43074</v>
      </c>
      <c r="B1266" t="s">
        <v>26</v>
      </c>
      <c r="C1266">
        <v>56301</v>
      </c>
      <c r="D1266" t="s">
        <v>180</v>
      </c>
      <c r="E1266" s="7">
        <v>82.66</v>
      </c>
      <c r="F1266" t="s">
        <v>20</v>
      </c>
      <c r="G1266" t="s">
        <v>21</v>
      </c>
      <c r="H1266" t="str">
        <f>"30120218"</f>
        <v>30120218</v>
      </c>
      <c r="I1266" t="str">
        <f>"DITTMAR LUMBER CO."</f>
        <v>DITTMAR LUMBER CO.</v>
      </c>
    </row>
    <row r="1267" spans="1:9" x14ac:dyDescent="0.25">
      <c r="E1267" s="7"/>
      <c r="F1267" t="s">
        <v>20</v>
      </c>
      <c r="G1267" t="s">
        <v>21</v>
      </c>
      <c r="H1267" t="str">
        <f>"30120292"</f>
        <v>30120292</v>
      </c>
      <c r="I1267" t="str">
        <f>"DITTMAR LUMBER CO."</f>
        <v>DITTMAR LUMBER CO.</v>
      </c>
    </row>
    <row r="1268" spans="1:9" x14ac:dyDescent="0.25">
      <c r="A1268" s="6">
        <v>43074</v>
      </c>
      <c r="B1268" t="s">
        <v>26</v>
      </c>
      <c r="C1268">
        <v>56302</v>
      </c>
      <c r="D1268" t="s">
        <v>203</v>
      </c>
      <c r="E1268" s="7">
        <v>1020.5</v>
      </c>
      <c r="F1268" t="s">
        <v>20</v>
      </c>
      <c r="G1268" t="s">
        <v>21</v>
      </c>
      <c r="H1268" t="str">
        <f>"402913"</f>
        <v>402913</v>
      </c>
      <c r="I1268" t="str">
        <f>"USA BLUEBOOK"</f>
        <v>USA BLUEBOOK</v>
      </c>
    </row>
    <row r="1269" spans="1:9" x14ac:dyDescent="0.25">
      <c r="E1269" s="7"/>
      <c r="F1269" t="s">
        <v>20</v>
      </c>
      <c r="G1269" t="s">
        <v>21</v>
      </c>
      <c r="H1269" t="str">
        <f>"418441"</f>
        <v>418441</v>
      </c>
      <c r="I1269" t="str">
        <f>"USA BLUEBOOK"</f>
        <v>USA BLUEBOOK</v>
      </c>
    </row>
    <row r="1270" spans="1:9" x14ac:dyDescent="0.25">
      <c r="A1270" s="6">
        <v>43074</v>
      </c>
      <c r="B1270" t="s">
        <v>26</v>
      </c>
      <c r="C1270">
        <v>56303</v>
      </c>
      <c r="D1270" t="s">
        <v>0</v>
      </c>
      <c r="E1270" s="7">
        <v>2587.19</v>
      </c>
      <c r="F1270" t="s">
        <v>20</v>
      </c>
      <c r="G1270" t="s">
        <v>21</v>
      </c>
      <c r="H1270" t="str">
        <f>"12.10.17"</f>
        <v>12.10.17</v>
      </c>
      <c r="I1270" t="str">
        <f>"CITY OF FLORESVILLE"</f>
        <v>CITY OF FLORESVILLE</v>
      </c>
    </row>
    <row r="1271" spans="1:9" x14ac:dyDescent="0.25">
      <c r="A1271" s="6">
        <v>43074</v>
      </c>
      <c r="B1271" t="s">
        <v>26</v>
      </c>
      <c r="C1271">
        <v>56304</v>
      </c>
      <c r="D1271" t="s">
        <v>184</v>
      </c>
      <c r="E1271" s="7">
        <v>694</v>
      </c>
      <c r="F1271" t="s">
        <v>20</v>
      </c>
      <c r="G1271" t="s">
        <v>21</v>
      </c>
      <c r="H1271" t="str">
        <f>"1047-968"</f>
        <v>1047-968</v>
      </c>
      <c r="I1271" t="str">
        <f>"POLLUTION CONTROL SERVICES"</f>
        <v>POLLUTION CONTROL SERVICES</v>
      </c>
    </row>
    <row r="1272" spans="1:9" x14ac:dyDescent="0.25">
      <c r="A1272" s="6">
        <v>43074</v>
      </c>
      <c r="B1272" t="s">
        <v>26</v>
      </c>
      <c r="C1272">
        <v>56305</v>
      </c>
      <c r="D1272" t="s">
        <v>62</v>
      </c>
      <c r="E1272" s="7">
        <v>10061.540000000001</v>
      </c>
      <c r="F1272" t="s">
        <v>20</v>
      </c>
      <c r="G1272" t="s">
        <v>21</v>
      </c>
      <c r="H1272" t="str">
        <f>"201712058183"</f>
        <v>201712058183</v>
      </c>
      <c r="I1272" t="str">
        <f>"SBS ADMINISTRATIVE SERVICES  L"</f>
        <v>SBS ADMINISTRATIVE SERVICES  L</v>
      </c>
    </row>
    <row r="1273" spans="1:9" x14ac:dyDescent="0.25">
      <c r="A1273" s="6">
        <v>43074</v>
      </c>
      <c r="B1273" t="s">
        <v>26</v>
      </c>
      <c r="C1273">
        <v>56306</v>
      </c>
      <c r="D1273" t="s">
        <v>204</v>
      </c>
      <c r="E1273" s="7">
        <v>270</v>
      </c>
      <c r="F1273" t="s">
        <v>20</v>
      </c>
      <c r="G1273" t="s">
        <v>21</v>
      </c>
      <c r="H1273" t="str">
        <f>"002945"</f>
        <v>002945</v>
      </c>
      <c r="I1273" t="str">
        <f>"PROCESS CONTROL CALIBRATION"</f>
        <v>PROCESS CONTROL CALIBRATION</v>
      </c>
    </row>
    <row r="1274" spans="1:9" x14ac:dyDescent="0.25">
      <c r="A1274" s="6">
        <v>43074</v>
      </c>
      <c r="B1274" t="s">
        <v>26</v>
      </c>
      <c r="C1274">
        <v>56307</v>
      </c>
      <c r="D1274" t="s">
        <v>66</v>
      </c>
      <c r="E1274" s="7">
        <v>150</v>
      </c>
      <c r="F1274" t="s">
        <v>20</v>
      </c>
      <c r="G1274" t="s">
        <v>21</v>
      </c>
      <c r="H1274" t="str">
        <f>"50634"</f>
        <v>50634</v>
      </c>
      <c r="I1274" t="str">
        <f>"LOPEZ EXTERMINATING SERVICE  I"</f>
        <v>LOPEZ EXTERMINATING SERVICE  I</v>
      </c>
    </row>
    <row r="1275" spans="1:9" x14ac:dyDescent="0.25">
      <c r="A1275" s="6">
        <v>43074</v>
      </c>
      <c r="B1275" t="s">
        <v>26</v>
      </c>
      <c r="C1275">
        <v>56308</v>
      </c>
      <c r="D1275" t="s">
        <v>68</v>
      </c>
      <c r="E1275" s="7">
        <v>1200</v>
      </c>
      <c r="F1275" t="s">
        <v>20</v>
      </c>
      <c r="G1275" t="s">
        <v>21</v>
      </c>
      <c r="H1275" t="str">
        <f>"0394574-IN"</f>
        <v>0394574-IN</v>
      </c>
      <c r="I1275" t="str">
        <f>"SOUTHWASTE DISPOSAL  LLP"</f>
        <v>SOUTHWASTE DISPOSAL  LLP</v>
      </c>
    </row>
    <row r="1276" spans="1:9" x14ac:dyDescent="0.25">
      <c r="E1276" s="7"/>
      <c r="F1276" t="s">
        <v>20</v>
      </c>
      <c r="G1276" t="s">
        <v>21</v>
      </c>
      <c r="H1276" t="str">
        <f>"0395688-IN"</f>
        <v>0395688-IN</v>
      </c>
      <c r="I1276" t="str">
        <f>"SOUTHWASTE DISPOSAL  LLP"</f>
        <v>SOUTHWASTE DISPOSAL  LLP</v>
      </c>
    </row>
    <row r="1277" spans="1:9" x14ac:dyDescent="0.25">
      <c r="E1277" s="7"/>
      <c r="F1277" t="s">
        <v>20</v>
      </c>
      <c r="G1277" t="s">
        <v>21</v>
      </c>
      <c r="H1277" t="str">
        <f>"0396550-IN"</f>
        <v>0396550-IN</v>
      </c>
      <c r="I1277" t="str">
        <f>"SOUTHWASTE DISPOSAL  LLP"</f>
        <v>SOUTHWASTE DISPOSAL  LLP</v>
      </c>
    </row>
    <row r="1278" spans="1:9" x14ac:dyDescent="0.25">
      <c r="E1278" s="7"/>
      <c r="F1278" t="s">
        <v>20</v>
      </c>
      <c r="G1278" t="s">
        <v>21</v>
      </c>
      <c r="H1278" t="str">
        <f>"0397430-IN"</f>
        <v>0397430-IN</v>
      </c>
      <c r="I1278" t="str">
        <f>"SOUTHWASTE DISPOSAL  LLP"</f>
        <v>SOUTHWASTE DISPOSAL  LLP</v>
      </c>
    </row>
    <row r="1279" spans="1:9" x14ac:dyDescent="0.25">
      <c r="E1279" s="7"/>
      <c r="F1279" t="s">
        <v>20</v>
      </c>
      <c r="G1279" t="s">
        <v>21</v>
      </c>
      <c r="H1279" t="str">
        <f>"0398419-IN"</f>
        <v>0398419-IN</v>
      </c>
      <c r="I1279" t="str">
        <f>"SOUTHWASTE DISPOSAL  LLP"</f>
        <v>SOUTHWASTE DISPOSAL  LLP</v>
      </c>
    </row>
    <row r="1280" spans="1:9" x14ac:dyDescent="0.25">
      <c r="A1280" s="6">
        <v>43074</v>
      </c>
      <c r="B1280" t="s">
        <v>26</v>
      </c>
      <c r="C1280">
        <v>56309</v>
      </c>
      <c r="D1280" t="s">
        <v>146</v>
      </c>
      <c r="E1280" s="7">
        <v>187.5</v>
      </c>
      <c r="F1280" t="s">
        <v>20</v>
      </c>
      <c r="G1280" t="s">
        <v>21</v>
      </c>
      <c r="H1280" t="str">
        <f>"250401"</f>
        <v>250401</v>
      </c>
      <c r="I1280" t="str">
        <f>"LARRY SRALLA ELECTRIC"</f>
        <v>LARRY SRALLA ELECTRIC</v>
      </c>
    </row>
    <row r="1281" spans="1:9" x14ac:dyDescent="0.25">
      <c r="E1281" s="7"/>
      <c r="F1281" t="s">
        <v>20</v>
      </c>
      <c r="G1281" t="s">
        <v>21</v>
      </c>
      <c r="H1281" t="str">
        <f>"250407"</f>
        <v>250407</v>
      </c>
      <c r="I1281" t="str">
        <f>"LARRY SRALLA ELECTRIC"</f>
        <v>LARRY SRALLA ELECTRIC</v>
      </c>
    </row>
    <row r="1282" spans="1:9" x14ac:dyDescent="0.25">
      <c r="A1282" s="6">
        <v>43074</v>
      </c>
      <c r="B1282" t="s">
        <v>26</v>
      </c>
      <c r="C1282">
        <v>56310</v>
      </c>
      <c r="D1282" t="s">
        <v>29</v>
      </c>
      <c r="E1282" s="7">
        <v>1057.5</v>
      </c>
      <c r="F1282" t="s">
        <v>20</v>
      </c>
      <c r="G1282" t="s">
        <v>21</v>
      </c>
      <c r="H1282" t="str">
        <f>"29260"</f>
        <v>29260</v>
      </c>
      <c r="I1282" t="str">
        <f>"M &amp; S ENGINEERING  LLC"</f>
        <v>M &amp; S ENGINEERING  LLC</v>
      </c>
    </row>
    <row r="1283" spans="1:9" x14ac:dyDescent="0.25">
      <c r="A1283" s="6">
        <v>43074</v>
      </c>
      <c r="B1283" t="s">
        <v>26</v>
      </c>
      <c r="C1283">
        <v>56311</v>
      </c>
      <c r="D1283" t="s">
        <v>205</v>
      </c>
      <c r="E1283" s="7">
        <v>948.05</v>
      </c>
      <c r="F1283" t="s">
        <v>20</v>
      </c>
      <c r="G1283" t="s">
        <v>21</v>
      </c>
      <c r="H1283" t="str">
        <f>"12.5.17"</f>
        <v>12.5.17</v>
      </c>
      <c r="I1283" t="str">
        <f>"SILVER EAGLE DISTRIBUTORS"</f>
        <v>SILVER EAGLE DISTRIBUTORS</v>
      </c>
    </row>
    <row r="1284" spans="1:9" x14ac:dyDescent="0.25">
      <c r="A1284" s="6">
        <v>43074</v>
      </c>
      <c r="B1284" t="s">
        <v>26</v>
      </c>
      <c r="C1284">
        <v>56312</v>
      </c>
      <c r="D1284" t="s">
        <v>123</v>
      </c>
      <c r="E1284" s="7">
        <v>214.15</v>
      </c>
      <c r="F1284" t="s">
        <v>20</v>
      </c>
      <c r="G1284" t="s">
        <v>21</v>
      </c>
      <c r="H1284" t="str">
        <f>"980923136001"</f>
        <v>980923136001</v>
      </c>
      <c r="I1284" t="str">
        <f>"OFFICE DEPOT  INC."</f>
        <v>OFFICE DEPOT  INC.</v>
      </c>
    </row>
    <row r="1285" spans="1:9" x14ac:dyDescent="0.25">
      <c r="E1285" s="7"/>
      <c r="F1285" t="s">
        <v>20</v>
      </c>
      <c r="G1285" t="s">
        <v>21</v>
      </c>
      <c r="H1285" t="str">
        <f>"980923137001"</f>
        <v>980923137001</v>
      </c>
      <c r="I1285" t="str">
        <f>"OFFICE DEPOT  INC."</f>
        <v>OFFICE DEPOT  INC.</v>
      </c>
    </row>
    <row r="1286" spans="1:9" x14ac:dyDescent="0.25">
      <c r="A1286" s="6">
        <v>43074</v>
      </c>
      <c r="B1286" t="s">
        <v>26</v>
      </c>
      <c r="C1286">
        <v>56313</v>
      </c>
      <c r="D1286" t="s">
        <v>75</v>
      </c>
      <c r="E1286" s="7">
        <v>127.97</v>
      </c>
      <c r="F1286" t="s">
        <v>20</v>
      </c>
      <c r="G1286" t="s">
        <v>21</v>
      </c>
      <c r="H1286" t="str">
        <f>"10.30.17"</f>
        <v>10.30.17</v>
      </c>
      <c r="I1286" t="str">
        <f>"TRACTOR SUPPLY CREDIT PLAN"</f>
        <v>TRACTOR SUPPLY CREDIT PLAN</v>
      </c>
    </row>
    <row r="1287" spans="1:9" x14ac:dyDescent="0.25">
      <c r="A1287" s="6">
        <v>43074</v>
      </c>
      <c r="B1287" t="s">
        <v>26</v>
      </c>
      <c r="C1287">
        <v>56314</v>
      </c>
      <c r="D1287" t="s">
        <v>77</v>
      </c>
      <c r="E1287" s="7">
        <v>1200.8</v>
      </c>
      <c r="F1287" t="s">
        <v>20</v>
      </c>
      <c r="G1287" t="s">
        <v>21</v>
      </c>
      <c r="H1287" t="str">
        <f>"857002316-17"</f>
        <v>857002316-17</v>
      </c>
      <c r="I1287" t="str">
        <f>"DPC INDUSTRIES  INC."</f>
        <v>DPC INDUSTRIES  INC.</v>
      </c>
    </row>
    <row r="1288" spans="1:9" x14ac:dyDescent="0.25">
      <c r="E1288" s="7"/>
      <c r="F1288" t="s">
        <v>20</v>
      </c>
      <c r="G1288" t="s">
        <v>21</v>
      </c>
      <c r="H1288" t="str">
        <f>"DE85002514-17"</f>
        <v>DE85002514-17</v>
      </c>
      <c r="I1288" t="str">
        <f>"DPC INDUSTRIES  INC."</f>
        <v>DPC INDUSTRIES  INC.</v>
      </c>
    </row>
    <row r="1289" spans="1:9" x14ac:dyDescent="0.25">
      <c r="E1289" s="7"/>
      <c r="F1289" t="s">
        <v>20</v>
      </c>
      <c r="G1289" t="s">
        <v>21</v>
      </c>
      <c r="H1289" t="str">
        <f>"DE85002748-17"</f>
        <v>DE85002748-17</v>
      </c>
      <c r="I1289" t="str">
        <f>"DPC INDUSTRIES  INC."</f>
        <v>DPC INDUSTRIES  INC.</v>
      </c>
    </row>
    <row r="1290" spans="1:9" x14ac:dyDescent="0.25">
      <c r="A1290" s="6">
        <v>43074</v>
      </c>
      <c r="B1290" t="s">
        <v>26</v>
      </c>
      <c r="C1290">
        <v>56315</v>
      </c>
      <c r="D1290" t="s">
        <v>124</v>
      </c>
      <c r="E1290" s="7">
        <v>99.71</v>
      </c>
      <c r="F1290" t="s">
        <v>20</v>
      </c>
      <c r="G1290" t="s">
        <v>21</v>
      </c>
      <c r="H1290" t="str">
        <f>"11150700"</f>
        <v>11150700</v>
      </c>
      <c r="I1290" t="str">
        <f>"MCCOY'S CORPORATION"</f>
        <v>MCCOY'S CORPORATION</v>
      </c>
    </row>
    <row r="1291" spans="1:9" x14ac:dyDescent="0.25">
      <c r="E1291" s="7"/>
      <c r="F1291" t="s">
        <v>20</v>
      </c>
      <c r="G1291" t="s">
        <v>21</v>
      </c>
      <c r="H1291" t="str">
        <f>"1150775"</f>
        <v>1150775</v>
      </c>
      <c r="I1291" t="str">
        <f>"MCCOY'S CORPORATION"</f>
        <v>MCCOY'S CORPORATION</v>
      </c>
    </row>
    <row r="1292" spans="1:9" x14ac:dyDescent="0.25">
      <c r="E1292" s="7"/>
      <c r="F1292" t="s">
        <v>20</v>
      </c>
      <c r="G1292" t="s">
        <v>21</v>
      </c>
      <c r="H1292" t="str">
        <f>"465158"</f>
        <v>465158</v>
      </c>
      <c r="I1292" t="str">
        <f>"MCCOY'S CORPORATION"</f>
        <v>MCCOY'S CORPORATION</v>
      </c>
    </row>
    <row r="1293" spans="1:9" x14ac:dyDescent="0.25">
      <c r="A1293" s="6">
        <v>43074</v>
      </c>
      <c r="B1293" t="s">
        <v>26</v>
      </c>
      <c r="C1293">
        <v>56316</v>
      </c>
      <c r="D1293" t="s">
        <v>157</v>
      </c>
      <c r="E1293" s="7">
        <v>248.4</v>
      </c>
      <c r="F1293" t="s">
        <v>20</v>
      </c>
      <c r="G1293" t="s">
        <v>21</v>
      </c>
      <c r="H1293" t="str">
        <f>"12.5.17"</f>
        <v>12.5.17</v>
      </c>
      <c r="I1293" t="str">
        <f>"GLAZIERS"</f>
        <v>GLAZIERS</v>
      </c>
    </row>
    <row r="1294" spans="1:9" x14ac:dyDescent="0.25">
      <c r="A1294" s="6">
        <v>43074</v>
      </c>
      <c r="B1294" t="s">
        <v>26</v>
      </c>
      <c r="C1294">
        <v>56317</v>
      </c>
      <c r="D1294" t="s">
        <v>206</v>
      </c>
      <c r="E1294" s="7">
        <v>700</v>
      </c>
      <c r="F1294" t="s">
        <v>20</v>
      </c>
      <c r="G1294" t="s">
        <v>21</v>
      </c>
      <c r="H1294" t="str">
        <f>"11126"</f>
        <v>11126</v>
      </c>
      <c r="I1294" t="str">
        <f>"ADVANCED WATER WELL TECHNOLOGI"</f>
        <v>ADVANCED WATER WELL TECHNOLOGI</v>
      </c>
    </row>
    <row r="1295" spans="1:9" x14ac:dyDescent="0.25">
      <c r="A1295" s="6">
        <v>43074</v>
      </c>
      <c r="B1295" t="s">
        <v>26</v>
      </c>
      <c r="C1295">
        <v>56318</v>
      </c>
      <c r="D1295" t="s">
        <v>207</v>
      </c>
      <c r="E1295" s="7">
        <v>782</v>
      </c>
      <c r="F1295" t="s">
        <v>20</v>
      </c>
      <c r="G1295" t="s">
        <v>21</v>
      </c>
      <c r="H1295" t="str">
        <f>"4609"</f>
        <v>4609</v>
      </c>
      <c r="I1295" t="str">
        <f>"MAD DESIGNS"</f>
        <v>MAD DESIGNS</v>
      </c>
    </row>
    <row r="1296" spans="1:9" x14ac:dyDescent="0.25">
      <c r="A1296" s="6">
        <v>43074</v>
      </c>
      <c r="B1296" t="s">
        <v>26</v>
      </c>
      <c r="C1296">
        <v>56319</v>
      </c>
      <c r="D1296" t="s">
        <v>31</v>
      </c>
      <c r="E1296" s="7">
        <v>2000</v>
      </c>
      <c r="F1296" t="s">
        <v>20</v>
      </c>
      <c r="G1296" t="s">
        <v>21</v>
      </c>
      <c r="H1296" t="str">
        <f>"2017174"</f>
        <v>2017174</v>
      </c>
      <c r="I1296" t="str">
        <f>"THE LAW OFFICE OF TOM CALDWELL"</f>
        <v>THE LAW OFFICE OF TOM CALDWELL</v>
      </c>
    </row>
    <row r="1297" spans="1:9" x14ac:dyDescent="0.25">
      <c r="A1297" s="6">
        <v>43074</v>
      </c>
      <c r="B1297" t="s">
        <v>26</v>
      </c>
      <c r="C1297">
        <v>56320</v>
      </c>
      <c r="D1297" t="s">
        <v>192</v>
      </c>
      <c r="E1297" s="7">
        <v>2312.83</v>
      </c>
      <c r="F1297" t="s">
        <v>20</v>
      </c>
      <c r="G1297" t="s">
        <v>21</v>
      </c>
      <c r="H1297" t="str">
        <f>"56914971"</f>
        <v>56914971</v>
      </c>
      <c r="I1297" t="str">
        <f>"DE LAGE LANDEN PUBLIC FINANCE"</f>
        <v>DE LAGE LANDEN PUBLIC FINANCE</v>
      </c>
    </row>
    <row r="1298" spans="1:9" x14ac:dyDescent="0.25">
      <c r="E1298" s="7"/>
      <c r="F1298" t="s">
        <v>20</v>
      </c>
      <c r="G1298" t="s">
        <v>21</v>
      </c>
      <c r="H1298" t="str">
        <f>"56915003"</f>
        <v>56915003</v>
      </c>
      <c r="I1298" t="str">
        <f>"DE LAGE LANDEN PUBLIC FINANCE"</f>
        <v>DE LAGE LANDEN PUBLIC FINANCE</v>
      </c>
    </row>
    <row r="1299" spans="1:9" x14ac:dyDescent="0.25">
      <c r="A1299" s="6">
        <v>43074</v>
      </c>
      <c r="B1299" t="s">
        <v>26</v>
      </c>
      <c r="C1299">
        <v>56321</v>
      </c>
      <c r="D1299" t="s">
        <v>83</v>
      </c>
      <c r="E1299" s="7">
        <v>918</v>
      </c>
      <c r="F1299" t="s">
        <v>20</v>
      </c>
      <c r="G1299" t="s">
        <v>21</v>
      </c>
      <c r="H1299" t="str">
        <f>"208494"</f>
        <v>208494</v>
      </c>
      <c r="I1299" t="str">
        <f>"APPRIVER"</f>
        <v>APPRIVER</v>
      </c>
    </row>
    <row r="1300" spans="1:9" x14ac:dyDescent="0.25">
      <c r="A1300" s="6">
        <v>43074</v>
      </c>
      <c r="B1300" t="s">
        <v>26</v>
      </c>
      <c r="C1300">
        <v>56322</v>
      </c>
      <c r="D1300" t="s">
        <v>140</v>
      </c>
      <c r="E1300" s="7">
        <v>2885</v>
      </c>
      <c r="F1300" t="s">
        <v>20</v>
      </c>
      <c r="G1300" t="s">
        <v>21</v>
      </c>
      <c r="H1300" t="str">
        <f>"1 SEC WORK PD"</f>
        <v>1 SEC WORK PD</v>
      </c>
      <c r="I1300" t="str">
        <f>"DEBRA J. DOCKERY"</f>
        <v>DEBRA J. DOCKERY</v>
      </c>
    </row>
    <row r="1301" spans="1:9" x14ac:dyDescent="0.25">
      <c r="A1301" s="6">
        <v>43074</v>
      </c>
      <c r="B1301" t="s">
        <v>26</v>
      </c>
      <c r="C1301">
        <v>56323</v>
      </c>
      <c r="D1301" t="s">
        <v>141</v>
      </c>
      <c r="E1301" s="7">
        <v>427.5</v>
      </c>
      <c r="F1301" t="s">
        <v>20</v>
      </c>
      <c r="G1301" t="s">
        <v>21</v>
      </c>
      <c r="H1301" t="str">
        <f>"10258"</f>
        <v>10258</v>
      </c>
      <c r="I1301" t="str">
        <f>"WESTON SIGNS LLC"</f>
        <v>WESTON SIGNS LLC</v>
      </c>
    </row>
    <row r="1302" spans="1:9" x14ac:dyDescent="0.25">
      <c r="A1302" s="6">
        <v>43074</v>
      </c>
      <c r="B1302" t="s">
        <v>26</v>
      </c>
      <c r="C1302">
        <v>56324</v>
      </c>
      <c r="D1302" t="s">
        <v>197</v>
      </c>
      <c r="E1302" s="7">
        <v>2844</v>
      </c>
      <c r="F1302" t="s">
        <v>20</v>
      </c>
      <c r="G1302" t="s">
        <v>21</v>
      </c>
      <c r="H1302" t="str">
        <f>"174501"</f>
        <v>174501</v>
      </c>
      <c r="I1302" t="str">
        <f>"WHOLESALE CHEMICAL COMPANY  IN"</f>
        <v>WHOLESALE CHEMICAL COMPANY  IN</v>
      </c>
    </row>
    <row r="1303" spans="1:9" x14ac:dyDescent="0.25">
      <c r="A1303" s="6">
        <v>43074</v>
      </c>
      <c r="B1303" t="s">
        <v>26</v>
      </c>
      <c r="C1303">
        <v>56325</v>
      </c>
      <c r="D1303" t="s">
        <v>208</v>
      </c>
      <c r="E1303" s="7">
        <v>12250</v>
      </c>
      <c r="F1303" t="s">
        <v>20</v>
      </c>
      <c r="G1303" t="s">
        <v>21</v>
      </c>
      <c r="H1303" t="str">
        <f>"697341"</f>
        <v>697341</v>
      </c>
      <c r="I1303" t="str">
        <f>"CARLOS ORTIZ"</f>
        <v>CARLOS ORTIZ</v>
      </c>
    </row>
    <row r="1304" spans="1:9" x14ac:dyDescent="0.25">
      <c r="A1304" s="6">
        <v>43074</v>
      </c>
      <c r="B1304" t="s">
        <v>26</v>
      </c>
      <c r="C1304">
        <v>56326</v>
      </c>
      <c r="D1304" t="s">
        <v>209</v>
      </c>
      <c r="E1304" s="7">
        <v>355</v>
      </c>
      <c r="F1304" t="s">
        <v>20</v>
      </c>
      <c r="G1304" t="s">
        <v>21</v>
      </c>
      <c r="H1304" t="str">
        <f>"400758456"</f>
        <v>400758456</v>
      </c>
      <c r="I1304" t="str">
        <f>"XYLEM DEWATERING SOLUTIONS  IN"</f>
        <v>XYLEM DEWATERING SOLUTIONS  IN</v>
      </c>
    </row>
    <row r="1305" spans="1:9" x14ac:dyDescent="0.25">
      <c r="A1305" s="6">
        <v>43074</v>
      </c>
      <c r="B1305" t="s">
        <v>26</v>
      </c>
      <c r="C1305">
        <v>56327</v>
      </c>
      <c r="D1305" t="s">
        <v>199</v>
      </c>
      <c r="E1305" s="7">
        <v>27.07</v>
      </c>
      <c r="F1305" t="s">
        <v>20</v>
      </c>
      <c r="G1305" t="s">
        <v>21</v>
      </c>
      <c r="H1305" t="str">
        <f>"201712058182"</f>
        <v>201712058182</v>
      </c>
      <c r="I1305" t="str">
        <f>"THE UPS STORE"</f>
        <v>THE UPS STORE</v>
      </c>
    </row>
    <row r="1306" spans="1:9" x14ac:dyDescent="0.25">
      <c r="A1306" s="6">
        <v>43076</v>
      </c>
      <c r="B1306" t="s">
        <v>26</v>
      </c>
      <c r="C1306">
        <v>56328</v>
      </c>
      <c r="D1306" t="s">
        <v>210</v>
      </c>
      <c r="E1306" s="7">
        <v>446.05</v>
      </c>
      <c r="F1306" t="s">
        <v>20</v>
      </c>
      <c r="G1306" t="s">
        <v>21</v>
      </c>
      <c r="H1306" t="str">
        <f>"HEALTH REFUND"</f>
        <v>HEALTH REFUND</v>
      </c>
      <c r="I1306" t="str">
        <f>"DAVID PEOPLES"</f>
        <v>DAVID PEOPLES</v>
      </c>
    </row>
    <row r="1307" spans="1:9" x14ac:dyDescent="0.25">
      <c r="A1307" s="6">
        <v>43082</v>
      </c>
      <c r="B1307" t="s">
        <v>26</v>
      </c>
      <c r="C1307">
        <v>56338</v>
      </c>
      <c r="D1307" t="s">
        <v>56</v>
      </c>
      <c r="E1307" s="7">
        <v>70</v>
      </c>
      <c r="F1307" t="s">
        <v>20</v>
      </c>
      <c r="G1307" t="s">
        <v>21</v>
      </c>
      <c r="H1307" t="str">
        <f>"163356"</f>
        <v>163356</v>
      </c>
      <c r="I1307" t="str">
        <f t="shared" ref="I1307:I1313" si="13">"GERALD LUBIANSKI ENTERPRISES"</f>
        <v>GERALD LUBIANSKI ENTERPRISES</v>
      </c>
    </row>
    <row r="1308" spans="1:9" x14ac:dyDescent="0.25">
      <c r="E1308" s="7"/>
      <c r="F1308" t="s">
        <v>20</v>
      </c>
      <c r="G1308" t="s">
        <v>21</v>
      </c>
      <c r="H1308" t="str">
        <f>"163367"</f>
        <v>163367</v>
      </c>
      <c r="I1308" t="str">
        <f t="shared" si="13"/>
        <v>GERALD LUBIANSKI ENTERPRISES</v>
      </c>
    </row>
    <row r="1309" spans="1:9" x14ac:dyDescent="0.25">
      <c r="E1309" s="7"/>
      <c r="F1309" t="s">
        <v>20</v>
      </c>
      <c r="G1309" t="s">
        <v>21</v>
      </c>
      <c r="H1309" t="str">
        <f>"163380"</f>
        <v>163380</v>
      </c>
      <c r="I1309" t="str">
        <f t="shared" si="13"/>
        <v>GERALD LUBIANSKI ENTERPRISES</v>
      </c>
    </row>
    <row r="1310" spans="1:9" x14ac:dyDescent="0.25">
      <c r="E1310" s="7"/>
      <c r="F1310" t="s">
        <v>20</v>
      </c>
      <c r="G1310" t="s">
        <v>21</v>
      </c>
      <c r="H1310" t="str">
        <f>"163391"</f>
        <v>163391</v>
      </c>
      <c r="I1310" t="str">
        <f t="shared" si="13"/>
        <v>GERALD LUBIANSKI ENTERPRISES</v>
      </c>
    </row>
    <row r="1311" spans="1:9" x14ac:dyDescent="0.25">
      <c r="E1311" s="7"/>
      <c r="F1311" t="s">
        <v>20</v>
      </c>
      <c r="G1311" t="s">
        <v>21</v>
      </c>
      <c r="H1311" t="str">
        <f>"163399"</f>
        <v>163399</v>
      </c>
      <c r="I1311" t="str">
        <f t="shared" si="13"/>
        <v>GERALD LUBIANSKI ENTERPRISES</v>
      </c>
    </row>
    <row r="1312" spans="1:9" x14ac:dyDescent="0.25">
      <c r="E1312" s="7"/>
      <c r="F1312" t="s">
        <v>20</v>
      </c>
      <c r="G1312" t="s">
        <v>21</v>
      </c>
      <c r="H1312" t="str">
        <f>"163406"</f>
        <v>163406</v>
      </c>
      <c r="I1312" t="str">
        <f t="shared" si="13"/>
        <v>GERALD LUBIANSKI ENTERPRISES</v>
      </c>
    </row>
    <row r="1313" spans="1:9" x14ac:dyDescent="0.25">
      <c r="E1313" s="7"/>
      <c r="F1313" t="s">
        <v>20</v>
      </c>
      <c r="G1313" t="s">
        <v>21</v>
      </c>
      <c r="H1313" t="str">
        <f>"16355"</f>
        <v>16355</v>
      </c>
      <c r="I1313" t="str">
        <f t="shared" si="13"/>
        <v>GERALD LUBIANSKI ENTERPRISES</v>
      </c>
    </row>
    <row r="1314" spans="1:9" x14ac:dyDescent="0.25">
      <c r="A1314" s="6">
        <v>43082</v>
      </c>
      <c r="B1314" t="s">
        <v>26</v>
      </c>
      <c r="C1314">
        <v>56340</v>
      </c>
      <c r="D1314" t="s">
        <v>57</v>
      </c>
      <c r="E1314" s="7">
        <v>7440.05</v>
      </c>
      <c r="F1314" t="s">
        <v>20</v>
      </c>
      <c r="G1314" t="s">
        <v>21</v>
      </c>
      <c r="H1314" t="str">
        <f>"12.01.17"</f>
        <v>12.01.17</v>
      </c>
      <c r="I1314" t="str">
        <f>"F.E.L.P.S."</f>
        <v>F.E.L.P.S.</v>
      </c>
    </row>
    <row r="1315" spans="1:9" x14ac:dyDescent="0.25">
      <c r="A1315" s="6">
        <v>43082</v>
      </c>
      <c r="B1315" t="s">
        <v>26</v>
      </c>
      <c r="C1315">
        <v>56341</v>
      </c>
      <c r="D1315" t="s">
        <v>58</v>
      </c>
      <c r="E1315" s="7">
        <v>650.21</v>
      </c>
      <c r="F1315" t="s">
        <v>20</v>
      </c>
      <c r="G1315" t="s">
        <v>21</v>
      </c>
      <c r="H1315" t="str">
        <f>"514012"</f>
        <v>514012</v>
      </c>
      <c r="I1315" t="str">
        <f t="shared" ref="I1315:I1323" si="14">"DEASON ANIMAL HOSPITAL"</f>
        <v>DEASON ANIMAL HOSPITAL</v>
      </c>
    </row>
    <row r="1316" spans="1:9" x14ac:dyDescent="0.25">
      <c r="E1316" s="7"/>
      <c r="F1316" t="s">
        <v>20</v>
      </c>
      <c r="G1316" t="s">
        <v>21</v>
      </c>
      <c r="H1316" t="str">
        <f>"514594"</f>
        <v>514594</v>
      </c>
      <c r="I1316" t="str">
        <f t="shared" si="14"/>
        <v>DEASON ANIMAL HOSPITAL</v>
      </c>
    </row>
    <row r="1317" spans="1:9" x14ac:dyDescent="0.25">
      <c r="E1317" s="7"/>
      <c r="F1317" t="s">
        <v>20</v>
      </c>
      <c r="G1317" t="s">
        <v>21</v>
      </c>
      <c r="H1317" t="str">
        <f>"514626"</f>
        <v>514626</v>
      </c>
      <c r="I1317" t="str">
        <f t="shared" si="14"/>
        <v>DEASON ANIMAL HOSPITAL</v>
      </c>
    </row>
    <row r="1318" spans="1:9" x14ac:dyDescent="0.25">
      <c r="E1318" s="7"/>
      <c r="F1318" t="s">
        <v>20</v>
      </c>
      <c r="G1318" t="s">
        <v>21</v>
      </c>
      <c r="H1318" t="str">
        <f>"514738"</f>
        <v>514738</v>
      </c>
      <c r="I1318" t="str">
        <f t="shared" si="14"/>
        <v>DEASON ANIMAL HOSPITAL</v>
      </c>
    </row>
    <row r="1319" spans="1:9" x14ac:dyDescent="0.25">
      <c r="E1319" s="7"/>
      <c r="F1319" t="s">
        <v>20</v>
      </c>
      <c r="G1319" t="s">
        <v>21</v>
      </c>
      <c r="H1319" t="str">
        <f>"515982"</f>
        <v>515982</v>
      </c>
      <c r="I1319" t="str">
        <f t="shared" si="14"/>
        <v>DEASON ANIMAL HOSPITAL</v>
      </c>
    </row>
    <row r="1320" spans="1:9" x14ac:dyDescent="0.25">
      <c r="E1320" s="7"/>
      <c r="F1320" t="s">
        <v>20</v>
      </c>
      <c r="G1320" t="s">
        <v>21</v>
      </c>
      <c r="H1320" t="str">
        <f>"516053"</f>
        <v>516053</v>
      </c>
      <c r="I1320" t="str">
        <f t="shared" si="14"/>
        <v>DEASON ANIMAL HOSPITAL</v>
      </c>
    </row>
    <row r="1321" spans="1:9" x14ac:dyDescent="0.25">
      <c r="E1321" s="7"/>
      <c r="F1321" t="s">
        <v>20</v>
      </c>
      <c r="G1321" t="s">
        <v>21</v>
      </c>
      <c r="H1321" t="str">
        <f>"516682"</f>
        <v>516682</v>
      </c>
      <c r="I1321" t="str">
        <f t="shared" si="14"/>
        <v>DEASON ANIMAL HOSPITAL</v>
      </c>
    </row>
    <row r="1322" spans="1:9" x14ac:dyDescent="0.25">
      <c r="E1322" s="7"/>
      <c r="F1322" t="s">
        <v>20</v>
      </c>
      <c r="G1322" t="s">
        <v>21</v>
      </c>
      <c r="H1322" t="str">
        <f>"516751"</f>
        <v>516751</v>
      </c>
      <c r="I1322" t="str">
        <f t="shared" si="14"/>
        <v>DEASON ANIMAL HOSPITAL</v>
      </c>
    </row>
    <row r="1323" spans="1:9" x14ac:dyDescent="0.25">
      <c r="E1323" s="7"/>
      <c r="F1323" t="s">
        <v>20</v>
      </c>
      <c r="G1323" t="s">
        <v>21</v>
      </c>
      <c r="H1323" t="str">
        <f>"EOM 11.17"</f>
        <v>EOM 11.17</v>
      </c>
      <c r="I1323" t="str">
        <f t="shared" si="14"/>
        <v>DEASON ANIMAL HOSPITAL</v>
      </c>
    </row>
    <row r="1324" spans="1:9" x14ac:dyDescent="0.25">
      <c r="A1324" s="6">
        <v>43082</v>
      </c>
      <c r="B1324" t="s">
        <v>26</v>
      </c>
      <c r="C1324">
        <v>56343</v>
      </c>
      <c r="D1324" t="s">
        <v>104</v>
      </c>
      <c r="E1324" s="7">
        <v>2119.19</v>
      </c>
      <c r="F1324" t="s">
        <v>20</v>
      </c>
      <c r="G1324" t="s">
        <v>21</v>
      </c>
      <c r="H1324" t="str">
        <f>"1261401108"</f>
        <v>1261401108</v>
      </c>
      <c r="I1324" t="str">
        <f t="shared" ref="I1324:I1340" si="15">"WILSON COUNTY NEWS"</f>
        <v>WILSON COUNTY NEWS</v>
      </c>
    </row>
    <row r="1325" spans="1:9" x14ac:dyDescent="0.25">
      <c r="E1325" s="7"/>
      <c r="F1325" t="s">
        <v>20</v>
      </c>
      <c r="G1325" t="s">
        <v>21</v>
      </c>
      <c r="H1325" t="str">
        <f>"1291791101"</f>
        <v>1291791101</v>
      </c>
      <c r="I1325" t="str">
        <f t="shared" si="15"/>
        <v>WILSON COUNTY NEWS</v>
      </c>
    </row>
    <row r="1326" spans="1:9" x14ac:dyDescent="0.25">
      <c r="E1326" s="7"/>
      <c r="F1326" t="s">
        <v>20</v>
      </c>
      <c r="G1326" t="s">
        <v>21</v>
      </c>
      <c r="H1326" t="str">
        <f>"1291811101"</f>
        <v>1291811101</v>
      </c>
      <c r="I1326" t="str">
        <f t="shared" si="15"/>
        <v>WILSON COUNTY NEWS</v>
      </c>
    </row>
    <row r="1327" spans="1:9" x14ac:dyDescent="0.25">
      <c r="E1327" s="7"/>
      <c r="F1327" t="s">
        <v>20</v>
      </c>
      <c r="G1327" t="s">
        <v>21</v>
      </c>
      <c r="H1327" t="str">
        <f>"1296121101"</f>
        <v>1296121101</v>
      </c>
      <c r="I1327" t="str">
        <f t="shared" si="15"/>
        <v>WILSON COUNTY NEWS</v>
      </c>
    </row>
    <row r="1328" spans="1:9" x14ac:dyDescent="0.25">
      <c r="E1328" s="7"/>
      <c r="F1328" t="s">
        <v>20</v>
      </c>
      <c r="G1328" t="s">
        <v>21</v>
      </c>
      <c r="H1328" t="str">
        <f>"1296121108"</f>
        <v>1296121108</v>
      </c>
      <c r="I1328" t="str">
        <f t="shared" si="15"/>
        <v>WILSON COUNTY NEWS</v>
      </c>
    </row>
    <row r="1329" spans="1:9" x14ac:dyDescent="0.25">
      <c r="E1329" s="7"/>
      <c r="F1329" t="s">
        <v>20</v>
      </c>
      <c r="G1329" t="s">
        <v>21</v>
      </c>
      <c r="H1329" t="str">
        <f>"1296171101"</f>
        <v>1296171101</v>
      </c>
      <c r="I1329" t="str">
        <f t="shared" si="15"/>
        <v>WILSON COUNTY NEWS</v>
      </c>
    </row>
    <row r="1330" spans="1:9" x14ac:dyDescent="0.25">
      <c r="E1330" s="7"/>
      <c r="F1330" t="s">
        <v>20</v>
      </c>
      <c r="G1330" t="s">
        <v>21</v>
      </c>
      <c r="H1330" t="str">
        <f>"1296831101"</f>
        <v>1296831101</v>
      </c>
      <c r="I1330" t="str">
        <f t="shared" si="15"/>
        <v>WILSON COUNTY NEWS</v>
      </c>
    </row>
    <row r="1331" spans="1:9" x14ac:dyDescent="0.25">
      <c r="E1331" s="7"/>
      <c r="F1331" t="s">
        <v>20</v>
      </c>
      <c r="G1331" t="s">
        <v>21</v>
      </c>
      <c r="H1331" t="str">
        <f>"1296831108"</f>
        <v>1296831108</v>
      </c>
      <c r="I1331" t="str">
        <f t="shared" si="15"/>
        <v>WILSON COUNTY NEWS</v>
      </c>
    </row>
    <row r="1332" spans="1:9" x14ac:dyDescent="0.25">
      <c r="E1332" s="7"/>
      <c r="F1332" t="s">
        <v>20</v>
      </c>
      <c r="G1332" t="s">
        <v>21</v>
      </c>
      <c r="H1332" t="str">
        <f>"1296831115"</f>
        <v>1296831115</v>
      </c>
      <c r="I1332" t="str">
        <f t="shared" si="15"/>
        <v>WILSON COUNTY NEWS</v>
      </c>
    </row>
    <row r="1333" spans="1:9" x14ac:dyDescent="0.25">
      <c r="E1333" s="7"/>
      <c r="F1333" t="s">
        <v>20</v>
      </c>
      <c r="G1333" t="s">
        <v>21</v>
      </c>
      <c r="H1333" t="str">
        <f>"1297291108"</f>
        <v>1297291108</v>
      </c>
      <c r="I1333" t="str">
        <f t="shared" si="15"/>
        <v>WILSON COUNTY NEWS</v>
      </c>
    </row>
    <row r="1334" spans="1:9" x14ac:dyDescent="0.25">
      <c r="E1334" s="7"/>
      <c r="F1334" t="s">
        <v>20</v>
      </c>
      <c r="G1334" t="s">
        <v>21</v>
      </c>
      <c r="H1334" t="str">
        <f>"1298201108"</f>
        <v>1298201108</v>
      </c>
      <c r="I1334" t="str">
        <f t="shared" si="15"/>
        <v>WILSON COUNTY NEWS</v>
      </c>
    </row>
    <row r="1335" spans="1:9" x14ac:dyDescent="0.25">
      <c r="E1335" s="7"/>
      <c r="F1335" t="s">
        <v>20</v>
      </c>
      <c r="G1335" t="s">
        <v>21</v>
      </c>
      <c r="H1335" t="str">
        <f>"1299351115"</f>
        <v>1299351115</v>
      </c>
      <c r="I1335" t="str">
        <f t="shared" si="15"/>
        <v>WILSON COUNTY NEWS</v>
      </c>
    </row>
    <row r="1336" spans="1:9" x14ac:dyDescent="0.25">
      <c r="E1336" s="7"/>
      <c r="F1336" t="s">
        <v>20</v>
      </c>
      <c r="G1336" t="s">
        <v>21</v>
      </c>
      <c r="H1336" t="str">
        <f>"1299351122"</f>
        <v>1299351122</v>
      </c>
      <c r="I1336" t="str">
        <f t="shared" si="15"/>
        <v>WILSON COUNTY NEWS</v>
      </c>
    </row>
    <row r="1337" spans="1:9" x14ac:dyDescent="0.25">
      <c r="E1337" s="7"/>
      <c r="F1337" t="s">
        <v>20</v>
      </c>
      <c r="G1337" t="s">
        <v>21</v>
      </c>
      <c r="H1337" t="str">
        <f>"1299431115"</f>
        <v>1299431115</v>
      </c>
      <c r="I1337" t="str">
        <f t="shared" si="15"/>
        <v>WILSON COUNTY NEWS</v>
      </c>
    </row>
    <row r="1338" spans="1:9" x14ac:dyDescent="0.25">
      <c r="E1338" s="7"/>
      <c r="F1338" t="s">
        <v>20</v>
      </c>
      <c r="G1338" t="s">
        <v>21</v>
      </c>
      <c r="H1338" t="str">
        <f>"1299741115"</f>
        <v>1299741115</v>
      </c>
      <c r="I1338" t="str">
        <f t="shared" si="15"/>
        <v>WILSON COUNTY NEWS</v>
      </c>
    </row>
    <row r="1339" spans="1:9" x14ac:dyDescent="0.25">
      <c r="E1339" s="7"/>
      <c r="F1339" t="s">
        <v>20</v>
      </c>
      <c r="G1339" t="s">
        <v>21</v>
      </c>
      <c r="H1339" t="str">
        <f>"1299911122"</f>
        <v>1299911122</v>
      </c>
      <c r="I1339" t="str">
        <f t="shared" si="15"/>
        <v>WILSON COUNTY NEWS</v>
      </c>
    </row>
    <row r="1340" spans="1:9" x14ac:dyDescent="0.25">
      <c r="E1340" s="7"/>
      <c r="F1340" t="s">
        <v>20</v>
      </c>
      <c r="G1340" t="s">
        <v>21</v>
      </c>
      <c r="H1340" t="str">
        <f>"1299911129"</f>
        <v>1299911129</v>
      </c>
      <c r="I1340" t="str">
        <f t="shared" si="15"/>
        <v>WILSON COUNTY NEWS</v>
      </c>
    </row>
    <row r="1341" spans="1:9" x14ac:dyDescent="0.25">
      <c r="A1341" s="6">
        <v>43082</v>
      </c>
      <c r="B1341" t="s">
        <v>26</v>
      </c>
      <c r="C1341">
        <v>56346</v>
      </c>
      <c r="D1341" t="s">
        <v>59</v>
      </c>
      <c r="E1341" s="7">
        <v>4855.04</v>
      </c>
      <c r="F1341" t="s">
        <v>20</v>
      </c>
      <c r="G1341" t="s">
        <v>21</v>
      </c>
      <c r="H1341" t="str">
        <f>"0912301"</f>
        <v>0912301</v>
      </c>
      <c r="I1341" t="str">
        <f t="shared" ref="I1341:I1347" si="16">"FERGUSON WATERWORKS - MUNICIPA"</f>
        <v>FERGUSON WATERWORKS - MUNICIPA</v>
      </c>
    </row>
    <row r="1342" spans="1:9" x14ac:dyDescent="0.25">
      <c r="E1342" s="7"/>
      <c r="F1342" t="s">
        <v>20</v>
      </c>
      <c r="G1342" t="s">
        <v>21</v>
      </c>
      <c r="H1342" t="str">
        <f>"0915729"</f>
        <v>0915729</v>
      </c>
      <c r="I1342" t="str">
        <f t="shared" si="16"/>
        <v>FERGUSON WATERWORKS - MUNICIPA</v>
      </c>
    </row>
    <row r="1343" spans="1:9" x14ac:dyDescent="0.25">
      <c r="E1343" s="7"/>
      <c r="F1343" t="s">
        <v>20</v>
      </c>
      <c r="G1343" t="s">
        <v>21</v>
      </c>
      <c r="H1343" t="str">
        <f>"0915729-1"</f>
        <v>0915729-1</v>
      </c>
      <c r="I1343" t="str">
        <f t="shared" si="16"/>
        <v>FERGUSON WATERWORKS - MUNICIPA</v>
      </c>
    </row>
    <row r="1344" spans="1:9" x14ac:dyDescent="0.25">
      <c r="E1344" s="7"/>
      <c r="F1344" t="s">
        <v>20</v>
      </c>
      <c r="G1344" t="s">
        <v>21</v>
      </c>
      <c r="H1344" t="str">
        <f>"0915729-2"</f>
        <v>0915729-2</v>
      </c>
      <c r="I1344" t="str">
        <f t="shared" si="16"/>
        <v>FERGUSON WATERWORKS - MUNICIPA</v>
      </c>
    </row>
    <row r="1345" spans="1:9" x14ac:dyDescent="0.25">
      <c r="E1345" s="7"/>
      <c r="F1345" t="s">
        <v>20</v>
      </c>
      <c r="G1345" t="s">
        <v>21</v>
      </c>
      <c r="H1345" t="str">
        <f>"0916597"</f>
        <v>0916597</v>
      </c>
      <c r="I1345" t="str">
        <f t="shared" si="16"/>
        <v>FERGUSON WATERWORKS - MUNICIPA</v>
      </c>
    </row>
    <row r="1346" spans="1:9" x14ac:dyDescent="0.25">
      <c r="E1346" s="7"/>
      <c r="F1346" t="s">
        <v>20</v>
      </c>
      <c r="G1346" t="s">
        <v>21</v>
      </c>
      <c r="H1346" t="str">
        <f>"0916624"</f>
        <v>0916624</v>
      </c>
      <c r="I1346" t="str">
        <f t="shared" si="16"/>
        <v>FERGUSON WATERWORKS - MUNICIPA</v>
      </c>
    </row>
    <row r="1347" spans="1:9" x14ac:dyDescent="0.25">
      <c r="E1347" s="7"/>
      <c r="F1347" t="s">
        <v>20</v>
      </c>
      <c r="G1347" t="s">
        <v>21</v>
      </c>
      <c r="H1347" t="str">
        <f>"0916957"</f>
        <v>0916957</v>
      </c>
      <c r="I1347" t="str">
        <f t="shared" si="16"/>
        <v>FERGUSON WATERWORKS - MUNICIPA</v>
      </c>
    </row>
    <row r="1348" spans="1:9" x14ac:dyDescent="0.25">
      <c r="A1348" s="6">
        <v>43082</v>
      </c>
      <c r="B1348" t="s">
        <v>26</v>
      </c>
      <c r="C1348">
        <v>56348</v>
      </c>
      <c r="D1348" t="s">
        <v>211</v>
      </c>
      <c r="E1348" s="7">
        <v>52.85</v>
      </c>
      <c r="F1348" t="s">
        <v>20</v>
      </c>
      <c r="G1348" t="s">
        <v>21</v>
      </c>
      <c r="H1348" t="str">
        <f>"201712128195"</f>
        <v>201712128195</v>
      </c>
      <c r="I1348" t="str">
        <f>"PAUL'S TROPHY &amp; ENGRAVING"</f>
        <v>PAUL'S TROPHY &amp; ENGRAVING</v>
      </c>
    </row>
    <row r="1349" spans="1:9" x14ac:dyDescent="0.25">
      <c r="A1349" s="6">
        <v>43082</v>
      </c>
      <c r="B1349" t="s">
        <v>26</v>
      </c>
      <c r="C1349">
        <v>56349</v>
      </c>
      <c r="D1349" t="s">
        <v>202</v>
      </c>
      <c r="E1349" s="7">
        <v>1216.8</v>
      </c>
      <c r="F1349" t="s">
        <v>20</v>
      </c>
      <c r="G1349" t="s">
        <v>21</v>
      </c>
      <c r="H1349" t="str">
        <f>"61665971"</f>
        <v>61665971</v>
      </c>
      <c r="I1349" t="str">
        <f>"VULCAN CONSTRUCTION MATERIALS"</f>
        <v>VULCAN CONSTRUCTION MATERIALS</v>
      </c>
    </row>
    <row r="1350" spans="1:9" x14ac:dyDescent="0.25">
      <c r="A1350" s="6">
        <v>43082</v>
      </c>
      <c r="B1350" t="s">
        <v>26</v>
      </c>
      <c r="C1350">
        <v>56350</v>
      </c>
      <c r="D1350" t="s">
        <v>62</v>
      </c>
      <c r="E1350" s="7">
        <v>153</v>
      </c>
      <c r="F1350" t="s">
        <v>20</v>
      </c>
      <c r="G1350" t="s">
        <v>21</v>
      </c>
      <c r="H1350" t="str">
        <f>"56976"</f>
        <v>56976</v>
      </c>
      <c r="I1350" t="str">
        <f>"SBS ADMINISTRATIVE SERVICES  L"</f>
        <v>SBS ADMINISTRATIVE SERVICES  L</v>
      </c>
    </row>
    <row r="1351" spans="1:9" x14ac:dyDescent="0.25">
      <c r="A1351" s="6">
        <v>43082</v>
      </c>
      <c r="B1351" t="s">
        <v>26</v>
      </c>
      <c r="C1351">
        <v>56351</v>
      </c>
      <c r="D1351" t="s">
        <v>212</v>
      </c>
      <c r="E1351" s="7">
        <v>600</v>
      </c>
      <c r="F1351" t="s">
        <v>20</v>
      </c>
      <c r="G1351" t="s">
        <v>21</v>
      </c>
      <c r="H1351" t="str">
        <f>"2018 DUES"</f>
        <v>2018 DUES</v>
      </c>
      <c r="I1351" t="str">
        <f>"AACOG"</f>
        <v>AACOG</v>
      </c>
    </row>
    <row r="1352" spans="1:9" x14ac:dyDescent="0.25">
      <c r="A1352" s="6">
        <v>43082</v>
      </c>
      <c r="B1352" t="s">
        <v>26</v>
      </c>
      <c r="C1352">
        <v>56352</v>
      </c>
      <c r="D1352" t="s">
        <v>115</v>
      </c>
      <c r="E1352" s="7">
        <v>229.19</v>
      </c>
      <c r="F1352" t="s">
        <v>20</v>
      </c>
      <c r="G1352" t="s">
        <v>21</v>
      </c>
      <c r="H1352" t="str">
        <f>"3547046364"</f>
        <v>3547046364</v>
      </c>
      <c r="I1352" t="str">
        <f>"AUTOZONE"</f>
        <v>AUTOZONE</v>
      </c>
    </row>
    <row r="1353" spans="1:9" x14ac:dyDescent="0.25">
      <c r="A1353" s="6">
        <v>43082</v>
      </c>
      <c r="B1353" t="s">
        <v>26</v>
      </c>
      <c r="C1353">
        <v>56353</v>
      </c>
      <c r="D1353" t="s">
        <v>63</v>
      </c>
      <c r="E1353" s="7">
        <v>382.01</v>
      </c>
      <c r="F1353" t="s">
        <v>20</v>
      </c>
      <c r="G1353" t="s">
        <v>21</v>
      </c>
      <c r="H1353" t="str">
        <f>"8403441358"</f>
        <v>8403441358</v>
      </c>
      <c r="I1353" t="str">
        <f>"CINTAS CORPORATION"</f>
        <v>CINTAS CORPORATION</v>
      </c>
    </row>
    <row r="1354" spans="1:9" x14ac:dyDescent="0.25">
      <c r="E1354" s="7"/>
      <c r="F1354" t="s">
        <v>20</v>
      </c>
      <c r="G1354" t="s">
        <v>21</v>
      </c>
      <c r="H1354" t="str">
        <f>"8403449425"</f>
        <v>8403449425</v>
      </c>
      <c r="I1354" t="str">
        <f>"CINTAS CORPORATION"</f>
        <v>CINTAS CORPORATION</v>
      </c>
    </row>
    <row r="1355" spans="1:9" x14ac:dyDescent="0.25">
      <c r="A1355" s="6">
        <v>43082</v>
      </c>
      <c r="B1355" t="s">
        <v>26</v>
      </c>
      <c r="C1355">
        <v>56354</v>
      </c>
      <c r="D1355" t="s">
        <v>64</v>
      </c>
      <c r="E1355" s="7">
        <v>5950</v>
      </c>
      <c r="F1355" t="s">
        <v>20</v>
      </c>
      <c r="G1355" t="s">
        <v>21</v>
      </c>
      <c r="H1355" t="str">
        <f>"7410"</f>
        <v>7410</v>
      </c>
      <c r="I1355" t="str">
        <f>"DREWA DESIGNS  INC."</f>
        <v>DREWA DESIGNS  INC.</v>
      </c>
    </row>
    <row r="1356" spans="1:9" x14ac:dyDescent="0.25">
      <c r="A1356" s="6">
        <v>43082</v>
      </c>
      <c r="B1356" t="s">
        <v>26</v>
      </c>
      <c r="C1356">
        <v>56355</v>
      </c>
      <c r="D1356" t="s">
        <v>213</v>
      </c>
      <c r="E1356" s="7">
        <v>150422.84</v>
      </c>
      <c r="F1356" t="s">
        <v>20</v>
      </c>
      <c r="G1356" t="s">
        <v>21</v>
      </c>
      <c r="H1356" t="str">
        <f>"12.11.17"</f>
        <v>12.11.17</v>
      </c>
      <c r="I1356" t="str">
        <f>"RIVER BEND COMMUNITY DEVELOPME"</f>
        <v>RIVER BEND COMMUNITY DEVELOPME</v>
      </c>
    </row>
    <row r="1357" spans="1:9" x14ac:dyDescent="0.25">
      <c r="A1357" s="6">
        <v>43082</v>
      </c>
      <c r="B1357" t="s">
        <v>26</v>
      </c>
      <c r="C1357">
        <v>56356</v>
      </c>
      <c r="D1357" t="s">
        <v>65</v>
      </c>
      <c r="E1357" s="7">
        <v>173.73</v>
      </c>
      <c r="F1357" t="s">
        <v>20</v>
      </c>
      <c r="G1357" t="s">
        <v>21</v>
      </c>
      <c r="H1357" t="str">
        <f>"HOLCOMBE/HILL"</f>
        <v>HOLCOMBE/HILL</v>
      </c>
      <c r="I1357" t="str">
        <f>"SAM'S CLUB/SYNCHRONY BANK"</f>
        <v>SAM'S CLUB/SYNCHRONY BANK</v>
      </c>
    </row>
    <row r="1358" spans="1:9" x14ac:dyDescent="0.25">
      <c r="A1358" s="6">
        <v>43082</v>
      </c>
      <c r="B1358" t="s">
        <v>26</v>
      </c>
      <c r="C1358">
        <v>56357</v>
      </c>
      <c r="D1358" t="s">
        <v>66</v>
      </c>
      <c r="E1358" s="7">
        <v>340</v>
      </c>
      <c r="F1358" t="s">
        <v>20</v>
      </c>
      <c r="G1358" t="s">
        <v>21</v>
      </c>
      <c r="H1358" t="str">
        <f>"51517"</f>
        <v>51517</v>
      </c>
      <c r="I1358" t="str">
        <f>"LOPEZ EXTERMINATING SERVICE  I"</f>
        <v>LOPEZ EXTERMINATING SERVICE  I</v>
      </c>
    </row>
    <row r="1359" spans="1:9" x14ac:dyDescent="0.25">
      <c r="A1359" s="6">
        <v>43082</v>
      </c>
      <c r="B1359" t="s">
        <v>26</v>
      </c>
      <c r="C1359">
        <v>56358</v>
      </c>
      <c r="D1359" t="s">
        <v>68</v>
      </c>
      <c r="E1359" s="7">
        <v>300</v>
      </c>
      <c r="F1359" t="s">
        <v>20</v>
      </c>
      <c r="G1359" t="s">
        <v>21</v>
      </c>
      <c r="H1359" t="str">
        <f>"0400053-IN"</f>
        <v>0400053-IN</v>
      </c>
      <c r="I1359" t="str">
        <f>"SOUTHWASTE DISPOSAL  LLP"</f>
        <v>SOUTHWASTE DISPOSAL  LLP</v>
      </c>
    </row>
    <row r="1360" spans="1:9" x14ac:dyDescent="0.25">
      <c r="A1360" s="6">
        <v>43082</v>
      </c>
      <c r="B1360" t="s">
        <v>26</v>
      </c>
      <c r="C1360">
        <v>56359</v>
      </c>
      <c r="D1360" t="s">
        <v>214</v>
      </c>
      <c r="E1360" s="7">
        <v>2081.5</v>
      </c>
      <c r="F1360" t="s">
        <v>20</v>
      </c>
      <c r="G1360" t="s">
        <v>21</v>
      </c>
      <c r="H1360" t="str">
        <f>"0012192-IN"</f>
        <v>0012192-IN</v>
      </c>
      <c r="I1360" t="str">
        <f>"DIXIE FLAG MANUFACTURING COMPA"</f>
        <v>DIXIE FLAG MANUFACTURING COMPA</v>
      </c>
    </row>
    <row r="1361" spans="1:9" x14ac:dyDescent="0.25">
      <c r="A1361" s="6">
        <v>43082</v>
      </c>
      <c r="B1361" t="s">
        <v>26</v>
      </c>
      <c r="C1361">
        <v>56360</v>
      </c>
      <c r="D1361" t="s">
        <v>70</v>
      </c>
      <c r="E1361" s="7">
        <v>72.95</v>
      </c>
      <c r="F1361" t="s">
        <v>20</v>
      </c>
      <c r="G1361" t="s">
        <v>21</v>
      </c>
      <c r="H1361" t="str">
        <f>"A958606"</f>
        <v>A958606</v>
      </c>
      <c r="I1361" t="str">
        <f>"TEXAS WIRED MUSIC  INC."</f>
        <v>TEXAS WIRED MUSIC  INC.</v>
      </c>
    </row>
    <row r="1362" spans="1:9" x14ac:dyDescent="0.25">
      <c r="A1362" s="6">
        <v>43082</v>
      </c>
      <c r="B1362" t="s">
        <v>26</v>
      </c>
      <c r="C1362">
        <v>56361</v>
      </c>
      <c r="D1362" t="s">
        <v>71</v>
      </c>
      <c r="E1362" s="7">
        <v>1271.6400000000001</v>
      </c>
      <c r="F1362" t="s">
        <v>20</v>
      </c>
      <c r="G1362" t="s">
        <v>21</v>
      </c>
      <c r="H1362" t="str">
        <f>"087754209"</f>
        <v>087754209</v>
      </c>
      <c r="I1362" t="str">
        <f t="shared" ref="I1362:I1368" si="17">"CINTAS CORPORATION #087"</f>
        <v>CINTAS CORPORATION #087</v>
      </c>
    </row>
    <row r="1363" spans="1:9" x14ac:dyDescent="0.25">
      <c r="E1363" s="7"/>
      <c r="F1363" t="s">
        <v>20</v>
      </c>
      <c r="G1363" t="s">
        <v>21</v>
      </c>
      <c r="H1363" t="str">
        <f>"087763106"</f>
        <v>087763106</v>
      </c>
      <c r="I1363" t="str">
        <f t="shared" si="17"/>
        <v>CINTAS CORPORATION #087</v>
      </c>
    </row>
    <row r="1364" spans="1:9" x14ac:dyDescent="0.25">
      <c r="E1364" s="7"/>
      <c r="F1364" t="s">
        <v>20</v>
      </c>
      <c r="G1364" t="s">
        <v>21</v>
      </c>
      <c r="H1364" t="str">
        <f>"087767375"</f>
        <v>087767375</v>
      </c>
      <c r="I1364" t="str">
        <f t="shared" si="17"/>
        <v>CINTAS CORPORATION #087</v>
      </c>
    </row>
    <row r="1365" spans="1:9" x14ac:dyDescent="0.25">
      <c r="E1365" s="7"/>
      <c r="F1365" t="s">
        <v>20</v>
      </c>
      <c r="G1365" t="s">
        <v>21</v>
      </c>
      <c r="H1365" t="str">
        <f>"087775847"</f>
        <v>087775847</v>
      </c>
      <c r="I1365" t="str">
        <f t="shared" si="17"/>
        <v>CINTAS CORPORATION #087</v>
      </c>
    </row>
    <row r="1366" spans="1:9" x14ac:dyDescent="0.25">
      <c r="E1366" s="7"/>
      <c r="F1366" t="s">
        <v>20</v>
      </c>
      <c r="G1366" t="s">
        <v>21</v>
      </c>
      <c r="H1366" t="str">
        <f>"087780050"</f>
        <v>087780050</v>
      </c>
      <c r="I1366" t="str">
        <f t="shared" si="17"/>
        <v>CINTAS CORPORATION #087</v>
      </c>
    </row>
    <row r="1367" spans="1:9" x14ac:dyDescent="0.25">
      <c r="E1367" s="7"/>
      <c r="F1367" t="s">
        <v>20</v>
      </c>
      <c r="G1367" t="s">
        <v>21</v>
      </c>
      <c r="H1367" t="str">
        <f>"087780051"</f>
        <v>087780051</v>
      </c>
      <c r="I1367" t="str">
        <f t="shared" si="17"/>
        <v>CINTAS CORPORATION #087</v>
      </c>
    </row>
    <row r="1368" spans="1:9" x14ac:dyDescent="0.25">
      <c r="E1368" s="7"/>
      <c r="F1368" t="s">
        <v>20</v>
      </c>
      <c r="G1368" t="s">
        <v>21</v>
      </c>
      <c r="H1368" t="str">
        <f>"087788410"</f>
        <v>087788410</v>
      </c>
      <c r="I1368" t="str">
        <f t="shared" si="17"/>
        <v>CINTAS CORPORATION #087</v>
      </c>
    </row>
    <row r="1369" spans="1:9" x14ac:dyDescent="0.25">
      <c r="A1369" s="6">
        <v>43082</v>
      </c>
      <c r="B1369" t="s">
        <v>26</v>
      </c>
      <c r="C1369">
        <v>56363</v>
      </c>
      <c r="D1369" t="s">
        <v>74</v>
      </c>
      <c r="E1369" s="7">
        <v>3883.02</v>
      </c>
      <c r="F1369" t="s">
        <v>20</v>
      </c>
      <c r="G1369" t="s">
        <v>21</v>
      </c>
      <c r="H1369" t="str">
        <f>"9796885174"</f>
        <v>9796885174</v>
      </c>
      <c r="I1369" t="str">
        <f>"VERIZON WIRELESS"</f>
        <v>VERIZON WIRELESS</v>
      </c>
    </row>
    <row r="1370" spans="1:9" x14ac:dyDescent="0.25">
      <c r="E1370" s="7"/>
      <c r="F1370" t="s">
        <v>20</v>
      </c>
      <c r="G1370" t="s">
        <v>21</v>
      </c>
      <c r="H1370" t="str">
        <f>"9796885175"</f>
        <v>9796885175</v>
      </c>
      <c r="I1370" t="str">
        <f>"VERIZON WIRELESS"</f>
        <v>VERIZON WIRELESS</v>
      </c>
    </row>
    <row r="1371" spans="1:9" x14ac:dyDescent="0.25">
      <c r="A1371" s="6">
        <v>43082</v>
      </c>
      <c r="B1371" t="s">
        <v>26</v>
      </c>
      <c r="C1371">
        <v>56365</v>
      </c>
      <c r="D1371" t="s">
        <v>170</v>
      </c>
      <c r="E1371" s="7">
        <v>360</v>
      </c>
      <c r="F1371" t="s">
        <v>20</v>
      </c>
      <c r="G1371" t="s">
        <v>21</v>
      </c>
      <c r="H1371" t="str">
        <f>"28927"</f>
        <v>28927</v>
      </c>
      <c r="I1371" t="str">
        <f>"BARRETT &amp; SONS  INC."</f>
        <v>BARRETT &amp; SONS  INC.</v>
      </c>
    </row>
    <row r="1372" spans="1:9" x14ac:dyDescent="0.25">
      <c r="A1372" s="6">
        <v>43082</v>
      </c>
      <c r="B1372" t="s">
        <v>26</v>
      </c>
      <c r="C1372">
        <v>56366</v>
      </c>
      <c r="D1372" t="s">
        <v>30</v>
      </c>
      <c r="E1372" s="7">
        <v>276.8</v>
      </c>
      <c r="F1372" t="s">
        <v>20</v>
      </c>
      <c r="G1372" t="s">
        <v>21</v>
      </c>
      <c r="H1372" t="str">
        <f>"2017-20"</f>
        <v>2017-20</v>
      </c>
      <c r="I1372" t="str">
        <f>"MARIA GONZALES"</f>
        <v>MARIA GONZALES</v>
      </c>
    </row>
    <row r="1373" spans="1:9" x14ac:dyDescent="0.25">
      <c r="A1373" s="6">
        <v>43082</v>
      </c>
      <c r="B1373" t="s">
        <v>26</v>
      </c>
      <c r="C1373">
        <v>56367</v>
      </c>
      <c r="D1373" t="s">
        <v>215</v>
      </c>
      <c r="E1373" s="7">
        <v>87.68</v>
      </c>
      <c r="F1373" t="s">
        <v>20</v>
      </c>
      <c r="G1373" t="s">
        <v>21</v>
      </c>
      <c r="H1373" t="str">
        <f>"519037"</f>
        <v>519037</v>
      </c>
      <c r="I1373" t="str">
        <f>"ODESSA PUMPS &amp; EQUIPMENT"</f>
        <v>ODESSA PUMPS &amp; EQUIPMENT</v>
      </c>
    </row>
    <row r="1374" spans="1:9" x14ac:dyDescent="0.25">
      <c r="A1374" s="6">
        <v>43082</v>
      </c>
      <c r="B1374" t="s">
        <v>26</v>
      </c>
      <c r="C1374">
        <v>56368</v>
      </c>
      <c r="D1374" t="s">
        <v>123</v>
      </c>
      <c r="E1374" s="7">
        <v>457.57</v>
      </c>
      <c r="F1374" t="s">
        <v>20</v>
      </c>
      <c r="G1374" t="s">
        <v>21</v>
      </c>
      <c r="H1374" t="str">
        <f>"979033363001"</f>
        <v>979033363001</v>
      </c>
      <c r="I1374" t="str">
        <f>"OFFICE DEPOT  INC."</f>
        <v>OFFICE DEPOT  INC.</v>
      </c>
    </row>
    <row r="1375" spans="1:9" x14ac:dyDescent="0.25">
      <c r="E1375" s="7"/>
      <c r="F1375" t="s">
        <v>20</v>
      </c>
      <c r="G1375" t="s">
        <v>21</v>
      </c>
      <c r="H1375" t="str">
        <f>"979034628001"</f>
        <v>979034628001</v>
      </c>
      <c r="I1375" t="str">
        <f>"OFFICE DEPOT  INC."</f>
        <v>OFFICE DEPOT  INC.</v>
      </c>
    </row>
    <row r="1376" spans="1:9" x14ac:dyDescent="0.25">
      <c r="E1376" s="7"/>
      <c r="F1376" t="s">
        <v>20</v>
      </c>
      <c r="G1376" t="s">
        <v>21</v>
      </c>
      <c r="H1376" t="str">
        <f>"985326271001"</f>
        <v>985326271001</v>
      </c>
      <c r="I1376" t="str">
        <f>"OFFICE DEPOT  INC."</f>
        <v>OFFICE DEPOT  INC.</v>
      </c>
    </row>
    <row r="1377" spans="1:9" x14ac:dyDescent="0.25">
      <c r="E1377" s="7"/>
      <c r="F1377" t="s">
        <v>20</v>
      </c>
      <c r="G1377" t="s">
        <v>21</v>
      </c>
      <c r="H1377" t="str">
        <f>"985329481001"</f>
        <v>985329481001</v>
      </c>
      <c r="I1377" t="str">
        <f>"OFFICE DEPOT  INC."</f>
        <v>OFFICE DEPOT  INC.</v>
      </c>
    </row>
    <row r="1378" spans="1:9" x14ac:dyDescent="0.25">
      <c r="A1378" s="6">
        <v>43082</v>
      </c>
      <c r="B1378" t="s">
        <v>26</v>
      </c>
      <c r="C1378">
        <v>56369</v>
      </c>
      <c r="D1378" t="s">
        <v>75</v>
      </c>
      <c r="E1378" s="7">
        <v>249.99</v>
      </c>
      <c r="F1378" t="s">
        <v>20</v>
      </c>
      <c r="G1378" t="s">
        <v>21</v>
      </c>
      <c r="H1378" t="str">
        <f>"11.29.17"</f>
        <v>11.29.17</v>
      </c>
      <c r="I1378" t="str">
        <f>"TRACTOR SUPPLY CREDIT PLAN"</f>
        <v>TRACTOR SUPPLY CREDIT PLAN</v>
      </c>
    </row>
    <row r="1379" spans="1:9" x14ac:dyDescent="0.25">
      <c r="A1379" s="6">
        <v>43082</v>
      </c>
      <c r="B1379" t="s">
        <v>26</v>
      </c>
      <c r="C1379">
        <v>56370</v>
      </c>
      <c r="D1379" t="s">
        <v>137</v>
      </c>
      <c r="E1379" s="7">
        <v>121.9</v>
      </c>
      <c r="F1379" t="s">
        <v>20</v>
      </c>
      <c r="G1379" t="s">
        <v>21</v>
      </c>
      <c r="H1379" t="str">
        <f>"1441804"</f>
        <v>1441804</v>
      </c>
      <c r="I1379" t="str">
        <f>"OMNIBUS-M  INC.D.B.A."</f>
        <v>OMNIBUS-M  INC.D.B.A.</v>
      </c>
    </row>
    <row r="1380" spans="1:9" x14ac:dyDescent="0.25">
      <c r="E1380" s="7"/>
      <c r="F1380" t="s">
        <v>20</v>
      </c>
      <c r="G1380" t="s">
        <v>21</v>
      </c>
      <c r="H1380" t="str">
        <f>"1441805"</f>
        <v>1441805</v>
      </c>
      <c r="I1380" t="str">
        <f>"OMNIBUS-M  INC.D.B.A."</f>
        <v>OMNIBUS-M  INC.D.B.A.</v>
      </c>
    </row>
    <row r="1381" spans="1:9" x14ac:dyDescent="0.25">
      <c r="A1381" s="6">
        <v>43082</v>
      </c>
      <c r="B1381" t="s">
        <v>26</v>
      </c>
      <c r="C1381">
        <v>56371</v>
      </c>
      <c r="D1381" t="s">
        <v>147</v>
      </c>
      <c r="E1381" s="7">
        <v>205</v>
      </c>
      <c r="F1381" t="s">
        <v>20</v>
      </c>
      <c r="G1381" t="s">
        <v>21</v>
      </c>
      <c r="H1381" t="str">
        <f>"275"</f>
        <v>275</v>
      </c>
      <c r="I1381" t="str">
        <f>"SRALLA ELECTRIC"</f>
        <v>SRALLA ELECTRIC</v>
      </c>
    </row>
    <row r="1382" spans="1:9" x14ac:dyDescent="0.25">
      <c r="E1382" s="7"/>
      <c r="F1382" t="s">
        <v>20</v>
      </c>
      <c r="G1382" t="s">
        <v>21</v>
      </c>
      <c r="H1382" t="str">
        <f>"512"</f>
        <v>512</v>
      </c>
      <c r="I1382" t="str">
        <f>"SRALLA ELECTRIC"</f>
        <v>SRALLA ELECTRIC</v>
      </c>
    </row>
    <row r="1383" spans="1:9" x14ac:dyDescent="0.25">
      <c r="A1383" s="6">
        <v>43082</v>
      </c>
      <c r="B1383" t="s">
        <v>26</v>
      </c>
      <c r="C1383">
        <v>56372</v>
      </c>
      <c r="D1383" t="s">
        <v>79</v>
      </c>
      <c r="E1383" s="7">
        <v>7.44</v>
      </c>
      <c r="F1383" t="s">
        <v>20</v>
      </c>
      <c r="G1383" t="s">
        <v>21</v>
      </c>
      <c r="H1383" t="str">
        <f>"6-009-88069"</f>
        <v>6-009-88069</v>
      </c>
      <c r="I1383" t="str">
        <f>"FEDEX"</f>
        <v>FEDEX</v>
      </c>
    </row>
    <row r="1384" spans="1:9" x14ac:dyDescent="0.25">
      <c r="A1384" s="6">
        <v>43082</v>
      </c>
      <c r="B1384" t="s">
        <v>26</v>
      </c>
      <c r="C1384">
        <v>56373</v>
      </c>
      <c r="D1384" t="s">
        <v>206</v>
      </c>
      <c r="E1384" s="7">
        <v>38660</v>
      </c>
      <c r="F1384" t="s">
        <v>20</v>
      </c>
      <c r="G1384" t="s">
        <v>21</v>
      </c>
      <c r="H1384" t="str">
        <f>"11125"</f>
        <v>11125</v>
      </c>
      <c r="I1384" t="str">
        <f>"ADVANCED WATER WELL TECHNOLOGI"</f>
        <v>ADVANCED WATER WELL TECHNOLOGI</v>
      </c>
    </row>
    <row r="1385" spans="1:9" x14ac:dyDescent="0.25">
      <c r="E1385" s="7"/>
      <c r="F1385" t="s">
        <v>20</v>
      </c>
      <c r="G1385" t="s">
        <v>21</v>
      </c>
      <c r="H1385" t="str">
        <f>"11157"</f>
        <v>11157</v>
      </c>
      <c r="I1385" t="str">
        <f>"ADVANCED WATER WELL TECHNOLOGI"</f>
        <v>ADVANCED WATER WELL TECHNOLOGI</v>
      </c>
    </row>
    <row r="1386" spans="1:9" x14ac:dyDescent="0.25">
      <c r="A1386" s="6">
        <v>43082</v>
      </c>
      <c r="B1386" t="s">
        <v>26</v>
      </c>
      <c r="C1386">
        <v>56374</v>
      </c>
      <c r="D1386" t="s">
        <v>80</v>
      </c>
      <c r="E1386" s="7">
        <v>1776.91</v>
      </c>
      <c r="F1386" t="s">
        <v>20</v>
      </c>
      <c r="G1386" t="s">
        <v>21</v>
      </c>
      <c r="H1386" t="str">
        <f>"1648-20171201-1"</f>
        <v>1648-20171201-1</v>
      </c>
      <c r="I1386" t="str">
        <f>"LVWIFI.COM"</f>
        <v>LVWIFI.COM</v>
      </c>
    </row>
    <row r="1387" spans="1:9" x14ac:dyDescent="0.25">
      <c r="E1387" s="7"/>
      <c r="F1387" t="s">
        <v>20</v>
      </c>
      <c r="G1387" t="s">
        <v>21</v>
      </c>
      <c r="H1387" t="str">
        <f>"2313-20171201-1"</f>
        <v>2313-20171201-1</v>
      </c>
      <c r="I1387" t="str">
        <f>"LVWIFI.COM"</f>
        <v>LVWIFI.COM</v>
      </c>
    </row>
    <row r="1388" spans="1:9" x14ac:dyDescent="0.25">
      <c r="E1388" s="7"/>
      <c r="F1388" t="s">
        <v>20</v>
      </c>
      <c r="G1388" t="s">
        <v>21</v>
      </c>
      <c r="H1388" t="str">
        <f>"2314-20171201-1"</f>
        <v>2314-20171201-1</v>
      </c>
      <c r="I1388" t="str">
        <f>"LVWIFI.COM"</f>
        <v>LVWIFI.COM</v>
      </c>
    </row>
    <row r="1389" spans="1:9" x14ac:dyDescent="0.25">
      <c r="E1389" s="7"/>
      <c r="F1389" t="s">
        <v>20</v>
      </c>
      <c r="G1389" t="s">
        <v>21</v>
      </c>
      <c r="H1389" t="str">
        <f>"2478-20171201-1"</f>
        <v>2478-20171201-1</v>
      </c>
      <c r="I1389" t="str">
        <f>"LVWIFI.COM"</f>
        <v>LVWIFI.COM</v>
      </c>
    </row>
    <row r="1390" spans="1:9" x14ac:dyDescent="0.25">
      <c r="A1390" s="6">
        <v>43082</v>
      </c>
      <c r="B1390" t="s">
        <v>26</v>
      </c>
      <c r="C1390">
        <v>56375</v>
      </c>
      <c r="D1390" t="s">
        <v>139</v>
      </c>
      <c r="E1390" s="7">
        <v>65</v>
      </c>
      <c r="F1390" t="s">
        <v>20</v>
      </c>
      <c r="G1390" t="s">
        <v>21</v>
      </c>
      <c r="H1390" t="str">
        <f>"22756"</f>
        <v>22756</v>
      </c>
      <c r="I1390" t="str">
        <f>"ANGEL FIRE &amp; SAFETY"</f>
        <v>ANGEL FIRE &amp; SAFETY</v>
      </c>
    </row>
    <row r="1391" spans="1:9" x14ac:dyDescent="0.25">
      <c r="A1391" s="6">
        <v>43082</v>
      </c>
      <c r="B1391" t="s">
        <v>26</v>
      </c>
      <c r="C1391">
        <v>56376</v>
      </c>
      <c r="D1391" t="s">
        <v>128</v>
      </c>
      <c r="E1391" s="7">
        <v>48.99</v>
      </c>
      <c r="F1391" t="s">
        <v>20</v>
      </c>
      <c r="G1391" t="s">
        <v>21</v>
      </c>
      <c r="H1391" t="str">
        <f>"TRAVEL 12.8.17"</f>
        <v>TRAVEL 12.8.17</v>
      </c>
      <c r="I1391" t="str">
        <f>"HELEN S. MARTINEZ"</f>
        <v>HELEN S. MARTINEZ</v>
      </c>
    </row>
    <row r="1392" spans="1:9" x14ac:dyDescent="0.25">
      <c r="A1392" s="6">
        <v>43082</v>
      </c>
      <c r="B1392" t="s">
        <v>26</v>
      </c>
      <c r="C1392">
        <v>56377</v>
      </c>
      <c r="D1392" t="s">
        <v>32</v>
      </c>
      <c r="E1392" s="7">
        <v>210</v>
      </c>
      <c r="F1392" t="s">
        <v>20</v>
      </c>
      <c r="G1392" t="s">
        <v>21</v>
      </c>
      <c r="H1392" t="str">
        <f>"12.1 / 12.2"</f>
        <v>12.1 / 12.2</v>
      </c>
      <c r="I1392" t="str">
        <f>"SHARON KERRIGAN"</f>
        <v>SHARON KERRIGAN</v>
      </c>
    </row>
    <row r="1393" spans="1:9" x14ac:dyDescent="0.25">
      <c r="E1393" s="7"/>
      <c r="F1393" t="s">
        <v>20</v>
      </c>
      <c r="G1393" t="s">
        <v>21</v>
      </c>
      <c r="H1393" t="str">
        <f>"12.9.17"</f>
        <v>12.9.17</v>
      </c>
      <c r="I1393" t="str">
        <f>"SHARON KERRIGAN"</f>
        <v>SHARON KERRIGAN</v>
      </c>
    </row>
    <row r="1394" spans="1:9" x14ac:dyDescent="0.25">
      <c r="A1394" s="6">
        <v>43082</v>
      </c>
      <c r="B1394" t="s">
        <v>26</v>
      </c>
      <c r="C1394">
        <v>56378</v>
      </c>
      <c r="D1394" t="s">
        <v>33</v>
      </c>
      <c r="E1394" s="7">
        <v>210</v>
      </c>
      <c r="F1394" t="s">
        <v>20</v>
      </c>
      <c r="G1394" t="s">
        <v>21</v>
      </c>
      <c r="H1394" t="str">
        <f>"12.1 / 12.2"</f>
        <v>12.1 / 12.2</v>
      </c>
      <c r="I1394" t="str">
        <f>"DEBORAH KORCZYK"</f>
        <v>DEBORAH KORCZYK</v>
      </c>
    </row>
    <row r="1395" spans="1:9" x14ac:dyDescent="0.25">
      <c r="E1395" s="7"/>
      <c r="F1395" t="s">
        <v>20</v>
      </c>
      <c r="G1395" t="s">
        <v>21</v>
      </c>
      <c r="H1395" t="str">
        <f>"12.9.17"</f>
        <v>12.9.17</v>
      </c>
      <c r="I1395" t="str">
        <f>"DEBORAH KORCZYK"</f>
        <v>DEBORAH KORCZYK</v>
      </c>
    </row>
    <row r="1396" spans="1:9" x14ac:dyDescent="0.25">
      <c r="A1396" s="6">
        <v>43082</v>
      </c>
      <c r="B1396" t="s">
        <v>26</v>
      </c>
      <c r="C1396">
        <v>56379</v>
      </c>
      <c r="D1396" t="s">
        <v>131</v>
      </c>
      <c r="E1396" s="7">
        <v>141.99</v>
      </c>
      <c r="F1396" t="s">
        <v>20</v>
      </c>
      <c r="G1396" t="s">
        <v>21</v>
      </c>
      <c r="H1396" t="str">
        <f>"024570"</f>
        <v>024570</v>
      </c>
      <c r="I1396" t="str">
        <f>"R &amp; S TEXAS PARTS CO"</f>
        <v>R &amp; S TEXAS PARTS CO</v>
      </c>
    </row>
    <row r="1397" spans="1:9" x14ac:dyDescent="0.25">
      <c r="A1397" s="6">
        <v>43082</v>
      </c>
      <c r="B1397" t="s">
        <v>26</v>
      </c>
      <c r="C1397">
        <v>56380</v>
      </c>
      <c r="D1397" t="s">
        <v>216</v>
      </c>
      <c r="E1397" s="7">
        <v>66109.600000000006</v>
      </c>
      <c r="F1397" t="s">
        <v>20</v>
      </c>
      <c r="G1397" t="s">
        <v>21</v>
      </c>
      <c r="H1397" t="str">
        <f>"47290F"</f>
        <v>47290F</v>
      </c>
      <c r="I1397" t="str">
        <f>"SILSBEE FORD  INC."</f>
        <v>SILSBEE FORD  INC.</v>
      </c>
    </row>
    <row r="1398" spans="1:9" x14ac:dyDescent="0.25">
      <c r="E1398" s="7"/>
      <c r="F1398" t="s">
        <v>20</v>
      </c>
      <c r="G1398" t="s">
        <v>21</v>
      </c>
      <c r="H1398" t="str">
        <f>"47292F"</f>
        <v>47292F</v>
      </c>
      <c r="I1398" t="str">
        <f>"SILSBEE FORD  INC."</f>
        <v>SILSBEE FORD  INC.</v>
      </c>
    </row>
    <row r="1399" spans="1:9" x14ac:dyDescent="0.25">
      <c r="A1399" s="6">
        <v>43082</v>
      </c>
      <c r="B1399" t="s">
        <v>26</v>
      </c>
      <c r="C1399">
        <v>56381</v>
      </c>
      <c r="D1399" t="s">
        <v>84</v>
      </c>
      <c r="E1399" s="7">
        <v>318</v>
      </c>
      <c r="F1399" t="s">
        <v>20</v>
      </c>
      <c r="G1399" t="s">
        <v>21</v>
      </c>
      <c r="H1399" t="str">
        <f>"1249903"</f>
        <v>1249903</v>
      </c>
      <c r="I1399" t="str">
        <f>"STANTEC CONSULTING SERVICES IN"</f>
        <v>STANTEC CONSULTING SERVICES IN</v>
      </c>
    </row>
    <row r="1400" spans="1:9" x14ac:dyDescent="0.25">
      <c r="E1400" s="7"/>
      <c r="F1400" t="s">
        <v>20</v>
      </c>
      <c r="G1400" t="s">
        <v>21</v>
      </c>
      <c r="H1400" t="str">
        <f>"1280660"</f>
        <v>1280660</v>
      </c>
      <c r="I1400" t="str">
        <f>"STANTEC CONSULTING SERVICES IN"</f>
        <v>STANTEC CONSULTING SERVICES IN</v>
      </c>
    </row>
    <row r="1401" spans="1:9" x14ac:dyDescent="0.25">
      <c r="A1401" s="6">
        <v>43082</v>
      </c>
      <c r="B1401" t="s">
        <v>26</v>
      </c>
      <c r="C1401">
        <v>56382</v>
      </c>
      <c r="D1401" t="s">
        <v>85</v>
      </c>
      <c r="E1401" s="7">
        <v>913.3</v>
      </c>
      <c r="F1401" t="s">
        <v>20</v>
      </c>
      <c r="G1401" t="s">
        <v>21</v>
      </c>
      <c r="H1401" t="str">
        <f>"201712128188"</f>
        <v>201712128188</v>
      </c>
      <c r="I1401" t="str">
        <f t="shared" ref="I1401:I1407" si="18">"FRONTIER"</f>
        <v>FRONTIER</v>
      </c>
    </row>
    <row r="1402" spans="1:9" x14ac:dyDescent="0.25">
      <c r="E1402" s="7"/>
      <c r="F1402" t="s">
        <v>20</v>
      </c>
      <c r="G1402" t="s">
        <v>21</v>
      </c>
      <c r="H1402" t="str">
        <f>"201712128189"</f>
        <v>201712128189</v>
      </c>
      <c r="I1402" t="str">
        <f t="shared" si="18"/>
        <v>FRONTIER</v>
      </c>
    </row>
    <row r="1403" spans="1:9" x14ac:dyDescent="0.25">
      <c r="E1403" s="7"/>
      <c r="F1403" t="s">
        <v>20</v>
      </c>
      <c r="G1403" t="s">
        <v>21</v>
      </c>
      <c r="H1403" t="str">
        <f>"201712128190"</f>
        <v>201712128190</v>
      </c>
      <c r="I1403" t="str">
        <f t="shared" si="18"/>
        <v>FRONTIER</v>
      </c>
    </row>
    <row r="1404" spans="1:9" x14ac:dyDescent="0.25">
      <c r="E1404" s="7"/>
      <c r="F1404" t="s">
        <v>20</v>
      </c>
      <c r="G1404" t="s">
        <v>21</v>
      </c>
      <c r="H1404" t="str">
        <f>"201712128191"</f>
        <v>201712128191</v>
      </c>
      <c r="I1404" t="str">
        <f t="shared" si="18"/>
        <v>FRONTIER</v>
      </c>
    </row>
    <row r="1405" spans="1:9" x14ac:dyDescent="0.25">
      <c r="E1405" s="7"/>
      <c r="F1405" t="s">
        <v>20</v>
      </c>
      <c r="G1405" t="s">
        <v>21</v>
      </c>
      <c r="H1405" t="str">
        <f>"201712128192"</f>
        <v>201712128192</v>
      </c>
      <c r="I1405" t="str">
        <f t="shared" si="18"/>
        <v>FRONTIER</v>
      </c>
    </row>
    <row r="1406" spans="1:9" x14ac:dyDescent="0.25">
      <c r="E1406" s="7"/>
      <c r="F1406" t="s">
        <v>20</v>
      </c>
      <c r="G1406" t="s">
        <v>21</v>
      </c>
      <c r="H1406" t="str">
        <f>"201712128193"</f>
        <v>201712128193</v>
      </c>
      <c r="I1406" t="str">
        <f t="shared" si="18"/>
        <v>FRONTIER</v>
      </c>
    </row>
    <row r="1407" spans="1:9" x14ac:dyDescent="0.25">
      <c r="E1407" s="7"/>
      <c r="F1407" t="s">
        <v>20</v>
      </c>
      <c r="G1407" t="s">
        <v>21</v>
      </c>
      <c r="H1407" t="str">
        <f>"201712128194"</f>
        <v>201712128194</v>
      </c>
      <c r="I1407" t="str">
        <f t="shared" si="18"/>
        <v>FRONTIER</v>
      </c>
    </row>
    <row r="1408" spans="1:9" x14ac:dyDescent="0.25">
      <c r="A1408" s="6">
        <v>43082</v>
      </c>
      <c r="B1408" t="s">
        <v>26</v>
      </c>
      <c r="C1408">
        <v>56384</v>
      </c>
      <c r="D1408" t="s">
        <v>34</v>
      </c>
      <c r="E1408" s="7">
        <v>407.44</v>
      </c>
      <c r="F1408" t="s">
        <v>20</v>
      </c>
      <c r="G1408" t="s">
        <v>21</v>
      </c>
      <c r="H1408" t="str">
        <f>"11.27 / 12.8"</f>
        <v>11.27 / 12.8</v>
      </c>
      <c r="I1408" t="str">
        <f>"SHIRLEY UNDERWOOD"</f>
        <v>SHIRLEY UNDERWOOD</v>
      </c>
    </row>
    <row r="1409" spans="1:9" x14ac:dyDescent="0.25">
      <c r="E1409" s="7"/>
      <c r="F1409" t="s">
        <v>20</v>
      </c>
      <c r="G1409" t="s">
        <v>21</v>
      </c>
      <c r="H1409" t="str">
        <f>"11.27 / 12.8*"</f>
        <v>11.27 / 12.8*</v>
      </c>
      <c r="I1409" t="str">
        <f>"SHIRLEY UNDERWOOD"</f>
        <v>SHIRLEY UNDERWOOD</v>
      </c>
    </row>
    <row r="1410" spans="1:9" x14ac:dyDescent="0.25">
      <c r="A1410" s="6">
        <v>43082</v>
      </c>
      <c r="B1410" t="s">
        <v>26</v>
      </c>
      <c r="C1410">
        <v>56385</v>
      </c>
      <c r="D1410" t="s">
        <v>217</v>
      </c>
      <c r="E1410" s="7">
        <v>902</v>
      </c>
      <c r="F1410" t="s">
        <v>20</v>
      </c>
      <c r="G1410" t="s">
        <v>21</v>
      </c>
      <c r="H1410" t="str">
        <f>"AH0031648543"</f>
        <v>AH0031648543</v>
      </c>
      <c r="I1410" t="str">
        <f>"CHILDRENS HOSPITAL OF SAN ANTO"</f>
        <v>CHILDRENS HOSPITAL OF SAN ANTO</v>
      </c>
    </row>
    <row r="1411" spans="1:9" x14ac:dyDescent="0.25">
      <c r="A1411" s="6">
        <v>43082</v>
      </c>
      <c r="B1411" t="s">
        <v>26</v>
      </c>
      <c r="C1411">
        <v>56386</v>
      </c>
      <c r="D1411" t="s">
        <v>175</v>
      </c>
      <c r="E1411" s="7">
        <v>500</v>
      </c>
      <c r="F1411" t="s">
        <v>20</v>
      </c>
      <c r="G1411" t="s">
        <v>21</v>
      </c>
      <c r="H1411" t="str">
        <f>"151033"</f>
        <v>151033</v>
      </c>
      <c r="I1411" t="str">
        <f>"AMER TECHNOLOGY  INC."</f>
        <v>AMER TECHNOLOGY  INC.</v>
      </c>
    </row>
    <row r="1412" spans="1:9" x14ac:dyDescent="0.25">
      <c r="A1412" s="6">
        <v>43082</v>
      </c>
      <c r="B1412" t="s">
        <v>26</v>
      </c>
      <c r="C1412">
        <v>56387</v>
      </c>
      <c r="D1412" t="s">
        <v>198</v>
      </c>
      <c r="E1412" s="7">
        <v>75</v>
      </c>
      <c r="F1412" t="s">
        <v>20</v>
      </c>
      <c r="G1412" t="s">
        <v>21</v>
      </c>
      <c r="H1412" t="str">
        <f>"12.9.17"</f>
        <v>12.9.17</v>
      </c>
      <c r="I1412" t="str">
        <f>"ABELINA MURILLO"</f>
        <v>ABELINA MURILLO</v>
      </c>
    </row>
    <row r="1413" spans="1:9" x14ac:dyDescent="0.25">
      <c r="A1413" s="6">
        <v>43082</v>
      </c>
      <c r="B1413" t="s">
        <v>26</v>
      </c>
      <c r="C1413">
        <v>56388</v>
      </c>
      <c r="D1413" t="s">
        <v>218</v>
      </c>
      <c r="E1413" s="7">
        <v>65</v>
      </c>
      <c r="F1413" t="s">
        <v>20</v>
      </c>
      <c r="G1413" t="s">
        <v>21</v>
      </c>
      <c r="H1413" t="str">
        <f>"3528"</f>
        <v>3528</v>
      </c>
      <c r="I1413" t="str">
        <f>"RICK'S TOWING SERVICE"</f>
        <v>RICK'S TOWING SERVICE</v>
      </c>
    </row>
    <row r="1414" spans="1:9" x14ac:dyDescent="0.25">
      <c r="A1414" s="6">
        <v>43082</v>
      </c>
      <c r="B1414" t="s">
        <v>26</v>
      </c>
      <c r="C1414">
        <v>56389</v>
      </c>
      <c r="D1414" t="s">
        <v>135</v>
      </c>
      <c r="E1414" s="7">
        <v>131951.20000000001</v>
      </c>
      <c r="F1414" t="s">
        <v>20</v>
      </c>
      <c r="G1414" t="s">
        <v>21</v>
      </c>
      <c r="H1414" t="str">
        <f>"PAY APP#5"</f>
        <v>PAY APP#5</v>
      </c>
      <c r="I1414" t="str">
        <f>"HENOCK CONSTRUCTION  LLC"</f>
        <v>HENOCK CONSTRUCTION  LLC</v>
      </c>
    </row>
    <row r="1415" spans="1:9" x14ac:dyDescent="0.25">
      <c r="A1415" s="6">
        <v>43082</v>
      </c>
      <c r="B1415" t="s">
        <v>26</v>
      </c>
      <c r="C1415">
        <v>56390</v>
      </c>
      <c r="D1415" t="s">
        <v>219</v>
      </c>
      <c r="E1415" s="7">
        <v>11589.05</v>
      </c>
      <c r="F1415" t="s">
        <v>20</v>
      </c>
      <c r="G1415" t="s">
        <v>21</v>
      </c>
      <c r="H1415" t="str">
        <f>"PAY APP#4"</f>
        <v>PAY APP#4</v>
      </c>
      <c r="I1415" t="str">
        <f>"CCB COMMERCIAL CONTRACTING  LL"</f>
        <v>CCB COMMERCIAL CONTRACTING  LL</v>
      </c>
    </row>
    <row r="1416" spans="1:9" x14ac:dyDescent="0.25">
      <c r="A1416" s="6">
        <v>43082</v>
      </c>
      <c r="B1416" t="s">
        <v>91</v>
      </c>
      <c r="C1416">
        <v>56391</v>
      </c>
      <c r="D1416" t="s">
        <v>220</v>
      </c>
      <c r="E1416" s="7">
        <v>7500</v>
      </c>
      <c r="F1416" t="s">
        <v>20</v>
      </c>
      <c r="G1416" t="s">
        <v>21</v>
      </c>
      <c r="H1416" t="str">
        <f>"PD 2017"</f>
        <v>PD 2017</v>
      </c>
      <c r="I1416" t="str">
        <f>"PERFECTION PAINTING &amp; DRYWALL"</f>
        <v>PERFECTION PAINTING &amp; DRYWALL</v>
      </c>
    </row>
    <row r="1417" spans="1:9" x14ac:dyDescent="0.25">
      <c r="A1417" s="6">
        <v>43082</v>
      </c>
      <c r="B1417" t="s">
        <v>91</v>
      </c>
      <c r="C1417">
        <v>56391</v>
      </c>
      <c r="D1417" t="s">
        <v>220</v>
      </c>
      <c r="E1417" s="7">
        <v>7500</v>
      </c>
      <c r="F1417" t="s">
        <v>20</v>
      </c>
      <c r="G1417" t="s">
        <v>93</v>
      </c>
      <c r="H1417" t="str">
        <f>"CHECK"</f>
        <v>CHECK</v>
      </c>
      <c r="I1417" t="str">
        <f>""</f>
        <v/>
      </c>
    </row>
    <row r="1418" spans="1:9" x14ac:dyDescent="0.25">
      <c r="A1418" s="6">
        <v>43082</v>
      </c>
      <c r="B1418" t="s">
        <v>26</v>
      </c>
      <c r="C1418">
        <v>56392</v>
      </c>
      <c r="D1418" t="s">
        <v>221</v>
      </c>
      <c r="E1418" s="7">
        <v>75979</v>
      </c>
      <c r="F1418" t="s">
        <v>20</v>
      </c>
      <c r="G1418" t="s">
        <v>21</v>
      </c>
      <c r="H1418" t="str">
        <f>"C471710A/R"</f>
        <v>C471710A/R</v>
      </c>
      <c r="I1418" t="str">
        <f>"TML MULTISTATE INTERGOVERNMENT"</f>
        <v>TML MULTISTATE INTERGOVERNMENT</v>
      </c>
    </row>
    <row r="1419" spans="1:9" x14ac:dyDescent="0.25">
      <c r="E1419" s="7"/>
      <c r="F1419" t="s">
        <v>20</v>
      </c>
      <c r="G1419" t="s">
        <v>21</v>
      </c>
      <c r="H1419" t="str">
        <f>"C471711A/R"</f>
        <v>C471711A/R</v>
      </c>
      <c r="I1419" t="str">
        <f>"TML MULTISTATE INTERGOVERNMENT"</f>
        <v>TML MULTISTATE INTERGOVERNMENT</v>
      </c>
    </row>
    <row r="1420" spans="1:9" x14ac:dyDescent="0.25">
      <c r="A1420" s="6">
        <v>43083</v>
      </c>
      <c r="B1420" t="s">
        <v>26</v>
      </c>
      <c r="C1420">
        <v>56395</v>
      </c>
      <c r="D1420" t="s">
        <v>90</v>
      </c>
      <c r="E1420" s="7">
        <v>2233.44</v>
      </c>
      <c r="F1420" t="s">
        <v>20</v>
      </c>
      <c r="G1420" t="s">
        <v>21</v>
      </c>
      <c r="H1420" t="str">
        <f>"12/01/17"</f>
        <v>12/01/17</v>
      </c>
      <c r="I1420" t="str">
        <f>"AFLAC"</f>
        <v>AFLAC</v>
      </c>
    </row>
    <row r="1421" spans="1:9" x14ac:dyDescent="0.25">
      <c r="E1421" s="7"/>
      <c r="F1421" t="s">
        <v>20</v>
      </c>
      <c r="G1421" t="s">
        <v>21</v>
      </c>
      <c r="H1421" t="str">
        <f>"ACA201711208170"</f>
        <v>ACA201711208170</v>
      </c>
      <c r="I1421" t="str">
        <f>"AFLAC INSURANCE"</f>
        <v>AFLAC INSURANCE</v>
      </c>
    </row>
    <row r="1422" spans="1:9" x14ac:dyDescent="0.25">
      <c r="E1422" s="7"/>
      <c r="F1422" t="s">
        <v>20</v>
      </c>
      <c r="G1422" t="s">
        <v>21</v>
      </c>
      <c r="H1422" t="str">
        <f>"ACA201712058180"</f>
        <v>ACA201712058180</v>
      </c>
      <c r="I1422" t="str">
        <f>"AFLAC INSURANCE"</f>
        <v>AFLAC INSURANCE</v>
      </c>
    </row>
    <row r="1423" spans="1:9" x14ac:dyDescent="0.25">
      <c r="E1423" s="7"/>
      <c r="F1423" t="s">
        <v>20</v>
      </c>
      <c r="G1423" t="s">
        <v>21</v>
      </c>
      <c r="H1423" t="str">
        <f>"AD2201711208170"</f>
        <v>AD2201711208170</v>
      </c>
      <c r="I1423" t="str">
        <f>"AFLAC INSURANCE"</f>
        <v>AFLAC INSURANCE</v>
      </c>
    </row>
    <row r="1424" spans="1:9" x14ac:dyDescent="0.25">
      <c r="E1424" s="7"/>
      <c r="F1424" t="s">
        <v>20</v>
      </c>
      <c r="G1424" t="s">
        <v>21</v>
      </c>
      <c r="H1424" t="str">
        <f>"AD2201712058180"</f>
        <v>AD2201712058180</v>
      </c>
      <c r="I1424" t="str">
        <f>"AFLAC INSURANCE"</f>
        <v>AFLAC INSURANCE</v>
      </c>
    </row>
    <row r="1425" spans="1:9" x14ac:dyDescent="0.25">
      <c r="E1425" s="7"/>
      <c r="F1425" t="s">
        <v>20</v>
      </c>
      <c r="G1425" t="s">
        <v>21</v>
      </c>
      <c r="H1425" t="str">
        <f>"ADR201711208170"</f>
        <v>ADR201711208170</v>
      </c>
      <c r="I1425" t="str">
        <f>"INSURANCE"</f>
        <v>INSURANCE</v>
      </c>
    </row>
    <row r="1426" spans="1:9" x14ac:dyDescent="0.25">
      <c r="E1426" s="7"/>
      <c r="F1426" t="s">
        <v>20</v>
      </c>
      <c r="G1426" t="s">
        <v>21</v>
      </c>
      <c r="H1426" t="str">
        <f>"ADR201712058180"</f>
        <v>ADR201712058180</v>
      </c>
      <c r="I1426" t="str">
        <f>"INSURANCE"</f>
        <v>INSURANCE</v>
      </c>
    </row>
    <row r="1427" spans="1:9" x14ac:dyDescent="0.25">
      <c r="E1427" s="7"/>
      <c r="F1427" t="s">
        <v>20</v>
      </c>
      <c r="G1427" t="s">
        <v>21</v>
      </c>
      <c r="H1427" t="str">
        <f>"AF1201711208170"</f>
        <v>AF1201711208170</v>
      </c>
      <c r="I1427" t="str">
        <f t="shared" ref="I1427:I1432" si="19">"AFLAC INSURANCE"</f>
        <v>AFLAC INSURANCE</v>
      </c>
    </row>
    <row r="1428" spans="1:9" x14ac:dyDescent="0.25">
      <c r="E1428" s="7"/>
      <c r="F1428" t="s">
        <v>20</v>
      </c>
      <c r="G1428" t="s">
        <v>21</v>
      </c>
      <c r="H1428" t="str">
        <f>"AF1201712058180"</f>
        <v>AF1201712058180</v>
      </c>
      <c r="I1428" t="str">
        <f t="shared" si="19"/>
        <v>AFLAC INSURANCE</v>
      </c>
    </row>
    <row r="1429" spans="1:9" x14ac:dyDescent="0.25">
      <c r="E1429" s="7"/>
      <c r="F1429" t="s">
        <v>20</v>
      </c>
      <c r="G1429" t="s">
        <v>21</v>
      </c>
      <c r="H1429" t="str">
        <f>"ASP201711208170"</f>
        <v>ASP201711208170</v>
      </c>
      <c r="I1429" t="str">
        <f t="shared" si="19"/>
        <v>AFLAC INSURANCE</v>
      </c>
    </row>
    <row r="1430" spans="1:9" x14ac:dyDescent="0.25">
      <c r="E1430" s="7"/>
      <c r="F1430" t="s">
        <v>20</v>
      </c>
      <c r="G1430" t="s">
        <v>21</v>
      </c>
      <c r="H1430" t="str">
        <f>"ASP201712058180"</f>
        <v>ASP201712058180</v>
      </c>
      <c r="I1430" t="str">
        <f t="shared" si="19"/>
        <v>AFLAC INSURANCE</v>
      </c>
    </row>
    <row r="1431" spans="1:9" x14ac:dyDescent="0.25">
      <c r="E1431" s="7"/>
      <c r="F1431" t="s">
        <v>20</v>
      </c>
      <c r="G1431" t="s">
        <v>21</v>
      </c>
      <c r="H1431" t="str">
        <f>"HCO201711208170"</f>
        <v>HCO201711208170</v>
      </c>
      <c r="I1431" t="str">
        <f t="shared" si="19"/>
        <v>AFLAC INSURANCE</v>
      </c>
    </row>
    <row r="1432" spans="1:9" x14ac:dyDescent="0.25">
      <c r="E1432" s="7"/>
      <c r="F1432" t="s">
        <v>20</v>
      </c>
      <c r="G1432" t="s">
        <v>21</v>
      </c>
      <c r="H1432" t="str">
        <f>"HCO201712058180"</f>
        <v>HCO201712058180</v>
      </c>
      <c r="I1432" t="str">
        <f t="shared" si="19"/>
        <v>AFLAC INSURANCE</v>
      </c>
    </row>
    <row r="1433" spans="1:9" x14ac:dyDescent="0.25">
      <c r="E1433" s="7"/>
      <c r="F1433" t="s">
        <v>20</v>
      </c>
      <c r="G1433" t="s">
        <v>21</v>
      </c>
      <c r="H1433" t="str">
        <f>"STD201711208170"</f>
        <v>STD201711208170</v>
      </c>
      <c r="I1433" t="str">
        <f>"INSURANCE"</f>
        <v>INSURANCE</v>
      </c>
    </row>
    <row r="1434" spans="1:9" x14ac:dyDescent="0.25">
      <c r="A1434" s="6">
        <v>43083</v>
      </c>
      <c r="B1434" t="s">
        <v>26</v>
      </c>
      <c r="C1434">
        <v>56398</v>
      </c>
      <c r="D1434" t="s">
        <v>92</v>
      </c>
      <c r="E1434" s="7">
        <v>40243.82</v>
      </c>
      <c r="F1434" t="s">
        <v>20</v>
      </c>
      <c r="G1434" t="s">
        <v>24</v>
      </c>
      <c r="H1434" t="str">
        <f>"NOV 2017"</f>
        <v>NOV 2017</v>
      </c>
      <c r="I1434" t="str">
        <f>"TEXAS MUNICIPAL RETIREMENT SYS"</f>
        <v>TEXAS MUNICIPAL RETIREMENT SYS</v>
      </c>
    </row>
    <row r="1435" spans="1:9" x14ac:dyDescent="0.25">
      <c r="E1435" s="7"/>
      <c r="F1435" t="s">
        <v>20</v>
      </c>
      <c r="G1435" t="s">
        <v>21</v>
      </c>
      <c r="H1435" t="str">
        <f>"RET201711208170"</f>
        <v>RET201711208170</v>
      </c>
      <c r="I1435" t="str">
        <f>"TMRS CITY OF FLORESVILLE"</f>
        <v>TMRS CITY OF FLORESVILLE</v>
      </c>
    </row>
    <row r="1436" spans="1:9" x14ac:dyDescent="0.25">
      <c r="E1436" s="7"/>
      <c r="F1436" t="s">
        <v>20</v>
      </c>
      <c r="G1436" t="s">
        <v>21</v>
      </c>
      <c r="H1436" t="str">
        <f>"RET201712058180"</f>
        <v>RET201712058180</v>
      </c>
      <c r="I1436" t="str">
        <f>"TMRS CITY OF FLORESVILLE"</f>
        <v>TMRS CITY OF FLORESVILLE</v>
      </c>
    </row>
    <row r="1437" spans="1:9" x14ac:dyDescent="0.25">
      <c r="A1437" s="6">
        <v>43083</v>
      </c>
      <c r="B1437" t="s">
        <v>26</v>
      </c>
      <c r="C1437">
        <v>56402</v>
      </c>
      <c r="D1437" t="s">
        <v>94</v>
      </c>
      <c r="E1437" s="7">
        <v>4155.1000000000004</v>
      </c>
      <c r="F1437" t="s">
        <v>20</v>
      </c>
      <c r="G1437" t="s">
        <v>21</v>
      </c>
      <c r="H1437" t="str">
        <f>"4101659"</f>
        <v>4101659</v>
      </c>
      <c r="I1437" t="str">
        <f>"DENTAL SELECT"</f>
        <v>DENTAL SELECT</v>
      </c>
    </row>
    <row r="1438" spans="1:9" x14ac:dyDescent="0.25">
      <c r="E1438" s="7"/>
      <c r="F1438" t="s">
        <v>20</v>
      </c>
      <c r="G1438" t="s">
        <v>21</v>
      </c>
      <c r="H1438" t="str">
        <f>"DEN201711208170"</f>
        <v>DEN201711208170</v>
      </c>
      <c r="I1438" t="str">
        <f>"DENTAL INSURANCE"</f>
        <v>DENTAL INSURANCE</v>
      </c>
    </row>
    <row r="1439" spans="1:9" x14ac:dyDescent="0.25">
      <c r="E1439" s="7"/>
      <c r="F1439" t="s">
        <v>20</v>
      </c>
      <c r="G1439" t="s">
        <v>21</v>
      </c>
      <c r="H1439" t="str">
        <f>"DEN201712058180"</f>
        <v>DEN201712058180</v>
      </c>
      <c r="I1439" t="str">
        <f>"DENTAL INSURANCE"</f>
        <v>DENTAL INSURANCE</v>
      </c>
    </row>
    <row r="1440" spans="1:9" x14ac:dyDescent="0.25">
      <c r="A1440" s="6">
        <v>43083</v>
      </c>
      <c r="B1440" t="s">
        <v>26</v>
      </c>
      <c r="C1440">
        <v>56403</v>
      </c>
      <c r="D1440" t="s">
        <v>95</v>
      </c>
      <c r="E1440" s="7">
        <v>84.78</v>
      </c>
      <c r="F1440" t="s">
        <v>20</v>
      </c>
      <c r="G1440" t="s">
        <v>21</v>
      </c>
      <c r="H1440" t="str">
        <f>"14260"</f>
        <v>14260</v>
      </c>
      <c r="I1440" t="str">
        <f>"LEGAL PLANS"</f>
        <v>LEGAL PLANS</v>
      </c>
    </row>
    <row r="1441" spans="1:9" x14ac:dyDescent="0.25">
      <c r="E1441" s="7"/>
      <c r="F1441" t="s">
        <v>20</v>
      </c>
      <c r="G1441" t="s">
        <v>21</v>
      </c>
      <c r="H1441" t="str">
        <f>"LEA201711208170"</f>
        <v>LEA201711208170</v>
      </c>
      <c r="I1441" t="str">
        <f>"INSURANCE"</f>
        <v>INSURANCE</v>
      </c>
    </row>
    <row r="1442" spans="1:9" x14ac:dyDescent="0.25">
      <c r="E1442" s="7"/>
      <c r="F1442" t="s">
        <v>20</v>
      </c>
      <c r="G1442" t="s">
        <v>21</v>
      </c>
      <c r="H1442" t="str">
        <f>"LEA201712058180"</f>
        <v>LEA201712058180</v>
      </c>
      <c r="I1442" t="str">
        <f>"INSURANCE"</f>
        <v>INSURANCE</v>
      </c>
    </row>
    <row r="1443" spans="1:9" x14ac:dyDescent="0.25">
      <c r="A1443" s="6">
        <v>43083</v>
      </c>
      <c r="B1443" t="s">
        <v>26</v>
      </c>
      <c r="C1443">
        <v>56404</v>
      </c>
      <c r="D1443" t="s">
        <v>96</v>
      </c>
      <c r="E1443" s="7">
        <v>587.79999999999995</v>
      </c>
      <c r="F1443" t="s">
        <v>20</v>
      </c>
      <c r="G1443" t="s">
        <v>21</v>
      </c>
      <c r="H1443" t="str">
        <f>"201712148197"</f>
        <v>201712148197</v>
      </c>
      <c r="I1443" t="str">
        <f>"LEGALSHIELD"</f>
        <v>LEGALSHIELD</v>
      </c>
    </row>
    <row r="1444" spans="1:9" x14ac:dyDescent="0.25">
      <c r="E1444" s="7"/>
      <c r="F1444" t="s">
        <v>20</v>
      </c>
      <c r="G1444" t="s">
        <v>21</v>
      </c>
      <c r="H1444" t="str">
        <f>"PPL201711208170"</f>
        <v>PPL201711208170</v>
      </c>
      <c r="I1444" t="str">
        <f>"INSURANCE"</f>
        <v>INSURANCE</v>
      </c>
    </row>
    <row r="1445" spans="1:9" x14ac:dyDescent="0.25">
      <c r="E1445" s="7"/>
      <c r="F1445" t="s">
        <v>20</v>
      </c>
      <c r="G1445" t="s">
        <v>21</v>
      </c>
      <c r="H1445" t="str">
        <f>"PPL201712058180"</f>
        <v>PPL201712058180</v>
      </c>
      <c r="I1445" t="str">
        <f>"INSURANCE"</f>
        <v>INSURANCE</v>
      </c>
    </row>
    <row r="1446" spans="1:9" x14ac:dyDescent="0.25">
      <c r="A1446" s="6">
        <v>43083</v>
      </c>
      <c r="B1446" t="s">
        <v>26</v>
      </c>
      <c r="C1446">
        <v>56405</v>
      </c>
      <c r="D1446" t="s">
        <v>222</v>
      </c>
      <c r="E1446" s="7">
        <v>225</v>
      </c>
      <c r="F1446" t="s">
        <v>20</v>
      </c>
      <c r="G1446" t="s">
        <v>21</v>
      </c>
      <c r="H1446" t="str">
        <f>"00228"</f>
        <v>00228</v>
      </c>
      <c r="I1446" t="str">
        <f>"ST. MARY'S UNIVERSITY POLICE D"</f>
        <v>ST. MARY'S UNIVERSITY POLICE D</v>
      </c>
    </row>
    <row r="1447" spans="1:9" x14ac:dyDescent="0.25">
      <c r="A1447" s="6">
        <v>43083</v>
      </c>
      <c r="B1447" t="s">
        <v>91</v>
      </c>
      <c r="C1447">
        <v>56406</v>
      </c>
      <c r="D1447" t="s">
        <v>97</v>
      </c>
      <c r="E1447" s="7">
        <v>69340.73</v>
      </c>
      <c r="F1447" t="s">
        <v>20</v>
      </c>
      <c r="G1447" t="s">
        <v>21</v>
      </c>
      <c r="H1447" t="str">
        <f>"BME201711208170"</f>
        <v>BME201711208170</v>
      </c>
      <c r="I1447" t="str">
        <f>"INSURANCE"</f>
        <v>INSURANCE</v>
      </c>
    </row>
    <row r="1448" spans="1:9" x14ac:dyDescent="0.25">
      <c r="E1448" s="7"/>
      <c r="F1448" t="s">
        <v>20</v>
      </c>
      <c r="G1448" t="s">
        <v>21</v>
      </c>
      <c r="H1448" t="str">
        <f>"BME201712058180"</f>
        <v>BME201712058180</v>
      </c>
      <c r="I1448" t="str">
        <f>"INSURANCE"</f>
        <v>INSURANCE</v>
      </c>
    </row>
    <row r="1449" spans="1:9" x14ac:dyDescent="0.25">
      <c r="E1449" s="7"/>
      <c r="F1449" t="s">
        <v>20</v>
      </c>
      <c r="G1449" t="s">
        <v>21</v>
      </c>
      <c r="H1449" t="str">
        <f>"MED201711208170"</f>
        <v>MED201711208170</v>
      </c>
      <c r="I1449" t="str">
        <f>"INSURANCE"</f>
        <v>INSURANCE</v>
      </c>
    </row>
    <row r="1450" spans="1:9" x14ac:dyDescent="0.25">
      <c r="E1450" s="7"/>
      <c r="F1450" t="s">
        <v>20</v>
      </c>
      <c r="G1450" t="s">
        <v>21</v>
      </c>
      <c r="H1450" t="str">
        <f>"MED201712058180"</f>
        <v>MED201712058180</v>
      </c>
      <c r="I1450" t="str">
        <f>"INSURANCE"</f>
        <v>INSURANCE</v>
      </c>
    </row>
    <row r="1451" spans="1:9" x14ac:dyDescent="0.25">
      <c r="A1451" s="6">
        <v>43083</v>
      </c>
      <c r="B1451" t="s">
        <v>91</v>
      </c>
      <c r="C1451">
        <v>56406</v>
      </c>
      <c r="D1451" t="s">
        <v>97</v>
      </c>
      <c r="E1451" s="7">
        <v>69340.73</v>
      </c>
      <c r="F1451" t="s">
        <v>20</v>
      </c>
      <c r="G1451" t="s">
        <v>93</v>
      </c>
      <c r="H1451" t="str">
        <f>"CHECK"</f>
        <v>CHECK</v>
      </c>
      <c r="I1451" t="str">
        <f>""</f>
        <v/>
      </c>
    </row>
    <row r="1452" spans="1:9" x14ac:dyDescent="0.25">
      <c r="A1452" s="6">
        <v>43083</v>
      </c>
      <c r="B1452" t="s">
        <v>26</v>
      </c>
      <c r="C1452">
        <v>56410</v>
      </c>
      <c r="D1452" t="s">
        <v>98</v>
      </c>
      <c r="E1452" s="7">
        <v>3133.16</v>
      </c>
      <c r="F1452" t="s">
        <v>20</v>
      </c>
      <c r="G1452" t="s">
        <v>21</v>
      </c>
      <c r="H1452" t="str">
        <f>"12/2017"</f>
        <v>12/2017</v>
      </c>
      <c r="I1452" t="str">
        <f>"DEARBORN NATIONAL"</f>
        <v>DEARBORN NATIONAL</v>
      </c>
    </row>
    <row r="1453" spans="1:9" x14ac:dyDescent="0.25">
      <c r="E1453" s="7"/>
      <c r="F1453" t="s">
        <v>20</v>
      </c>
      <c r="G1453" t="s">
        <v>21</v>
      </c>
      <c r="H1453" t="str">
        <f>"ADD201711208170"</f>
        <v>ADD201711208170</v>
      </c>
      <c r="I1453" t="str">
        <f>"AD&amp;D"</f>
        <v>AD&amp;D</v>
      </c>
    </row>
    <row r="1454" spans="1:9" x14ac:dyDescent="0.25">
      <c r="E1454" s="7"/>
      <c r="F1454" t="s">
        <v>20</v>
      </c>
      <c r="G1454" t="s">
        <v>21</v>
      </c>
      <c r="H1454" t="str">
        <f>"LIF201711208170"</f>
        <v>LIF201711208170</v>
      </c>
      <c r="I1454" t="str">
        <f>"INSURANCE"</f>
        <v>INSURANCE</v>
      </c>
    </row>
    <row r="1455" spans="1:9" x14ac:dyDescent="0.25">
      <c r="E1455" s="7"/>
      <c r="F1455" t="s">
        <v>20</v>
      </c>
      <c r="G1455" t="s">
        <v>21</v>
      </c>
      <c r="H1455" t="str">
        <f>"STD201712058180"</f>
        <v>STD201712058180</v>
      </c>
      <c r="I1455" t="str">
        <f>"SHORT TERM DISABILITY"</f>
        <v>SHORT TERM DISABILITY</v>
      </c>
    </row>
    <row r="1456" spans="1:9" x14ac:dyDescent="0.25">
      <c r="E1456" s="7"/>
      <c r="F1456" t="s">
        <v>20</v>
      </c>
      <c r="G1456" t="s">
        <v>21</v>
      </c>
      <c r="H1456" t="str">
        <f>"VLC201711208170"</f>
        <v>VLC201711208170</v>
      </c>
      <c r="I1456" t="str">
        <f>"CHILD LIFE INSURANCE"</f>
        <v>CHILD LIFE INSURANCE</v>
      </c>
    </row>
    <row r="1457" spans="1:9" x14ac:dyDescent="0.25">
      <c r="E1457" s="7"/>
      <c r="F1457" t="s">
        <v>20</v>
      </c>
      <c r="G1457" t="s">
        <v>21</v>
      </c>
      <c r="H1457" t="str">
        <f>"VLC201712058180"</f>
        <v>VLC201712058180</v>
      </c>
      <c r="I1457" t="str">
        <f>"CHILD LIFE INSURANCE"</f>
        <v>CHILD LIFE INSURANCE</v>
      </c>
    </row>
    <row r="1458" spans="1:9" x14ac:dyDescent="0.25">
      <c r="E1458" s="7"/>
      <c r="F1458" t="s">
        <v>20</v>
      </c>
      <c r="G1458" t="s">
        <v>21</v>
      </c>
      <c r="H1458" t="str">
        <f>"VLS201711208170"</f>
        <v>VLS201711208170</v>
      </c>
      <c r="I1458" t="str">
        <f>"SPOUSE LIFE"</f>
        <v>SPOUSE LIFE</v>
      </c>
    </row>
    <row r="1459" spans="1:9" x14ac:dyDescent="0.25">
      <c r="E1459" s="7"/>
      <c r="F1459" t="s">
        <v>20</v>
      </c>
      <c r="G1459" t="s">
        <v>21</v>
      </c>
      <c r="H1459" t="str">
        <f>"VLS201712058180"</f>
        <v>VLS201712058180</v>
      </c>
      <c r="I1459" t="str">
        <f>"SPOUSE LIFE"</f>
        <v>SPOUSE LIFE</v>
      </c>
    </row>
    <row r="1460" spans="1:9" x14ac:dyDescent="0.25">
      <c r="E1460" s="7"/>
      <c r="F1460" t="s">
        <v>20</v>
      </c>
      <c r="G1460" t="s">
        <v>21</v>
      </c>
      <c r="H1460" t="str">
        <f>"VOE201711208170"</f>
        <v>VOE201711208170</v>
      </c>
      <c r="I1460" t="str">
        <f>"EMPLOYEE LIFE"</f>
        <v>EMPLOYEE LIFE</v>
      </c>
    </row>
    <row r="1461" spans="1:9" x14ac:dyDescent="0.25">
      <c r="E1461" s="7"/>
      <c r="F1461" t="s">
        <v>20</v>
      </c>
      <c r="G1461" t="s">
        <v>21</v>
      </c>
      <c r="H1461" t="str">
        <f>"VOE201712058180"</f>
        <v>VOE201712058180</v>
      </c>
      <c r="I1461" t="str">
        <f>"EMPLOYEE LIFE"</f>
        <v>EMPLOYEE LIFE</v>
      </c>
    </row>
    <row r="1462" spans="1:9" x14ac:dyDescent="0.25">
      <c r="E1462" s="7"/>
      <c r="F1462" t="s">
        <v>20</v>
      </c>
      <c r="G1462" t="s">
        <v>21</v>
      </c>
      <c r="H1462" t="str">
        <f>"VOL201711208170"</f>
        <v>VOL201711208170</v>
      </c>
      <c r="I1462" t="str">
        <f>"LIFE"</f>
        <v>LIFE</v>
      </c>
    </row>
    <row r="1463" spans="1:9" x14ac:dyDescent="0.25">
      <c r="E1463" s="7"/>
      <c r="F1463" t="s">
        <v>20</v>
      </c>
      <c r="G1463" t="s">
        <v>21</v>
      </c>
      <c r="H1463" t="str">
        <f>"VOL201712058180"</f>
        <v>VOL201712058180</v>
      </c>
      <c r="I1463" t="str">
        <f>"LIFE"</f>
        <v>LIFE</v>
      </c>
    </row>
    <row r="1464" spans="1:9" x14ac:dyDescent="0.25">
      <c r="A1464" s="6">
        <v>43083</v>
      </c>
      <c r="B1464" t="s">
        <v>26</v>
      </c>
      <c r="C1464">
        <v>56418</v>
      </c>
      <c r="D1464" t="s">
        <v>99</v>
      </c>
      <c r="E1464" s="7">
        <v>1812.03</v>
      </c>
      <c r="F1464" t="s">
        <v>20</v>
      </c>
      <c r="G1464" t="s">
        <v>21</v>
      </c>
      <c r="H1464" t="str">
        <f>"201712148198"</f>
        <v>201712148198</v>
      </c>
      <c r="I1464" t="str">
        <f>"VISION SERVICE PLAN"</f>
        <v>VISION SERVICE PLAN</v>
      </c>
    </row>
    <row r="1465" spans="1:9" x14ac:dyDescent="0.25">
      <c r="E1465" s="7"/>
      <c r="F1465" t="s">
        <v>20</v>
      </c>
      <c r="G1465" t="s">
        <v>21</v>
      </c>
      <c r="H1465" t="str">
        <f>"VIS201711208170"</f>
        <v>VIS201711208170</v>
      </c>
      <c r="I1465" t="str">
        <f>"VISION INSURANCE"</f>
        <v>VISION INSURANCE</v>
      </c>
    </row>
    <row r="1466" spans="1:9" x14ac:dyDescent="0.25">
      <c r="E1466" s="7"/>
      <c r="F1466" t="s">
        <v>20</v>
      </c>
      <c r="G1466" t="s">
        <v>21</v>
      </c>
      <c r="H1466" t="str">
        <f>"VIS201712058180"</f>
        <v>VIS201712058180</v>
      </c>
      <c r="I1466" t="str">
        <f>"VISION INSURANCE"</f>
        <v>VISION INSURANCE</v>
      </c>
    </row>
    <row r="1467" spans="1:9" x14ac:dyDescent="0.25">
      <c r="A1467" s="6">
        <v>43083</v>
      </c>
      <c r="B1467" t="s">
        <v>26</v>
      </c>
      <c r="C1467">
        <v>56419</v>
      </c>
      <c r="D1467" t="s">
        <v>135</v>
      </c>
      <c r="E1467" s="7">
        <v>5367.5</v>
      </c>
      <c r="F1467" t="s">
        <v>20</v>
      </c>
      <c r="G1467" t="s">
        <v>21</v>
      </c>
      <c r="H1467" t="str">
        <f>"PAY APP#5 ADA"</f>
        <v>PAY APP#5 ADA</v>
      </c>
      <c r="I1467" t="str">
        <f>"HENOCK CONSTRUCTION  LLC"</f>
        <v>HENOCK CONSTRUCTION  LLC</v>
      </c>
    </row>
    <row r="1468" spans="1:9" x14ac:dyDescent="0.25">
      <c r="A1468" s="6">
        <v>43083</v>
      </c>
      <c r="B1468" t="s">
        <v>26</v>
      </c>
      <c r="C1468">
        <v>56420</v>
      </c>
      <c r="D1468" t="s">
        <v>219</v>
      </c>
      <c r="E1468" s="7">
        <v>7391.95</v>
      </c>
      <c r="F1468" t="s">
        <v>20</v>
      </c>
      <c r="G1468" t="s">
        <v>21</v>
      </c>
      <c r="H1468" t="str">
        <f>"PAY APP#4 ADA"</f>
        <v>PAY APP#4 ADA</v>
      </c>
      <c r="I1468" t="str">
        <f>"CCB COMMERCIAL CONTRACTING  LL"</f>
        <v>CCB COMMERCIAL CONTRACTING  LL</v>
      </c>
    </row>
    <row r="1469" spans="1:9" x14ac:dyDescent="0.25">
      <c r="A1469" s="6">
        <v>43083</v>
      </c>
      <c r="B1469" t="s">
        <v>26</v>
      </c>
      <c r="C1469">
        <v>56421</v>
      </c>
      <c r="D1469" t="s">
        <v>223</v>
      </c>
      <c r="E1469" s="7">
        <v>75</v>
      </c>
      <c r="F1469" t="s">
        <v>20</v>
      </c>
      <c r="G1469" t="s">
        <v>21</v>
      </c>
      <c r="H1469" t="str">
        <f>"122017-COUNCIL"</f>
        <v>122017-COUNCIL</v>
      </c>
      <c r="I1469" t="str">
        <f>""</f>
        <v/>
      </c>
    </row>
    <row r="1470" spans="1:9" x14ac:dyDescent="0.25">
      <c r="A1470" s="6">
        <v>43083</v>
      </c>
      <c r="B1470" t="s">
        <v>26</v>
      </c>
      <c r="C1470">
        <v>56422</v>
      </c>
      <c r="D1470" t="s">
        <v>35</v>
      </c>
      <c r="E1470" s="7">
        <v>200</v>
      </c>
      <c r="F1470" t="s">
        <v>20</v>
      </c>
      <c r="G1470" t="s">
        <v>21</v>
      </c>
      <c r="H1470" t="str">
        <f>"122017-5/2016"</f>
        <v>122017-5/2016</v>
      </c>
      <c r="I1470" t="str">
        <f>"JANITORIAL SERVICES"</f>
        <v>JANITORIAL SERVICES</v>
      </c>
    </row>
    <row r="1471" spans="1:9" x14ac:dyDescent="0.25">
      <c r="A1471" s="6">
        <v>43083</v>
      </c>
      <c r="B1471" t="s">
        <v>26</v>
      </c>
      <c r="C1471">
        <v>56423</v>
      </c>
      <c r="D1471" t="s">
        <v>36</v>
      </c>
      <c r="E1471" s="7">
        <v>75</v>
      </c>
      <c r="F1471" t="s">
        <v>20</v>
      </c>
      <c r="G1471" t="s">
        <v>21</v>
      </c>
      <c r="H1471" t="str">
        <f>"122017-COUNCIL"</f>
        <v>122017-COUNCIL</v>
      </c>
      <c r="I1471" t="str">
        <f>""</f>
        <v/>
      </c>
    </row>
    <row r="1472" spans="1:9" x14ac:dyDescent="0.25">
      <c r="A1472" s="6">
        <v>43083</v>
      </c>
      <c r="B1472" t="s">
        <v>26</v>
      </c>
      <c r="C1472">
        <v>56424</v>
      </c>
      <c r="D1472" t="s">
        <v>37</v>
      </c>
      <c r="E1472" s="7">
        <v>75</v>
      </c>
      <c r="F1472" t="s">
        <v>20</v>
      </c>
      <c r="G1472" t="s">
        <v>21</v>
      </c>
      <c r="H1472" t="str">
        <f>"122017-COUNCIL"</f>
        <v>122017-COUNCIL</v>
      </c>
      <c r="I1472" t="str">
        <f>""</f>
        <v/>
      </c>
    </row>
    <row r="1473" spans="1:9" x14ac:dyDescent="0.25">
      <c r="A1473" s="6">
        <v>43083</v>
      </c>
      <c r="B1473" t="s">
        <v>26</v>
      </c>
      <c r="C1473">
        <v>56425</v>
      </c>
      <c r="D1473" t="s">
        <v>38</v>
      </c>
      <c r="E1473" s="7">
        <v>100</v>
      </c>
      <c r="F1473" t="s">
        <v>20</v>
      </c>
      <c r="G1473" t="s">
        <v>21</v>
      </c>
      <c r="H1473" t="str">
        <f>"122017-MAYOR"</f>
        <v>122017-MAYOR</v>
      </c>
      <c r="I1473" t="str">
        <f>""</f>
        <v/>
      </c>
    </row>
    <row r="1474" spans="1:9" x14ac:dyDescent="0.25">
      <c r="A1474" s="6">
        <v>43083</v>
      </c>
      <c r="B1474" t="s">
        <v>26</v>
      </c>
      <c r="C1474">
        <v>56426</v>
      </c>
      <c r="D1474" t="s">
        <v>39</v>
      </c>
      <c r="E1474" s="7">
        <v>75</v>
      </c>
      <c r="F1474" t="s">
        <v>20</v>
      </c>
      <c r="G1474" t="s">
        <v>21</v>
      </c>
      <c r="H1474" t="str">
        <f>"122017-COUNCIL"</f>
        <v>122017-COUNCIL</v>
      </c>
      <c r="I1474" t="str">
        <f>""</f>
        <v/>
      </c>
    </row>
    <row r="1475" spans="1:9" x14ac:dyDescent="0.25">
      <c r="A1475" s="6">
        <v>43083</v>
      </c>
      <c r="B1475" t="s">
        <v>26</v>
      </c>
      <c r="C1475">
        <v>56427</v>
      </c>
      <c r="D1475" t="s">
        <v>40</v>
      </c>
      <c r="E1475" s="7">
        <v>75</v>
      </c>
      <c r="F1475" t="s">
        <v>20</v>
      </c>
      <c r="G1475" t="s">
        <v>21</v>
      </c>
      <c r="H1475" t="str">
        <f>"122017-COUNCIL"</f>
        <v>122017-COUNCIL</v>
      </c>
      <c r="I1475" t="str">
        <f>""</f>
        <v/>
      </c>
    </row>
    <row r="1476" spans="1:9" x14ac:dyDescent="0.25">
      <c r="A1476" s="6">
        <v>43083</v>
      </c>
      <c r="B1476" t="s">
        <v>26</v>
      </c>
      <c r="C1476">
        <v>56428</v>
      </c>
      <c r="D1476" t="s">
        <v>41</v>
      </c>
      <c r="E1476" s="7">
        <v>75</v>
      </c>
      <c r="F1476" t="s">
        <v>20</v>
      </c>
      <c r="G1476" t="s">
        <v>21</v>
      </c>
      <c r="H1476" t="str">
        <f>"122017-11/2017"</f>
        <v>122017-11/2017</v>
      </c>
      <c r="I1476" t="str">
        <f>""</f>
        <v/>
      </c>
    </row>
    <row r="1477" spans="1:9" x14ac:dyDescent="0.25">
      <c r="A1477" s="6">
        <v>43088</v>
      </c>
      <c r="B1477" t="s">
        <v>26</v>
      </c>
      <c r="C1477">
        <v>56438</v>
      </c>
      <c r="D1477" t="s">
        <v>51</v>
      </c>
      <c r="E1477" s="7">
        <v>327.84</v>
      </c>
      <c r="F1477" t="s">
        <v>20</v>
      </c>
      <c r="G1477" t="s">
        <v>21</v>
      </c>
      <c r="H1477" t="str">
        <f>"CLE201712198199"</f>
        <v>CLE201712198199</v>
      </c>
      <c r="I1477" t="str">
        <f>"CLEAT ONLY DUES"</f>
        <v>CLEAT ONLY DUES</v>
      </c>
    </row>
    <row r="1478" spans="1:9" x14ac:dyDescent="0.25">
      <c r="E1478" s="7"/>
      <c r="F1478" t="s">
        <v>20</v>
      </c>
      <c r="G1478" t="s">
        <v>21</v>
      </c>
      <c r="H1478" t="str">
        <f>"PDD201712198199"</f>
        <v>PDD201712198199</v>
      </c>
      <c r="I1478" t="str">
        <f>"POLICE OFFICERS ASSOC DUES"</f>
        <v>POLICE OFFICERS ASSOC DUES</v>
      </c>
    </row>
    <row r="1479" spans="1:9" x14ac:dyDescent="0.25">
      <c r="A1479" s="6">
        <v>43088</v>
      </c>
      <c r="B1479" t="s">
        <v>26</v>
      </c>
      <c r="C1479">
        <v>56439</v>
      </c>
      <c r="D1479" t="s">
        <v>90</v>
      </c>
      <c r="E1479" s="7">
        <v>114.96</v>
      </c>
      <c r="F1479" t="s">
        <v>20</v>
      </c>
      <c r="G1479" t="s">
        <v>21</v>
      </c>
      <c r="H1479" t="str">
        <f>"AFS201712198199"</f>
        <v>AFS201712198199</v>
      </c>
      <c r="I1479" t="str">
        <f>"AFLAC STD"</f>
        <v>AFLAC STD</v>
      </c>
    </row>
    <row r="1480" spans="1:9" x14ac:dyDescent="0.25">
      <c r="A1480" s="6">
        <v>43088</v>
      </c>
      <c r="B1480" t="s">
        <v>26</v>
      </c>
      <c r="C1480">
        <v>56440</v>
      </c>
      <c r="D1480" t="s">
        <v>52</v>
      </c>
      <c r="E1480" s="7">
        <v>1745.38</v>
      </c>
      <c r="F1480" t="s">
        <v>20</v>
      </c>
      <c r="G1480" t="s">
        <v>21</v>
      </c>
      <c r="H1480" t="str">
        <f>"CJM201712198199"</f>
        <v>CJM201712198199</v>
      </c>
      <c r="I1480" t="str">
        <f>"1248728810120679CV LISA M FISH"</f>
        <v>1248728810120679CV LISA M FISH</v>
      </c>
    </row>
    <row r="1481" spans="1:9" x14ac:dyDescent="0.25">
      <c r="E1481" s="7"/>
      <c r="F1481" t="s">
        <v>20</v>
      </c>
      <c r="G1481" t="s">
        <v>21</v>
      </c>
      <c r="H1481" t="str">
        <f>"CPS201712198199"</f>
        <v>CPS201712198199</v>
      </c>
      <c r="I1481" t="str">
        <f>"G MENDOZA 00123012032010EM5054"</f>
        <v>G MENDOZA 00123012032010EM5054</v>
      </c>
    </row>
    <row r="1482" spans="1:9" x14ac:dyDescent="0.25">
      <c r="E1482" s="7"/>
      <c r="F1482" t="s">
        <v>20</v>
      </c>
      <c r="G1482" t="s">
        <v>21</v>
      </c>
      <c r="H1482" t="str">
        <f>"CS 201712198199"</f>
        <v>CS 201712198199</v>
      </c>
      <c r="I1482" t="str">
        <f>"CAUSE#98EM504113 PEGGY RIVAS"</f>
        <v>CAUSE#98EM504113 PEGGY RIVAS</v>
      </c>
    </row>
    <row r="1483" spans="1:9" x14ac:dyDescent="0.25">
      <c r="E1483" s="7"/>
      <c r="F1483" t="s">
        <v>20</v>
      </c>
      <c r="G1483" t="s">
        <v>21</v>
      </c>
      <c r="H1483" t="str">
        <f>"CS1201712198199"</f>
        <v>CS1201712198199</v>
      </c>
      <c r="I1483" t="str">
        <f>"CAUSE# 10008CVW DEBRA ESQUEDA"</f>
        <v>CAUSE# 10008CVW DEBRA ESQUEDA</v>
      </c>
    </row>
    <row r="1484" spans="1:9" x14ac:dyDescent="0.25">
      <c r="E1484" s="7"/>
      <c r="F1484" t="s">
        <v>20</v>
      </c>
      <c r="G1484" t="s">
        <v>21</v>
      </c>
      <c r="H1484" t="str">
        <f>"CSJ201712198199"</f>
        <v>CSJ201712198199</v>
      </c>
      <c r="I1484" t="str">
        <f>"CAUSE# 0010185272 MARIANN GUTI"</f>
        <v>CAUSE# 0010185272 MARIANN GUTI</v>
      </c>
    </row>
    <row r="1485" spans="1:9" x14ac:dyDescent="0.25">
      <c r="E1485" s="7"/>
      <c r="F1485" t="s">
        <v>20</v>
      </c>
      <c r="G1485" t="s">
        <v>21</v>
      </c>
      <c r="H1485" t="str">
        <f>"CST201712198199"</f>
        <v>CST201712198199</v>
      </c>
      <c r="I1485" t="str">
        <f>"CAUSE #0009418917 SONIA PEREZ"</f>
        <v>CAUSE #0009418917 SONIA PEREZ</v>
      </c>
    </row>
    <row r="1486" spans="1:9" x14ac:dyDescent="0.25">
      <c r="A1486" s="6">
        <v>43088</v>
      </c>
      <c r="B1486" t="s">
        <v>26</v>
      </c>
      <c r="C1486">
        <v>56441</v>
      </c>
      <c r="D1486" t="s">
        <v>53</v>
      </c>
      <c r="E1486" s="7">
        <v>99.1</v>
      </c>
      <c r="F1486" t="s">
        <v>20</v>
      </c>
      <c r="G1486" t="s">
        <v>21</v>
      </c>
      <c r="H1486" t="str">
        <f>"MCO201712198199"</f>
        <v>MCO201712198199</v>
      </c>
      <c r="I1486" t="str">
        <f>"MONICA CORDOVA"</f>
        <v>MONICA CORDOVA</v>
      </c>
    </row>
    <row r="1487" spans="1:9" x14ac:dyDescent="0.25">
      <c r="A1487" s="6">
        <v>43088</v>
      </c>
      <c r="B1487" t="s">
        <v>26</v>
      </c>
      <c r="C1487">
        <v>56442</v>
      </c>
      <c r="D1487" t="s">
        <v>54</v>
      </c>
      <c r="E1487" s="7">
        <v>845.48</v>
      </c>
      <c r="F1487" t="s">
        <v>20</v>
      </c>
      <c r="G1487" t="s">
        <v>21</v>
      </c>
      <c r="H1487" t="str">
        <f>"457201712198199"</f>
        <v>457201712198199</v>
      </c>
      <c r="I1487" t="str">
        <f>"CASE # 180-60751 457B DEDUCT"</f>
        <v>CASE # 180-60751 457B DEDUCT</v>
      </c>
    </row>
    <row r="1488" spans="1:9" x14ac:dyDescent="0.25">
      <c r="A1488" s="6">
        <v>43088</v>
      </c>
      <c r="B1488" t="s">
        <v>26</v>
      </c>
      <c r="C1488">
        <v>56443</v>
      </c>
      <c r="D1488" t="s">
        <v>224</v>
      </c>
      <c r="E1488" s="7">
        <v>9425</v>
      </c>
      <c r="F1488" t="s">
        <v>20</v>
      </c>
      <c r="G1488" t="s">
        <v>21</v>
      </c>
      <c r="H1488" t="str">
        <f>"201712198200"</f>
        <v>201712198200</v>
      </c>
      <c r="I1488" t="str">
        <f>"RIVERWALK ROOFING AND CONSTRUC"</f>
        <v>RIVERWALK ROOFING AND CONSTRUC</v>
      </c>
    </row>
    <row r="1489" spans="1:9" x14ac:dyDescent="0.25">
      <c r="A1489" s="6">
        <v>43102</v>
      </c>
      <c r="B1489" t="s">
        <v>26</v>
      </c>
      <c r="C1489">
        <v>56444</v>
      </c>
      <c r="D1489" t="s">
        <v>31</v>
      </c>
      <c r="E1489" s="7">
        <v>2000</v>
      </c>
      <c r="F1489" t="s">
        <v>20</v>
      </c>
      <c r="G1489" t="s">
        <v>21</v>
      </c>
      <c r="H1489" t="str">
        <f>"2017177"</f>
        <v>2017177</v>
      </c>
      <c r="I1489" t="str">
        <f>"THE LAW OFFICE OF TOM CALDWELL"</f>
        <v>THE LAW OFFICE OF TOM CALDWELL</v>
      </c>
    </row>
    <row r="1490" spans="1:9" x14ac:dyDescent="0.25">
      <c r="A1490" s="6">
        <v>43102</v>
      </c>
      <c r="B1490" t="s">
        <v>26</v>
      </c>
      <c r="C1490">
        <v>56445</v>
      </c>
      <c r="D1490" t="s">
        <v>224</v>
      </c>
      <c r="E1490" s="7">
        <v>9425</v>
      </c>
      <c r="F1490" t="s">
        <v>20</v>
      </c>
      <c r="G1490" t="s">
        <v>21</v>
      </c>
      <c r="H1490" t="str">
        <f>"2ND/FINAL"</f>
        <v>2ND/FINAL</v>
      </c>
      <c r="I1490" t="str">
        <f>"RIVERWALK ROOFING AND CONSTRUC"</f>
        <v>RIVERWALK ROOFING AND CONSTRUC</v>
      </c>
    </row>
    <row r="1491" spans="1:9" x14ac:dyDescent="0.25">
      <c r="A1491" s="6">
        <v>43102</v>
      </c>
      <c r="B1491" t="s">
        <v>26</v>
      </c>
      <c r="C1491">
        <v>56446</v>
      </c>
      <c r="D1491" t="s">
        <v>225</v>
      </c>
      <c r="E1491" s="7">
        <v>4600</v>
      </c>
      <c r="F1491" t="s">
        <v>20</v>
      </c>
      <c r="G1491" t="s">
        <v>21</v>
      </c>
      <c r="H1491" t="str">
        <f>"201801028201"</f>
        <v>201801028201</v>
      </c>
      <c r="I1491" t="str">
        <f>"BENNIE L. BAIN"</f>
        <v>BENNIE L. BAIN</v>
      </c>
    </row>
    <row r="1492" spans="1:9" x14ac:dyDescent="0.25">
      <c r="A1492" s="6">
        <v>43102</v>
      </c>
      <c r="B1492" t="s">
        <v>26</v>
      </c>
      <c r="C1492">
        <v>56447</v>
      </c>
      <c r="D1492" t="s">
        <v>226</v>
      </c>
      <c r="E1492" s="7">
        <v>9096</v>
      </c>
      <c r="F1492" t="s">
        <v>20</v>
      </c>
      <c r="G1492" t="s">
        <v>21</v>
      </c>
      <c r="H1492" t="str">
        <f>"5014"</f>
        <v>5014</v>
      </c>
      <c r="I1492" t="str">
        <f>"WIATREK'S SERVICES"</f>
        <v>WIATREK'S SERVICES</v>
      </c>
    </row>
    <row r="1493" spans="1:9" x14ac:dyDescent="0.25">
      <c r="A1493" s="6">
        <v>43104</v>
      </c>
      <c r="B1493" t="s">
        <v>91</v>
      </c>
      <c r="C1493">
        <v>56456</v>
      </c>
      <c r="D1493" t="s">
        <v>227</v>
      </c>
      <c r="E1493" s="7">
        <v>577.20000000000005</v>
      </c>
      <c r="F1493" t="s">
        <v>20</v>
      </c>
      <c r="G1493" t="s">
        <v>21</v>
      </c>
      <c r="H1493" t="str">
        <f>"TRAINING 1.7-1.12"</f>
        <v>TRAINING 1.7-1.12</v>
      </c>
      <c r="I1493" t="str">
        <f>"TRAINING"</f>
        <v>TRAINING</v>
      </c>
    </row>
    <row r="1494" spans="1:9" x14ac:dyDescent="0.25">
      <c r="A1494" s="6">
        <v>43104</v>
      </c>
      <c r="B1494" t="s">
        <v>91</v>
      </c>
      <c r="C1494">
        <v>56456</v>
      </c>
      <c r="D1494" t="s">
        <v>228</v>
      </c>
      <c r="E1494" s="7">
        <v>577.20000000000005</v>
      </c>
      <c r="F1494" t="s">
        <v>20</v>
      </c>
      <c r="G1494" t="s">
        <v>93</v>
      </c>
      <c r="H1494" t="str">
        <f>"CHECK"</f>
        <v>CHECK</v>
      </c>
      <c r="I1494" t="str">
        <f>""</f>
        <v/>
      </c>
    </row>
    <row r="1495" spans="1:9" x14ac:dyDescent="0.25">
      <c r="A1495" s="6">
        <v>43104</v>
      </c>
      <c r="B1495" t="s">
        <v>26</v>
      </c>
      <c r="C1495">
        <v>56457</v>
      </c>
      <c r="D1495" t="s">
        <v>229</v>
      </c>
      <c r="E1495" s="7">
        <v>117.93</v>
      </c>
      <c r="F1495" t="s">
        <v>20</v>
      </c>
      <c r="G1495" t="s">
        <v>21</v>
      </c>
      <c r="H1495" t="str">
        <f>"TRAINING 1.8.18"</f>
        <v>TRAINING 1.8.18</v>
      </c>
      <c r="I1495" t="str">
        <f>"JOE XIMENEZ"</f>
        <v>JOE XIMENEZ</v>
      </c>
    </row>
    <row r="1496" spans="1:9" x14ac:dyDescent="0.25">
      <c r="A1496" s="6">
        <v>43104</v>
      </c>
      <c r="B1496" t="s">
        <v>26</v>
      </c>
      <c r="C1496">
        <v>56458</v>
      </c>
      <c r="D1496" t="s">
        <v>30</v>
      </c>
      <c r="E1496" s="7">
        <v>276.8</v>
      </c>
      <c r="F1496" t="s">
        <v>20</v>
      </c>
      <c r="G1496" t="s">
        <v>21</v>
      </c>
      <c r="H1496" t="str">
        <f>"2018-01"</f>
        <v>2018-01</v>
      </c>
      <c r="I1496" t="str">
        <f>"MARIA GONZALES"</f>
        <v>MARIA GONZALES</v>
      </c>
    </row>
    <row r="1497" spans="1:9" x14ac:dyDescent="0.25">
      <c r="A1497" s="6">
        <v>43104</v>
      </c>
      <c r="B1497" t="s">
        <v>26</v>
      </c>
      <c r="C1497">
        <v>56459</v>
      </c>
      <c r="D1497" t="s">
        <v>32</v>
      </c>
      <c r="E1497" s="7">
        <v>55</v>
      </c>
      <c r="F1497" t="s">
        <v>20</v>
      </c>
      <c r="G1497" t="s">
        <v>21</v>
      </c>
      <c r="H1497" t="str">
        <f>"12.31.17"</f>
        <v>12.31.17</v>
      </c>
      <c r="I1497" t="str">
        <f>"SHARON KERRIGAN"</f>
        <v>SHARON KERRIGAN</v>
      </c>
    </row>
    <row r="1498" spans="1:9" x14ac:dyDescent="0.25">
      <c r="A1498" s="6">
        <v>43104</v>
      </c>
      <c r="B1498" t="s">
        <v>26</v>
      </c>
      <c r="C1498">
        <v>56460</v>
      </c>
      <c r="D1498" t="s">
        <v>33</v>
      </c>
      <c r="E1498" s="7">
        <v>55</v>
      </c>
      <c r="F1498" t="s">
        <v>20</v>
      </c>
      <c r="G1498" t="s">
        <v>21</v>
      </c>
      <c r="H1498" t="str">
        <f>"12.31.17"</f>
        <v>12.31.17</v>
      </c>
      <c r="I1498" t="str">
        <f>"DEBORAH KORCZYK"</f>
        <v>DEBORAH KORCZYK</v>
      </c>
    </row>
    <row r="1499" spans="1:9" x14ac:dyDescent="0.25">
      <c r="A1499" s="6">
        <v>43104</v>
      </c>
      <c r="B1499" t="s">
        <v>26</v>
      </c>
      <c r="C1499">
        <v>56461</v>
      </c>
      <c r="D1499" t="s">
        <v>34</v>
      </c>
      <c r="E1499" s="7">
        <v>353.02</v>
      </c>
      <c r="F1499" t="s">
        <v>20</v>
      </c>
      <c r="G1499" t="s">
        <v>21</v>
      </c>
      <c r="H1499" t="str">
        <f>"12.12-12.28"</f>
        <v>12.12-12.28</v>
      </c>
      <c r="I1499" t="str">
        <f>"SHIRLEY UNDERWOOD"</f>
        <v>SHIRLEY UNDERWOOD</v>
      </c>
    </row>
    <row r="1500" spans="1:9" x14ac:dyDescent="0.25">
      <c r="A1500" s="6">
        <v>43104</v>
      </c>
      <c r="B1500" t="s">
        <v>26</v>
      </c>
      <c r="C1500">
        <v>56462</v>
      </c>
      <c r="D1500" t="s">
        <v>230</v>
      </c>
      <c r="E1500" s="7">
        <v>117.93</v>
      </c>
      <c r="F1500" t="s">
        <v>20</v>
      </c>
      <c r="G1500" t="s">
        <v>21</v>
      </c>
      <c r="H1500" t="str">
        <f>"TRAINING 1.8.18"</f>
        <v>TRAINING 1.8.18</v>
      </c>
      <c r="I1500" t="str">
        <f>"ELODIA RAMOS"</f>
        <v>ELODIA RAMOS</v>
      </c>
    </row>
    <row r="1501" spans="1:9" x14ac:dyDescent="0.25">
      <c r="A1501" s="6">
        <v>43104</v>
      </c>
      <c r="B1501" t="s">
        <v>91</v>
      </c>
      <c r="C1501">
        <v>56463</v>
      </c>
      <c r="D1501" t="s">
        <v>231</v>
      </c>
      <c r="E1501" s="7">
        <v>157</v>
      </c>
      <c r="F1501" t="s">
        <v>20</v>
      </c>
      <c r="G1501" t="s">
        <v>21</v>
      </c>
      <c r="H1501" t="str">
        <f>"TRAINING 1.8-1.11"</f>
        <v>TRAINING 1.8-1.11</v>
      </c>
      <c r="I1501" t="str">
        <f>"ROBERT BARRERA"</f>
        <v>ROBERT BARRERA</v>
      </c>
    </row>
    <row r="1502" spans="1:9" x14ac:dyDescent="0.25">
      <c r="A1502" s="6">
        <v>43104</v>
      </c>
      <c r="B1502" t="s">
        <v>91</v>
      </c>
      <c r="C1502">
        <v>56463</v>
      </c>
      <c r="D1502" t="s">
        <v>231</v>
      </c>
      <c r="E1502" s="7">
        <v>157</v>
      </c>
      <c r="F1502" t="s">
        <v>20</v>
      </c>
      <c r="G1502" t="s">
        <v>93</v>
      </c>
      <c r="H1502" t="str">
        <f>"CHECK"</f>
        <v>CHECK</v>
      </c>
      <c r="I1502" t="str">
        <f>""</f>
        <v/>
      </c>
    </row>
    <row r="1503" spans="1:9" x14ac:dyDescent="0.25">
      <c r="A1503" s="6">
        <v>43104</v>
      </c>
      <c r="B1503" t="s">
        <v>26</v>
      </c>
      <c r="C1503">
        <v>56464</v>
      </c>
      <c r="D1503" t="s">
        <v>232</v>
      </c>
      <c r="E1503" s="7">
        <v>157</v>
      </c>
      <c r="F1503" t="s">
        <v>20</v>
      </c>
      <c r="G1503" t="s">
        <v>21</v>
      </c>
      <c r="H1503" t="str">
        <f>"TRAINING 1.8-1.11"</f>
        <v>TRAINING 1.8-1.11</v>
      </c>
      <c r="I1503" t="str">
        <f>"MARK VELASQUEZ"</f>
        <v>MARK VELASQUEZ</v>
      </c>
    </row>
    <row r="1504" spans="1:9" x14ac:dyDescent="0.25">
      <c r="A1504" s="6">
        <v>43104</v>
      </c>
      <c r="B1504" t="s">
        <v>26</v>
      </c>
      <c r="C1504">
        <v>56465</v>
      </c>
      <c r="D1504" t="s">
        <v>233</v>
      </c>
      <c r="E1504" s="7">
        <v>157</v>
      </c>
      <c r="F1504" t="s">
        <v>20</v>
      </c>
      <c r="G1504" t="s">
        <v>21</v>
      </c>
      <c r="H1504" t="str">
        <f>"TRAINING 1.8-1.11"</f>
        <v>TRAINING 1.8-1.11</v>
      </c>
      <c r="I1504" t="str">
        <f>"STEFANO CANTU"</f>
        <v>STEFANO CANTU</v>
      </c>
    </row>
    <row r="1505" spans="1:9" x14ac:dyDescent="0.25">
      <c r="A1505" s="6">
        <v>43104</v>
      </c>
      <c r="B1505" t="s">
        <v>26</v>
      </c>
      <c r="C1505">
        <v>56466</v>
      </c>
      <c r="D1505" t="s">
        <v>51</v>
      </c>
      <c r="E1505" s="7">
        <v>327.84</v>
      </c>
      <c r="F1505" t="s">
        <v>20</v>
      </c>
      <c r="G1505" t="s">
        <v>21</v>
      </c>
      <c r="H1505" t="str">
        <f>"CLE201801038202"</f>
        <v>CLE201801038202</v>
      </c>
      <c r="I1505" t="str">
        <f>"CLEAT ONLY DUES"</f>
        <v>CLEAT ONLY DUES</v>
      </c>
    </row>
    <row r="1506" spans="1:9" x14ac:dyDescent="0.25">
      <c r="E1506" s="7"/>
      <c r="F1506" t="s">
        <v>20</v>
      </c>
      <c r="G1506" t="s">
        <v>21</v>
      </c>
      <c r="H1506" t="str">
        <f>"PDD201801038202"</f>
        <v>PDD201801038202</v>
      </c>
      <c r="I1506" t="str">
        <f>"POLICE OFFICERS ASSOC DUES"</f>
        <v>POLICE OFFICERS ASSOC DUES</v>
      </c>
    </row>
    <row r="1507" spans="1:9" x14ac:dyDescent="0.25">
      <c r="A1507" s="6">
        <v>43104</v>
      </c>
      <c r="B1507" t="s">
        <v>26</v>
      </c>
      <c r="C1507">
        <v>56467</v>
      </c>
      <c r="D1507" t="s">
        <v>90</v>
      </c>
      <c r="E1507" s="7">
        <v>114.96</v>
      </c>
      <c r="F1507" t="s">
        <v>20</v>
      </c>
      <c r="G1507" t="s">
        <v>21</v>
      </c>
      <c r="H1507" t="str">
        <f>"AFS201801038202"</f>
        <v>AFS201801038202</v>
      </c>
      <c r="I1507" t="str">
        <f>"AFLAC STD"</f>
        <v>AFLAC STD</v>
      </c>
    </row>
    <row r="1508" spans="1:9" x14ac:dyDescent="0.25">
      <c r="A1508" s="6">
        <v>43104</v>
      </c>
      <c r="B1508" t="s">
        <v>26</v>
      </c>
      <c r="C1508">
        <v>56468</v>
      </c>
      <c r="D1508" t="s">
        <v>52</v>
      </c>
      <c r="E1508" s="7">
        <v>1745.38</v>
      </c>
      <c r="F1508" t="s">
        <v>20</v>
      </c>
      <c r="G1508" t="s">
        <v>21</v>
      </c>
      <c r="H1508" t="str">
        <f>"CJM201801038202"</f>
        <v>CJM201801038202</v>
      </c>
      <c r="I1508" t="str">
        <f>"1248728810120679CV LISA M FISH"</f>
        <v>1248728810120679CV LISA M FISH</v>
      </c>
    </row>
    <row r="1509" spans="1:9" x14ac:dyDescent="0.25">
      <c r="E1509" s="7"/>
      <c r="F1509" t="s">
        <v>20</v>
      </c>
      <c r="G1509" t="s">
        <v>21</v>
      </c>
      <c r="H1509" t="str">
        <f>"CPS201801038202"</f>
        <v>CPS201801038202</v>
      </c>
      <c r="I1509" t="str">
        <f>"G MENDOZA 00123012032010EM5054"</f>
        <v>G MENDOZA 00123012032010EM5054</v>
      </c>
    </row>
    <row r="1510" spans="1:9" x14ac:dyDescent="0.25">
      <c r="E1510" s="7"/>
      <c r="F1510" t="s">
        <v>20</v>
      </c>
      <c r="G1510" t="s">
        <v>21</v>
      </c>
      <c r="H1510" t="str">
        <f>"CS 201801038202"</f>
        <v>CS 201801038202</v>
      </c>
      <c r="I1510" t="str">
        <f>"CAUSE#98EM504113 PEGGY RIVAS"</f>
        <v>CAUSE#98EM504113 PEGGY RIVAS</v>
      </c>
    </row>
    <row r="1511" spans="1:9" x14ac:dyDescent="0.25">
      <c r="E1511" s="7"/>
      <c r="F1511" t="s">
        <v>20</v>
      </c>
      <c r="G1511" t="s">
        <v>21</v>
      </c>
      <c r="H1511" t="str">
        <f>"CS1201801038202"</f>
        <v>CS1201801038202</v>
      </c>
      <c r="I1511" t="str">
        <f>"CAUSE# 10008CVW DEBRA ESQUEDA"</f>
        <v>CAUSE# 10008CVW DEBRA ESQUEDA</v>
      </c>
    </row>
    <row r="1512" spans="1:9" x14ac:dyDescent="0.25">
      <c r="E1512" s="7"/>
      <c r="F1512" t="s">
        <v>20</v>
      </c>
      <c r="G1512" t="s">
        <v>21</v>
      </c>
      <c r="H1512" t="str">
        <f>"CSJ201801038202"</f>
        <v>CSJ201801038202</v>
      </c>
      <c r="I1512" t="str">
        <f>"CAUSE# 0010185272 MARIANN GUTI"</f>
        <v>CAUSE# 0010185272 MARIANN GUTI</v>
      </c>
    </row>
    <row r="1513" spans="1:9" x14ac:dyDescent="0.25">
      <c r="E1513" s="7"/>
      <c r="F1513" t="s">
        <v>20</v>
      </c>
      <c r="G1513" t="s">
        <v>21</v>
      </c>
      <c r="H1513" t="str">
        <f>"CST201801038202"</f>
        <v>CST201801038202</v>
      </c>
      <c r="I1513" t="str">
        <f>"CAUSE #0009418917 SONIA PEREZ"</f>
        <v>CAUSE #0009418917 SONIA PEREZ</v>
      </c>
    </row>
    <row r="1514" spans="1:9" x14ac:dyDescent="0.25">
      <c r="A1514" s="6">
        <v>43104</v>
      </c>
      <c r="B1514" t="s">
        <v>26</v>
      </c>
      <c r="C1514">
        <v>56469</v>
      </c>
      <c r="D1514" t="s">
        <v>53</v>
      </c>
      <c r="E1514" s="7">
        <v>99.1</v>
      </c>
      <c r="F1514" t="s">
        <v>20</v>
      </c>
      <c r="G1514" t="s">
        <v>21</v>
      </c>
      <c r="H1514" t="str">
        <f>"MCO201801038202"</f>
        <v>MCO201801038202</v>
      </c>
      <c r="I1514" t="str">
        <f>"MONICA CORDOVA"</f>
        <v>MONICA CORDOVA</v>
      </c>
    </row>
    <row r="1515" spans="1:9" x14ac:dyDescent="0.25">
      <c r="A1515" s="6">
        <v>43104</v>
      </c>
      <c r="B1515" t="s">
        <v>26</v>
      </c>
      <c r="C1515">
        <v>56470</v>
      </c>
      <c r="D1515" t="s">
        <v>54</v>
      </c>
      <c r="E1515" s="7">
        <v>845.48</v>
      </c>
      <c r="F1515" t="s">
        <v>20</v>
      </c>
      <c r="G1515" t="s">
        <v>21</v>
      </c>
      <c r="H1515" t="str">
        <f>"457201801038202"</f>
        <v>457201801038202</v>
      </c>
      <c r="I1515" t="str">
        <f>"CASE # 180-60751 457B DEDUCT"</f>
        <v>CASE # 180-60751 457B DEDUCT</v>
      </c>
    </row>
    <row r="1516" spans="1:9" x14ac:dyDescent="0.25">
      <c r="A1516" s="6">
        <v>43104</v>
      </c>
      <c r="B1516" t="s">
        <v>26</v>
      </c>
      <c r="C1516">
        <v>56471</v>
      </c>
      <c r="D1516" t="s">
        <v>200</v>
      </c>
      <c r="E1516" s="7">
        <v>13890</v>
      </c>
      <c r="F1516" t="s">
        <v>20</v>
      </c>
      <c r="G1516" t="s">
        <v>21</v>
      </c>
      <c r="H1516" t="str">
        <f>"974885"</f>
        <v>974885</v>
      </c>
      <c r="I1516" t="str">
        <f>"MARIO AVILES"</f>
        <v>MARIO AVILES</v>
      </c>
    </row>
    <row r="1517" spans="1:9" x14ac:dyDescent="0.25">
      <c r="A1517" s="6">
        <v>43108</v>
      </c>
      <c r="B1517" t="s">
        <v>26</v>
      </c>
      <c r="C1517">
        <v>56472</v>
      </c>
      <c r="D1517" t="s">
        <v>56</v>
      </c>
      <c r="E1517" s="7">
        <v>150</v>
      </c>
      <c r="F1517" t="s">
        <v>20</v>
      </c>
      <c r="G1517" t="s">
        <v>21</v>
      </c>
      <c r="H1517" t="str">
        <f>"162907"</f>
        <v>162907</v>
      </c>
      <c r="I1517" t="str">
        <f t="shared" ref="I1517:I1531" si="20">"GERALD LUBIANSKI ENTERPRISES"</f>
        <v>GERALD LUBIANSKI ENTERPRISES</v>
      </c>
    </row>
    <row r="1518" spans="1:9" x14ac:dyDescent="0.25">
      <c r="E1518" s="7"/>
      <c r="F1518" t="s">
        <v>20</v>
      </c>
      <c r="G1518" t="s">
        <v>21</v>
      </c>
      <c r="H1518" t="str">
        <f>"163149"</f>
        <v>163149</v>
      </c>
      <c r="I1518" t="str">
        <f t="shared" si="20"/>
        <v>GERALD LUBIANSKI ENTERPRISES</v>
      </c>
    </row>
    <row r="1519" spans="1:9" x14ac:dyDescent="0.25">
      <c r="E1519" s="7"/>
      <c r="F1519" t="s">
        <v>20</v>
      </c>
      <c r="G1519" t="s">
        <v>21</v>
      </c>
      <c r="H1519" t="str">
        <f>"163162"</f>
        <v>163162</v>
      </c>
      <c r="I1519" t="str">
        <f t="shared" si="20"/>
        <v>GERALD LUBIANSKI ENTERPRISES</v>
      </c>
    </row>
    <row r="1520" spans="1:9" x14ac:dyDescent="0.25">
      <c r="E1520" s="7"/>
      <c r="F1520" t="s">
        <v>20</v>
      </c>
      <c r="G1520" t="s">
        <v>21</v>
      </c>
      <c r="H1520" t="str">
        <f>"163188"</f>
        <v>163188</v>
      </c>
      <c r="I1520" t="str">
        <f t="shared" si="20"/>
        <v>GERALD LUBIANSKI ENTERPRISES</v>
      </c>
    </row>
    <row r="1521" spans="1:9" x14ac:dyDescent="0.25">
      <c r="E1521" s="7"/>
      <c r="F1521" t="s">
        <v>20</v>
      </c>
      <c r="G1521" t="s">
        <v>21</v>
      </c>
      <c r="H1521" t="str">
        <f>"163355"</f>
        <v>163355</v>
      </c>
      <c r="I1521" t="str">
        <f t="shared" si="20"/>
        <v>GERALD LUBIANSKI ENTERPRISES</v>
      </c>
    </row>
    <row r="1522" spans="1:9" x14ac:dyDescent="0.25">
      <c r="E1522" s="7"/>
      <c r="F1522" t="s">
        <v>20</v>
      </c>
      <c r="G1522" t="s">
        <v>21</v>
      </c>
      <c r="H1522" t="str">
        <f>"163440"</f>
        <v>163440</v>
      </c>
      <c r="I1522" t="str">
        <f t="shared" si="20"/>
        <v>GERALD LUBIANSKI ENTERPRISES</v>
      </c>
    </row>
    <row r="1523" spans="1:9" x14ac:dyDescent="0.25">
      <c r="E1523" s="7"/>
      <c r="F1523" t="s">
        <v>20</v>
      </c>
      <c r="G1523" t="s">
        <v>21</v>
      </c>
      <c r="H1523" t="str">
        <f>"163510"</f>
        <v>163510</v>
      </c>
      <c r="I1523" t="str">
        <f t="shared" si="20"/>
        <v>GERALD LUBIANSKI ENTERPRISES</v>
      </c>
    </row>
    <row r="1524" spans="1:9" x14ac:dyDescent="0.25">
      <c r="E1524" s="7"/>
      <c r="F1524" t="s">
        <v>20</v>
      </c>
      <c r="G1524" t="s">
        <v>21</v>
      </c>
      <c r="H1524" t="str">
        <f>"163522"</f>
        <v>163522</v>
      </c>
      <c r="I1524" t="str">
        <f t="shared" si="20"/>
        <v>GERALD LUBIANSKI ENTERPRISES</v>
      </c>
    </row>
    <row r="1525" spans="1:9" x14ac:dyDescent="0.25">
      <c r="E1525" s="7"/>
      <c r="F1525" t="s">
        <v>20</v>
      </c>
      <c r="G1525" t="s">
        <v>21</v>
      </c>
      <c r="H1525" t="str">
        <f>"163535"</f>
        <v>163535</v>
      </c>
      <c r="I1525" t="str">
        <f t="shared" si="20"/>
        <v>GERALD LUBIANSKI ENTERPRISES</v>
      </c>
    </row>
    <row r="1526" spans="1:9" x14ac:dyDescent="0.25">
      <c r="E1526" s="7"/>
      <c r="F1526" t="s">
        <v>20</v>
      </c>
      <c r="G1526" t="s">
        <v>21</v>
      </c>
      <c r="H1526" t="str">
        <f>"163546"</f>
        <v>163546</v>
      </c>
      <c r="I1526" t="str">
        <f t="shared" si="20"/>
        <v>GERALD LUBIANSKI ENTERPRISES</v>
      </c>
    </row>
    <row r="1527" spans="1:9" x14ac:dyDescent="0.25">
      <c r="E1527" s="7"/>
      <c r="F1527" t="s">
        <v>20</v>
      </c>
      <c r="G1527" t="s">
        <v>21</v>
      </c>
      <c r="H1527" t="str">
        <f>"163565"</f>
        <v>163565</v>
      </c>
      <c r="I1527" t="str">
        <f t="shared" si="20"/>
        <v>GERALD LUBIANSKI ENTERPRISES</v>
      </c>
    </row>
    <row r="1528" spans="1:9" x14ac:dyDescent="0.25">
      <c r="E1528" s="7"/>
      <c r="F1528" t="s">
        <v>20</v>
      </c>
      <c r="G1528" t="s">
        <v>21</v>
      </c>
      <c r="H1528" t="str">
        <f>"163590"</f>
        <v>163590</v>
      </c>
      <c r="I1528" t="str">
        <f t="shared" si="20"/>
        <v>GERALD LUBIANSKI ENTERPRISES</v>
      </c>
    </row>
    <row r="1529" spans="1:9" x14ac:dyDescent="0.25">
      <c r="E1529" s="7"/>
      <c r="F1529" t="s">
        <v>20</v>
      </c>
      <c r="G1529" t="s">
        <v>21</v>
      </c>
      <c r="H1529" t="str">
        <f>"163659"</f>
        <v>163659</v>
      </c>
      <c r="I1529" t="str">
        <f t="shared" si="20"/>
        <v>GERALD LUBIANSKI ENTERPRISES</v>
      </c>
    </row>
    <row r="1530" spans="1:9" x14ac:dyDescent="0.25">
      <c r="E1530" s="7"/>
      <c r="F1530" t="s">
        <v>20</v>
      </c>
      <c r="G1530" t="s">
        <v>21</v>
      </c>
      <c r="H1530" t="str">
        <f>"163758"</f>
        <v>163758</v>
      </c>
      <c r="I1530" t="str">
        <f t="shared" si="20"/>
        <v>GERALD LUBIANSKI ENTERPRISES</v>
      </c>
    </row>
    <row r="1531" spans="1:9" x14ac:dyDescent="0.25">
      <c r="E1531" s="7"/>
      <c r="F1531" t="s">
        <v>20</v>
      </c>
      <c r="G1531" t="s">
        <v>21</v>
      </c>
      <c r="H1531" t="str">
        <f>"163798"</f>
        <v>163798</v>
      </c>
      <c r="I1531" t="str">
        <f t="shared" si="20"/>
        <v>GERALD LUBIANSKI ENTERPRISES</v>
      </c>
    </row>
    <row r="1532" spans="1:9" x14ac:dyDescent="0.25">
      <c r="A1532" s="6">
        <v>43108</v>
      </c>
      <c r="B1532" t="s">
        <v>26</v>
      </c>
      <c r="C1532">
        <v>56475</v>
      </c>
      <c r="D1532" t="s">
        <v>102</v>
      </c>
      <c r="E1532" s="7">
        <v>107.74</v>
      </c>
      <c r="F1532" t="s">
        <v>20</v>
      </c>
      <c r="G1532" t="s">
        <v>21</v>
      </c>
      <c r="H1532" t="str">
        <f>"201801088203"</f>
        <v>201801088203</v>
      </c>
      <c r="I1532" t="str">
        <f>"CENTERPOINT ENERGY ENTEX"</f>
        <v>CENTERPOINT ENERGY ENTEX</v>
      </c>
    </row>
    <row r="1533" spans="1:9" x14ac:dyDescent="0.25">
      <c r="E1533" s="7"/>
      <c r="F1533" t="s">
        <v>20</v>
      </c>
      <c r="G1533" t="s">
        <v>21</v>
      </c>
      <c r="H1533" t="str">
        <f>"201801088209"</f>
        <v>201801088209</v>
      </c>
      <c r="I1533" t="str">
        <f>"CENTERPOINT ENERGY ENTEX"</f>
        <v>CENTERPOINT ENERGY ENTEX</v>
      </c>
    </row>
    <row r="1534" spans="1:9" x14ac:dyDescent="0.25">
      <c r="A1534" s="6">
        <v>43108</v>
      </c>
      <c r="B1534" t="s">
        <v>26</v>
      </c>
      <c r="C1534">
        <v>56476</v>
      </c>
      <c r="D1534" t="s">
        <v>57</v>
      </c>
      <c r="E1534" s="7">
        <v>22337.5</v>
      </c>
      <c r="F1534" t="s">
        <v>20</v>
      </c>
      <c r="G1534" t="s">
        <v>21</v>
      </c>
      <c r="H1534" t="str">
        <f>"12.15.17"</f>
        <v>12.15.17</v>
      </c>
      <c r="I1534" t="str">
        <f>"F.E.L.P.S."</f>
        <v>F.E.L.P.S.</v>
      </c>
    </row>
    <row r="1535" spans="1:9" x14ac:dyDescent="0.25">
      <c r="A1535" s="6">
        <v>43108</v>
      </c>
      <c r="B1535" t="s">
        <v>26</v>
      </c>
      <c r="C1535">
        <v>56477</v>
      </c>
      <c r="D1535" t="s">
        <v>165</v>
      </c>
      <c r="E1535" s="7">
        <v>446.52</v>
      </c>
      <c r="F1535" t="s">
        <v>20</v>
      </c>
      <c r="G1535" t="s">
        <v>21</v>
      </c>
      <c r="H1535" t="str">
        <f>"12.16.17"</f>
        <v>12.16.17</v>
      </c>
      <c r="I1535" t="str">
        <f>"WAL-MART BUSINESS/SYNCB"</f>
        <v>WAL-MART BUSINESS/SYNCB</v>
      </c>
    </row>
    <row r="1536" spans="1:9" x14ac:dyDescent="0.25">
      <c r="A1536" s="6">
        <v>43108</v>
      </c>
      <c r="B1536" t="s">
        <v>26</v>
      </c>
      <c r="C1536">
        <v>56478</v>
      </c>
      <c r="D1536" t="s">
        <v>234</v>
      </c>
      <c r="E1536" s="7">
        <v>1508.58</v>
      </c>
      <c r="F1536" t="s">
        <v>20</v>
      </c>
      <c r="G1536" t="s">
        <v>21</v>
      </c>
      <c r="H1536" t="str">
        <f>"13667682-00"</f>
        <v>13667682-00</v>
      </c>
      <c r="I1536" t="str">
        <f>"ALAMO DISTRIBUTION  LLC"</f>
        <v>ALAMO DISTRIBUTION  LLC</v>
      </c>
    </row>
    <row r="1537" spans="1:9" x14ac:dyDescent="0.25">
      <c r="E1537" s="7"/>
      <c r="F1537" t="s">
        <v>20</v>
      </c>
      <c r="G1537" t="s">
        <v>21</v>
      </c>
      <c r="H1537" t="str">
        <f>"13697504-00"</f>
        <v>13697504-00</v>
      </c>
      <c r="I1537" t="str">
        <f>"ALAMO DISTRIBUTION  LLC"</f>
        <v>ALAMO DISTRIBUTION  LLC</v>
      </c>
    </row>
    <row r="1538" spans="1:9" x14ac:dyDescent="0.25">
      <c r="A1538" s="6">
        <v>43108</v>
      </c>
      <c r="B1538" t="s">
        <v>26</v>
      </c>
      <c r="C1538">
        <v>56479</v>
      </c>
      <c r="D1538" t="s">
        <v>103</v>
      </c>
      <c r="E1538" s="7">
        <v>65217.47</v>
      </c>
      <c r="F1538" t="s">
        <v>20</v>
      </c>
      <c r="G1538" t="s">
        <v>21</v>
      </c>
      <c r="H1538" t="str">
        <f>"12/2017"</f>
        <v>12/2017</v>
      </c>
      <c r="I1538" t="str">
        <f>"F. E. D. C."</f>
        <v>F. E. D. C.</v>
      </c>
    </row>
    <row r="1539" spans="1:9" x14ac:dyDescent="0.25">
      <c r="A1539" s="6">
        <v>43108</v>
      </c>
      <c r="B1539" t="s">
        <v>26</v>
      </c>
      <c r="C1539">
        <v>56480</v>
      </c>
      <c r="D1539" t="s">
        <v>59</v>
      </c>
      <c r="E1539" s="7">
        <v>3511.4</v>
      </c>
      <c r="F1539" t="s">
        <v>20</v>
      </c>
      <c r="G1539" t="s">
        <v>21</v>
      </c>
      <c r="H1539" t="str">
        <f>"0895383-2"</f>
        <v>0895383-2</v>
      </c>
      <c r="I1539" t="str">
        <f t="shared" ref="I1539:I1544" si="21">"FERGUSON WATERWORKS - MUNICIPA"</f>
        <v>FERGUSON WATERWORKS - MUNICIPA</v>
      </c>
    </row>
    <row r="1540" spans="1:9" x14ac:dyDescent="0.25">
      <c r="E1540" s="7"/>
      <c r="F1540" t="s">
        <v>20</v>
      </c>
      <c r="G1540" t="s">
        <v>21</v>
      </c>
      <c r="H1540" t="str">
        <f>"0907173-1"</f>
        <v>0907173-1</v>
      </c>
      <c r="I1540" t="str">
        <f t="shared" si="21"/>
        <v>FERGUSON WATERWORKS - MUNICIPA</v>
      </c>
    </row>
    <row r="1541" spans="1:9" x14ac:dyDescent="0.25">
      <c r="E1541" s="7"/>
      <c r="F1541" t="s">
        <v>20</v>
      </c>
      <c r="G1541" t="s">
        <v>21</v>
      </c>
      <c r="H1541" t="str">
        <f>"0912728-1"</f>
        <v>0912728-1</v>
      </c>
      <c r="I1541" t="str">
        <f t="shared" si="21"/>
        <v>FERGUSON WATERWORKS - MUNICIPA</v>
      </c>
    </row>
    <row r="1542" spans="1:9" x14ac:dyDescent="0.25">
      <c r="E1542" s="7"/>
      <c r="F1542" t="s">
        <v>20</v>
      </c>
      <c r="G1542" t="s">
        <v>21</v>
      </c>
      <c r="H1542" t="str">
        <f>"0916624-1"</f>
        <v>0916624-1</v>
      </c>
      <c r="I1542" t="str">
        <f t="shared" si="21"/>
        <v>FERGUSON WATERWORKS - MUNICIPA</v>
      </c>
    </row>
    <row r="1543" spans="1:9" x14ac:dyDescent="0.25">
      <c r="E1543" s="7"/>
      <c r="F1543" t="s">
        <v>20</v>
      </c>
      <c r="G1543" t="s">
        <v>21</v>
      </c>
      <c r="H1543" t="str">
        <f>"0918473"</f>
        <v>0918473</v>
      </c>
      <c r="I1543" t="str">
        <f t="shared" si="21"/>
        <v>FERGUSON WATERWORKS - MUNICIPA</v>
      </c>
    </row>
    <row r="1544" spans="1:9" x14ac:dyDescent="0.25">
      <c r="E1544" s="7"/>
      <c r="F1544" t="s">
        <v>20</v>
      </c>
      <c r="G1544" t="s">
        <v>21</v>
      </c>
      <c r="H1544" t="str">
        <f>"0920477"</f>
        <v>0920477</v>
      </c>
      <c r="I1544" t="str">
        <f t="shared" si="21"/>
        <v>FERGUSON WATERWORKS - MUNICIPA</v>
      </c>
    </row>
    <row r="1545" spans="1:9" x14ac:dyDescent="0.25">
      <c r="A1545" s="6">
        <v>43108</v>
      </c>
      <c r="B1545" t="s">
        <v>26</v>
      </c>
      <c r="C1545">
        <v>56482</v>
      </c>
      <c r="D1545" t="s">
        <v>180</v>
      </c>
      <c r="E1545" s="7">
        <v>19.690000000000001</v>
      </c>
      <c r="F1545" t="s">
        <v>20</v>
      </c>
      <c r="G1545" t="s">
        <v>21</v>
      </c>
      <c r="H1545" t="str">
        <f>"30121028"</f>
        <v>30121028</v>
      </c>
      <c r="I1545" t="str">
        <f>"DITTMAR LUMBER CO."</f>
        <v>DITTMAR LUMBER CO.</v>
      </c>
    </row>
    <row r="1546" spans="1:9" x14ac:dyDescent="0.25">
      <c r="A1546" s="6">
        <v>43108</v>
      </c>
      <c r="B1546" t="s">
        <v>26</v>
      </c>
      <c r="C1546">
        <v>56483</v>
      </c>
      <c r="D1546" t="s">
        <v>108</v>
      </c>
      <c r="E1546" s="7">
        <v>1443.68</v>
      </c>
      <c r="F1546" t="s">
        <v>20</v>
      </c>
      <c r="G1546" t="s">
        <v>21</v>
      </c>
      <c r="H1546" t="str">
        <f>"041295586214"</f>
        <v>041295586214</v>
      </c>
      <c r="I1546" t="str">
        <f>"POOLSURE"</f>
        <v>POOLSURE</v>
      </c>
    </row>
    <row r="1547" spans="1:9" x14ac:dyDescent="0.25">
      <c r="A1547" s="6">
        <v>43108</v>
      </c>
      <c r="B1547" t="s">
        <v>26</v>
      </c>
      <c r="C1547">
        <v>56484</v>
      </c>
      <c r="D1547" t="s">
        <v>203</v>
      </c>
      <c r="E1547" s="7">
        <v>873.49</v>
      </c>
      <c r="F1547" t="s">
        <v>20</v>
      </c>
      <c r="G1547" t="s">
        <v>21</v>
      </c>
      <c r="H1547" t="str">
        <f>"432744"</f>
        <v>432744</v>
      </c>
      <c r="I1547" t="str">
        <f>"USA BLUEBOOK"</f>
        <v>USA BLUEBOOK</v>
      </c>
    </row>
    <row r="1548" spans="1:9" x14ac:dyDescent="0.25">
      <c r="A1548" s="6">
        <v>43108</v>
      </c>
      <c r="B1548" t="s">
        <v>26</v>
      </c>
      <c r="C1548">
        <v>56485</v>
      </c>
      <c r="D1548" t="s">
        <v>110</v>
      </c>
      <c r="E1548" s="7">
        <v>9326.4599999999991</v>
      </c>
      <c r="F1548" t="s">
        <v>20</v>
      </c>
      <c r="G1548" t="s">
        <v>21</v>
      </c>
      <c r="H1548" t="str">
        <f>"1394270"</f>
        <v>1394270</v>
      </c>
      <c r="I1548" t="str">
        <f t="shared" ref="I1548:I1553" si="22">"BUREAU VERITAS NORTH AMERICA"</f>
        <v>BUREAU VERITAS NORTH AMERICA</v>
      </c>
    </row>
    <row r="1549" spans="1:9" x14ac:dyDescent="0.25">
      <c r="E1549" s="7"/>
      <c r="F1549" t="s">
        <v>20</v>
      </c>
      <c r="G1549" t="s">
        <v>21</v>
      </c>
      <c r="H1549" t="str">
        <f>"1394271"</f>
        <v>1394271</v>
      </c>
      <c r="I1549" t="str">
        <f t="shared" si="22"/>
        <v>BUREAU VERITAS NORTH AMERICA</v>
      </c>
    </row>
    <row r="1550" spans="1:9" x14ac:dyDescent="0.25">
      <c r="E1550" s="7"/>
      <c r="F1550" t="s">
        <v>20</v>
      </c>
      <c r="G1550" t="s">
        <v>21</v>
      </c>
      <c r="H1550" t="str">
        <f>"1394272"</f>
        <v>1394272</v>
      </c>
      <c r="I1550" t="str">
        <f t="shared" si="22"/>
        <v>BUREAU VERITAS NORTH AMERICA</v>
      </c>
    </row>
    <row r="1551" spans="1:9" x14ac:dyDescent="0.25">
      <c r="E1551" s="7"/>
      <c r="F1551" t="s">
        <v>20</v>
      </c>
      <c r="G1551" t="s">
        <v>21</v>
      </c>
      <c r="H1551" t="str">
        <f>"1394273"</f>
        <v>1394273</v>
      </c>
      <c r="I1551" t="str">
        <f t="shared" si="22"/>
        <v>BUREAU VERITAS NORTH AMERICA</v>
      </c>
    </row>
    <row r="1552" spans="1:9" x14ac:dyDescent="0.25">
      <c r="E1552" s="7"/>
      <c r="F1552" t="s">
        <v>20</v>
      </c>
      <c r="G1552" t="s">
        <v>21</v>
      </c>
      <c r="H1552" t="str">
        <f>"1394274"</f>
        <v>1394274</v>
      </c>
      <c r="I1552" t="str">
        <f t="shared" si="22"/>
        <v>BUREAU VERITAS NORTH AMERICA</v>
      </c>
    </row>
    <row r="1553" spans="1:9" x14ac:dyDescent="0.25">
      <c r="E1553" s="7"/>
      <c r="F1553" t="s">
        <v>20</v>
      </c>
      <c r="G1553" t="s">
        <v>21</v>
      </c>
      <c r="H1553" t="str">
        <f>"1394275"</f>
        <v>1394275</v>
      </c>
      <c r="I1553" t="str">
        <f t="shared" si="22"/>
        <v>BUREAU VERITAS NORTH AMERICA</v>
      </c>
    </row>
    <row r="1554" spans="1:9" x14ac:dyDescent="0.25">
      <c r="A1554" s="6">
        <v>43108</v>
      </c>
      <c r="B1554" t="s">
        <v>26</v>
      </c>
      <c r="C1554">
        <v>56486</v>
      </c>
      <c r="D1554" t="s">
        <v>184</v>
      </c>
      <c r="E1554" s="7">
        <v>1078</v>
      </c>
      <c r="F1554" t="s">
        <v>20</v>
      </c>
      <c r="G1554" t="s">
        <v>21</v>
      </c>
      <c r="H1554" t="str">
        <f>"1047-531"</f>
        <v>1047-531</v>
      </c>
      <c r="I1554" t="str">
        <f>"POLLUTION CONTROL SERVICES"</f>
        <v>POLLUTION CONTROL SERVICES</v>
      </c>
    </row>
    <row r="1555" spans="1:9" x14ac:dyDescent="0.25">
      <c r="E1555" s="7"/>
      <c r="F1555" t="s">
        <v>20</v>
      </c>
      <c r="G1555" t="s">
        <v>21</v>
      </c>
      <c r="H1555" t="str">
        <f>"1048-331"</f>
        <v>1048-331</v>
      </c>
      <c r="I1555" t="str">
        <f>"POLLUTION CONTROL SERVICES"</f>
        <v>POLLUTION CONTROL SERVICES</v>
      </c>
    </row>
    <row r="1556" spans="1:9" x14ac:dyDescent="0.25">
      <c r="E1556" s="7"/>
      <c r="F1556" t="s">
        <v>20</v>
      </c>
      <c r="G1556" t="s">
        <v>21</v>
      </c>
      <c r="H1556" t="str">
        <f>"1048-332"</f>
        <v>1048-332</v>
      </c>
      <c r="I1556" t="str">
        <f>"POLLUTION CONTROL SERVICES"</f>
        <v>POLLUTION CONTROL SERVICES</v>
      </c>
    </row>
    <row r="1557" spans="1:9" x14ac:dyDescent="0.25">
      <c r="A1557" s="6">
        <v>43108</v>
      </c>
      <c r="B1557" t="s">
        <v>26</v>
      </c>
      <c r="C1557">
        <v>56487</v>
      </c>
      <c r="D1557" t="s">
        <v>115</v>
      </c>
      <c r="E1557" s="7">
        <v>2132.67</v>
      </c>
      <c r="F1557" t="s">
        <v>20</v>
      </c>
      <c r="G1557" t="s">
        <v>21</v>
      </c>
      <c r="H1557" t="str">
        <f>"33131"</f>
        <v>33131</v>
      </c>
      <c r="I1557" t="str">
        <f t="shared" ref="I1557:I1562" si="23">"AUTOZONE"</f>
        <v>AUTOZONE</v>
      </c>
    </row>
    <row r="1558" spans="1:9" x14ac:dyDescent="0.25">
      <c r="E1558" s="7"/>
      <c r="F1558" t="s">
        <v>20</v>
      </c>
      <c r="G1558" t="s">
        <v>21</v>
      </c>
      <c r="H1558" t="str">
        <f>"34084"</f>
        <v>34084</v>
      </c>
      <c r="I1558" t="str">
        <f t="shared" si="23"/>
        <v>AUTOZONE</v>
      </c>
    </row>
    <row r="1559" spans="1:9" x14ac:dyDescent="0.25">
      <c r="E1559" s="7"/>
      <c r="F1559" t="s">
        <v>20</v>
      </c>
      <c r="G1559" t="s">
        <v>21</v>
      </c>
      <c r="H1559" t="str">
        <f>"35367"</f>
        <v>35367</v>
      </c>
      <c r="I1559" t="str">
        <f t="shared" si="23"/>
        <v>AUTOZONE</v>
      </c>
    </row>
    <row r="1560" spans="1:9" x14ac:dyDescent="0.25">
      <c r="E1560" s="7"/>
      <c r="F1560" t="s">
        <v>20</v>
      </c>
      <c r="G1560" t="s">
        <v>21</v>
      </c>
      <c r="H1560" t="str">
        <f>"3547044693"</f>
        <v>3547044693</v>
      </c>
      <c r="I1560" t="str">
        <f t="shared" si="23"/>
        <v>AUTOZONE</v>
      </c>
    </row>
    <row r="1561" spans="1:9" x14ac:dyDescent="0.25">
      <c r="E1561" s="7"/>
      <c r="F1561" t="s">
        <v>20</v>
      </c>
      <c r="G1561" t="s">
        <v>21</v>
      </c>
      <c r="H1561" t="str">
        <f>"3547052810"</f>
        <v>3547052810</v>
      </c>
      <c r="I1561" t="str">
        <f t="shared" si="23"/>
        <v>AUTOZONE</v>
      </c>
    </row>
    <row r="1562" spans="1:9" x14ac:dyDescent="0.25">
      <c r="E1562" s="7"/>
      <c r="F1562" t="s">
        <v>20</v>
      </c>
      <c r="G1562" t="s">
        <v>21</v>
      </c>
      <c r="H1562" t="str">
        <f>"3547053852"</f>
        <v>3547053852</v>
      </c>
      <c r="I1562" t="str">
        <f t="shared" si="23"/>
        <v>AUTOZONE</v>
      </c>
    </row>
    <row r="1563" spans="1:9" x14ac:dyDescent="0.25">
      <c r="A1563" s="6">
        <v>43108</v>
      </c>
      <c r="B1563" t="s">
        <v>26</v>
      </c>
      <c r="C1563">
        <v>56489</v>
      </c>
      <c r="D1563" t="s">
        <v>117</v>
      </c>
      <c r="E1563" s="7">
        <v>1272.8399999999999</v>
      </c>
      <c r="F1563" t="s">
        <v>20</v>
      </c>
      <c r="G1563" t="s">
        <v>21</v>
      </c>
      <c r="H1563" t="str">
        <f>"NOV 2017"</f>
        <v>NOV 2017</v>
      </c>
      <c r="I1563" t="str">
        <f>"LINEBARGER GOGGAN BLAIR &amp; SAMP"</f>
        <v>LINEBARGER GOGGAN BLAIR &amp; SAMP</v>
      </c>
    </row>
    <row r="1564" spans="1:9" x14ac:dyDescent="0.25">
      <c r="A1564" s="6">
        <v>43108</v>
      </c>
      <c r="B1564" t="s">
        <v>26</v>
      </c>
      <c r="C1564">
        <v>56490</v>
      </c>
      <c r="D1564" t="s">
        <v>119</v>
      </c>
      <c r="E1564" s="7">
        <v>2225.4</v>
      </c>
      <c r="F1564" t="s">
        <v>20</v>
      </c>
      <c r="G1564" t="s">
        <v>21</v>
      </c>
      <c r="H1564" t="str">
        <f>"33131"</f>
        <v>33131</v>
      </c>
      <c r="I1564" t="str">
        <f>"PRUSKI'S TIRE SHOP  L.L.C."</f>
        <v>PRUSKI'S TIRE SHOP  L.L.C.</v>
      </c>
    </row>
    <row r="1565" spans="1:9" x14ac:dyDescent="0.25">
      <c r="E1565" s="7"/>
      <c r="F1565" t="s">
        <v>20</v>
      </c>
      <c r="G1565" t="s">
        <v>21</v>
      </c>
      <c r="H1565" t="str">
        <f>"34084"</f>
        <v>34084</v>
      </c>
      <c r="I1565" t="str">
        <f>"PRUSKI'S TIRE SHOP  L.L.C."</f>
        <v>PRUSKI'S TIRE SHOP  L.L.C.</v>
      </c>
    </row>
    <row r="1566" spans="1:9" x14ac:dyDescent="0.25">
      <c r="E1566" s="7"/>
      <c r="F1566" t="s">
        <v>20</v>
      </c>
      <c r="G1566" t="s">
        <v>21</v>
      </c>
      <c r="H1566" t="str">
        <f>"35367"</f>
        <v>35367</v>
      </c>
      <c r="I1566" t="str">
        <f>"PRUSKI'S TIRE SHOP  L.L.C."</f>
        <v>PRUSKI'S TIRE SHOP  L.L.C.</v>
      </c>
    </row>
    <row r="1567" spans="1:9" x14ac:dyDescent="0.25">
      <c r="E1567" s="7"/>
      <c r="F1567" t="s">
        <v>20</v>
      </c>
      <c r="G1567" t="s">
        <v>21</v>
      </c>
      <c r="H1567" t="str">
        <f>"35768"</f>
        <v>35768</v>
      </c>
      <c r="I1567" t="str">
        <f>"PRUSKI'S TIRE SHOP  L.L.C."</f>
        <v>PRUSKI'S TIRE SHOP  L.L.C.</v>
      </c>
    </row>
    <row r="1568" spans="1:9" x14ac:dyDescent="0.25">
      <c r="E1568" s="7"/>
      <c r="F1568" t="s">
        <v>20</v>
      </c>
      <c r="G1568" t="s">
        <v>21</v>
      </c>
      <c r="H1568" t="str">
        <f>"35920"</f>
        <v>35920</v>
      </c>
      <c r="I1568" t="str">
        <f>"PRUSKI'S TIRE SHOP  L.L.C."</f>
        <v>PRUSKI'S TIRE SHOP  L.L.C.</v>
      </c>
    </row>
    <row r="1569" spans="1:9" x14ac:dyDescent="0.25">
      <c r="A1569" s="6">
        <v>43108</v>
      </c>
      <c r="B1569" t="s">
        <v>26</v>
      </c>
      <c r="C1569">
        <v>56491</v>
      </c>
      <c r="D1569" t="s">
        <v>120</v>
      </c>
      <c r="E1569" s="7">
        <v>2384.37</v>
      </c>
      <c r="F1569" t="s">
        <v>20</v>
      </c>
      <c r="G1569" t="s">
        <v>21</v>
      </c>
      <c r="H1569" t="str">
        <f>"66871801"</f>
        <v>66871801</v>
      </c>
      <c r="I1569" t="str">
        <f>"VERIZON BUSINESS"</f>
        <v>VERIZON BUSINESS</v>
      </c>
    </row>
    <row r="1570" spans="1:9" x14ac:dyDescent="0.25">
      <c r="E1570" s="7"/>
      <c r="F1570" t="s">
        <v>20</v>
      </c>
      <c r="G1570" t="s">
        <v>21</v>
      </c>
      <c r="H1570" t="str">
        <f>"70637125"</f>
        <v>70637125</v>
      </c>
      <c r="I1570" t="str">
        <f>"VERIZON BUSINESS"</f>
        <v>VERIZON BUSINESS</v>
      </c>
    </row>
    <row r="1571" spans="1:9" x14ac:dyDescent="0.25">
      <c r="E1571" s="7"/>
      <c r="F1571" t="s">
        <v>20</v>
      </c>
      <c r="G1571" t="s">
        <v>21</v>
      </c>
      <c r="H1571" t="str">
        <f>"70637347"</f>
        <v>70637347</v>
      </c>
      <c r="I1571" t="str">
        <f>"VERIZON BUSINESS"</f>
        <v>VERIZON BUSINESS</v>
      </c>
    </row>
    <row r="1572" spans="1:9" x14ac:dyDescent="0.25">
      <c r="A1572" s="6">
        <v>43108</v>
      </c>
      <c r="B1572" t="s">
        <v>26</v>
      </c>
      <c r="C1572">
        <v>56492</v>
      </c>
      <c r="D1572" t="s">
        <v>68</v>
      </c>
      <c r="E1572" s="7">
        <v>300</v>
      </c>
      <c r="F1572" t="s">
        <v>20</v>
      </c>
      <c r="G1572" t="s">
        <v>21</v>
      </c>
      <c r="H1572" t="str">
        <f>"0399003-IN"</f>
        <v>0399003-IN</v>
      </c>
      <c r="I1572" t="str">
        <f>"SOUTHWASTE DISPOSAL  LLP"</f>
        <v>SOUTHWASTE DISPOSAL  LLP</v>
      </c>
    </row>
    <row r="1573" spans="1:9" x14ac:dyDescent="0.25">
      <c r="A1573" s="6">
        <v>43108</v>
      </c>
      <c r="B1573" t="s">
        <v>26</v>
      </c>
      <c r="C1573">
        <v>56493</v>
      </c>
      <c r="D1573" t="s">
        <v>69</v>
      </c>
      <c r="E1573" s="7">
        <v>341.9</v>
      </c>
      <c r="F1573" t="s">
        <v>20</v>
      </c>
      <c r="G1573" t="s">
        <v>21</v>
      </c>
      <c r="H1573" t="str">
        <f>"3386557"</f>
        <v>3386557</v>
      </c>
      <c r="I1573" t="str">
        <f>"EWALD TRACTOR SUPPLY"</f>
        <v>EWALD TRACTOR SUPPLY</v>
      </c>
    </row>
    <row r="1574" spans="1:9" x14ac:dyDescent="0.25">
      <c r="A1574" s="6">
        <v>43108</v>
      </c>
      <c r="B1574" t="s">
        <v>26</v>
      </c>
      <c r="C1574">
        <v>56494</v>
      </c>
      <c r="D1574" t="s">
        <v>29</v>
      </c>
      <c r="E1574" s="7">
        <v>5397.5</v>
      </c>
      <c r="F1574" t="s">
        <v>20</v>
      </c>
      <c r="G1574" t="s">
        <v>21</v>
      </c>
      <c r="H1574" t="str">
        <f>"29799"</f>
        <v>29799</v>
      </c>
      <c r="I1574" t="str">
        <f>"M &amp; S ENGINEERING  LLC"</f>
        <v>M &amp; S ENGINEERING  LLC</v>
      </c>
    </row>
    <row r="1575" spans="1:9" x14ac:dyDescent="0.25">
      <c r="A1575" s="6">
        <v>43108</v>
      </c>
      <c r="B1575" t="s">
        <v>26</v>
      </c>
      <c r="C1575">
        <v>56495</v>
      </c>
      <c r="D1575" t="s">
        <v>71</v>
      </c>
      <c r="E1575" s="7">
        <v>96.15</v>
      </c>
      <c r="F1575" t="s">
        <v>20</v>
      </c>
      <c r="G1575" t="s">
        <v>21</v>
      </c>
      <c r="H1575" t="str">
        <f>"087792588"</f>
        <v>087792588</v>
      </c>
      <c r="I1575" t="str">
        <f>"CINTAS CORPORATION #087"</f>
        <v>CINTAS CORPORATION #087</v>
      </c>
    </row>
    <row r="1576" spans="1:9" x14ac:dyDescent="0.25">
      <c r="A1576" s="6">
        <v>43108</v>
      </c>
      <c r="B1576" t="s">
        <v>26</v>
      </c>
      <c r="C1576">
        <v>56496</v>
      </c>
      <c r="D1576" t="s">
        <v>122</v>
      </c>
      <c r="E1576" s="7">
        <v>40</v>
      </c>
      <c r="F1576" t="s">
        <v>20</v>
      </c>
      <c r="G1576" t="s">
        <v>21</v>
      </c>
      <c r="H1576" t="str">
        <f>"0850986"</f>
        <v>0850986</v>
      </c>
      <c r="I1576" t="str">
        <f>"VILLA TIRES"</f>
        <v>VILLA TIRES</v>
      </c>
    </row>
    <row r="1577" spans="1:9" x14ac:dyDescent="0.25">
      <c r="E1577" s="7"/>
      <c r="F1577" t="s">
        <v>20</v>
      </c>
      <c r="G1577" t="s">
        <v>21</v>
      </c>
      <c r="H1577" t="str">
        <f>"0850992"</f>
        <v>0850992</v>
      </c>
      <c r="I1577" t="str">
        <f>"VILLA TIRES"</f>
        <v>VILLA TIRES</v>
      </c>
    </row>
    <row r="1578" spans="1:9" x14ac:dyDescent="0.25">
      <c r="E1578" s="7"/>
      <c r="F1578" t="s">
        <v>20</v>
      </c>
      <c r="G1578" t="s">
        <v>21</v>
      </c>
      <c r="H1578" t="str">
        <f>"0850995"</f>
        <v>0850995</v>
      </c>
      <c r="I1578" t="str">
        <f>"VILLA TIRES"</f>
        <v>VILLA TIRES</v>
      </c>
    </row>
    <row r="1579" spans="1:9" x14ac:dyDescent="0.25">
      <c r="E1579" s="7"/>
      <c r="F1579" t="s">
        <v>20</v>
      </c>
      <c r="G1579" t="s">
        <v>21</v>
      </c>
      <c r="H1579" t="str">
        <f>"850967"</f>
        <v>850967</v>
      </c>
      <c r="I1579" t="str">
        <f>"VILLA TIRES"</f>
        <v>VILLA TIRES</v>
      </c>
    </row>
    <row r="1580" spans="1:9" x14ac:dyDescent="0.25">
      <c r="A1580" s="6">
        <v>43108</v>
      </c>
      <c r="B1580" t="s">
        <v>26</v>
      </c>
      <c r="C1580">
        <v>56497</v>
      </c>
      <c r="D1580" t="s">
        <v>235</v>
      </c>
      <c r="E1580" s="7">
        <v>2260</v>
      </c>
      <c r="F1580" t="s">
        <v>20</v>
      </c>
      <c r="G1580" t="s">
        <v>21</v>
      </c>
      <c r="H1580" t="str">
        <f>"201801088204"</f>
        <v>201801088204</v>
      </c>
      <c r="I1580" t="str">
        <f>"WILSON COUNTY AUDITOR"</f>
        <v>WILSON COUNTY AUDITOR</v>
      </c>
    </row>
    <row r="1581" spans="1:9" x14ac:dyDescent="0.25">
      <c r="A1581" s="6">
        <v>43108</v>
      </c>
      <c r="B1581" t="s">
        <v>26</v>
      </c>
      <c r="C1581">
        <v>56498</v>
      </c>
      <c r="D1581" t="s">
        <v>123</v>
      </c>
      <c r="E1581" s="7">
        <v>705.36</v>
      </c>
      <c r="F1581" t="s">
        <v>20</v>
      </c>
      <c r="G1581" t="s">
        <v>24</v>
      </c>
      <c r="H1581" t="str">
        <f>"991871206001"</f>
        <v>991871206001</v>
      </c>
      <c r="I1581" t="str">
        <f t="shared" ref="I1581:I1588" si="24">"OFFICE DEPOT  INC."</f>
        <v>OFFICE DEPOT  INC.</v>
      </c>
    </row>
    <row r="1582" spans="1:9" x14ac:dyDescent="0.25">
      <c r="E1582" s="7"/>
      <c r="F1582" t="s">
        <v>20</v>
      </c>
      <c r="G1582" t="s">
        <v>21</v>
      </c>
      <c r="H1582" t="str">
        <f>"987584112001"</f>
        <v>987584112001</v>
      </c>
      <c r="I1582" t="str">
        <f t="shared" si="24"/>
        <v>OFFICE DEPOT  INC.</v>
      </c>
    </row>
    <row r="1583" spans="1:9" x14ac:dyDescent="0.25">
      <c r="E1583" s="7"/>
      <c r="F1583" t="s">
        <v>20</v>
      </c>
      <c r="G1583" t="s">
        <v>21</v>
      </c>
      <c r="H1583" t="str">
        <f>"987584397001"</f>
        <v>987584397001</v>
      </c>
      <c r="I1583" t="str">
        <f t="shared" si="24"/>
        <v>OFFICE DEPOT  INC.</v>
      </c>
    </row>
    <row r="1584" spans="1:9" x14ac:dyDescent="0.25">
      <c r="E1584" s="7"/>
      <c r="F1584" t="s">
        <v>20</v>
      </c>
      <c r="G1584" t="s">
        <v>21</v>
      </c>
      <c r="H1584" t="str">
        <f>"987740191001"</f>
        <v>987740191001</v>
      </c>
      <c r="I1584" t="str">
        <f t="shared" si="24"/>
        <v>OFFICE DEPOT  INC.</v>
      </c>
    </row>
    <row r="1585" spans="1:9" x14ac:dyDescent="0.25">
      <c r="E1585" s="7"/>
      <c r="F1585" t="s">
        <v>20</v>
      </c>
      <c r="G1585" t="s">
        <v>21</v>
      </c>
      <c r="H1585" t="str">
        <f>"989015706001"</f>
        <v>989015706001</v>
      </c>
      <c r="I1585" t="str">
        <f t="shared" si="24"/>
        <v>OFFICE DEPOT  INC.</v>
      </c>
    </row>
    <row r="1586" spans="1:9" x14ac:dyDescent="0.25">
      <c r="E1586" s="7"/>
      <c r="F1586" t="s">
        <v>20</v>
      </c>
      <c r="G1586" t="s">
        <v>21</v>
      </c>
      <c r="H1586" t="str">
        <f>"989095984001"</f>
        <v>989095984001</v>
      </c>
      <c r="I1586" t="str">
        <f t="shared" si="24"/>
        <v>OFFICE DEPOT  INC.</v>
      </c>
    </row>
    <row r="1587" spans="1:9" x14ac:dyDescent="0.25">
      <c r="E1587" s="7"/>
      <c r="F1587" t="s">
        <v>20</v>
      </c>
      <c r="G1587" t="s">
        <v>21</v>
      </c>
      <c r="H1587" t="str">
        <f>"989137319001"</f>
        <v>989137319001</v>
      </c>
      <c r="I1587" t="str">
        <f t="shared" si="24"/>
        <v>OFFICE DEPOT  INC.</v>
      </c>
    </row>
    <row r="1588" spans="1:9" x14ac:dyDescent="0.25">
      <c r="E1588" s="7"/>
      <c r="F1588" t="s">
        <v>20</v>
      </c>
      <c r="G1588" t="s">
        <v>21</v>
      </c>
      <c r="H1588" t="str">
        <f>"990061974001"</f>
        <v>990061974001</v>
      </c>
      <c r="I1588" t="str">
        <f t="shared" si="24"/>
        <v>OFFICE DEPOT  INC.</v>
      </c>
    </row>
    <row r="1589" spans="1:9" x14ac:dyDescent="0.25">
      <c r="A1589" s="6">
        <v>43108</v>
      </c>
      <c r="B1589" t="s">
        <v>26</v>
      </c>
      <c r="C1589">
        <v>56500</v>
      </c>
      <c r="D1589" t="s">
        <v>137</v>
      </c>
      <c r="E1589" s="7">
        <v>121.9</v>
      </c>
      <c r="F1589" t="s">
        <v>20</v>
      </c>
      <c r="G1589" t="s">
        <v>21</v>
      </c>
      <c r="H1589" t="str">
        <f>"1443045"</f>
        <v>1443045</v>
      </c>
      <c r="I1589" t="str">
        <f>"OMNIBUS-M  INC.D.B.A."</f>
        <v>OMNIBUS-M  INC.D.B.A.</v>
      </c>
    </row>
    <row r="1590" spans="1:9" x14ac:dyDescent="0.25">
      <c r="E1590" s="7"/>
      <c r="F1590" t="s">
        <v>20</v>
      </c>
      <c r="G1590" t="s">
        <v>21</v>
      </c>
      <c r="H1590" t="str">
        <f>"1443046"</f>
        <v>1443046</v>
      </c>
      <c r="I1590" t="str">
        <f>"OMNIBUS-M  INC.D.B.A."</f>
        <v>OMNIBUS-M  INC.D.B.A.</v>
      </c>
    </row>
    <row r="1591" spans="1:9" x14ac:dyDescent="0.25">
      <c r="A1591" s="6">
        <v>43108</v>
      </c>
      <c r="B1591" t="s">
        <v>26</v>
      </c>
      <c r="C1591">
        <v>56501</v>
      </c>
      <c r="D1591" t="s">
        <v>124</v>
      </c>
      <c r="E1591" s="7">
        <v>748.62</v>
      </c>
      <c r="F1591" t="s">
        <v>20</v>
      </c>
      <c r="G1591" t="s">
        <v>21</v>
      </c>
      <c r="H1591" t="str">
        <f>"11150300"</f>
        <v>11150300</v>
      </c>
      <c r="I1591" t="str">
        <f>"MCCOY'S CORPORATION"</f>
        <v>MCCOY'S CORPORATION</v>
      </c>
    </row>
    <row r="1592" spans="1:9" x14ac:dyDescent="0.25">
      <c r="E1592" s="7"/>
      <c r="F1592" t="s">
        <v>20</v>
      </c>
      <c r="G1592" t="s">
        <v>21</v>
      </c>
      <c r="H1592" t="str">
        <f>"11150755"</f>
        <v>11150755</v>
      </c>
      <c r="I1592" t="str">
        <f>"MCCOY'S CORPORATION"</f>
        <v>MCCOY'S CORPORATION</v>
      </c>
    </row>
    <row r="1593" spans="1:9" x14ac:dyDescent="0.25">
      <c r="E1593" s="7"/>
      <c r="F1593" t="s">
        <v>20</v>
      </c>
      <c r="G1593" t="s">
        <v>21</v>
      </c>
      <c r="H1593" t="str">
        <f>"11150763"</f>
        <v>11150763</v>
      </c>
      <c r="I1593" t="str">
        <f>"MCCOY'S CORPORATION"</f>
        <v>MCCOY'S CORPORATION</v>
      </c>
    </row>
    <row r="1594" spans="1:9" x14ac:dyDescent="0.25">
      <c r="E1594" s="7"/>
      <c r="F1594" t="s">
        <v>20</v>
      </c>
      <c r="G1594" t="s">
        <v>21</v>
      </c>
      <c r="H1594" t="str">
        <f>"11150775"</f>
        <v>11150775</v>
      </c>
      <c r="I1594" t="str">
        <f>"MCCOY'S CORPORATION"</f>
        <v>MCCOY'S CORPORATION</v>
      </c>
    </row>
    <row r="1595" spans="1:9" x14ac:dyDescent="0.25">
      <c r="E1595" s="7"/>
      <c r="F1595" t="s">
        <v>20</v>
      </c>
      <c r="G1595" t="s">
        <v>21</v>
      </c>
      <c r="H1595" t="str">
        <f>"11153098"</f>
        <v>11153098</v>
      </c>
      <c r="I1595" t="str">
        <f>"MCCOY'S CORPORATION"</f>
        <v>MCCOY'S CORPORATION</v>
      </c>
    </row>
    <row r="1596" spans="1:9" x14ac:dyDescent="0.25">
      <c r="A1596" s="6">
        <v>43108</v>
      </c>
      <c r="B1596" t="s">
        <v>26</v>
      </c>
      <c r="C1596">
        <v>56502</v>
      </c>
      <c r="D1596" t="s">
        <v>79</v>
      </c>
      <c r="E1596" s="7">
        <v>51.28</v>
      </c>
      <c r="F1596" t="s">
        <v>20</v>
      </c>
      <c r="G1596" t="s">
        <v>21</v>
      </c>
      <c r="H1596" t="str">
        <f>"6-017-40027"</f>
        <v>6-017-40027</v>
      </c>
      <c r="I1596" t="str">
        <f>"FEDEX"</f>
        <v>FEDEX</v>
      </c>
    </row>
    <row r="1597" spans="1:9" x14ac:dyDescent="0.25">
      <c r="A1597" s="6">
        <v>43108</v>
      </c>
      <c r="B1597" t="s">
        <v>26</v>
      </c>
      <c r="C1597">
        <v>56503</v>
      </c>
      <c r="D1597" t="s">
        <v>80</v>
      </c>
      <c r="E1597" s="7">
        <v>1776.91</v>
      </c>
      <c r="F1597" t="s">
        <v>20</v>
      </c>
      <c r="G1597" t="s">
        <v>21</v>
      </c>
      <c r="H1597" t="str">
        <f>"1648-20180101-1"</f>
        <v>1648-20180101-1</v>
      </c>
      <c r="I1597" t="str">
        <f>"LVWIFI.COM"</f>
        <v>LVWIFI.COM</v>
      </c>
    </row>
    <row r="1598" spans="1:9" x14ac:dyDescent="0.25">
      <c r="E1598" s="7"/>
      <c r="F1598" t="s">
        <v>20</v>
      </c>
      <c r="G1598" t="s">
        <v>21</v>
      </c>
      <c r="H1598" t="str">
        <f>"2313-20180101-1"</f>
        <v>2313-20180101-1</v>
      </c>
      <c r="I1598" t="str">
        <f>"LVWIFI.COM"</f>
        <v>LVWIFI.COM</v>
      </c>
    </row>
    <row r="1599" spans="1:9" x14ac:dyDescent="0.25">
      <c r="E1599" s="7"/>
      <c r="F1599" t="s">
        <v>20</v>
      </c>
      <c r="G1599" t="s">
        <v>21</v>
      </c>
      <c r="H1599" t="str">
        <f>"2314-20180101-1"</f>
        <v>2314-20180101-1</v>
      </c>
      <c r="I1599" t="str">
        <f>"LVWIFI.COM"</f>
        <v>LVWIFI.COM</v>
      </c>
    </row>
    <row r="1600" spans="1:9" x14ac:dyDescent="0.25">
      <c r="E1600" s="7"/>
      <c r="F1600" t="s">
        <v>20</v>
      </c>
      <c r="G1600" t="s">
        <v>21</v>
      </c>
      <c r="H1600" t="str">
        <f>"2478-20180101-1"</f>
        <v>2478-20180101-1</v>
      </c>
      <c r="I1600" t="str">
        <f>"LVWIFI.COM"</f>
        <v>LVWIFI.COM</v>
      </c>
    </row>
    <row r="1601" spans="1:9" x14ac:dyDescent="0.25">
      <c r="A1601" s="6">
        <v>43108</v>
      </c>
      <c r="B1601" t="s">
        <v>26</v>
      </c>
      <c r="C1601">
        <v>56504</v>
      </c>
      <c r="D1601" t="s">
        <v>236</v>
      </c>
      <c r="E1601" s="7">
        <v>196.8</v>
      </c>
      <c r="F1601" t="s">
        <v>20</v>
      </c>
      <c r="G1601" t="s">
        <v>21</v>
      </c>
      <c r="H1601" t="str">
        <f>"71307507"</f>
        <v>71307507</v>
      </c>
      <c r="I1601" t="str">
        <f>"TIFCO INDUSTRIES  INC."</f>
        <v>TIFCO INDUSTRIES  INC.</v>
      </c>
    </row>
    <row r="1602" spans="1:9" x14ac:dyDescent="0.25">
      <c r="A1602" s="6">
        <v>43108</v>
      </c>
      <c r="B1602" t="s">
        <v>26</v>
      </c>
      <c r="C1602">
        <v>56505</v>
      </c>
      <c r="D1602" t="s">
        <v>192</v>
      </c>
      <c r="E1602" s="7">
        <v>2409.62</v>
      </c>
      <c r="F1602" t="s">
        <v>20</v>
      </c>
      <c r="G1602" t="s">
        <v>21</v>
      </c>
      <c r="H1602" t="str">
        <f>"57374526"</f>
        <v>57374526</v>
      </c>
      <c r="I1602" t="str">
        <f>"DE LAGE LANDEN PUBLIC FINANCE"</f>
        <v>DE LAGE LANDEN PUBLIC FINANCE</v>
      </c>
    </row>
    <row r="1603" spans="1:9" x14ac:dyDescent="0.25">
      <c r="E1603" s="7"/>
      <c r="F1603" t="s">
        <v>20</v>
      </c>
      <c r="G1603" t="s">
        <v>21</v>
      </c>
      <c r="H1603" t="str">
        <f>"57374529"</f>
        <v>57374529</v>
      </c>
      <c r="I1603" t="str">
        <f>"DE LAGE LANDEN PUBLIC FINANCE"</f>
        <v>DE LAGE LANDEN PUBLIC FINANCE</v>
      </c>
    </row>
    <row r="1604" spans="1:9" x14ac:dyDescent="0.25">
      <c r="E1604" s="7"/>
      <c r="F1604" t="s">
        <v>20</v>
      </c>
      <c r="G1604" t="s">
        <v>21</v>
      </c>
      <c r="H1604" t="str">
        <f>"57374541"</f>
        <v>57374541</v>
      </c>
      <c r="I1604" t="str">
        <f>"DE LAGE LANDEN PUBLIC FINANCE"</f>
        <v>DE LAGE LANDEN PUBLIC FINANCE</v>
      </c>
    </row>
    <row r="1605" spans="1:9" x14ac:dyDescent="0.25">
      <c r="A1605" s="6">
        <v>43108</v>
      </c>
      <c r="B1605" t="s">
        <v>26</v>
      </c>
      <c r="C1605">
        <v>56507</v>
      </c>
      <c r="D1605" t="s">
        <v>85</v>
      </c>
      <c r="E1605" s="7">
        <v>329.91</v>
      </c>
      <c r="F1605" t="s">
        <v>20</v>
      </c>
      <c r="G1605" t="s">
        <v>21</v>
      </c>
      <c r="H1605" t="str">
        <f>"201801088205"</f>
        <v>201801088205</v>
      </c>
      <c r="I1605" t="str">
        <f>"FRONTIER"</f>
        <v>FRONTIER</v>
      </c>
    </row>
    <row r="1606" spans="1:9" x14ac:dyDescent="0.25">
      <c r="E1606" s="7"/>
      <c r="F1606" t="s">
        <v>20</v>
      </c>
      <c r="G1606" t="s">
        <v>21</v>
      </c>
      <c r="H1606" t="str">
        <f>"201801088206"</f>
        <v>201801088206</v>
      </c>
      <c r="I1606" t="str">
        <f>"FRONTIER"</f>
        <v>FRONTIER</v>
      </c>
    </row>
    <row r="1607" spans="1:9" x14ac:dyDescent="0.25">
      <c r="E1607" s="7"/>
      <c r="F1607" t="s">
        <v>20</v>
      </c>
      <c r="G1607" t="s">
        <v>21</v>
      </c>
      <c r="H1607" t="str">
        <f>"201801088207"</f>
        <v>201801088207</v>
      </c>
      <c r="I1607" t="str">
        <f>"FRONTIER"</f>
        <v>FRONTIER</v>
      </c>
    </row>
    <row r="1608" spans="1:9" x14ac:dyDescent="0.25">
      <c r="E1608" s="7"/>
      <c r="F1608" t="s">
        <v>20</v>
      </c>
      <c r="G1608" t="s">
        <v>21</v>
      </c>
      <c r="H1608" t="str">
        <f>"201801088208"</f>
        <v>201801088208</v>
      </c>
      <c r="I1608" t="str">
        <f>"FRONTIER"</f>
        <v>FRONTIER</v>
      </c>
    </row>
    <row r="1609" spans="1:9" x14ac:dyDescent="0.25">
      <c r="A1609" s="6">
        <v>43108</v>
      </c>
      <c r="B1609" t="s">
        <v>26</v>
      </c>
      <c r="C1609">
        <v>56508</v>
      </c>
      <c r="D1609" t="s">
        <v>237</v>
      </c>
      <c r="E1609" s="7">
        <v>1799.15</v>
      </c>
      <c r="F1609" t="s">
        <v>20</v>
      </c>
      <c r="G1609" t="s">
        <v>21</v>
      </c>
      <c r="H1609" t="str">
        <f>"150541954-001"</f>
        <v>150541954-001</v>
      </c>
      <c r="I1609" t="str">
        <f>"UNITED RENTALS (NORTH AMERICA)"</f>
        <v>UNITED RENTALS (NORTH AMERICA)</v>
      </c>
    </row>
    <row r="1610" spans="1:9" x14ac:dyDescent="0.25">
      <c r="A1610" s="6">
        <v>43108</v>
      </c>
      <c r="B1610" t="s">
        <v>26</v>
      </c>
      <c r="C1610">
        <v>56509</v>
      </c>
      <c r="D1610" t="s">
        <v>200</v>
      </c>
      <c r="E1610" s="7">
        <v>2850</v>
      </c>
      <c r="F1610" t="s">
        <v>20</v>
      </c>
      <c r="G1610" t="s">
        <v>21</v>
      </c>
      <c r="H1610" t="str">
        <f>"391157"</f>
        <v>391157</v>
      </c>
      <c r="I1610" t="str">
        <f>"MARIO AVILES"</f>
        <v>MARIO AVILES</v>
      </c>
    </row>
    <row r="1611" spans="1:9" x14ac:dyDescent="0.25">
      <c r="A1611" s="6">
        <v>43108</v>
      </c>
      <c r="B1611" t="s">
        <v>26</v>
      </c>
      <c r="C1611">
        <v>56510</v>
      </c>
      <c r="D1611" t="s">
        <v>208</v>
      </c>
      <c r="E1611" s="7">
        <v>12250</v>
      </c>
      <c r="F1611" t="s">
        <v>20</v>
      </c>
      <c r="G1611" t="s">
        <v>21</v>
      </c>
      <c r="H1611" t="str">
        <f>"426051"</f>
        <v>426051</v>
      </c>
      <c r="I1611" t="str">
        <f>"CARLOS ORTIZ"</f>
        <v>CARLOS ORTIZ</v>
      </c>
    </row>
    <row r="1612" spans="1:9" x14ac:dyDescent="0.25">
      <c r="A1612" s="6">
        <v>43108</v>
      </c>
      <c r="B1612" t="s">
        <v>26</v>
      </c>
      <c r="C1612">
        <v>56511</v>
      </c>
      <c r="D1612" t="s">
        <v>238</v>
      </c>
      <c r="E1612" s="7">
        <v>525</v>
      </c>
      <c r="F1612" t="s">
        <v>20</v>
      </c>
      <c r="G1612" t="s">
        <v>21</v>
      </c>
      <c r="H1612" t="str">
        <f>"1393"</f>
        <v>1393</v>
      </c>
      <c r="I1612" t="str">
        <f>"AA SOUTH TEXAS BACKFLOW &amp; IRRI"</f>
        <v>AA SOUTH TEXAS BACKFLOW &amp; IRRI</v>
      </c>
    </row>
    <row r="1613" spans="1:9" x14ac:dyDescent="0.25">
      <c r="A1613" s="6">
        <v>43108</v>
      </c>
      <c r="B1613" t="s">
        <v>26</v>
      </c>
      <c r="C1613">
        <v>56512</v>
      </c>
      <c r="D1613" t="s">
        <v>224</v>
      </c>
      <c r="E1613" s="7">
        <v>15400</v>
      </c>
      <c r="F1613" t="s">
        <v>20</v>
      </c>
      <c r="G1613" t="s">
        <v>21</v>
      </c>
      <c r="H1613" t="str">
        <f>"201801088210"</f>
        <v>201801088210</v>
      </c>
      <c r="I1613" t="str">
        <f>"RIVERWALK ROOFING AND CONSTRUC"</f>
        <v>RIVERWALK ROOFING AND CONSTRUC</v>
      </c>
    </row>
    <row r="1614" spans="1:9" x14ac:dyDescent="0.25">
      <c r="A1614" s="6">
        <v>43108</v>
      </c>
      <c r="B1614" t="s">
        <v>26</v>
      </c>
      <c r="C1614">
        <v>56513</v>
      </c>
      <c r="D1614" t="s">
        <v>239</v>
      </c>
      <c r="E1614" s="7">
        <v>19420</v>
      </c>
      <c r="F1614" t="s">
        <v>20</v>
      </c>
      <c r="G1614" t="s">
        <v>21</v>
      </c>
      <c r="H1614" t="str">
        <f>"453721"</f>
        <v>453721</v>
      </c>
      <c r="I1614" t="str">
        <f>"R &amp; A Espinoza Masonry"</f>
        <v>R &amp; A Espinoza Masonry</v>
      </c>
    </row>
    <row r="1615" spans="1:9" x14ac:dyDescent="0.25">
      <c r="A1615" s="6">
        <v>43111</v>
      </c>
      <c r="B1615" t="s">
        <v>26</v>
      </c>
      <c r="C1615">
        <v>56514</v>
      </c>
      <c r="D1615" t="s">
        <v>56</v>
      </c>
      <c r="E1615" s="7">
        <v>40</v>
      </c>
      <c r="F1615" t="s">
        <v>20</v>
      </c>
      <c r="G1615" t="s">
        <v>21</v>
      </c>
      <c r="H1615" t="str">
        <f>"163843"</f>
        <v>163843</v>
      </c>
      <c r="I1615" t="str">
        <f>"GERALD LUBIANSKI ENTERPRISES"</f>
        <v>GERALD LUBIANSKI ENTERPRISES</v>
      </c>
    </row>
    <row r="1616" spans="1:9" x14ac:dyDescent="0.25">
      <c r="E1616" s="7"/>
      <c r="F1616" t="s">
        <v>20</v>
      </c>
      <c r="G1616" t="s">
        <v>21</v>
      </c>
      <c r="H1616" t="str">
        <f>"163859"</f>
        <v>163859</v>
      </c>
      <c r="I1616" t="str">
        <f>"GERALD LUBIANSKI ENTERPRISES"</f>
        <v>GERALD LUBIANSKI ENTERPRISES</v>
      </c>
    </row>
    <row r="1617" spans="1:9" x14ac:dyDescent="0.25">
      <c r="E1617" s="7"/>
      <c r="F1617" t="s">
        <v>20</v>
      </c>
      <c r="G1617" t="s">
        <v>21</v>
      </c>
      <c r="H1617" t="str">
        <f>"163955"</f>
        <v>163955</v>
      </c>
      <c r="I1617" t="str">
        <f>"GERALD LUBIANSKI ENTERPRISES"</f>
        <v>GERALD LUBIANSKI ENTERPRISES</v>
      </c>
    </row>
    <row r="1618" spans="1:9" x14ac:dyDescent="0.25">
      <c r="E1618" s="7"/>
      <c r="F1618" t="s">
        <v>20</v>
      </c>
      <c r="G1618" t="s">
        <v>21</v>
      </c>
      <c r="H1618" t="str">
        <f>"163976"</f>
        <v>163976</v>
      </c>
      <c r="I1618" t="str">
        <f>"GERALD LUBIANSKI ENTERPRISES"</f>
        <v>GERALD LUBIANSKI ENTERPRISES</v>
      </c>
    </row>
    <row r="1619" spans="1:9" x14ac:dyDescent="0.25">
      <c r="A1619" s="6">
        <v>43111</v>
      </c>
      <c r="B1619" t="s">
        <v>26</v>
      </c>
      <c r="C1619">
        <v>56515</v>
      </c>
      <c r="D1619" t="s">
        <v>201</v>
      </c>
      <c r="E1619" s="7">
        <v>229.4</v>
      </c>
      <c r="F1619" t="s">
        <v>20</v>
      </c>
      <c r="G1619" t="s">
        <v>21</v>
      </c>
      <c r="H1619" t="str">
        <f>"141904"</f>
        <v>141904</v>
      </c>
      <c r="I1619" t="str">
        <f t="shared" ref="I1619:I1624" si="25">"WILSON COUNTY HARDWARE"</f>
        <v>WILSON COUNTY HARDWARE</v>
      </c>
    </row>
    <row r="1620" spans="1:9" x14ac:dyDescent="0.25">
      <c r="E1620" s="7"/>
      <c r="F1620" t="s">
        <v>20</v>
      </c>
      <c r="G1620" t="s">
        <v>21</v>
      </c>
      <c r="H1620" t="str">
        <f>"141905"</f>
        <v>141905</v>
      </c>
      <c r="I1620" t="str">
        <f t="shared" si="25"/>
        <v>WILSON COUNTY HARDWARE</v>
      </c>
    </row>
    <row r="1621" spans="1:9" x14ac:dyDescent="0.25">
      <c r="E1621" s="7"/>
      <c r="F1621" t="s">
        <v>20</v>
      </c>
      <c r="G1621" t="s">
        <v>21</v>
      </c>
      <c r="H1621" t="str">
        <f>"141906"</f>
        <v>141906</v>
      </c>
      <c r="I1621" t="str">
        <f t="shared" si="25"/>
        <v>WILSON COUNTY HARDWARE</v>
      </c>
    </row>
    <row r="1622" spans="1:9" x14ac:dyDescent="0.25">
      <c r="E1622" s="7"/>
      <c r="F1622" t="s">
        <v>20</v>
      </c>
      <c r="G1622" t="s">
        <v>21</v>
      </c>
      <c r="H1622" t="str">
        <f>"141953"</f>
        <v>141953</v>
      </c>
      <c r="I1622" t="str">
        <f t="shared" si="25"/>
        <v>WILSON COUNTY HARDWARE</v>
      </c>
    </row>
    <row r="1623" spans="1:9" x14ac:dyDescent="0.25">
      <c r="E1623" s="7"/>
      <c r="F1623" t="s">
        <v>20</v>
      </c>
      <c r="G1623" t="s">
        <v>21</v>
      </c>
      <c r="H1623" t="str">
        <f>"141959"</f>
        <v>141959</v>
      </c>
      <c r="I1623" t="str">
        <f t="shared" si="25"/>
        <v>WILSON COUNTY HARDWARE</v>
      </c>
    </row>
    <row r="1624" spans="1:9" x14ac:dyDescent="0.25">
      <c r="E1624" s="7"/>
      <c r="F1624" t="s">
        <v>20</v>
      </c>
      <c r="G1624" t="s">
        <v>21</v>
      </c>
      <c r="H1624" t="str">
        <f>"141960"</f>
        <v>141960</v>
      </c>
      <c r="I1624" t="str">
        <f t="shared" si="25"/>
        <v>WILSON COUNTY HARDWARE</v>
      </c>
    </row>
    <row r="1625" spans="1:9" x14ac:dyDescent="0.25">
      <c r="A1625" s="6">
        <v>43111</v>
      </c>
      <c r="B1625" t="s">
        <v>26</v>
      </c>
      <c r="C1625">
        <v>56516</v>
      </c>
      <c r="D1625" t="s">
        <v>59</v>
      </c>
      <c r="E1625" s="7">
        <v>2779.65</v>
      </c>
      <c r="F1625" t="s">
        <v>20</v>
      </c>
      <c r="G1625" t="s">
        <v>21</v>
      </c>
      <c r="H1625" t="str">
        <f>"0918536"</f>
        <v>0918536</v>
      </c>
      <c r="I1625" t="str">
        <f>"FERGUSON WATERWORKS - MUNICIPA"</f>
        <v>FERGUSON WATERWORKS - MUNICIPA</v>
      </c>
    </row>
    <row r="1626" spans="1:9" x14ac:dyDescent="0.25">
      <c r="A1626" s="6">
        <v>43111</v>
      </c>
      <c r="B1626" t="s">
        <v>26</v>
      </c>
      <c r="C1626">
        <v>56517</v>
      </c>
      <c r="D1626" t="s">
        <v>240</v>
      </c>
      <c r="E1626" s="7">
        <v>2088.41</v>
      </c>
      <c r="F1626" t="s">
        <v>20</v>
      </c>
      <c r="G1626" t="s">
        <v>21</v>
      </c>
      <c r="H1626" t="str">
        <f>"0139197-IN"</f>
        <v>0139197-IN</v>
      </c>
      <c r="I1626" t="str">
        <f>"NARDIS PUBLIC SAFETY"</f>
        <v>NARDIS PUBLIC SAFETY</v>
      </c>
    </row>
    <row r="1627" spans="1:9" x14ac:dyDescent="0.25">
      <c r="E1627" s="7"/>
      <c r="F1627" t="s">
        <v>20</v>
      </c>
      <c r="G1627" t="s">
        <v>21</v>
      </c>
      <c r="H1627" t="str">
        <f>"0139346-IN"</f>
        <v>0139346-IN</v>
      </c>
      <c r="I1627" t="str">
        <f>"NARDIS PUBLIC SAFETY"</f>
        <v>NARDIS PUBLIC SAFETY</v>
      </c>
    </row>
    <row r="1628" spans="1:9" x14ac:dyDescent="0.25">
      <c r="E1628" s="7"/>
      <c r="F1628" t="s">
        <v>20</v>
      </c>
      <c r="G1628" t="s">
        <v>21</v>
      </c>
      <c r="H1628" t="str">
        <f>"0139477-IN"</f>
        <v>0139477-IN</v>
      </c>
      <c r="I1628" t="str">
        <f>"NARDIS PUBLIC SAFETY"</f>
        <v>NARDIS PUBLIC SAFETY</v>
      </c>
    </row>
    <row r="1629" spans="1:9" x14ac:dyDescent="0.25">
      <c r="E1629" s="7"/>
      <c r="F1629" t="s">
        <v>20</v>
      </c>
      <c r="G1629" t="s">
        <v>21</v>
      </c>
      <c r="H1629" t="str">
        <f>"0139478-IN"</f>
        <v>0139478-IN</v>
      </c>
      <c r="I1629" t="str">
        <f>"NARDIS PUBLIC SAFETY"</f>
        <v>NARDIS PUBLIC SAFETY</v>
      </c>
    </row>
    <row r="1630" spans="1:9" x14ac:dyDescent="0.25">
      <c r="E1630" s="7"/>
      <c r="F1630" t="s">
        <v>20</v>
      </c>
      <c r="G1630" t="s">
        <v>21</v>
      </c>
      <c r="H1630" t="str">
        <f>"0139564-IN"</f>
        <v>0139564-IN</v>
      </c>
      <c r="I1630" t="str">
        <f>"NARDIS PUBLIC SAFETY"</f>
        <v>NARDIS PUBLIC SAFETY</v>
      </c>
    </row>
    <row r="1631" spans="1:9" x14ac:dyDescent="0.25">
      <c r="A1631" s="6">
        <v>43111</v>
      </c>
      <c r="B1631" t="s">
        <v>26</v>
      </c>
      <c r="C1631">
        <v>56518</v>
      </c>
      <c r="D1631" t="s">
        <v>241</v>
      </c>
      <c r="E1631" s="7">
        <v>600</v>
      </c>
      <c r="F1631" t="s">
        <v>20</v>
      </c>
      <c r="G1631" t="s">
        <v>21</v>
      </c>
      <c r="H1631" t="str">
        <f>"DEP REF 1/11/18"</f>
        <v>DEP REF 1/11/18</v>
      </c>
      <c r="I1631" t="str">
        <f>"DEP REF"</f>
        <v>DEP REF</v>
      </c>
    </row>
    <row r="1632" spans="1:9" x14ac:dyDescent="0.25">
      <c r="A1632" s="6">
        <v>43111</v>
      </c>
      <c r="B1632" t="s">
        <v>26</v>
      </c>
      <c r="C1632">
        <v>56519</v>
      </c>
      <c r="D1632" t="s">
        <v>242</v>
      </c>
      <c r="E1632" s="7">
        <v>50</v>
      </c>
      <c r="F1632" t="s">
        <v>20</v>
      </c>
      <c r="G1632" t="s">
        <v>21</v>
      </c>
      <c r="H1632" t="str">
        <f>"PAV DEP REF"</f>
        <v>PAV DEP REF</v>
      </c>
      <c r="I1632" t="str">
        <f>"PAV DEP"</f>
        <v>PAV DEP</v>
      </c>
    </row>
    <row r="1633" spans="1:9" x14ac:dyDescent="0.25">
      <c r="A1633" s="6">
        <v>43111</v>
      </c>
      <c r="B1633" t="s">
        <v>26</v>
      </c>
      <c r="C1633">
        <v>56520</v>
      </c>
      <c r="D1633" t="s">
        <v>243</v>
      </c>
      <c r="E1633" s="7">
        <v>50</v>
      </c>
      <c r="F1633" t="s">
        <v>20</v>
      </c>
      <c r="G1633" t="s">
        <v>21</v>
      </c>
      <c r="H1633" t="str">
        <f>"PV DEP 11.3.17"</f>
        <v>PV DEP 11.3.17</v>
      </c>
      <c r="I1633" t="str">
        <f>"PV DEP 11.3.17"</f>
        <v>PV DEP 11.3.17</v>
      </c>
    </row>
    <row r="1634" spans="1:9" x14ac:dyDescent="0.25">
      <c r="A1634" s="6">
        <v>43111</v>
      </c>
      <c r="B1634" t="s">
        <v>26</v>
      </c>
      <c r="C1634">
        <v>56521</v>
      </c>
      <c r="D1634" t="s">
        <v>0</v>
      </c>
      <c r="E1634" s="7">
        <v>2885.23</v>
      </c>
      <c r="F1634" t="s">
        <v>20</v>
      </c>
      <c r="G1634" t="s">
        <v>21</v>
      </c>
      <c r="H1634" t="str">
        <f>"11.10-12.10.17"</f>
        <v>11.10-12.10.17</v>
      </c>
      <c r="I1634" t="str">
        <f>"CITY OF FLORESVILLE"</f>
        <v>CITY OF FLORESVILLE</v>
      </c>
    </row>
    <row r="1635" spans="1:9" x14ac:dyDescent="0.25">
      <c r="A1635" s="6">
        <v>43111</v>
      </c>
      <c r="B1635" t="s">
        <v>26</v>
      </c>
      <c r="C1635">
        <v>56522</v>
      </c>
      <c r="D1635" t="s">
        <v>169</v>
      </c>
      <c r="E1635" s="7">
        <v>17.489999999999998</v>
      </c>
      <c r="F1635" t="s">
        <v>20</v>
      </c>
      <c r="G1635" t="s">
        <v>21</v>
      </c>
      <c r="H1635" t="str">
        <f>"100162"</f>
        <v>100162</v>
      </c>
      <c r="I1635" t="str">
        <f>"THE POLICE AND SHERIFFS PRESS"</f>
        <v>THE POLICE AND SHERIFFS PRESS</v>
      </c>
    </row>
    <row r="1636" spans="1:9" x14ac:dyDescent="0.25">
      <c r="A1636" s="6">
        <v>43111</v>
      </c>
      <c r="B1636" t="s">
        <v>26</v>
      </c>
      <c r="C1636">
        <v>56523</v>
      </c>
      <c r="D1636" t="s">
        <v>212</v>
      </c>
      <c r="E1636" s="7">
        <v>70</v>
      </c>
      <c r="F1636" t="s">
        <v>20</v>
      </c>
      <c r="G1636" t="s">
        <v>21</v>
      </c>
      <c r="H1636" t="str">
        <f>"02164"</f>
        <v>02164</v>
      </c>
      <c r="I1636" t="str">
        <f>"AACOG"</f>
        <v>AACOG</v>
      </c>
    </row>
    <row r="1637" spans="1:9" x14ac:dyDescent="0.25">
      <c r="A1637" s="6">
        <v>43111</v>
      </c>
      <c r="B1637" t="s">
        <v>26</v>
      </c>
      <c r="C1637">
        <v>56524</v>
      </c>
      <c r="D1637" t="s">
        <v>244</v>
      </c>
      <c r="E1637" s="7">
        <v>146</v>
      </c>
      <c r="F1637" t="s">
        <v>20</v>
      </c>
      <c r="G1637" t="s">
        <v>21</v>
      </c>
      <c r="H1637" t="str">
        <f>"837349751"</f>
        <v>837349751</v>
      </c>
      <c r="I1637" t="str">
        <f>"THOMSON REUTERS - WEST"</f>
        <v>THOMSON REUTERS - WEST</v>
      </c>
    </row>
    <row r="1638" spans="1:9" x14ac:dyDescent="0.25">
      <c r="A1638" s="6">
        <v>43111</v>
      </c>
      <c r="B1638" t="s">
        <v>26</v>
      </c>
      <c r="C1638">
        <v>56525</v>
      </c>
      <c r="D1638" t="s">
        <v>64</v>
      </c>
      <c r="E1638" s="7">
        <v>6959.4</v>
      </c>
      <c r="F1638" t="s">
        <v>20</v>
      </c>
      <c r="G1638" t="s">
        <v>21</v>
      </c>
      <c r="H1638" t="str">
        <f>"7431"</f>
        <v>7431</v>
      </c>
      <c r="I1638" t="str">
        <f>"DREWA DESIGNS  INC."</f>
        <v>DREWA DESIGNS  INC.</v>
      </c>
    </row>
    <row r="1639" spans="1:9" x14ac:dyDescent="0.25">
      <c r="A1639" s="6">
        <v>43111</v>
      </c>
      <c r="B1639" t="s">
        <v>26</v>
      </c>
      <c r="C1639">
        <v>56526</v>
      </c>
      <c r="D1639" t="s">
        <v>213</v>
      </c>
      <c r="E1639" s="7">
        <v>47667.11</v>
      </c>
      <c r="F1639" t="s">
        <v>20</v>
      </c>
      <c r="G1639" t="s">
        <v>21</v>
      </c>
      <c r="H1639" t="str">
        <f>"201801118212"</f>
        <v>201801118212</v>
      </c>
      <c r="I1639" t="str">
        <f>"RIVER BEND COMMUNITY DEVELOPME"</f>
        <v>RIVER BEND COMMUNITY DEVELOPME</v>
      </c>
    </row>
    <row r="1640" spans="1:9" x14ac:dyDescent="0.25">
      <c r="A1640" s="6">
        <v>43111</v>
      </c>
      <c r="B1640" t="s">
        <v>26</v>
      </c>
      <c r="C1640">
        <v>56527</v>
      </c>
      <c r="D1640" t="s">
        <v>66</v>
      </c>
      <c r="E1640" s="7">
        <v>45</v>
      </c>
      <c r="F1640" t="s">
        <v>20</v>
      </c>
      <c r="G1640" t="s">
        <v>21</v>
      </c>
      <c r="H1640" t="str">
        <f>"51293"</f>
        <v>51293</v>
      </c>
      <c r="I1640" t="str">
        <f>"LOPEZ EXTERMINATING SERVICE  I"</f>
        <v>LOPEZ EXTERMINATING SERVICE  I</v>
      </c>
    </row>
    <row r="1641" spans="1:9" x14ac:dyDescent="0.25">
      <c r="A1641" s="6">
        <v>43111</v>
      </c>
      <c r="B1641" t="s">
        <v>26</v>
      </c>
      <c r="C1641">
        <v>56528</v>
      </c>
      <c r="D1641" t="s">
        <v>67</v>
      </c>
      <c r="E1641" s="7">
        <v>324.83999999999997</v>
      </c>
      <c r="F1641" t="s">
        <v>20</v>
      </c>
      <c r="G1641" t="s">
        <v>21</v>
      </c>
      <c r="H1641" t="str">
        <f>"201801118213"</f>
        <v>201801118213</v>
      </c>
      <c r="I1641" t="str">
        <f>"ANYTIME FITNESS"</f>
        <v>ANYTIME FITNESS</v>
      </c>
    </row>
    <row r="1642" spans="1:9" x14ac:dyDescent="0.25">
      <c r="A1642" s="6">
        <v>43111</v>
      </c>
      <c r="B1642" t="s">
        <v>26</v>
      </c>
      <c r="C1642">
        <v>56529</v>
      </c>
      <c r="D1642" t="s">
        <v>29</v>
      </c>
      <c r="E1642" s="7">
        <v>6103.1</v>
      </c>
      <c r="F1642" t="s">
        <v>20</v>
      </c>
      <c r="G1642" t="s">
        <v>21</v>
      </c>
      <c r="H1642" t="str">
        <f>"29777"</f>
        <v>29777</v>
      </c>
      <c r="I1642" t="str">
        <f>"M &amp; S ENGINEERING  LLC"</f>
        <v>M &amp; S ENGINEERING  LLC</v>
      </c>
    </row>
    <row r="1643" spans="1:9" x14ac:dyDescent="0.25">
      <c r="A1643" s="6">
        <v>43111</v>
      </c>
      <c r="B1643" t="s">
        <v>26</v>
      </c>
      <c r="C1643">
        <v>56530</v>
      </c>
      <c r="D1643" t="s">
        <v>71</v>
      </c>
      <c r="E1643" s="7">
        <v>2264.89</v>
      </c>
      <c r="F1643" t="s">
        <v>20</v>
      </c>
      <c r="G1643" t="s">
        <v>21</v>
      </c>
      <c r="H1643" t="str">
        <f>"087751232"</f>
        <v>087751232</v>
      </c>
      <c r="I1643" t="str">
        <f t="shared" ref="I1643:I1653" si="26">"CINTAS CORPORATION #087"</f>
        <v>CINTAS CORPORATION #087</v>
      </c>
    </row>
    <row r="1644" spans="1:9" x14ac:dyDescent="0.25">
      <c r="E1644" s="7"/>
      <c r="F1644" t="s">
        <v>20</v>
      </c>
      <c r="G1644" t="s">
        <v>21</v>
      </c>
      <c r="H1644" t="str">
        <f>"087755778"</f>
        <v>087755778</v>
      </c>
      <c r="I1644" t="str">
        <f t="shared" si="26"/>
        <v>CINTAS CORPORATION #087</v>
      </c>
    </row>
    <row r="1645" spans="1:9" x14ac:dyDescent="0.25">
      <c r="E1645" s="7"/>
      <c r="F1645" t="s">
        <v>20</v>
      </c>
      <c r="G1645" t="s">
        <v>21</v>
      </c>
      <c r="H1645" t="str">
        <f>"087760258"</f>
        <v>087760258</v>
      </c>
      <c r="I1645" t="str">
        <f t="shared" si="26"/>
        <v>CINTAS CORPORATION #087</v>
      </c>
    </row>
    <row r="1646" spans="1:9" x14ac:dyDescent="0.25">
      <c r="E1646" s="7"/>
      <c r="F1646" t="s">
        <v>20</v>
      </c>
      <c r="G1646" t="s">
        <v>21</v>
      </c>
      <c r="H1646" t="str">
        <f>"087768851"</f>
        <v>087768851</v>
      </c>
      <c r="I1646" t="str">
        <f t="shared" si="26"/>
        <v>CINTAS CORPORATION #087</v>
      </c>
    </row>
    <row r="1647" spans="1:9" x14ac:dyDescent="0.25">
      <c r="E1647" s="7"/>
      <c r="F1647" t="s">
        <v>20</v>
      </c>
      <c r="G1647" t="s">
        <v>21</v>
      </c>
      <c r="H1647" t="str">
        <f>"087773056"</f>
        <v>087773056</v>
      </c>
      <c r="I1647" t="str">
        <f t="shared" si="26"/>
        <v>CINTAS CORPORATION #087</v>
      </c>
    </row>
    <row r="1648" spans="1:9" x14ac:dyDescent="0.25">
      <c r="E1648" s="7"/>
      <c r="F1648" t="s">
        <v>20</v>
      </c>
      <c r="G1648" t="s">
        <v>21</v>
      </c>
      <c r="H1648" t="str">
        <f>"087777278"</f>
        <v>087777278</v>
      </c>
      <c r="I1648" t="str">
        <f t="shared" si="26"/>
        <v>CINTAS CORPORATION #087</v>
      </c>
    </row>
    <row r="1649" spans="1:9" x14ac:dyDescent="0.25">
      <c r="E1649" s="7"/>
      <c r="F1649" t="s">
        <v>20</v>
      </c>
      <c r="G1649" t="s">
        <v>21</v>
      </c>
      <c r="H1649" t="str">
        <f>"087781509"</f>
        <v>087781509</v>
      </c>
      <c r="I1649" t="str">
        <f t="shared" si="26"/>
        <v>CINTAS CORPORATION #087</v>
      </c>
    </row>
    <row r="1650" spans="1:9" x14ac:dyDescent="0.25">
      <c r="E1650" s="7"/>
      <c r="F1650" t="s">
        <v>20</v>
      </c>
      <c r="G1650" t="s">
        <v>21</v>
      </c>
      <c r="H1650" t="str">
        <f>"087784263"</f>
        <v>087784263</v>
      </c>
      <c r="I1650" t="str">
        <f t="shared" si="26"/>
        <v>CINTAS CORPORATION #087</v>
      </c>
    </row>
    <row r="1651" spans="1:9" x14ac:dyDescent="0.25">
      <c r="E1651" s="7"/>
      <c r="F1651" t="s">
        <v>20</v>
      </c>
      <c r="G1651" t="s">
        <v>21</v>
      </c>
      <c r="H1651" t="str">
        <f>"087785656"</f>
        <v>087785656</v>
      </c>
      <c r="I1651" t="str">
        <f t="shared" si="26"/>
        <v>CINTAS CORPORATION #087</v>
      </c>
    </row>
    <row r="1652" spans="1:9" x14ac:dyDescent="0.25">
      <c r="E1652" s="7"/>
      <c r="F1652" t="s">
        <v>20</v>
      </c>
      <c r="G1652" t="s">
        <v>21</v>
      </c>
      <c r="H1652" t="str">
        <f>"087797106"</f>
        <v>087797106</v>
      </c>
      <c r="I1652" t="str">
        <f t="shared" si="26"/>
        <v>CINTAS CORPORATION #087</v>
      </c>
    </row>
    <row r="1653" spans="1:9" x14ac:dyDescent="0.25">
      <c r="E1653" s="7"/>
      <c r="F1653" t="s">
        <v>20</v>
      </c>
      <c r="G1653" t="s">
        <v>21</v>
      </c>
      <c r="H1653" t="str">
        <f>"087801696"</f>
        <v>087801696</v>
      </c>
      <c r="I1653" t="str">
        <f t="shared" si="26"/>
        <v>CINTAS CORPORATION #087</v>
      </c>
    </row>
    <row r="1654" spans="1:9" x14ac:dyDescent="0.25">
      <c r="A1654" s="6">
        <v>43111</v>
      </c>
      <c r="B1654" t="s">
        <v>26</v>
      </c>
      <c r="C1654">
        <v>56535</v>
      </c>
      <c r="D1654" t="s">
        <v>74</v>
      </c>
      <c r="E1654" s="7">
        <v>4526.3900000000003</v>
      </c>
      <c r="F1654" t="s">
        <v>20</v>
      </c>
      <c r="G1654" t="s">
        <v>24</v>
      </c>
      <c r="H1654" t="str">
        <f>"979868448"</f>
        <v>979868448</v>
      </c>
      <c r="I1654" t="str">
        <f>"VERIZON WIRELESS"</f>
        <v>VERIZON WIRELESS</v>
      </c>
    </row>
    <row r="1655" spans="1:9" x14ac:dyDescent="0.25">
      <c r="E1655" s="7"/>
      <c r="F1655" t="s">
        <v>20</v>
      </c>
      <c r="G1655" t="s">
        <v>21</v>
      </c>
      <c r="H1655" t="str">
        <f>"9798686448"</f>
        <v>9798686448</v>
      </c>
      <c r="I1655" t="str">
        <f>"VERIZON WIRELESS"</f>
        <v>VERIZON WIRELESS</v>
      </c>
    </row>
    <row r="1656" spans="1:9" x14ac:dyDescent="0.25">
      <c r="A1656" s="6">
        <v>43111</v>
      </c>
      <c r="B1656" t="s">
        <v>26</v>
      </c>
      <c r="C1656">
        <v>56537</v>
      </c>
      <c r="D1656" t="s">
        <v>78</v>
      </c>
      <c r="E1656" s="7">
        <v>8660.6299999999992</v>
      </c>
      <c r="F1656" t="s">
        <v>20</v>
      </c>
      <c r="G1656" t="s">
        <v>21</v>
      </c>
      <c r="H1656" t="str">
        <f>"23459"</f>
        <v>23459</v>
      </c>
      <c r="I1656" t="str">
        <f>"DENTON NAVARRO ROCHA BERNAL HY"</f>
        <v>DENTON NAVARRO ROCHA BERNAL HY</v>
      </c>
    </row>
    <row r="1657" spans="1:9" x14ac:dyDescent="0.25">
      <c r="E1657" s="7"/>
      <c r="F1657" t="s">
        <v>20</v>
      </c>
      <c r="G1657" t="s">
        <v>21</v>
      </c>
      <c r="H1657" t="str">
        <f>"23460"</f>
        <v>23460</v>
      </c>
      <c r="I1657" t="str">
        <f>"DENTON NAVARRO ROCHA BERNAL HY"</f>
        <v>DENTON NAVARRO ROCHA BERNAL HY</v>
      </c>
    </row>
    <row r="1658" spans="1:9" x14ac:dyDescent="0.25">
      <c r="A1658" s="6">
        <v>43111</v>
      </c>
      <c r="B1658" t="s">
        <v>26</v>
      </c>
      <c r="C1658">
        <v>56538</v>
      </c>
      <c r="D1658" t="s">
        <v>126</v>
      </c>
      <c r="E1658" s="7">
        <v>77807.22</v>
      </c>
      <c r="F1658" t="s">
        <v>20</v>
      </c>
      <c r="G1658" t="s">
        <v>21</v>
      </c>
      <c r="H1658" t="str">
        <f>"0859-001952240"</f>
        <v>0859-001952240</v>
      </c>
      <c r="I1658" t="str">
        <f>"REPUBLIC SERVICES #859"</f>
        <v>REPUBLIC SERVICES #859</v>
      </c>
    </row>
    <row r="1659" spans="1:9" x14ac:dyDescent="0.25">
      <c r="E1659" s="7"/>
      <c r="F1659" t="s">
        <v>20</v>
      </c>
      <c r="G1659" t="s">
        <v>21</v>
      </c>
      <c r="H1659" t="str">
        <f>"5119-000081352"</f>
        <v>5119-000081352</v>
      </c>
      <c r="I1659" t="str">
        <f>"REPUBLIC SERVICES #859"</f>
        <v>REPUBLIC SERVICES #859</v>
      </c>
    </row>
    <row r="1660" spans="1:9" x14ac:dyDescent="0.25">
      <c r="A1660" s="6">
        <v>43111</v>
      </c>
      <c r="B1660" t="s">
        <v>26</v>
      </c>
      <c r="C1660">
        <v>56539</v>
      </c>
      <c r="D1660" t="s">
        <v>191</v>
      </c>
      <c r="E1660" s="7">
        <v>4000</v>
      </c>
      <c r="F1660" t="s">
        <v>20</v>
      </c>
      <c r="G1660" t="s">
        <v>21</v>
      </c>
      <c r="H1660" t="str">
        <f>"INV06-001048"</f>
        <v>INV06-001048</v>
      </c>
      <c r="I1660" t="str">
        <f>"MUNISERVICES  LLC"</f>
        <v>MUNISERVICES  LLC</v>
      </c>
    </row>
    <row r="1661" spans="1:9" x14ac:dyDescent="0.25">
      <c r="A1661" s="6">
        <v>43111</v>
      </c>
      <c r="B1661" t="s">
        <v>26</v>
      </c>
      <c r="C1661">
        <v>56540</v>
      </c>
      <c r="D1661" t="s">
        <v>158</v>
      </c>
      <c r="E1661" s="7">
        <v>550</v>
      </c>
      <c r="F1661" t="s">
        <v>20</v>
      </c>
      <c r="G1661" t="s">
        <v>21</v>
      </c>
      <c r="H1661" t="str">
        <f>"ST PATTY'S DAY"</f>
        <v>ST PATTY'S DAY</v>
      </c>
      <c r="I1661" t="str">
        <f>"GEORGE NICKLAS SILVA"</f>
        <v>GEORGE NICKLAS SILVA</v>
      </c>
    </row>
    <row r="1662" spans="1:9" x14ac:dyDescent="0.25">
      <c r="A1662" s="6">
        <v>43111</v>
      </c>
      <c r="B1662" t="s">
        <v>26</v>
      </c>
      <c r="C1662">
        <v>56541</v>
      </c>
      <c r="D1662" t="s">
        <v>131</v>
      </c>
      <c r="E1662" s="7">
        <v>829</v>
      </c>
      <c r="F1662" t="s">
        <v>20</v>
      </c>
      <c r="G1662" t="s">
        <v>21</v>
      </c>
      <c r="H1662" t="str">
        <f>"023029"</f>
        <v>023029</v>
      </c>
      <c r="I1662" t="str">
        <f>"R &amp; S TEXAS PARTS CO"</f>
        <v>R &amp; S TEXAS PARTS CO</v>
      </c>
    </row>
    <row r="1663" spans="1:9" x14ac:dyDescent="0.25">
      <c r="A1663" s="6">
        <v>43111</v>
      </c>
      <c r="B1663" t="s">
        <v>26</v>
      </c>
      <c r="C1663">
        <v>56542</v>
      </c>
      <c r="D1663" t="s">
        <v>83</v>
      </c>
      <c r="E1663" s="7">
        <v>918</v>
      </c>
      <c r="F1663" t="s">
        <v>20</v>
      </c>
      <c r="G1663" t="s">
        <v>21</v>
      </c>
      <c r="H1663" t="str">
        <f>"235228"</f>
        <v>235228</v>
      </c>
      <c r="I1663" t="str">
        <f>"APPRIVER"</f>
        <v>APPRIVER</v>
      </c>
    </row>
    <row r="1664" spans="1:9" x14ac:dyDescent="0.25">
      <c r="A1664" s="6">
        <v>43111</v>
      </c>
      <c r="B1664" t="s">
        <v>26</v>
      </c>
      <c r="C1664">
        <v>56543</v>
      </c>
      <c r="D1664" t="s">
        <v>84</v>
      </c>
      <c r="E1664" s="7">
        <v>33539.730000000003</v>
      </c>
      <c r="F1664" t="s">
        <v>20</v>
      </c>
      <c r="G1664" t="s">
        <v>21</v>
      </c>
      <c r="H1664" t="str">
        <f>"1284261"</f>
        <v>1284261</v>
      </c>
      <c r="I1664" t="str">
        <f>"STANTEC CONSULTING SERVICES IN"</f>
        <v>STANTEC CONSULTING SERVICES IN</v>
      </c>
    </row>
    <row r="1665" spans="1:9" x14ac:dyDescent="0.25">
      <c r="A1665" s="6">
        <v>43111</v>
      </c>
      <c r="B1665" t="s">
        <v>26</v>
      </c>
      <c r="C1665">
        <v>56544</v>
      </c>
      <c r="D1665" t="s">
        <v>245</v>
      </c>
      <c r="E1665" s="7">
        <v>2000</v>
      </c>
      <c r="F1665" t="s">
        <v>20</v>
      </c>
      <c r="G1665" t="s">
        <v>21</v>
      </c>
      <c r="H1665" t="str">
        <f>"201801118214"</f>
        <v>201801118214</v>
      </c>
      <c r="I1665" t="str">
        <f>"LJ PLUMBING"</f>
        <v>LJ PLUMBING</v>
      </c>
    </row>
    <row r="1666" spans="1:9" x14ac:dyDescent="0.25">
      <c r="A1666" s="6">
        <v>43111</v>
      </c>
      <c r="B1666" t="s">
        <v>26</v>
      </c>
      <c r="C1666">
        <v>56545</v>
      </c>
      <c r="D1666" t="s">
        <v>176</v>
      </c>
      <c r="E1666" s="7">
        <v>217709.47</v>
      </c>
      <c r="F1666" t="s">
        <v>20</v>
      </c>
      <c r="G1666" t="s">
        <v>21</v>
      </c>
      <c r="H1666" t="str">
        <f>"PAY APP#12"</f>
        <v>PAY APP#12</v>
      </c>
      <c r="I1666" t="str">
        <f>"PEPPER-LAWSON WATERWORKS"</f>
        <v>PEPPER-LAWSON WATERWORKS</v>
      </c>
    </row>
    <row r="1667" spans="1:9" x14ac:dyDescent="0.25">
      <c r="A1667" s="6">
        <v>43111</v>
      </c>
      <c r="B1667" t="s">
        <v>26</v>
      </c>
      <c r="C1667">
        <v>56546</v>
      </c>
      <c r="D1667" t="s">
        <v>237</v>
      </c>
      <c r="E1667" s="7">
        <v>25.6</v>
      </c>
      <c r="F1667" t="s">
        <v>20</v>
      </c>
      <c r="G1667" t="s">
        <v>21</v>
      </c>
      <c r="H1667" t="str">
        <f>"150541954-002"</f>
        <v>150541954-002</v>
      </c>
      <c r="I1667" t="str">
        <f>"UNITED RENTALS (NORTH AMERICA)"</f>
        <v>UNITED RENTALS (NORTH AMERICA)</v>
      </c>
    </row>
    <row r="1668" spans="1:9" x14ac:dyDescent="0.25">
      <c r="A1668" s="6">
        <v>43111</v>
      </c>
      <c r="B1668" t="s">
        <v>26</v>
      </c>
      <c r="C1668">
        <v>56547</v>
      </c>
      <c r="D1668" t="s">
        <v>133</v>
      </c>
      <c r="E1668" s="7">
        <v>24777.47</v>
      </c>
      <c r="F1668" t="s">
        <v>20</v>
      </c>
      <c r="G1668" t="s">
        <v>21</v>
      </c>
      <c r="H1668" t="str">
        <f>"PAY APP#5/FINAL"</f>
        <v>PAY APP#5/FINAL</v>
      </c>
      <c r="I1668" t="str">
        <f>"WAUTERS ENGINEERING"</f>
        <v>WAUTERS ENGINEERING</v>
      </c>
    </row>
    <row r="1669" spans="1:9" x14ac:dyDescent="0.25">
      <c r="A1669" s="6">
        <v>43111</v>
      </c>
      <c r="B1669" t="s">
        <v>26</v>
      </c>
      <c r="C1669">
        <v>56548</v>
      </c>
      <c r="D1669" t="s">
        <v>246</v>
      </c>
      <c r="E1669" s="7">
        <v>441.17</v>
      </c>
      <c r="F1669" t="s">
        <v>20</v>
      </c>
      <c r="G1669" t="s">
        <v>21</v>
      </c>
      <c r="H1669" t="str">
        <f>"TRAVEL"</f>
        <v>TRAVEL</v>
      </c>
      <c r="I1669" t="str">
        <f>"JAY TRINIDAD"</f>
        <v>JAY TRINIDAD</v>
      </c>
    </row>
    <row r="1670" spans="1:9" x14ac:dyDescent="0.25">
      <c r="A1670" s="6">
        <v>43111</v>
      </c>
      <c r="B1670" t="s">
        <v>26</v>
      </c>
      <c r="C1670">
        <v>56549</v>
      </c>
      <c r="D1670" t="s">
        <v>247</v>
      </c>
      <c r="E1670" s="7">
        <v>10000</v>
      </c>
      <c r="F1670" t="s">
        <v>20</v>
      </c>
      <c r="G1670" t="s">
        <v>21</v>
      </c>
      <c r="H1670" t="str">
        <f>"974892"</f>
        <v>974892</v>
      </c>
      <c r="I1670" t="str">
        <f>"MARIO ALBERTO AVILES"</f>
        <v>MARIO ALBERTO AVILES</v>
      </c>
    </row>
    <row r="1671" spans="1:9" x14ac:dyDescent="0.25">
      <c r="A1671" s="6">
        <v>43117</v>
      </c>
      <c r="B1671" t="s">
        <v>26</v>
      </c>
      <c r="C1671">
        <v>56550</v>
      </c>
      <c r="D1671" t="s">
        <v>90</v>
      </c>
      <c r="E1671" s="7">
        <v>3407.64</v>
      </c>
      <c r="F1671" t="s">
        <v>20</v>
      </c>
      <c r="G1671" t="s">
        <v>21</v>
      </c>
      <c r="H1671" t="str">
        <f>"393795"</f>
        <v>393795</v>
      </c>
      <c r="I1671" t="str">
        <f>"AFLAC"</f>
        <v>AFLAC</v>
      </c>
    </row>
    <row r="1672" spans="1:9" x14ac:dyDescent="0.25">
      <c r="E1672" s="7"/>
      <c r="F1672" t="s">
        <v>20</v>
      </c>
      <c r="G1672" t="s">
        <v>21</v>
      </c>
      <c r="H1672" t="str">
        <f>"ACA201712198199"</f>
        <v>ACA201712198199</v>
      </c>
      <c r="I1672" t="str">
        <f>"AFLAC INSURANCE"</f>
        <v>AFLAC INSURANCE</v>
      </c>
    </row>
    <row r="1673" spans="1:9" x14ac:dyDescent="0.25">
      <c r="E1673" s="7"/>
      <c r="F1673" t="s">
        <v>20</v>
      </c>
      <c r="G1673" t="s">
        <v>21</v>
      </c>
      <c r="H1673" t="str">
        <f>"ACA201801038202"</f>
        <v>ACA201801038202</v>
      </c>
      <c r="I1673" t="str">
        <f>"AFLAC INSURANCE"</f>
        <v>AFLAC INSURANCE</v>
      </c>
    </row>
    <row r="1674" spans="1:9" x14ac:dyDescent="0.25">
      <c r="E1674" s="7"/>
      <c r="F1674" t="s">
        <v>20</v>
      </c>
      <c r="G1674" t="s">
        <v>21</v>
      </c>
      <c r="H1674" t="str">
        <f>"AD2201712198199"</f>
        <v>AD2201712198199</v>
      </c>
      <c r="I1674" t="str">
        <f>"AFLAC INSURANCE"</f>
        <v>AFLAC INSURANCE</v>
      </c>
    </row>
    <row r="1675" spans="1:9" x14ac:dyDescent="0.25">
      <c r="E1675" s="7"/>
      <c r="F1675" t="s">
        <v>20</v>
      </c>
      <c r="G1675" t="s">
        <v>21</v>
      </c>
      <c r="H1675" t="str">
        <f>"AD2201801038202"</f>
        <v>AD2201801038202</v>
      </c>
      <c r="I1675" t="str">
        <f>"AFLAC INSURANCE"</f>
        <v>AFLAC INSURANCE</v>
      </c>
    </row>
    <row r="1676" spans="1:9" x14ac:dyDescent="0.25">
      <c r="E1676" s="7"/>
      <c r="F1676" t="s">
        <v>20</v>
      </c>
      <c r="G1676" t="s">
        <v>21</v>
      </c>
      <c r="H1676" t="str">
        <f>"ADR201712198199"</f>
        <v>ADR201712198199</v>
      </c>
      <c r="I1676" t="str">
        <f>"INSURANCE"</f>
        <v>INSURANCE</v>
      </c>
    </row>
    <row r="1677" spans="1:9" x14ac:dyDescent="0.25">
      <c r="E1677" s="7"/>
      <c r="F1677" t="s">
        <v>20</v>
      </c>
      <c r="G1677" t="s">
        <v>21</v>
      </c>
      <c r="H1677" t="str">
        <f>"ADR201801038202"</f>
        <v>ADR201801038202</v>
      </c>
      <c r="I1677" t="str">
        <f>"INSURANCE"</f>
        <v>INSURANCE</v>
      </c>
    </row>
    <row r="1678" spans="1:9" x14ac:dyDescent="0.25">
      <c r="E1678" s="7"/>
      <c r="F1678" t="s">
        <v>20</v>
      </c>
      <c r="G1678" t="s">
        <v>21</v>
      </c>
      <c r="H1678" t="str">
        <f>"AF1201712198199"</f>
        <v>AF1201712198199</v>
      </c>
      <c r="I1678" t="str">
        <f t="shared" ref="I1678:I1683" si="27">"AFLAC INSURANCE"</f>
        <v>AFLAC INSURANCE</v>
      </c>
    </row>
    <row r="1679" spans="1:9" x14ac:dyDescent="0.25">
      <c r="E1679" s="7"/>
      <c r="F1679" t="s">
        <v>20</v>
      </c>
      <c r="G1679" t="s">
        <v>21</v>
      </c>
      <c r="H1679" t="str">
        <f>"AF1201801038202"</f>
        <v>AF1201801038202</v>
      </c>
      <c r="I1679" t="str">
        <f t="shared" si="27"/>
        <v>AFLAC INSURANCE</v>
      </c>
    </row>
    <row r="1680" spans="1:9" x14ac:dyDescent="0.25">
      <c r="E1680" s="7"/>
      <c r="F1680" t="s">
        <v>20</v>
      </c>
      <c r="G1680" t="s">
        <v>21</v>
      </c>
      <c r="H1680" t="str">
        <f>"ASP201712198199"</f>
        <v>ASP201712198199</v>
      </c>
      <c r="I1680" t="str">
        <f t="shared" si="27"/>
        <v>AFLAC INSURANCE</v>
      </c>
    </row>
    <row r="1681" spans="1:9" x14ac:dyDescent="0.25">
      <c r="E1681" s="7"/>
      <c r="F1681" t="s">
        <v>20</v>
      </c>
      <c r="G1681" t="s">
        <v>21</v>
      </c>
      <c r="H1681" t="str">
        <f>"ASP201801038202"</f>
        <v>ASP201801038202</v>
      </c>
      <c r="I1681" t="str">
        <f t="shared" si="27"/>
        <v>AFLAC INSURANCE</v>
      </c>
    </row>
    <row r="1682" spans="1:9" x14ac:dyDescent="0.25">
      <c r="E1682" s="7"/>
      <c r="F1682" t="s">
        <v>20</v>
      </c>
      <c r="G1682" t="s">
        <v>21</v>
      </c>
      <c r="H1682" t="str">
        <f>"HCO201712198199"</f>
        <v>HCO201712198199</v>
      </c>
      <c r="I1682" t="str">
        <f t="shared" si="27"/>
        <v>AFLAC INSURANCE</v>
      </c>
    </row>
    <row r="1683" spans="1:9" x14ac:dyDescent="0.25">
      <c r="E1683" s="7"/>
      <c r="F1683" t="s">
        <v>20</v>
      </c>
      <c r="G1683" t="s">
        <v>21</v>
      </c>
      <c r="H1683" t="str">
        <f>"HCO201801038202"</f>
        <v>HCO201801038202</v>
      </c>
      <c r="I1683" t="str">
        <f t="shared" si="27"/>
        <v>AFLAC INSURANCE</v>
      </c>
    </row>
    <row r="1684" spans="1:9" x14ac:dyDescent="0.25">
      <c r="A1684" s="6">
        <v>43117</v>
      </c>
      <c r="B1684" t="s">
        <v>26</v>
      </c>
      <c r="C1684">
        <v>56553</v>
      </c>
      <c r="D1684" t="s">
        <v>92</v>
      </c>
      <c r="E1684" s="7">
        <v>40619.49</v>
      </c>
      <c r="F1684" t="s">
        <v>20</v>
      </c>
      <c r="G1684" t="s">
        <v>21</v>
      </c>
      <c r="H1684" t="str">
        <f>"DEC 2017"</f>
        <v>DEC 2017</v>
      </c>
      <c r="I1684" t="str">
        <f>"TEXAS MUNICIPAL RETIREMENT SYS"</f>
        <v>TEXAS MUNICIPAL RETIREMENT SYS</v>
      </c>
    </row>
    <row r="1685" spans="1:9" x14ac:dyDescent="0.25">
      <c r="E1685" s="7"/>
      <c r="F1685" t="s">
        <v>20</v>
      </c>
      <c r="G1685" t="s">
        <v>21</v>
      </c>
      <c r="H1685" t="str">
        <f>"RET201712198199"</f>
        <v>RET201712198199</v>
      </c>
      <c r="I1685" t="str">
        <f>"TMRS CITY OF FLORESVILLE"</f>
        <v>TMRS CITY OF FLORESVILLE</v>
      </c>
    </row>
    <row r="1686" spans="1:9" x14ac:dyDescent="0.25">
      <c r="E1686" s="7"/>
      <c r="F1686" t="s">
        <v>20</v>
      </c>
      <c r="G1686" t="s">
        <v>21</v>
      </c>
      <c r="H1686" t="str">
        <f>"RET201801038202"</f>
        <v>RET201801038202</v>
      </c>
      <c r="I1686" t="str">
        <f>"TMRS CITY OF FLORESVILLE"</f>
        <v>TMRS CITY OF FLORESVILLE</v>
      </c>
    </row>
    <row r="1687" spans="1:9" x14ac:dyDescent="0.25">
      <c r="A1687" s="6">
        <v>43117</v>
      </c>
      <c r="B1687" t="s">
        <v>26</v>
      </c>
      <c r="C1687">
        <v>56557</v>
      </c>
      <c r="D1687" t="s">
        <v>94</v>
      </c>
      <c r="E1687" s="7">
        <v>2437.73</v>
      </c>
      <c r="F1687" t="s">
        <v>20</v>
      </c>
      <c r="G1687" t="s">
        <v>21</v>
      </c>
      <c r="H1687" t="str">
        <f>"4137339"</f>
        <v>4137339</v>
      </c>
      <c r="I1687" t="str">
        <f>"DENTAL SELECT"</f>
        <v>DENTAL SELECT</v>
      </c>
    </row>
    <row r="1688" spans="1:9" x14ac:dyDescent="0.25">
      <c r="E1688" s="7"/>
      <c r="F1688" t="s">
        <v>20</v>
      </c>
      <c r="G1688" t="s">
        <v>21</v>
      </c>
      <c r="H1688" t="str">
        <f>"DEN201712198199"</f>
        <v>DEN201712198199</v>
      </c>
      <c r="I1688" t="str">
        <f>"DENTAL INSURANCE"</f>
        <v>DENTAL INSURANCE</v>
      </c>
    </row>
    <row r="1689" spans="1:9" x14ac:dyDescent="0.25">
      <c r="E1689" s="7"/>
      <c r="F1689" t="s">
        <v>20</v>
      </c>
      <c r="G1689" t="s">
        <v>21</v>
      </c>
      <c r="H1689" t="str">
        <f>"DEN201801038202"</f>
        <v>DEN201801038202</v>
      </c>
      <c r="I1689" t="str">
        <f>"DENTAL INSURANCE"</f>
        <v>DENTAL INSURANCE</v>
      </c>
    </row>
    <row r="1690" spans="1:9" x14ac:dyDescent="0.25">
      <c r="A1690" s="6">
        <v>43117</v>
      </c>
      <c r="B1690" t="s">
        <v>26</v>
      </c>
      <c r="C1690">
        <v>56558</v>
      </c>
      <c r="D1690" t="s">
        <v>95</v>
      </c>
      <c r="E1690" s="7">
        <v>84.78</v>
      </c>
      <c r="F1690" t="s">
        <v>20</v>
      </c>
      <c r="G1690" t="s">
        <v>21</v>
      </c>
      <c r="H1690" t="str">
        <f>"201712023"</f>
        <v>201712023</v>
      </c>
      <c r="I1690" t="str">
        <f>"LEGAL PLANS"</f>
        <v>LEGAL PLANS</v>
      </c>
    </row>
    <row r="1691" spans="1:9" x14ac:dyDescent="0.25">
      <c r="E1691" s="7"/>
      <c r="F1691" t="s">
        <v>20</v>
      </c>
      <c r="G1691" t="s">
        <v>21</v>
      </c>
      <c r="H1691" t="str">
        <f>"LEA201712198199"</f>
        <v>LEA201712198199</v>
      </c>
      <c r="I1691" t="str">
        <f>"INSURANCE"</f>
        <v>INSURANCE</v>
      </c>
    </row>
    <row r="1692" spans="1:9" x14ac:dyDescent="0.25">
      <c r="E1692" s="7"/>
      <c r="F1692" t="s">
        <v>20</v>
      </c>
      <c r="G1692" t="s">
        <v>21</v>
      </c>
      <c r="H1692" t="str">
        <f>"LEA201801038202"</f>
        <v>LEA201801038202</v>
      </c>
      <c r="I1692" t="str">
        <f>"INSURANCE"</f>
        <v>INSURANCE</v>
      </c>
    </row>
    <row r="1693" spans="1:9" x14ac:dyDescent="0.25">
      <c r="A1693" s="6">
        <v>43117</v>
      </c>
      <c r="B1693" t="s">
        <v>26</v>
      </c>
      <c r="C1693">
        <v>56559</v>
      </c>
      <c r="D1693" t="s">
        <v>96</v>
      </c>
      <c r="E1693" s="7">
        <v>587.79999999999995</v>
      </c>
      <c r="F1693" t="s">
        <v>20</v>
      </c>
      <c r="G1693" t="s">
        <v>21</v>
      </c>
      <c r="H1693" t="str">
        <f>"GROUP#0106303"</f>
        <v>GROUP#0106303</v>
      </c>
      <c r="I1693" t="str">
        <f>"LEGALSHIELD"</f>
        <v>LEGALSHIELD</v>
      </c>
    </row>
    <row r="1694" spans="1:9" x14ac:dyDescent="0.25">
      <c r="E1694" s="7"/>
      <c r="F1694" t="s">
        <v>20</v>
      </c>
      <c r="G1694" t="s">
        <v>21</v>
      </c>
      <c r="H1694" t="str">
        <f>"PPL201712198199"</f>
        <v>PPL201712198199</v>
      </c>
      <c r="I1694" t="str">
        <f t="shared" ref="I1694:I1699" si="28">"INSURANCE"</f>
        <v>INSURANCE</v>
      </c>
    </row>
    <row r="1695" spans="1:9" x14ac:dyDescent="0.25">
      <c r="E1695" s="7"/>
      <c r="F1695" t="s">
        <v>20</v>
      </c>
      <c r="G1695" t="s">
        <v>21</v>
      </c>
      <c r="H1695" t="str">
        <f>"PPL201801038202"</f>
        <v>PPL201801038202</v>
      </c>
      <c r="I1695" t="str">
        <f t="shared" si="28"/>
        <v>INSURANCE</v>
      </c>
    </row>
    <row r="1696" spans="1:9" x14ac:dyDescent="0.25">
      <c r="A1696" s="6">
        <v>43117</v>
      </c>
      <c r="B1696" t="s">
        <v>91</v>
      </c>
      <c r="C1696">
        <v>56560</v>
      </c>
      <c r="D1696" t="s">
        <v>97</v>
      </c>
      <c r="E1696" s="7">
        <v>67526.320000000007</v>
      </c>
      <c r="F1696" t="s">
        <v>20</v>
      </c>
      <c r="G1696" t="s">
        <v>21</v>
      </c>
      <c r="H1696" t="str">
        <f>"BME201712198199"</f>
        <v>BME201712198199</v>
      </c>
      <c r="I1696" t="str">
        <f t="shared" si="28"/>
        <v>INSURANCE</v>
      </c>
    </row>
    <row r="1697" spans="1:9" x14ac:dyDescent="0.25">
      <c r="E1697" s="7"/>
      <c r="F1697" t="s">
        <v>20</v>
      </c>
      <c r="G1697" t="s">
        <v>21</v>
      </c>
      <c r="H1697" t="str">
        <f>"BME201801038202"</f>
        <v>BME201801038202</v>
      </c>
      <c r="I1697" t="str">
        <f t="shared" si="28"/>
        <v>INSURANCE</v>
      </c>
    </row>
    <row r="1698" spans="1:9" x14ac:dyDescent="0.25">
      <c r="E1698" s="7"/>
      <c r="F1698" t="s">
        <v>20</v>
      </c>
      <c r="G1698" t="s">
        <v>21</v>
      </c>
      <c r="H1698" t="str">
        <f>"MED201712198199"</f>
        <v>MED201712198199</v>
      </c>
      <c r="I1698" t="str">
        <f t="shared" si="28"/>
        <v>INSURANCE</v>
      </c>
    </row>
    <row r="1699" spans="1:9" x14ac:dyDescent="0.25">
      <c r="E1699" s="7"/>
      <c r="F1699" t="s">
        <v>20</v>
      </c>
      <c r="G1699" t="s">
        <v>21</v>
      </c>
      <c r="H1699" t="str">
        <f>"MED201801038202"</f>
        <v>MED201801038202</v>
      </c>
      <c r="I1699" t="str">
        <f t="shared" si="28"/>
        <v>INSURANCE</v>
      </c>
    </row>
    <row r="1700" spans="1:9" x14ac:dyDescent="0.25">
      <c r="A1700" s="6">
        <v>43117</v>
      </c>
      <c r="B1700" t="s">
        <v>91</v>
      </c>
      <c r="C1700">
        <v>56560</v>
      </c>
      <c r="D1700" t="s">
        <v>97</v>
      </c>
      <c r="E1700" s="7">
        <v>67526.320000000007</v>
      </c>
      <c r="F1700" t="s">
        <v>20</v>
      </c>
      <c r="G1700" t="s">
        <v>93</v>
      </c>
      <c r="H1700" t="str">
        <f>"CHECK"</f>
        <v>CHECK</v>
      </c>
      <c r="I1700" t="str">
        <f>""</f>
        <v/>
      </c>
    </row>
    <row r="1701" spans="1:9" x14ac:dyDescent="0.25">
      <c r="A1701" s="6">
        <v>43117</v>
      </c>
      <c r="B1701" t="s">
        <v>26</v>
      </c>
      <c r="C1701">
        <v>56564</v>
      </c>
      <c r="D1701" t="s">
        <v>98</v>
      </c>
      <c r="E1701" s="7">
        <v>2861.15</v>
      </c>
      <c r="F1701" t="s">
        <v>20</v>
      </c>
      <c r="G1701" t="s">
        <v>24</v>
      </c>
      <c r="H1701" t="str">
        <f>"ACCT#GAE40397-1"</f>
        <v>ACCT#GAE40397-1</v>
      </c>
      <c r="I1701" t="str">
        <f>"DEARBORN NATIONAL"</f>
        <v>DEARBORN NATIONAL</v>
      </c>
    </row>
    <row r="1702" spans="1:9" x14ac:dyDescent="0.25">
      <c r="E1702" s="7"/>
      <c r="F1702" t="s">
        <v>20</v>
      </c>
      <c r="G1702" t="s">
        <v>21</v>
      </c>
      <c r="H1702" t="str">
        <f>"STD201712198199"</f>
        <v>STD201712198199</v>
      </c>
      <c r="I1702" t="str">
        <f>"SHORT TERM DISABILITY"</f>
        <v>SHORT TERM DISABILITY</v>
      </c>
    </row>
    <row r="1703" spans="1:9" x14ac:dyDescent="0.25">
      <c r="E1703" s="7"/>
      <c r="F1703" t="s">
        <v>20</v>
      </c>
      <c r="G1703" t="s">
        <v>21</v>
      </c>
      <c r="H1703" t="str">
        <f>"STD201801038202"</f>
        <v>STD201801038202</v>
      </c>
      <c r="I1703" t="str">
        <f>"SHORT TERM DISABILITY"</f>
        <v>SHORT TERM DISABILITY</v>
      </c>
    </row>
    <row r="1704" spans="1:9" x14ac:dyDescent="0.25">
      <c r="E1704" s="7"/>
      <c r="F1704" t="s">
        <v>20</v>
      </c>
      <c r="G1704" t="s">
        <v>21</v>
      </c>
      <c r="H1704" t="str">
        <f>"VLC201712198199"</f>
        <v>VLC201712198199</v>
      </c>
      <c r="I1704" t="str">
        <f>"CHILD LIFE INSURANCE"</f>
        <v>CHILD LIFE INSURANCE</v>
      </c>
    </row>
    <row r="1705" spans="1:9" x14ac:dyDescent="0.25">
      <c r="E1705" s="7"/>
      <c r="F1705" t="s">
        <v>20</v>
      </c>
      <c r="G1705" t="s">
        <v>21</v>
      </c>
      <c r="H1705" t="str">
        <f>"VLC201801038202"</f>
        <v>VLC201801038202</v>
      </c>
      <c r="I1705" t="str">
        <f>"CHILD LIFE INSURANCE"</f>
        <v>CHILD LIFE INSURANCE</v>
      </c>
    </row>
    <row r="1706" spans="1:9" x14ac:dyDescent="0.25">
      <c r="E1706" s="7"/>
      <c r="F1706" t="s">
        <v>20</v>
      </c>
      <c r="G1706" t="s">
        <v>21</v>
      </c>
      <c r="H1706" t="str">
        <f>"VLS201712198199"</f>
        <v>VLS201712198199</v>
      </c>
      <c r="I1706" t="str">
        <f>"SPOUSE LIFE"</f>
        <v>SPOUSE LIFE</v>
      </c>
    </row>
    <row r="1707" spans="1:9" x14ac:dyDescent="0.25">
      <c r="E1707" s="7"/>
      <c r="F1707" t="s">
        <v>20</v>
      </c>
      <c r="G1707" t="s">
        <v>21</v>
      </c>
      <c r="H1707" t="str">
        <f>"VLS201801038202"</f>
        <v>VLS201801038202</v>
      </c>
      <c r="I1707" t="str">
        <f>"SPOUSE LIFE"</f>
        <v>SPOUSE LIFE</v>
      </c>
    </row>
    <row r="1708" spans="1:9" x14ac:dyDescent="0.25">
      <c r="E1708" s="7"/>
      <c r="F1708" t="s">
        <v>20</v>
      </c>
      <c r="G1708" t="s">
        <v>21</v>
      </c>
      <c r="H1708" t="str">
        <f>"VOE201712198199"</f>
        <v>VOE201712198199</v>
      </c>
      <c r="I1708" t="str">
        <f>"EMPLOYEE LIFE"</f>
        <v>EMPLOYEE LIFE</v>
      </c>
    </row>
    <row r="1709" spans="1:9" x14ac:dyDescent="0.25">
      <c r="E1709" s="7"/>
      <c r="F1709" t="s">
        <v>20</v>
      </c>
      <c r="G1709" t="s">
        <v>21</v>
      </c>
      <c r="H1709" t="str">
        <f>"VOE201801038202"</f>
        <v>VOE201801038202</v>
      </c>
      <c r="I1709" t="str">
        <f>"EMPLOYEE LIFE"</f>
        <v>EMPLOYEE LIFE</v>
      </c>
    </row>
    <row r="1710" spans="1:9" x14ac:dyDescent="0.25">
      <c r="E1710" s="7"/>
      <c r="F1710" t="s">
        <v>20</v>
      </c>
      <c r="G1710" t="s">
        <v>21</v>
      </c>
      <c r="H1710" t="str">
        <f>"VOL201712198199"</f>
        <v>VOL201712198199</v>
      </c>
      <c r="I1710" t="str">
        <f>"LIFE"</f>
        <v>LIFE</v>
      </c>
    </row>
    <row r="1711" spans="1:9" x14ac:dyDescent="0.25">
      <c r="E1711" s="7"/>
      <c r="F1711" t="s">
        <v>20</v>
      </c>
      <c r="G1711" t="s">
        <v>21</v>
      </c>
      <c r="H1711" t="str">
        <f>"VOL201801038202"</f>
        <v>VOL201801038202</v>
      </c>
      <c r="I1711" t="str">
        <f>"LIFE"</f>
        <v>LIFE</v>
      </c>
    </row>
    <row r="1712" spans="1:9" x14ac:dyDescent="0.25">
      <c r="A1712" s="6">
        <v>43117</v>
      </c>
      <c r="B1712" t="s">
        <v>91</v>
      </c>
      <c r="C1712">
        <v>56573</v>
      </c>
      <c r="D1712" t="s">
        <v>99</v>
      </c>
      <c r="E1712" s="7">
        <v>630.88</v>
      </c>
      <c r="F1712" t="s">
        <v>20</v>
      </c>
      <c r="G1712" t="s">
        <v>21</v>
      </c>
      <c r="H1712" t="str">
        <f>"VIS201712198199"</f>
        <v>VIS201712198199</v>
      </c>
      <c r="I1712" t="str">
        <f>"VISION INSURANCE"</f>
        <v>VISION INSURANCE</v>
      </c>
    </row>
    <row r="1713" spans="1:9" x14ac:dyDescent="0.25">
      <c r="E1713" s="7"/>
      <c r="F1713" t="s">
        <v>20</v>
      </c>
      <c r="G1713" t="s">
        <v>21</v>
      </c>
      <c r="H1713" t="str">
        <f>"VIS201801038202"</f>
        <v>VIS201801038202</v>
      </c>
      <c r="I1713" t="str">
        <f>"VISION INSURANCE"</f>
        <v>VISION INSURANCE</v>
      </c>
    </row>
    <row r="1714" spans="1:9" x14ac:dyDescent="0.25">
      <c r="A1714" s="6">
        <v>43117</v>
      </c>
      <c r="B1714" t="s">
        <v>91</v>
      </c>
      <c r="C1714">
        <v>56573</v>
      </c>
      <c r="D1714" t="s">
        <v>99</v>
      </c>
      <c r="E1714" s="7">
        <v>630.88</v>
      </c>
      <c r="F1714" t="s">
        <v>20</v>
      </c>
      <c r="G1714" t="s">
        <v>93</v>
      </c>
      <c r="H1714" t="str">
        <f>"CHECK"</f>
        <v>CHECK</v>
      </c>
      <c r="I1714" t="str">
        <f>""</f>
        <v/>
      </c>
    </row>
    <row r="1715" spans="1:9" x14ac:dyDescent="0.25">
      <c r="A1715" s="6">
        <v>43117</v>
      </c>
      <c r="B1715" t="s">
        <v>26</v>
      </c>
      <c r="C1715">
        <v>56574</v>
      </c>
      <c r="D1715" t="s">
        <v>221</v>
      </c>
      <c r="E1715" s="7">
        <v>76256.39</v>
      </c>
      <c r="F1715" t="s">
        <v>20</v>
      </c>
      <c r="G1715" t="s">
        <v>21</v>
      </c>
      <c r="H1715" t="str">
        <f>"C471712A/R"</f>
        <v>C471712A/R</v>
      </c>
      <c r="I1715" t="str">
        <f>"TML MULTISTATE INTERGOVERNMENT"</f>
        <v>TML MULTISTATE INTERGOVERNMENT</v>
      </c>
    </row>
    <row r="1716" spans="1:9" x14ac:dyDescent="0.25">
      <c r="E1716" s="7"/>
      <c r="F1716" t="s">
        <v>20</v>
      </c>
      <c r="G1716" t="s">
        <v>21</v>
      </c>
      <c r="H1716" t="str">
        <f>"C471801A/R"</f>
        <v>C471801A/R</v>
      </c>
      <c r="I1716" t="str">
        <f>"TML MULTISTATE INTERGOVERNMENT"</f>
        <v>TML MULTISTATE INTERGOVERNMENT</v>
      </c>
    </row>
    <row r="1717" spans="1:9" x14ac:dyDescent="0.25">
      <c r="A1717" s="6">
        <v>43117</v>
      </c>
      <c r="B1717" t="s">
        <v>26</v>
      </c>
      <c r="C1717">
        <v>56585</v>
      </c>
      <c r="D1717" t="s">
        <v>51</v>
      </c>
      <c r="E1717" s="7">
        <v>327.84</v>
      </c>
      <c r="F1717" t="s">
        <v>20</v>
      </c>
      <c r="G1717" t="s">
        <v>21</v>
      </c>
      <c r="H1717" t="str">
        <f>"CLE201801178215"</f>
        <v>CLE201801178215</v>
      </c>
      <c r="I1717" t="str">
        <f>"CLEAT ONLY DUES"</f>
        <v>CLEAT ONLY DUES</v>
      </c>
    </row>
    <row r="1718" spans="1:9" x14ac:dyDescent="0.25">
      <c r="E1718" s="7"/>
      <c r="F1718" t="s">
        <v>20</v>
      </c>
      <c r="G1718" t="s">
        <v>21</v>
      </c>
      <c r="H1718" t="str">
        <f>"PDD201801178215"</f>
        <v>PDD201801178215</v>
      </c>
      <c r="I1718" t="str">
        <f>"POLICE OFFICERS ASSOC DUES"</f>
        <v>POLICE OFFICERS ASSOC DUES</v>
      </c>
    </row>
    <row r="1719" spans="1:9" x14ac:dyDescent="0.25">
      <c r="A1719" s="6">
        <v>43117</v>
      </c>
      <c r="B1719" t="s">
        <v>26</v>
      </c>
      <c r="C1719">
        <v>56586</v>
      </c>
      <c r="D1719" t="s">
        <v>90</v>
      </c>
      <c r="E1719" s="7">
        <v>114.96</v>
      </c>
      <c r="F1719" t="s">
        <v>20</v>
      </c>
      <c r="G1719" t="s">
        <v>21</v>
      </c>
      <c r="H1719" t="str">
        <f>"AFS201801178215"</f>
        <v>AFS201801178215</v>
      </c>
      <c r="I1719" t="str">
        <f>"AFLAC STD"</f>
        <v>AFLAC STD</v>
      </c>
    </row>
    <row r="1720" spans="1:9" x14ac:dyDescent="0.25">
      <c r="A1720" s="6">
        <v>43117</v>
      </c>
      <c r="B1720" t="s">
        <v>26</v>
      </c>
      <c r="C1720">
        <v>56587</v>
      </c>
      <c r="D1720" t="s">
        <v>52</v>
      </c>
      <c r="E1720" s="7">
        <v>1745.38</v>
      </c>
      <c r="F1720" t="s">
        <v>20</v>
      </c>
      <c r="G1720" t="s">
        <v>21</v>
      </c>
      <c r="H1720" t="str">
        <f>"CJM201801178215"</f>
        <v>CJM201801178215</v>
      </c>
      <c r="I1720" t="str">
        <f>"1248728810120679CV LISA M FISH"</f>
        <v>1248728810120679CV LISA M FISH</v>
      </c>
    </row>
    <row r="1721" spans="1:9" x14ac:dyDescent="0.25">
      <c r="E1721" s="7"/>
      <c r="F1721" t="s">
        <v>20</v>
      </c>
      <c r="G1721" t="s">
        <v>21</v>
      </c>
      <c r="H1721" t="str">
        <f>"CPS201801178215"</f>
        <v>CPS201801178215</v>
      </c>
      <c r="I1721" t="str">
        <f>"G MENDOZA 00123012032010EM5054"</f>
        <v>G MENDOZA 00123012032010EM5054</v>
      </c>
    </row>
    <row r="1722" spans="1:9" x14ac:dyDescent="0.25">
      <c r="E1722" s="7"/>
      <c r="F1722" t="s">
        <v>20</v>
      </c>
      <c r="G1722" t="s">
        <v>21</v>
      </c>
      <c r="H1722" t="str">
        <f>"CS 201801178215"</f>
        <v>CS 201801178215</v>
      </c>
      <c r="I1722" t="str">
        <f>"CAUSE#98EM504113 PEGGY RIVAS"</f>
        <v>CAUSE#98EM504113 PEGGY RIVAS</v>
      </c>
    </row>
    <row r="1723" spans="1:9" x14ac:dyDescent="0.25">
      <c r="E1723" s="7"/>
      <c r="F1723" t="s">
        <v>20</v>
      </c>
      <c r="G1723" t="s">
        <v>21</v>
      </c>
      <c r="H1723" t="str">
        <f>"CS1201801178215"</f>
        <v>CS1201801178215</v>
      </c>
      <c r="I1723" t="str">
        <f>"CAUSE# 10008CVW DEBRA ESQUEDA"</f>
        <v>CAUSE# 10008CVW DEBRA ESQUEDA</v>
      </c>
    </row>
    <row r="1724" spans="1:9" x14ac:dyDescent="0.25">
      <c r="E1724" s="7"/>
      <c r="F1724" t="s">
        <v>20</v>
      </c>
      <c r="G1724" t="s">
        <v>21</v>
      </c>
      <c r="H1724" t="str">
        <f>"CSJ201801178215"</f>
        <v>CSJ201801178215</v>
      </c>
      <c r="I1724" t="str">
        <f>"CAUSE# 0010185272 MARIANN GUTI"</f>
        <v>CAUSE# 0010185272 MARIANN GUTI</v>
      </c>
    </row>
    <row r="1725" spans="1:9" x14ac:dyDescent="0.25">
      <c r="E1725" s="7"/>
      <c r="F1725" t="s">
        <v>20</v>
      </c>
      <c r="G1725" t="s">
        <v>21</v>
      </c>
      <c r="H1725" t="str">
        <f>"CST201801178215"</f>
        <v>CST201801178215</v>
      </c>
      <c r="I1725" t="str">
        <f>"CAUSE #0009418917 SONIA PEREZ"</f>
        <v>CAUSE #0009418917 SONIA PEREZ</v>
      </c>
    </row>
    <row r="1726" spans="1:9" x14ac:dyDescent="0.25">
      <c r="A1726" s="6">
        <v>43117</v>
      </c>
      <c r="B1726" t="s">
        <v>26</v>
      </c>
      <c r="C1726">
        <v>56588</v>
      </c>
      <c r="D1726" t="s">
        <v>53</v>
      </c>
      <c r="E1726" s="7">
        <v>99.1</v>
      </c>
      <c r="F1726" t="s">
        <v>20</v>
      </c>
      <c r="G1726" t="s">
        <v>21</v>
      </c>
      <c r="H1726" t="str">
        <f>"MCO201801178215"</f>
        <v>MCO201801178215</v>
      </c>
      <c r="I1726" t="str">
        <f>"MONICA CORDOVA"</f>
        <v>MONICA CORDOVA</v>
      </c>
    </row>
    <row r="1727" spans="1:9" x14ac:dyDescent="0.25">
      <c r="A1727" s="6">
        <v>43117</v>
      </c>
      <c r="B1727" t="s">
        <v>26</v>
      </c>
      <c r="C1727">
        <v>56589</v>
      </c>
      <c r="D1727" t="s">
        <v>54</v>
      </c>
      <c r="E1727" s="7">
        <v>845.48</v>
      </c>
      <c r="F1727" t="s">
        <v>20</v>
      </c>
      <c r="G1727" t="s">
        <v>21</v>
      </c>
      <c r="H1727" t="str">
        <f>"457201801178215"</f>
        <v>457201801178215</v>
      </c>
      <c r="I1727" t="str">
        <f>"CASE # 180-60751 457B DEDUCT"</f>
        <v>CASE # 180-60751 457B DEDUCT</v>
      </c>
    </row>
    <row r="1728" spans="1:9" x14ac:dyDescent="0.25">
      <c r="A1728" s="6">
        <v>43118</v>
      </c>
      <c r="B1728" t="s">
        <v>26</v>
      </c>
      <c r="C1728">
        <v>56590</v>
      </c>
      <c r="D1728" t="s">
        <v>207</v>
      </c>
      <c r="E1728" s="7">
        <v>575</v>
      </c>
      <c r="F1728" t="s">
        <v>20</v>
      </c>
      <c r="G1728" t="s">
        <v>21</v>
      </c>
      <c r="H1728" t="str">
        <f>"4641"</f>
        <v>4641</v>
      </c>
      <c r="I1728" t="str">
        <f>"MAD DESIGNS"</f>
        <v>MAD DESIGNS</v>
      </c>
    </row>
    <row r="1729" spans="1:9" x14ac:dyDescent="0.25">
      <c r="A1729" s="6">
        <v>43118</v>
      </c>
      <c r="B1729" t="s">
        <v>26</v>
      </c>
      <c r="C1729">
        <v>56591</v>
      </c>
      <c r="D1729" t="s">
        <v>205</v>
      </c>
      <c r="E1729" s="7">
        <v>600.5</v>
      </c>
      <c r="F1729" t="s">
        <v>20</v>
      </c>
      <c r="G1729" t="s">
        <v>21</v>
      </c>
      <c r="H1729" t="str">
        <f>"201801188216"</f>
        <v>201801188216</v>
      </c>
      <c r="I1729" t="str">
        <f>"SILVER EAGLE DISTRIBUTORS"</f>
        <v>SILVER EAGLE DISTRIBUTORS</v>
      </c>
    </row>
    <row r="1730" spans="1:9" x14ac:dyDescent="0.25">
      <c r="A1730" s="6">
        <v>43118</v>
      </c>
      <c r="B1730" t="s">
        <v>26</v>
      </c>
      <c r="C1730">
        <v>56592</v>
      </c>
      <c r="D1730" t="s">
        <v>157</v>
      </c>
      <c r="E1730" s="7">
        <v>517.5</v>
      </c>
      <c r="F1730" t="s">
        <v>20</v>
      </c>
      <c r="G1730" t="s">
        <v>21</v>
      </c>
      <c r="H1730" t="str">
        <f>"201801188217"</f>
        <v>201801188217</v>
      </c>
      <c r="I1730" t="str">
        <f>"GLAZIERS"</f>
        <v>GLAZIERS</v>
      </c>
    </row>
    <row r="1731" spans="1:9" x14ac:dyDescent="0.25">
      <c r="A1731" s="6">
        <v>43118</v>
      </c>
      <c r="B1731" t="s">
        <v>26</v>
      </c>
      <c r="C1731">
        <v>56593</v>
      </c>
      <c r="D1731" t="s">
        <v>200</v>
      </c>
      <c r="E1731" s="7">
        <v>1750</v>
      </c>
      <c r="F1731" t="s">
        <v>20</v>
      </c>
      <c r="G1731" t="s">
        <v>21</v>
      </c>
      <c r="H1731" t="str">
        <f>"180503"</f>
        <v>180503</v>
      </c>
      <c r="I1731" t="str">
        <f>"MARIO AVILES"</f>
        <v>MARIO AVILES</v>
      </c>
    </row>
    <row r="1732" spans="1:9" x14ac:dyDescent="0.25">
      <c r="A1732" s="6">
        <v>43118</v>
      </c>
      <c r="B1732" t="s">
        <v>26</v>
      </c>
      <c r="C1732">
        <v>56594</v>
      </c>
      <c r="D1732" t="s">
        <v>247</v>
      </c>
      <c r="E1732" s="7">
        <v>13890</v>
      </c>
      <c r="F1732" t="s">
        <v>20</v>
      </c>
      <c r="G1732" t="s">
        <v>21</v>
      </c>
      <c r="H1732" t="str">
        <f>"180505"</f>
        <v>180505</v>
      </c>
      <c r="I1732" t="str">
        <f>"MARIO ALBERTO AVILES"</f>
        <v>MARIO ALBERTO AVILES</v>
      </c>
    </row>
    <row r="1733" spans="1:9" x14ac:dyDescent="0.25">
      <c r="A1733" s="6">
        <v>43124</v>
      </c>
      <c r="B1733" t="s">
        <v>26</v>
      </c>
      <c r="C1733">
        <v>56595</v>
      </c>
      <c r="D1733" t="s">
        <v>56</v>
      </c>
      <c r="E1733" s="7">
        <v>70</v>
      </c>
      <c r="F1733" t="s">
        <v>20</v>
      </c>
      <c r="G1733" t="s">
        <v>21</v>
      </c>
      <c r="H1733" t="str">
        <f>"164001"</f>
        <v>164001</v>
      </c>
      <c r="I1733" t="str">
        <f t="shared" ref="I1733:I1739" si="29">"GERALD LUBIANSKI ENTERPRISES"</f>
        <v>GERALD LUBIANSKI ENTERPRISES</v>
      </c>
    </row>
    <row r="1734" spans="1:9" x14ac:dyDescent="0.25">
      <c r="E1734" s="7"/>
      <c r="F1734" t="s">
        <v>20</v>
      </c>
      <c r="G1734" t="s">
        <v>21</v>
      </c>
      <c r="H1734" t="str">
        <f>"164030"</f>
        <v>164030</v>
      </c>
      <c r="I1734" t="str">
        <f t="shared" si="29"/>
        <v>GERALD LUBIANSKI ENTERPRISES</v>
      </c>
    </row>
    <row r="1735" spans="1:9" x14ac:dyDescent="0.25">
      <c r="E1735" s="7"/>
      <c r="F1735" t="s">
        <v>20</v>
      </c>
      <c r="G1735" t="s">
        <v>21</v>
      </c>
      <c r="H1735" t="str">
        <f>"164083"</f>
        <v>164083</v>
      </c>
      <c r="I1735" t="str">
        <f t="shared" si="29"/>
        <v>GERALD LUBIANSKI ENTERPRISES</v>
      </c>
    </row>
    <row r="1736" spans="1:9" x14ac:dyDescent="0.25">
      <c r="E1736" s="7"/>
      <c r="F1736" t="s">
        <v>20</v>
      </c>
      <c r="G1736" t="s">
        <v>21</v>
      </c>
      <c r="H1736" t="str">
        <f>"164117"</f>
        <v>164117</v>
      </c>
      <c r="I1736" t="str">
        <f t="shared" si="29"/>
        <v>GERALD LUBIANSKI ENTERPRISES</v>
      </c>
    </row>
    <row r="1737" spans="1:9" x14ac:dyDescent="0.25">
      <c r="E1737" s="7"/>
      <c r="F1737" t="s">
        <v>20</v>
      </c>
      <c r="G1737" t="s">
        <v>21</v>
      </c>
      <c r="H1737" t="str">
        <f>"164126"</f>
        <v>164126</v>
      </c>
      <c r="I1737" t="str">
        <f t="shared" si="29"/>
        <v>GERALD LUBIANSKI ENTERPRISES</v>
      </c>
    </row>
    <row r="1738" spans="1:9" x14ac:dyDescent="0.25">
      <c r="E1738" s="7"/>
      <c r="F1738" t="s">
        <v>20</v>
      </c>
      <c r="G1738" t="s">
        <v>21</v>
      </c>
      <c r="H1738" t="str">
        <f>"164152"</f>
        <v>164152</v>
      </c>
      <c r="I1738" t="str">
        <f t="shared" si="29"/>
        <v>GERALD LUBIANSKI ENTERPRISES</v>
      </c>
    </row>
    <row r="1739" spans="1:9" x14ac:dyDescent="0.25">
      <c r="E1739" s="7"/>
      <c r="F1739" t="s">
        <v>20</v>
      </c>
      <c r="G1739" t="s">
        <v>21</v>
      </c>
      <c r="H1739" t="str">
        <f>"164172"</f>
        <v>164172</v>
      </c>
      <c r="I1739" t="str">
        <f t="shared" si="29"/>
        <v>GERALD LUBIANSKI ENTERPRISES</v>
      </c>
    </row>
    <row r="1740" spans="1:9" x14ac:dyDescent="0.25">
      <c r="A1740" s="6">
        <v>43124</v>
      </c>
      <c r="B1740" t="s">
        <v>26</v>
      </c>
      <c r="C1740">
        <v>56597</v>
      </c>
      <c r="D1740" t="s">
        <v>102</v>
      </c>
      <c r="E1740" s="7">
        <v>470.14</v>
      </c>
      <c r="F1740" t="s">
        <v>20</v>
      </c>
      <c r="G1740" t="s">
        <v>21</v>
      </c>
      <c r="H1740" t="str">
        <f>"201801238226"</f>
        <v>201801238226</v>
      </c>
      <c r="I1740" t="str">
        <f>"CENTERPOINT ENERGY ENTEX"</f>
        <v>CENTERPOINT ENERGY ENTEX</v>
      </c>
    </row>
    <row r="1741" spans="1:9" x14ac:dyDescent="0.25">
      <c r="E1741" s="7"/>
      <c r="F1741" t="s">
        <v>20</v>
      </c>
      <c r="G1741" t="s">
        <v>21</v>
      </c>
      <c r="H1741" t="str">
        <f>"201801238228"</f>
        <v>201801238228</v>
      </c>
      <c r="I1741" t="str">
        <f>"CENTERPOINT ENERGY ENTEX"</f>
        <v>CENTERPOINT ENERGY ENTEX</v>
      </c>
    </row>
    <row r="1742" spans="1:9" x14ac:dyDescent="0.25">
      <c r="E1742" s="7"/>
      <c r="F1742" t="s">
        <v>20</v>
      </c>
      <c r="G1742" t="s">
        <v>21</v>
      </c>
      <c r="H1742" t="str">
        <f>"201801238229"</f>
        <v>201801238229</v>
      </c>
      <c r="I1742" t="str">
        <f>"CENTERPOINT ENERGY ENTEX"</f>
        <v>CENTERPOINT ENERGY ENTEX</v>
      </c>
    </row>
    <row r="1743" spans="1:9" x14ac:dyDescent="0.25">
      <c r="E1743" s="7"/>
      <c r="F1743" t="s">
        <v>20</v>
      </c>
      <c r="G1743" t="s">
        <v>21</v>
      </c>
      <c r="H1743" t="str">
        <f>"201801238230"</f>
        <v>201801238230</v>
      </c>
      <c r="I1743" t="str">
        <f>"CENTERPOINT ENERGY ENTEX"</f>
        <v>CENTERPOINT ENERGY ENTEX</v>
      </c>
    </row>
    <row r="1744" spans="1:9" x14ac:dyDescent="0.25">
      <c r="A1744" s="6">
        <v>43124</v>
      </c>
      <c r="B1744" t="s">
        <v>26</v>
      </c>
      <c r="C1744">
        <v>56598</v>
      </c>
      <c r="D1744" t="s">
        <v>57</v>
      </c>
      <c r="E1744" s="7">
        <v>8133.29</v>
      </c>
      <c r="F1744" t="s">
        <v>20</v>
      </c>
      <c r="G1744" t="s">
        <v>21</v>
      </c>
      <c r="H1744" t="str">
        <f>"1.02.18"</f>
        <v>1.02.18</v>
      </c>
      <c r="I1744" t="str">
        <f>"F.E.L.P.S."</f>
        <v>F.E.L.P.S.</v>
      </c>
    </row>
    <row r="1745" spans="1:9" x14ac:dyDescent="0.25">
      <c r="A1745" s="6">
        <v>43124</v>
      </c>
      <c r="B1745" t="s">
        <v>26</v>
      </c>
      <c r="C1745">
        <v>56599</v>
      </c>
      <c r="D1745" t="s">
        <v>143</v>
      </c>
      <c r="E1745" s="7">
        <v>281.86</v>
      </c>
      <c r="F1745" t="s">
        <v>20</v>
      </c>
      <c r="G1745" t="s">
        <v>21</v>
      </c>
      <c r="H1745" t="str">
        <f>"9401765787"</f>
        <v>9401765787</v>
      </c>
      <c r="I1745" t="str">
        <f>"ERGON ASPHALT AND EMULSIONS  I"</f>
        <v>ERGON ASPHALT AND EMULSIONS  I</v>
      </c>
    </row>
    <row r="1746" spans="1:9" x14ac:dyDescent="0.25">
      <c r="A1746" s="6">
        <v>43124</v>
      </c>
      <c r="B1746" t="s">
        <v>26</v>
      </c>
      <c r="C1746">
        <v>56600</v>
      </c>
      <c r="D1746" t="s">
        <v>248</v>
      </c>
      <c r="E1746" s="7">
        <v>180</v>
      </c>
      <c r="F1746" t="s">
        <v>20</v>
      </c>
      <c r="G1746" t="s">
        <v>21</v>
      </c>
      <c r="H1746" t="str">
        <f>"201801238238"</f>
        <v>201801238238</v>
      </c>
      <c r="I1746" t="str">
        <f>"PITNEY BOWES"</f>
        <v>PITNEY BOWES</v>
      </c>
    </row>
    <row r="1747" spans="1:9" x14ac:dyDescent="0.25">
      <c r="A1747" s="6">
        <v>43124</v>
      </c>
      <c r="B1747" t="s">
        <v>26</v>
      </c>
      <c r="C1747">
        <v>56601</v>
      </c>
      <c r="D1747" t="s">
        <v>103</v>
      </c>
      <c r="E1747" s="7">
        <v>69162.11</v>
      </c>
      <c r="F1747" t="s">
        <v>20</v>
      </c>
      <c r="G1747" t="s">
        <v>21</v>
      </c>
      <c r="H1747" t="str">
        <f>"1/18/18"</f>
        <v>1/18/18</v>
      </c>
      <c r="I1747" t="str">
        <f>"F. E. D. C."</f>
        <v>F. E. D. C.</v>
      </c>
    </row>
    <row r="1748" spans="1:9" x14ac:dyDescent="0.25">
      <c r="A1748" s="6">
        <v>43124</v>
      </c>
      <c r="B1748" t="s">
        <v>26</v>
      </c>
      <c r="C1748">
        <v>56602</v>
      </c>
      <c r="D1748" t="s">
        <v>58</v>
      </c>
      <c r="E1748" s="7">
        <v>207.68</v>
      </c>
      <c r="F1748" t="s">
        <v>20</v>
      </c>
      <c r="G1748" t="s">
        <v>21</v>
      </c>
      <c r="H1748" t="str">
        <f>"518040"</f>
        <v>518040</v>
      </c>
      <c r="I1748" t="str">
        <f>"DEASON ANIMAL HOSPITAL"</f>
        <v>DEASON ANIMAL HOSPITAL</v>
      </c>
    </row>
    <row r="1749" spans="1:9" x14ac:dyDescent="0.25">
      <c r="E1749" s="7"/>
      <c r="F1749" t="s">
        <v>20</v>
      </c>
      <c r="G1749" t="s">
        <v>21</v>
      </c>
      <c r="H1749" t="str">
        <f>"518426"</f>
        <v>518426</v>
      </c>
      <c r="I1749" t="str">
        <f>"DEASON ANIMAL HOSPITAL"</f>
        <v>DEASON ANIMAL HOSPITAL</v>
      </c>
    </row>
    <row r="1750" spans="1:9" x14ac:dyDescent="0.25">
      <c r="E1750" s="7"/>
      <c r="F1750" t="s">
        <v>20</v>
      </c>
      <c r="G1750" t="s">
        <v>21</v>
      </c>
      <c r="H1750" t="str">
        <f>"519249"</f>
        <v>519249</v>
      </c>
      <c r="I1750" t="str">
        <f>"DEASON ANIMAL HOSPITAL"</f>
        <v>DEASON ANIMAL HOSPITAL</v>
      </c>
    </row>
    <row r="1751" spans="1:9" x14ac:dyDescent="0.25">
      <c r="A1751" s="6">
        <v>43124</v>
      </c>
      <c r="B1751" t="s">
        <v>26</v>
      </c>
      <c r="C1751">
        <v>56603</v>
      </c>
      <c r="D1751" t="s">
        <v>104</v>
      </c>
      <c r="E1751" s="7">
        <v>16.600000000000001</v>
      </c>
      <c r="F1751" t="s">
        <v>20</v>
      </c>
      <c r="G1751" t="s">
        <v>21</v>
      </c>
      <c r="H1751" t="str">
        <f>"1304971227"</f>
        <v>1304971227</v>
      </c>
      <c r="I1751" t="str">
        <f>"WILSON COUNTY NEWS"</f>
        <v>WILSON COUNTY NEWS</v>
      </c>
    </row>
    <row r="1752" spans="1:9" x14ac:dyDescent="0.25">
      <c r="A1752" s="6">
        <v>43124</v>
      </c>
      <c r="B1752" t="s">
        <v>26</v>
      </c>
      <c r="C1752">
        <v>56604</v>
      </c>
      <c r="D1752" t="s">
        <v>249</v>
      </c>
      <c r="E1752" s="7">
        <v>167.2</v>
      </c>
      <c r="F1752" t="s">
        <v>20</v>
      </c>
      <c r="G1752" t="s">
        <v>21</v>
      </c>
      <c r="H1752" t="str">
        <f>"35367"</f>
        <v>35367</v>
      </c>
      <c r="I1752" t="str">
        <f>"PRUSKI'S SERVICE CENTER  INC."</f>
        <v>PRUSKI'S SERVICE CENTER  INC.</v>
      </c>
    </row>
    <row r="1753" spans="1:9" x14ac:dyDescent="0.25">
      <c r="A1753" s="6">
        <v>43124</v>
      </c>
      <c r="B1753" t="s">
        <v>26</v>
      </c>
      <c r="C1753">
        <v>56605</v>
      </c>
      <c r="D1753" t="s">
        <v>59</v>
      </c>
      <c r="E1753" s="7">
        <v>12024.26</v>
      </c>
      <c r="F1753" t="s">
        <v>20</v>
      </c>
      <c r="G1753" t="s">
        <v>21</v>
      </c>
      <c r="H1753" t="str">
        <f>"0918536-1"</f>
        <v>0918536-1</v>
      </c>
      <c r="I1753" t="str">
        <f>"FERGUSON WATERWORKS - MUNICIPA"</f>
        <v>FERGUSON WATERWORKS - MUNICIPA</v>
      </c>
    </row>
    <row r="1754" spans="1:9" x14ac:dyDescent="0.25">
      <c r="E1754" s="7"/>
      <c r="F1754" t="s">
        <v>20</v>
      </c>
      <c r="G1754" t="s">
        <v>21</v>
      </c>
      <c r="H1754" t="str">
        <f>"0922936"</f>
        <v>0922936</v>
      </c>
      <c r="I1754" t="str">
        <f>"FERGUSON WATERWORKS - MUNICIPA"</f>
        <v>FERGUSON WATERWORKS - MUNICIPA</v>
      </c>
    </row>
    <row r="1755" spans="1:9" x14ac:dyDescent="0.25">
      <c r="E1755" s="7"/>
      <c r="F1755" t="s">
        <v>20</v>
      </c>
      <c r="G1755" t="s">
        <v>21</v>
      </c>
      <c r="H1755" t="str">
        <f>"0922945"</f>
        <v>0922945</v>
      </c>
      <c r="I1755" t="str">
        <f>"FERGUSON WATERWORKS - MUNICIPA"</f>
        <v>FERGUSON WATERWORKS - MUNICIPA</v>
      </c>
    </row>
    <row r="1756" spans="1:9" x14ac:dyDescent="0.25">
      <c r="E1756" s="7"/>
      <c r="F1756" t="s">
        <v>20</v>
      </c>
      <c r="G1756" t="s">
        <v>21</v>
      </c>
      <c r="H1756" t="str">
        <f>"0926252"</f>
        <v>0926252</v>
      </c>
      <c r="I1756" t="str">
        <f>"FERGUSON WATERWORKS - MUNICIPA"</f>
        <v>FERGUSON WATERWORKS - MUNICIPA</v>
      </c>
    </row>
    <row r="1757" spans="1:9" x14ac:dyDescent="0.25">
      <c r="A1757" s="6">
        <v>43124</v>
      </c>
      <c r="B1757" t="s">
        <v>26</v>
      </c>
      <c r="C1757">
        <v>56606</v>
      </c>
      <c r="D1757" t="s">
        <v>105</v>
      </c>
      <c r="E1757" s="7">
        <v>7</v>
      </c>
      <c r="F1757" t="s">
        <v>20</v>
      </c>
      <c r="G1757" t="s">
        <v>21</v>
      </c>
      <c r="H1757" t="str">
        <f>"262951"</f>
        <v>262951</v>
      </c>
      <c r="I1757" t="str">
        <f>"LUBE WORKS"</f>
        <v>LUBE WORKS</v>
      </c>
    </row>
    <row r="1758" spans="1:9" x14ac:dyDescent="0.25">
      <c r="A1758" s="6">
        <v>43124</v>
      </c>
      <c r="B1758" t="s">
        <v>26</v>
      </c>
      <c r="C1758">
        <v>56607</v>
      </c>
      <c r="D1758" t="s">
        <v>250</v>
      </c>
      <c r="E1758" s="7">
        <v>176.04</v>
      </c>
      <c r="F1758" t="s">
        <v>20</v>
      </c>
      <c r="G1758" t="s">
        <v>21</v>
      </c>
      <c r="H1758" t="str">
        <f>"C106758"</f>
        <v>C106758</v>
      </c>
      <c r="I1758" t="str">
        <f>"MATERA PAPER CO  LTD."</f>
        <v>MATERA PAPER CO  LTD.</v>
      </c>
    </row>
    <row r="1759" spans="1:9" x14ac:dyDescent="0.25">
      <c r="A1759" s="6">
        <v>43124</v>
      </c>
      <c r="B1759" t="s">
        <v>26</v>
      </c>
      <c r="C1759">
        <v>56608</v>
      </c>
      <c r="D1759" t="s">
        <v>251</v>
      </c>
      <c r="E1759" s="7">
        <v>219.04</v>
      </c>
      <c r="F1759" t="s">
        <v>20</v>
      </c>
      <c r="G1759" t="s">
        <v>21</v>
      </c>
      <c r="H1759" t="str">
        <f>"43281"</f>
        <v>43281</v>
      </c>
      <c r="I1759" t="str">
        <f>"FELUX METAL WORKS &amp; SUPPLY  L."</f>
        <v>FELUX METAL WORKS &amp; SUPPLY  L.</v>
      </c>
    </row>
    <row r="1760" spans="1:9" x14ac:dyDescent="0.25">
      <c r="A1760" s="6">
        <v>43124</v>
      </c>
      <c r="B1760" t="s">
        <v>26</v>
      </c>
      <c r="C1760">
        <v>56609</v>
      </c>
      <c r="D1760" t="s">
        <v>202</v>
      </c>
      <c r="E1760" s="7">
        <v>275.64</v>
      </c>
      <c r="F1760" t="s">
        <v>20</v>
      </c>
      <c r="G1760" t="s">
        <v>21</v>
      </c>
      <c r="H1760" t="str">
        <f>"61670840"</f>
        <v>61670840</v>
      </c>
      <c r="I1760" t="str">
        <f>"VULCAN CONSTRUCTION MATERIALS"</f>
        <v>VULCAN CONSTRUCTION MATERIALS</v>
      </c>
    </row>
    <row r="1761" spans="1:9" x14ac:dyDescent="0.25">
      <c r="A1761" s="6">
        <v>43124</v>
      </c>
      <c r="B1761" t="s">
        <v>26</v>
      </c>
      <c r="C1761">
        <v>56610</v>
      </c>
      <c r="D1761" t="s">
        <v>179</v>
      </c>
      <c r="E1761" s="7">
        <v>1985.44</v>
      </c>
      <c r="F1761" t="s">
        <v>20</v>
      </c>
      <c r="G1761" t="s">
        <v>21</v>
      </c>
      <c r="H1761" t="str">
        <f>"50921F"</f>
        <v>50921F</v>
      </c>
      <c r="I1761" t="str">
        <f>"ANCIRA FORD-MERCURY"</f>
        <v>ANCIRA FORD-MERCURY</v>
      </c>
    </row>
    <row r="1762" spans="1:9" x14ac:dyDescent="0.25">
      <c r="E1762" s="7"/>
      <c r="F1762" t="s">
        <v>20</v>
      </c>
      <c r="G1762" t="s">
        <v>21</v>
      </c>
      <c r="H1762" t="str">
        <f>"51173F"</f>
        <v>51173F</v>
      </c>
      <c r="I1762" t="str">
        <f>"ANCIRA FORD-MERCURY"</f>
        <v>ANCIRA FORD-MERCURY</v>
      </c>
    </row>
    <row r="1763" spans="1:9" x14ac:dyDescent="0.25">
      <c r="E1763" s="7"/>
      <c r="F1763" t="s">
        <v>20</v>
      </c>
      <c r="G1763" t="s">
        <v>21</v>
      </c>
      <c r="H1763" t="str">
        <f>"51222F"</f>
        <v>51222F</v>
      </c>
      <c r="I1763" t="str">
        <f>"ANCIRA FORD-MERCURY"</f>
        <v>ANCIRA FORD-MERCURY</v>
      </c>
    </row>
    <row r="1764" spans="1:9" x14ac:dyDescent="0.25">
      <c r="E1764" s="7"/>
      <c r="F1764" t="s">
        <v>20</v>
      </c>
      <c r="G1764" t="s">
        <v>21</v>
      </c>
      <c r="H1764" t="str">
        <f>"FOCS228183"</f>
        <v>FOCS228183</v>
      </c>
      <c r="I1764" t="str">
        <f>"ANCIRA FORD-MERCURY"</f>
        <v>ANCIRA FORD-MERCURY</v>
      </c>
    </row>
    <row r="1765" spans="1:9" x14ac:dyDescent="0.25">
      <c r="E1765" s="7"/>
      <c r="F1765" t="s">
        <v>20</v>
      </c>
      <c r="G1765" t="s">
        <v>21</v>
      </c>
      <c r="H1765" t="str">
        <f>"FOCS228328"</f>
        <v>FOCS228328</v>
      </c>
      <c r="I1765" t="str">
        <f>"ANCIRA FORD-MERCURY"</f>
        <v>ANCIRA FORD-MERCURY</v>
      </c>
    </row>
    <row r="1766" spans="1:9" x14ac:dyDescent="0.25">
      <c r="A1766" s="6">
        <v>43124</v>
      </c>
      <c r="B1766" t="s">
        <v>26</v>
      </c>
      <c r="C1766">
        <v>56611</v>
      </c>
      <c r="D1766" t="s">
        <v>107</v>
      </c>
      <c r="E1766" s="7">
        <v>4.26</v>
      </c>
      <c r="F1766" t="s">
        <v>20</v>
      </c>
      <c r="G1766" t="s">
        <v>21</v>
      </c>
      <c r="H1766" t="str">
        <f>"1166960-20171231"</f>
        <v>1166960-20171231</v>
      </c>
      <c r="I1766" t="str">
        <f>"LEXISNEXIS RISK SOLUTIONS"</f>
        <v>LEXISNEXIS RISK SOLUTIONS</v>
      </c>
    </row>
    <row r="1767" spans="1:9" x14ac:dyDescent="0.25">
      <c r="A1767" s="6">
        <v>43124</v>
      </c>
      <c r="B1767" t="s">
        <v>26</v>
      </c>
      <c r="C1767">
        <v>56612</v>
      </c>
      <c r="D1767" t="s">
        <v>180</v>
      </c>
      <c r="E1767" s="7">
        <v>191.72</v>
      </c>
      <c r="F1767" t="s">
        <v>20</v>
      </c>
      <c r="G1767" t="s">
        <v>21</v>
      </c>
      <c r="H1767" t="str">
        <f>"30120944"</f>
        <v>30120944</v>
      </c>
      <c r="I1767" t="str">
        <f>"DITTMAR LUMBER CO."</f>
        <v>DITTMAR LUMBER CO.</v>
      </c>
    </row>
    <row r="1768" spans="1:9" x14ac:dyDescent="0.25">
      <c r="E1768" s="7"/>
      <c r="F1768" t="s">
        <v>20</v>
      </c>
      <c r="G1768" t="s">
        <v>21</v>
      </c>
      <c r="H1768" t="str">
        <f>"30121362"</f>
        <v>30121362</v>
      </c>
      <c r="I1768" t="str">
        <f>"DITTMAR LUMBER CO."</f>
        <v>DITTMAR LUMBER CO.</v>
      </c>
    </row>
    <row r="1769" spans="1:9" x14ac:dyDescent="0.25">
      <c r="E1769" s="7"/>
      <c r="F1769" t="s">
        <v>20</v>
      </c>
      <c r="G1769" t="s">
        <v>21</v>
      </c>
      <c r="H1769" t="str">
        <f>"30121363"</f>
        <v>30121363</v>
      </c>
      <c r="I1769" t="str">
        <f>"DITTMAR LUMBER CO."</f>
        <v>DITTMAR LUMBER CO.</v>
      </c>
    </row>
    <row r="1770" spans="1:9" x14ac:dyDescent="0.25">
      <c r="A1770" s="6">
        <v>43124</v>
      </c>
      <c r="B1770" t="s">
        <v>26</v>
      </c>
      <c r="C1770">
        <v>56613</v>
      </c>
      <c r="D1770" t="s">
        <v>110</v>
      </c>
      <c r="E1770" s="7">
        <v>18612.52</v>
      </c>
      <c r="F1770" t="s">
        <v>20</v>
      </c>
      <c r="G1770" t="s">
        <v>21</v>
      </c>
      <c r="H1770" t="str">
        <f>"1378937"</f>
        <v>1378937</v>
      </c>
      <c r="I1770" t="str">
        <f>"BUREAU VERITAS NORTH AMERICA"</f>
        <v>BUREAU VERITAS NORTH AMERICA</v>
      </c>
    </row>
    <row r="1771" spans="1:9" x14ac:dyDescent="0.25">
      <c r="E1771" s="7"/>
      <c r="F1771" t="s">
        <v>20</v>
      </c>
      <c r="G1771" t="s">
        <v>21</v>
      </c>
      <c r="H1771" t="str">
        <f>"1398278"</f>
        <v>1398278</v>
      </c>
      <c r="I1771" t="str">
        <f>"BUREAU VERITAS NORTH AMERICA"</f>
        <v>BUREAU VERITAS NORTH AMERICA</v>
      </c>
    </row>
    <row r="1772" spans="1:9" x14ac:dyDescent="0.25">
      <c r="A1772" s="6">
        <v>43124</v>
      </c>
      <c r="B1772" t="s">
        <v>26</v>
      </c>
      <c r="C1772">
        <v>56614</v>
      </c>
      <c r="D1772" t="s">
        <v>181</v>
      </c>
      <c r="E1772" s="7">
        <v>41.74</v>
      </c>
      <c r="F1772" t="s">
        <v>20</v>
      </c>
      <c r="G1772" t="s">
        <v>21</v>
      </c>
      <c r="H1772" t="str">
        <f>"201801238233"</f>
        <v>201801238233</v>
      </c>
      <c r="I1772" t="str">
        <f>"AT&amp;T"</f>
        <v>AT&amp;T</v>
      </c>
    </row>
    <row r="1773" spans="1:9" x14ac:dyDescent="0.25">
      <c r="A1773" s="6">
        <v>43124</v>
      </c>
      <c r="B1773" t="s">
        <v>26</v>
      </c>
      <c r="C1773">
        <v>56615</v>
      </c>
      <c r="D1773" t="s">
        <v>61</v>
      </c>
      <c r="E1773" s="7">
        <v>1967.74</v>
      </c>
      <c r="F1773" t="s">
        <v>20</v>
      </c>
      <c r="G1773" t="s">
        <v>21</v>
      </c>
      <c r="H1773" t="str">
        <f>"025-209411"</f>
        <v>025-209411</v>
      </c>
      <c r="I1773" t="str">
        <f>"TYLER TECHNOLOGIES  INC."</f>
        <v>TYLER TECHNOLOGIES  INC.</v>
      </c>
    </row>
    <row r="1774" spans="1:9" x14ac:dyDescent="0.25">
      <c r="E1774" s="7"/>
      <c r="F1774" t="s">
        <v>20</v>
      </c>
      <c r="G1774" t="s">
        <v>21</v>
      </c>
      <c r="H1774" t="str">
        <f>"025-209904"</f>
        <v>025-209904</v>
      </c>
      <c r="I1774" t="str">
        <f>"TYLER TECHNOLOGIES  INC."</f>
        <v>TYLER TECHNOLOGIES  INC.</v>
      </c>
    </row>
    <row r="1775" spans="1:9" x14ac:dyDescent="0.25">
      <c r="E1775" s="7"/>
      <c r="F1775" t="s">
        <v>20</v>
      </c>
      <c r="G1775" t="s">
        <v>21</v>
      </c>
      <c r="H1775" t="str">
        <f>"025-212741"</f>
        <v>025-212741</v>
      </c>
      <c r="I1775" t="str">
        <f>"TYLER TECHNOLOGIES  INC."</f>
        <v>TYLER TECHNOLOGIES  INC.</v>
      </c>
    </row>
    <row r="1776" spans="1:9" x14ac:dyDescent="0.25">
      <c r="A1776" s="6">
        <v>43124</v>
      </c>
      <c r="B1776" t="s">
        <v>26</v>
      </c>
      <c r="C1776">
        <v>56616</v>
      </c>
      <c r="D1776" t="s">
        <v>114</v>
      </c>
      <c r="E1776" s="7">
        <v>13511.99</v>
      </c>
      <c r="F1776" t="s">
        <v>20</v>
      </c>
      <c r="G1776" t="s">
        <v>21</v>
      </c>
      <c r="H1776" t="str">
        <f>"QE 12/31/17"</f>
        <v>QE 12/31/17</v>
      </c>
      <c r="I1776" t="str">
        <f>"STATE COMPTROLLER"</f>
        <v>STATE COMPTROLLER</v>
      </c>
    </row>
    <row r="1777" spans="1:9" x14ac:dyDescent="0.25">
      <c r="A1777" s="6">
        <v>43124</v>
      </c>
      <c r="B1777" t="s">
        <v>26</v>
      </c>
      <c r="C1777">
        <v>56617</v>
      </c>
      <c r="D1777" t="s">
        <v>184</v>
      </c>
      <c r="E1777" s="7">
        <v>840</v>
      </c>
      <c r="F1777" t="s">
        <v>20</v>
      </c>
      <c r="G1777" t="s">
        <v>21</v>
      </c>
      <c r="H1777" t="str">
        <f>"1048-683"</f>
        <v>1048-683</v>
      </c>
      <c r="I1777" t="str">
        <f>"POLLUTION CONTROL SERVICES"</f>
        <v>POLLUTION CONTROL SERVICES</v>
      </c>
    </row>
    <row r="1778" spans="1:9" x14ac:dyDescent="0.25">
      <c r="A1778" s="6">
        <v>43124</v>
      </c>
      <c r="B1778" t="s">
        <v>26</v>
      </c>
      <c r="C1778">
        <v>56618</v>
      </c>
      <c r="D1778" t="s">
        <v>62</v>
      </c>
      <c r="E1778" s="7">
        <v>348</v>
      </c>
      <c r="F1778" t="s">
        <v>20</v>
      </c>
      <c r="G1778" t="s">
        <v>21</v>
      </c>
      <c r="H1778" t="str">
        <f>"57487"</f>
        <v>57487</v>
      </c>
      <c r="I1778" t="str">
        <f>"SBS ADMINISTRATIVE SERVICES  L"</f>
        <v>SBS ADMINISTRATIVE SERVICES  L</v>
      </c>
    </row>
    <row r="1779" spans="1:9" x14ac:dyDescent="0.25">
      <c r="A1779" s="6">
        <v>43124</v>
      </c>
      <c r="B1779" t="s">
        <v>26</v>
      </c>
      <c r="C1779">
        <v>56619</v>
      </c>
      <c r="D1779" t="s">
        <v>63</v>
      </c>
      <c r="E1779" s="7">
        <v>99</v>
      </c>
      <c r="F1779" t="s">
        <v>20</v>
      </c>
      <c r="G1779" t="s">
        <v>21</v>
      </c>
      <c r="H1779" t="str">
        <f>"8403489803"</f>
        <v>8403489803</v>
      </c>
      <c r="I1779" t="str">
        <f>"CINTAS CORPORATION"</f>
        <v>CINTAS CORPORATION</v>
      </c>
    </row>
    <row r="1780" spans="1:9" x14ac:dyDescent="0.25">
      <c r="A1780" s="6">
        <v>43124</v>
      </c>
      <c r="B1780" t="s">
        <v>26</v>
      </c>
      <c r="C1780">
        <v>56620</v>
      </c>
      <c r="D1780" t="s">
        <v>252</v>
      </c>
      <c r="E1780" s="7">
        <v>162425.70000000001</v>
      </c>
      <c r="F1780" t="s">
        <v>20</v>
      </c>
      <c r="G1780" t="s">
        <v>21</v>
      </c>
      <c r="H1780" t="str">
        <f>"3"</f>
        <v>3</v>
      </c>
      <c r="I1780" t="str">
        <f>"RAM II GENERAL CONTRACTOR INC."</f>
        <v>RAM II GENERAL CONTRACTOR INC.</v>
      </c>
    </row>
    <row r="1781" spans="1:9" x14ac:dyDescent="0.25">
      <c r="A1781" s="6">
        <v>43124</v>
      </c>
      <c r="B1781" t="s">
        <v>26</v>
      </c>
      <c r="C1781">
        <v>56621</v>
      </c>
      <c r="D1781" t="s">
        <v>116</v>
      </c>
      <c r="E1781" s="7">
        <v>57.02</v>
      </c>
      <c r="F1781" t="s">
        <v>20</v>
      </c>
      <c r="G1781" t="s">
        <v>21</v>
      </c>
      <c r="H1781" t="str">
        <f>"INV595174"</f>
        <v>INV595174</v>
      </c>
      <c r="I1781" t="str">
        <f>"THE LIFEGUARD STORE  INC."</f>
        <v>THE LIFEGUARD STORE  INC.</v>
      </c>
    </row>
    <row r="1782" spans="1:9" x14ac:dyDescent="0.25">
      <c r="A1782" s="6">
        <v>43124</v>
      </c>
      <c r="B1782" t="s">
        <v>26</v>
      </c>
      <c r="C1782">
        <v>56622</v>
      </c>
      <c r="D1782" t="s">
        <v>253</v>
      </c>
      <c r="E1782" s="7">
        <v>36</v>
      </c>
      <c r="F1782" t="s">
        <v>20</v>
      </c>
      <c r="G1782" t="s">
        <v>21</v>
      </c>
      <c r="H1782" t="str">
        <f>"RENEWAL"</f>
        <v>RENEWAL</v>
      </c>
      <c r="I1782" t="str">
        <f>"TEXAS MUNICIPAL COURT - JUSTIC"</f>
        <v>TEXAS MUNICIPAL COURT - JUSTIC</v>
      </c>
    </row>
    <row r="1783" spans="1:9" x14ac:dyDescent="0.25">
      <c r="A1783" s="6">
        <v>43124</v>
      </c>
      <c r="B1783" t="s">
        <v>26</v>
      </c>
      <c r="C1783">
        <v>56623</v>
      </c>
      <c r="D1783" t="s">
        <v>65</v>
      </c>
      <c r="E1783" s="7">
        <v>439</v>
      </c>
      <c r="F1783" t="s">
        <v>20</v>
      </c>
      <c r="G1783" t="s">
        <v>21</v>
      </c>
      <c r="H1783" t="str">
        <f>"004224"</f>
        <v>004224</v>
      </c>
      <c r="I1783" t="str">
        <f>"SAM'S CLUB/SYNCHRONY BANK"</f>
        <v>SAM'S CLUB/SYNCHRONY BANK</v>
      </c>
    </row>
    <row r="1784" spans="1:9" x14ac:dyDescent="0.25">
      <c r="E1784" s="7"/>
      <c r="F1784" t="s">
        <v>20</v>
      </c>
      <c r="G1784" t="s">
        <v>21</v>
      </c>
      <c r="H1784" t="str">
        <f>"004690"</f>
        <v>004690</v>
      </c>
      <c r="I1784" t="str">
        <f>"SAM'S CLUB/SYNCHRONY BANK"</f>
        <v>SAM'S CLUB/SYNCHRONY BANK</v>
      </c>
    </row>
    <row r="1785" spans="1:9" x14ac:dyDescent="0.25">
      <c r="A1785" s="6">
        <v>43124</v>
      </c>
      <c r="B1785" t="s">
        <v>26</v>
      </c>
      <c r="C1785">
        <v>56624</v>
      </c>
      <c r="D1785" t="s">
        <v>254</v>
      </c>
      <c r="E1785" s="7">
        <v>9119.1299999999992</v>
      </c>
      <c r="F1785" t="s">
        <v>20</v>
      </c>
      <c r="G1785" t="s">
        <v>21</v>
      </c>
      <c r="H1785" t="str">
        <f>"QE 12/31/17"</f>
        <v>QE 12/31/17</v>
      </c>
      <c r="I1785" t="str">
        <f>"TEXAS WORKFORCE COMMISSION"</f>
        <v>TEXAS WORKFORCE COMMISSION</v>
      </c>
    </row>
    <row r="1786" spans="1:9" x14ac:dyDescent="0.25">
      <c r="A1786" s="6">
        <v>43124</v>
      </c>
      <c r="B1786" t="s">
        <v>26</v>
      </c>
      <c r="C1786">
        <v>56625</v>
      </c>
      <c r="D1786" t="s">
        <v>67</v>
      </c>
      <c r="E1786" s="7">
        <v>324.83999999999997</v>
      </c>
      <c r="F1786" t="s">
        <v>20</v>
      </c>
      <c r="G1786" t="s">
        <v>21</v>
      </c>
      <c r="H1786" t="str">
        <f>"201801238242"</f>
        <v>201801238242</v>
      </c>
      <c r="I1786" t="str">
        <f>"ANYTIME FITNESS"</f>
        <v>ANYTIME FITNESS</v>
      </c>
    </row>
    <row r="1787" spans="1:9" x14ac:dyDescent="0.25">
      <c r="A1787" s="6">
        <v>43124</v>
      </c>
      <c r="B1787" t="s">
        <v>26</v>
      </c>
      <c r="C1787">
        <v>56626</v>
      </c>
      <c r="D1787" t="s">
        <v>119</v>
      </c>
      <c r="E1787" s="7">
        <v>82</v>
      </c>
      <c r="F1787" t="s">
        <v>20</v>
      </c>
      <c r="G1787" t="s">
        <v>21</v>
      </c>
      <c r="H1787" t="str">
        <f>"36499"</f>
        <v>36499</v>
      </c>
      <c r="I1787" t="str">
        <f>"PRUSKI'S TIRE SHOP  L.L.C."</f>
        <v>PRUSKI'S TIRE SHOP  L.L.C.</v>
      </c>
    </row>
    <row r="1788" spans="1:9" x14ac:dyDescent="0.25">
      <c r="E1788" s="7"/>
      <c r="F1788" t="s">
        <v>20</v>
      </c>
      <c r="G1788" t="s">
        <v>21</v>
      </c>
      <c r="H1788" t="str">
        <f>"36674"</f>
        <v>36674</v>
      </c>
      <c r="I1788" t="str">
        <f>"PRUSKI'S TIRE SHOP  L.L.C."</f>
        <v>PRUSKI'S TIRE SHOP  L.L.C.</v>
      </c>
    </row>
    <row r="1789" spans="1:9" x14ac:dyDescent="0.25">
      <c r="A1789" s="6">
        <v>43124</v>
      </c>
      <c r="B1789" t="s">
        <v>26</v>
      </c>
      <c r="C1789">
        <v>56627</v>
      </c>
      <c r="D1789" t="s">
        <v>120</v>
      </c>
      <c r="E1789" s="7">
        <v>2392.25</v>
      </c>
      <c r="F1789" t="s">
        <v>20</v>
      </c>
      <c r="G1789" t="s">
        <v>21</v>
      </c>
      <c r="H1789" t="str">
        <f>"61188676"</f>
        <v>61188676</v>
      </c>
      <c r="I1789" t="str">
        <f>"VERIZON BUSINESS"</f>
        <v>VERIZON BUSINESS</v>
      </c>
    </row>
    <row r="1790" spans="1:9" x14ac:dyDescent="0.25">
      <c r="E1790" s="7"/>
      <c r="F1790" t="s">
        <v>20</v>
      </c>
      <c r="G1790" t="s">
        <v>21</v>
      </c>
      <c r="H1790" t="str">
        <f>"70660034"</f>
        <v>70660034</v>
      </c>
      <c r="I1790" t="str">
        <f>"VERIZON BUSINESS"</f>
        <v>VERIZON BUSINESS</v>
      </c>
    </row>
    <row r="1791" spans="1:9" x14ac:dyDescent="0.25">
      <c r="E1791" s="7"/>
      <c r="F1791" t="s">
        <v>20</v>
      </c>
      <c r="G1791" t="s">
        <v>21</v>
      </c>
      <c r="H1791" t="str">
        <f>"70660036"</f>
        <v>70660036</v>
      </c>
      <c r="I1791" t="str">
        <f>"VERIZON BUSINESS"</f>
        <v>VERIZON BUSINESS</v>
      </c>
    </row>
    <row r="1792" spans="1:9" x14ac:dyDescent="0.25">
      <c r="A1792" s="6">
        <v>43124</v>
      </c>
      <c r="B1792" t="s">
        <v>26</v>
      </c>
      <c r="C1792">
        <v>56628</v>
      </c>
      <c r="D1792" t="s">
        <v>68</v>
      </c>
      <c r="E1792" s="7">
        <v>1800</v>
      </c>
      <c r="F1792" t="s">
        <v>20</v>
      </c>
      <c r="G1792" t="s">
        <v>21</v>
      </c>
      <c r="H1792" t="str">
        <f>"0400840-IN"</f>
        <v>0400840-IN</v>
      </c>
      <c r="I1792" t="str">
        <f>"SOUTHWASTE DISPOSAL  LLP"</f>
        <v>SOUTHWASTE DISPOSAL  LLP</v>
      </c>
    </row>
    <row r="1793" spans="1:9" x14ac:dyDescent="0.25">
      <c r="E1793" s="7"/>
      <c r="F1793" t="s">
        <v>20</v>
      </c>
      <c r="G1793" t="s">
        <v>21</v>
      </c>
      <c r="H1793" t="str">
        <f>"0401635-IN"</f>
        <v>0401635-IN</v>
      </c>
      <c r="I1793" t="str">
        <f>"SOUTHWASTE DISPOSAL  LLP"</f>
        <v>SOUTHWASTE DISPOSAL  LLP</v>
      </c>
    </row>
    <row r="1794" spans="1:9" x14ac:dyDescent="0.25">
      <c r="E1794" s="7"/>
      <c r="F1794" t="s">
        <v>20</v>
      </c>
      <c r="G1794" t="s">
        <v>21</v>
      </c>
      <c r="H1794" t="str">
        <f>"0402385-IN"</f>
        <v>0402385-IN</v>
      </c>
      <c r="I1794" t="str">
        <f>"SOUTHWASTE DISPOSAL  LLP"</f>
        <v>SOUTHWASTE DISPOSAL  LLP</v>
      </c>
    </row>
    <row r="1795" spans="1:9" x14ac:dyDescent="0.25">
      <c r="E1795" s="7"/>
      <c r="F1795" t="s">
        <v>20</v>
      </c>
      <c r="G1795" t="s">
        <v>21</v>
      </c>
      <c r="H1795" t="str">
        <f>"0402732-IN"</f>
        <v>0402732-IN</v>
      </c>
      <c r="I1795" t="str">
        <f>"SOUTHWASTE DISPOSAL  LLP"</f>
        <v>SOUTHWASTE DISPOSAL  LLP</v>
      </c>
    </row>
    <row r="1796" spans="1:9" x14ac:dyDescent="0.25">
      <c r="A1796" s="6">
        <v>43124</v>
      </c>
      <c r="B1796" t="s">
        <v>26</v>
      </c>
      <c r="C1796">
        <v>56629</v>
      </c>
      <c r="D1796" t="s">
        <v>189</v>
      </c>
      <c r="E1796" s="7">
        <v>1050.8</v>
      </c>
      <c r="F1796" t="s">
        <v>20</v>
      </c>
      <c r="G1796" t="s">
        <v>21</v>
      </c>
      <c r="H1796" t="str">
        <f>"W72808"</f>
        <v>W72808</v>
      </c>
      <c r="I1796" t="str">
        <f>"ASCO"</f>
        <v>ASCO</v>
      </c>
    </row>
    <row r="1797" spans="1:9" x14ac:dyDescent="0.25">
      <c r="E1797" s="7"/>
      <c r="F1797" t="s">
        <v>20</v>
      </c>
      <c r="G1797" t="s">
        <v>21</v>
      </c>
      <c r="H1797" t="str">
        <f>"W74760"</f>
        <v>W74760</v>
      </c>
      <c r="I1797" t="str">
        <f>"ASCO"</f>
        <v>ASCO</v>
      </c>
    </row>
    <row r="1798" spans="1:9" x14ac:dyDescent="0.25">
      <c r="A1798" s="6">
        <v>43124</v>
      </c>
      <c r="B1798" t="s">
        <v>26</v>
      </c>
      <c r="C1798">
        <v>56630</v>
      </c>
      <c r="D1798" t="s">
        <v>255</v>
      </c>
      <c r="E1798" s="7">
        <v>150.97999999999999</v>
      </c>
      <c r="F1798" t="s">
        <v>20</v>
      </c>
      <c r="G1798" t="s">
        <v>21</v>
      </c>
      <c r="H1798" t="str">
        <f>"ACCT202735664"</f>
        <v>ACCT202735664</v>
      </c>
      <c r="I1798" t="str">
        <f>"ADT SECURITY SERVICES"</f>
        <v>ADT SECURITY SERVICES</v>
      </c>
    </row>
    <row r="1799" spans="1:9" x14ac:dyDescent="0.25">
      <c r="A1799" s="6">
        <v>43124</v>
      </c>
      <c r="B1799" t="s">
        <v>26</v>
      </c>
      <c r="C1799">
        <v>56631</v>
      </c>
      <c r="D1799" t="s">
        <v>69</v>
      </c>
      <c r="E1799" s="7">
        <v>431.44</v>
      </c>
      <c r="F1799" t="s">
        <v>20</v>
      </c>
      <c r="G1799" t="s">
        <v>21</v>
      </c>
      <c r="H1799" t="str">
        <f>"3386495"</f>
        <v>3386495</v>
      </c>
      <c r="I1799" t="str">
        <f>"EWALD TRACTOR SUPPLY"</f>
        <v>EWALD TRACTOR SUPPLY</v>
      </c>
    </row>
    <row r="1800" spans="1:9" x14ac:dyDescent="0.25">
      <c r="A1800" s="6">
        <v>43124</v>
      </c>
      <c r="B1800" t="s">
        <v>26</v>
      </c>
      <c r="C1800">
        <v>56632</v>
      </c>
      <c r="D1800" t="s">
        <v>70</v>
      </c>
      <c r="E1800" s="7">
        <v>72.95</v>
      </c>
      <c r="F1800" t="s">
        <v>20</v>
      </c>
      <c r="G1800" t="s">
        <v>21</v>
      </c>
      <c r="H1800" t="str">
        <f>"A962733"</f>
        <v>A962733</v>
      </c>
      <c r="I1800" t="str">
        <f>"TEXAS WIRED MUSIC  INC."</f>
        <v>TEXAS WIRED MUSIC  INC.</v>
      </c>
    </row>
    <row r="1801" spans="1:9" x14ac:dyDescent="0.25">
      <c r="A1801" s="6">
        <v>43124</v>
      </c>
      <c r="B1801" t="s">
        <v>26</v>
      </c>
      <c r="C1801">
        <v>56633</v>
      </c>
      <c r="D1801" t="s">
        <v>122</v>
      </c>
      <c r="E1801" s="7">
        <v>52</v>
      </c>
      <c r="F1801" t="s">
        <v>20</v>
      </c>
      <c r="G1801" t="s">
        <v>21</v>
      </c>
      <c r="H1801" t="str">
        <f>"0774655"</f>
        <v>0774655</v>
      </c>
      <c r="I1801" t="str">
        <f>"VILLA TIRES"</f>
        <v>VILLA TIRES</v>
      </c>
    </row>
    <row r="1802" spans="1:9" x14ac:dyDescent="0.25">
      <c r="E1802" s="7"/>
      <c r="F1802" t="s">
        <v>20</v>
      </c>
      <c r="G1802" t="s">
        <v>21</v>
      </c>
      <c r="H1802" t="str">
        <f>"0774660"</f>
        <v>0774660</v>
      </c>
      <c r="I1802" t="str">
        <f>"VILLA TIRES"</f>
        <v>VILLA TIRES</v>
      </c>
    </row>
    <row r="1803" spans="1:9" x14ac:dyDescent="0.25">
      <c r="E1803" s="7"/>
      <c r="F1803" t="s">
        <v>20</v>
      </c>
      <c r="G1803" t="s">
        <v>21</v>
      </c>
      <c r="H1803" t="str">
        <f>"0774668"</f>
        <v>0774668</v>
      </c>
      <c r="I1803" t="str">
        <f>"VILLA TIRES"</f>
        <v>VILLA TIRES</v>
      </c>
    </row>
    <row r="1804" spans="1:9" x14ac:dyDescent="0.25">
      <c r="A1804" s="6">
        <v>43124</v>
      </c>
      <c r="B1804" t="s">
        <v>26</v>
      </c>
      <c r="C1804">
        <v>56634</v>
      </c>
      <c r="D1804" t="s">
        <v>74</v>
      </c>
      <c r="E1804" s="7">
        <v>50.14</v>
      </c>
      <c r="F1804" t="s">
        <v>20</v>
      </c>
      <c r="G1804" t="s">
        <v>21</v>
      </c>
      <c r="H1804" t="str">
        <f>"9797665402"</f>
        <v>9797665402</v>
      </c>
      <c r="I1804" t="str">
        <f>"VERIZON WIRELESS"</f>
        <v>VERIZON WIRELESS</v>
      </c>
    </row>
    <row r="1805" spans="1:9" x14ac:dyDescent="0.25">
      <c r="A1805" s="6">
        <v>43124</v>
      </c>
      <c r="B1805" t="s">
        <v>26</v>
      </c>
      <c r="C1805">
        <v>56635</v>
      </c>
      <c r="D1805" t="s">
        <v>30</v>
      </c>
      <c r="E1805" s="7">
        <v>415.2</v>
      </c>
      <c r="F1805" t="s">
        <v>20</v>
      </c>
      <c r="G1805" t="s">
        <v>21</v>
      </c>
      <c r="H1805" t="str">
        <f>"2018-02"</f>
        <v>2018-02</v>
      </c>
      <c r="I1805" t="str">
        <f>"MARIA GONZALES"</f>
        <v>MARIA GONZALES</v>
      </c>
    </row>
    <row r="1806" spans="1:9" x14ac:dyDescent="0.25">
      <c r="A1806" s="6">
        <v>43124</v>
      </c>
      <c r="B1806" t="s">
        <v>26</v>
      </c>
      <c r="C1806">
        <v>56636</v>
      </c>
      <c r="D1806" t="s">
        <v>123</v>
      </c>
      <c r="E1806" s="7">
        <v>282.82</v>
      </c>
      <c r="F1806" t="s">
        <v>20</v>
      </c>
      <c r="G1806" t="s">
        <v>21</v>
      </c>
      <c r="H1806" t="str">
        <f>"985985219001"</f>
        <v>985985219001</v>
      </c>
      <c r="I1806" t="str">
        <f>"OFFICE DEPOT  INC."</f>
        <v>OFFICE DEPOT  INC.</v>
      </c>
    </row>
    <row r="1807" spans="1:9" x14ac:dyDescent="0.25">
      <c r="E1807" s="7"/>
      <c r="F1807" t="s">
        <v>20</v>
      </c>
      <c r="G1807" t="s">
        <v>21</v>
      </c>
      <c r="H1807" t="str">
        <f>"985985709001"</f>
        <v>985985709001</v>
      </c>
      <c r="I1807" t="str">
        <f>"OFFICE DEPOT  INC."</f>
        <v>OFFICE DEPOT  INC.</v>
      </c>
    </row>
    <row r="1808" spans="1:9" x14ac:dyDescent="0.25">
      <c r="E1808" s="7"/>
      <c r="F1808" t="s">
        <v>20</v>
      </c>
      <c r="G1808" t="s">
        <v>21</v>
      </c>
      <c r="H1808" t="str">
        <f>"987544210001"</f>
        <v>987544210001</v>
      </c>
      <c r="I1808" t="str">
        <f>"OFFICE DEPOT  INC."</f>
        <v>OFFICE DEPOT  INC.</v>
      </c>
    </row>
    <row r="1809" spans="1:9" x14ac:dyDescent="0.25">
      <c r="A1809" s="6">
        <v>43124</v>
      </c>
      <c r="B1809" t="s">
        <v>26</v>
      </c>
      <c r="C1809">
        <v>56637</v>
      </c>
      <c r="D1809" t="s">
        <v>75</v>
      </c>
      <c r="E1809" s="7">
        <v>78.94</v>
      </c>
      <c r="F1809" t="s">
        <v>20</v>
      </c>
      <c r="G1809" t="s">
        <v>21</v>
      </c>
      <c r="H1809" t="str">
        <f>"201801238243"</f>
        <v>201801238243</v>
      </c>
      <c r="I1809" t="str">
        <f>"TRACTOR SUPPLY CREDIT PLAN"</f>
        <v>TRACTOR SUPPLY CREDIT PLAN</v>
      </c>
    </row>
    <row r="1810" spans="1:9" x14ac:dyDescent="0.25">
      <c r="A1810" s="6">
        <v>43124</v>
      </c>
      <c r="B1810" t="s">
        <v>26</v>
      </c>
      <c r="C1810">
        <v>56638</v>
      </c>
      <c r="D1810" t="s">
        <v>77</v>
      </c>
      <c r="E1810" s="7">
        <v>330</v>
      </c>
      <c r="F1810" t="s">
        <v>20</v>
      </c>
      <c r="G1810" t="s">
        <v>21</v>
      </c>
      <c r="H1810" t="str">
        <f>"DE85003083-17"</f>
        <v>DE85003083-17</v>
      </c>
      <c r="I1810" t="str">
        <f>"DPC INDUSTRIES  INC."</f>
        <v>DPC INDUSTRIES  INC.</v>
      </c>
    </row>
    <row r="1811" spans="1:9" x14ac:dyDescent="0.25">
      <c r="E1811" s="7"/>
      <c r="F1811" t="s">
        <v>20</v>
      </c>
      <c r="G1811" t="s">
        <v>21</v>
      </c>
      <c r="H1811" t="str">
        <f>"DE85003321-17"</f>
        <v>DE85003321-17</v>
      </c>
      <c r="I1811" t="str">
        <f>"DPC INDUSTRIES  INC."</f>
        <v>DPC INDUSTRIES  INC.</v>
      </c>
    </row>
    <row r="1812" spans="1:9" x14ac:dyDescent="0.25">
      <c r="A1812" s="6">
        <v>43124</v>
      </c>
      <c r="B1812" t="s">
        <v>26</v>
      </c>
      <c r="C1812">
        <v>56639</v>
      </c>
      <c r="D1812" t="s">
        <v>138</v>
      </c>
      <c r="E1812" s="7">
        <v>2596.5500000000002</v>
      </c>
      <c r="F1812" t="s">
        <v>20</v>
      </c>
      <c r="G1812" t="s">
        <v>21</v>
      </c>
      <c r="H1812" t="str">
        <f>"201801238241"</f>
        <v>201801238241</v>
      </c>
      <c r="I1812" t="str">
        <f>"CITY OF FLORESVILLE-FLEX SPEND"</f>
        <v>CITY OF FLORESVILLE-FLEX SPEND</v>
      </c>
    </row>
    <row r="1813" spans="1:9" x14ac:dyDescent="0.25">
      <c r="A1813" s="6">
        <v>43124</v>
      </c>
      <c r="B1813" t="s">
        <v>26</v>
      </c>
      <c r="C1813">
        <v>56640</v>
      </c>
      <c r="D1813" t="s">
        <v>125</v>
      </c>
      <c r="E1813" s="7">
        <v>300</v>
      </c>
      <c r="F1813" t="s">
        <v>20</v>
      </c>
      <c r="G1813" t="s">
        <v>21</v>
      </c>
      <c r="H1813" t="str">
        <f>"17-1129"</f>
        <v>17-1129</v>
      </c>
      <c r="I1813" t="str">
        <f>"INTREPID SURVEYING CORPORATION"</f>
        <v>INTREPID SURVEYING CORPORATION</v>
      </c>
    </row>
    <row r="1814" spans="1:9" x14ac:dyDescent="0.25">
      <c r="A1814" s="6">
        <v>43124</v>
      </c>
      <c r="B1814" t="s">
        <v>26</v>
      </c>
      <c r="C1814">
        <v>56641</v>
      </c>
      <c r="D1814" t="s">
        <v>256</v>
      </c>
      <c r="E1814" s="7">
        <v>27612.22</v>
      </c>
      <c r="F1814" t="s">
        <v>20</v>
      </c>
      <c r="G1814" t="s">
        <v>21</v>
      </c>
      <c r="H1814" t="str">
        <f>"LOAN58110"</f>
        <v>LOAN58110</v>
      </c>
      <c r="I1814" t="str">
        <f>"CITIZENS 1ST BANK"</f>
        <v>CITIZENS 1ST BANK</v>
      </c>
    </row>
    <row r="1815" spans="1:9" x14ac:dyDescent="0.25">
      <c r="A1815" s="6">
        <v>43124</v>
      </c>
      <c r="B1815" t="s">
        <v>26</v>
      </c>
      <c r="C1815">
        <v>56642</v>
      </c>
      <c r="D1815" t="s">
        <v>126</v>
      </c>
      <c r="E1815" s="7">
        <v>77102.2</v>
      </c>
      <c r="F1815" t="s">
        <v>20</v>
      </c>
      <c r="G1815" t="s">
        <v>21</v>
      </c>
      <c r="H1815" t="str">
        <f>"3-0859-9859050"</f>
        <v>3-0859-9859050</v>
      </c>
      <c r="I1815" t="str">
        <f>"REPUBLIC SERVICES #859"</f>
        <v>REPUBLIC SERVICES #859</v>
      </c>
    </row>
    <row r="1816" spans="1:9" x14ac:dyDescent="0.25">
      <c r="A1816" s="6">
        <v>43124</v>
      </c>
      <c r="B1816" t="s">
        <v>26</v>
      </c>
      <c r="C1816">
        <v>56643</v>
      </c>
      <c r="D1816" t="s">
        <v>127</v>
      </c>
      <c r="E1816" s="7">
        <v>2664.75</v>
      </c>
      <c r="F1816" t="s">
        <v>20</v>
      </c>
      <c r="G1816" t="s">
        <v>21</v>
      </c>
      <c r="H1816" t="str">
        <f>"730990"</f>
        <v>730990</v>
      </c>
      <c r="I1816" t="str">
        <f>"A &amp; B COMMUNICATIONS"</f>
        <v>A &amp; B COMMUNICATIONS</v>
      </c>
    </row>
    <row r="1817" spans="1:9" x14ac:dyDescent="0.25">
      <c r="A1817" s="6">
        <v>43124</v>
      </c>
      <c r="B1817" t="s">
        <v>26</v>
      </c>
      <c r="C1817">
        <v>56644</v>
      </c>
      <c r="D1817" t="s">
        <v>79</v>
      </c>
      <c r="E1817" s="7">
        <v>111.08</v>
      </c>
      <c r="F1817" t="s">
        <v>20</v>
      </c>
      <c r="G1817" t="s">
        <v>21</v>
      </c>
      <c r="H1817" t="str">
        <f>"6-032-22625"</f>
        <v>6-032-22625</v>
      </c>
      <c r="I1817" t="str">
        <f>"FEDEX"</f>
        <v>FEDEX</v>
      </c>
    </row>
    <row r="1818" spans="1:9" x14ac:dyDescent="0.25">
      <c r="E1818" s="7"/>
      <c r="F1818" t="s">
        <v>20</v>
      </c>
      <c r="G1818" t="s">
        <v>21</v>
      </c>
      <c r="H1818" t="str">
        <f>"6-040-86440"</f>
        <v>6-040-86440</v>
      </c>
      <c r="I1818" t="str">
        <f>"FEDEX"</f>
        <v>FEDEX</v>
      </c>
    </row>
    <row r="1819" spans="1:9" x14ac:dyDescent="0.25">
      <c r="A1819" s="6">
        <v>43124</v>
      </c>
      <c r="B1819" t="s">
        <v>26</v>
      </c>
      <c r="C1819">
        <v>56645</v>
      </c>
      <c r="D1819" t="s">
        <v>191</v>
      </c>
      <c r="E1819" s="7">
        <v>1530.21</v>
      </c>
      <c r="F1819" t="s">
        <v>20</v>
      </c>
      <c r="G1819" t="s">
        <v>21</v>
      </c>
      <c r="H1819" t="str">
        <f>"INV06-001665"</f>
        <v>INV06-001665</v>
      </c>
      <c r="I1819" t="str">
        <f>"MUNISERVICES  LLC"</f>
        <v>MUNISERVICES  LLC</v>
      </c>
    </row>
    <row r="1820" spans="1:9" x14ac:dyDescent="0.25">
      <c r="A1820" s="6">
        <v>43124</v>
      </c>
      <c r="B1820" t="s">
        <v>26</v>
      </c>
      <c r="C1820">
        <v>56646</v>
      </c>
      <c r="D1820" t="s">
        <v>131</v>
      </c>
      <c r="E1820" s="7">
        <v>150.99</v>
      </c>
      <c r="F1820" t="s">
        <v>20</v>
      </c>
      <c r="G1820" t="s">
        <v>21</v>
      </c>
      <c r="H1820" t="str">
        <f>"025871"</f>
        <v>025871</v>
      </c>
      <c r="I1820" t="str">
        <f>"R &amp; S TEXAS PARTS CO"</f>
        <v>R &amp; S TEXAS PARTS CO</v>
      </c>
    </row>
    <row r="1821" spans="1:9" x14ac:dyDescent="0.25">
      <c r="A1821" s="6">
        <v>43124</v>
      </c>
      <c r="B1821" t="s">
        <v>26</v>
      </c>
      <c r="C1821">
        <v>56647</v>
      </c>
      <c r="D1821" t="s">
        <v>257</v>
      </c>
      <c r="E1821" s="7">
        <v>3445.8</v>
      </c>
      <c r="F1821" t="s">
        <v>20</v>
      </c>
      <c r="G1821" t="s">
        <v>21</v>
      </c>
      <c r="H1821" t="str">
        <f>"1152014"</f>
        <v>1152014</v>
      </c>
      <c r="I1821" t="str">
        <f>"RAIN FOR RENT"</f>
        <v>RAIN FOR RENT</v>
      </c>
    </row>
    <row r="1822" spans="1:9" x14ac:dyDescent="0.25">
      <c r="E1822" s="7"/>
      <c r="F1822" t="s">
        <v>20</v>
      </c>
      <c r="G1822" t="s">
        <v>21</v>
      </c>
      <c r="H1822" t="str">
        <f>"1153884"</f>
        <v>1153884</v>
      </c>
      <c r="I1822" t="str">
        <f>"RAIN FOR RENT"</f>
        <v>RAIN FOR RENT</v>
      </c>
    </row>
    <row r="1823" spans="1:9" x14ac:dyDescent="0.25">
      <c r="A1823" s="6">
        <v>43124</v>
      </c>
      <c r="B1823" t="s">
        <v>26</v>
      </c>
      <c r="C1823">
        <v>56648</v>
      </c>
      <c r="D1823" t="s">
        <v>85</v>
      </c>
      <c r="E1823" s="7">
        <v>1123.31</v>
      </c>
      <c r="F1823" t="s">
        <v>20</v>
      </c>
      <c r="G1823" t="s">
        <v>21</v>
      </c>
      <c r="H1823" t="str">
        <f>"201801238221"</f>
        <v>201801238221</v>
      </c>
      <c r="I1823" t="str">
        <f t="shared" ref="I1823:I1835" si="30">"FRONTIER"</f>
        <v>FRONTIER</v>
      </c>
    </row>
    <row r="1824" spans="1:9" x14ac:dyDescent="0.25">
      <c r="E1824" s="7"/>
      <c r="F1824" t="s">
        <v>20</v>
      </c>
      <c r="G1824" t="s">
        <v>21</v>
      </c>
      <c r="H1824" t="str">
        <f>"201801238222"</f>
        <v>201801238222</v>
      </c>
      <c r="I1824" t="str">
        <f t="shared" si="30"/>
        <v>FRONTIER</v>
      </c>
    </row>
    <row r="1825" spans="1:9" x14ac:dyDescent="0.25">
      <c r="E1825" s="7"/>
      <c r="F1825" t="s">
        <v>20</v>
      </c>
      <c r="G1825" t="s">
        <v>21</v>
      </c>
      <c r="H1825" t="str">
        <f>"201801238223"</f>
        <v>201801238223</v>
      </c>
      <c r="I1825" t="str">
        <f t="shared" si="30"/>
        <v>FRONTIER</v>
      </c>
    </row>
    <row r="1826" spans="1:9" x14ac:dyDescent="0.25">
      <c r="E1826" s="7"/>
      <c r="F1826" t="s">
        <v>20</v>
      </c>
      <c r="G1826" t="s">
        <v>21</v>
      </c>
      <c r="H1826" t="str">
        <f>"201801238224"</f>
        <v>201801238224</v>
      </c>
      <c r="I1826" t="str">
        <f t="shared" si="30"/>
        <v>FRONTIER</v>
      </c>
    </row>
    <row r="1827" spans="1:9" x14ac:dyDescent="0.25">
      <c r="E1827" s="7"/>
      <c r="F1827" t="s">
        <v>20</v>
      </c>
      <c r="G1827" t="s">
        <v>21</v>
      </c>
      <c r="H1827" t="str">
        <f>"201801238225"</f>
        <v>201801238225</v>
      </c>
      <c r="I1827" t="str">
        <f t="shared" si="30"/>
        <v>FRONTIER</v>
      </c>
    </row>
    <row r="1828" spans="1:9" x14ac:dyDescent="0.25">
      <c r="E1828" s="7"/>
      <c r="F1828" t="s">
        <v>20</v>
      </c>
      <c r="G1828" t="s">
        <v>21</v>
      </c>
      <c r="H1828" t="str">
        <f>"201801238231"</f>
        <v>201801238231</v>
      </c>
      <c r="I1828" t="str">
        <f t="shared" si="30"/>
        <v>FRONTIER</v>
      </c>
    </row>
    <row r="1829" spans="1:9" x14ac:dyDescent="0.25">
      <c r="E1829" s="7"/>
      <c r="F1829" t="s">
        <v>20</v>
      </c>
      <c r="G1829" t="s">
        <v>21</v>
      </c>
      <c r="H1829" t="str">
        <f>"201801238232"</f>
        <v>201801238232</v>
      </c>
      <c r="I1829" t="str">
        <f t="shared" si="30"/>
        <v>FRONTIER</v>
      </c>
    </row>
    <row r="1830" spans="1:9" x14ac:dyDescent="0.25">
      <c r="E1830" s="7"/>
      <c r="F1830" t="s">
        <v>20</v>
      </c>
      <c r="G1830" t="s">
        <v>21</v>
      </c>
      <c r="H1830" t="str">
        <f>"201801238234"</f>
        <v>201801238234</v>
      </c>
      <c r="I1830" t="str">
        <f t="shared" si="30"/>
        <v>FRONTIER</v>
      </c>
    </row>
    <row r="1831" spans="1:9" x14ac:dyDescent="0.25">
      <c r="E1831" s="7"/>
      <c r="F1831" t="s">
        <v>20</v>
      </c>
      <c r="G1831" t="s">
        <v>21</v>
      </c>
      <c r="H1831" t="str">
        <f>"201801238235"</f>
        <v>201801238235</v>
      </c>
      <c r="I1831" t="str">
        <f t="shared" si="30"/>
        <v>FRONTIER</v>
      </c>
    </row>
    <row r="1832" spans="1:9" x14ac:dyDescent="0.25">
      <c r="E1832" s="7"/>
      <c r="F1832" t="s">
        <v>20</v>
      </c>
      <c r="G1832" t="s">
        <v>21</v>
      </c>
      <c r="H1832" t="str">
        <f>"201801238236"</f>
        <v>201801238236</v>
      </c>
      <c r="I1832" t="str">
        <f t="shared" si="30"/>
        <v>FRONTIER</v>
      </c>
    </row>
    <row r="1833" spans="1:9" x14ac:dyDescent="0.25">
      <c r="E1833" s="7"/>
      <c r="F1833" t="s">
        <v>20</v>
      </c>
      <c r="G1833" t="s">
        <v>21</v>
      </c>
      <c r="H1833" t="str">
        <f>"201801238237"</f>
        <v>201801238237</v>
      </c>
      <c r="I1833" t="str">
        <f t="shared" si="30"/>
        <v>FRONTIER</v>
      </c>
    </row>
    <row r="1834" spans="1:9" x14ac:dyDescent="0.25">
      <c r="E1834" s="7"/>
      <c r="F1834" t="s">
        <v>20</v>
      </c>
      <c r="G1834" t="s">
        <v>21</v>
      </c>
      <c r="H1834" t="str">
        <f>"201801238239"</f>
        <v>201801238239</v>
      </c>
      <c r="I1834" t="str">
        <f t="shared" si="30"/>
        <v>FRONTIER</v>
      </c>
    </row>
    <row r="1835" spans="1:9" x14ac:dyDescent="0.25">
      <c r="E1835" s="7"/>
      <c r="F1835" t="s">
        <v>20</v>
      </c>
      <c r="G1835" t="s">
        <v>21</v>
      </c>
      <c r="H1835" t="str">
        <f>"201801238240"</f>
        <v>201801238240</v>
      </c>
      <c r="I1835" t="str">
        <f t="shared" si="30"/>
        <v>FRONTIER</v>
      </c>
    </row>
    <row r="1836" spans="1:9" x14ac:dyDescent="0.25">
      <c r="A1836" s="6">
        <v>43124</v>
      </c>
      <c r="B1836" t="s">
        <v>26</v>
      </c>
      <c r="C1836">
        <v>56651</v>
      </c>
      <c r="D1836" t="s">
        <v>175</v>
      </c>
      <c r="E1836" s="7">
        <v>500</v>
      </c>
      <c r="F1836" t="s">
        <v>20</v>
      </c>
      <c r="G1836" t="s">
        <v>21</v>
      </c>
      <c r="H1836" t="str">
        <f>"151064"</f>
        <v>151064</v>
      </c>
      <c r="I1836" t="str">
        <f>"AMER TECHNOLOGY  INC."</f>
        <v>AMER TECHNOLOGY  INC.</v>
      </c>
    </row>
    <row r="1837" spans="1:9" x14ac:dyDescent="0.25">
      <c r="A1837" s="6">
        <v>43124</v>
      </c>
      <c r="B1837" t="s">
        <v>26</v>
      </c>
      <c r="C1837">
        <v>56652</v>
      </c>
      <c r="D1837" t="s">
        <v>132</v>
      </c>
      <c r="E1837" s="7">
        <v>76.5</v>
      </c>
      <c r="F1837" t="s">
        <v>20</v>
      </c>
      <c r="G1837" t="s">
        <v>21</v>
      </c>
      <c r="H1837" t="str">
        <f>"16992887010418"</f>
        <v>16992887010418</v>
      </c>
      <c r="I1837" t="str">
        <f>"SPARKLETTS &amp; SIERRA SPRINGS"</f>
        <v>SPARKLETTS &amp; SIERRA SPRINGS</v>
      </c>
    </row>
    <row r="1838" spans="1:9" x14ac:dyDescent="0.25">
      <c r="A1838" s="6">
        <v>43124</v>
      </c>
      <c r="B1838" t="s">
        <v>26</v>
      </c>
      <c r="C1838">
        <v>56653</v>
      </c>
      <c r="D1838" t="s">
        <v>47</v>
      </c>
      <c r="E1838" s="7">
        <v>132647.93</v>
      </c>
      <c r="F1838" t="s">
        <v>20</v>
      </c>
      <c r="G1838" t="s">
        <v>21</v>
      </c>
      <c r="H1838" t="str">
        <f>"DRAW #10"</f>
        <v>DRAW #10</v>
      </c>
      <c r="I1838" t="str">
        <f>"HEARTLAND PARK &amp; RECREATION  L"</f>
        <v>HEARTLAND PARK &amp; RECREATION  L</v>
      </c>
    </row>
    <row r="1839" spans="1:9" x14ac:dyDescent="0.25">
      <c r="A1839" s="6">
        <v>43124</v>
      </c>
      <c r="B1839" t="s">
        <v>26</v>
      </c>
      <c r="C1839">
        <v>56654</v>
      </c>
      <c r="D1839" t="s">
        <v>195</v>
      </c>
      <c r="E1839" s="7">
        <v>1020</v>
      </c>
      <c r="F1839" t="s">
        <v>20</v>
      </c>
      <c r="G1839" t="s">
        <v>21</v>
      </c>
      <c r="H1839" t="str">
        <f>"24651"</f>
        <v>24651</v>
      </c>
      <c r="I1839" t="str">
        <f>"ARISTA INFORMATION SYSTEMS  IN"</f>
        <v>ARISTA INFORMATION SYSTEMS  IN</v>
      </c>
    </row>
    <row r="1840" spans="1:9" x14ac:dyDescent="0.25">
      <c r="A1840" s="6">
        <v>43124</v>
      </c>
      <c r="B1840" t="s">
        <v>26</v>
      </c>
      <c r="C1840">
        <v>56655</v>
      </c>
      <c r="D1840" t="s">
        <v>258</v>
      </c>
      <c r="E1840" s="7">
        <v>185</v>
      </c>
      <c r="F1840" t="s">
        <v>20</v>
      </c>
      <c r="G1840" t="s">
        <v>21</v>
      </c>
      <c r="H1840" t="str">
        <f>"144930"</f>
        <v>144930</v>
      </c>
      <c r="I1840" t="str">
        <f>"JOHNS OIL COMPANY"</f>
        <v>JOHNS OIL COMPANY</v>
      </c>
    </row>
    <row r="1841" spans="1:9" x14ac:dyDescent="0.25">
      <c r="A1841" s="6">
        <v>43124</v>
      </c>
      <c r="B1841" t="s">
        <v>26</v>
      </c>
      <c r="C1841">
        <v>56656</v>
      </c>
      <c r="D1841" t="s">
        <v>259</v>
      </c>
      <c r="E1841" s="7">
        <v>11020</v>
      </c>
      <c r="F1841" t="s">
        <v>20</v>
      </c>
      <c r="G1841" t="s">
        <v>21</v>
      </c>
      <c r="H1841" t="str">
        <f>"0112-010"</f>
        <v>0112-010</v>
      </c>
      <c r="I1841" t="str">
        <f>"KMAC CONSTRUCTION SERVICES INC"</f>
        <v>KMAC CONSTRUCTION SERVICES INC</v>
      </c>
    </row>
    <row r="1842" spans="1:9" x14ac:dyDescent="0.25">
      <c r="A1842" s="6">
        <v>43124</v>
      </c>
      <c r="B1842" t="s">
        <v>26</v>
      </c>
      <c r="C1842">
        <v>56657</v>
      </c>
      <c r="D1842" t="s">
        <v>238</v>
      </c>
      <c r="E1842" s="7">
        <v>225</v>
      </c>
      <c r="F1842" t="s">
        <v>20</v>
      </c>
      <c r="G1842" t="s">
        <v>21</v>
      </c>
      <c r="H1842" t="str">
        <f>"1405"</f>
        <v>1405</v>
      </c>
      <c r="I1842" t="str">
        <f>"AA SOUTH TEXAS BACKFLOW &amp; IRRI"</f>
        <v>AA SOUTH TEXAS BACKFLOW &amp; IRRI</v>
      </c>
    </row>
    <row r="1843" spans="1:9" x14ac:dyDescent="0.25">
      <c r="A1843" s="6">
        <v>43124</v>
      </c>
      <c r="B1843" t="s">
        <v>26</v>
      </c>
      <c r="C1843">
        <v>56658</v>
      </c>
      <c r="D1843" t="s">
        <v>247</v>
      </c>
      <c r="E1843" s="7">
        <v>24680</v>
      </c>
      <c r="F1843" t="s">
        <v>20</v>
      </c>
      <c r="G1843" t="s">
        <v>21</v>
      </c>
      <c r="H1843" t="str">
        <f>"180506"</f>
        <v>180506</v>
      </c>
      <c r="I1843" t="str">
        <f>"MARIO ALBERTO AVILES"</f>
        <v>MARIO ALBERTO AVILES</v>
      </c>
    </row>
    <row r="1844" spans="1:9" x14ac:dyDescent="0.25">
      <c r="A1844" s="6">
        <v>43124</v>
      </c>
      <c r="B1844" t="s">
        <v>26</v>
      </c>
      <c r="C1844">
        <v>56659</v>
      </c>
      <c r="D1844" t="s">
        <v>260</v>
      </c>
      <c r="E1844" s="7">
        <v>2149.7399999999998</v>
      </c>
      <c r="F1844" t="s">
        <v>20</v>
      </c>
      <c r="G1844" t="s">
        <v>21</v>
      </c>
      <c r="H1844" t="str">
        <f>"17641"</f>
        <v>17641</v>
      </c>
      <c r="I1844" t="str">
        <f>"TEMPLE DISPLAY LTD"</f>
        <v>TEMPLE DISPLAY LTD</v>
      </c>
    </row>
    <row r="1845" spans="1:9" x14ac:dyDescent="0.25">
      <c r="A1845" s="6">
        <v>43124</v>
      </c>
      <c r="B1845" t="s">
        <v>26</v>
      </c>
      <c r="C1845">
        <v>56660</v>
      </c>
      <c r="D1845" t="s">
        <v>261</v>
      </c>
      <c r="E1845" s="7">
        <v>550</v>
      </c>
      <c r="F1845" t="s">
        <v>20</v>
      </c>
      <c r="G1845" t="s">
        <v>21</v>
      </c>
      <c r="H1845" t="str">
        <f>"17-640"</f>
        <v>17-640</v>
      </c>
      <c r="I1845" t="str">
        <f>"AEHS INC"</f>
        <v>AEHS INC</v>
      </c>
    </row>
    <row r="1846" spans="1:9" x14ac:dyDescent="0.25">
      <c r="A1846" s="6">
        <v>43124</v>
      </c>
      <c r="B1846" t="s">
        <v>26</v>
      </c>
      <c r="C1846">
        <v>56661</v>
      </c>
      <c r="D1846" t="s">
        <v>262</v>
      </c>
      <c r="E1846" s="7">
        <v>3025</v>
      </c>
      <c r="F1846" t="s">
        <v>20</v>
      </c>
      <c r="G1846" t="s">
        <v>21</v>
      </c>
      <c r="H1846" t="str">
        <f>"3"</f>
        <v>3</v>
      </c>
      <c r="I1846" t="str">
        <f>"GRANTWORKS INC"</f>
        <v>GRANTWORKS INC</v>
      </c>
    </row>
    <row r="1847" spans="1:9" x14ac:dyDescent="0.25">
      <c r="A1847" s="6">
        <v>43124</v>
      </c>
      <c r="B1847" t="s">
        <v>26</v>
      </c>
      <c r="C1847">
        <v>56662</v>
      </c>
      <c r="D1847" t="s">
        <v>81</v>
      </c>
      <c r="E1847" s="7">
        <v>202</v>
      </c>
      <c r="F1847" t="s">
        <v>20</v>
      </c>
      <c r="G1847" t="s">
        <v>21</v>
      </c>
      <c r="H1847" t="str">
        <f>"B.C. 1/24/18"</f>
        <v>B.C. 1/24/18</v>
      </c>
      <c r="I1847" t="str">
        <f>"CITY OF FLORESVILLE -PETTY CAS"</f>
        <v>CITY OF FLORESVILLE -PETTY CAS</v>
      </c>
    </row>
    <row r="1848" spans="1:9" x14ac:dyDescent="0.25">
      <c r="A1848" s="6">
        <v>43124</v>
      </c>
      <c r="B1848" t="s">
        <v>26</v>
      </c>
      <c r="C1848">
        <v>56663</v>
      </c>
      <c r="D1848" t="s">
        <v>200</v>
      </c>
      <c r="E1848" s="7">
        <v>500</v>
      </c>
      <c r="F1848" t="s">
        <v>20</v>
      </c>
      <c r="G1848" t="s">
        <v>21</v>
      </c>
      <c r="H1848" t="str">
        <f>"180508"</f>
        <v>180508</v>
      </c>
      <c r="I1848" t="str">
        <f>"MARIO AVILES"</f>
        <v>MARIO AVILES</v>
      </c>
    </row>
    <row r="1849" spans="1:9" x14ac:dyDescent="0.25">
      <c r="A1849" s="6">
        <v>43124</v>
      </c>
      <c r="B1849" t="s">
        <v>26</v>
      </c>
      <c r="C1849">
        <v>56664</v>
      </c>
      <c r="D1849" t="s">
        <v>50</v>
      </c>
      <c r="E1849" s="7">
        <v>43.12</v>
      </c>
      <c r="F1849" t="s">
        <v>20</v>
      </c>
      <c r="G1849" t="s">
        <v>21</v>
      </c>
      <c r="H1849" t="str">
        <f>"LUNCH/LEARN"</f>
        <v>LUNCH/LEARN</v>
      </c>
      <c r="I1849" t="str">
        <f>"CHRISTINA CANTU"</f>
        <v>CHRISTINA CANTU</v>
      </c>
    </row>
    <row r="1850" spans="1:9" x14ac:dyDescent="0.25">
      <c r="A1850" s="6">
        <v>43124</v>
      </c>
      <c r="B1850" t="s">
        <v>26</v>
      </c>
      <c r="C1850">
        <v>56665</v>
      </c>
      <c r="D1850" t="s">
        <v>177</v>
      </c>
      <c r="E1850" s="7">
        <v>7127.41</v>
      </c>
      <c r="F1850" t="s">
        <v>20</v>
      </c>
      <c r="G1850" t="s">
        <v>21</v>
      </c>
      <c r="H1850" t="str">
        <f>"WC17-01"</f>
        <v>WC17-01</v>
      </c>
      <c r="I1850" t="str">
        <f>"JAN HARTL  WILSON COUNTY TREAS"</f>
        <v>JAN HARTL  WILSON COUNTY TREAS</v>
      </c>
    </row>
    <row r="1851" spans="1:9" x14ac:dyDescent="0.25">
      <c r="A1851" s="6">
        <v>43124</v>
      </c>
      <c r="B1851" t="s">
        <v>26</v>
      </c>
      <c r="C1851">
        <v>56666</v>
      </c>
      <c r="D1851" t="s">
        <v>223</v>
      </c>
      <c r="E1851" s="7">
        <v>75</v>
      </c>
      <c r="F1851" t="s">
        <v>20</v>
      </c>
      <c r="G1851" t="s">
        <v>21</v>
      </c>
      <c r="H1851" t="str">
        <f>"12018-COUNCIL"</f>
        <v>12018-COUNCIL</v>
      </c>
      <c r="I1851" t="str">
        <f>""</f>
        <v/>
      </c>
    </row>
    <row r="1852" spans="1:9" x14ac:dyDescent="0.25">
      <c r="A1852" s="6">
        <v>43124</v>
      </c>
      <c r="B1852" t="s">
        <v>26</v>
      </c>
      <c r="C1852">
        <v>56667</v>
      </c>
      <c r="D1852" t="s">
        <v>35</v>
      </c>
      <c r="E1852" s="7">
        <v>200</v>
      </c>
      <c r="F1852" t="s">
        <v>20</v>
      </c>
      <c r="G1852" t="s">
        <v>21</v>
      </c>
      <c r="H1852" t="str">
        <f>"12018-5/2016"</f>
        <v>12018-5/2016</v>
      </c>
      <c r="I1852" t="str">
        <f>"JANITORIAL SERVICES"</f>
        <v>JANITORIAL SERVICES</v>
      </c>
    </row>
    <row r="1853" spans="1:9" x14ac:dyDescent="0.25">
      <c r="A1853" s="6">
        <v>43124</v>
      </c>
      <c r="B1853" t="s">
        <v>26</v>
      </c>
      <c r="C1853">
        <v>56668</v>
      </c>
      <c r="D1853" t="s">
        <v>36</v>
      </c>
      <c r="E1853" s="7">
        <v>75</v>
      </c>
      <c r="F1853" t="s">
        <v>20</v>
      </c>
      <c r="G1853" t="s">
        <v>21</v>
      </c>
      <c r="H1853" t="str">
        <f>"12018-COUNCIL"</f>
        <v>12018-COUNCIL</v>
      </c>
      <c r="I1853" t="str">
        <f>""</f>
        <v/>
      </c>
    </row>
    <row r="1854" spans="1:9" x14ac:dyDescent="0.25">
      <c r="A1854" s="6">
        <v>43124</v>
      </c>
      <c r="B1854" t="s">
        <v>26</v>
      </c>
      <c r="C1854">
        <v>56669</v>
      </c>
      <c r="D1854" t="s">
        <v>37</v>
      </c>
      <c r="E1854" s="7">
        <v>75</v>
      </c>
      <c r="F1854" t="s">
        <v>20</v>
      </c>
      <c r="G1854" t="s">
        <v>21</v>
      </c>
      <c r="H1854" t="str">
        <f>"12018-COUNCIL"</f>
        <v>12018-COUNCIL</v>
      </c>
      <c r="I1854" t="str">
        <f>""</f>
        <v/>
      </c>
    </row>
    <row r="1855" spans="1:9" x14ac:dyDescent="0.25">
      <c r="A1855" s="6">
        <v>43124</v>
      </c>
      <c r="B1855" t="s">
        <v>26</v>
      </c>
      <c r="C1855">
        <v>56670</v>
      </c>
      <c r="D1855" t="s">
        <v>38</v>
      </c>
      <c r="E1855" s="7">
        <v>100</v>
      </c>
      <c r="F1855" t="s">
        <v>20</v>
      </c>
      <c r="G1855" t="s">
        <v>21</v>
      </c>
      <c r="H1855" t="str">
        <f>"12018-MAYOR"</f>
        <v>12018-MAYOR</v>
      </c>
      <c r="I1855" t="str">
        <f>""</f>
        <v/>
      </c>
    </row>
    <row r="1856" spans="1:9" x14ac:dyDescent="0.25">
      <c r="A1856" s="6">
        <v>43124</v>
      </c>
      <c r="B1856" t="s">
        <v>26</v>
      </c>
      <c r="C1856">
        <v>56671</v>
      </c>
      <c r="D1856" t="s">
        <v>39</v>
      </c>
      <c r="E1856" s="7">
        <v>75</v>
      </c>
      <c r="F1856" t="s">
        <v>20</v>
      </c>
      <c r="G1856" t="s">
        <v>21</v>
      </c>
      <c r="H1856" t="str">
        <f>"12018-COUNCIL"</f>
        <v>12018-COUNCIL</v>
      </c>
      <c r="I1856" t="str">
        <f>""</f>
        <v/>
      </c>
    </row>
    <row r="1857" spans="1:9" x14ac:dyDescent="0.25">
      <c r="A1857" s="6">
        <v>43124</v>
      </c>
      <c r="B1857" t="s">
        <v>26</v>
      </c>
      <c r="C1857">
        <v>56672</v>
      </c>
      <c r="D1857" t="s">
        <v>40</v>
      </c>
      <c r="E1857" s="7">
        <v>75</v>
      </c>
      <c r="F1857" t="s">
        <v>20</v>
      </c>
      <c r="G1857" t="s">
        <v>21</v>
      </c>
      <c r="H1857" t="str">
        <f>"12018-COUNCIL"</f>
        <v>12018-COUNCIL</v>
      </c>
      <c r="I1857" t="str">
        <f>""</f>
        <v/>
      </c>
    </row>
    <row r="1858" spans="1:9" x14ac:dyDescent="0.25">
      <c r="A1858" s="6">
        <v>43129</v>
      </c>
      <c r="B1858" t="s">
        <v>26</v>
      </c>
      <c r="C1858">
        <v>56673</v>
      </c>
      <c r="D1858" t="s">
        <v>56</v>
      </c>
      <c r="E1858" s="7">
        <v>30</v>
      </c>
      <c r="F1858" t="s">
        <v>20</v>
      </c>
      <c r="G1858" t="s">
        <v>21</v>
      </c>
      <c r="H1858" t="str">
        <f>"164284"</f>
        <v>164284</v>
      </c>
      <c r="I1858" t="str">
        <f>"GERALD LUBIANSKI ENTERPRISES"</f>
        <v>GERALD LUBIANSKI ENTERPRISES</v>
      </c>
    </row>
    <row r="1859" spans="1:9" x14ac:dyDescent="0.25">
      <c r="E1859" s="7"/>
      <c r="F1859" t="s">
        <v>20</v>
      </c>
      <c r="G1859" t="s">
        <v>21</v>
      </c>
      <c r="H1859" t="str">
        <f>"164309"</f>
        <v>164309</v>
      </c>
      <c r="I1859" t="str">
        <f>"GERALD LUBIANSKI ENTERPRISES"</f>
        <v>GERALD LUBIANSKI ENTERPRISES</v>
      </c>
    </row>
    <row r="1860" spans="1:9" x14ac:dyDescent="0.25">
      <c r="E1860" s="7"/>
      <c r="F1860" t="s">
        <v>20</v>
      </c>
      <c r="G1860" t="s">
        <v>21</v>
      </c>
      <c r="H1860" t="str">
        <f>"164370"</f>
        <v>164370</v>
      </c>
      <c r="I1860" t="str">
        <f>"GERALD LUBIANSKI ENTERPRISES"</f>
        <v>GERALD LUBIANSKI ENTERPRISES</v>
      </c>
    </row>
    <row r="1861" spans="1:9" x14ac:dyDescent="0.25">
      <c r="A1861" s="6">
        <v>43129</v>
      </c>
      <c r="B1861" t="s">
        <v>26</v>
      </c>
      <c r="C1861">
        <v>56674</v>
      </c>
      <c r="D1861" t="s">
        <v>59</v>
      </c>
      <c r="E1861" s="7">
        <v>13595.36</v>
      </c>
      <c r="F1861" t="s">
        <v>20</v>
      </c>
      <c r="G1861" t="s">
        <v>21</v>
      </c>
      <c r="H1861" t="str">
        <f>"0908595"</f>
        <v>0908595</v>
      </c>
      <c r="I1861" t="str">
        <f t="shared" ref="I1861:I1868" si="31">"FERGUSON WATERWORKS - MUNICIPA"</f>
        <v>FERGUSON WATERWORKS - MUNICIPA</v>
      </c>
    </row>
    <row r="1862" spans="1:9" x14ac:dyDescent="0.25">
      <c r="E1862" s="7"/>
      <c r="F1862" t="s">
        <v>20</v>
      </c>
      <c r="G1862" t="s">
        <v>21</v>
      </c>
      <c r="H1862" t="str">
        <f>"0909730"</f>
        <v>0909730</v>
      </c>
      <c r="I1862" t="str">
        <f t="shared" si="31"/>
        <v>FERGUSON WATERWORKS - MUNICIPA</v>
      </c>
    </row>
    <row r="1863" spans="1:9" x14ac:dyDescent="0.25">
      <c r="E1863" s="7"/>
      <c r="F1863" t="s">
        <v>20</v>
      </c>
      <c r="G1863" t="s">
        <v>21</v>
      </c>
      <c r="H1863" t="str">
        <f>"0912728"</f>
        <v>0912728</v>
      </c>
      <c r="I1863" t="str">
        <f t="shared" si="31"/>
        <v>FERGUSON WATERWORKS - MUNICIPA</v>
      </c>
    </row>
    <row r="1864" spans="1:9" x14ac:dyDescent="0.25">
      <c r="E1864" s="7"/>
      <c r="F1864" t="s">
        <v>20</v>
      </c>
      <c r="G1864" t="s">
        <v>21</v>
      </c>
      <c r="H1864" t="str">
        <f>"0913385"</f>
        <v>0913385</v>
      </c>
      <c r="I1864" t="str">
        <f t="shared" si="31"/>
        <v>FERGUSON WATERWORKS - MUNICIPA</v>
      </c>
    </row>
    <row r="1865" spans="1:9" x14ac:dyDescent="0.25">
      <c r="E1865" s="7"/>
      <c r="F1865" t="s">
        <v>20</v>
      </c>
      <c r="G1865" t="s">
        <v>21</v>
      </c>
      <c r="H1865" t="str">
        <f>"0918473-1*"</f>
        <v>0918473-1*</v>
      </c>
      <c r="I1865" t="str">
        <f t="shared" si="31"/>
        <v>FERGUSON WATERWORKS - MUNICIPA</v>
      </c>
    </row>
    <row r="1866" spans="1:9" x14ac:dyDescent="0.25">
      <c r="E1866" s="7"/>
      <c r="F1866" t="s">
        <v>20</v>
      </c>
      <c r="G1866" t="s">
        <v>21</v>
      </c>
      <c r="H1866" t="str">
        <f>"0920556*"</f>
        <v>0920556*</v>
      </c>
      <c r="I1866" t="str">
        <f t="shared" si="31"/>
        <v>FERGUSON WATERWORKS - MUNICIPA</v>
      </c>
    </row>
    <row r="1867" spans="1:9" x14ac:dyDescent="0.25">
      <c r="E1867" s="7"/>
      <c r="F1867" t="s">
        <v>20</v>
      </c>
      <c r="G1867" t="s">
        <v>21</v>
      </c>
      <c r="H1867" t="str">
        <f>"0921228*"</f>
        <v>0921228*</v>
      </c>
      <c r="I1867" t="str">
        <f t="shared" si="31"/>
        <v>FERGUSON WATERWORKS - MUNICIPA</v>
      </c>
    </row>
    <row r="1868" spans="1:9" x14ac:dyDescent="0.25">
      <c r="E1868" s="7"/>
      <c r="F1868" t="s">
        <v>20</v>
      </c>
      <c r="G1868" t="s">
        <v>21</v>
      </c>
      <c r="H1868" t="str">
        <f>"0922945-1"</f>
        <v>0922945-1</v>
      </c>
      <c r="I1868" t="str">
        <f t="shared" si="31"/>
        <v>FERGUSON WATERWORKS - MUNICIPA</v>
      </c>
    </row>
    <row r="1869" spans="1:9" x14ac:dyDescent="0.25">
      <c r="A1869" s="6">
        <v>43129</v>
      </c>
      <c r="B1869" t="s">
        <v>26</v>
      </c>
      <c r="C1869">
        <v>56676</v>
      </c>
      <c r="D1869" t="s">
        <v>263</v>
      </c>
      <c r="E1869" s="7">
        <v>3500</v>
      </c>
      <c r="F1869" t="s">
        <v>20</v>
      </c>
      <c r="G1869" t="s">
        <v>21</v>
      </c>
      <c r="H1869" t="str">
        <f>"AGENDA ITEM 3C"</f>
        <v>AGENDA ITEM 3C</v>
      </c>
      <c r="I1869" t="str">
        <f>"DANIEL M TEJADA"</f>
        <v>DANIEL M TEJADA</v>
      </c>
    </row>
    <row r="1870" spans="1:9" x14ac:dyDescent="0.25">
      <c r="A1870" s="6">
        <v>43129</v>
      </c>
      <c r="B1870" t="s">
        <v>26</v>
      </c>
      <c r="C1870">
        <v>56677</v>
      </c>
      <c r="D1870" t="s">
        <v>115</v>
      </c>
      <c r="E1870" s="7">
        <v>114.07</v>
      </c>
      <c r="F1870" t="s">
        <v>20</v>
      </c>
      <c r="G1870" t="s">
        <v>21</v>
      </c>
      <c r="H1870" t="str">
        <f>"3547068799*"</f>
        <v>3547068799*</v>
      </c>
      <c r="I1870" t="str">
        <f>"AUTOZONE"</f>
        <v>AUTOZONE</v>
      </c>
    </row>
    <row r="1871" spans="1:9" x14ac:dyDescent="0.25">
      <c r="A1871" s="6">
        <v>43129</v>
      </c>
      <c r="B1871" t="s">
        <v>26</v>
      </c>
      <c r="C1871">
        <v>56678</v>
      </c>
      <c r="D1871" t="s">
        <v>264</v>
      </c>
      <c r="E1871" s="7">
        <v>35</v>
      </c>
      <c r="F1871" t="s">
        <v>20</v>
      </c>
      <c r="G1871" t="s">
        <v>21</v>
      </c>
      <c r="H1871" t="str">
        <f>"201801298244"</f>
        <v>201801298244</v>
      </c>
      <c r="I1871" t="str">
        <f>"ERS - TEXAS SOCIAL SECURITY PR"</f>
        <v>ERS - TEXAS SOCIAL SECURITY PR</v>
      </c>
    </row>
    <row r="1872" spans="1:9" x14ac:dyDescent="0.25">
      <c r="A1872" s="6">
        <v>43129</v>
      </c>
      <c r="B1872" t="s">
        <v>26</v>
      </c>
      <c r="C1872">
        <v>56679</v>
      </c>
      <c r="D1872" t="s">
        <v>68</v>
      </c>
      <c r="E1872" s="7">
        <v>400</v>
      </c>
      <c r="F1872" t="s">
        <v>20</v>
      </c>
      <c r="G1872" t="s">
        <v>21</v>
      </c>
      <c r="H1872" t="str">
        <f>"0404832-IN"</f>
        <v>0404832-IN</v>
      </c>
      <c r="I1872" t="str">
        <f>"SOUTHWASTE DISPOSAL  LLP"</f>
        <v>SOUTHWASTE DISPOSAL  LLP</v>
      </c>
    </row>
    <row r="1873" spans="1:9" x14ac:dyDescent="0.25">
      <c r="A1873" s="6">
        <v>43129</v>
      </c>
      <c r="B1873" t="s">
        <v>26</v>
      </c>
      <c r="C1873">
        <v>56680</v>
      </c>
      <c r="D1873" t="s">
        <v>265</v>
      </c>
      <c r="E1873" s="7">
        <v>345.9</v>
      </c>
      <c r="F1873" t="s">
        <v>20</v>
      </c>
      <c r="G1873" t="s">
        <v>21</v>
      </c>
      <c r="H1873" t="str">
        <f>"45332872*"</f>
        <v>45332872*</v>
      </c>
      <c r="I1873" t="str">
        <f>"THE GOODYEAR TIRE &amp; RUBBER COM"</f>
        <v>THE GOODYEAR TIRE &amp; RUBBER COM</v>
      </c>
    </row>
    <row r="1874" spans="1:9" x14ac:dyDescent="0.25">
      <c r="A1874" s="6">
        <v>43129</v>
      </c>
      <c r="B1874" t="s">
        <v>26</v>
      </c>
      <c r="C1874">
        <v>56681</v>
      </c>
      <c r="D1874" t="s">
        <v>159</v>
      </c>
      <c r="E1874" s="7">
        <v>1200</v>
      </c>
      <c r="F1874" t="s">
        <v>20</v>
      </c>
      <c r="G1874" t="s">
        <v>21</v>
      </c>
      <c r="H1874" t="str">
        <f>"37596"</f>
        <v>37596</v>
      </c>
      <c r="I1874" t="str">
        <f>"PHOTOGRAPHS BY JIM"</f>
        <v>PHOTOGRAPHS BY JIM</v>
      </c>
    </row>
    <row r="1875" spans="1:9" x14ac:dyDescent="0.25">
      <c r="A1875" s="6">
        <v>43129</v>
      </c>
      <c r="B1875" t="s">
        <v>26</v>
      </c>
      <c r="C1875">
        <v>56682</v>
      </c>
      <c r="D1875" t="s">
        <v>29</v>
      </c>
      <c r="E1875" s="7">
        <v>11905</v>
      </c>
      <c r="F1875" t="s">
        <v>20</v>
      </c>
      <c r="G1875" t="s">
        <v>21</v>
      </c>
      <c r="H1875" t="str">
        <f>"29943"</f>
        <v>29943</v>
      </c>
      <c r="I1875" t="str">
        <f>"M &amp; S ENGINEERING  LLC"</f>
        <v>M &amp; S ENGINEERING  LLC</v>
      </c>
    </row>
    <row r="1876" spans="1:9" x14ac:dyDescent="0.25">
      <c r="E1876" s="7"/>
      <c r="F1876" t="s">
        <v>20</v>
      </c>
      <c r="G1876" t="s">
        <v>21</v>
      </c>
      <c r="H1876" t="str">
        <f>"30104"</f>
        <v>30104</v>
      </c>
      <c r="I1876" t="str">
        <f>"M &amp; S ENGINEERING  LLC"</f>
        <v>M &amp; S ENGINEERING  LLC</v>
      </c>
    </row>
    <row r="1877" spans="1:9" x14ac:dyDescent="0.25">
      <c r="A1877" s="6">
        <v>43129</v>
      </c>
      <c r="B1877" t="s">
        <v>26</v>
      </c>
      <c r="C1877">
        <v>56683</v>
      </c>
      <c r="D1877" t="s">
        <v>71</v>
      </c>
      <c r="E1877" s="7">
        <v>5747.22</v>
      </c>
      <c r="F1877" t="s">
        <v>20</v>
      </c>
      <c r="G1877" t="s">
        <v>24</v>
      </c>
      <c r="H1877" t="str">
        <f>"087789827"</f>
        <v>087789827</v>
      </c>
      <c r="I1877" t="str">
        <f t="shared" ref="I1877:I1911" si="32">"CINTAS CORPORATION #087"</f>
        <v>CINTAS CORPORATION #087</v>
      </c>
    </row>
    <row r="1878" spans="1:9" x14ac:dyDescent="0.25">
      <c r="E1878" s="7"/>
      <c r="F1878" t="s">
        <v>20</v>
      </c>
      <c r="G1878" t="s">
        <v>21</v>
      </c>
      <c r="H1878" t="str">
        <f>"087624856*"</f>
        <v>087624856*</v>
      </c>
      <c r="I1878" t="str">
        <f t="shared" si="32"/>
        <v>CINTAS CORPORATION #087</v>
      </c>
    </row>
    <row r="1879" spans="1:9" x14ac:dyDescent="0.25">
      <c r="E1879" s="7"/>
      <c r="F1879" t="s">
        <v>20</v>
      </c>
      <c r="G1879" t="s">
        <v>21</v>
      </c>
      <c r="H1879" t="str">
        <f>"087712496"</f>
        <v>087712496</v>
      </c>
      <c r="I1879" t="str">
        <f t="shared" si="32"/>
        <v>CINTAS CORPORATION #087</v>
      </c>
    </row>
    <row r="1880" spans="1:9" x14ac:dyDescent="0.25">
      <c r="E1880" s="7"/>
      <c r="F1880" t="s">
        <v>20</v>
      </c>
      <c r="G1880" t="s">
        <v>21</v>
      </c>
      <c r="H1880" t="str">
        <f>"087716738"</f>
        <v>087716738</v>
      </c>
      <c r="I1880" t="str">
        <f t="shared" si="32"/>
        <v>CINTAS CORPORATION #087</v>
      </c>
    </row>
    <row r="1881" spans="1:9" x14ac:dyDescent="0.25">
      <c r="E1881" s="7"/>
      <c r="F1881" t="s">
        <v>20</v>
      </c>
      <c r="G1881" t="s">
        <v>21</v>
      </c>
      <c r="H1881" t="str">
        <f>"087721002"</f>
        <v>087721002</v>
      </c>
      <c r="I1881" t="str">
        <f t="shared" si="32"/>
        <v>CINTAS CORPORATION #087</v>
      </c>
    </row>
    <row r="1882" spans="1:9" x14ac:dyDescent="0.25">
      <c r="E1882" s="7"/>
      <c r="F1882" t="s">
        <v>20</v>
      </c>
      <c r="G1882" t="s">
        <v>21</v>
      </c>
      <c r="H1882" t="str">
        <f>"087725263"</f>
        <v>087725263</v>
      </c>
      <c r="I1882" t="str">
        <f t="shared" si="32"/>
        <v>CINTAS CORPORATION #087</v>
      </c>
    </row>
    <row r="1883" spans="1:9" x14ac:dyDescent="0.25">
      <c r="E1883" s="7"/>
      <c r="F1883" t="s">
        <v>20</v>
      </c>
      <c r="G1883" t="s">
        <v>21</v>
      </c>
      <c r="H1883" t="str">
        <f>"087734364"</f>
        <v>087734364</v>
      </c>
      <c r="I1883" t="str">
        <f t="shared" si="32"/>
        <v>CINTAS CORPORATION #087</v>
      </c>
    </row>
    <row r="1884" spans="1:9" x14ac:dyDescent="0.25">
      <c r="E1884" s="7"/>
      <c r="F1884" t="s">
        <v>20</v>
      </c>
      <c r="G1884" t="s">
        <v>21</v>
      </c>
      <c r="H1884" t="str">
        <f>"087739309"</f>
        <v>087739309</v>
      </c>
      <c r="I1884" t="str">
        <f t="shared" si="32"/>
        <v>CINTAS CORPORATION #087</v>
      </c>
    </row>
    <row r="1885" spans="1:9" x14ac:dyDescent="0.25">
      <c r="E1885" s="7"/>
      <c r="F1885" t="s">
        <v>20</v>
      </c>
      <c r="G1885" t="s">
        <v>21</v>
      </c>
      <c r="H1885" t="str">
        <f>"087739310"</f>
        <v>087739310</v>
      </c>
      <c r="I1885" t="str">
        <f t="shared" si="32"/>
        <v>CINTAS CORPORATION #087</v>
      </c>
    </row>
    <row r="1886" spans="1:9" x14ac:dyDescent="0.25">
      <c r="E1886" s="7"/>
      <c r="F1886" t="s">
        <v>20</v>
      </c>
      <c r="G1886" t="s">
        <v>21</v>
      </c>
      <c r="H1886" t="str">
        <f>"087744364"</f>
        <v>087744364</v>
      </c>
      <c r="I1886" t="str">
        <f t="shared" si="32"/>
        <v>CINTAS CORPORATION #087</v>
      </c>
    </row>
    <row r="1887" spans="1:9" x14ac:dyDescent="0.25">
      <c r="E1887" s="7"/>
      <c r="F1887" t="s">
        <v>20</v>
      </c>
      <c r="G1887" t="s">
        <v>21</v>
      </c>
      <c r="H1887" t="str">
        <f>"087749586"</f>
        <v>087749586</v>
      </c>
      <c r="I1887" t="str">
        <f t="shared" si="32"/>
        <v>CINTAS CORPORATION #087</v>
      </c>
    </row>
    <row r="1888" spans="1:9" x14ac:dyDescent="0.25">
      <c r="E1888" s="7"/>
      <c r="F1888" t="s">
        <v>20</v>
      </c>
      <c r="G1888" t="s">
        <v>21</v>
      </c>
      <c r="H1888" t="str">
        <f>"087758703"</f>
        <v>087758703</v>
      </c>
      <c r="I1888" t="str">
        <f t="shared" si="32"/>
        <v>CINTAS CORPORATION #087</v>
      </c>
    </row>
    <row r="1889" spans="5:9" x14ac:dyDescent="0.25">
      <c r="E1889" s="7"/>
      <c r="F1889" t="s">
        <v>20</v>
      </c>
      <c r="G1889" t="s">
        <v>21</v>
      </c>
      <c r="H1889" t="str">
        <f>"087758706"</f>
        <v>087758706</v>
      </c>
      <c r="I1889" t="str">
        <f t="shared" si="32"/>
        <v>CINTAS CORPORATION #087</v>
      </c>
    </row>
    <row r="1890" spans="5:9" x14ac:dyDescent="0.25">
      <c r="E1890" s="7"/>
      <c r="F1890" t="s">
        <v>20</v>
      </c>
      <c r="G1890" t="s">
        <v>21</v>
      </c>
      <c r="H1890" t="str">
        <f>"087764569"</f>
        <v>087764569</v>
      </c>
      <c r="I1890" t="str">
        <f t="shared" si="32"/>
        <v>CINTAS CORPORATION #087</v>
      </c>
    </row>
    <row r="1891" spans="5:9" x14ac:dyDescent="0.25">
      <c r="E1891" s="7"/>
      <c r="F1891" t="s">
        <v>20</v>
      </c>
      <c r="G1891" t="s">
        <v>21</v>
      </c>
      <c r="H1891" t="str">
        <f>"087771628"</f>
        <v>087771628</v>
      </c>
      <c r="I1891" t="str">
        <f t="shared" si="32"/>
        <v>CINTAS CORPORATION #087</v>
      </c>
    </row>
    <row r="1892" spans="5:9" x14ac:dyDescent="0.25">
      <c r="E1892" s="7"/>
      <c r="F1892" t="s">
        <v>20</v>
      </c>
      <c r="G1892" t="s">
        <v>21</v>
      </c>
      <c r="H1892" t="str">
        <f>"087775850"</f>
        <v>087775850</v>
      </c>
      <c r="I1892" t="str">
        <f t="shared" si="32"/>
        <v>CINTAS CORPORATION #087</v>
      </c>
    </row>
    <row r="1893" spans="5:9" x14ac:dyDescent="0.25">
      <c r="E1893" s="7"/>
      <c r="F1893" t="s">
        <v>20</v>
      </c>
      <c r="G1893" t="s">
        <v>21</v>
      </c>
      <c r="H1893" t="str">
        <f>"087784260"</f>
        <v>087784260</v>
      </c>
      <c r="I1893" t="str">
        <f t="shared" si="32"/>
        <v>CINTAS CORPORATION #087</v>
      </c>
    </row>
    <row r="1894" spans="5:9" x14ac:dyDescent="0.25">
      <c r="E1894" s="7"/>
      <c r="F1894" t="s">
        <v>20</v>
      </c>
      <c r="G1894" t="s">
        <v>21</v>
      </c>
      <c r="H1894" t="str">
        <f>"087789827"</f>
        <v>087789827</v>
      </c>
      <c r="I1894" t="str">
        <f t="shared" si="32"/>
        <v>CINTAS CORPORATION #087</v>
      </c>
    </row>
    <row r="1895" spans="5:9" x14ac:dyDescent="0.25">
      <c r="E1895" s="7"/>
      <c r="F1895" t="s">
        <v>20</v>
      </c>
      <c r="G1895" t="s">
        <v>21</v>
      </c>
      <c r="H1895" t="str">
        <f>"087792591"</f>
        <v>087792591</v>
      </c>
      <c r="I1895" t="str">
        <f t="shared" si="32"/>
        <v>CINTAS CORPORATION #087</v>
      </c>
    </row>
    <row r="1896" spans="5:9" x14ac:dyDescent="0.25">
      <c r="E1896" s="7"/>
      <c r="F1896" t="s">
        <v>20</v>
      </c>
      <c r="G1896" t="s">
        <v>21</v>
      </c>
      <c r="H1896" t="str">
        <f>"087794123"</f>
        <v>087794123</v>
      </c>
      <c r="I1896" t="str">
        <f t="shared" si="32"/>
        <v>CINTAS CORPORATION #087</v>
      </c>
    </row>
    <row r="1897" spans="5:9" x14ac:dyDescent="0.25">
      <c r="E1897" s="7"/>
      <c r="F1897" t="s">
        <v>20</v>
      </c>
      <c r="G1897" t="s">
        <v>21</v>
      </c>
      <c r="H1897" t="str">
        <f>"087798668"</f>
        <v>087798668</v>
      </c>
      <c r="I1897" t="str">
        <f t="shared" si="32"/>
        <v>CINTAS CORPORATION #087</v>
      </c>
    </row>
    <row r="1898" spans="5:9" x14ac:dyDescent="0.25">
      <c r="E1898" s="7"/>
      <c r="F1898" t="s">
        <v>20</v>
      </c>
      <c r="G1898" t="s">
        <v>21</v>
      </c>
      <c r="H1898" t="str">
        <f>"087801699"</f>
        <v>087801699</v>
      </c>
      <c r="I1898" t="str">
        <f t="shared" si="32"/>
        <v>CINTAS CORPORATION #087</v>
      </c>
    </row>
    <row r="1899" spans="5:9" x14ac:dyDescent="0.25">
      <c r="E1899" s="7"/>
      <c r="F1899" t="s">
        <v>20</v>
      </c>
      <c r="G1899" t="s">
        <v>21</v>
      </c>
      <c r="H1899" t="str">
        <f>"087803250"</f>
        <v>087803250</v>
      </c>
      <c r="I1899" t="str">
        <f t="shared" si="32"/>
        <v>CINTAS CORPORATION #087</v>
      </c>
    </row>
    <row r="1900" spans="5:9" x14ac:dyDescent="0.25">
      <c r="E1900" s="7"/>
      <c r="F1900" t="s">
        <v>20</v>
      </c>
      <c r="G1900" t="s">
        <v>21</v>
      </c>
      <c r="H1900" t="str">
        <f>"087806286"</f>
        <v>087806286</v>
      </c>
      <c r="I1900" t="str">
        <f t="shared" si="32"/>
        <v>CINTAS CORPORATION #087</v>
      </c>
    </row>
    <row r="1901" spans="5:9" x14ac:dyDescent="0.25">
      <c r="E1901" s="7"/>
      <c r="F1901" t="s">
        <v>20</v>
      </c>
      <c r="G1901" t="s">
        <v>21</v>
      </c>
      <c r="H1901" t="str">
        <f>"087807836"</f>
        <v>087807836</v>
      </c>
      <c r="I1901" t="str">
        <f t="shared" si="32"/>
        <v>CINTAS CORPORATION #087</v>
      </c>
    </row>
    <row r="1902" spans="5:9" x14ac:dyDescent="0.25">
      <c r="E1902" s="7"/>
      <c r="F1902" t="s">
        <v>20</v>
      </c>
      <c r="G1902" t="s">
        <v>21</v>
      </c>
      <c r="H1902" t="str">
        <f>"087810841"</f>
        <v>087810841</v>
      </c>
      <c r="I1902" t="str">
        <f t="shared" si="32"/>
        <v>CINTAS CORPORATION #087</v>
      </c>
    </row>
    <row r="1903" spans="5:9" x14ac:dyDescent="0.25">
      <c r="E1903" s="7"/>
      <c r="F1903" t="s">
        <v>20</v>
      </c>
      <c r="G1903" t="s">
        <v>21</v>
      </c>
      <c r="H1903" t="str">
        <f>"087810844"</f>
        <v>087810844</v>
      </c>
      <c r="I1903" t="str">
        <f t="shared" si="32"/>
        <v>CINTAS CORPORATION #087</v>
      </c>
    </row>
    <row r="1904" spans="5:9" x14ac:dyDescent="0.25">
      <c r="E1904" s="7"/>
      <c r="F1904" t="s">
        <v>20</v>
      </c>
      <c r="G1904" t="s">
        <v>21</v>
      </c>
      <c r="H1904" t="str">
        <f>"087812392"</f>
        <v>087812392</v>
      </c>
      <c r="I1904" t="str">
        <f t="shared" si="32"/>
        <v>CINTAS CORPORATION #087</v>
      </c>
    </row>
    <row r="1905" spans="1:9" x14ac:dyDescent="0.25">
      <c r="E1905" s="7"/>
      <c r="F1905" t="s">
        <v>20</v>
      </c>
      <c r="G1905" t="s">
        <v>21</v>
      </c>
      <c r="H1905" t="str">
        <f>"087815223"</f>
        <v>087815223</v>
      </c>
      <c r="I1905" t="str">
        <f t="shared" si="32"/>
        <v>CINTAS CORPORATION #087</v>
      </c>
    </row>
    <row r="1906" spans="1:9" x14ac:dyDescent="0.25">
      <c r="E1906" s="7"/>
      <c r="F1906" t="s">
        <v>20</v>
      </c>
      <c r="G1906" t="s">
        <v>21</v>
      </c>
      <c r="H1906" t="str">
        <f>"087816679"</f>
        <v>087816679</v>
      </c>
      <c r="I1906" t="str">
        <f t="shared" si="32"/>
        <v>CINTAS CORPORATION #087</v>
      </c>
    </row>
    <row r="1907" spans="1:9" x14ac:dyDescent="0.25">
      <c r="E1907" s="7"/>
      <c r="F1907" t="s">
        <v>20</v>
      </c>
      <c r="G1907" t="s">
        <v>21</v>
      </c>
      <c r="H1907" t="str">
        <f>"087819535"</f>
        <v>087819535</v>
      </c>
      <c r="I1907" t="str">
        <f t="shared" si="32"/>
        <v>CINTAS CORPORATION #087</v>
      </c>
    </row>
    <row r="1908" spans="1:9" x14ac:dyDescent="0.25">
      <c r="E1908" s="7"/>
      <c r="F1908" t="s">
        <v>20</v>
      </c>
      <c r="G1908" t="s">
        <v>21</v>
      </c>
      <c r="H1908" t="str">
        <f>"087819538"</f>
        <v>087819538</v>
      </c>
      <c r="I1908" t="str">
        <f t="shared" si="32"/>
        <v>CINTAS CORPORATION #087</v>
      </c>
    </row>
    <row r="1909" spans="1:9" x14ac:dyDescent="0.25">
      <c r="E1909" s="7"/>
      <c r="F1909" t="s">
        <v>20</v>
      </c>
      <c r="G1909" t="s">
        <v>21</v>
      </c>
      <c r="H1909" t="str">
        <f>"087820967"</f>
        <v>087820967</v>
      </c>
      <c r="I1909" t="str">
        <f t="shared" si="32"/>
        <v>CINTAS CORPORATION #087</v>
      </c>
    </row>
    <row r="1910" spans="1:9" x14ac:dyDescent="0.25">
      <c r="E1910" s="7"/>
      <c r="F1910" t="s">
        <v>20</v>
      </c>
      <c r="G1910" t="s">
        <v>21</v>
      </c>
      <c r="H1910" t="str">
        <f>"87755778"</f>
        <v>87755778</v>
      </c>
      <c r="I1910" t="str">
        <f t="shared" si="32"/>
        <v>CINTAS CORPORATION #087</v>
      </c>
    </row>
    <row r="1911" spans="1:9" x14ac:dyDescent="0.25">
      <c r="E1911" s="7"/>
      <c r="F1911" t="s">
        <v>20</v>
      </c>
      <c r="G1911" t="s">
        <v>21</v>
      </c>
      <c r="H1911" t="str">
        <f>"87767378"</f>
        <v>87767378</v>
      </c>
      <c r="I1911" t="str">
        <f t="shared" si="32"/>
        <v>CINTAS CORPORATION #087</v>
      </c>
    </row>
    <row r="1912" spans="1:9" x14ac:dyDescent="0.25">
      <c r="A1912" s="6">
        <v>43129</v>
      </c>
      <c r="B1912" t="s">
        <v>26</v>
      </c>
      <c r="C1912">
        <v>56692</v>
      </c>
      <c r="D1912" t="s">
        <v>170</v>
      </c>
      <c r="E1912" s="7">
        <v>2308</v>
      </c>
      <c r="F1912" t="s">
        <v>20</v>
      </c>
      <c r="G1912" t="s">
        <v>21</v>
      </c>
      <c r="H1912" t="str">
        <f>"29083"</f>
        <v>29083</v>
      </c>
      <c r="I1912" t="str">
        <f>"BARRETT &amp; SONS  INC."</f>
        <v>BARRETT &amp; SONS  INC.</v>
      </c>
    </row>
    <row r="1913" spans="1:9" x14ac:dyDescent="0.25">
      <c r="A1913" s="6">
        <v>43129</v>
      </c>
      <c r="B1913" t="s">
        <v>26</v>
      </c>
      <c r="C1913">
        <v>56693</v>
      </c>
      <c r="D1913" t="s">
        <v>123</v>
      </c>
      <c r="E1913" s="7">
        <v>149.97999999999999</v>
      </c>
      <c r="F1913" t="s">
        <v>20</v>
      </c>
      <c r="G1913" t="s">
        <v>21</v>
      </c>
      <c r="H1913" t="str">
        <f>"*980922623001"</f>
        <v>*980922623001</v>
      </c>
      <c r="I1913" t="str">
        <f>"OFFICE DEPOT  INC."</f>
        <v>OFFICE DEPOT  INC.</v>
      </c>
    </row>
    <row r="1914" spans="1:9" x14ac:dyDescent="0.25">
      <c r="A1914" s="6">
        <v>43129</v>
      </c>
      <c r="B1914" t="s">
        <v>26</v>
      </c>
      <c r="C1914">
        <v>56694</v>
      </c>
      <c r="D1914" t="s">
        <v>77</v>
      </c>
      <c r="E1914" s="7">
        <v>1627.2</v>
      </c>
      <c r="F1914" t="s">
        <v>20</v>
      </c>
      <c r="G1914" t="s">
        <v>21</v>
      </c>
      <c r="H1914" t="str">
        <f>"857002371-17"</f>
        <v>857002371-17</v>
      </c>
      <c r="I1914" t="str">
        <f>"DPC INDUSTRIES  INC."</f>
        <v>DPC INDUSTRIES  INC.</v>
      </c>
    </row>
    <row r="1915" spans="1:9" x14ac:dyDescent="0.25">
      <c r="E1915" s="7"/>
      <c r="F1915" t="s">
        <v>20</v>
      </c>
      <c r="G1915" t="s">
        <v>21</v>
      </c>
      <c r="H1915" t="str">
        <f>"DE85002798-17"</f>
        <v>DE85002798-17</v>
      </c>
      <c r="I1915" t="str">
        <f>"DPC INDUSTRIES  INC."</f>
        <v>DPC INDUSTRIES  INC.</v>
      </c>
    </row>
    <row r="1916" spans="1:9" x14ac:dyDescent="0.25">
      <c r="E1916" s="7"/>
      <c r="F1916" t="s">
        <v>20</v>
      </c>
      <c r="G1916" t="s">
        <v>21</v>
      </c>
      <c r="H1916" t="str">
        <f>"DE85003036-17"</f>
        <v>DE85003036-17</v>
      </c>
      <c r="I1916" t="str">
        <f>"DPC INDUSTRIES  INC."</f>
        <v>DPC INDUSTRIES  INC.</v>
      </c>
    </row>
    <row r="1917" spans="1:9" x14ac:dyDescent="0.25">
      <c r="A1917" s="6">
        <v>43129</v>
      </c>
      <c r="B1917" t="s">
        <v>26</v>
      </c>
      <c r="C1917">
        <v>56695</v>
      </c>
      <c r="D1917" t="s">
        <v>207</v>
      </c>
      <c r="E1917" s="7">
        <v>90</v>
      </c>
      <c r="F1917" t="s">
        <v>20</v>
      </c>
      <c r="G1917" t="s">
        <v>21</v>
      </c>
      <c r="H1917" t="str">
        <f>"4744"</f>
        <v>4744</v>
      </c>
      <c r="I1917" t="str">
        <f>"MAD DESIGNS"</f>
        <v>MAD DESIGNS</v>
      </c>
    </row>
    <row r="1918" spans="1:9" x14ac:dyDescent="0.25">
      <c r="A1918" s="6">
        <v>43129</v>
      </c>
      <c r="B1918" t="s">
        <v>26</v>
      </c>
      <c r="C1918">
        <v>56696</v>
      </c>
      <c r="D1918" t="s">
        <v>236</v>
      </c>
      <c r="E1918" s="7">
        <v>256.63</v>
      </c>
      <c r="F1918" t="s">
        <v>20</v>
      </c>
      <c r="G1918" t="s">
        <v>21</v>
      </c>
      <c r="H1918" t="str">
        <f>"71271588"</f>
        <v>71271588</v>
      </c>
      <c r="I1918" t="str">
        <f>"TIFCO INDUSTRIES  INC."</f>
        <v>TIFCO INDUSTRIES  INC.</v>
      </c>
    </row>
    <row r="1919" spans="1:9" x14ac:dyDescent="0.25">
      <c r="A1919" s="6">
        <v>43129</v>
      </c>
      <c r="B1919" t="s">
        <v>26</v>
      </c>
      <c r="C1919">
        <v>56697</v>
      </c>
      <c r="D1919" t="s">
        <v>131</v>
      </c>
      <c r="E1919" s="7">
        <v>418.95</v>
      </c>
      <c r="F1919" t="s">
        <v>20</v>
      </c>
      <c r="G1919" t="s">
        <v>21</v>
      </c>
      <c r="H1919" t="str">
        <f>"025569*"</f>
        <v>025569*</v>
      </c>
      <c r="I1919" t="str">
        <f>"R &amp; S TEXAS PARTS CO"</f>
        <v>R &amp; S TEXAS PARTS CO</v>
      </c>
    </row>
    <row r="1920" spans="1:9" x14ac:dyDescent="0.25">
      <c r="A1920" s="6">
        <v>43129</v>
      </c>
      <c r="B1920" t="s">
        <v>26</v>
      </c>
      <c r="C1920">
        <v>56698</v>
      </c>
      <c r="D1920" t="s">
        <v>84</v>
      </c>
      <c r="E1920" s="7">
        <v>13960</v>
      </c>
      <c r="F1920" t="s">
        <v>20</v>
      </c>
      <c r="G1920" t="s">
        <v>21</v>
      </c>
      <c r="H1920" t="str">
        <f>"1298818"</f>
        <v>1298818</v>
      </c>
      <c r="I1920" t="str">
        <f>"STANTEC CONSULTING SERVICES IN"</f>
        <v>STANTEC CONSULTING SERVICES IN</v>
      </c>
    </row>
    <row r="1921" spans="1:9" x14ac:dyDescent="0.25">
      <c r="A1921" s="6">
        <v>43129</v>
      </c>
      <c r="B1921" t="s">
        <v>26</v>
      </c>
      <c r="C1921">
        <v>56699</v>
      </c>
      <c r="D1921" t="s">
        <v>266</v>
      </c>
      <c r="E1921" s="7">
        <v>96800</v>
      </c>
      <c r="F1921" t="s">
        <v>20</v>
      </c>
      <c r="G1921" t="s">
        <v>21</v>
      </c>
      <c r="H1921" t="str">
        <f>"REF#FLOR615GOR"</f>
        <v>REF#FLOR615GOR</v>
      </c>
      <c r="I1921" t="s">
        <v>267</v>
      </c>
    </row>
    <row r="1922" spans="1:9" x14ac:dyDescent="0.25">
      <c r="A1922" s="6">
        <v>43129</v>
      </c>
      <c r="B1922" t="s">
        <v>26</v>
      </c>
      <c r="C1922">
        <v>56700</v>
      </c>
      <c r="D1922" t="s">
        <v>176</v>
      </c>
      <c r="E1922" s="7">
        <v>405650.26</v>
      </c>
      <c r="F1922" t="s">
        <v>20</v>
      </c>
      <c r="G1922" t="s">
        <v>21</v>
      </c>
      <c r="H1922" t="str">
        <f>"PAY APP#13"</f>
        <v>PAY APP#13</v>
      </c>
      <c r="I1922" t="str">
        <f>"PEPPER-LAWSON WATERWORKS"</f>
        <v>PEPPER-LAWSON WATERWORKS</v>
      </c>
    </row>
    <row r="1923" spans="1:9" x14ac:dyDescent="0.25">
      <c r="A1923" s="6">
        <v>43129</v>
      </c>
      <c r="B1923" t="s">
        <v>26</v>
      </c>
      <c r="C1923">
        <v>56701</v>
      </c>
      <c r="D1923" t="s">
        <v>237</v>
      </c>
      <c r="E1923" s="7">
        <v>4200</v>
      </c>
      <c r="F1923" t="s">
        <v>20</v>
      </c>
      <c r="G1923" t="s">
        <v>21</v>
      </c>
      <c r="H1923" t="str">
        <f>"150989588-001"</f>
        <v>150989588-001</v>
      </c>
      <c r="I1923" t="str">
        <f>"UNITED RENTALS (NORTH AMERICA)"</f>
        <v>UNITED RENTALS (NORTH AMERICA)</v>
      </c>
    </row>
    <row r="1924" spans="1:9" x14ac:dyDescent="0.25">
      <c r="A1924" s="6">
        <v>43129</v>
      </c>
      <c r="B1924" t="s">
        <v>26</v>
      </c>
      <c r="C1924">
        <v>56702</v>
      </c>
      <c r="D1924" t="s">
        <v>55</v>
      </c>
      <c r="E1924" s="7">
        <v>7725</v>
      </c>
      <c r="F1924" t="s">
        <v>20</v>
      </c>
      <c r="G1924" t="s">
        <v>21</v>
      </c>
      <c r="H1924" t="str">
        <f>"1086"</f>
        <v>1086</v>
      </c>
      <c r="I1924" t="str">
        <f>"LEVEL 4 CONSULTING"</f>
        <v>LEVEL 4 CONSULTING</v>
      </c>
    </row>
    <row r="1925" spans="1:9" x14ac:dyDescent="0.25">
      <c r="E1925" s="7"/>
      <c r="F1925" t="s">
        <v>20</v>
      </c>
      <c r="G1925" t="s">
        <v>21</v>
      </c>
      <c r="H1925" t="str">
        <f>"1087 (50%)"</f>
        <v>1087 (50%)</v>
      </c>
      <c r="I1925" t="str">
        <f>"LEVEL 4 CONSULTING"</f>
        <v>LEVEL 4 CONSULTING</v>
      </c>
    </row>
    <row r="1926" spans="1:9" x14ac:dyDescent="0.25">
      <c r="A1926" s="6">
        <v>43129</v>
      </c>
      <c r="B1926" t="s">
        <v>26</v>
      </c>
      <c r="C1926">
        <v>56703</v>
      </c>
      <c r="D1926" t="s">
        <v>268</v>
      </c>
      <c r="E1926" s="7">
        <v>4428.75</v>
      </c>
      <c r="F1926" t="s">
        <v>20</v>
      </c>
      <c r="G1926" t="s">
        <v>21</v>
      </c>
      <c r="H1926" t="str">
        <f>"26205003"</f>
        <v>26205003</v>
      </c>
      <c r="I1926" t="str">
        <f>"LIGHT TOWER RENTALS LLC"</f>
        <v>LIGHT TOWER RENTALS LLC</v>
      </c>
    </row>
    <row r="1927" spans="1:9" x14ac:dyDescent="0.25">
      <c r="A1927" s="6">
        <v>43129</v>
      </c>
      <c r="B1927" t="s">
        <v>26</v>
      </c>
      <c r="C1927">
        <v>56704</v>
      </c>
      <c r="D1927" t="s">
        <v>269</v>
      </c>
      <c r="E1927" s="7">
        <v>5000</v>
      </c>
      <c r="F1927" t="s">
        <v>20</v>
      </c>
      <c r="G1927" t="s">
        <v>21</v>
      </c>
      <c r="H1927" t="str">
        <f>"STHGES 2018"</f>
        <v>STHGES 2018</v>
      </c>
      <c r="I1927" t="str">
        <f>"AG EDUCATION FUND"</f>
        <v>AG EDUCATION FUND</v>
      </c>
    </row>
    <row r="1928" spans="1:9" x14ac:dyDescent="0.25">
      <c r="A1928" s="6">
        <v>43131</v>
      </c>
      <c r="B1928" t="s">
        <v>26</v>
      </c>
      <c r="C1928">
        <v>56711</v>
      </c>
      <c r="D1928" t="s">
        <v>51</v>
      </c>
      <c r="E1928" s="7">
        <v>327.84</v>
      </c>
      <c r="F1928" t="s">
        <v>20</v>
      </c>
      <c r="G1928" t="s">
        <v>21</v>
      </c>
      <c r="H1928" t="str">
        <f>"CLE201801318246"</f>
        <v>CLE201801318246</v>
      </c>
      <c r="I1928" t="str">
        <f>"CLEAT ONLY DUES"</f>
        <v>CLEAT ONLY DUES</v>
      </c>
    </row>
    <row r="1929" spans="1:9" x14ac:dyDescent="0.25">
      <c r="E1929" s="7"/>
      <c r="F1929" t="s">
        <v>20</v>
      </c>
      <c r="G1929" t="s">
        <v>21</v>
      </c>
      <c r="H1929" t="str">
        <f>"PDD201801318246"</f>
        <v>PDD201801318246</v>
      </c>
      <c r="I1929" t="str">
        <f>"POLICE OFFICERS ASSOC DUES"</f>
        <v>POLICE OFFICERS ASSOC DUES</v>
      </c>
    </row>
    <row r="1930" spans="1:9" x14ac:dyDescent="0.25">
      <c r="A1930" s="6">
        <v>43131</v>
      </c>
      <c r="B1930" t="s">
        <v>26</v>
      </c>
      <c r="C1930">
        <v>56712</v>
      </c>
      <c r="D1930" t="s">
        <v>90</v>
      </c>
      <c r="E1930" s="7">
        <v>114.96</v>
      </c>
      <c r="F1930" t="s">
        <v>20</v>
      </c>
      <c r="G1930" t="s">
        <v>21</v>
      </c>
      <c r="H1930" t="str">
        <f>"AFS201801318246"</f>
        <v>AFS201801318246</v>
      </c>
      <c r="I1930" t="str">
        <f>"AFLAC STD"</f>
        <v>AFLAC STD</v>
      </c>
    </row>
    <row r="1931" spans="1:9" x14ac:dyDescent="0.25">
      <c r="A1931" s="6">
        <v>43131</v>
      </c>
      <c r="B1931" t="s">
        <v>26</v>
      </c>
      <c r="C1931">
        <v>56713</v>
      </c>
      <c r="D1931" t="s">
        <v>52</v>
      </c>
      <c r="E1931" s="7">
        <v>1495.38</v>
      </c>
      <c r="F1931" t="s">
        <v>20</v>
      </c>
      <c r="G1931" t="s">
        <v>21</v>
      </c>
      <c r="H1931" t="str">
        <f>"CPS201801318246"</f>
        <v>CPS201801318246</v>
      </c>
      <c r="I1931" t="str">
        <f>"G MENDOZA 00123012032010EM5054"</f>
        <v>G MENDOZA 00123012032010EM5054</v>
      </c>
    </row>
    <row r="1932" spans="1:9" x14ac:dyDescent="0.25">
      <c r="E1932" s="7"/>
      <c r="F1932" t="s">
        <v>20</v>
      </c>
      <c r="G1932" t="s">
        <v>21</v>
      </c>
      <c r="H1932" t="str">
        <f>"CS 201801318246"</f>
        <v>CS 201801318246</v>
      </c>
      <c r="I1932" t="str">
        <f>"CAUSE#98EM504113 PEGGY RIVAS"</f>
        <v>CAUSE#98EM504113 PEGGY RIVAS</v>
      </c>
    </row>
    <row r="1933" spans="1:9" x14ac:dyDescent="0.25">
      <c r="E1933" s="7"/>
      <c r="F1933" t="s">
        <v>20</v>
      </c>
      <c r="G1933" t="s">
        <v>21</v>
      </c>
      <c r="H1933" t="str">
        <f>"CS1201801318246"</f>
        <v>CS1201801318246</v>
      </c>
      <c r="I1933" t="str">
        <f>"CAUSE# 10008CVW DEBRA ESQUEDA"</f>
        <v>CAUSE# 10008CVW DEBRA ESQUEDA</v>
      </c>
    </row>
    <row r="1934" spans="1:9" x14ac:dyDescent="0.25">
      <c r="E1934" s="7"/>
      <c r="F1934" t="s">
        <v>20</v>
      </c>
      <c r="G1934" t="s">
        <v>21</v>
      </c>
      <c r="H1934" t="str">
        <f>"CSJ201801318246"</f>
        <v>CSJ201801318246</v>
      </c>
      <c r="I1934" t="str">
        <f>"CAUSE# 0010185272 MARIANN GUTI"</f>
        <v>CAUSE# 0010185272 MARIANN GUTI</v>
      </c>
    </row>
    <row r="1935" spans="1:9" x14ac:dyDescent="0.25">
      <c r="E1935" s="7"/>
      <c r="F1935" t="s">
        <v>20</v>
      </c>
      <c r="G1935" t="s">
        <v>21</v>
      </c>
      <c r="H1935" t="str">
        <f>"CST201801318246"</f>
        <v>CST201801318246</v>
      </c>
      <c r="I1935" t="str">
        <f>"CAUSE #0009418917 SONIA PEREZ"</f>
        <v>CAUSE #0009418917 SONIA PEREZ</v>
      </c>
    </row>
    <row r="1936" spans="1:9" x14ac:dyDescent="0.25">
      <c r="A1936" s="6">
        <v>43131</v>
      </c>
      <c r="B1936" t="s">
        <v>26</v>
      </c>
      <c r="C1936">
        <v>56714</v>
      </c>
      <c r="D1936" t="s">
        <v>53</v>
      </c>
      <c r="E1936" s="7">
        <v>99.1</v>
      </c>
      <c r="F1936" t="s">
        <v>20</v>
      </c>
      <c r="G1936" t="s">
        <v>21</v>
      </c>
      <c r="H1936" t="str">
        <f>"MCO201801318246"</f>
        <v>MCO201801318246</v>
      </c>
      <c r="I1936" t="str">
        <f>"MONICA CORDOVA"</f>
        <v>MONICA CORDOVA</v>
      </c>
    </row>
    <row r="1937" spans="1:9" x14ac:dyDescent="0.25">
      <c r="A1937" s="6">
        <v>43131</v>
      </c>
      <c r="B1937" t="s">
        <v>26</v>
      </c>
      <c r="C1937">
        <v>56715</v>
      </c>
      <c r="D1937" t="s">
        <v>54</v>
      </c>
      <c r="E1937" s="7">
        <v>845.48</v>
      </c>
      <c r="F1937" t="s">
        <v>20</v>
      </c>
      <c r="G1937" t="s">
        <v>21</v>
      </c>
      <c r="H1937" t="str">
        <f>"457201801318246"</f>
        <v>457201801318246</v>
      </c>
      <c r="I1937" t="str">
        <f>"CASE # 180-60751 457B DEDUCT"</f>
        <v>CASE # 180-60751 457B DEDUCT</v>
      </c>
    </row>
    <row r="1938" spans="1:9" x14ac:dyDescent="0.25">
      <c r="A1938" s="6">
        <v>43132</v>
      </c>
      <c r="B1938" t="s">
        <v>26</v>
      </c>
      <c r="C1938">
        <v>56717</v>
      </c>
      <c r="D1938" t="s">
        <v>270</v>
      </c>
      <c r="E1938" s="7">
        <v>123.94</v>
      </c>
      <c r="F1938" t="s">
        <v>20</v>
      </c>
      <c r="G1938" t="s">
        <v>21</v>
      </c>
      <c r="H1938" t="str">
        <f>"000201712078185"</f>
        <v>000201712078185</v>
      </c>
      <c r="I1938" t="str">
        <f>"US REFUND"</f>
        <v>US REFUND</v>
      </c>
    </row>
    <row r="1939" spans="1:9" x14ac:dyDescent="0.25">
      <c r="A1939" s="6">
        <v>43132</v>
      </c>
      <c r="B1939" t="s">
        <v>26</v>
      </c>
      <c r="C1939">
        <v>56718</v>
      </c>
      <c r="D1939" t="s">
        <v>271</v>
      </c>
      <c r="E1939" s="7">
        <v>160.41999999999999</v>
      </c>
      <c r="F1939" t="s">
        <v>20</v>
      </c>
      <c r="G1939" t="s">
        <v>21</v>
      </c>
      <c r="H1939" t="str">
        <f>"000201801298245"</f>
        <v>000201801298245</v>
      </c>
      <c r="I1939" t="str">
        <f>"US REFUND"</f>
        <v>US REFUND</v>
      </c>
    </row>
    <row r="1940" spans="1:9" x14ac:dyDescent="0.25">
      <c r="A1940" s="6">
        <v>43132</v>
      </c>
      <c r="B1940" t="s">
        <v>26</v>
      </c>
      <c r="C1940">
        <v>56719</v>
      </c>
      <c r="D1940" t="s">
        <v>59</v>
      </c>
      <c r="E1940" s="7">
        <v>3906.86</v>
      </c>
      <c r="F1940" t="s">
        <v>20</v>
      </c>
      <c r="G1940" t="s">
        <v>21</v>
      </c>
      <c r="H1940" t="str">
        <f>"0913385-1"</f>
        <v>0913385-1</v>
      </c>
      <c r="I1940" t="str">
        <f>"FERGUSON WATERWORKS - MUNICIPA"</f>
        <v>FERGUSON WATERWORKS - MUNICIPA</v>
      </c>
    </row>
    <row r="1941" spans="1:9" x14ac:dyDescent="0.25">
      <c r="E1941" s="7"/>
      <c r="F1941" t="s">
        <v>20</v>
      </c>
      <c r="G1941" t="s">
        <v>21</v>
      </c>
      <c r="H1941" t="str">
        <f>"0926252-1"</f>
        <v>0926252-1</v>
      </c>
      <c r="I1941" t="str">
        <f>"FERGUSON WATERWORKS - MUNICIPA"</f>
        <v>FERGUSON WATERWORKS - MUNICIPA</v>
      </c>
    </row>
    <row r="1942" spans="1:9" x14ac:dyDescent="0.25">
      <c r="E1942" s="7"/>
      <c r="F1942" t="s">
        <v>20</v>
      </c>
      <c r="G1942" t="s">
        <v>21</v>
      </c>
      <c r="H1942" t="str">
        <f>"0929238"</f>
        <v>0929238</v>
      </c>
      <c r="I1942" t="str">
        <f>"FERGUSON WATERWORKS - MUNICIPA"</f>
        <v>FERGUSON WATERWORKS - MUNICIPA</v>
      </c>
    </row>
    <row r="1943" spans="1:9" x14ac:dyDescent="0.25">
      <c r="A1943" s="6">
        <v>43132</v>
      </c>
      <c r="B1943" t="s">
        <v>26</v>
      </c>
      <c r="C1943">
        <v>56720</v>
      </c>
      <c r="D1943" t="s">
        <v>105</v>
      </c>
      <c r="E1943" s="7">
        <v>42</v>
      </c>
      <c r="F1943" t="s">
        <v>20</v>
      </c>
      <c r="G1943" t="s">
        <v>21</v>
      </c>
      <c r="H1943" t="str">
        <f>"278470"</f>
        <v>278470</v>
      </c>
      <c r="I1943" t="str">
        <f t="shared" ref="I1943:I1948" si="33">"LUBE WORKS"</f>
        <v>LUBE WORKS</v>
      </c>
    </row>
    <row r="1944" spans="1:9" x14ac:dyDescent="0.25">
      <c r="E1944" s="7"/>
      <c r="F1944" t="s">
        <v>20</v>
      </c>
      <c r="G1944" t="s">
        <v>21</v>
      </c>
      <c r="H1944" t="str">
        <f>"278514"</f>
        <v>278514</v>
      </c>
      <c r="I1944" t="str">
        <f t="shared" si="33"/>
        <v>LUBE WORKS</v>
      </c>
    </row>
    <row r="1945" spans="1:9" x14ac:dyDescent="0.25">
      <c r="E1945" s="7"/>
      <c r="F1945" t="s">
        <v>20</v>
      </c>
      <c r="G1945" t="s">
        <v>21</v>
      </c>
      <c r="H1945" t="str">
        <f>"278522"</f>
        <v>278522</v>
      </c>
      <c r="I1945" t="str">
        <f t="shared" si="33"/>
        <v>LUBE WORKS</v>
      </c>
    </row>
    <row r="1946" spans="1:9" x14ac:dyDescent="0.25">
      <c r="E1946" s="7"/>
      <c r="F1946" t="s">
        <v>20</v>
      </c>
      <c r="G1946" t="s">
        <v>21</v>
      </c>
      <c r="H1946" t="str">
        <f>"278523"</f>
        <v>278523</v>
      </c>
      <c r="I1946" t="str">
        <f t="shared" si="33"/>
        <v>LUBE WORKS</v>
      </c>
    </row>
    <row r="1947" spans="1:9" x14ac:dyDescent="0.25">
      <c r="E1947" s="7"/>
      <c r="F1947" t="s">
        <v>20</v>
      </c>
      <c r="G1947" t="s">
        <v>21</v>
      </c>
      <c r="H1947" t="str">
        <f>"278634"</f>
        <v>278634</v>
      </c>
      <c r="I1947" t="str">
        <f t="shared" si="33"/>
        <v>LUBE WORKS</v>
      </c>
    </row>
    <row r="1948" spans="1:9" x14ac:dyDescent="0.25">
      <c r="E1948" s="7"/>
      <c r="F1948" t="s">
        <v>20</v>
      </c>
      <c r="G1948" t="s">
        <v>21</v>
      </c>
      <c r="H1948" t="str">
        <f>"279145"</f>
        <v>279145</v>
      </c>
      <c r="I1948" t="str">
        <f t="shared" si="33"/>
        <v>LUBE WORKS</v>
      </c>
    </row>
    <row r="1949" spans="1:9" x14ac:dyDescent="0.25">
      <c r="A1949" s="6">
        <v>43132</v>
      </c>
      <c r="B1949" t="s">
        <v>26</v>
      </c>
      <c r="C1949">
        <v>56721</v>
      </c>
      <c r="D1949" t="s">
        <v>60</v>
      </c>
      <c r="E1949" s="7">
        <v>643.25</v>
      </c>
      <c r="F1949" t="s">
        <v>20</v>
      </c>
      <c r="G1949" t="s">
        <v>21</v>
      </c>
      <c r="H1949" t="str">
        <f>"8111201104"</f>
        <v>8111201104</v>
      </c>
      <c r="I1949" t="str">
        <f>"COCA-COLA ENTERPRISES"</f>
        <v>COCA-COLA ENTERPRISES</v>
      </c>
    </row>
    <row r="1950" spans="1:9" x14ac:dyDescent="0.25">
      <c r="A1950" s="6">
        <v>43132</v>
      </c>
      <c r="B1950" t="s">
        <v>26</v>
      </c>
      <c r="C1950">
        <v>56722</v>
      </c>
      <c r="D1950" t="s">
        <v>272</v>
      </c>
      <c r="E1950" s="7">
        <v>1147.05</v>
      </c>
      <c r="F1950" t="s">
        <v>20</v>
      </c>
      <c r="G1950" t="s">
        <v>21</v>
      </c>
      <c r="H1950" t="str">
        <f>"10396996"</f>
        <v>10396996</v>
      </c>
      <c r="I1950" t="str">
        <f>"ROMCO EQUIPMENT CO."</f>
        <v>ROMCO EQUIPMENT CO.</v>
      </c>
    </row>
    <row r="1951" spans="1:9" x14ac:dyDescent="0.25">
      <c r="A1951" s="6">
        <v>43132</v>
      </c>
      <c r="B1951" t="s">
        <v>26</v>
      </c>
      <c r="C1951">
        <v>56723</v>
      </c>
      <c r="D1951" t="s">
        <v>179</v>
      </c>
      <c r="E1951" s="7">
        <v>534.77</v>
      </c>
      <c r="F1951" t="s">
        <v>20</v>
      </c>
      <c r="G1951" t="s">
        <v>21</v>
      </c>
      <c r="H1951" t="str">
        <f>"51317F"</f>
        <v>51317F</v>
      </c>
      <c r="I1951" t="str">
        <f>"ANCIRA FORD-MERCURY"</f>
        <v>ANCIRA FORD-MERCURY</v>
      </c>
    </row>
    <row r="1952" spans="1:9" x14ac:dyDescent="0.25">
      <c r="A1952" s="6">
        <v>43132</v>
      </c>
      <c r="B1952" t="s">
        <v>26</v>
      </c>
      <c r="C1952">
        <v>56724</v>
      </c>
      <c r="D1952" t="s">
        <v>273</v>
      </c>
      <c r="E1952" s="7">
        <v>3343.32</v>
      </c>
      <c r="F1952" t="s">
        <v>20</v>
      </c>
      <c r="G1952" t="s">
        <v>21</v>
      </c>
      <c r="H1952" t="str">
        <f>"5119-000081766"</f>
        <v>5119-000081766</v>
      </c>
      <c r="I1952" t="str">
        <f>"REPUBLIC SERVICES TESSMAN ROAD"</f>
        <v>REPUBLIC SERVICES TESSMAN ROAD</v>
      </c>
    </row>
    <row r="1953" spans="1:9" x14ac:dyDescent="0.25">
      <c r="A1953" s="6">
        <v>43132</v>
      </c>
      <c r="B1953" t="s">
        <v>26</v>
      </c>
      <c r="C1953">
        <v>56725</v>
      </c>
      <c r="D1953" t="s">
        <v>180</v>
      </c>
      <c r="E1953" s="7">
        <v>118.42</v>
      </c>
      <c r="F1953" t="s">
        <v>20</v>
      </c>
      <c r="G1953" t="s">
        <v>21</v>
      </c>
      <c r="H1953" t="str">
        <f>"30119648"</f>
        <v>30119648</v>
      </c>
      <c r="I1953" t="str">
        <f>"DITTMAR LUMBER CO."</f>
        <v>DITTMAR LUMBER CO.</v>
      </c>
    </row>
    <row r="1954" spans="1:9" x14ac:dyDescent="0.25">
      <c r="E1954" s="7"/>
      <c r="F1954" t="s">
        <v>20</v>
      </c>
      <c r="G1954" t="s">
        <v>21</v>
      </c>
      <c r="H1954" t="str">
        <f>"30119694"</f>
        <v>30119694</v>
      </c>
      <c r="I1954" t="str">
        <f>"DITTMAR LUMBER CO."</f>
        <v>DITTMAR LUMBER CO.</v>
      </c>
    </row>
    <row r="1955" spans="1:9" x14ac:dyDescent="0.25">
      <c r="A1955" s="6">
        <v>43132</v>
      </c>
      <c r="B1955" t="s">
        <v>26</v>
      </c>
      <c r="C1955">
        <v>56726</v>
      </c>
      <c r="D1955" t="s">
        <v>61</v>
      </c>
      <c r="E1955" s="7">
        <v>203</v>
      </c>
      <c r="F1955" t="s">
        <v>20</v>
      </c>
      <c r="G1955" t="s">
        <v>21</v>
      </c>
      <c r="H1955" t="str">
        <f>"025-212231"</f>
        <v>025-212231</v>
      </c>
      <c r="I1955" t="str">
        <f>"TYLER TECHNOLOGIES  INC."</f>
        <v>TYLER TECHNOLOGIES  INC.</v>
      </c>
    </row>
    <row r="1956" spans="1:9" x14ac:dyDescent="0.25">
      <c r="A1956" s="6">
        <v>43132</v>
      </c>
      <c r="B1956" t="s">
        <v>26</v>
      </c>
      <c r="C1956">
        <v>56727</v>
      </c>
      <c r="D1956" t="s">
        <v>68</v>
      </c>
      <c r="E1956" s="7">
        <v>400</v>
      </c>
      <c r="F1956" t="s">
        <v>20</v>
      </c>
      <c r="G1956" t="s">
        <v>21</v>
      </c>
      <c r="H1956" t="str">
        <f>"0404400-IN"</f>
        <v>0404400-IN</v>
      </c>
      <c r="I1956" t="str">
        <f>"SOUTHWASTE DISPOSAL  LLP"</f>
        <v>SOUTHWASTE DISPOSAL  LLP</v>
      </c>
    </row>
    <row r="1957" spans="1:9" x14ac:dyDescent="0.25">
      <c r="A1957" s="6">
        <v>43132</v>
      </c>
      <c r="B1957" t="s">
        <v>26</v>
      </c>
      <c r="C1957">
        <v>56728</v>
      </c>
      <c r="D1957" t="s">
        <v>214</v>
      </c>
      <c r="E1957" s="7">
        <v>160.33000000000001</v>
      </c>
      <c r="F1957" t="s">
        <v>20</v>
      </c>
      <c r="G1957" t="s">
        <v>21</v>
      </c>
      <c r="H1957" t="str">
        <f>"0012602-IN"</f>
        <v>0012602-IN</v>
      </c>
      <c r="I1957" t="str">
        <f>"DIXIE FLAG MANUFACTURING COMPA"</f>
        <v>DIXIE FLAG MANUFACTURING COMPA</v>
      </c>
    </row>
    <row r="1958" spans="1:9" x14ac:dyDescent="0.25">
      <c r="A1958" s="6">
        <v>43132</v>
      </c>
      <c r="B1958" t="s">
        <v>26</v>
      </c>
      <c r="C1958">
        <v>56729</v>
      </c>
      <c r="D1958" t="s">
        <v>274</v>
      </c>
      <c r="E1958" s="7">
        <v>23250</v>
      </c>
      <c r="F1958" t="s">
        <v>20</v>
      </c>
      <c r="G1958" t="s">
        <v>21</v>
      </c>
      <c r="H1958" t="str">
        <f>"201802018249"</f>
        <v>201802018249</v>
      </c>
      <c r="I1958" t="str">
        <f>"C.E. LITTLEFIELD AUTO SALES"</f>
        <v>C.E. LITTLEFIELD AUTO SALES</v>
      </c>
    </row>
    <row r="1959" spans="1:9" x14ac:dyDescent="0.25">
      <c r="A1959" s="6">
        <v>43132</v>
      </c>
      <c r="B1959" t="s">
        <v>26</v>
      </c>
      <c r="C1959">
        <v>56730</v>
      </c>
      <c r="D1959" t="s">
        <v>146</v>
      </c>
      <c r="E1959" s="7">
        <v>837.5</v>
      </c>
      <c r="F1959" t="s">
        <v>20</v>
      </c>
      <c r="G1959" t="s">
        <v>21</v>
      </c>
      <c r="H1959" t="str">
        <f>"250437"</f>
        <v>250437</v>
      </c>
      <c r="I1959" t="str">
        <f>"LARRY SRALLA ELECTRIC"</f>
        <v>LARRY SRALLA ELECTRIC</v>
      </c>
    </row>
    <row r="1960" spans="1:9" x14ac:dyDescent="0.25">
      <c r="A1960" s="6">
        <v>43132</v>
      </c>
      <c r="B1960" t="s">
        <v>26</v>
      </c>
      <c r="C1960">
        <v>56731</v>
      </c>
      <c r="D1960" t="s">
        <v>29</v>
      </c>
      <c r="E1960" s="7">
        <v>6455</v>
      </c>
      <c r="F1960" t="s">
        <v>20</v>
      </c>
      <c r="G1960" t="s">
        <v>21</v>
      </c>
      <c r="H1960" t="str">
        <f>"29883"</f>
        <v>29883</v>
      </c>
      <c r="I1960" t="str">
        <f>"M &amp; S ENGINEERING  LLC"</f>
        <v>M &amp; S ENGINEERING  LLC</v>
      </c>
    </row>
    <row r="1961" spans="1:9" x14ac:dyDescent="0.25">
      <c r="A1961" s="6">
        <v>43132</v>
      </c>
      <c r="B1961" t="s">
        <v>26</v>
      </c>
      <c r="C1961">
        <v>56732</v>
      </c>
      <c r="D1961" t="s">
        <v>122</v>
      </c>
      <c r="E1961" s="7">
        <v>20</v>
      </c>
      <c r="F1961" t="s">
        <v>20</v>
      </c>
      <c r="G1961" t="s">
        <v>21</v>
      </c>
      <c r="H1961" t="str">
        <f>"0850997"</f>
        <v>0850997</v>
      </c>
      <c r="I1961" t="str">
        <f>"VILLA TIRES"</f>
        <v>VILLA TIRES</v>
      </c>
    </row>
    <row r="1962" spans="1:9" x14ac:dyDescent="0.25">
      <c r="A1962" s="6">
        <v>43132</v>
      </c>
      <c r="B1962" t="s">
        <v>26</v>
      </c>
      <c r="C1962">
        <v>56733</v>
      </c>
      <c r="D1962" t="s">
        <v>74</v>
      </c>
      <c r="E1962" s="7">
        <v>55.3</v>
      </c>
      <c r="F1962" t="s">
        <v>20</v>
      </c>
      <c r="G1962" t="s">
        <v>21</v>
      </c>
      <c r="H1962" t="str">
        <f>"9799466854"</f>
        <v>9799466854</v>
      </c>
      <c r="I1962" t="str">
        <f>"VERIZON WIRELESS"</f>
        <v>VERIZON WIRELESS</v>
      </c>
    </row>
    <row r="1963" spans="1:9" x14ac:dyDescent="0.25">
      <c r="A1963" s="6">
        <v>43132</v>
      </c>
      <c r="B1963" t="s">
        <v>26</v>
      </c>
      <c r="C1963">
        <v>56734</v>
      </c>
      <c r="D1963" t="s">
        <v>123</v>
      </c>
      <c r="E1963" s="7">
        <v>497.93</v>
      </c>
      <c r="F1963" t="s">
        <v>20</v>
      </c>
      <c r="G1963" t="s">
        <v>21</v>
      </c>
      <c r="H1963" t="str">
        <f>"99558599001"</f>
        <v>99558599001</v>
      </c>
      <c r="I1963" t="str">
        <f>"OFFICE DEPOT  INC."</f>
        <v>OFFICE DEPOT  INC.</v>
      </c>
    </row>
    <row r="1964" spans="1:9" x14ac:dyDescent="0.25">
      <c r="E1964" s="7"/>
      <c r="F1964" t="s">
        <v>20</v>
      </c>
      <c r="G1964" t="s">
        <v>21</v>
      </c>
      <c r="H1964" t="str">
        <f>"995586542001"</f>
        <v>995586542001</v>
      </c>
      <c r="I1964" t="str">
        <f>"OFFICE DEPOT  INC."</f>
        <v>OFFICE DEPOT  INC.</v>
      </c>
    </row>
    <row r="1965" spans="1:9" x14ac:dyDescent="0.25">
      <c r="E1965" s="7"/>
      <c r="F1965" t="s">
        <v>20</v>
      </c>
      <c r="G1965" t="s">
        <v>21</v>
      </c>
      <c r="H1965" t="str">
        <f>"996731162001"</f>
        <v>996731162001</v>
      </c>
      <c r="I1965" t="str">
        <f>"OFFICE DEPOT  INC."</f>
        <v>OFFICE DEPOT  INC.</v>
      </c>
    </row>
    <row r="1966" spans="1:9" x14ac:dyDescent="0.25">
      <c r="A1966" s="6">
        <v>43132</v>
      </c>
      <c r="B1966" t="s">
        <v>26</v>
      </c>
      <c r="C1966">
        <v>56735</v>
      </c>
      <c r="D1966" t="s">
        <v>236</v>
      </c>
      <c r="E1966" s="7">
        <v>1509.8</v>
      </c>
      <c r="F1966" t="s">
        <v>20</v>
      </c>
      <c r="G1966" t="s">
        <v>21</v>
      </c>
      <c r="H1966" t="str">
        <f>"71323197"</f>
        <v>71323197</v>
      </c>
      <c r="I1966" t="str">
        <f>"TIFCO INDUSTRIES  INC."</f>
        <v>TIFCO INDUSTRIES  INC.</v>
      </c>
    </row>
    <row r="1967" spans="1:9" x14ac:dyDescent="0.25">
      <c r="A1967" s="6">
        <v>43132</v>
      </c>
      <c r="B1967" t="s">
        <v>26</v>
      </c>
      <c r="C1967">
        <v>56736</v>
      </c>
      <c r="D1967" t="s">
        <v>32</v>
      </c>
      <c r="E1967" s="7">
        <v>140</v>
      </c>
      <c r="F1967" t="s">
        <v>20</v>
      </c>
      <c r="G1967" t="s">
        <v>21</v>
      </c>
      <c r="H1967" t="str">
        <f>"1.27.18"</f>
        <v>1.27.18</v>
      </c>
      <c r="I1967" t="str">
        <f>"SHARON KERRIGAN"</f>
        <v>SHARON KERRIGAN</v>
      </c>
    </row>
    <row r="1968" spans="1:9" x14ac:dyDescent="0.25">
      <c r="A1968" s="6">
        <v>43132</v>
      </c>
      <c r="B1968" t="s">
        <v>26</v>
      </c>
      <c r="C1968">
        <v>56737</v>
      </c>
      <c r="D1968" t="s">
        <v>33</v>
      </c>
      <c r="E1968" s="7">
        <v>140</v>
      </c>
      <c r="F1968" t="s">
        <v>20</v>
      </c>
      <c r="G1968" t="s">
        <v>21</v>
      </c>
      <c r="H1968" t="str">
        <f>"1.27.2018"</f>
        <v>1.27.2018</v>
      </c>
      <c r="I1968" t="str">
        <f>"DEBORAH KORCZYK"</f>
        <v>DEBORAH KORCZYK</v>
      </c>
    </row>
    <row r="1969" spans="1:9" x14ac:dyDescent="0.25">
      <c r="A1969" s="6">
        <v>43132</v>
      </c>
      <c r="B1969" t="s">
        <v>26</v>
      </c>
      <c r="C1969">
        <v>56738</v>
      </c>
      <c r="D1969" t="s">
        <v>130</v>
      </c>
      <c r="E1969" s="7">
        <v>909.6</v>
      </c>
      <c r="F1969" t="s">
        <v>20</v>
      </c>
      <c r="G1969" t="s">
        <v>21</v>
      </c>
      <c r="H1969" t="str">
        <f>"INV535174"</f>
        <v>INV535174</v>
      </c>
      <c r="I1969" t="str">
        <f>"DOCUMATION"</f>
        <v>DOCUMATION</v>
      </c>
    </row>
    <row r="1970" spans="1:9" x14ac:dyDescent="0.25">
      <c r="A1970" s="6">
        <v>43132</v>
      </c>
      <c r="B1970" t="s">
        <v>26</v>
      </c>
      <c r="C1970">
        <v>56739</v>
      </c>
      <c r="D1970" t="s">
        <v>84</v>
      </c>
      <c r="E1970" s="7">
        <v>4225.5</v>
      </c>
      <c r="F1970" t="s">
        <v>20</v>
      </c>
      <c r="G1970" t="s">
        <v>21</v>
      </c>
      <c r="H1970" t="str">
        <f>"1310576"</f>
        <v>1310576</v>
      </c>
      <c r="I1970" t="str">
        <f>"STANTEC CONSULTING SERVICES IN"</f>
        <v>STANTEC CONSULTING SERVICES IN</v>
      </c>
    </row>
    <row r="1971" spans="1:9" x14ac:dyDescent="0.25">
      <c r="A1971" s="6">
        <v>43132</v>
      </c>
      <c r="B1971" t="s">
        <v>26</v>
      </c>
      <c r="C1971">
        <v>56740</v>
      </c>
      <c r="D1971" t="s">
        <v>275</v>
      </c>
      <c r="E1971" s="7">
        <v>860</v>
      </c>
      <c r="F1971" t="s">
        <v>20</v>
      </c>
      <c r="G1971" t="s">
        <v>21</v>
      </c>
      <c r="H1971" t="str">
        <f>"201802018248"</f>
        <v>201802018248</v>
      </c>
      <c r="I1971" t="str">
        <f>"CORTEZ LIQUID WASTE SERVICES"</f>
        <v>CORTEZ LIQUID WASTE SERVICES</v>
      </c>
    </row>
    <row r="1972" spans="1:9" x14ac:dyDescent="0.25">
      <c r="A1972" s="6">
        <v>43132</v>
      </c>
      <c r="B1972" t="s">
        <v>26</v>
      </c>
      <c r="C1972">
        <v>56741</v>
      </c>
      <c r="D1972" t="s">
        <v>237</v>
      </c>
      <c r="E1972" s="7">
        <v>2410.96</v>
      </c>
      <c r="F1972" t="s">
        <v>20</v>
      </c>
      <c r="G1972" t="s">
        <v>21</v>
      </c>
      <c r="H1972" t="str">
        <f>"152435940-001"</f>
        <v>152435940-001</v>
      </c>
      <c r="I1972" t="str">
        <f>"UNITED RENTALS (NORTH AMERICA)"</f>
        <v>UNITED RENTALS (NORTH AMERICA)</v>
      </c>
    </row>
    <row r="1973" spans="1:9" x14ac:dyDescent="0.25">
      <c r="A1973" s="6">
        <v>43132</v>
      </c>
      <c r="B1973" t="s">
        <v>26</v>
      </c>
      <c r="C1973">
        <v>56742</v>
      </c>
      <c r="D1973" t="s">
        <v>208</v>
      </c>
      <c r="E1973" s="7">
        <v>12000</v>
      </c>
      <c r="F1973" t="s">
        <v>20</v>
      </c>
      <c r="G1973" t="s">
        <v>21</v>
      </c>
      <c r="H1973" t="str">
        <f>"426052"</f>
        <v>426052</v>
      </c>
      <c r="I1973" t="str">
        <f>"CARLOS ORTIZ"</f>
        <v>CARLOS ORTIZ</v>
      </c>
    </row>
    <row r="1974" spans="1:9" x14ac:dyDescent="0.25">
      <c r="A1974" s="6">
        <v>43132</v>
      </c>
      <c r="B1974" t="s">
        <v>26</v>
      </c>
      <c r="C1974">
        <v>56743</v>
      </c>
      <c r="D1974" t="s">
        <v>276</v>
      </c>
      <c r="E1974" s="7">
        <v>54070.6</v>
      </c>
      <c r="F1974" t="s">
        <v>20</v>
      </c>
      <c r="G1974" t="s">
        <v>21</v>
      </c>
      <c r="H1974" t="str">
        <f>"17GB103111*"</f>
        <v>17GB103111*</v>
      </c>
      <c r="I1974" t="str">
        <f>"DAILEY-WELLS COMMUNICATIONS"</f>
        <v>DAILEY-WELLS COMMUNICATIONS</v>
      </c>
    </row>
    <row r="1975" spans="1:9" x14ac:dyDescent="0.25">
      <c r="A1975" s="6">
        <v>43132</v>
      </c>
      <c r="B1975" t="s">
        <v>26</v>
      </c>
      <c r="C1975">
        <v>56744</v>
      </c>
      <c r="D1975" t="s">
        <v>277</v>
      </c>
      <c r="E1975" s="7">
        <v>2250</v>
      </c>
      <c r="F1975" t="s">
        <v>20</v>
      </c>
      <c r="G1975" t="s">
        <v>21</v>
      </c>
      <c r="H1975" t="str">
        <f>"ST. PATTY EVENT"</f>
        <v>ST. PATTY EVENT</v>
      </c>
      <c r="I1975" t="str">
        <f>"HOWL USA LLC"</f>
        <v>HOWL USA LLC</v>
      </c>
    </row>
    <row r="1976" spans="1:9" x14ac:dyDescent="0.25">
      <c r="A1976" s="6">
        <v>43139</v>
      </c>
      <c r="B1976" t="s">
        <v>26</v>
      </c>
      <c r="C1976">
        <v>56745</v>
      </c>
      <c r="D1976" t="s">
        <v>57</v>
      </c>
      <c r="E1976" s="7">
        <v>24426.76</v>
      </c>
      <c r="F1976" t="s">
        <v>20</v>
      </c>
      <c r="G1976" t="s">
        <v>21</v>
      </c>
      <c r="H1976" t="str">
        <f>"1.17.18"</f>
        <v>1.17.18</v>
      </c>
      <c r="I1976" t="str">
        <f>"F.E.L.P.S."</f>
        <v>F.E.L.P.S.</v>
      </c>
    </row>
    <row r="1977" spans="1:9" x14ac:dyDescent="0.25">
      <c r="A1977" s="6">
        <v>43139</v>
      </c>
      <c r="B1977" t="s">
        <v>26</v>
      </c>
      <c r="C1977">
        <v>56746</v>
      </c>
      <c r="D1977" t="s">
        <v>201</v>
      </c>
      <c r="E1977" s="7">
        <v>427.81</v>
      </c>
      <c r="F1977" t="s">
        <v>20</v>
      </c>
      <c r="G1977" t="s">
        <v>21</v>
      </c>
      <c r="H1977" t="str">
        <f>"141966"</f>
        <v>141966</v>
      </c>
      <c r="I1977" t="str">
        <f t="shared" ref="I1977:I1983" si="34">"WILSON COUNTY HARDWARE"</f>
        <v>WILSON COUNTY HARDWARE</v>
      </c>
    </row>
    <row r="1978" spans="1:9" x14ac:dyDescent="0.25">
      <c r="E1978" s="7"/>
      <c r="F1978" t="s">
        <v>20</v>
      </c>
      <c r="G1978" t="s">
        <v>21</v>
      </c>
      <c r="H1978" t="str">
        <f>"141967"</f>
        <v>141967</v>
      </c>
      <c r="I1978" t="str">
        <f t="shared" si="34"/>
        <v>WILSON COUNTY HARDWARE</v>
      </c>
    </row>
    <row r="1979" spans="1:9" x14ac:dyDescent="0.25">
      <c r="E1979" s="7"/>
      <c r="F1979" t="s">
        <v>20</v>
      </c>
      <c r="G1979" t="s">
        <v>21</v>
      </c>
      <c r="H1979" t="str">
        <f>"141968"</f>
        <v>141968</v>
      </c>
      <c r="I1979" t="str">
        <f t="shared" si="34"/>
        <v>WILSON COUNTY HARDWARE</v>
      </c>
    </row>
    <row r="1980" spans="1:9" x14ac:dyDescent="0.25">
      <c r="E1980" s="7"/>
      <c r="F1980" t="s">
        <v>20</v>
      </c>
      <c r="G1980" t="s">
        <v>21</v>
      </c>
      <c r="H1980" t="str">
        <f>"141975"</f>
        <v>141975</v>
      </c>
      <c r="I1980" t="str">
        <f t="shared" si="34"/>
        <v>WILSON COUNTY HARDWARE</v>
      </c>
    </row>
    <row r="1981" spans="1:9" x14ac:dyDescent="0.25">
      <c r="E1981" s="7"/>
      <c r="F1981" t="s">
        <v>20</v>
      </c>
      <c r="G1981" t="s">
        <v>21</v>
      </c>
      <c r="H1981" t="str">
        <f>"141976"</f>
        <v>141976</v>
      </c>
      <c r="I1981" t="str">
        <f t="shared" si="34"/>
        <v>WILSON COUNTY HARDWARE</v>
      </c>
    </row>
    <row r="1982" spans="1:9" x14ac:dyDescent="0.25">
      <c r="E1982" s="7"/>
      <c r="F1982" t="s">
        <v>20</v>
      </c>
      <c r="G1982" t="s">
        <v>21</v>
      </c>
      <c r="H1982" t="str">
        <f>"141978"</f>
        <v>141978</v>
      </c>
      <c r="I1982" t="str">
        <f t="shared" si="34"/>
        <v>WILSON COUNTY HARDWARE</v>
      </c>
    </row>
    <row r="1983" spans="1:9" x14ac:dyDescent="0.25">
      <c r="E1983" s="7"/>
      <c r="F1983" t="s">
        <v>20</v>
      </c>
      <c r="G1983" t="s">
        <v>21</v>
      </c>
      <c r="H1983" t="str">
        <f>"141981"</f>
        <v>141981</v>
      </c>
      <c r="I1983" t="str">
        <f t="shared" si="34"/>
        <v>WILSON COUNTY HARDWARE</v>
      </c>
    </row>
    <row r="1984" spans="1:9" x14ac:dyDescent="0.25">
      <c r="A1984" s="6">
        <v>43139</v>
      </c>
      <c r="B1984" t="s">
        <v>26</v>
      </c>
      <c r="C1984">
        <v>56748</v>
      </c>
      <c r="D1984" t="s">
        <v>104</v>
      </c>
      <c r="E1984" s="7">
        <v>98.34</v>
      </c>
      <c r="F1984" t="s">
        <v>20</v>
      </c>
      <c r="G1984" t="s">
        <v>21</v>
      </c>
      <c r="H1984" t="str">
        <f>"1304970103"</f>
        <v>1304970103</v>
      </c>
      <c r="I1984" t="str">
        <f>"WILSON COUNTY NEWS"</f>
        <v>WILSON COUNTY NEWS</v>
      </c>
    </row>
    <row r="1985" spans="1:9" x14ac:dyDescent="0.25">
      <c r="E1985" s="7"/>
      <c r="F1985" t="s">
        <v>20</v>
      </c>
      <c r="G1985" t="s">
        <v>21</v>
      </c>
      <c r="H1985" t="str">
        <f>"1304970110"</f>
        <v>1304970110</v>
      </c>
      <c r="I1985" t="str">
        <f>"WILSON COUNTY NEWS"</f>
        <v>WILSON COUNTY NEWS</v>
      </c>
    </row>
    <row r="1986" spans="1:9" x14ac:dyDescent="0.25">
      <c r="E1986" s="7"/>
      <c r="F1986" t="s">
        <v>20</v>
      </c>
      <c r="G1986" t="s">
        <v>21</v>
      </c>
      <c r="H1986" t="str">
        <f>"1305760117"</f>
        <v>1305760117</v>
      </c>
      <c r="I1986" t="str">
        <f>"WILSON COUNTY NEWS"</f>
        <v>WILSON COUNTY NEWS</v>
      </c>
    </row>
    <row r="1987" spans="1:9" x14ac:dyDescent="0.25">
      <c r="E1987" s="7"/>
      <c r="F1987" t="s">
        <v>20</v>
      </c>
      <c r="G1987" t="s">
        <v>21</v>
      </c>
      <c r="H1987" t="str">
        <f>"1305770117"</f>
        <v>1305770117</v>
      </c>
      <c r="I1987" t="str">
        <f>"WILSON COUNTY NEWS"</f>
        <v>WILSON COUNTY NEWS</v>
      </c>
    </row>
    <row r="1988" spans="1:9" x14ac:dyDescent="0.25">
      <c r="A1988" s="6">
        <v>43139</v>
      </c>
      <c r="B1988" t="s">
        <v>26</v>
      </c>
      <c r="C1988">
        <v>56749</v>
      </c>
      <c r="D1988" t="s">
        <v>59</v>
      </c>
      <c r="E1988" s="7">
        <v>1383.77</v>
      </c>
      <c r="F1988" t="s">
        <v>20</v>
      </c>
      <c r="G1988" t="s">
        <v>21</v>
      </c>
      <c r="H1988" t="str">
        <f>"0931123"</f>
        <v>0931123</v>
      </c>
      <c r="I1988" t="str">
        <f>"FERGUSON WATERWORKS - MUNICIPA"</f>
        <v>FERGUSON WATERWORKS - MUNICIPA</v>
      </c>
    </row>
    <row r="1989" spans="1:9" x14ac:dyDescent="0.25">
      <c r="A1989" s="6">
        <v>43139</v>
      </c>
      <c r="B1989" t="s">
        <v>26</v>
      </c>
      <c r="C1989">
        <v>56750</v>
      </c>
      <c r="D1989" t="s">
        <v>278</v>
      </c>
      <c r="E1989" s="7">
        <v>330</v>
      </c>
      <c r="F1989" t="s">
        <v>20</v>
      </c>
      <c r="G1989" t="s">
        <v>21</v>
      </c>
      <c r="H1989" t="str">
        <f>"FLO003112717"</f>
        <v>FLO003112717</v>
      </c>
      <c r="I1989" t="str">
        <f>"THE PRODUCTIVITY CENTER"</f>
        <v>THE PRODUCTIVITY CENTER</v>
      </c>
    </row>
    <row r="1990" spans="1:9" x14ac:dyDescent="0.25">
      <c r="A1990" s="6">
        <v>43139</v>
      </c>
      <c r="B1990" t="s">
        <v>26</v>
      </c>
      <c r="C1990">
        <v>56751</v>
      </c>
      <c r="D1990" t="s">
        <v>106</v>
      </c>
      <c r="E1990" s="7">
        <v>66</v>
      </c>
      <c r="F1990" t="s">
        <v>20</v>
      </c>
      <c r="G1990" t="s">
        <v>21</v>
      </c>
      <c r="H1990" t="str">
        <f>"417-101247"</f>
        <v>417-101247</v>
      </c>
      <c r="I1990" t="str">
        <f>"OMNIBASE SERVICES OF TEXAS"</f>
        <v>OMNIBASE SERVICES OF TEXAS</v>
      </c>
    </row>
    <row r="1991" spans="1:9" x14ac:dyDescent="0.25">
      <c r="A1991" s="6">
        <v>43139</v>
      </c>
      <c r="B1991" t="s">
        <v>26</v>
      </c>
      <c r="C1991">
        <v>56752</v>
      </c>
      <c r="D1991" t="s">
        <v>250</v>
      </c>
      <c r="E1991" s="7">
        <v>271.98</v>
      </c>
      <c r="F1991" t="s">
        <v>20</v>
      </c>
      <c r="G1991" t="s">
        <v>21</v>
      </c>
      <c r="H1991" t="str">
        <f>"C107469"</f>
        <v>C107469</v>
      </c>
      <c r="I1991" t="str">
        <f>"MATERA PAPER CO  LTD."</f>
        <v>MATERA PAPER CO  LTD.</v>
      </c>
    </row>
    <row r="1992" spans="1:9" x14ac:dyDescent="0.25">
      <c r="A1992" s="6">
        <v>43139</v>
      </c>
      <c r="B1992" t="s">
        <v>26</v>
      </c>
      <c r="C1992">
        <v>56753</v>
      </c>
      <c r="D1992" t="s">
        <v>202</v>
      </c>
      <c r="E1992" s="7">
        <v>1479.26</v>
      </c>
      <c r="F1992" t="s">
        <v>20</v>
      </c>
      <c r="G1992" t="s">
        <v>21</v>
      </c>
      <c r="H1992" t="str">
        <f>"61685026"</f>
        <v>61685026</v>
      </c>
      <c r="I1992" t="str">
        <f>"VULCAN CONSTRUCTION MATERIALS"</f>
        <v>VULCAN CONSTRUCTION MATERIALS</v>
      </c>
    </row>
    <row r="1993" spans="1:9" x14ac:dyDescent="0.25">
      <c r="E1993" s="7"/>
      <c r="F1993" t="s">
        <v>20</v>
      </c>
      <c r="G1993" t="s">
        <v>21</v>
      </c>
      <c r="H1993" t="str">
        <f>"61685027"</f>
        <v>61685027</v>
      </c>
      <c r="I1993" t="str">
        <f>"VULCAN CONSTRUCTION MATERIALS"</f>
        <v>VULCAN CONSTRUCTION MATERIALS</v>
      </c>
    </row>
    <row r="1994" spans="1:9" x14ac:dyDescent="0.25">
      <c r="A1994" s="6">
        <v>43139</v>
      </c>
      <c r="B1994" t="s">
        <v>26</v>
      </c>
      <c r="C1994">
        <v>56754</v>
      </c>
      <c r="D1994" t="s">
        <v>181</v>
      </c>
      <c r="E1994" s="7">
        <v>41.98</v>
      </c>
      <c r="F1994" t="s">
        <v>20</v>
      </c>
      <c r="G1994" t="s">
        <v>21</v>
      </c>
      <c r="H1994" t="str">
        <f>"201802088250"</f>
        <v>201802088250</v>
      </c>
      <c r="I1994" t="str">
        <f>"AT&amp;T"</f>
        <v>AT&amp;T</v>
      </c>
    </row>
    <row r="1995" spans="1:9" x14ac:dyDescent="0.25">
      <c r="A1995" s="6">
        <v>43139</v>
      </c>
      <c r="B1995" t="s">
        <v>26</v>
      </c>
      <c r="C1995">
        <v>56755</v>
      </c>
      <c r="D1995" t="s">
        <v>61</v>
      </c>
      <c r="E1995" s="7">
        <v>2500</v>
      </c>
      <c r="F1995" t="s">
        <v>20</v>
      </c>
      <c r="G1995" t="s">
        <v>21</v>
      </c>
      <c r="H1995" t="str">
        <f>"025-213365"</f>
        <v>025-213365</v>
      </c>
      <c r="I1995" t="str">
        <f>"TYLER TECHNOLOGIES  INC."</f>
        <v>TYLER TECHNOLOGIES  INC.</v>
      </c>
    </row>
    <row r="1996" spans="1:9" x14ac:dyDescent="0.25">
      <c r="A1996" s="6">
        <v>43139</v>
      </c>
      <c r="B1996" t="s">
        <v>26</v>
      </c>
      <c r="C1996">
        <v>56756</v>
      </c>
      <c r="D1996" t="s">
        <v>0</v>
      </c>
      <c r="E1996" s="7">
        <v>2670.98</v>
      </c>
      <c r="F1996" t="s">
        <v>20</v>
      </c>
      <c r="G1996" t="s">
        <v>21</v>
      </c>
      <c r="H1996" t="str">
        <f>"12.10.17-1.10.18"</f>
        <v>12.10.17-1.10.18</v>
      </c>
      <c r="I1996" t="str">
        <f>"CITY OF FLORESVILLE"</f>
        <v>CITY OF FLORESVILLE</v>
      </c>
    </row>
    <row r="1997" spans="1:9" x14ac:dyDescent="0.25">
      <c r="A1997" s="6">
        <v>43139</v>
      </c>
      <c r="B1997" t="s">
        <v>26</v>
      </c>
      <c r="C1997">
        <v>56757</v>
      </c>
      <c r="D1997" t="s">
        <v>62</v>
      </c>
      <c r="E1997" s="7">
        <v>186</v>
      </c>
      <c r="F1997" t="s">
        <v>20</v>
      </c>
      <c r="G1997" t="s">
        <v>21</v>
      </c>
      <c r="H1997" t="str">
        <f>"57728"</f>
        <v>57728</v>
      </c>
      <c r="I1997" t="str">
        <f>"SBS ADMINISTRATIVE SERVICES  L"</f>
        <v>SBS ADMINISTRATIVE SERVICES  L</v>
      </c>
    </row>
    <row r="1998" spans="1:9" x14ac:dyDescent="0.25">
      <c r="A1998" s="6">
        <v>43139</v>
      </c>
      <c r="B1998" t="s">
        <v>26</v>
      </c>
      <c r="C1998">
        <v>56758</v>
      </c>
      <c r="D1998" t="s">
        <v>212</v>
      </c>
      <c r="E1998" s="7">
        <v>50</v>
      </c>
      <c r="F1998" t="s">
        <v>20</v>
      </c>
      <c r="G1998" t="s">
        <v>21</v>
      </c>
      <c r="H1998" t="str">
        <f>"02205"</f>
        <v>02205</v>
      </c>
      <c r="I1998" t="str">
        <f>"AACOG"</f>
        <v>AACOG</v>
      </c>
    </row>
    <row r="1999" spans="1:9" x14ac:dyDescent="0.25">
      <c r="A1999" s="6">
        <v>43139</v>
      </c>
      <c r="B1999" t="s">
        <v>26</v>
      </c>
      <c r="C1999">
        <v>56759</v>
      </c>
      <c r="D1999" t="s">
        <v>63</v>
      </c>
      <c r="E1999" s="7">
        <v>473.65</v>
      </c>
      <c r="F1999" t="s">
        <v>20</v>
      </c>
      <c r="G1999" t="s">
        <v>21</v>
      </c>
      <c r="H1999" t="str">
        <f>"8403511255"</f>
        <v>8403511255</v>
      </c>
      <c r="I1999" t="str">
        <f>"CINTAS CORPORATION"</f>
        <v>CINTAS CORPORATION</v>
      </c>
    </row>
    <row r="2000" spans="1:9" x14ac:dyDescent="0.25">
      <c r="A2000" s="6">
        <v>43139</v>
      </c>
      <c r="B2000" t="s">
        <v>26</v>
      </c>
      <c r="C2000">
        <v>56760</v>
      </c>
      <c r="D2000" t="s">
        <v>279</v>
      </c>
      <c r="E2000" s="7">
        <v>7.99</v>
      </c>
      <c r="F2000" t="s">
        <v>20</v>
      </c>
      <c r="G2000" t="s">
        <v>21</v>
      </c>
      <c r="H2000" t="str">
        <f>"LC8138"</f>
        <v>LC8138</v>
      </c>
      <c r="I2000" t="str">
        <f>"HOELSCHER'S INC."</f>
        <v>HOELSCHER'S INC.</v>
      </c>
    </row>
    <row r="2001" spans="1:9" x14ac:dyDescent="0.25">
      <c r="A2001" s="6">
        <v>43139</v>
      </c>
      <c r="B2001" t="s">
        <v>26</v>
      </c>
      <c r="C2001">
        <v>56761</v>
      </c>
      <c r="D2001" t="s">
        <v>66</v>
      </c>
      <c r="E2001" s="7">
        <v>502.88</v>
      </c>
      <c r="F2001" t="s">
        <v>20</v>
      </c>
      <c r="G2001" t="s">
        <v>21</v>
      </c>
      <c r="H2001" t="str">
        <f>"51810"</f>
        <v>51810</v>
      </c>
      <c r="I2001" t="str">
        <f>"LOPEZ EXTERMINATING SERVICE  I"</f>
        <v>LOPEZ EXTERMINATING SERVICE  I</v>
      </c>
    </row>
    <row r="2002" spans="1:9" x14ac:dyDescent="0.25">
      <c r="A2002" s="6">
        <v>43139</v>
      </c>
      <c r="B2002" t="s">
        <v>26</v>
      </c>
      <c r="C2002">
        <v>56762</v>
      </c>
      <c r="D2002" t="s">
        <v>280</v>
      </c>
      <c r="E2002" s="7">
        <v>1688.47</v>
      </c>
      <c r="F2002" t="s">
        <v>20</v>
      </c>
      <c r="G2002" t="s">
        <v>21</v>
      </c>
      <c r="H2002" t="str">
        <f>"315 WILDROSE"</f>
        <v>315 WILDROSE</v>
      </c>
      <c r="I2002" t="str">
        <f>"LOWE'S"</f>
        <v>LOWE'S</v>
      </c>
    </row>
    <row r="2003" spans="1:9" x14ac:dyDescent="0.25">
      <c r="A2003" s="6">
        <v>43139</v>
      </c>
      <c r="B2003" t="s">
        <v>26</v>
      </c>
      <c r="C2003">
        <v>56763</v>
      </c>
      <c r="D2003" t="s">
        <v>281</v>
      </c>
      <c r="E2003" s="7">
        <v>212.45</v>
      </c>
      <c r="F2003" t="s">
        <v>20</v>
      </c>
      <c r="G2003" t="s">
        <v>21</v>
      </c>
      <c r="H2003" t="str">
        <f>"27292"</f>
        <v>27292</v>
      </c>
      <c r="I2003" t="str">
        <f>"J.A.M. AUTOMOTIVE"</f>
        <v>J.A.M. AUTOMOTIVE</v>
      </c>
    </row>
    <row r="2004" spans="1:9" x14ac:dyDescent="0.25">
      <c r="A2004" s="6">
        <v>43139</v>
      </c>
      <c r="B2004" t="s">
        <v>26</v>
      </c>
      <c r="C2004">
        <v>56764</v>
      </c>
      <c r="D2004" t="s">
        <v>146</v>
      </c>
      <c r="E2004" s="7">
        <v>260</v>
      </c>
      <c r="F2004" t="s">
        <v>20</v>
      </c>
      <c r="G2004" t="s">
        <v>21</v>
      </c>
      <c r="H2004" t="str">
        <f>"250447"</f>
        <v>250447</v>
      </c>
      <c r="I2004" t="str">
        <f>"LARRY SRALLA ELECTRIC"</f>
        <v>LARRY SRALLA ELECTRIC</v>
      </c>
    </row>
    <row r="2005" spans="1:9" x14ac:dyDescent="0.25">
      <c r="E2005" s="7"/>
      <c r="F2005" t="s">
        <v>20</v>
      </c>
      <c r="G2005" t="s">
        <v>21</v>
      </c>
      <c r="H2005" t="str">
        <f>"250448"</f>
        <v>250448</v>
      </c>
      <c r="I2005" t="str">
        <f>"LARRY SRALLA ELECTRIC"</f>
        <v>LARRY SRALLA ELECTRIC</v>
      </c>
    </row>
    <row r="2006" spans="1:9" x14ac:dyDescent="0.25">
      <c r="A2006" s="6">
        <v>43139</v>
      </c>
      <c r="B2006" t="s">
        <v>26</v>
      </c>
      <c r="C2006">
        <v>56765</v>
      </c>
      <c r="D2006" t="s">
        <v>29</v>
      </c>
      <c r="E2006" s="7">
        <v>7195</v>
      </c>
      <c r="F2006" t="s">
        <v>20</v>
      </c>
      <c r="G2006" t="s">
        <v>21</v>
      </c>
      <c r="H2006" t="str">
        <f>"28880"</f>
        <v>28880</v>
      </c>
      <c r="I2006" t="str">
        <f>"M &amp; S ENGINEERING  LLC"</f>
        <v>M &amp; S ENGINEERING  LLC</v>
      </c>
    </row>
    <row r="2007" spans="1:9" x14ac:dyDescent="0.25">
      <c r="E2007" s="7"/>
      <c r="F2007" t="s">
        <v>20</v>
      </c>
      <c r="G2007" t="s">
        <v>21</v>
      </c>
      <c r="H2007" t="str">
        <f>"28925"</f>
        <v>28925</v>
      </c>
      <c r="I2007" t="str">
        <f>"M &amp; S ENGINEERING  LLC"</f>
        <v>M &amp; S ENGINEERING  LLC</v>
      </c>
    </row>
    <row r="2008" spans="1:9" x14ac:dyDescent="0.25">
      <c r="A2008" s="6">
        <v>43139</v>
      </c>
      <c r="B2008" t="s">
        <v>26</v>
      </c>
      <c r="C2008">
        <v>56766</v>
      </c>
      <c r="D2008" t="s">
        <v>73</v>
      </c>
      <c r="E2008" s="7">
        <v>44572.25</v>
      </c>
      <c r="F2008" t="s">
        <v>20</v>
      </c>
      <c r="G2008" t="s">
        <v>21</v>
      </c>
      <c r="H2008" t="str">
        <f>"1.01.18"</f>
        <v>1.01.18</v>
      </c>
      <c r="I2008" t="str">
        <f>"TML INTERGOVERNMENTAL RISK POO"</f>
        <v>TML INTERGOVERNMENTAL RISK POO</v>
      </c>
    </row>
    <row r="2009" spans="1:9" x14ac:dyDescent="0.25">
      <c r="A2009" s="6">
        <v>43139</v>
      </c>
      <c r="B2009" t="s">
        <v>26</v>
      </c>
      <c r="C2009">
        <v>56767</v>
      </c>
      <c r="D2009" t="s">
        <v>282</v>
      </c>
      <c r="E2009" s="7">
        <v>1979.17</v>
      </c>
      <c r="F2009" t="s">
        <v>20</v>
      </c>
      <c r="G2009" t="s">
        <v>21</v>
      </c>
      <c r="H2009" t="str">
        <f>"3460"</f>
        <v>3460</v>
      </c>
      <c r="I2009" t="str">
        <f>"LANGFORD COMMUNITY MANAGEMENT"</f>
        <v>LANGFORD COMMUNITY MANAGEMENT</v>
      </c>
    </row>
    <row r="2010" spans="1:9" x14ac:dyDescent="0.25">
      <c r="A2010" s="6">
        <v>43139</v>
      </c>
      <c r="B2010" t="s">
        <v>26</v>
      </c>
      <c r="C2010">
        <v>56768</v>
      </c>
      <c r="D2010" t="s">
        <v>122</v>
      </c>
      <c r="E2010" s="7">
        <v>8</v>
      </c>
      <c r="F2010" t="s">
        <v>20</v>
      </c>
      <c r="G2010" t="s">
        <v>21</v>
      </c>
      <c r="H2010" t="str">
        <f>"0774695"</f>
        <v>0774695</v>
      </c>
      <c r="I2010" t="str">
        <f>"VILLA TIRES"</f>
        <v>VILLA TIRES</v>
      </c>
    </row>
    <row r="2011" spans="1:9" x14ac:dyDescent="0.25">
      <c r="A2011" s="6">
        <v>43139</v>
      </c>
      <c r="B2011" t="s">
        <v>26</v>
      </c>
      <c r="C2011">
        <v>56769</v>
      </c>
      <c r="D2011" t="s">
        <v>283</v>
      </c>
      <c r="E2011" s="7">
        <v>31500</v>
      </c>
      <c r="F2011" t="s">
        <v>20</v>
      </c>
      <c r="G2011" t="s">
        <v>21</v>
      </c>
      <c r="H2011" t="str">
        <f>"10.1.17-9.30.18"</f>
        <v>10.1.17-9.30.18</v>
      </c>
      <c r="I2011" t="str">
        <f>"WILSON COUNTY EMS"</f>
        <v>WILSON COUNTY EMS</v>
      </c>
    </row>
    <row r="2012" spans="1:9" x14ac:dyDescent="0.25">
      <c r="A2012" s="6">
        <v>43139</v>
      </c>
      <c r="B2012" t="s">
        <v>26</v>
      </c>
      <c r="C2012">
        <v>56770</v>
      </c>
      <c r="D2012" t="s">
        <v>123</v>
      </c>
      <c r="E2012" s="7">
        <v>71.66</v>
      </c>
      <c r="F2012" t="s">
        <v>20</v>
      </c>
      <c r="G2012" t="s">
        <v>21</v>
      </c>
      <c r="H2012" t="str">
        <f>"994425820001"</f>
        <v>994425820001</v>
      </c>
      <c r="I2012" t="str">
        <f>"OFFICE DEPOT  INC."</f>
        <v>OFFICE DEPOT  INC.</v>
      </c>
    </row>
    <row r="2013" spans="1:9" x14ac:dyDescent="0.25">
      <c r="E2013" s="7"/>
      <c r="F2013" t="s">
        <v>20</v>
      </c>
      <c r="G2013" t="s">
        <v>21</v>
      </c>
      <c r="H2013" t="str">
        <f>"996731443001"</f>
        <v>996731443001</v>
      </c>
      <c r="I2013" t="str">
        <f>"OFFICE DEPOT  INC."</f>
        <v>OFFICE DEPOT  INC.</v>
      </c>
    </row>
    <row r="2014" spans="1:9" x14ac:dyDescent="0.25">
      <c r="A2014" s="6">
        <v>43139</v>
      </c>
      <c r="B2014" t="s">
        <v>26</v>
      </c>
      <c r="C2014">
        <v>56771</v>
      </c>
      <c r="D2014" t="s">
        <v>76</v>
      </c>
      <c r="E2014" s="7">
        <v>2393.2199999999998</v>
      </c>
      <c r="F2014" t="s">
        <v>20</v>
      </c>
      <c r="G2014" t="s">
        <v>21</v>
      </c>
      <c r="H2014" t="str">
        <f>"78"</f>
        <v>78</v>
      </c>
      <c r="I2014" t="str">
        <f>"WILSON COUNTY TAX COLLECTOR"</f>
        <v>WILSON COUNTY TAX COLLECTOR</v>
      </c>
    </row>
    <row r="2015" spans="1:9" x14ac:dyDescent="0.25">
      <c r="A2015" s="6">
        <v>43139</v>
      </c>
      <c r="B2015" t="s">
        <v>26</v>
      </c>
      <c r="C2015">
        <v>56772</v>
      </c>
      <c r="D2015" t="s">
        <v>78</v>
      </c>
      <c r="E2015" s="7">
        <v>1399.19</v>
      </c>
      <c r="F2015" t="s">
        <v>20</v>
      </c>
      <c r="G2015" t="s">
        <v>21</v>
      </c>
      <c r="H2015" t="str">
        <f>"23545"</f>
        <v>23545</v>
      </c>
      <c r="I2015" t="str">
        <f>"DENTON NAVARRO ROCHA BERNAL HY"</f>
        <v>DENTON NAVARRO ROCHA BERNAL HY</v>
      </c>
    </row>
    <row r="2016" spans="1:9" x14ac:dyDescent="0.25">
      <c r="A2016" s="6">
        <v>43139</v>
      </c>
      <c r="B2016" t="s">
        <v>26</v>
      </c>
      <c r="C2016">
        <v>56773</v>
      </c>
      <c r="D2016" t="s">
        <v>284</v>
      </c>
      <c r="E2016" s="7">
        <v>10550</v>
      </c>
      <c r="F2016" t="s">
        <v>20</v>
      </c>
      <c r="G2016" t="s">
        <v>21</v>
      </c>
      <c r="H2016" t="str">
        <f>"4ELXINV0004456"</f>
        <v>4ELXINV0004456</v>
      </c>
      <c r="I2016" t="str">
        <f>"WATCHGUARD VIDEO"</f>
        <v>WATCHGUARD VIDEO</v>
      </c>
    </row>
    <row r="2017" spans="1:9" x14ac:dyDescent="0.25">
      <c r="E2017" s="7"/>
      <c r="F2017" t="s">
        <v>20</v>
      </c>
      <c r="G2017" t="s">
        <v>21</v>
      </c>
      <c r="H2017" t="str">
        <f>"BCMINV0004426"</f>
        <v>BCMINV0004426</v>
      </c>
      <c r="I2017" t="str">
        <f>"WATCHGUARD VIDEO"</f>
        <v>WATCHGUARD VIDEO</v>
      </c>
    </row>
    <row r="2018" spans="1:9" x14ac:dyDescent="0.25">
      <c r="A2018" s="6">
        <v>43139</v>
      </c>
      <c r="B2018" t="s">
        <v>26</v>
      </c>
      <c r="C2018">
        <v>56774</v>
      </c>
      <c r="D2018" t="s">
        <v>127</v>
      </c>
      <c r="E2018" s="7">
        <v>13.9</v>
      </c>
      <c r="F2018" t="s">
        <v>20</v>
      </c>
      <c r="G2018" t="s">
        <v>21</v>
      </c>
      <c r="H2018" t="str">
        <f>"728277"</f>
        <v>728277</v>
      </c>
      <c r="I2018" t="str">
        <f>"A &amp; B COMMUNICATIONS"</f>
        <v>A &amp; B COMMUNICATIONS</v>
      </c>
    </row>
    <row r="2019" spans="1:9" x14ac:dyDescent="0.25">
      <c r="A2019" s="6">
        <v>43139</v>
      </c>
      <c r="B2019" t="s">
        <v>26</v>
      </c>
      <c r="C2019">
        <v>56775</v>
      </c>
      <c r="D2019" t="s">
        <v>79</v>
      </c>
      <c r="E2019" s="7">
        <v>255.52</v>
      </c>
      <c r="F2019" t="s">
        <v>20</v>
      </c>
      <c r="G2019" t="s">
        <v>21</v>
      </c>
      <c r="H2019" t="str">
        <f>"6-053-36192"</f>
        <v>6-053-36192</v>
      </c>
      <c r="I2019" t="str">
        <f>"FEDEX"</f>
        <v>FEDEX</v>
      </c>
    </row>
    <row r="2020" spans="1:9" x14ac:dyDescent="0.25">
      <c r="E2020" s="7"/>
      <c r="F2020" t="s">
        <v>20</v>
      </c>
      <c r="G2020" t="s">
        <v>21</v>
      </c>
      <c r="H2020" t="str">
        <f>"6-060-97387"</f>
        <v>6-060-97387</v>
      </c>
      <c r="I2020" t="str">
        <f>"FEDEX"</f>
        <v>FEDEX</v>
      </c>
    </row>
    <row r="2021" spans="1:9" x14ac:dyDescent="0.25">
      <c r="E2021" s="7"/>
      <c r="F2021" t="s">
        <v>20</v>
      </c>
      <c r="G2021" t="s">
        <v>21</v>
      </c>
      <c r="H2021" t="str">
        <f>"6-075-10161"</f>
        <v>6-075-10161</v>
      </c>
      <c r="I2021" t="str">
        <f>"FEDEX"</f>
        <v>FEDEX</v>
      </c>
    </row>
    <row r="2022" spans="1:9" x14ac:dyDescent="0.25">
      <c r="A2022" s="6">
        <v>43139</v>
      </c>
      <c r="B2022" t="s">
        <v>26</v>
      </c>
      <c r="C2022">
        <v>56776</v>
      </c>
      <c r="D2022" t="s">
        <v>31</v>
      </c>
      <c r="E2022" s="7">
        <v>2405</v>
      </c>
      <c r="F2022" t="s">
        <v>20</v>
      </c>
      <c r="G2022" t="s">
        <v>21</v>
      </c>
      <c r="H2022" t="str">
        <f>"2018182"</f>
        <v>2018182</v>
      </c>
      <c r="I2022" t="str">
        <f>"THE LAW OFFICE OF TOM CALDWELL"</f>
        <v>THE LAW OFFICE OF TOM CALDWELL</v>
      </c>
    </row>
    <row r="2023" spans="1:9" x14ac:dyDescent="0.25">
      <c r="A2023" s="6">
        <v>43139</v>
      </c>
      <c r="B2023" t="s">
        <v>26</v>
      </c>
      <c r="C2023">
        <v>56777</v>
      </c>
      <c r="D2023" t="s">
        <v>131</v>
      </c>
      <c r="E2023" s="7">
        <v>8.99</v>
      </c>
      <c r="F2023" t="s">
        <v>20</v>
      </c>
      <c r="G2023" t="s">
        <v>21</v>
      </c>
      <c r="H2023" t="str">
        <f>"026321"</f>
        <v>026321</v>
      </c>
      <c r="I2023" t="str">
        <f>"R &amp; S TEXAS PARTS CO"</f>
        <v>R &amp; S TEXAS PARTS CO</v>
      </c>
    </row>
    <row r="2024" spans="1:9" x14ac:dyDescent="0.25">
      <c r="A2024" s="6">
        <v>43139</v>
      </c>
      <c r="B2024" t="s">
        <v>26</v>
      </c>
      <c r="C2024">
        <v>56778</v>
      </c>
      <c r="D2024" t="s">
        <v>153</v>
      </c>
      <c r="E2024" s="7">
        <v>1500</v>
      </c>
      <c r="F2024" t="s">
        <v>20</v>
      </c>
      <c r="G2024" t="s">
        <v>21</v>
      </c>
      <c r="H2024" t="str">
        <f>"030118"</f>
        <v>030118</v>
      </c>
      <c r="I2024" t="str">
        <f>"FULLER COMPANY"</f>
        <v>FULLER COMPANY</v>
      </c>
    </row>
    <row r="2025" spans="1:9" x14ac:dyDescent="0.25">
      <c r="A2025" s="6">
        <v>43139</v>
      </c>
      <c r="B2025" t="s">
        <v>26</v>
      </c>
      <c r="C2025">
        <v>56779</v>
      </c>
      <c r="D2025" t="s">
        <v>84</v>
      </c>
      <c r="E2025" s="7">
        <v>14697.5</v>
      </c>
      <c r="F2025" t="s">
        <v>20</v>
      </c>
      <c r="G2025" t="s">
        <v>21</v>
      </c>
      <c r="H2025" t="str">
        <f>"1308545"</f>
        <v>1308545</v>
      </c>
      <c r="I2025" t="str">
        <f>"STANTEC CONSULTING SERVICES IN"</f>
        <v>STANTEC CONSULTING SERVICES IN</v>
      </c>
    </row>
    <row r="2026" spans="1:9" x14ac:dyDescent="0.25">
      <c r="A2026" s="6">
        <v>43139</v>
      </c>
      <c r="B2026" t="s">
        <v>26</v>
      </c>
      <c r="C2026">
        <v>56780</v>
      </c>
      <c r="D2026" t="s">
        <v>85</v>
      </c>
      <c r="E2026" s="7">
        <v>1063.1500000000001</v>
      </c>
      <c r="F2026" t="s">
        <v>20</v>
      </c>
      <c r="G2026" t="s">
        <v>21</v>
      </c>
      <c r="H2026" t="str">
        <f>"201802088251"</f>
        <v>201802088251</v>
      </c>
      <c r="I2026" t="str">
        <f t="shared" ref="I2026:I2035" si="35">"FRONTIER"</f>
        <v>FRONTIER</v>
      </c>
    </row>
    <row r="2027" spans="1:9" x14ac:dyDescent="0.25">
      <c r="E2027" s="7"/>
      <c r="F2027" t="s">
        <v>20</v>
      </c>
      <c r="G2027" t="s">
        <v>21</v>
      </c>
      <c r="H2027" t="str">
        <f>"201802088252"</f>
        <v>201802088252</v>
      </c>
      <c r="I2027" t="str">
        <f t="shared" si="35"/>
        <v>FRONTIER</v>
      </c>
    </row>
    <row r="2028" spans="1:9" x14ac:dyDescent="0.25">
      <c r="E2028" s="7"/>
      <c r="F2028" t="s">
        <v>20</v>
      </c>
      <c r="G2028" t="s">
        <v>21</v>
      </c>
      <c r="H2028" t="str">
        <f>"201802088253"</f>
        <v>201802088253</v>
      </c>
      <c r="I2028" t="str">
        <f t="shared" si="35"/>
        <v>FRONTIER</v>
      </c>
    </row>
    <row r="2029" spans="1:9" x14ac:dyDescent="0.25">
      <c r="E2029" s="7"/>
      <c r="F2029" t="s">
        <v>20</v>
      </c>
      <c r="G2029" t="s">
        <v>21</v>
      </c>
      <c r="H2029" t="str">
        <f>"201802088254"</f>
        <v>201802088254</v>
      </c>
      <c r="I2029" t="str">
        <f t="shared" si="35"/>
        <v>FRONTIER</v>
      </c>
    </row>
    <row r="2030" spans="1:9" x14ac:dyDescent="0.25">
      <c r="E2030" s="7"/>
      <c r="F2030" t="s">
        <v>20</v>
      </c>
      <c r="G2030" t="s">
        <v>21</v>
      </c>
      <c r="H2030" t="str">
        <f>"201802088255"</f>
        <v>201802088255</v>
      </c>
      <c r="I2030" t="str">
        <f t="shared" si="35"/>
        <v>FRONTIER</v>
      </c>
    </row>
    <row r="2031" spans="1:9" x14ac:dyDescent="0.25">
      <c r="E2031" s="7"/>
      <c r="F2031" t="s">
        <v>20</v>
      </c>
      <c r="G2031" t="s">
        <v>21</v>
      </c>
      <c r="H2031" t="str">
        <f>"201802088256"</f>
        <v>201802088256</v>
      </c>
      <c r="I2031" t="str">
        <f t="shared" si="35"/>
        <v>FRONTIER</v>
      </c>
    </row>
    <row r="2032" spans="1:9" x14ac:dyDescent="0.25">
      <c r="E2032" s="7"/>
      <c r="F2032" t="s">
        <v>20</v>
      </c>
      <c r="G2032" t="s">
        <v>21</v>
      </c>
      <c r="H2032" t="str">
        <f>"201802088257"</f>
        <v>201802088257</v>
      </c>
      <c r="I2032" t="str">
        <f t="shared" si="35"/>
        <v>FRONTIER</v>
      </c>
    </row>
    <row r="2033" spans="1:9" x14ac:dyDescent="0.25">
      <c r="E2033" s="7"/>
      <c r="F2033" t="s">
        <v>20</v>
      </c>
      <c r="G2033" t="s">
        <v>21</v>
      </c>
      <c r="H2033" t="str">
        <f>"201802088258"</f>
        <v>201802088258</v>
      </c>
      <c r="I2033" t="str">
        <f t="shared" si="35"/>
        <v>FRONTIER</v>
      </c>
    </row>
    <row r="2034" spans="1:9" x14ac:dyDescent="0.25">
      <c r="E2034" s="7"/>
      <c r="F2034" t="s">
        <v>20</v>
      </c>
      <c r="G2034" t="s">
        <v>21</v>
      </c>
      <c r="H2034" t="str">
        <f>"201802088259"</f>
        <v>201802088259</v>
      </c>
      <c r="I2034" t="str">
        <f t="shared" si="35"/>
        <v>FRONTIER</v>
      </c>
    </row>
    <row r="2035" spans="1:9" x14ac:dyDescent="0.25">
      <c r="E2035" s="7"/>
      <c r="F2035" t="s">
        <v>20</v>
      </c>
      <c r="G2035" t="s">
        <v>21</v>
      </c>
      <c r="H2035" t="str">
        <f>"201802088260"</f>
        <v>201802088260</v>
      </c>
      <c r="I2035" t="str">
        <f t="shared" si="35"/>
        <v>FRONTIER</v>
      </c>
    </row>
    <row r="2036" spans="1:9" x14ac:dyDescent="0.25">
      <c r="A2036" s="6">
        <v>43139</v>
      </c>
      <c r="B2036" t="s">
        <v>26</v>
      </c>
      <c r="C2036">
        <v>56782</v>
      </c>
      <c r="D2036" t="s">
        <v>285</v>
      </c>
      <c r="E2036" s="7">
        <v>150</v>
      </c>
      <c r="F2036" t="s">
        <v>20</v>
      </c>
      <c r="G2036" t="s">
        <v>21</v>
      </c>
      <c r="H2036" t="str">
        <f>"R110162547"</f>
        <v>R110162547</v>
      </c>
      <c r="I2036" t="str">
        <f>"VICTOR O. SCHINNERER &amp; CO. INC"</f>
        <v>VICTOR O. SCHINNERER &amp; CO. INC</v>
      </c>
    </row>
    <row r="2037" spans="1:9" x14ac:dyDescent="0.25">
      <c r="A2037" s="6">
        <v>43139</v>
      </c>
      <c r="B2037" t="s">
        <v>26</v>
      </c>
      <c r="C2037">
        <v>56783</v>
      </c>
      <c r="D2037" t="s">
        <v>194</v>
      </c>
      <c r="E2037" s="7">
        <v>1047.21</v>
      </c>
      <c r="F2037" t="s">
        <v>20</v>
      </c>
      <c r="G2037" t="s">
        <v>21</v>
      </c>
      <c r="H2037" t="str">
        <f>"BC0522925"</f>
        <v>BC0522925</v>
      </c>
      <c r="I2037" t="str">
        <f>"GALLS  LLC-D.B.A. STERLING'S U"</f>
        <v>GALLS  LLC-D.B.A. STERLING'S U</v>
      </c>
    </row>
    <row r="2038" spans="1:9" x14ac:dyDescent="0.25">
      <c r="E2038" s="7"/>
      <c r="F2038" t="s">
        <v>20</v>
      </c>
      <c r="G2038" t="s">
        <v>21</v>
      </c>
      <c r="H2038" t="str">
        <f>"BC0528787"</f>
        <v>BC0528787</v>
      </c>
      <c r="I2038" t="str">
        <f>"GALLS  LLC-D.B.A. STERLING'S U"</f>
        <v>GALLS  LLC-D.B.A. STERLING'S U</v>
      </c>
    </row>
    <row r="2039" spans="1:9" x14ac:dyDescent="0.25">
      <c r="A2039" s="6">
        <v>43139</v>
      </c>
      <c r="B2039" t="s">
        <v>26</v>
      </c>
      <c r="C2039">
        <v>56784</v>
      </c>
      <c r="D2039" t="s">
        <v>286</v>
      </c>
      <c r="E2039" s="7">
        <v>34719</v>
      </c>
      <c r="F2039" t="s">
        <v>20</v>
      </c>
      <c r="G2039" t="s">
        <v>21</v>
      </c>
      <c r="H2039" t="str">
        <f>"1000350632"</f>
        <v>1000350632</v>
      </c>
      <c r="I2039" t="str">
        <f>"NORTON ROSE FULBRIGHT US LLP"</f>
        <v>NORTON ROSE FULBRIGHT US LLP</v>
      </c>
    </row>
    <row r="2040" spans="1:9" x14ac:dyDescent="0.25">
      <c r="A2040" s="6">
        <v>43139</v>
      </c>
      <c r="B2040" t="s">
        <v>26</v>
      </c>
      <c r="C2040">
        <v>56785</v>
      </c>
      <c r="D2040" t="s">
        <v>132</v>
      </c>
      <c r="E2040" s="7">
        <v>38.29</v>
      </c>
      <c r="F2040" t="s">
        <v>20</v>
      </c>
      <c r="G2040" t="s">
        <v>21</v>
      </c>
      <c r="H2040" t="str">
        <f>"16992887020118"</f>
        <v>16992887020118</v>
      </c>
      <c r="I2040" t="str">
        <f>"SPARKLETTS &amp; SIERRA SPRINGS"</f>
        <v>SPARKLETTS &amp; SIERRA SPRINGS</v>
      </c>
    </row>
    <row r="2041" spans="1:9" x14ac:dyDescent="0.25">
      <c r="A2041" s="6">
        <v>43139</v>
      </c>
      <c r="B2041" t="s">
        <v>26</v>
      </c>
      <c r="C2041">
        <v>56786</v>
      </c>
      <c r="D2041" t="s">
        <v>47</v>
      </c>
      <c r="E2041" s="7">
        <v>10835</v>
      </c>
      <c r="F2041" t="s">
        <v>20</v>
      </c>
      <c r="G2041" t="s">
        <v>21</v>
      </c>
      <c r="H2041" t="str">
        <f>"DRAW #11"</f>
        <v>DRAW #11</v>
      </c>
      <c r="I2041" t="str">
        <f>"HEARTLAND PARK &amp; RECREATION  L"</f>
        <v>HEARTLAND PARK &amp; RECREATION  L</v>
      </c>
    </row>
    <row r="2042" spans="1:9" x14ac:dyDescent="0.25">
      <c r="A2042" s="6">
        <v>43139</v>
      </c>
      <c r="B2042" t="s">
        <v>26</v>
      </c>
      <c r="C2042">
        <v>56787</v>
      </c>
      <c r="D2042" t="s">
        <v>176</v>
      </c>
      <c r="E2042" s="7">
        <v>321544.38</v>
      </c>
      <c r="F2042" t="s">
        <v>20</v>
      </c>
      <c r="G2042" t="s">
        <v>21</v>
      </c>
      <c r="H2042" t="str">
        <f>"PAY APP#14"</f>
        <v>PAY APP#14</v>
      </c>
      <c r="I2042" t="str">
        <f>"PEPPER-LAWSON WATERWORKS"</f>
        <v>PEPPER-LAWSON WATERWORKS</v>
      </c>
    </row>
    <row r="2043" spans="1:9" x14ac:dyDescent="0.25">
      <c r="A2043" s="6">
        <v>43139</v>
      </c>
      <c r="B2043" t="s">
        <v>26</v>
      </c>
      <c r="C2043">
        <v>56788</v>
      </c>
      <c r="D2043" t="s">
        <v>237</v>
      </c>
      <c r="E2043" s="7">
        <v>60.3</v>
      </c>
      <c r="F2043" t="s">
        <v>20</v>
      </c>
      <c r="G2043" t="s">
        <v>21</v>
      </c>
      <c r="H2043" t="str">
        <f>"153477653-002"</f>
        <v>153477653-002</v>
      </c>
      <c r="I2043" t="str">
        <f>"UNITED RENTALS (NORTH AMERICA)"</f>
        <v>UNITED RENTALS (NORTH AMERICA)</v>
      </c>
    </row>
    <row r="2044" spans="1:9" x14ac:dyDescent="0.25">
      <c r="A2044" s="6">
        <v>43139</v>
      </c>
      <c r="B2044" t="s">
        <v>26</v>
      </c>
      <c r="C2044">
        <v>56789</v>
      </c>
      <c r="D2044" t="s">
        <v>135</v>
      </c>
      <c r="E2044" s="7">
        <v>140637.26999999999</v>
      </c>
      <c r="F2044" t="s">
        <v>20</v>
      </c>
      <c r="G2044" t="s">
        <v>21</v>
      </c>
      <c r="H2044" t="str">
        <f>"PAY APP#6"</f>
        <v>PAY APP#6</v>
      </c>
      <c r="I2044" t="str">
        <f>"HENOCK CONSTRUCTION  LLC"</f>
        <v>HENOCK CONSTRUCTION  LLC</v>
      </c>
    </row>
    <row r="2045" spans="1:9" x14ac:dyDescent="0.25">
      <c r="A2045" s="6">
        <v>43139</v>
      </c>
      <c r="B2045" t="s">
        <v>26</v>
      </c>
      <c r="C2045">
        <v>56790</v>
      </c>
      <c r="D2045" t="s">
        <v>199</v>
      </c>
      <c r="E2045" s="7">
        <v>708.97</v>
      </c>
      <c r="F2045" t="s">
        <v>20</v>
      </c>
      <c r="G2045" t="s">
        <v>21</v>
      </c>
      <c r="H2045" t="str">
        <f>"2628"</f>
        <v>2628</v>
      </c>
      <c r="I2045" t="str">
        <f>"THE UPS STORE"</f>
        <v>THE UPS STORE</v>
      </c>
    </row>
    <row r="2046" spans="1:9" x14ac:dyDescent="0.25">
      <c r="A2046" s="6">
        <v>43139</v>
      </c>
      <c r="B2046" t="s">
        <v>26</v>
      </c>
      <c r="C2046">
        <v>56791</v>
      </c>
      <c r="D2046" t="s">
        <v>224</v>
      </c>
      <c r="E2046" s="7">
        <v>475</v>
      </c>
      <c r="F2046" t="s">
        <v>20</v>
      </c>
      <c r="G2046" t="s">
        <v>21</v>
      </c>
      <c r="H2046" t="str">
        <f>"201802088261"</f>
        <v>201802088261</v>
      </c>
      <c r="I2046" t="str">
        <f>"RIVERWALK ROOFING AND CONSTRUC"</f>
        <v>RIVERWALK ROOFING AND CONSTRUC</v>
      </c>
    </row>
    <row r="2047" spans="1:9" x14ac:dyDescent="0.25">
      <c r="A2047" s="6">
        <v>43139</v>
      </c>
      <c r="B2047" t="s">
        <v>26</v>
      </c>
      <c r="C2047">
        <v>56792</v>
      </c>
      <c r="D2047" t="s">
        <v>287</v>
      </c>
      <c r="E2047" s="7">
        <v>11424</v>
      </c>
      <c r="F2047" t="s">
        <v>20</v>
      </c>
      <c r="G2047" t="s">
        <v>21</v>
      </c>
      <c r="H2047" t="str">
        <f>"0190"</f>
        <v>0190</v>
      </c>
      <c r="I2047" t="str">
        <f>"INDUSTRAIL ASPHALT"</f>
        <v>INDUSTRAIL ASPHALT</v>
      </c>
    </row>
    <row r="2048" spans="1:9" x14ac:dyDescent="0.25">
      <c r="A2048" s="6">
        <v>43139</v>
      </c>
      <c r="B2048" t="s">
        <v>26</v>
      </c>
      <c r="C2048">
        <v>56793</v>
      </c>
      <c r="D2048" t="s">
        <v>288</v>
      </c>
      <c r="E2048" s="7">
        <v>2325.5100000000002</v>
      </c>
      <c r="F2048" t="s">
        <v>20</v>
      </c>
      <c r="G2048" t="s">
        <v>21</v>
      </c>
      <c r="H2048" t="str">
        <f>"SI1509004"</f>
        <v>SI1509004</v>
      </c>
      <c r="I2048" t="str">
        <f>"AXON ENTERPRISES INC"</f>
        <v>AXON ENTERPRISES INC</v>
      </c>
    </row>
    <row r="2049" spans="1:9" x14ac:dyDescent="0.25">
      <c r="E2049" s="7"/>
      <c r="F2049" t="s">
        <v>20</v>
      </c>
      <c r="G2049" t="s">
        <v>21</v>
      </c>
      <c r="H2049" t="str">
        <f>"SI1509041"</f>
        <v>SI1509041</v>
      </c>
      <c r="I2049" t="str">
        <f>"AXON ENTERPRISES INC"</f>
        <v>AXON ENTERPRISES INC</v>
      </c>
    </row>
    <row r="2050" spans="1:9" x14ac:dyDescent="0.25">
      <c r="A2050" s="6">
        <v>43139</v>
      </c>
      <c r="B2050" t="s">
        <v>26</v>
      </c>
      <c r="C2050">
        <v>56794</v>
      </c>
      <c r="D2050" t="s">
        <v>289</v>
      </c>
      <c r="E2050" s="7">
        <v>7232.5</v>
      </c>
      <c r="F2050" t="s">
        <v>20</v>
      </c>
      <c r="G2050" t="s">
        <v>21</v>
      </c>
      <c r="H2050" t="str">
        <f>"1040"</f>
        <v>1040</v>
      </c>
      <c r="I2050" t="str">
        <f>"FLYER VIEW GROUP LLC"</f>
        <v>FLYER VIEW GROUP LLC</v>
      </c>
    </row>
    <row r="2051" spans="1:9" x14ac:dyDescent="0.25">
      <c r="E2051" s="7"/>
      <c r="F2051" t="s">
        <v>20</v>
      </c>
      <c r="G2051" t="s">
        <v>21</v>
      </c>
      <c r="H2051" t="str">
        <f>"1041"</f>
        <v>1041</v>
      </c>
      <c r="I2051" t="str">
        <f>"FLYER VIEW GROUP LLC"</f>
        <v>FLYER VIEW GROUP LLC</v>
      </c>
    </row>
    <row r="2052" spans="1:9" x14ac:dyDescent="0.25">
      <c r="A2052" s="6">
        <v>43144</v>
      </c>
      <c r="B2052" t="s">
        <v>26</v>
      </c>
      <c r="C2052">
        <v>56795</v>
      </c>
      <c r="D2052" t="s">
        <v>90</v>
      </c>
      <c r="E2052" s="7">
        <v>2118.48</v>
      </c>
      <c r="F2052" t="s">
        <v>20</v>
      </c>
      <c r="G2052" t="s">
        <v>21</v>
      </c>
      <c r="H2052" t="str">
        <f>"834875"</f>
        <v>834875</v>
      </c>
      <c r="I2052" t="str">
        <f>"AFLAC"</f>
        <v>AFLAC</v>
      </c>
    </row>
    <row r="2053" spans="1:9" x14ac:dyDescent="0.25">
      <c r="E2053" s="7"/>
      <c r="F2053" t="s">
        <v>20</v>
      </c>
      <c r="G2053" t="s">
        <v>21</v>
      </c>
      <c r="H2053" t="str">
        <f>"ACA201801178215"</f>
        <v>ACA201801178215</v>
      </c>
      <c r="I2053" t="str">
        <f>"AFLAC INSURANCE"</f>
        <v>AFLAC INSURANCE</v>
      </c>
    </row>
    <row r="2054" spans="1:9" x14ac:dyDescent="0.25">
      <c r="E2054" s="7"/>
      <c r="F2054" t="s">
        <v>20</v>
      </c>
      <c r="G2054" t="s">
        <v>21</v>
      </c>
      <c r="H2054" t="str">
        <f>"ACA201801318246"</f>
        <v>ACA201801318246</v>
      </c>
      <c r="I2054" t="str">
        <f>"AFLAC INSURANCE"</f>
        <v>AFLAC INSURANCE</v>
      </c>
    </row>
    <row r="2055" spans="1:9" x14ac:dyDescent="0.25">
      <c r="E2055" s="7"/>
      <c r="F2055" t="s">
        <v>20</v>
      </c>
      <c r="G2055" t="s">
        <v>21</v>
      </c>
      <c r="H2055" t="str">
        <f>"AD2201801178215"</f>
        <v>AD2201801178215</v>
      </c>
      <c r="I2055" t="str">
        <f>"AFLAC INSURANCE"</f>
        <v>AFLAC INSURANCE</v>
      </c>
    </row>
    <row r="2056" spans="1:9" x14ac:dyDescent="0.25">
      <c r="E2056" s="7"/>
      <c r="F2056" t="s">
        <v>20</v>
      </c>
      <c r="G2056" t="s">
        <v>21</v>
      </c>
      <c r="H2056" t="str">
        <f>"AD2201801318246"</f>
        <v>AD2201801318246</v>
      </c>
      <c r="I2056" t="str">
        <f>"AFLAC INSURANCE"</f>
        <v>AFLAC INSURANCE</v>
      </c>
    </row>
    <row r="2057" spans="1:9" x14ac:dyDescent="0.25">
      <c r="E2057" s="7"/>
      <c r="F2057" t="s">
        <v>20</v>
      </c>
      <c r="G2057" t="s">
        <v>21</v>
      </c>
      <c r="H2057" t="str">
        <f>"ADR201801178215"</f>
        <v>ADR201801178215</v>
      </c>
      <c r="I2057" t="str">
        <f>"INSURANCE"</f>
        <v>INSURANCE</v>
      </c>
    </row>
    <row r="2058" spans="1:9" x14ac:dyDescent="0.25">
      <c r="E2058" s="7"/>
      <c r="F2058" t="s">
        <v>20</v>
      </c>
      <c r="G2058" t="s">
        <v>21</v>
      </c>
      <c r="H2058" t="str">
        <f>"ADR201801318246"</f>
        <v>ADR201801318246</v>
      </c>
      <c r="I2058" t="str">
        <f>"INSURANCE"</f>
        <v>INSURANCE</v>
      </c>
    </row>
    <row r="2059" spans="1:9" x14ac:dyDescent="0.25">
      <c r="E2059" s="7"/>
      <c r="F2059" t="s">
        <v>20</v>
      </c>
      <c r="G2059" t="s">
        <v>21</v>
      </c>
      <c r="H2059" t="str">
        <f>"AF1201801178215"</f>
        <v>AF1201801178215</v>
      </c>
      <c r="I2059" t="str">
        <f t="shared" ref="I2059:I2065" si="36">"AFLAC INSURANCE"</f>
        <v>AFLAC INSURANCE</v>
      </c>
    </row>
    <row r="2060" spans="1:9" x14ac:dyDescent="0.25">
      <c r="E2060" s="7"/>
      <c r="F2060" t="s">
        <v>20</v>
      </c>
      <c r="G2060" t="s">
        <v>21</v>
      </c>
      <c r="H2060" t="str">
        <f>"AF1201801318246"</f>
        <v>AF1201801318246</v>
      </c>
      <c r="I2060" t="str">
        <f t="shared" si="36"/>
        <v>AFLAC INSURANCE</v>
      </c>
    </row>
    <row r="2061" spans="1:9" x14ac:dyDescent="0.25">
      <c r="E2061" s="7"/>
      <c r="F2061" t="s">
        <v>20</v>
      </c>
      <c r="G2061" t="s">
        <v>21</v>
      </c>
      <c r="H2061" t="str">
        <f>"AF1201801318247"</f>
        <v>AF1201801318247</v>
      </c>
      <c r="I2061" t="str">
        <f t="shared" si="36"/>
        <v>AFLAC INSURANCE</v>
      </c>
    </row>
    <row r="2062" spans="1:9" x14ac:dyDescent="0.25">
      <c r="E2062" s="7"/>
      <c r="F2062" t="s">
        <v>20</v>
      </c>
      <c r="G2062" t="s">
        <v>21</v>
      </c>
      <c r="H2062" t="str">
        <f>"ASP201801178215"</f>
        <v>ASP201801178215</v>
      </c>
      <c r="I2062" t="str">
        <f t="shared" si="36"/>
        <v>AFLAC INSURANCE</v>
      </c>
    </row>
    <row r="2063" spans="1:9" x14ac:dyDescent="0.25">
      <c r="E2063" s="7"/>
      <c r="F2063" t="s">
        <v>20</v>
      </c>
      <c r="G2063" t="s">
        <v>21</v>
      </c>
      <c r="H2063" t="str">
        <f>"ASP201801318246"</f>
        <v>ASP201801318246</v>
      </c>
      <c r="I2063" t="str">
        <f t="shared" si="36"/>
        <v>AFLAC INSURANCE</v>
      </c>
    </row>
    <row r="2064" spans="1:9" x14ac:dyDescent="0.25">
      <c r="E2064" s="7"/>
      <c r="F2064" t="s">
        <v>20</v>
      </c>
      <c r="G2064" t="s">
        <v>21</v>
      </c>
      <c r="H2064" t="str">
        <f>"HCO201801178215"</f>
        <v>HCO201801178215</v>
      </c>
      <c r="I2064" t="str">
        <f t="shared" si="36"/>
        <v>AFLAC INSURANCE</v>
      </c>
    </row>
    <row r="2065" spans="1:9" x14ac:dyDescent="0.25">
      <c r="E2065" s="7"/>
      <c r="F2065" t="s">
        <v>20</v>
      </c>
      <c r="G2065" t="s">
        <v>21</v>
      </c>
      <c r="H2065" t="str">
        <f>"HCO201801318246"</f>
        <v>HCO201801318246</v>
      </c>
      <c r="I2065" t="str">
        <f t="shared" si="36"/>
        <v>AFLAC INSURANCE</v>
      </c>
    </row>
    <row r="2066" spans="1:9" x14ac:dyDescent="0.25">
      <c r="A2066" s="6">
        <v>43144</v>
      </c>
      <c r="B2066" t="s">
        <v>26</v>
      </c>
      <c r="C2066">
        <v>56798</v>
      </c>
      <c r="D2066" t="s">
        <v>92</v>
      </c>
      <c r="E2066" s="7">
        <v>41104.29</v>
      </c>
      <c r="F2066" t="s">
        <v>20</v>
      </c>
      <c r="G2066" t="s">
        <v>24</v>
      </c>
      <c r="H2066" t="str">
        <f>"1/18"</f>
        <v>1/18</v>
      </c>
      <c r="I2066" t="str">
        <f>"TEXAS MUNICIPAL RETIREMENT SYS"</f>
        <v>TEXAS MUNICIPAL RETIREMENT SYS</v>
      </c>
    </row>
    <row r="2067" spans="1:9" x14ac:dyDescent="0.25">
      <c r="E2067" s="7"/>
      <c r="F2067" t="s">
        <v>20</v>
      </c>
      <c r="G2067" t="s">
        <v>21</v>
      </c>
      <c r="H2067" t="str">
        <f>"RET201801178215"</f>
        <v>RET201801178215</v>
      </c>
      <c r="I2067" t="str">
        <f>"TMRS CITY OF FLORESVILLE"</f>
        <v>TMRS CITY OF FLORESVILLE</v>
      </c>
    </row>
    <row r="2068" spans="1:9" x14ac:dyDescent="0.25">
      <c r="E2068" s="7"/>
      <c r="F2068" t="s">
        <v>20</v>
      </c>
      <c r="G2068" t="s">
        <v>21</v>
      </c>
      <c r="H2068" t="str">
        <f>"RET201801318246"</f>
        <v>RET201801318246</v>
      </c>
      <c r="I2068" t="str">
        <f>"TMRS CITY OF FLORESVILLE"</f>
        <v>TMRS CITY OF FLORESVILLE</v>
      </c>
    </row>
    <row r="2069" spans="1:9" x14ac:dyDescent="0.25">
      <c r="E2069" s="7"/>
      <c r="F2069" t="s">
        <v>20</v>
      </c>
      <c r="G2069" t="s">
        <v>21</v>
      </c>
      <c r="H2069" t="str">
        <f>"RET201801318247"</f>
        <v>RET201801318247</v>
      </c>
      <c r="I2069" t="str">
        <f>"TMRS CITY OF FLORESVILLE"</f>
        <v>TMRS CITY OF FLORESVILLE</v>
      </c>
    </row>
    <row r="2070" spans="1:9" x14ac:dyDescent="0.25">
      <c r="A2070" s="6">
        <v>43144</v>
      </c>
      <c r="B2070" t="s">
        <v>26</v>
      </c>
      <c r="C2070">
        <v>56801</v>
      </c>
      <c r="D2070" t="s">
        <v>117</v>
      </c>
      <c r="E2070" s="7">
        <v>985.22</v>
      </c>
      <c r="F2070" t="s">
        <v>20</v>
      </c>
      <c r="G2070" t="s">
        <v>21</v>
      </c>
      <c r="H2070" t="str">
        <f>"DEC 2017"</f>
        <v>DEC 2017</v>
      </c>
      <c r="I2070" t="str">
        <f>"LINEBARGER GOGGAN BLAIR &amp; SAMP"</f>
        <v>LINEBARGER GOGGAN BLAIR &amp; SAMP</v>
      </c>
    </row>
    <row r="2071" spans="1:9" x14ac:dyDescent="0.25">
      <c r="A2071" s="6">
        <v>43144</v>
      </c>
      <c r="B2071" t="s">
        <v>26</v>
      </c>
      <c r="C2071">
        <v>56802</v>
      </c>
      <c r="D2071" t="s">
        <v>290</v>
      </c>
      <c r="E2071" s="7">
        <v>3810</v>
      </c>
      <c r="F2071" t="s">
        <v>20</v>
      </c>
      <c r="G2071" t="s">
        <v>21</v>
      </c>
      <c r="H2071" t="str">
        <f>"201802138265"</f>
        <v>201802138265</v>
      </c>
      <c r="I2071" t="str">
        <f>"TEXAS RURAL WATER ASSOCIATION"</f>
        <v>TEXAS RURAL WATER ASSOCIATION</v>
      </c>
    </row>
    <row r="2072" spans="1:9" x14ac:dyDescent="0.25">
      <c r="A2072" s="6">
        <v>43144</v>
      </c>
      <c r="B2072" t="s">
        <v>26</v>
      </c>
      <c r="C2072">
        <v>56803</v>
      </c>
      <c r="D2072" t="s">
        <v>291</v>
      </c>
      <c r="E2072" s="7">
        <v>9000</v>
      </c>
      <c r="F2072" t="s">
        <v>20</v>
      </c>
      <c r="G2072" t="s">
        <v>21</v>
      </c>
      <c r="H2072" t="str">
        <f>"AGENDA ITEM 5C"</f>
        <v>AGENDA ITEM 5C</v>
      </c>
      <c r="I2072" t="str">
        <f>"WILSON COUNTY HISTORICAL SOCIE"</f>
        <v>WILSON COUNTY HISTORICAL SOCIE</v>
      </c>
    </row>
    <row r="2073" spans="1:9" x14ac:dyDescent="0.25">
      <c r="A2073" s="6">
        <v>43144</v>
      </c>
      <c r="B2073" t="s">
        <v>26</v>
      </c>
      <c r="C2073">
        <v>56804</v>
      </c>
      <c r="D2073" t="s">
        <v>94</v>
      </c>
      <c r="E2073" s="7">
        <v>2715.95</v>
      </c>
      <c r="F2073" t="s">
        <v>20</v>
      </c>
      <c r="G2073" t="s">
        <v>21</v>
      </c>
      <c r="H2073" t="str">
        <f>"4173181"</f>
        <v>4173181</v>
      </c>
      <c r="I2073" t="str">
        <f>"DENTAL SELECT"</f>
        <v>DENTAL SELECT</v>
      </c>
    </row>
    <row r="2074" spans="1:9" x14ac:dyDescent="0.25">
      <c r="E2074" s="7"/>
      <c r="F2074" t="s">
        <v>20</v>
      </c>
      <c r="G2074" t="s">
        <v>21</v>
      </c>
      <c r="H2074" t="str">
        <f>"DEN201801178215"</f>
        <v>DEN201801178215</v>
      </c>
      <c r="I2074" t="str">
        <f>"DENTAL INSURANCE"</f>
        <v>DENTAL INSURANCE</v>
      </c>
    </row>
    <row r="2075" spans="1:9" x14ac:dyDescent="0.25">
      <c r="E2075" s="7"/>
      <c r="F2075" t="s">
        <v>20</v>
      </c>
      <c r="G2075" t="s">
        <v>21</v>
      </c>
      <c r="H2075" t="str">
        <f>"DEN201801318246"</f>
        <v>DEN201801318246</v>
      </c>
      <c r="I2075" t="str">
        <f>"DENTAL INSURANCE"</f>
        <v>DENTAL INSURANCE</v>
      </c>
    </row>
    <row r="2076" spans="1:9" x14ac:dyDescent="0.25">
      <c r="A2076" s="6">
        <v>43144</v>
      </c>
      <c r="B2076" t="s">
        <v>26</v>
      </c>
      <c r="C2076">
        <v>56805</v>
      </c>
      <c r="D2076" t="s">
        <v>95</v>
      </c>
      <c r="E2076" s="7">
        <v>84.78</v>
      </c>
      <c r="F2076" t="s">
        <v>20</v>
      </c>
      <c r="G2076" t="s">
        <v>21</v>
      </c>
      <c r="H2076" t="str">
        <f>"201801035"</f>
        <v>201801035</v>
      </c>
      <c r="I2076" t="str">
        <f>"LEGAL PLANS"</f>
        <v>LEGAL PLANS</v>
      </c>
    </row>
    <row r="2077" spans="1:9" x14ac:dyDescent="0.25">
      <c r="E2077" s="7"/>
      <c r="F2077" t="s">
        <v>20</v>
      </c>
      <c r="G2077" t="s">
        <v>21</v>
      </c>
      <c r="H2077" t="str">
        <f>"LEA201801178215"</f>
        <v>LEA201801178215</v>
      </c>
      <c r="I2077" t="str">
        <f>"INSURANCE"</f>
        <v>INSURANCE</v>
      </c>
    </row>
    <row r="2078" spans="1:9" x14ac:dyDescent="0.25">
      <c r="E2078" s="7"/>
      <c r="F2078" t="s">
        <v>20</v>
      </c>
      <c r="G2078" t="s">
        <v>21</v>
      </c>
      <c r="H2078" t="str">
        <f>"LEA201801318246"</f>
        <v>LEA201801318246</v>
      </c>
      <c r="I2078" t="str">
        <f>"INSURANCE"</f>
        <v>INSURANCE</v>
      </c>
    </row>
    <row r="2079" spans="1:9" x14ac:dyDescent="0.25">
      <c r="A2079" s="6">
        <v>43144</v>
      </c>
      <c r="B2079" t="s">
        <v>26</v>
      </c>
      <c r="C2079">
        <v>56806</v>
      </c>
      <c r="D2079" t="s">
        <v>96</v>
      </c>
      <c r="E2079" s="7">
        <v>587.79999999999995</v>
      </c>
      <c r="F2079" t="s">
        <v>20</v>
      </c>
      <c r="G2079" t="s">
        <v>21</v>
      </c>
      <c r="H2079" t="str">
        <f>"201802138263"</f>
        <v>201802138263</v>
      </c>
      <c r="I2079" t="str">
        <f>"LEGALSHIELD"</f>
        <v>LEGALSHIELD</v>
      </c>
    </row>
    <row r="2080" spans="1:9" x14ac:dyDescent="0.25">
      <c r="E2080" s="7"/>
      <c r="F2080" t="s">
        <v>20</v>
      </c>
      <c r="G2080" t="s">
        <v>21</v>
      </c>
      <c r="H2080" t="str">
        <f>"PPL201801178215"</f>
        <v>PPL201801178215</v>
      </c>
      <c r="I2080" t="str">
        <f>"INSURANCE"</f>
        <v>INSURANCE</v>
      </c>
    </row>
    <row r="2081" spans="1:9" x14ac:dyDescent="0.25">
      <c r="E2081" s="7"/>
      <c r="F2081" t="s">
        <v>20</v>
      </c>
      <c r="G2081" t="s">
        <v>21</v>
      </c>
      <c r="H2081" t="str">
        <f>"PPL201801318246"</f>
        <v>PPL201801318246</v>
      </c>
      <c r="I2081" t="str">
        <f>"INSURANCE"</f>
        <v>INSURANCE</v>
      </c>
    </row>
    <row r="2082" spans="1:9" x14ac:dyDescent="0.25">
      <c r="A2082" s="6">
        <v>43144</v>
      </c>
      <c r="B2082" t="s">
        <v>26</v>
      </c>
      <c r="C2082">
        <v>56807</v>
      </c>
      <c r="D2082" t="s">
        <v>292</v>
      </c>
      <c r="E2082" s="7">
        <v>67.55</v>
      </c>
      <c r="F2082" t="s">
        <v>20</v>
      </c>
      <c r="G2082" t="s">
        <v>21</v>
      </c>
      <c r="H2082" t="str">
        <f>"TRNG 2.15.18"</f>
        <v>TRNG 2.15.18</v>
      </c>
      <c r="I2082" t="str">
        <f>"MELINDA RILEY"</f>
        <v>MELINDA RILEY</v>
      </c>
    </row>
    <row r="2083" spans="1:9" x14ac:dyDescent="0.25">
      <c r="A2083" s="6">
        <v>43144</v>
      </c>
      <c r="B2083" t="s">
        <v>91</v>
      </c>
      <c r="C2083">
        <v>56808</v>
      </c>
      <c r="D2083" t="s">
        <v>97</v>
      </c>
      <c r="E2083" s="7">
        <v>1865.36</v>
      </c>
      <c r="F2083" t="s">
        <v>20</v>
      </c>
      <c r="G2083" t="s">
        <v>21</v>
      </c>
      <c r="H2083" t="str">
        <f>"BME201801178215"</f>
        <v>BME201801178215</v>
      </c>
      <c r="I2083" t="str">
        <f>"INSURANCE"</f>
        <v>INSURANCE</v>
      </c>
    </row>
    <row r="2084" spans="1:9" x14ac:dyDescent="0.25">
      <c r="E2084" s="7"/>
      <c r="F2084" t="s">
        <v>20</v>
      </c>
      <c r="G2084" t="s">
        <v>21</v>
      </c>
      <c r="H2084" t="str">
        <f>"BME201801318246"</f>
        <v>BME201801318246</v>
      </c>
      <c r="I2084" t="str">
        <f>"INSURANCE"</f>
        <v>INSURANCE</v>
      </c>
    </row>
    <row r="2085" spans="1:9" x14ac:dyDescent="0.25">
      <c r="A2085" s="6">
        <v>43144</v>
      </c>
      <c r="B2085" t="s">
        <v>91</v>
      </c>
      <c r="C2085">
        <v>56808</v>
      </c>
      <c r="D2085" t="s">
        <v>97</v>
      </c>
      <c r="E2085" s="7">
        <v>1865.36</v>
      </c>
      <c r="F2085" t="s">
        <v>20</v>
      </c>
      <c r="G2085" t="s">
        <v>93</v>
      </c>
      <c r="H2085" t="str">
        <f>"CHECK"</f>
        <v>CHECK</v>
      </c>
      <c r="I2085" t="str">
        <f>""</f>
        <v/>
      </c>
    </row>
    <row r="2086" spans="1:9" x14ac:dyDescent="0.25">
      <c r="A2086" s="6">
        <v>43144</v>
      </c>
      <c r="B2086" t="s">
        <v>26</v>
      </c>
      <c r="C2086">
        <v>56809</v>
      </c>
      <c r="D2086" t="s">
        <v>98</v>
      </c>
      <c r="E2086" s="7">
        <v>2412.65</v>
      </c>
      <c r="F2086" t="s">
        <v>20</v>
      </c>
      <c r="G2086" t="s">
        <v>24</v>
      </c>
      <c r="H2086" t="str">
        <f>"2/2018"</f>
        <v>2/2018</v>
      </c>
      <c r="I2086" t="str">
        <f>"DEARBORN NATIONAL"</f>
        <v>DEARBORN NATIONAL</v>
      </c>
    </row>
    <row r="2087" spans="1:9" x14ac:dyDescent="0.25">
      <c r="E2087" s="7"/>
      <c r="F2087" t="s">
        <v>20</v>
      </c>
      <c r="G2087" t="s">
        <v>24</v>
      </c>
      <c r="H2087" t="str">
        <f>"201802138266"</f>
        <v>201802138266</v>
      </c>
      <c r="I2087" t="str">
        <f>"DEARBORN NATIONAL"</f>
        <v>DEARBORN NATIONAL</v>
      </c>
    </row>
    <row r="2088" spans="1:9" x14ac:dyDescent="0.25">
      <c r="E2088" s="7"/>
      <c r="F2088" t="s">
        <v>20</v>
      </c>
      <c r="G2088" t="s">
        <v>21</v>
      </c>
      <c r="H2088" t="str">
        <f>"STD201801178215"</f>
        <v>STD201801178215</v>
      </c>
      <c r="I2088" t="str">
        <f>"SHORT TERM DISABILITY"</f>
        <v>SHORT TERM DISABILITY</v>
      </c>
    </row>
    <row r="2089" spans="1:9" x14ac:dyDescent="0.25">
      <c r="E2089" s="7"/>
      <c r="F2089" t="s">
        <v>20</v>
      </c>
      <c r="G2089" t="s">
        <v>21</v>
      </c>
      <c r="H2089" t="str">
        <f>"STD201801318246"</f>
        <v>STD201801318246</v>
      </c>
      <c r="I2089" t="str">
        <f>"SHORT TERM DISABILITY"</f>
        <v>SHORT TERM DISABILITY</v>
      </c>
    </row>
    <row r="2090" spans="1:9" x14ac:dyDescent="0.25">
      <c r="E2090" s="7"/>
      <c r="F2090" t="s">
        <v>20</v>
      </c>
      <c r="G2090" t="s">
        <v>21</v>
      </c>
      <c r="H2090" t="str">
        <f>"STD201801318247"</f>
        <v>STD201801318247</v>
      </c>
      <c r="I2090" t="str">
        <f>"SHORT TERM DISABILITY"</f>
        <v>SHORT TERM DISABILITY</v>
      </c>
    </row>
    <row r="2091" spans="1:9" x14ac:dyDescent="0.25">
      <c r="E2091" s="7"/>
      <c r="F2091" t="s">
        <v>20</v>
      </c>
      <c r="G2091" t="s">
        <v>21</v>
      </c>
      <c r="H2091" t="str">
        <f>"VLC201801178215"</f>
        <v>VLC201801178215</v>
      </c>
      <c r="I2091" t="str">
        <f>"CHILD LIFE INSURANCE"</f>
        <v>CHILD LIFE INSURANCE</v>
      </c>
    </row>
    <row r="2092" spans="1:9" x14ac:dyDescent="0.25">
      <c r="E2092" s="7"/>
      <c r="F2092" t="s">
        <v>20</v>
      </c>
      <c r="G2092" t="s">
        <v>21</v>
      </c>
      <c r="H2092" t="str">
        <f>"VLC201801318246"</f>
        <v>VLC201801318246</v>
      </c>
      <c r="I2092" t="str">
        <f>"CHILD LIFE INSURANCE"</f>
        <v>CHILD LIFE INSURANCE</v>
      </c>
    </row>
    <row r="2093" spans="1:9" x14ac:dyDescent="0.25">
      <c r="E2093" s="7"/>
      <c r="F2093" t="s">
        <v>20</v>
      </c>
      <c r="G2093" t="s">
        <v>21</v>
      </c>
      <c r="H2093" t="str">
        <f>"VLS201801178215"</f>
        <v>VLS201801178215</v>
      </c>
      <c r="I2093" t="str">
        <f>"SPOUSE LIFE"</f>
        <v>SPOUSE LIFE</v>
      </c>
    </row>
    <row r="2094" spans="1:9" x14ac:dyDescent="0.25">
      <c r="E2094" s="7"/>
      <c r="F2094" t="s">
        <v>20</v>
      </c>
      <c r="G2094" t="s">
        <v>21</v>
      </c>
      <c r="H2094" t="str">
        <f>"VLS201801318246"</f>
        <v>VLS201801318246</v>
      </c>
      <c r="I2094" t="str">
        <f>"SPOUSE LIFE"</f>
        <v>SPOUSE LIFE</v>
      </c>
    </row>
    <row r="2095" spans="1:9" x14ac:dyDescent="0.25">
      <c r="E2095" s="7"/>
      <c r="F2095" t="s">
        <v>20</v>
      </c>
      <c r="G2095" t="s">
        <v>21</v>
      </c>
      <c r="H2095" t="str">
        <f>"VOE201801178215"</f>
        <v>VOE201801178215</v>
      </c>
      <c r="I2095" t="str">
        <f>"EMPLOYEE LIFE"</f>
        <v>EMPLOYEE LIFE</v>
      </c>
    </row>
    <row r="2096" spans="1:9" x14ac:dyDescent="0.25">
      <c r="E2096" s="7"/>
      <c r="F2096" t="s">
        <v>20</v>
      </c>
      <c r="G2096" t="s">
        <v>21</v>
      </c>
      <c r="H2096" t="str">
        <f>"VOE201801318246"</f>
        <v>VOE201801318246</v>
      </c>
      <c r="I2096" t="str">
        <f>"EMPLOYEE LIFE"</f>
        <v>EMPLOYEE LIFE</v>
      </c>
    </row>
    <row r="2097" spans="1:9" x14ac:dyDescent="0.25">
      <c r="E2097" s="7"/>
      <c r="F2097" t="s">
        <v>20</v>
      </c>
      <c r="G2097" t="s">
        <v>21</v>
      </c>
      <c r="H2097" t="str">
        <f>"VOE201801318247"</f>
        <v>VOE201801318247</v>
      </c>
      <c r="I2097" t="str">
        <f>"EMPLOYEE LIFE"</f>
        <v>EMPLOYEE LIFE</v>
      </c>
    </row>
    <row r="2098" spans="1:9" x14ac:dyDescent="0.25">
      <c r="E2098" s="7"/>
      <c r="F2098" t="s">
        <v>20</v>
      </c>
      <c r="G2098" t="s">
        <v>21</v>
      </c>
      <c r="H2098" t="str">
        <f>"VOL201801178215"</f>
        <v>VOL201801178215</v>
      </c>
      <c r="I2098" t="str">
        <f>"LIFE"</f>
        <v>LIFE</v>
      </c>
    </row>
    <row r="2099" spans="1:9" x14ac:dyDescent="0.25">
      <c r="E2099" s="7"/>
      <c r="F2099" t="s">
        <v>20</v>
      </c>
      <c r="G2099" t="s">
        <v>21</v>
      </c>
      <c r="H2099" t="str">
        <f>"VOL201801318246"</f>
        <v>VOL201801318246</v>
      </c>
      <c r="I2099" t="str">
        <f>"LIFE"</f>
        <v>LIFE</v>
      </c>
    </row>
    <row r="2100" spans="1:9" x14ac:dyDescent="0.25">
      <c r="A2100" s="6">
        <v>43144</v>
      </c>
      <c r="B2100" t="s">
        <v>26</v>
      </c>
      <c r="C2100">
        <v>56820</v>
      </c>
      <c r="D2100" t="s">
        <v>84</v>
      </c>
      <c r="E2100" s="7">
        <v>424</v>
      </c>
      <c r="F2100" t="s">
        <v>20</v>
      </c>
      <c r="G2100" t="s">
        <v>21</v>
      </c>
      <c r="H2100" t="str">
        <f>"1293764"</f>
        <v>1293764</v>
      </c>
      <c r="I2100" t="str">
        <f>"STANTEC CONSULTING SERVICES IN"</f>
        <v>STANTEC CONSULTING SERVICES IN</v>
      </c>
    </row>
    <row r="2101" spans="1:9" x14ac:dyDescent="0.25">
      <c r="A2101" s="6">
        <v>43144</v>
      </c>
      <c r="B2101" t="s">
        <v>26</v>
      </c>
      <c r="C2101">
        <v>56821</v>
      </c>
      <c r="D2101" t="s">
        <v>99</v>
      </c>
      <c r="E2101" s="7">
        <v>744.02</v>
      </c>
      <c r="F2101" t="s">
        <v>20</v>
      </c>
      <c r="G2101" t="s">
        <v>21</v>
      </c>
      <c r="H2101" t="str">
        <f>"2/2018"</f>
        <v>2/2018</v>
      </c>
      <c r="I2101" t="str">
        <f>"VISION SERVICE PLAN"</f>
        <v>VISION SERVICE PLAN</v>
      </c>
    </row>
    <row r="2102" spans="1:9" x14ac:dyDescent="0.25">
      <c r="E2102" s="7"/>
      <c r="F2102" t="s">
        <v>20</v>
      </c>
      <c r="G2102" t="s">
        <v>21</v>
      </c>
      <c r="H2102" t="str">
        <f>"VIS201801178215"</f>
        <v>VIS201801178215</v>
      </c>
      <c r="I2102" t="str">
        <f>"VISION INSURANCE"</f>
        <v>VISION INSURANCE</v>
      </c>
    </row>
    <row r="2103" spans="1:9" x14ac:dyDescent="0.25">
      <c r="E2103" s="7"/>
      <c r="F2103" t="s">
        <v>20</v>
      </c>
      <c r="G2103" t="s">
        <v>21</v>
      </c>
      <c r="H2103" t="str">
        <f>"VIS201801318246"</f>
        <v>VIS201801318246</v>
      </c>
      <c r="I2103" t="str">
        <f>"VISION INSURANCE"</f>
        <v>VISION INSURANCE</v>
      </c>
    </row>
    <row r="2104" spans="1:9" x14ac:dyDescent="0.25">
      <c r="A2104" s="6">
        <v>43144</v>
      </c>
      <c r="B2104" t="s">
        <v>26</v>
      </c>
      <c r="C2104">
        <v>56822</v>
      </c>
      <c r="D2104" t="s">
        <v>221</v>
      </c>
      <c r="E2104" s="7">
        <v>41694.980000000003</v>
      </c>
      <c r="F2104" t="s">
        <v>20</v>
      </c>
      <c r="G2104" t="s">
        <v>24</v>
      </c>
      <c r="H2104" t="str">
        <f>"201802138264"</f>
        <v>201802138264</v>
      </c>
      <c r="I2104" t="str">
        <f>"TML MULTISTATE INTERGOVERNMENT"</f>
        <v>TML MULTISTATE INTERGOVERNMENT</v>
      </c>
    </row>
    <row r="2105" spans="1:9" x14ac:dyDescent="0.25">
      <c r="E2105" s="7"/>
      <c r="F2105" t="s">
        <v>20</v>
      </c>
      <c r="G2105" t="s">
        <v>21</v>
      </c>
      <c r="H2105" t="str">
        <f>"MED201801178215"</f>
        <v>MED201801178215</v>
      </c>
      <c r="I2105" t="str">
        <f>"INSURANCE"</f>
        <v>INSURANCE</v>
      </c>
    </row>
    <row r="2106" spans="1:9" x14ac:dyDescent="0.25">
      <c r="E2106" s="7"/>
      <c r="F2106" t="s">
        <v>20</v>
      </c>
      <c r="G2106" t="s">
        <v>21</v>
      </c>
      <c r="H2106" t="str">
        <f>"MED201801318246"</f>
        <v>MED201801318246</v>
      </c>
      <c r="I2106" t="str">
        <f>"INSURANCE"</f>
        <v>INSURANCE</v>
      </c>
    </row>
    <row r="2107" spans="1:9" x14ac:dyDescent="0.25">
      <c r="E2107" s="7"/>
      <c r="F2107" t="s">
        <v>20</v>
      </c>
      <c r="G2107" t="s">
        <v>21</v>
      </c>
      <c r="H2107" t="str">
        <f>"MED201801318247"</f>
        <v>MED201801318247</v>
      </c>
      <c r="I2107" t="str">
        <f>"INSURANCE"</f>
        <v>INSURANCE</v>
      </c>
    </row>
    <row r="2108" spans="1:9" x14ac:dyDescent="0.25">
      <c r="A2108" s="6">
        <v>43144</v>
      </c>
      <c r="B2108" t="s">
        <v>26</v>
      </c>
      <c r="C2108">
        <v>56834</v>
      </c>
      <c r="D2108" t="s">
        <v>51</v>
      </c>
      <c r="E2108" s="7">
        <v>327.84</v>
      </c>
      <c r="F2108" t="s">
        <v>20</v>
      </c>
      <c r="G2108" t="s">
        <v>21</v>
      </c>
      <c r="H2108" t="str">
        <f>"CLE201802138272"</f>
        <v>CLE201802138272</v>
      </c>
      <c r="I2108" t="str">
        <f>"CLEAT ONLY DUES"</f>
        <v>CLEAT ONLY DUES</v>
      </c>
    </row>
    <row r="2109" spans="1:9" x14ac:dyDescent="0.25">
      <c r="E2109" s="7"/>
      <c r="F2109" t="s">
        <v>20</v>
      </c>
      <c r="G2109" t="s">
        <v>21</v>
      </c>
      <c r="H2109" t="str">
        <f>"PDD201802138272"</f>
        <v>PDD201802138272</v>
      </c>
      <c r="I2109" t="str">
        <f>"POLICE OFFICERS ASSOC DUES"</f>
        <v>POLICE OFFICERS ASSOC DUES</v>
      </c>
    </row>
    <row r="2110" spans="1:9" x14ac:dyDescent="0.25">
      <c r="A2110" s="6">
        <v>43144</v>
      </c>
      <c r="B2110" t="s">
        <v>26</v>
      </c>
      <c r="C2110">
        <v>56835</v>
      </c>
      <c r="D2110" t="s">
        <v>90</v>
      </c>
      <c r="E2110" s="7">
        <v>114.96</v>
      </c>
      <c r="F2110" t="s">
        <v>20</v>
      </c>
      <c r="G2110" t="s">
        <v>21</v>
      </c>
      <c r="H2110" t="str">
        <f>"AFS201802138272"</f>
        <v>AFS201802138272</v>
      </c>
      <c r="I2110" t="str">
        <f>"AFLAC STD"</f>
        <v>AFLAC STD</v>
      </c>
    </row>
    <row r="2111" spans="1:9" x14ac:dyDescent="0.25">
      <c r="A2111" s="6">
        <v>43144</v>
      </c>
      <c r="B2111" t="s">
        <v>26</v>
      </c>
      <c r="C2111">
        <v>56836</v>
      </c>
      <c r="D2111" t="s">
        <v>52</v>
      </c>
      <c r="E2111" s="7">
        <v>1495.38</v>
      </c>
      <c r="F2111" t="s">
        <v>20</v>
      </c>
      <c r="G2111" t="s">
        <v>21</v>
      </c>
      <c r="H2111" t="str">
        <f>"CPS201802138272"</f>
        <v>CPS201802138272</v>
      </c>
      <c r="I2111" t="str">
        <f>"G MENDOZA 00123012032010EM5054"</f>
        <v>G MENDOZA 00123012032010EM5054</v>
      </c>
    </row>
    <row r="2112" spans="1:9" x14ac:dyDescent="0.25">
      <c r="E2112" s="7"/>
      <c r="F2112" t="s">
        <v>20</v>
      </c>
      <c r="G2112" t="s">
        <v>21</v>
      </c>
      <c r="H2112" t="str">
        <f>"CS 201802138272"</f>
        <v>CS 201802138272</v>
      </c>
      <c r="I2112" t="str">
        <f>"CAUSE#98EM504113 PEGGY RIVAS"</f>
        <v>CAUSE#98EM504113 PEGGY RIVAS</v>
      </c>
    </row>
    <row r="2113" spans="1:9" x14ac:dyDescent="0.25">
      <c r="E2113" s="7"/>
      <c r="F2113" t="s">
        <v>20</v>
      </c>
      <c r="G2113" t="s">
        <v>21</v>
      </c>
      <c r="H2113" t="str">
        <f>"CS1201802138272"</f>
        <v>CS1201802138272</v>
      </c>
      <c r="I2113" t="str">
        <f>"CAUSE# 10008CVW DEBRA ESQUEDA"</f>
        <v>CAUSE# 10008CVW DEBRA ESQUEDA</v>
      </c>
    </row>
    <row r="2114" spans="1:9" x14ac:dyDescent="0.25">
      <c r="E2114" s="7"/>
      <c r="F2114" t="s">
        <v>20</v>
      </c>
      <c r="G2114" t="s">
        <v>21</v>
      </c>
      <c r="H2114" t="str">
        <f>"CSJ201802138272"</f>
        <v>CSJ201802138272</v>
      </c>
      <c r="I2114" t="str">
        <f>"CAUSE# 0010185272 MARIANN GUTI"</f>
        <v>CAUSE# 0010185272 MARIANN GUTI</v>
      </c>
    </row>
    <row r="2115" spans="1:9" x14ac:dyDescent="0.25">
      <c r="E2115" s="7"/>
      <c r="F2115" t="s">
        <v>20</v>
      </c>
      <c r="G2115" t="s">
        <v>21</v>
      </c>
      <c r="H2115" t="str">
        <f>"CST201802138272"</f>
        <v>CST201802138272</v>
      </c>
      <c r="I2115" t="str">
        <f>"CAUSE #0009418917 SONIA PEREZ"</f>
        <v>CAUSE #0009418917 SONIA PEREZ</v>
      </c>
    </row>
    <row r="2116" spans="1:9" x14ac:dyDescent="0.25">
      <c r="A2116" s="6">
        <v>43144</v>
      </c>
      <c r="B2116" t="s">
        <v>26</v>
      </c>
      <c r="C2116">
        <v>56837</v>
      </c>
      <c r="D2116" t="s">
        <v>53</v>
      </c>
      <c r="E2116" s="7">
        <v>99.1</v>
      </c>
      <c r="F2116" t="s">
        <v>20</v>
      </c>
      <c r="G2116" t="s">
        <v>21</v>
      </c>
      <c r="H2116" t="str">
        <f>"MCO201802138272"</f>
        <v>MCO201802138272</v>
      </c>
      <c r="I2116" t="str">
        <f>"MONICA CORDOVA"</f>
        <v>MONICA CORDOVA</v>
      </c>
    </row>
    <row r="2117" spans="1:9" x14ac:dyDescent="0.25">
      <c r="A2117" s="6">
        <v>43144</v>
      </c>
      <c r="B2117" t="s">
        <v>26</v>
      </c>
      <c r="C2117">
        <v>56838</v>
      </c>
      <c r="D2117" t="s">
        <v>54</v>
      </c>
      <c r="E2117" s="7">
        <v>845.48</v>
      </c>
      <c r="F2117" t="s">
        <v>20</v>
      </c>
      <c r="G2117" t="s">
        <v>21</v>
      </c>
      <c r="H2117" t="str">
        <f>"457201802138272"</f>
        <v>457201802138272</v>
      </c>
      <c r="I2117" t="str">
        <f>"CASE # 180-60751 457B DEDUCT"</f>
        <v>CASE # 180-60751 457B DEDUCT</v>
      </c>
    </row>
    <row r="2118" spans="1:9" x14ac:dyDescent="0.25">
      <c r="A2118" s="6">
        <v>43144</v>
      </c>
      <c r="B2118" t="s">
        <v>26</v>
      </c>
      <c r="C2118">
        <v>56839</v>
      </c>
      <c r="D2118" t="s">
        <v>30</v>
      </c>
      <c r="E2118" s="7">
        <v>498.24</v>
      </c>
      <c r="F2118" t="s">
        <v>20</v>
      </c>
      <c r="G2118" t="s">
        <v>21</v>
      </c>
      <c r="H2118" t="str">
        <f>"2018-03"</f>
        <v>2018-03</v>
      </c>
      <c r="I2118" t="str">
        <f>"MARIA GONZALES"</f>
        <v>MARIA GONZALES</v>
      </c>
    </row>
    <row r="2119" spans="1:9" x14ac:dyDescent="0.25">
      <c r="A2119" s="6">
        <v>43144</v>
      </c>
      <c r="B2119" t="s">
        <v>26</v>
      </c>
      <c r="C2119">
        <v>56840</v>
      </c>
      <c r="D2119" t="s">
        <v>293</v>
      </c>
      <c r="E2119" s="7">
        <v>25000</v>
      </c>
      <c r="F2119" t="s">
        <v>20</v>
      </c>
      <c r="G2119" t="s">
        <v>21</v>
      </c>
      <c r="H2119" t="str">
        <f>"201802138273"</f>
        <v>201802138273</v>
      </c>
      <c r="I2119" t="str">
        <f>"CASTILLON CONSTRUCTION INC"</f>
        <v>CASTILLON CONSTRUCTION INC</v>
      </c>
    </row>
    <row r="2120" spans="1:9" x14ac:dyDescent="0.25">
      <c r="A2120" s="6">
        <v>43146</v>
      </c>
      <c r="B2120" t="s">
        <v>26</v>
      </c>
      <c r="C2120">
        <v>56841</v>
      </c>
      <c r="D2120" t="s">
        <v>205</v>
      </c>
      <c r="E2120" s="7">
        <v>344.8</v>
      </c>
      <c r="F2120" t="s">
        <v>20</v>
      </c>
      <c r="G2120" t="s">
        <v>21</v>
      </c>
      <c r="H2120" t="str">
        <f>"2.15.18"</f>
        <v>2.15.18</v>
      </c>
      <c r="I2120" t="str">
        <f>"SILVER EAGLE DISTRIBUTORS"</f>
        <v>SILVER EAGLE DISTRIBUTORS</v>
      </c>
    </row>
    <row r="2121" spans="1:9" x14ac:dyDescent="0.25">
      <c r="A2121" s="6">
        <v>43146</v>
      </c>
      <c r="B2121" t="s">
        <v>26</v>
      </c>
      <c r="C2121">
        <v>56842</v>
      </c>
      <c r="D2121" t="s">
        <v>294</v>
      </c>
      <c r="E2121" s="7">
        <v>1000</v>
      </c>
      <c r="F2121" t="s">
        <v>20</v>
      </c>
      <c r="G2121" t="s">
        <v>21</v>
      </c>
      <c r="H2121" t="str">
        <f>"DEP FRDM FEST 18"</f>
        <v>DEP FRDM FEST 18</v>
      </c>
      <c r="I2121" t="str">
        <f>"DAVID FARIAS"</f>
        <v>DAVID FARIAS</v>
      </c>
    </row>
    <row r="2122" spans="1:9" x14ac:dyDescent="0.25">
      <c r="A2122" s="6">
        <v>43146</v>
      </c>
      <c r="B2122" t="s">
        <v>26</v>
      </c>
      <c r="C2122">
        <v>56843</v>
      </c>
      <c r="D2122" t="s">
        <v>295</v>
      </c>
      <c r="E2122" s="7">
        <v>500</v>
      </c>
      <c r="F2122" t="s">
        <v>20</v>
      </c>
      <c r="G2122" t="s">
        <v>21</v>
      </c>
      <c r="H2122" t="str">
        <f>"DEP FRDM FEST 18"</f>
        <v>DEP FRDM FEST 18</v>
      </c>
      <c r="I2122" t="str">
        <f>"VINCENT SERNA JR"</f>
        <v>VINCENT SERNA JR</v>
      </c>
    </row>
    <row r="2123" spans="1:9" x14ac:dyDescent="0.25">
      <c r="A2123" s="6">
        <v>43146</v>
      </c>
      <c r="B2123" t="s">
        <v>26</v>
      </c>
      <c r="C2123">
        <v>56844</v>
      </c>
      <c r="D2123" t="s">
        <v>296</v>
      </c>
      <c r="E2123" s="7">
        <v>1000</v>
      </c>
      <c r="F2123" t="s">
        <v>20</v>
      </c>
      <c r="G2123" t="s">
        <v>21</v>
      </c>
      <c r="H2123" t="str">
        <f>"DEP FRDM FEST 18"</f>
        <v>DEP FRDM FEST 18</v>
      </c>
      <c r="I2123" t="str">
        <f>"LA SOMBRA DE TONY GUERRERO"</f>
        <v>LA SOMBRA DE TONY GUERRERO</v>
      </c>
    </row>
    <row r="2124" spans="1:9" x14ac:dyDescent="0.25">
      <c r="A2124" s="6">
        <v>43146</v>
      </c>
      <c r="B2124" t="s">
        <v>26</v>
      </c>
      <c r="C2124">
        <v>56845</v>
      </c>
      <c r="D2124" t="s">
        <v>297</v>
      </c>
      <c r="E2124" s="7">
        <v>3250</v>
      </c>
      <c r="F2124" t="s">
        <v>20</v>
      </c>
      <c r="G2124" t="s">
        <v>21</v>
      </c>
      <c r="H2124" t="str">
        <f>"DEP FRDM FEST 18"</f>
        <v>DEP FRDM FEST 18</v>
      </c>
      <c r="I2124" t="str">
        <f>"TRUE GRIT TALENT AGENCY LLC"</f>
        <v>TRUE GRIT TALENT AGENCY LLC</v>
      </c>
    </row>
    <row r="2125" spans="1:9" x14ac:dyDescent="0.25">
      <c r="A2125" s="6">
        <v>43151</v>
      </c>
      <c r="B2125" t="s">
        <v>26</v>
      </c>
      <c r="C2125">
        <v>56846</v>
      </c>
      <c r="D2125" t="s">
        <v>47</v>
      </c>
      <c r="E2125" s="7">
        <v>91421.43</v>
      </c>
      <c r="F2125" t="s">
        <v>20</v>
      </c>
      <c r="G2125" t="s">
        <v>21</v>
      </c>
      <c r="H2125" t="str">
        <f>"DRAW #12"</f>
        <v>DRAW #12</v>
      </c>
      <c r="I2125" t="str">
        <f>"HEARTLAND PARK &amp; RECREATION  L"</f>
        <v>HEARTLAND PARK &amp; RECREATION  L</v>
      </c>
    </row>
    <row r="2126" spans="1:9" x14ac:dyDescent="0.25">
      <c r="A2126" s="6">
        <v>43151</v>
      </c>
      <c r="B2126" t="s">
        <v>91</v>
      </c>
      <c r="C2126">
        <v>56847</v>
      </c>
      <c r="D2126" t="s">
        <v>223</v>
      </c>
      <c r="E2126" s="7">
        <v>75</v>
      </c>
      <c r="F2126" t="s">
        <v>20</v>
      </c>
      <c r="G2126" t="s">
        <v>21</v>
      </c>
      <c r="H2126" t="str">
        <f>"022018-COUNCIL"</f>
        <v>022018-COUNCIL</v>
      </c>
      <c r="I2126" t="str">
        <f>""</f>
        <v/>
      </c>
    </row>
    <row r="2127" spans="1:9" x14ac:dyDescent="0.25">
      <c r="A2127" s="6">
        <v>43151</v>
      </c>
      <c r="B2127" t="s">
        <v>26</v>
      </c>
      <c r="C2127">
        <v>56848</v>
      </c>
      <c r="D2127" t="s">
        <v>36</v>
      </c>
      <c r="E2127" s="7">
        <v>75</v>
      </c>
      <c r="F2127" t="s">
        <v>20</v>
      </c>
      <c r="G2127" t="s">
        <v>21</v>
      </c>
      <c r="H2127" t="str">
        <f>"022018-COUNCIL"</f>
        <v>022018-COUNCIL</v>
      </c>
      <c r="I2127" t="str">
        <f>""</f>
        <v/>
      </c>
    </row>
    <row r="2128" spans="1:9" x14ac:dyDescent="0.25">
      <c r="A2128" s="6">
        <v>43151</v>
      </c>
      <c r="B2128" t="s">
        <v>26</v>
      </c>
      <c r="C2128">
        <v>56849</v>
      </c>
      <c r="D2128" t="s">
        <v>37</v>
      </c>
      <c r="E2128" s="7">
        <v>75</v>
      </c>
      <c r="F2128" t="s">
        <v>20</v>
      </c>
      <c r="G2128" t="s">
        <v>21</v>
      </c>
      <c r="H2128" t="str">
        <f>"022018-COUNCIL"</f>
        <v>022018-COUNCIL</v>
      </c>
      <c r="I2128" t="str">
        <f>""</f>
        <v/>
      </c>
    </row>
    <row r="2129" spans="1:9" x14ac:dyDescent="0.25">
      <c r="A2129" s="6">
        <v>43151</v>
      </c>
      <c r="B2129" t="s">
        <v>26</v>
      </c>
      <c r="C2129">
        <v>56850</v>
      </c>
      <c r="D2129" t="s">
        <v>38</v>
      </c>
      <c r="E2129" s="7">
        <v>100</v>
      </c>
      <c r="F2129" t="s">
        <v>20</v>
      </c>
      <c r="G2129" t="s">
        <v>21</v>
      </c>
      <c r="H2129" t="str">
        <f>"022018-MAYOR"</f>
        <v>022018-MAYOR</v>
      </c>
      <c r="I2129" t="str">
        <f>""</f>
        <v/>
      </c>
    </row>
    <row r="2130" spans="1:9" x14ac:dyDescent="0.25">
      <c r="A2130" s="6">
        <v>43151</v>
      </c>
      <c r="B2130" t="s">
        <v>26</v>
      </c>
      <c r="C2130">
        <v>56851</v>
      </c>
      <c r="D2130" t="s">
        <v>39</v>
      </c>
      <c r="E2130" s="7">
        <v>75</v>
      </c>
      <c r="F2130" t="s">
        <v>20</v>
      </c>
      <c r="G2130" t="s">
        <v>21</v>
      </c>
      <c r="H2130" t="str">
        <f>"022018-COUNCIL"</f>
        <v>022018-COUNCIL</v>
      </c>
      <c r="I2130" t="str">
        <f>""</f>
        <v/>
      </c>
    </row>
    <row r="2131" spans="1:9" x14ac:dyDescent="0.25">
      <c r="A2131" s="6">
        <v>43151</v>
      </c>
      <c r="B2131" t="s">
        <v>26</v>
      </c>
      <c r="C2131">
        <v>56852</v>
      </c>
      <c r="D2131" t="s">
        <v>40</v>
      </c>
      <c r="E2131" s="7">
        <v>75</v>
      </c>
      <c r="F2131" t="s">
        <v>20</v>
      </c>
      <c r="G2131" t="s">
        <v>21</v>
      </c>
      <c r="H2131" t="str">
        <f>"022018-COUNCIL"</f>
        <v>022018-COUNCIL</v>
      </c>
      <c r="I2131" t="str">
        <f>""</f>
        <v/>
      </c>
    </row>
    <row r="2132" spans="1:9" x14ac:dyDescent="0.25">
      <c r="A2132" s="6">
        <v>43153</v>
      </c>
      <c r="B2132" t="s">
        <v>26</v>
      </c>
      <c r="C2132">
        <v>56853</v>
      </c>
      <c r="D2132" t="s">
        <v>56</v>
      </c>
      <c r="E2132" s="7">
        <v>58.25</v>
      </c>
      <c r="F2132" t="s">
        <v>20</v>
      </c>
      <c r="G2132" t="s">
        <v>21</v>
      </c>
      <c r="H2132" t="str">
        <f>"164343"</f>
        <v>164343</v>
      </c>
      <c r="I2132" t="str">
        <f>"GERALD LUBIANSKI ENTERPRISES"</f>
        <v>GERALD LUBIANSKI ENTERPRISES</v>
      </c>
    </row>
    <row r="2133" spans="1:9" x14ac:dyDescent="0.25">
      <c r="E2133" s="7"/>
      <c r="F2133" t="s">
        <v>20</v>
      </c>
      <c r="G2133" t="s">
        <v>21</v>
      </c>
      <c r="H2133" t="str">
        <f>"164421"</f>
        <v>164421</v>
      </c>
      <c r="I2133" t="str">
        <f>"GERALD LUBIANSKI ENTERPRISES"</f>
        <v>GERALD LUBIANSKI ENTERPRISES</v>
      </c>
    </row>
    <row r="2134" spans="1:9" x14ac:dyDescent="0.25">
      <c r="A2134" s="6">
        <v>43153</v>
      </c>
      <c r="B2134" t="s">
        <v>26</v>
      </c>
      <c r="C2134">
        <v>56854</v>
      </c>
      <c r="D2134" t="s">
        <v>102</v>
      </c>
      <c r="E2134" s="7">
        <v>691.45</v>
      </c>
      <c r="F2134" t="s">
        <v>20</v>
      </c>
      <c r="G2134" t="s">
        <v>21</v>
      </c>
      <c r="H2134" t="str">
        <f>"201802228283"</f>
        <v>201802228283</v>
      </c>
      <c r="I2134" t="str">
        <f>"CENTERPOINT ENERGY ENTEX"</f>
        <v>CENTERPOINT ENERGY ENTEX</v>
      </c>
    </row>
    <row r="2135" spans="1:9" x14ac:dyDescent="0.25">
      <c r="E2135" s="7"/>
      <c r="F2135" t="s">
        <v>20</v>
      </c>
      <c r="G2135" t="s">
        <v>21</v>
      </c>
      <c r="H2135" t="str">
        <f>"201802228284"</f>
        <v>201802228284</v>
      </c>
      <c r="I2135" t="str">
        <f>"CENTERPOINT ENERGY ENTEX"</f>
        <v>CENTERPOINT ENERGY ENTEX</v>
      </c>
    </row>
    <row r="2136" spans="1:9" x14ac:dyDescent="0.25">
      <c r="E2136" s="7"/>
      <c r="F2136" t="s">
        <v>20</v>
      </c>
      <c r="G2136" t="s">
        <v>21</v>
      </c>
      <c r="H2136" t="str">
        <f>"201802228285"</f>
        <v>201802228285</v>
      </c>
      <c r="I2136" t="str">
        <f>"CENTERPOINT ENERGY ENTEX"</f>
        <v>CENTERPOINT ENERGY ENTEX</v>
      </c>
    </row>
    <row r="2137" spans="1:9" x14ac:dyDescent="0.25">
      <c r="E2137" s="7"/>
      <c r="F2137" t="s">
        <v>20</v>
      </c>
      <c r="G2137" t="s">
        <v>21</v>
      </c>
      <c r="H2137" t="str">
        <f>"201802228286"</f>
        <v>201802228286</v>
      </c>
      <c r="I2137" t="str">
        <f>"CENTERPOINT ENERGY ENTEX"</f>
        <v>CENTERPOINT ENERGY ENTEX</v>
      </c>
    </row>
    <row r="2138" spans="1:9" x14ac:dyDescent="0.25">
      <c r="A2138" s="6">
        <v>43153</v>
      </c>
      <c r="B2138" t="s">
        <v>26</v>
      </c>
      <c r="C2138">
        <v>56855</v>
      </c>
      <c r="D2138" t="s">
        <v>165</v>
      </c>
      <c r="E2138" s="7">
        <v>59.37</v>
      </c>
      <c r="F2138" t="s">
        <v>20</v>
      </c>
      <c r="G2138" t="s">
        <v>21</v>
      </c>
      <c r="H2138" t="str">
        <f>"1.16.18"</f>
        <v>1.16.18</v>
      </c>
      <c r="I2138" t="str">
        <f>"WAL-MART BUSINESS/SYNCB"</f>
        <v>WAL-MART BUSINESS/SYNCB</v>
      </c>
    </row>
    <row r="2139" spans="1:9" x14ac:dyDescent="0.25">
      <c r="A2139" s="6">
        <v>43153</v>
      </c>
      <c r="B2139" t="s">
        <v>26</v>
      </c>
      <c r="C2139">
        <v>56856</v>
      </c>
      <c r="D2139" t="s">
        <v>58</v>
      </c>
      <c r="E2139" s="7">
        <v>259.68</v>
      </c>
      <c r="F2139" t="s">
        <v>20</v>
      </c>
      <c r="G2139" t="s">
        <v>21</v>
      </c>
      <c r="H2139" t="str">
        <f>"519993"</f>
        <v>519993</v>
      </c>
      <c r="I2139" t="str">
        <f>"DEASON ANIMAL HOSPITAL"</f>
        <v>DEASON ANIMAL HOSPITAL</v>
      </c>
    </row>
    <row r="2140" spans="1:9" x14ac:dyDescent="0.25">
      <c r="E2140" s="7"/>
      <c r="F2140" t="s">
        <v>20</v>
      </c>
      <c r="G2140" t="s">
        <v>21</v>
      </c>
      <c r="H2140" t="str">
        <f>"520283"</f>
        <v>520283</v>
      </c>
      <c r="I2140" t="str">
        <f>"DEASON ANIMAL HOSPITAL"</f>
        <v>DEASON ANIMAL HOSPITAL</v>
      </c>
    </row>
    <row r="2141" spans="1:9" x14ac:dyDescent="0.25">
      <c r="E2141" s="7"/>
      <c r="F2141" t="s">
        <v>20</v>
      </c>
      <c r="G2141" t="s">
        <v>21</v>
      </c>
      <c r="H2141" t="str">
        <f>"520640"</f>
        <v>520640</v>
      </c>
      <c r="I2141" t="str">
        <f>"DEASON ANIMAL HOSPITAL"</f>
        <v>DEASON ANIMAL HOSPITAL</v>
      </c>
    </row>
    <row r="2142" spans="1:9" x14ac:dyDescent="0.25">
      <c r="E2142" s="7"/>
      <c r="F2142" t="s">
        <v>20</v>
      </c>
      <c r="G2142" t="s">
        <v>21</v>
      </c>
      <c r="H2142" t="str">
        <f>"520674"</f>
        <v>520674</v>
      </c>
      <c r="I2142" t="str">
        <f>"DEASON ANIMAL HOSPITAL"</f>
        <v>DEASON ANIMAL HOSPITAL</v>
      </c>
    </row>
    <row r="2143" spans="1:9" x14ac:dyDescent="0.25">
      <c r="A2143" s="6">
        <v>43153</v>
      </c>
      <c r="B2143" t="s">
        <v>26</v>
      </c>
      <c r="C2143">
        <v>56857</v>
      </c>
      <c r="D2143" t="s">
        <v>298</v>
      </c>
      <c r="E2143" s="7">
        <v>120</v>
      </c>
      <c r="F2143" t="s">
        <v>20</v>
      </c>
      <c r="G2143" t="s">
        <v>21</v>
      </c>
      <c r="H2143" t="str">
        <f>"201802228278"</f>
        <v>201802228278</v>
      </c>
      <c r="I2143" t="str">
        <f>"HILL PEST CONTROL COMPANY"</f>
        <v>HILL PEST CONTROL COMPANY</v>
      </c>
    </row>
    <row r="2144" spans="1:9" x14ac:dyDescent="0.25">
      <c r="A2144" s="6">
        <v>43153</v>
      </c>
      <c r="B2144" t="s">
        <v>26</v>
      </c>
      <c r="C2144">
        <v>56858</v>
      </c>
      <c r="D2144" t="s">
        <v>59</v>
      </c>
      <c r="E2144" s="7">
        <v>13128.19</v>
      </c>
      <c r="F2144" t="s">
        <v>20</v>
      </c>
      <c r="G2144" t="s">
        <v>21</v>
      </c>
      <c r="H2144" t="str">
        <f>"0926252-2"</f>
        <v>0926252-2</v>
      </c>
      <c r="I2144" t="str">
        <f t="shared" ref="I2144:I2153" si="37">"FERGUSON WATERWORKS - MUNICIPA"</f>
        <v>FERGUSON WATERWORKS - MUNICIPA</v>
      </c>
    </row>
    <row r="2145" spans="1:9" x14ac:dyDescent="0.25">
      <c r="E2145" s="7"/>
      <c r="F2145" t="s">
        <v>20</v>
      </c>
      <c r="G2145" t="s">
        <v>21</v>
      </c>
      <c r="H2145" t="str">
        <f>"0929238-1"</f>
        <v>0929238-1</v>
      </c>
      <c r="I2145" t="str">
        <f t="shared" si="37"/>
        <v>FERGUSON WATERWORKS - MUNICIPA</v>
      </c>
    </row>
    <row r="2146" spans="1:9" x14ac:dyDescent="0.25">
      <c r="E2146" s="7"/>
      <c r="F2146" t="s">
        <v>20</v>
      </c>
      <c r="G2146" t="s">
        <v>21</v>
      </c>
      <c r="H2146" t="str">
        <f>"0931123-1"</f>
        <v>0931123-1</v>
      </c>
      <c r="I2146" t="str">
        <f t="shared" si="37"/>
        <v>FERGUSON WATERWORKS - MUNICIPA</v>
      </c>
    </row>
    <row r="2147" spans="1:9" x14ac:dyDescent="0.25">
      <c r="E2147" s="7"/>
      <c r="F2147" t="s">
        <v>20</v>
      </c>
      <c r="G2147" t="s">
        <v>21</v>
      </c>
      <c r="H2147" t="str">
        <f>"0933098"</f>
        <v>0933098</v>
      </c>
      <c r="I2147" t="str">
        <f t="shared" si="37"/>
        <v>FERGUSON WATERWORKS - MUNICIPA</v>
      </c>
    </row>
    <row r="2148" spans="1:9" x14ac:dyDescent="0.25">
      <c r="E2148" s="7"/>
      <c r="F2148" t="s">
        <v>20</v>
      </c>
      <c r="G2148" t="s">
        <v>21</v>
      </c>
      <c r="H2148" t="str">
        <f>"0933098-1"</f>
        <v>0933098-1</v>
      </c>
      <c r="I2148" t="str">
        <f t="shared" si="37"/>
        <v>FERGUSON WATERWORKS - MUNICIPA</v>
      </c>
    </row>
    <row r="2149" spans="1:9" x14ac:dyDescent="0.25">
      <c r="E2149" s="7"/>
      <c r="F2149" t="s">
        <v>20</v>
      </c>
      <c r="G2149" t="s">
        <v>21</v>
      </c>
      <c r="H2149" t="str">
        <f>"0933098-2"</f>
        <v>0933098-2</v>
      </c>
      <c r="I2149" t="str">
        <f t="shared" si="37"/>
        <v>FERGUSON WATERWORKS - MUNICIPA</v>
      </c>
    </row>
    <row r="2150" spans="1:9" x14ac:dyDescent="0.25">
      <c r="E2150" s="7"/>
      <c r="F2150" t="s">
        <v>20</v>
      </c>
      <c r="G2150" t="s">
        <v>21</v>
      </c>
      <c r="H2150" t="str">
        <f>"0933573"</f>
        <v>0933573</v>
      </c>
      <c r="I2150" t="str">
        <f t="shared" si="37"/>
        <v>FERGUSON WATERWORKS - MUNICIPA</v>
      </c>
    </row>
    <row r="2151" spans="1:9" x14ac:dyDescent="0.25">
      <c r="E2151" s="7"/>
      <c r="F2151" t="s">
        <v>20</v>
      </c>
      <c r="G2151" t="s">
        <v>21</v>
      </c>
      <c r="H2151" t="str">
        <f>"0933592"</f>
        <v>0933592</v>
      </c>
      <c r="I2151" t="str">
        <f t="shared" si="37"/>
        <v>FERGUSON WATERWORKS - MUNICIPA</v>
      </c>
    </row>
    <row r="2152" spans="1:9" x14ac:dyDescent="0.25">
      <c r="E2152" s="7"/>
      <c r="F2152" t="s">
        <v>20</v>
      </c>
      <c r="G2152" t="s">
        <v>21</v>
      </c>
      <c r="H2152" t="str">
        <f>"0935246"</f>
        <v>0935246</v>
      </c>
      <c r="I2152" t="str">
        <f t="shared" si="37"/>
        <v>FERGUSON WATERWORKS - MUNICIPA</v>
      </c>
    </row>
    <row r="2153" spans="1:9" x14ac:dyDescent="0.25">
      <c r="E2153" s="7"/>
      <c r="F2153" t="s">
        <v>20</v>
      </c>
      <c r="G2153" t="s">
        <v>21</v>
      </c>
      <c r="H2153" t="str">
        <f>"0935264"</f>
        <v>0935264</v>
      </c>
      <c r="I2153" t="str">
        <f t="shared" si="37"/>
        <v>FERGUSON WATERWORKS - MUNICIPA</v>
      </c>
    </row>
    <row r="2154" spans="1:9" x14ac:dyDescent="0.25">
      <c r="A2154" s="6">
        <v>43153</v>
      </c>
      <c r="B2154" t="s">
        <v>26</v>
      </c>
      <c r="C2154">
        <v>56860</v>
      </c>
      <c r="D2154" t="s">
        <v>105</v>
      </c>
      <c r="E2154" s="7">
        <v>7</v>
      </c>
      <c r="F2154" t="s">
        <v>20</v>
      </c>
      <c r="G2154" t="s">
        <v>21</v>
      </c>
      <c r="H2154" t="str">
        <f>"281491"</f>
        <v>281491</v>
      </c>
      <c r="I2154" t="str">
        <f>"LUBE WORKS"</f>
        <v>LUBE WORKS</v>
      </c>
    </row>
    <row r="2155" spans="1:9" x14ac:dyDescent="0.25">
      <c r="A2155" s="6">
        <v>43153</v>
      </c>
      <c r="B2155" t="s">
        <v>26</v>
      </c>
      <c r="C2155">
        <v>56861</v>
      </c>
      <c r="D2155" t="s">
        <v>166</v>
      </c>
      <c r="E2155" s="7">
        <v>601</v>
      </c>
      <c r="F2155" t="s">
        <v>20</v>
      </c>
      <c r="G2155" t="s">
        <v>21</v>
      </c>
      <c r="H2155" t="str">
        <f>"201802228288"</f>
        <v>201802228288</v>
      </c>
      <c r="I2155" t="str">
        <f>"PITNEY BOWES PURCHASE POWER"</f>
        <v>PITNEY BOWES PURCHASE POWER</v>
      </c>
    </row>
    <row r="2156" spans="1:9" x14ac:dyDescent="0.25">
      <c r="A2156" s="6">
        <v>43153</v>
      </c>
      <c r="B2156" t="s">
        <v>26</v>
      </c>
      <c r="C2156">
        <v>56862</v>
      </c>
      <c r="D2156" t="s">
        <v>179</v>
      </c>
      <c r="E2156" s="7">
        <v>1237.4100000000001</v>
      </c>
      <c r="F2156" t="s">
        <v>20</v>
      </c>
      <c r="G2156" t="s">
        <v>21</v>
      </c>
      <c r="H2156" t="str">
        <f>"FOCS228698"</f>
        <v>FOCS228698</v>
      </c>
      <c r="I2156" t="str">
        <f>"ANCIRA FORD-MERCURY"</f>
        <v>ANCIRA FORD-MERCURY</v>
      </c>
    </row>
    <row r="2157" spans="1:9" x14ac:dyDescent="0.25">
      <c r="E2157" s="7"/>
      <c r="F2157" t="s">
        <v>20</v>
      </c>
      <c r="G2157" t="s">
        <v>21</v>
      </c>
      <c r="H2157" t="str">
        <f>"FOCS229420"</f>
        <v>FOCS229420</v>
      </c>
      <c r="I2157" t="str">
        <f>"ANCIRA FORD-MERCURY"</f>
        <v>ANCIRA FORD-MERCURY</v>
      </c>
    </row>
    <row r="2158" spans="1:9" x14ac:dyDescent="0.25">
      <c r="E2158" s="7"/>
      <c r="F2158" t="s">
        <v>20</v>
      </c>
      <c r="G2158" t="s">
        <v>21</v>
      </c>
      <c r="H2158" t="str">
        <f>"FOCS229426"</f>
        <v>FOCS229426</v>
      </c>
      <c r="I2158" t="str">
        <f>"ANCIRA FORD-MERCURY"</f>
        <v>ANCIRA FORD-MERCURY</v>
      </c>
    </row>
    <row r="2159" spans="1:9" x14ac:dyDescent="0.25">
      <c r="A2159" s="6">
        <v>43153</v>
      </c>
      <c r="B2159" t="s">
        <v>26</v>
      </c>
      <c r="C2159">
        <v>56863</v>
      </c>
      <c r="D2159" t="s">
        <v>273</v>
      </c>
      <c r="E2159" s="7">
        <v>4065.32</v>
      </c>
      <c r="F2159" t="s">
        <v>20</v>
      </c>
      <c r="G2159" t="s">
        <v>21</v>
      </c>
      <c r="H2159" t="str">
        <f>"5119-000081947"</f>
        <v>5119-000081947</v>
      </c>
      <c r="I2159" t="str">
        <f>"REPUBLIC SERVICES TESSMAN ROAD"</f>
        <v>REPUBLIC SERVICES TESSMAN ROAD</v>
      </c>
    </row>
    <row r="2160" spans="1:9" x14ac:dyDescent="0.25">
      <c r="A2160" s="6">
        <v>43153</v>
      </c>
      <c r="B2160" t="s">
        <v>26</v>
      </c>
      <c r="C2160">
        <v>56864</v>
      </c>
      <c r="D2160" t="s">
        <v>180</v>
      </c>
      <c r="E2160" s="7">
        <v>363.67</v>
      </c>
      <c r="F2160" t="s">
        <v>20</v>
      </c>
      <c r="G2160" t="s">
        <v>21</v>
      </c>
      <c r="H2160" t="str">
        <f>"30119149"</f>
        <v>30119149</v>
      </c>
      <c r="I2160" t="str">
        <f>"DITTMAR LUMBER CO."</f>
        <v>DITTMAR LUMBER CO.</v>
      </c>
    </row>
    <row r="2161" spans="1:9" x14ac:dyDescent="0.25">
      <c r="E2161" s="7"/>
      <c r="F2161" t="s">
        <v>20</v>
      </c>
      <c r="G2161" t="s">
        <v>21</v>
      </c>
      <c r="H2161" t="str">
        <f>"30120630"</f>
        <v>30120630</v>
      </c>
      <c r="I2161" t="str">
        <f>"DITTMAR LUMBER CO."</f>
        <v>DITTMAR LUMBER CO.</v>
      </c>
    </row>
    <row r="2162" spans="1:9" x14ac:dyDescent="0.25">
      <c r="E2162" s="7"/>
      <c r="F2162" t="s">
        <v>20</v>
      </c>
      <c r="G2162" t="s">
        <v>21</v>
      </c>
      <c r="H2162" t="str">
        <f>"30121893"</f>
        <v>30121893</v>
      </c>
      <c r="I2162" t="str">
        <f>"DITTMAR LUMBER CO."</f>
        <v>DITTMAR LUMBER CO.</v>
      </c>
    </row>
    <row r="2163" spans="1:9" x14ac:dyDescent="0.25">
      <c r="A2163" s="6">
        <v>43153</v>
      </c>
      <c r="B2163" t="s">
        <v>26</v>
      </c>
      <c r="C2163">
        <v>56865</v>
      </c>
      <c r="D2163" t="s">
        <v>108</v>
      </c>
      <c r="E2163" s="7">
        <v>1443.68</v>
      </c>
      <c r="F2163" t="s">
        <v>20</v>
      </c>
      <c r="G2163" t="s">
        <v>21</v>
      </c>
      <c r="H2163" t="str">
        <f>"041295587744"</f>
        <v>041295587744</v>
      </c>
      <c r="I2163" t="str">
        <f>"POOLSURE"</f>
        <v>POOLSURE</v>
      </c>
    </row>
    <row r="2164" spans="1:9" x14ac:dyDescent="0.25">
      <c r="A2164" s="6">
        <v>43153</v>
      </c>
      <c r="B2164" t="s">
        <v>26</v>
      </c>
      <c r="C2164">
        <v>56866</v>
      </c>
      <c r="D2164" t="s">
        <v>203</v>
      </c>
      <c r="E2164" s="7">
        <v>1036.3900000000001</v>
      </c>
      <c r="F2164" t="s">
        <v>20</v>
      </c>
      <c r="G2164" t="s">
        <v>21</v>
      </c>
      <c r="H2164" t="str">
        <f>"471062"</f>
        <v>471062</v>
      </c>
      <c r="I2164" t="str">
        <f>"USA BLUEBOOK"</f>
        <v>USA BLUEBOOK</v>
      </c>
    </row>
    <row r="2165" spans="1:9" x14ac:dyDescent="0.25">
      <c r="A2165" s="6">
        <v>43153</v>
      </c>
      <c r="B2165" t="s">
        <v>26</v>
      </c>
      <c r="C2165">
        <v>56867</v>
      </c>
      <c r="D2165" t="s">
        <v>240</v>
      </c>
      <c r="E2165" s="7">
        <v>2691.99</v>
      </c>
      <c r="F2165" t="s">
        <v>20</v>
      </c>
      <c r="G2165" t="s">
        <v>21</v>
      </c>
      <c r="H2165" t="str">
        <f>"0141125-IN"</f>
        <v>0141125-IN</v>
      </c>
      <c r="I2165" t="str">
        <f>"NARDIS PUBLIC SAFETY"</f>
        <v>NARDIS PUBLIC SAFETY</v>
      </c>
    </row>
    <row r="2166" spans="1:9" x14ac:dyDescent="0.25">
      <c r="E2166" s="7"/>
      <c r="F2166" t="s">
        <v>20</v>
      </c>
      <c r="G2166" t="s">
        <v>21</v>
      </c>
      <c r="H2166" t="str">
        <f>"0141531-IN"</f>
        <v>0141531-IN</v>
      </c>
      <c r="I2166" t="str">
        <f>"NARDIS PUBLIC SAFETY"</f>
        <v>NARDIS PUBLIC SAFETY</v>
      </c>
    </row>
    <row r="2167" spans="1:9" x14ac:dyDescent="0.25">
      <c r="E2167" s="7"/>
      <c r="F2167" t="s">
        <v>20</v>
      </c>
      <c r="G2167" t="s">
        <v>21</v>
      </c>
      <c r="H2167" t="str">
        <f>"0141852-IN"</f>
        <v>0141852-IN</v>
      </c>
      <c r="I2167" t="str">
        <f>"NARDIS PUBLIC SAFETY"</f>
        <v>NARDIS PUBLIC SAFETY</v>
      </c>
    </row>
    <row r="2168" spans="1:9" x14ac:dyDescent="0.25">
      <c r="E2168" s="7"/>
      <c r="F2168" t="s">
        <v>20</v>
      </c>
      <c r="G2168" t="s">
        <v>21</v>
      </c>
      <c r="H2168" t="str">
        <f>"0141894-IN"</f>
        <v>0141894-IN</v>
      </c>
      <c r="I2168" t="str">
        <f>"NARDIS PUBLIC SAFETY"</f>
        <v>NARDIS PUBLIC SAFETY</v>
      </c>
    </row>
    <row r="2169" spans="1:9" x14ac:dyDescent="0.25">
      <c r="A2169" s="6">
        <v>43153</v>
      </c>
      <c r="B2169" t="s">
        <v>26</v>
      </c>
      <c r="C2169">
        <v>56868</v>
      </c>
      <c r="D2169" t="s">
        <v>299</v>
      </c>
      <c r="E2169" s="7">
        <v>108.8</v>
      </c>
      <c r="F2169" t="s">
        <v>20</v>
      </c>
      <c r="G2169" t="s">
        <v>21</v>
      </c>
      <c r="H2169" t="str">
        <f>"C.P. - REFUND"</f>
        <v>C.P. - REFUND</v>
      </c>
      <c r="I2169" t="str">
        <f>"TRNG REFUND"</f>
        <v>TRNG REFUND</v>
      </c>
    </row>
    <row r="2170" spans="1:9" x14ac:dyDescent="0.25">
      <c r="A2170" s="6">
        <v>43153</v>
      </c>
      <c r="B2170" t="s">
        <v>26</v>
      </c>
      <c r="C2170">
        <v>56869</v>
      </c>
      <c r="D2170" t="s">
        <v>300</v>
      </c>
      <c r="E2170" s="7">
        <v>50</v>
      </c>
      <c r="F2170" t="s">
        <v>20</v>
      </c>
      <c r="G2170" t="s">
        <v>21</v>
      </c>
      <c r="H2170" t="str">
        <f>"PAV REF"</f>
        <v>PAV REF</v>
      </c>
      <c r="I2170" t="str">
        <f>"PAV REF"</f>
        <v>PAV REF</v>
      </c>
    </row>
    <row r="2171" spans="1:9" x14ac:dyDescent="0.25">
      <c r="A2171" s="6">
        <v>43153</v>
      </c>
      <c r="B2171" t="s">
        <v>26</v>
      </c>
      <c r="C2171">
        <v>56870</v>
      </c>
      <c r="D2171" t="s">
        <v>183</v>
      </c>
      <c r="E2171" s="7">
        <v>82.12</v>
      </c>
      <c r="F2171" t="s">
        <v>20</v>
      </c>
      <c r="G2171" t="s">
        <v>21</v>
      </c>
      <c r="H2171" t="str">
        <f>"TRNG 3.2.18"</f>
        <v>TRNG 3.2.18</v>
      </c>
      <c r="I2171" t="str">
        <f>"TRAINING"</f>
        <v>TRAINING</v>
      </c>
    </row>
    <row r="2172" spans="1:9" x14ac:dyDescent="0.25">
      <c r="A2172" s="6">
        <v>43153</v>
      </c>
      <c r="B2172" t="s">
        <v>26</v>
      </c>
      <c r="C2172">
        <v>56871</v>
      </c>
      <c r="D2172" t="s">
        <v>61</v>
      </c>
      <c r="E2172" s="7">
        <v>1020</v>
      </c>
      <c r="F2172" t="s">
        <v>20</v>
      </c>
      <c r="G2172" t="s">
        <v>21</v>
      </c>
      <c r="H2172" t="str">
        <f>"025-213196"</f>
        <v>025-213196</v>
      </c>
      <c r="I2172" t="str">
        <f>"TYLER TECHNOLOGIES  INC."</f>
        <v>TYLER TECHNOLOGIES  INC.</v>
      </c>
    </row>
    <row r="2173" spans="1:9" x14ac:dyDescent="0.25">
      <c r="A2173" s="6">
        <v>43153</v>
      </c>
      <c r="B2173" t="s">
        <v>26</v>
      </c>
      <c r="C2173">
        <v>56872</v>
      </c>
      <c r="D2173" t="s">
        <v>184</v>
      </c>
      <c r="E2173" s="7">
        <v>1750</v>
      </c>
      <c r="F2173" t="s">
        <v>20</v>
      </c>
      <c r="G2173" t="s">
        <v>21</v>
      </c>
      <c r="H2173" t="str">
        <f>"1049-054"</f>
        <v>1049-054</v>
      </c>
      <c r="I2173" t="str">
        <f>"POLLUTION CONTROL SERVICES"</f>
        <v>POLLUTION CONTROL SERVICES</v>
      </c>
    </row>
    <row r="2174" spans="1:9" x14ac:dyDescent="0.25">
      <c r="E2174" s="7"/>
      <c r="F2174" t="s">
        <v>20</v>
      </c>
      <c r="G2174" t="s">
        <v>21</v>
      </c>
      <c r="H2174" t="str">
        <f>"1049-356"</f>
        <v>1049-356</v>
      </c>
      <c r="I2174" t="str">
        <f>"POLLUTION CONTROL SERVICES"</f>
        <v>POLLUTION CONTROL SERVICES</v>
      </c>
    </row>
    <row r="2175" spans="1:9" x14ac:dyDescent="0.25">
      <c r="E2175" s="7"/>
      <c r="F2175" t="s">
        <v>20</v>
      </c>
      <c r="G2175" t="s">
        <v>21</v>
      </c>
      <c r="H2175" t="str">
        <f>"1049-357"</f>
        <v>1049-357</v>
      </c>
      <c r="I2175" t="str">
        <f>"POLLUTION CONTROL SERVICES"</f>
        <v>POLLUTION CONTROL SERVICES</v>
      </c>
    </row>
    <row r="2176" spans="1:9" x14ac:dyDescent="0.25">
      <c r="A2176" s="6">
        <v>43153</v>
      </c>
      <c r="B2176" t="s">
        <v>26</v>
      </c>
      <c r="C2176">
        <v>56873</v>
      </c>
      <c r="D2176" t="s">
        <v>168</v>
      </c>
      <c r="E2176" s="7">
        <v>1151</v>
      </c>
      <c r="F2176" t="s">
        <v>20</v>
      </c>
      <c r="G2176" t="s">
        <v>21</v>
      </c>
      <c r="H2176" t="str">
        <f>"LI-5297"</f>
        <v>LI-5297</v>
      </c>
      <c r="I2176" t="str">
        <f t="shared" ref="I2176:I2185" si="38">"BEXAR COUNTY AUDITOR/ATTN:CRIM"</f>
        <v>BEXAR COUNTY AUDITOR/ATTN:CRIM</v>
      </c>
    </row>
    <row r="2177" spans="1:9" x14ac:dyDescent="0.25">
      <c r="E2177" s="7"/>
      <c r="F2177" t="s">
        <v>20</v>
      </c>
      <c r="G2177" t="s">
        <v>21</v>
      </c>
      <c r="H2177" t="str">
        <f>"LI-5298"</f>
        <v>LI-5298</v>
      </c>
      <c r="I2177" t="str">
        <f t="shared" si="38"/>
        <v>BEXAR COUNTY AUDITOR/ATTN:CRIM</v>
      </c>
    </row>
    <row r="2178" spans="1:9" x14ac:dyDescent="0.25">
      <c r="E2178" s="7"/>
      <c r="F2178" t="s">
        <v>20</v>
      </c>
      <c r="G2178" t="s">
        <v>21</v>
      </c>
      <c r="H2178" t="str">
        <f>"LI-5299"</f>
        <v>LI-5299</v>
      </c>
      <c r="I2178" t="str">
        <f t="shared" si="38"/>
        <v>BEXAR COUNTY AUDITOR/ATTN:CRIM</v>
      </c>
    </row>
    <row r="2179" spans="1:9" x14ac:dyDescent="0.25">
      <c r="E2179" s="7"/>
      <c r="F2179" t="s">
        <v>20</v>
      </c>
      <c r="G2179" t="s">
        <v>21</v>
      </c>
      <c r="H2179" t="str">
        <f>"LI-5300"</f>
        <v>LI-5300</v>
      </c>
      <c r="I2179" t="str">
        <f t="shared" si="38"/>
        <v>BEXAR COUNTY AUDITOR/ATTN:CRIM</v>
      </c>
    </row>
    <row r="2180" spans="1:9" x14ac:dyDescent="0.25">
      <c r="E2180" s="7"/>
      <c r="F2180" t="s">
        <v>20</v>
      </c>
      <c r="G2180" t="s">
        <v>21</v>
      </c>
      <c r="H2180" t="str">
        <f>"LI-5301"</f>
        <v>LI-5301</v>
      </c>
      <c r="I2180" t="str">
        <f t="shared" si="38"/>
        <v>BEXAR COUNTY AUDITOR/ATTN:CRIM</v>
      </c>
    </row>
    <row r="2181" spans="1:9" x14ac:dyDescent="0.25">
      <c r="E2181" s="7"/>
      <c r="F2181" t="s">
        <v>20</v>
      </c>
      <c r="G2181" t="s">
        <v>21</v>
      </c>
      <c r="H2181" t="str">
        <f>"LI-5302"</f>
        <v>LI-5302</v>
      </c>
      <c r="I2181" t="str">
        <f t="shared" si="38"/>
        <v>BEXAR COUNTY AUDITOR/ATTN:CRIM</v>
      </c>
    </row>
    <row r="2182" spans="1:9" x14ac:dyDescent="0.25">
      <c r="E2182" s="7"/>
      <c r="F2182" t="s">
        <v>20</v>
      </c>
      <c r="G2182" t="s">
        <v>21</v>
      </c>
      <c r="H2182" t="str">
        <f>"LI-5303"</f>
        <v>LI-5303</v>
      </c>
      <c r="I2182" t="str">
        <f t="shared" si="38"/>
        <v>BEXAR COUNTY AUDITOR/ATTN:CRIM</v>
      </c>
    </row>
    <row r="2183" spans="1:9" x14ac:dyDescent="0.25">
      <c r="E2183" s="7"/>
      <c r="F2183" t="s">
        <v>20</v>
      </c>
      <c r="G2183" t="s">
        <v>21</v>
      </c>
      <c r="H2183" t="str">
        <f>"LI-5304"</f>
        <v>LI-5304</v>
      </c>
      <c r="I2183" t="str">
        <f t="shared" si="38"/>
        <v>BEXAR COUNTY AUDITOR/ATTN:CRIM</v>
      </c>
    </row>
    <row r="2184" spans="1:9" x14ac:dyDescent="0.25">
      <c r="E2184" s="7"/>
      <c r="F2184" t="s">
        <v>20</v>
      </c>
      <c r="G2184" t="s">
        <v>21</v>
      </c>
      <c r="H2184" t="str">
        <f>"LI-5305"</f>
        <v>LI-5305</v>
      </c>
      <c r="I2184" t="str">
        <f t="shared" si="38"/>
        <v>BEXAR COUNTY AUDITOR/ATTN:CRIM</v>
      </c>
    </row>
    <row r="2185" spans="1:9" x14ac:dyDescent="0.25">
      <c r="E2185" s="7"/>
      <c r="F2185" t="s">
        <v>20</v>
      </c>
      <c r="G2185" t="s">
        <v>21</v>
      </c>
      <c r="H2185" t="str">
        <f>"LI-5306"</f>
        <v>LI-5306</v>
      </c>
      <c r="I2185" t="str">
        <f t="shared" si="38"/>
        <v>BEXAR COUNTY AUDITOR/ATTN:CRIM</v>
      </c>
    </row>
    <row r="2186" spans="1:9" x14ac:dyDescent="0.25">
      <c r="A2186" s="6">
        <v>43153</v>
      </c>
      <c r="B2186" t="s">
        <v>26</v>
      </c>
      <c r="C2186">
        <v>56875</v>
      </c>
      <c r="D2186" t="s">
        <v>62</v>
      </c>
      <c r="E2186" s="7">
        <v>4589.16</v>
      </c>
      <c r="F2186" t="s">
        <v>20</v>
      </c>
      <c r="G2186" t="s">
        <v>21</v>
      </c>
      <c r="H2186" t="str">
        <f>"201802228279"</f>
        <v>201802228279</v>
      </c>
      <c r="I2186" t="str">
        <f>"SBS ADMINISTRATIVE SERVICES  L"</f>
        <v>SBS ADMINISTRATIVE SERVICES  L</v>
      </c>
    </row>
    <row r="2187" spans="1:9" x14ac:dyDescent="0.25">
      <c r="A2187" s="6">
        <v>43153</v>
      </c>
      <c r="B2187" t="s">
        <v>26</v>
      </c>
      <c r="C2187">
        <v>56876</v>
      </c>
      <c r="D2187" t="s">
        <v>115</v>
      </c>
      <c r="E2187" s="7">
        <v>411.82</v>
      </c>
      <c r="F2187" t="s">
        <v>20</v>
      </c>
      <c r="G2187" t="s">
        <v>21</v>
      </c>
      <c r="H2187" t="str">
        <f>"3547079090"</f>
        <v>3547079090</v>
      </c>
      <c r="I2187" t="str">
        <f>"AUTOZONE"</f>
        <v>AUTOZONE</v>
      </c>
    </row>
    <row r="2188" spans="1:9" x14ac:dyDescent="0.25">
      <c r="E2188" s="7"/>
      <c r="F2188" t="s">
        <v>20</v>
      </c>
      <c r="G2188" t="s">
        <v>21</v>
      </c>
      <c r="H2188" t="str">
        <f>"3547082180"</f>
        <v>3547082180</v>
      </c>
      <c r="I2188" t="str">
        <f>"AUTOZONE"</f>
        <v>AUTOZONE</v>
      </c>
    </row>
    <row r="2189" spans="1:9" x14ac:dyDescent="0.25">
      <c r="E2189" s="7"/>
      <c r="F2189" t="s">
        <v>20</v>
      </c>
      <c r="G2189" t="s">
        <v>21</v>
      </c>
      <c r="H2189" t="str">
        <f>"3547082685"</f>
        <v>3547082685</v>
      </c>
      <c r="I2189" t="str">
        <f>"AUTOZONE"</f>
        <v>AUTOZONE</v>
      </c>
    </row>
    <row r="2190" spans="1:9" x14ac:dyDescent="0.25">
      <c r="E2190" s="7"/>
      <c r="F2190" t="s">
        <v>20</v>
      </c>
      <c r="G2190" t="s">
        <v>21</v>
      </c>
      <c r="H2190" t="str">
        <f>"3547084015"</f>
        <v>3547084015</v>
      </c>
      <c r="I2190" t="str">
        <f>"AUTOZONE"</f>
        <v>AUTOZONE</v>
      </c>
    </row>
    <row r="2191" spans="1:9" x14ac:dyDescent="0.25">
      <c r="E2191" s="7"/>
      <c r="F2191" t="s">
        <v>20</v>
      </c>
      <c r="G2191" t="s">
        <v>21</v>
      </c>
      <c r="H2191" t="str">
        <f>"3547091471"</f>
        <v>3547091471</v>
      </c>
      <c r="I2191" t="str">
        <f>"AUTOZONE"</f>
        <v>AUTOZONE</v>
      </c>
    </row>
    <row r="2192" spans="1:9" x14ac:dyDescent="0.25">
      <c r="A2192" s="6">
        <v>43153</v>
      </c>
      <c r="B2192" t="s">
        <v>26</v>
      </c>
      <c r="C2192">
        <v>56877</v>
      </c>
      <c r="D2192" t="s">
        <v>63</v>
      </c>
      <c r="E2192" s="7">
        <v>2287.8200000000002</v>
      </c>
      <c r="F2192" t="s">
        <v>20</v>
      </c>
      <c r="G2192" t="s">
        <v>21</v>
      </c>
      <c r="H2192" t="str">
        <f>"087819538"</f>
        <v>087819538</v>
      </c>
      <c r="I2192" t="str">
        <f t="shared" ref="I2192:I2198" si="39">"CINTAS CORPORATION"</f>
        <v>CINTAS CORPORATION</v>
      </c>
    </row>
    <row r="2193" spans="1:9" x14ac:dyDescent="0.25">
      <c r="E2193" s="7"/>
      <c r="F2193" t="s">
        <v>20</v>
      </c>
      <c r="G2193" t="s">
        <v>21</v>
      </c>
      <c r="H2193" t="str">
        <f>"087828086"</f>
        <v>087828086</v>
      </c>
      <c r="I2193" t="str">
        <f t="shared" si="39"/>
        <v>CINTAS CORPORATION</v>
      </c>
    </row>
    <row r="2194" spans="1:9" x14ac:dyDescent="0.25">
      <c r="E2194" s="7"/>
      <c r="F2194" t="s">
        <v>20</v>
      </c>
      <c r="G2194" t="s">
        <v>21</v>
      </c>
      <c r="H2194" t="str">
        <f>"087832374"</f>
        <v>087832374</v>
      </c>
      <c r="I2194" t="str">
        <f t="shared" si="39"/>
        <v>CINTAS CORPORATION</v>
      </c>
    </row>
    <row r="2195" spans="1:9" x14ac:dyDescent="0.25">
      <c r="E2195" s="7"/>
      <c r="F2195" t="s">
        <v>20</v>
      </c>
      <c r="G2195" t="s">
        <v>21</v>
      </c>
      <c r="H2195" t="str">
        <f>"087836580"</f>
        <v>087836580</v>
      </c>
      <c r="I2195" t="str">
        <f t="shared" si="39"/>
        <v>CINTAS CORPORATION</v>
      </c>
    </row>
    <row r="2196" spans="1:9" x14ac:dyDescent="0.25">
      <c r="E2196" s="7"/>
      <c r="F2196" t="s">
        <v>20</v>
      </c>
      <c r="G2196" t="s">
        <v>21</v>
      </c>
      <c r="H2196" t="str">
        <f>"8403476052"</f>
        <v>8403476052</v>
      </c>
      <c r="I2196" t="str">
        <f t="shared" si="39"/>
        <v>CINTAS CORPORATION</v>
      </c>
    </row>
    <row r="2197" spans="1:9" x14ac:dyDescent="0.25">
      <c r="E2197" s="7"/>
      <c r="F2197" t="s">
        <v>20</v>
      </c>
      <c r="G2197" t="s">
        <v>21</v>
      </c>
      <c r="H2197" t="str">
        <f>"8403525897"</f>
        <v>8403525897</v>
      </c>
      <c r="I2197" t="str">
        <f t="shared" si="39"/>
        <v>CINTAS CORPORATION</v>
      </c>
    </row>
    <row r="2198" spans="1:9" x14ac:dyDescent="0.25">
      <c r="E2198" s="7"/>
      <c r="F2198" t="s">
        <v>20</v>
      </c>
      <c r="G2198" t="s">
        <v>21</v>
      </c>
      <c r="H2198" t="str">
        <f>"8403535222"</f>
        <v>8403535222</v>
      </c>
      <c r="I2198" t="str">
        <f t="shared" si="39"/>
        <v>CINTAS CORPORATION</v>
      </c>
    </row>
    <row r="2199" spans="1:9" x14ac:dyDescent="0.25">
      <c r="A2199" s="6">
        <v>43153</v>
      </c>
      <c r="B2199" t="s">
        <v>26</v>
      </c>
      <c r="C2199">
        <v>56879</v>
      </c>
      <c r="D2199" t="s">
        <v>117</v>
      </c>
      <c r="E2199" s="7">
        <v>4079.17</v>
      </c>
      <c r="F2199" t="s">
        <v>20</v>
      </c>
      <c r="G2199" t="s">
        <v>21</v>
      </c>
      <c r="H2199" t="str">
        <f>"JAN 2018"</f>
        <v>JAN 2018</v>
      </c>
      <c r="I2199" t="str">
        <f>"LINEBARGER GOGGAN BLAIR &amp; SAMP"</f>
        <v>LINEBARGER GOGGAN BLAIR &amp; SAMP</v>
      </c>
    </row>
    <row r="2200" spans="1:9" x14ac:dyDescent="0.25">
      <c r="A2200" s="6">
        <v>43153</v>
      </c>
      <c r="B2200" t="s">
        <v>26</v>
      </c>
      <c r="C2200">
        <v>56880</v>
      </c>
      <c r="D2200" t="s">
        <v>186</v>
      </c>
      <c r="E2200" s="7">
        <v>5957.83</v>
      </c>
      <c r="F2200" t="s">
        <v>20</v>
      </c>
      <c r="G2200" t="s">
        <v>21</v>
      </c>
      <c r="H2200" t="str">
        <f>"2ND QTR"</f>
        <v>2ND QTR</v>
      </c>
      <c r="I2200" t="str">
        <f>"WILSON COUNTY APPRAISAL DISTRI"</f>
        <v>WILSON COUNTY APPRAISAL DISTRI</v>
      </c>
    </row>
    <row r="2201" spans="1:9" x14ac:dyDescent="0.25">
      <c r="A2201" s="6">
        <v>43153</v>
      </c>
      <c r="B2201" t="s">
        <v>26</v>
      </c>
      <c r="C2201">
        <v>56881</v>
      </c>
      <c r="D2201" t="s">
        <v>213</v>
      </c>
      <c r="E2201" s="7">
        <v>10802.46</v>
      </c>
      <c r="F2201" t="s">
        <v>20</v>
      </c>
      <c r="G2201" t="s">
        <v>21</v>
      </c>
      <c r="H2201" t="str">
        <f>"TAX PAYMENT"</f>
        <v>TAX PAYMENT</v>
      </c>
      <c r="I2201" t="str">
        <f>"RIVER BEND COMMUNITY DEVELOPME"</f>
        <v>RIVER BEND COMMUNITY DEVELOPME</v>
      </c>
    </row>
    <row r="2202" spans="1:9" x14ac:dyDescent="0.25">
      <c r="A2202" s="6">
        <v>43153</v>
      </c>
      <c r="B2202" t="s">
        <v>26</v>
      </c>
      <c r="C2202">
        <v>56882</v>
      </c>
      <c r="D2202" t="s">
        <v>66</v>
      </c>
      <c r="E2202" s="7">
        <v>983.5</v>
      </c>
      <c r="F2202" t="s">
        <v>20</v>
      </c>
      <c r="G2202" t="s">
        <v>21</v>
      </c>
      <c r="H2202" t="str">
        <f>"51826"</f>
        <v>51826</v>
      </c>
      <c r="I2202" t="str">
        <f>"LOPEZ EXTERMINATING SERVICE  I"</f>
        <v>LOPEZ EXTERMINATING SERVICE  I</v>
      </c>
    </row>
    <row r="2203" spans="1:9" x14ac:dyDescent="0.25">
      <c r="E2203" s="7"/>
      <c r="F2203" t="s">
        <v>20</v>
      </c>
      <c r="G2203" t="s">
        <v>21</v>
      </c>
      <c r="H2203" t="str">
        <f>"51928"</f>
        <v>51928</v>
      </c>
      <c r="I2203" t="str">
        <f>"LOPEZ EXTERMINATING SERVICE  I"</f>
        <v>LOPEZ EXTERMINATING SERVICE  I</v>
      </c>
    </row>
    <row r="2204" spans="1:9" x14ac:dyDescent="0.25">
      <c r="A2204" s="6">
        <v>43153</v>
      </c>
      <c r="B2204" t="s">
        <v>26</v>
      </c>
      <c r="C2204">
        <v>56883</v>
      </c>
      <c r="D2204" t="s">
        <v>67</v>
      </c>
      <c r="E2204" s="7">
        <v>297.77</v>
      </c>
      <c r="F2204" t="s">
        <v>20</v>
      </c>
      <c r="G2204" t="s">
        <v>21</v>
      </c>
      <c r="H2204" t="str">
        <f>"201802228277"</f>
        <v>201802228277</v>
      </c>
      <c r="I2204" t="str">
        <f>"ANYTIME FITNESS"</f>
        <v>ANYTIME FITNESS</v>
      </c>
    </row>
    <row r="2205" spans="1:9" x14ac:dyDescent="0.25">
      <c r="A2205" s="6">
        <v>43153</v>
      </c>
      <c r="B2205" t="s">
        <v>26</v>
      </c>
      <c r="C2205">
        <v>56884</v>
      </c>
      <c r="D2205" t="s">
        <v>301</v>
      </c>
      <c r="E2205" s="7">
        <v>3198.6</v>
      </c>
      <c r="F2205" t="s">
        <v>20</v>
      </c>
      <c r="G2205" t="s">
        <v>21</v>
      </c>
      <c r="H2205" t="str">
        <f>"1627224"</f>
        <v>1627224</v>
      </c>
      <c r="I2205" t="str">
        <f>"GRANDE TRUCK CENTER"</f>
        <v>GRANDE TRUCK CENTER</v>
      </c>
    </row>
    <row r="2206" spans="1:9" x14ac:dyDescent="0.25">
      <c r="A2206" s="6">
        <v>43153</v>
      </c>
      <c r="B2206" t="s">
        <v>26</v>
      </c>
      <c r="C2206">
        <v>56885</v>
      </c>
      <c r="D2206" t="s">
        <v>119</v>
      </c>
      <c r="E2206" s="7">
        <v>15</v>
      </c>
      <c r="F2206" t="s">
        <v>20</v>
      </c>
      <c r="G2206" t="s">
        <v>21</v>
      </c>
      <c r="H2206" t="str">
        <f>"37422"</f>
        <v>37422</v>
      </c>
      <c r="I2206" t="str">
        <f>"PRUSKI'S TIRE SHOP  L.L.C."</f>
        <v>PRUSKI'S TIRE SHOP  L.L.C.</v>
      </c>
    </row>
    <row r="2207" spans="1:9" x14ac:dyDescent="0.25">
      <c r="A2207" s="6">
        <v>43153</v>
      </c>
      <c r="B2207" t="s">
        <v>26</v>
      </c>
      <c r="C2207">
        <v>56886</v>
      </c>
      <c r="D2207" t="s">
        <v>120</v>
      </c>
      <c r="E2207" s="7">
        <v>2392.25</v>
      </c>
      <c r="F2207" t="s">
        <v>20</v>
      </c>
      <c r="G2207" t="s">
        <v>21</v>
      </c>
      <c r="H2207" t="str">
        <f>"61944026"</f>
        <v>61944026</v>
      </c>
      <c r="I2207" t="str">
        <f>"VERIZON BUSINESS"</f>
        <v>VERIZON BUSINESS</v>
      </c>
    </row>
    <row r="2208" spans="1:9" x14ac:dyDescent="0.25">
      <c r="E2208" s="7"/>
      <c r="F2208" t="s">
        <v>20</v>
      </c>
      <c r="G2208" t="s">
        <v>21</v>
      </c>
      <c r="H2208" t="str">
        <f>"70694682"</f>
        <v>70694682</v>
      </c>
      <c r="I2208" t="str">
        <f>"VERIZON BUSINESS"</f>
        <v>VERIZON BUSINESS</v>
      </c>
    </row>
    <row r="2209" spans="1:9" x14ac:dyDescent="0.25">
      <c r="E2209" s="7"/>
      <c r="F2209" t="s">
        <v>20</v>
      </c>
      <c r="G2209" t="s">
        <v>21</v>
      </c>
      <c r="H2209" t="str">
        <f>"70694683"</f>
        <v>70694683</v>
      </c>
      <c r="I2209" t="str">
        <f>"VERIZON BUSINESS"</f>
        <v>VERIZON BUSINESS</v>
      </c>
    </row>
    <row r="2210" spans="1:9" x14ac:dyDescent="0.25">
      <c r="A2210" s="6">
        <v>43153</v>
      </c>
      <c r="B2210" t="s">
        <v>26</v>
      </c>
      <c r="C2210">
        <v>56887</v>
      </c>
      <c r="D2210" t="s">
        <v>68</v>
      </c>
      <c r="E2210" s="7">
        <v>400</v>
      </c>
      <c r="F2210" t="s">
        <v>20</v>
      </c>
      <c r="G2210" t="s">
        <v>21</v>
      </c>
      <c r="H2210" t="str">
        <f>"0405905-IN"</f>
        <v>0405905-IN</v>
      </c>
      <c r="I2210" t="str">
        <f>"SOUTHWASTE DISPOSAL  LLP"</f>
        <v>SOUTHWASTE DISPOSAL  LLP</v>
      </c>
    </row>
    <row r="2211" spans="1:9" x14ac:dyDescent="0.25">
      <c r="E2211" s="7"/>
      <c r="F2211" t="s">
        <v>20</v>
      </c>
      <c r="G2211" t="s">
        <v>21</v>
      </c>
      <c r="H2211" t="str">
        <f>"0406547-IN"</f>
        <v>0406547-IN</v>
      </c>
      <c r="I2211" t="str">
        <f>"SOUTHWASTE DISPOSAL  LLP"</f>
        <v>SOUTHWASTE DISPOSAL  LLP</v>
      </c>
    </row>
    <row r="2212" spans="1:9" x14ac:dyDescent="0.25">
      <c r="A2212" s="6">
        <v>43153</v>
      </c>
      <c r="B2212" t="s">
        <v>26</v>
      </c>
      <c r="C2212">
        <v>56888</v>
      </c>
      <c r="D2212" t="s">
        <v>302</v>
      </c>
      <c r="E2212" s="7">
        <v>256.49</v>
      </c>
      <c r="F2212" t="s">
        <v>20</v>
      </c>
      <c r="G2212" t="s">
        <v>21</v>
      </c>
      <c r="H2212" t="str">
        <f>"9689815976"</f>
        <v>9689815976</v>
      </c>
      <c r="I2212" t="str">
        <f>"GRAINGER"</f>
        <v>GRAINGER</v>
      </c>
    </row>
    <row r="2213" spans="1:9" x14ac:dyDescent="0.25">
      <c r="A2213" s="6">
        <v>43153</v>
      </c>
      <c r="B2213" t="s">
        <v>26</v>
      </c>
      <c r="C2213">
        <v>56889</v>
      </c>
      <c r="D2213" t="s">
        <v>69</v>
      </c>
      <c r="E2213" s="7">
        <v>545.5</v>
      </c>
      <c r="F2213" t="s">
        <v>20</v>
      </c>
      <c r="G2213" t="s">
        <v>21</v>
      </c>
      <c r="H2213" t="str">
        <f>"3385981"</f>
        <v>3385981</v>
      </c>
      <c r="I2213" t="str">
        <f>"EWALD TRACTOR SUPPLY"</f>
        <v>EWALD TRACTOR SUPPLY</v>
      </c>
    </row>
    <row r="2214" spans="1:9" x14ac:dyDescent="0.25">
      <c r="E2214" s="7"/>
      <c r="F2214" t="s">
        <v>20</v>
      </c>
      <c r="G2214" t="s">
        <v>21</v>
      </c>
      <c r="H2214" t="str">
        <f>"3386964"</f>
        <v>3386964</v>
      </c>
      <c r="I2214" t="str">
        <f>"EWALD TRACTOR SUPPLY"</f>
        <v>EWALD TRACTOR SUPPLY</v>
      </c>
    </row>
    <row r="2215" spans="1:9" x14ac:dyDescent="0.25">
      <c r="E2215" s="7"/>
      <c r="F2215" t="s">
        <v>20</v>
      </c>
      <c r="G2215" t="s">
        <v>21</v>
      </c>
      <c r="H2215" t="str">
        <f>"3387045"</f>
        <v>3387045</v>
      </c>
      <c r="I2215" t="str">
        <f>"EWALD TRACTOR SUPPLY"</f>
        <v>EWALD TRACTOR SUPPLY</v>
      </c>
    </row>
    <row r="2216" spans="1:9" x14ac:dyDescent="0.25">
      <c r="A2216" s="6">
        <v>43153</v>
      </c>
      <c r="B2216" t="s">
        <v>26</v>
      </c>
      <c r="C2216">
        <v>56890</v>
      </c>
      <c r="D2216" t="s">
        <v>265</v>
      </c>
      <c r="E2216" s="7">
        <v>245.72</v>
      </c>
      <c r="F2216" t="s">
        <v>20</v>
      </c>
      <c r="G2216" t="s">
        <v>21</v>
      </c>
      <c r="H2216" t="str">
        <f>"45425006"</f>
        <v>45425006</v>
      </c>
      <c r="I2216" t="str">
        <f>"THE GOODYEAR TIRE &amp; RUBBER COM"</f>
        <v>THE GOODYEAR TIRE &amp; RUBBER COM</v>
      </c>
    </row>
    <row r="2217" spans="1:9" x14ac:dyDescent="0.25">
      <c r="A2217" s="6">
        <v>43153</v>
      </c>
      <c r="B2217" t="s">
        <v>26</v>
      </c>
      <c r="C2217">
        <v>56891</v>
      </c>
      <c r="D2217" t="s">
        <v>145</v>
      </c>
      <c r="E2217" s="7">
        <v>4163.0600000000004</v>
      </c>
      <c r="F2217" t="s">
        <v>20</v>
      </c>
      <c r="G2217" t="s">
        <v>21</v>
      </c>
      <c r="H2217" t="str">
        <f>"IV180000789"</f>
        <v>IV180000789</v>
      </c>
      <c r="I2217" t="str">
        <f>"ARROW-MAGNOLIA INTERNATIONAL I"</f>
        <v>ARROW-MAGNOLIA INTERNATIONAL I</v>
      </c>
    </row>
    <row r="2218" spans="1:9" x14ac:dyDescent="0.25">
      <c r="A2218" s="6">
        <v>43153</v>
      </c>
      <c r="B2218" t="s">
        <v>26</v>
      </c>
      <c r="C2218">
        <v>56892</v>
      </c>
      <c r="D2218" t="s">
        <v>70</v>
      </c>
      <c r="E2218" s="7">
        <v>72.95</v>
      </c>
      <c r="F2218" t="s">
        <v>20</v>
      </c>
      <c r="G2218" t="s">
        <v>21</v>
      </c>
      <c r="H2218" t="str">
        <f>"A966934"</f>
        <v>A966934</v>
      </c>
      <c r="I2218" t="str">
        <f>"TEXAS WIRED MUSIC  INC."</f>
        <v>TEXAS WIRED MUSIC  INC.</v>
      </c>
    </row>
    <row r="2219" spans="1:9" x14ac:dyDescent="0.25">
      <c r="A2219" s="6">
        <v>43153</v>
      </c>
      <c r="B2219" t="s">
        <v>26</v>
      </c>
      <c r="C2219">
        <v>56893</v>
      </c>
      <c r="D2219" t="s">
        <v>303</v>
      </c>
      <c r="E2219" s="7">
        <v>3425</v>
      </c>
      <c r="F2219" t="s">
        <v>20</v>
      </c>
      <c r="G2219" t="s">
        <v>21</v>
      </c>
      <c r="H2219" t="str">
        <f>"320290"</f>
        <v>320290</v>
      </c>
      <c r="I2219" t="str">
        <f>"APPLIED CONCEPTS  INC."</f>
        <v>APPLIED CONCEPTS  INC.</v>
      </c>
    </row>
    <row r="2220" spans="1:9" x14ac:dyDescent="0.25">
      <c r="A2220" s="6">
        <v>43153</v>
      </c>
      <c r="B2220" t="s">
        <v>26</v>
      </c>
      <c r="C2220">
        <v>56894</v>
      </c>
      <c r="D2220" t="s">
        <v>71</v>
      </c>
      <c r="E2220" s="7">
        <v>1171.03</v>
      </c>
      <c r="F2220" t="s">
        <v>20</v>
      </c>
      <c r="G2220" t="s">
        <v>21</v>
      </c>
      <c r="H2220" t="str">
        <f>"087823796"</f>
        <v>087823796</v>
      </c>
      <c r="I2220" t="str">
        <f>"CINTAS CORPORATION #087"</f>
        <v>CINTAS CORPORATION #087</v>
      </c>
    </row>
    <row r="2221" spans="1:9" x14ac:dyDescent="0.25">
      <c r="E2221" s="7"/>
      <c r="F2221" t="s">
        <v>20</v>
      </c>
      <c r="G2221" t="s">
        <v>21</v>
      </c>
      <c r="H2221" t="str">
        <f>"087825258"</f>
        <v>087825258</v>
      </c>
      <c r="I2221" t="str">
        <f>"CINTAS CORPORATION #087"</f>
        <v>CINTAS CORPORATION #087</v>
      </c>
    </row>
    <row r="2222" spans="1:9" x14ac:dyDescent="0.25">
      <c r="E2222" s="7"/>
      <c r="F2222" t="s">
        <v>20</v>
      </c>
      <c r="G2222" t="s">
        <v>21</v>
      </c>
      <c r="H2222" t="str">
        <f>"087829565"</f>
        <v>087829565</v>
      </c>
      <c r="I2222" t="str">
        <f>"CINTAS CORPORATION #087"</f>
        <v>CINTAS CORPORATION #087</v>
      </c>
    </row>
    <row r="2223" spans="1:9" x14ac:dyDescent="0.25">
      <c r="E2223" s="7"/>
      <c r="F2223" t="s">
        <v>20</v>
      </c>
      <c r="G2223" t="s">
        <v>21</v>
      </c>
      <c r="H2223" t="str">
        <f>"087836577"</f>
        <v>087836577</v>
      </c>
      <c r="I2223" t="str">
        <f>"CINTAS CORPORATION #087"</f>
        <v>CINTAS CORPORATION #087</v>
      </c>
    </row>
    <row r="2224" spans="1:9" x14ac:dyDescent="0.25">
      <c r="A2224" s="6">
        <v>43153</v>
      </c>
      <c r="B2224" t="s">
        <v>26</v>
      </c>
      <c r="C2224">
        <v>56896</v>
      </c>
      <c r="D2224" t="s">
        <v>122</v>
      </c>
      <c r="E2224" s="7">
        <v>58</v>
      </c>
      <c r="F2224" t="s">
        <v>20</v>
      </c>
      <c r="G2224" t="s">
        <v>21</v>
      </c>
      <c r="H2224" t="str">
        <f>"0774663"</f>
        <v>0774663</v>
      </c>
      <c r="I2224" t="str">
        <f>"VILLA TIRES"</f>
        <v>VILLA TIRES</v>
      </c>
    </row>
    <row r="2225" spans="1:9" x14ac:dyDescent="0.25">
      <c r="E2225" s="7"/>
      <c r="F2225" t="s">
        <v>20</v>
      </c>
      <c r="G2225" t="s">
        <v>21</v>
      </c>
      <c r="H2225" t="str">
        <f>"0774677"</f>
        <v>0774677</v>
      </c>
      <c r="I2225" t="str">
        <f>"VILLA TIRES"</f>
        <v>VILLA TIRES</v>
      </c>
    </row>
    <row r="2226" spans="1:9" x14ac:dyDescent="0.25">
      <c r="E2226" s="7"/>
      <c r="F2226" t="s">
        <v>20</v>
      </c>
      <c r="G2226" t="s">
        <v>21</v>
      </c>
      <c r="H2226" t="str">
        <f>"0774689"</f>
        <v>0774689</v>
      </c>
      <c r="I2226" t="str">
        <f>"VILLA TIRES"</f>
        <v>VILLA TIRES</v>
      </c>
    </row>
    <row r="2227" spans="1:9" x14ac:dyDescent="0.25">
      <c r="A2227" s="6">
        <v>43153</v>
      </c>
      <c r="B2227" t="s">
        <v>26</v>
      </c>
      <c r="C2227">
        <v>56897</v>
      </c>
      <c r="D2227" t="s">
        <v>74</v>
      </c>
      <c r="E2227" s="7">
        <v>3101.89</v>
      </c>
      <c r="F2227" t="s">
        <v>20</v>
      </c>
      <c r="G2227" t="s">
        <v>21</v>
      </c>
      <c r="H2227" t="str">
        <f>"9800487222"</f>
        <v>9800487222</v>
      </c>
      <c r="I2227" t="str">
        <f>"VERIZON WIRELESS"</f>
        <v>VERIZON WIRELESS</v>
      </c>
    </row>
    <row r="2228" spans="1:9" x14ac:dyDescent="0.25">
      <c r="E2228" s="7"/>
      <c r="F2228" t="s">
        <v>20</v>
      </c>
      <c r="G2228" t="s">
        <v>21</v>
      </c>
      <c r="H2228" t="str">
        <f>"9800487223"</f>
        <v>9800487223</v>
      </c>
      <c r="I2228" t="str">
        <f>"VERIZON WIRELESS"</f>
        <v>VERIZON WIRELESS</v>
      </c>
    </row>
    <row r="2229" spans="1:9" x14ac:dyDescent="0.25">
      <c r="E2229" s="7"/>
      <c r="F2229" t="s">
        <v>20</v>
      </c>
      <c r="G2229" t="s">
        <v>21</v>
      </c>
      <c r="H2229" t="str">
        <f>"9801270005"</f>
        <v>9801270005</v>
      </c>
      <c r="I2229" t="str">
        <f>"VERIZON WIRELESS"</f>
        <v>VERIZON WIRELESS</v>
      </c>
    </row>
    <row r="2230" spans="1:9" x14ac:dyDescent="0.25">
      <c r="A2230" s="6">
        <v>43153</v>
      </c>
      <c r="B2230" t="s">
        <v>26</v>
      </c>
      <c r="C2230">
        <v>56899</v>
      </c>
      <c r="D2230" t="s">
        <v>304</v>
      </c>
      <c r="E2230" s="7">
        <v>348</v>
      </c>
      <c r="F2230" t="s">
        <v>20</v>
      </c>
      <c r="G2230" t="s">
        <v>21</v>
      </c>
      <c r="H2230" t="str">
        <f>"2018 LIC"</f>
        <v>2018 LIC</v>
      </c>
      <c r="I2230" t="str">
        <f>"ASCAP"</f>
        <v>ASCAP</v>
      </c>
    </row>
    <row r="2231" spans="1:9" x14ac:dyDescent="0.25">
      <c r="A2231" s="6">
        <v>43153</v>
      </c>
      <c r="B2231" t="s">
        <v>26</v>
      </c>
      <c r="C2231">
        <v>56900</v>
      </c>
      <c r="D2231" t="s">
        <v>123</v>
      </c>
      <c r="E2231" s="7">
        <v>2247.33</v>
      </c>
      <c r="F2231" t="s">
        <v>20</v>
      </c>
      <c r="G2231" t="s">
        <v>21</v>
      </c>
      <c r="H2231" t="str">
        <f>"100721643001"</f>
        <v>100721643001</v>
      </c>
      <c r="I2231" t="str">
        <f t="shared" ref="I2231:I2245" si="40">"OFFICE DEPOT  INC."</f>
        <v>OFFICE DEPOT  INC.</v>
      </c>
    </row>
    <row r="2232" spans="1:9" x14ac:dyDescent="0.25">
      <c r="E2232" s="7"/>
      <c r="F2232" t="s">
        <v>20</v>
      </c>
      <c r="G2232" t="s">
        <v>21</v>
      </c>
      <c r="H2232" t="str">
        <f>"100722808001"</f>
        <v>100722808001</v>
      </c>
      <c r="I2232" t="str">
        <f t="shared" si="40"/>
        <v>OFFICE DEPOT  INC.</v>
      </c>
    </row>
    <row r="2233" spans="1:9" x14ac:dyDescent="0.25">
      <c r="E2233" s="7"/>
      <c r="F2233" t="s">
        <v>20</v>
      </c>
      <c r="G2233" t="s">
        <v>21</v>
      </c>
      <c r="H2233" t="str">
        <f>"101952460001"</f>
        <v>101952460001</v>
      </c>
      <c r="I2233" t="str">
        <f t="shared" si="40"/>
        <v>OFFICE DEPOT  INC.</v>
      </c>
    </row>
    <row r="2234" spans="1:9" x14ac:dyDescent="0.25">
      <c r="E2234" s="7"/>
      <c r="F2234" t="s">
        <v>20</v>
      </c>
      <c r="G2234" t="s">
        <v>21</v>
      </c>
      <c r="H2234" t="str">
        <f>"101952634001"</f>
        <v>101952634001</v>
      </c>
      <c r="I2234" t="str">
        <f t="shared" si="40"/>
        <v>OFFICE DEPOT  INC.</v>
      </c>
    </row>
    <row r="2235" spans="1:9" x14ac:dyDescent="0.25">
      <c r="E2235" s="7"/>
      <c r="F2235" t="s">
        <v>20</v>
      </c>
      <c r="G2235" t="s">
        <v>21</v>
      </c>
      <c r="H2235" t="str">
        <f>"101956771001"</f>
        <v>101956771001</v>
      </c>
      <c r="I2235" t="str">
        <f t="shared" si="40"/>
        <v>OFFICE DEPOT  INC.</v>
      </c>
    </row>
    <row r="2236" spans="1:9" x14ac:dyDescent="0.25">
      <c r="E2236" s="7"/>
      <c r="F2236" t="s">
        <v>20</v>
      </c>
      <c r="G2236" t="s">
        <v>21</v>
      </c>
      <c r="H2236" t="str">
        <f>"103474461001"</f>
        <v>103474461001</v>
      </c>
      <c r="I2236" t="str">
        <f t="shared" si="40"/>
        <v>OFFICE DEPOT  INC.</v>
      </c>
    </row>
    <row r="2237" spans="1:9" x14ac:dyDescent="0.25">
      <c r="E2237" s="7"/>
      <c r="F2237" t="s">
        <v>20</v>
      </c>
      <c r="G2237" t="s">
        <v>21</v>
      </c>
      <c r="H2237" t="str">
        <f>"103805873001"</f>
        <v>103805873001</v>
      </c>
      <c r="I2237" t="str">
        <f t="shared" si="40"/>
        <v>OFFICE DEPOT  INC.</v>
      </c>
    </row>
    <row r="2238" spans="1:9" x14ac:dyDescent="0.25">
      <c r="E2238" s="7"/>
      <c r="F2238" t="s">
        <v>20</v>
      </c>
      <c r="G2238" t="s">
        <v>21</v>
      </c>
      <c r="H2238" t="str">
        <f>"103806082001"</f>
        <v>103806082001</v>
      </c>
      <c r="I2238" t="str">
        <f t="shared" si="40"/>
        <v>OFFICE DEPOT  INC.</v>
      </c>
    </row>
    <row r="2239" spans="1:9" x14ac:dyDescent="0.25">
      <c r="E2239" s="7"/>
      <c r="F2239" t="s">
        <v>20</v>
      </c>
      <c r="G2239" t="s">
        <v>21</v>
      </c>
      <c r="H2239" t="str">
        <f>"991425625001"</f>
        <v>991425625001</v>
      </c>
      <c r="I2239" t="str">
        <f t="shared" si="40"/>
        <v>OFFICE DEPOT  INC.</v>
      </c>
    </row>
    <row r="2240" spans="1:9" x14ac:dyDescent="0.25">
      <c r="E2240" s="7"/>
      <c r="F2240" t="s">
        <v>20</v>
      </c>
      <c r="G2240" t="s">
        <v>21</v>
      </c>
      <c r="H2240" t="str">
        <f>"994129380001"</f>
        <v>994129380001</v>
      </c>
      <c r="I2240" t="str">
        <f t="shared" si="40"/>
        <v>OFFICE DEPOT  INC.</v>
      </c>
    </row>
    <row r="2241" spans="1:9" x14ac:dyDescent="0.25">
      <c r="E2241" s="7"/>
      <c r="F2241" t="s">
        <v>20</v>
      </c>
      <c r="G2241" t="s">
        <v>21</v>
      </c>
      <c r="H2241" t="str">
        <f>"994129656001"</f>
        <v>994129656001</v>
      </c>
      <c r="I2241" t="str">
        <f t="shared" si="40"/>
        <v>OFFICE DEPOT  INC.</v>
      </c>
    </row>
    <row r="2242" spans="1:9" x14ac:dyDescent="0.25">
      <c r="E2242" s="7"/>
      <c r="F2242" t="s">
        <v>20</v>
      </c>
      <c r="G2242" t="s">
        <v>21</v>
      </c>
      <c r="H2242" t="str">
        <f>"996269335001"</f>
        <v>996269335001</v>
      </c>
      <c r="I2242" t="str">
        <f t="shared" si="40"/>
        <v>OFFICE DEPOT  INC.</v>
      </c>
    </row>
    <row r="2243" spans="1:9" x14ac:dyDescent="0.25">
      <c r="E2243" s="7"/>
      <c r="F2243" t="s">
        <v>20</v>
      </c>
      <c r="G2243" t="s">
        <v>21</v>
      </c>
      <c r="H2243" t="str">
        <f>"996269335002"</f>
        <v>996269335002</v>
      </c>
      <c r="I2243" t="str">
        <f t="shared" si="40"/>
        <v>OFFICE DEPOT  INC.</v>
      </c>
    </row>
    <row r="2244" spans="1:9" x14ac:dyDescent="0.25">
      <c r="E2244" s="7"/>
      <c r="F2244" t="s">
        <v>20</v>
      </c>
      <c r="G2244" t="s">
        <v>21</v>
      </c>
      <c r="H2244" t="str">
        <f>"996269957001"</f>
        <v>996269957001</v>
      </c>
      <c r="I2244" t="str">
        <f t="shared" si="40"/>
        <v>OFFICE DEPOT  INC.</v>
      </c>
    </row>
    <row r="2245" spans="1:9" x14ac:dyDescent="0.25">
      <c r="E2245" s="7"/>
      <c r="F2245" t="s">
        <v>20</v>
      </c>
      <c r="G2245" t="s">
        <v>21</v>
      </c>
      <c r="H2245" t="str">
        <f>"996269958001"</f>
        <v>996269958001</v>
      </c>
      <c r="I2245" t="str">
        <f t="shared" si="40"/>
        <v>OFFICE DEPOT  INC.</v>
      </c>
    </row>
    <row r="2246" spans="1:9" x14ac:dyDescent="0.25">
      <c r="A2246" s="6">
        <v>43153</v>
      </c>
      <c r="B2246" t="s">
        <v>26</v>
      </c>
      <c r="C2246">
        <v>56903</v>
      </c>
      <c r="D2246" t="s">
        <v>75</v>
      </c>
      <c r="E2246" s="7">
        <v>159.93</v>
      </c>
      <c r="F2246" t="s">
        <v>20</v>
      </c>
      <c r="G2246" t="s">
        <v>21</v>
      </c>
      <c r="H2246" t="str">
        <f>"1.30.18"</f>
        <v>1.30.18</v>
      </c>
      <c r="I2246" t="str">
        <f>"TRACTOR SUPPLY CREDIT PLAN"</f>
        <v>TRACTOR SUPPLY CREDIT PLAN</v>
      </c>
    </row>
    <row r="2247" spans="1:9" x14ac:dyDescent="0.25">
      <c r="A2247" s="6">
        <v>43153</v>
      </c>
      <c r="B2247" t="s">
        <v>26</v>
      </c>
      <c r="C2247">
        <v>56904</v>
      </c>
      <c r="D2247" t="s">
        <v>305</v>
      </c>
      <c r="E2247" s="7">
        <v>3205.5</v>
      </c>
      <c r="F2247" t="s">
        <v>20</v>
      </c>
      <c r="G2247" t="s">
        <v>21</v>
      </c>
      <c r="H2247" t="str">
        <f>"4433"</f>
        <v>4433</v>
      </c>
      <c r="I2247" t="str">
        <f>"CHEM EQUIPMENT"</f>
        <v>CHEM EQUIPMENT</v>
      </c>
    </row>
    <row r="2248" spans="1:9" x14ac:dyDescent="0.25">
      <c r="A2248" s="6">
        <v>43153</v>
      </c>
      <c r="B2248" t="s">
        <v>26</v>
      </c>
      <c r="C2248">
        <v>56905</v>
      </c>
      <c r="D2248" t="s">
        <v>137</v>
      </c>
      <c r="E2248" s="7">
        <v>243.8</v>
      </c>
      <c r="F2248" t="s">
        <v>20</v>
      </c>
      <c r="G2248" t="s">
        <v>21</v>
      </c>
      <c r="H2248" t="str">
        <f>"1444265"</f>
        <v>1444265</v>
      </c>
      <c r="I2248" t="str">
        <f>"OMNIBUS-M  INC.D.B.A."</f>
        <v>OMNIBUS-M  INC.D.B.A.</v>
      </c>
    </row>
    <row r="2249" spans="1:9" x14ac:dyDescent="0.25">
      <c r="E2249" s="7"/>
      <c r="F2249" t="s">
        <v>20</v>
      </c>
      <c r="G2249" t="s">
        <v>21</v>
      </c>
      <c r="H2249" t="str">
        <f>"1444266"</f>
        <v>1444266</v>
      </c>
      <c r="I2249" t="str">
        <f>"OMNIBUS-M  INC.D.B.A."</f>
        <v>OMNIBUS-M  INC.D.B.A.</v>
      </c>
    </row>
    <row r="2250" spans="1:9" x14ac:dyDescent="0.25">
      <c r="E2250" s="7"/>
      <c r="F2250" t="s">
        <v>20</v>
      </c>
      <c r="G2250" t="s">
        <v>21</v>
      </c>
      <c r="H2250" t="str">
        <f>"1445502"</f>
        <v>1445502</v>
      </c>
      <c r="I2250" t="str">
        <f>"OMNIBUS-M  INC.D.B.A."</f>
        <v>OMNIBUS-M  INC.D.B.A.</v>
      </c>
    </row>
    <row r="2251" spans="1:9" x14ac:dyDescent="0.25">
      <c r="E2251" s="7"/>
      <c r="F2251" t="s">
        <v>20</v>
      </c>
      <c r="G2251" t="s">
        <v>21</v>
      </c>
      <c r="H2251" t="str">
        <f>"1445503"</f>
        <v>1445503</v>
      </c>
      <c r="I2251" t="str">
        <f>"OMNIBUS-M  INC.D.B.A."</f>
        <v>OMNIBUS-M  INC.D.B.A.</v>
      </c>
    </row>
    <row r="2252" spans="1:9" x14ac:dyDescent="0.25">
      <c r="A2252" s="6">
        <v>43153</v>
      </c>
      <c r="B2252" t="s">
        <v>26</v>
      </c>
      <c r="C2252">
        <v>56906</v>
      </c>
      <c r="D2252" t="s">
        <v>77</v>
      </c>
      <c r="E2252" s="7">
        <v>2719.2</v>
      </c>
      <c r="F2252" t="s">
        <v>20</v>
      </c>
      <c r="G2252" t="s">
        <v>21</v>
      </c>
      <c r="H2252" t="str">
        <f>"857000090-18"</f>
        <v>857000090-18</v>
      </c>
      <c r="I2252" t="str">
        <f>"DPC INDUSTRIES  INC."</f>
        <v>DPC INDUSTRIES  INC.</v>
      </c>
    </row>
    <row r="2253" spans="1:9" x14ac:dyDescent="0.25">
      <c r="E2253" s="7"/>
      <c r="F2253" t="s">
        <v>20</v>
      </c>
      <c r="G2253" t="s">
        <v>21</v>
      </c>
      <c r="H2253" t="str">
        <f>"857000171-18"</f>
        <v>857000171-18</v>
      </c>
      <c r="I2253" t="str">
        <f>"DPC INDUSTRIES  INC."</f>
        <v>DPC INDUSTRIES  INC.</v>
      </c>
    </row>
    <row r="2254" spans="1:9" x14ac:dyDescent="0.25">
      <c r="E2254" s="7"/>
      <c r="F2254" t="s">
        <v>20</v>
      </c>
      <c r="G2254" t="s">
        <v>21</v>
      </c>
      <c r="H2254" t="str">
        <f>"857000185-18"</f>
        <v>857000185-18</v>
      </c>
      <c r="I2254" t="str">
        <f>"DPC INDUSTRIES  INC."</f>
        <v>DPC INDUSTRIES  INC.</v>
      </c>
    </row>
    <row r="2255" spans="1:9" x14ac:dyDescent="0.25">
      <c r="E2255" s="7"/>
      <c r="F2255" t="s">
        <v>20</v>
      </c>
      <c r="G2255" t="s">
        <v>21</v>
      </c>
      <c r="H2255" t="str">
        <f>"DE85000023-18"</f>
        <v>DE85000023-18</v>
      </c>
      <c r="I2255" t="str">
        <f>"DPC INDUSTRIES  INC."</f>
        <v>DPC INDUSTRIES  INC.</v>
      </c>
    </row>
    <row r="2256" spans="1:9" x14ac:dyDescent="0.25">
      <c r="E2256" s="7"/>
      <c r="F2256" t="s">
        <v>20</v>
      </c>
      <c r="G2256" t="s">
        <v>21</v>
      </c>
      <c r="H2256" t="str">
        <f>"DE85000257-18"</f>
        <v>DE85000257-18</v>
      </c>
      <c r="I2256" t="str">
        <f>"DPC INDUSTRIES  INC."</f>
        <v>DPC INDUSTRIES  INC.</v>
      </c>
    </row>
    <row r="2257" spans="1:9" x14ac:dyDescent="0.25">
      <c r="A2257" s="6">
        <v>43153</v>
      </c>
      <c r="B2257" t="s">
        <v>26</v>
      </c>
      <c r="C2257">
        <v>56907</v>
      </c>
      <c r="D2257" t="s">
        <v>124</v>
      </c>
      <c r="E2257" s="7">
        <v>463.11</v>
      </c>
      <c r="F2257" t="s">
        <v>20</v>
      </c>
      <c r="G2257" t="s">
        <v>21</v>
      </c>
      <c r="H2257" t="str">
        <f>"11155221"</f>
        <v>11155221</v>
      </c>
      <c r="I2257" t="str">
        <f>"MCCOY'S CORPORATION"</f>
        <v>MCCOY'S CORPORATION</v>
      </c>
    </row>
    <row r="2258" spans="1:9" x14ac:dyDescent="0.25">
      <c r="E2258" s="7"/>
      <c r="F2258" t="s">
        <v>20</v>
      </c>
      <c r="G2258" t="s">
        <v>21</v>
      </c>
      <c r="H2258" t="str">
        <f>"11155854"</f>
        <v>11155854</v>
      </c>
      <c r="I2258" t="str">
        <f>"MCCOY'S CORPORATION"</f>
        <v>MCCOY'S CORPORATION</v>
      </c>
    </row>
    <row r="2259" spans="1:9" x14ac:dyDescent="0.25">
      <c r="E2259" s="7"/>
      <c r="F2259" t="s">
        <v>20</v>
      </c>
      <c r="G2259" t="s">
        <v>21</v>
      </c>
      <c r="H2259" t="str">
        <f>"11156046"</f>
        <v>11156046</v>
      </c>
      <c r="I2259" t="str">
        <f>"MCCOY'S CORPORATION"</f>
        <v>MCCOY'S CORPORATION</v>
      </c>
    </row>
    <row r="2260" spans="1:9" x14ac:dyDescent="0.25">
      <c r="A2260" s="6">
        <v>43153</v>
      </c>
      <c r="B2260" t="s">
        <v>26</v>
      </c>
      <c r="C2260">
        <v>56908</v>
      </c>
      <c r="D2260" t="s">
        <v>125</v>
      </c>
      <c r="E2260" s="7">
        <v>2275</v>
      </c>
      <c r="F2260" t="s">
        <v>20</v>
      </c>
      <c r="G2260" t="s">
        <v>21</v>
      </c>
      <c r="H2260" t="str">
        <f>"17-0928"</f>
        <v>17-0928</v>
      </c>
      <c r="I2260" t="str">
        <f>"INTREPID SURVEYING CORPORATION"</f>
        <v>INTREPID SURVEYING CORPORATION</v>
      </c>
    </row>
    <row r="2261" spans="1:9" x14ac:dyDescent="0.25">
      <c r="E2261" s="7"/>
      <c r="F2261" t="s">
        <v>20</v>
      </c>
      <c r="G2261" t="s">
        <v>21</v>
      </c>
      <c r="H2261" t="str">
        <f>"18-0012"</f>
        <v>18-0012</v>
      </c>
      <c r="I2261" t="str">
        <f>"INTREPID SURVEYING CORPORATION"</f>
        <v>INTREPID SURVEYING CORPORATION</v>
      </c>
    </row>
    <row r="2262" spans="1:9" x14ac:dyDescent="0.25">
      <c r="A2262" s="6">
        <v>43153</v>
      </c>
      <c r="B2262" t="s">
        <v>26</v>
      </c>
      <c r="C2262">
        <v>56909</v>
      </c>
      <c r="D2262" t="s">
        <v>126</v>
      </c>
      <c r="E2262" s="7">
        <v>79991.289999999994</v>
      </c>
      <c r="F2262" t="s">
        <v>20</v>
      </c>
      <c r="G2262" t="s">
        <v>21</v>
      </c>
      <c r="H2262" t="str">
        <f>"0859-001988792"</f>
        <v>0859-001988792</v>
      </c>
      <c r="I2262" t="str">
        <f>"REPUBLIC SERVICES #859"</f>
        <v>REPUBLIC SERVICES #859</v>
      </c>
    </row>
    <row r="2263" spans="1:9" x14ac:dyDescent="0.25">
      <c r="E2263" s="7"/>
      <c r="F2263" t="s">
        <v>20</v>
      </c>
      <c r="G2263" t="s">
        <v>21</v>
      </c>
      <c r="H2263" t="str">
        <f>"0859-001992899"</f>
        <v>0859-001992899</v>
      </c>
      <c r="I2263" t="str">
        <f>"REPUBLIC SERVICES #859"</f>
        <v>REPUBLIC SERVICES #859</v>
      </c>
    </row>
    <row r="2264" spans="1:9" x14ac:dyDescent="0.25">
      <c r="A2264" s="6">
        <v>43153</v>
      </c>
      <c r="B2264" t="s">
        <v>26</v>
      </c>
      <c r="C2264">
        <v>56910</v>
      </c>
      <c r="D2264" t="s">
        <v>79</v>
      </c>
      <c r="E2264" s="7">
        <v>90.76</v>
      </c>
      <c r="F2264" t="s">
        <v>20</v>
      </c>
      <c r="G2264" t="s">
        <v>21</v>
      </c>
      <c r="H2264" t="str">
        <f>"6-068-14904"</f>
        <v>6-068-14904</v>
      </c>
      <c r="I2264" t="str">
        <f>"FEDEX"</f>
        <v>FEDEX</v>
      </c>
    </row>
    <row r="2265" spans="1:9" x14ac:dyDescent="0.25">
      <c r="E2265" s="7"/>
      <c r="F2265" t="s">
        <v>20</v>
      </c>
      <c r="G2265" t="s">
        <v>21</v>
      </c>
      <c r="H2265" t="str">
        <f>"6-082-59146"</f>
        <v>6-082-59146</v>
      </c>
      <c r="I2265" t="str">
        <f>"FEDEX"</f>
        <v>FEDEX</v>
      </c>
    </row>
    <row r="2266" spans="1:9" x14ac:dyDescent="0.25">
      <c r="E2266" s="7"/>
      <c r="F2266" t="s">
        <v>20</v>
      </c>
      <c r="G2266" t="s">
        <v>21</v>
      </c>
      <c r="H2266" t="str">
        <f>"6-090-03570"</f>
        <v>6-090-03570</v>
      </c>
      <c r="I2266" t="str">
        <f>"FEDEX"</f>
        <v>FEDEX</v>
      </c>
    </row>
    <row r="2267" spans="1:9" x14ac:dyDescent="0.25">
      <c r="A2267" s="6">
        <v>43153</v>
      </c>
      <c r="B2267" t="s">
        <v>26</v>
      </c>
      <c r="C2267">
        <v>56911</v>
      </c>
      <c r="D2267" t="s">
        <v>80</v>
      </c>
      <c r="E2267" s="7">
        <v>1776.91</v>
      </c>
      <c r="F2267" t="s">
        <v>20</v>
      </c>
      <c r="G2267" t="s">
        <v>21</v>
      </c>
      <c r="H2267" t="str">
        <f>"1648-20180201-1"</f>
        <v>1648-20180201-1</v>
      </c>
      <c r="I2267" t="str">
        <f>"LVWIFI.COM"</f>
        <v>LVWIFI.COM</v>
      </c>
    </row>
    <row r="2268" spans="1:9" x14ac:dyDescent="0.25">
      <c r="E2268" s="7"/>
      <c r="F2268" t="s">
        <v>20</v>
      </c>
      <c r="G2268" t="s">
        <v>21</v>
      </c>
      <c r="H2268" t="str">
        <f>"2313-20180201-1"</f>
        <v>2313-20180201-1</v>
      </c>
      <c r="I2268" t="str">
        <f>"LVWIFI.COM"</f>
        <v>LVWIFI.COM</v>
      </c>
    </row>
    <row r="2269" spans="1:9" x14ac:dyDescent="0.25">
      <c r="E2269" s="7"/>
      <c r="F2269" t="s">
        <v>20</v>
      </c>
      <c r="G2269" t="s">
        <v>21</v>
      </c>
      <c r="H2269" t="str">
        <f>"2314-20180201-1"</f>
        <v>2314-20180201-1</v>
      </c>
      <c r="I2269" t="str">
        <f>"LVWIFI.COM"</f>
        <v>LVWIFI.COM</v>
      </c>
    </row>
    <row r="2270" spans="1:9" x14ac:dyDescent="0.25">
      <c r="E2270" s="7"/>
      <c r="F2270" t="s">
        <v>20</v>
      </c>
      <c r="G2270" t="s">
        <v>21</v>
      </c>
      <c r="H2270" t="str">
        <f>"2478-20180201-1"</f>
        <v>2478-20180201-1</v>
      </c>
      <c r="I2270" t="str">
        <f>"LVWIFI.COM"</f>
        <v>LVWIFI.COM</v>
      </c>
    </row>
    <row r="2271" spans="1:9" x14ac:dyDescent="0.25">
      <c r="A2271" s="6">
        <v>43153</v>
      </c>
      <c r="B2271" t="s">
        <v>26</v>
      </c>
      <c r="C2271">
        <v>56912</v>
      </c>
      <c r="D2271" t="s">
        <v>139</v>
      </c>
      <c r="E2271" s="7">
        <v>387.15</v>
      </c>
      <c r="F2271" t="s">
        <v>20</v>
      </c>
      <c r="G2271" t="s">
        <v>21</v>
      </c>
      <c r="H2271" t="str">
        <f>"23072"</f>
        <v>23072</v>
      </c>
      <c r="I2271" t="str">
        <f>"ANGEL FIRE &amp; SAFETY"</f>
        <v>ANGEL FIRE &amp; SAFETY</v>
      </c>
    </row>
    <row r="2272" spans="1:9" x14ac:dyDescent="0.25">
      <c r="E2272" s="7"/>
      <c r="F2272" t="s">
        <v>20</v>
      </c>
      <c r="G2272" t="s">
        <v>21</v>
      </c>
      <c r="H2272" t="str">
        <f>"23148"</f>
        <v>23148</v>
      </c>
      <c r="I2272" t="str">
        <f>"ANGEL FIRE &amp; SAFETY"</f>
        <v>ANGEL FIRE &amp; SAFETY</v>
      </c>
    </row>
    <row r="2273" spans="1:9" x14ac:dyDescent="0.25">
      <c r="A2273" s="6">
        <v>43153</v>
      </c>
      <c r="B2273" t="s">
        <v>26</v>
      </c>
      <c r="C2273">
        <v>56913</v>
      </c>
      <c r="D2273" t="s">
        <v>207</v>
      </c>
      <c r="E2273" s="7">
        <v>396</v>
      </c>
      <c r="F2273" t="s">
        <v>20</v>
      </c>
      <c r="G2273" t="s">
        <v>21</v>
      </c>
      <c r="H2273" t="str">
        <f>"4758"</f>
        <v>4758</v>
      </c>
      <c r="I2273" t="str">
        <f>"MAD DESIGNS"</f>
        <v>MAD DESIGNS</v>
      </c>
    </row>
    <row r="2274" spans="1:9" x14ac:dyDescent="0.25">
      <c r="E2274" s="7"/>
      <c r="F2274" t="s">
        <v>20</v>
      </c>
      <c r="G2274" t="s">
        <v>21</v>
      </c>
      <c r="H2274" t="str">
        <f>"4761"</f>
        <v>4761</v>
      </c>
      <c r="I2274" t="str">
        <f>"MAD DESIGNS"</f>
        <v>MAD DESIGNS</v>
      </c>
    </row>
    <row r="2275" spans="1:9" x14ac:dyDescent="0.25">
      <c r="A2275" s="6">
        <v>43153</v>
      </c>
      <c r="B2275" t="s">
        <v>26</v>
      </c>
      <c r="C2275">
        <v>56914</v>
      </c>
      <c r="D2275" t="s">
        <v>148</v>
      </c>
      <c r="E2275" s="7">
        <v>100</v>
      </c>
      <c r="F2275" t="s">
        <v>20</v>
      </c>
      <c r="G2275" t="s">
        <v>21</v>
      </c>
      <c r="H2275" t="str">
        <f>"WMS0041856"</f>
        <v>WMS0041856</v>
      </c>
      <c r="I2275" t="str">
        <f>"TEXAS COMMISSION ON ENVIRONMEN"</f>
        <v>TEXAS COMMISSION ON ENVIRONMEN</v>
      </c>
    </row>
    <row r="2276" spans="1:9" x14ac:dyDescent="0.25">
      <c r="A2276" s="6">
        <v>43153</v>
      </c>
      <c r="B2276" t="s">
        <v>26</v>
      </c>
      <c r="C2276">
        <v>56915</v>
      </c>
      <c r="D2276" t="s">
        <v>236</v>
      </c>
      <c r="E2276" s="7">
        <v>101.68</v>
      </c>
      <c r="F2276" t="s">
        <v>20</v>
      </c>
      <c r="G2276" t="s">
        <v>21</v>
      </c>
      <c r="H2276" t="str">
        <f>"71312021"</f>
        <v>71312021</v>
      </c>
      <c r="I2276" t="str">
        <f>"TIFCO INDUSTRIES  INC."</f>
        <v>TIFCO INDUSTRIES  INC.</v>
      </c>
    </row>
    <row r="2277" spans="1:9" x14ac:dyDescent="0.25">
      <c r="E2277" s="7"/>
      <c r="F2277" t="s">
        <v>20</v>
      </c>
      <c r="G2277" t="s">
        <v>21</v>
      </c>
      <c r="H2277" t="str">
        <f>"71331572"</f>
        <v>71331572</v>
      </c>
      <c r="I2277" t="str">
        <f>"TIFCO INDUSTRIES  INC."</f>
        <v>TIFCO INDUSTRIES  INC.</v>
      </c>
    </row>
    <row r="2278" spans="1:9" x14ac:dyDescent="0.25">
      <c r="A2278" s="6">
        <v>43153</v>
      </c>
      <c r="B2278" t="s">
        <v>26</v>
      </c>
      <c r="C2278">
        <v>56916</v>
      </c>
      <c r="D2278" t="s">
        <v>81</v>
      </c>
      <c r="E2278" s="7">
        <v>77.56</v>
      </c>
      <c r="F2278" t="s">
        <v>20</v>
      </c>
      <c r="G2278" t="s">
        <v>21</v>
      </c>
      <c r="H2278" t="str">
        <f>"2.20.18 AM"</f>
        <v>2.20.18 AM</v>
      </c>
      <c r="I2278" t="str">
        <f>"CITY OF FLORESVILLE -PETTY CAS"</f>
        <v>CITY OF FLORESVILLE -PETTY CAS</v>
      </c>
    </row>
    <row r="2279" spans="1:9" x14ac:dyDescent="0.25">
      <c r="A2279" s="6">
        <v>43153</v>
      </c>
      <c r="B2279" t="s">
        <v>26</v>
      </c>
      <c r="C2279">
        <v>56917</v>
      </c>
      <c r="D2279" t="s">
        <v>129</v>
      </c>
      <c r="E2279" s="7">
        <v>240.15</v>
      </c>
      <c r="F2279" t="s">
        <v>20</v>
      </c>
      <c r="G2279" t="s">
        <v>24</v>
      </c>
      <c r="H2279" t="str">
        <f>"P29848"</f>
        <v>P29848</v>
      </c>
      <c r="I2279" t="str">
        <f>"AG-PRO COMPANIES"</f>
        <v>AG-PRO COMPANIES</v>
      </c>
    </row>
    <row r="2280" spans="1:9" x14ac:dyDescent="0.25">
      <c r="E2280" s="7"/>
      <c r="F2280" t="s">
        <v>20</v>
      </c>
      <c r="G2280" t="s">
        <v>21</v>
      </c>
      <c r="H2280" t="str">
        <f>"P29733"</f>
        <v>P29733</v>
      </c>
      <c r="I2280" t="str">
        <f>"AG-PRO COMPANIES"</f>
        <v>AG-PRO COMPANIES</v>
      </c>
    </row>
    <row r="2281" spans="1:9" x14ac:dyDescent="0.25">
      <c r="A2281" s="6">
        <v>43153</v>
      </c>
      <c r="B2281" t="s">
        <v>26</v>
      </c>
      <c r="C2281">
        <v>56918</v>
      </c>
      <c r="D2281" t="s">
        <v>306</v>
      </c>
      <c r="E2281" s="7">
        <v>40</v>
      </c>
      <c r="F2281" t="s">
        <v>20</v>
      </c>
      <c r="G2281" t="s">
        <v>21</v>
      </c>
      <c r="H2281" t="str">
        <f>"TRNG REF"</f>
        <v>TRNG REF</v>
      </c>
      <c r="I2281" t="str">
        <f>"JORGE LOPEZ"</f>
        <v>JORGE LOPEZ</v>
      </c>
    </row>
    <row r="2282" spans="1:9" x14ac:dyDescent="0.25">
      <c r="A2282" s="6">
        <v>43153</v>
      </c>
      <c r="B2282" t="s">
        <v>26</v>
      </c>
      <c r="C2282">
        <v>56919</v>
      </c>
      <c r="D2282" t="s">
        <v>33</v>
      </c>
      <c r="E2282" s="7">
        <v>75</v>
      </c>
      <c r="F2282" t="s">
        <v>20</v>
      </c>
      <c r="G2282" t="s">
        <v>21</v>
      </c>
      <c r="H2282" t="str">
        <f>"2.17.18"</f>
        <v>2.17.18</v>
      </c>
      <c r="I2282" t="str">
        <f>"DEBORAH KORCZYK"</f>
        <v>DEBORAH KORCZYK</v>
      </c>
    </row>
    <row r="2283" spans="1:9" x14ac:dyDescent="0.25">
      <c r="A2283" s="6">
        <v>43153</v>
      </c>
      <c r="B2283" t="s">
        <v>26</v>
      </c>
      <c r="C2283">
        <v>56920</v>
      </c>
      <c r="D2283" t="s">
        <v>192</v>
      </c>
      <c r="E2283" s="7">
        <v>4916.03</v>
      </c>
      <c r="F2283" t="s">
        <v>20</v>
      </c>
      <c r="G2283" t="s">
        <v>21</v>
      </c>
      <c r="H2283" t="str">
        <f>"56212390"</f>
        <v>56212390</v>
      </c>
      <c r="I2283" t="str">
        <f t="shared" ref="I2283:I2289" si="41">"DE LAGE LANDEN PUBLIC FINANCE"</f>
        <v>DE LAGE LANDEN PUBLIC FINANCE</v>
      </c>
    </row>
    <row r="2284" spans="1:9" x14ac:dyDescent="0.25">
      <c r="E2284" s="7"/>
      <c r="F2284" t="s">
        <v>20</v>
      </c>
      <c r="G2284" t="s">
        <v>21</v>
      </c>
      <c r="H2284" t="str">
        <f>"56212398"</f>
        <v>56212398</v>
      </c>
      <c r="I2284" t="str">
        <f t="shared" si="41"/>
        <v>DE LAGE LANDEN PUBLIC FINANCE</v>
      </c>
    </row>
    <row r="2285" spans="1:9" x14ac:dyDescent="0.25">
      <c r="E2285" s="7"/>
      <c r="F2285" t="s">
        <v>20</v>
      </c>
      <c r="G2285" t="s">
        <v>21</v>
      </c>
      <c r="H2285" t="str">
        <f>"56212408"</f>
        <v>56212408</v>
      </c>
      <c r="I2285" t="str">
        <f t="shared" si="41"/>
        <v>DE LAGE LANDEN PUBLIC FINANCE</v>
      </c>
    </row>
    <row r="2286" spans="1:9" x14ac:dyDescent="0.25">
      <c r="E2286" s="7"/>
      <c r="F2286" t="s">
        <v>20</v>
      </c>
      <c r="G2286" t="s">
        <v>21</v>
      </c>
      <c r="H2286" t="str">
        <f>"56914979"</f>
        <v>56914979</v>
      </c>
      <c r="I2286" t="str">
        <f t="shared" si="41"/>
        <v>DE LAGE LANDEN PUBLIC FINANCE</v>
      </c>
    </row>
    <row r="2287" spans="1:9" x14ac:dyDescent="0.25">
      <c r="E2287" s="7"/>
      <c r="F2287" t="s">
        <v>20</v>
      </c>
      <c r="G2287" t="s">
        <v>21</v>
      </c>
      <c r="H2287" t="str">
        <f>"57744601"</f>
        <v>57744601</v>
      </c>
      <c r="I2287" t="str">
        <f t="shared" si="41"/>
        <v>DE LAGE LANDEN PUBLIC FINANCE</v>
      </c>
    </row>
    <row r="2288" spans="1:9" x14ac:dyDescent="0.25">
      <c r="E2288" s="7"/>
      <c r="F2288" t="s">
        <v>20</v>
      </c>
      <c r="G2288" t="s">
        <v>21</v>
      </c>
      <c r="H2288" t="str">
        <f>"57744608"</f>
        <v>57744608</v>
      </c>
      <c r="I2288" t="str">
        <f t="shared" si="41"/>
        <v>DE LAGE LANDEN PUBLIC FINANCE</v>
      </c>
    </row>
    <row r="2289" spans="1:9" x14ac:dyDescent="0.25">
      <c r="E2289" s="7"/>
      <c r="F2289" t="s">
        <v>20</v>
      </c>
      <c r="G2289" t="s">
        <v>21</v>
      </c>
      <c r="H2289" t="str">
        <f>"57744617"</f>
        <v>57744617</v>
      </c>
      <c r="I2289" t="str">
        <f t="shared" si="41"/>
        <v>DE LAGE LANDEN PUBLIC FINANCE</v>
      </c>
    </row>
    <row r="2290" spans="1:9" x14ac:dyDescent="0.25">
      <c r="A2290" s="6">
        <v>43153</v>
      </c>
      <c r="B2290" t="s">
        <v>26</v>
      </c>
      <c r="C2290">
        <v>56923</v>
      </c>
      <c r="D2290" t="s">
        <v>307</v>
      </c>
      <c r="E2290" s="7">
        <v>750.64</v>
      </c>
      <c r="F2290" t="s">
        <v>20</v>
      </c>
      <c r="G2290" t="s">
        <v>21</v>
      </c>
      <c r="H2290" t="str">
        <f>"S122647"</f>
        <v>S122647</v>
      </c>
      <c r="I2290" t="str">
        <f>"LOFTIN EQUIPMENT CO."</f>
        <v>LOFTIN EQUIPMENT CO.</v>
      </c>
    </row>
    <row r="2291" spans="1:9" x14ac:dyDescent="0.25">
      <c r="A2291" s="6">
        <v>43153</v>
      </c>
      <c r="B2291" t="s">
        <v>26</v>
      </c>
      <c r="C2291">
        <v>56924</v>
      </c>
      <c r="D2291" t="s">
        <v>308</v>
      </c>
      <c r="E2291" s="7">
        <v>163.65</v>
      </c>
      <c r="F2291" t="s">
        <v>20</v>
      </c>
      <c r="G2291" t="s">
        <v>21</v>
      </c>
      <c r="H2291" t="str">
        <f>"TESTING 2.12.18"</f>
        <v>TESTING 2.12.18</v>
      </c>
      <c r="I2291" t="str">
        <f>"JOHNNY VILLARREAL"</f>
        <v>JOHNNY VILLARREAL</v>
      </c>
    </row>
    <row r="2292" spans="1:9" x14ac:dyDescent="0.25">
      <c r="A2292" s="6">
        <v>43153</v>
      </c>
      <c r="B2292" t="s">
        <v>26</v>
      </c>
      <c r="C2292">
        <v>56925</v>
      </c>
      <c r="D2292" t="s">
        <v>131</v>
      </c>
      <c r="E2292" s="7">
        <v>98.88</v>
      </c>
      <c r="F2292" t="s">
        <v>20</v>
      </c>
      <c r="G2292" t="s">
        <v>21</v>
      </c>
      <c r="H2292" t="str">
        <f>"026619"</f>
        <v>026619</v>
      </c>
      <c r="I2292" t="str">
        <f>"R &amp; S TEXAS PARTS CO"</f>
        <v>R &amp; S TEXAS PARTS CO</v>
      </c>
    </row>
    <row r="2293" spans="1:9" x14ac:dyDescent="0.25">
      <c r="E2293" s="7"/>
      <c r="F2293" t="s">
        <v>20</v>
      </c>
      <c r="G2293" t="s">
        <v>21</v>
      </c>
      <c r="H2293" t="str">
        <f>"026750"</f>
        <v>026750</v>
      </c>
      <c r="I2293" t="str">
        <f>"R &amp; S TEXAS PARTS CO"</f>
        <v>R &amp; S TEXAS PARTS CO</v>
      </c>
    </row>
    <row r="2294" spans="1:9" x14ac:dyDescent="0.25">
      <c r="A2294" s="6">
        <v>43153</v>
      </c>
      <c r="B2294" t="s">
        <v>26</v>
      </c>
      <c r="C2294">
        <v>56926</v>
      </c>
      <c r="D2294" t="s">
        <v>309</v>
      </c>
      <c r="E2294" s="7">
        <v>107.47</v>
      </c>
      <c r="F2294" t="s">
        <v>20</v>
      </c>
      <c r="G2294" t="s">
        <v>21</v>
      </c>
      <c r="H2294" t="str">
        <f>"0100990"</f>
        <v>0100990</v>
      </c>
      <c r="I2294" t="str">
        <f>"POLLARD WATER"</f>
        <v>POLLARD WATER</v>
      </c>
    </row>
    <row r="2295" spans="1:9" x14ac:dyDescent="0.25">
      <c r="A2295" s="6">
        <v>43153</v>
      </c>
      <c r="B2295" t="s">
        <v>26</v>
      </c>
      <c r="C2295">
        <v>56927</v>
      </c>
      <c r="D2295" t="s">
        <v>82</v>
      </c>
      <c r="E2295" s="7">
        <v>869.12</v>
      </c>
      <c r="F2295" t="s">
        <v>20</v>
      </c>
      <c r="G2295" t="s">
        <v>21</v>
      </c>
      <c r="H2295" t="str">
        <f>"SI-1018564"</f>
        <v>SI-1018564</v>
      </c>
      <c r="I2295" t="str">
        <f>"BASS COMPUTER  INC."</f>
        <v>BASS COMPUTER  INC.</v>
      </c>
    </row>
    <row r="2296" spans="1:9" x14ac:dyDescent="0.25">
      <c r="E2296" s="7"/>
      <c r="F2296" t="s">
        <v>20</v>
      </c>
      <c r="G2296" t="s">
        <v>21</v>
      </c>
      <c r="H2296" t="str">
        <f>"SI-1019028"</f>
        <v>SI-1019028</v>
      </c>
      <c r="I2296" t="str">
        <f>"BASS COMPUTER  INC."</f>
        <v>BASS COMPUTER  INC.</v>
      </c>
    </row>
    <row r="2297" spans="1:9" x14ac:dyDescent="0.25">
      <c r="A2297" s="6">
        <v>43153</v>
      </c>
      <c r="B2297" t="s">
        <v>26</v>
      </c>
      <c r="C2297">
        <v>56928</v>
      </c>
      <c r="D2297" t="s">
        <v>83</v>
      </c>
      <c r="E2297" s="7">
        <v>918</v>
      </c>
      <c r="F2297" t="s">
        <v>20</v>
      </c>
      <c r="G2297" t="s">
        <v>21</v>
      </c>
      <c r="H2297" t="str">
        <f>"262813"</f>
        <v>262813</v>
      </c>
      <c r="I2297" t="str">
        <f>"APPRIVER"</f>
        <v>APPRIVER</v>
      </c>
    </row>
    <row r="2298" spans="1:9" x14ac:dyDescent="0.25">
      <c r="A2298" s="6">
        <v>43153</v>
      </c>
      <c r="B2298" t="s">
        <v>26</v>
      </c>
      <c r="C2298">
        <v>56929</v>
      </c>
      <c r="D2298" t="s">
        <v>85</v>
      </c>
      <c r="E2298" s="7">
        <v>378.58</v>
      </c>
      <c r="F2298" t="s">
        <v>20</v>
      </c>
      <c r="G2298" t="s">
        <v>21</v>
      </c>
      <c r="H2298" t="str">
        <f>"201802228275"</f>
        <v>201802228275</v>
      </c>
      <c r="I2298" t="str">
        <f>"FRONTIER"</f>
        <v>FRONTIER</v>
      </c>
    </row>
    <row r="2299" spans="1:9" x14ac:dyDescent="0.25">
      <c r="E2299" s="7"/>
      <c r="F2299" t="s">
        <v>20</v>
      </c>
      <c r="G2299" t="s">
        <v>21</v>
      </c>
      <c r="H2299" t="str">
        <f>"201802228276"</f>
        <v>201802228276</v>
      </c>
      <c r="I2299" t="str">
        <f>"FRONTIER"</f>
        <v>FRONTIER</v>
      </c>
    </row>
    <row r="2300" spans="1:9" x14ac:dyDescent="0.25">
      <c r="E2300" s="7"/>
      <c r="F2300" t="s">
        <v>20</v>
      </c>
      <c r="G2300" t="s">
        <v>21</v>
      </c>
      <c r="H2300" t="str">
        <f>"201802228282"</f>
        <v>201802228282</v>
      </c>
      <c r="I2300" t="str">
        <f>"FRONTIER"</f>
        <v>FRONTIER</v>
      </c>
    </row>
    <row r="2301" spans="1:9" x14ac:dyDescent="0.25">
      <c r="E2301" s="7"/>
      <c r="F2301" t="s">
        <v>20</v>
      </c>
      <c r="G2301" t="s">
        <v>21</v>
      </c>
      <c r="H2301" t="str">
        <f>"201802228287"</f>
        <v>201802228287</v>
      </c>
      <c r="I2301" t="str">
        <f>"FRONTIER"</f>
        <v>FRONTIER</v>
      </c>
    </row>
    <row r="2302" spans="1:9" x14ac:dyDescent="0.25">
      <c r="A2302" s="6">
        <v>43153</v>
      </c>
      <c r="B2302" t="s">
        <v>26</v>
      </c>
      <c r="C2302">
        <v>56930</v>
      </c>
      <c r="D2302" t="s">
        <v>194</v>
      </c>
      <c r="E2302" s="7">
        <v>1758.79</v>
      </c>
      <c r="F2302" t="s">
        <v>20</v>
      </c>
      <c r="G2302" t="s">
        <v>21</v>
      </c>
      <c r="H2302" t="str">
        <f>"BC0531716"</f>
        <v>BC0531716</v>
      </c>
      <c r="I2302" t="str">
        <f t="shared" ref="I2302:I2307" si="42">"GALLS  LLC-D.B.A. STERLING'S U"</f>
        <v>GALLS  LLC-D.B.A. STERLING'S U</v>
      </c>
    </row>
    <row r="2303" spans="1:9" x14ac:dyDescent="0.25">
      <c r="E2303" s="7"/>
      <c r="F2303" t="s">
        <v>20</v>
      </c>
      <c r="G2303" t="s">
        <v>21</v>
      </c>
      <c r="H2303" t="str">
        <f>"BC0538085"</f>
        <v>BC0538085</v>
      </c>
      <c r="I2303" t="str">
        <f t="shared" si="42"/>
        <v>GALLS  LLC-D.B.A. STERLING'S U</v>
      </c>
    </row>
    <row r="2304" spans="1:9" x14ac:dyDescent="0.25">
      <c r="E2304" s="7"/>
      <c r="F2304" t="s">
        <v>20</v>
      </c>
      <c r="G2304" t="s">
        <v>21</v>
      </c>
      <c r="H2304" t="str">
        <f>"BC0547367"</f>
        <v>BC0547367</v>
      </c>
      <c r="I2304" t="str">
        <f t="shared" si="42"/>
        <v>GALLS  LLC-D.B.A. STERLING'S U</v>
      </c>
    </row>
    <row r="2305" spans="1:9" x14ac:dyDescent="0.25">
      <c r="E2305" s="7"/>
      <c r="F2305" t="s">
        <v>20</v>
      </c>
      <c r="G2305" t="s">
        <v>21</v>
      </c>
      <c r="H2305" t="str">
        <f>"BC0548212"</f>
        <v>BC0548212</v>
      </c>
      <c r="I2305" t="str">
        <f t="shared" si="42"/>
        <v>GALLS  LLC-D.B.A. STERLING'S U</v>
      </c>
    </row>
    <row r="2306" spans="1:9" x14ac:dyDescent="0.25">
      <c r="E2306" s="7"/>
      <c r="F2306" t="s">
        <v>20</v>
      </c>
      <c r="G2306" t="s">
        <v>21</v>
      </c>
      <c r="H2306" t="str">
        <f>"BC0551990"</f>
        <v>BC0551990</v>
      </c>
      <c r="I2306" t="str">
        <f t="shared" si="42"/>
        <v>GALLS  LLC-D.B.A. STERLING'S U</v>
      </c>
    </row>
    <row r="2307" spans="1:9" x14ac:dyDescent="0.25">
      <c r="E2307" s="7"/>
      <c r="F2307" t="s">
        <v>20</v>
      </c>
      <c r="G2307" t="s">
        <v>21</v>
      </c>
      <c r="H2307" t="str">
        <f>"BC0552707"</f>
        <v>BC0552707</v>
      </c>
      <c r="I2307" t="str">
        <f t="shared" si="42"/>
        <v>GALLS  LLC-D.B.A. STERLING'S U</v>
      </c>
    </row>
    <row r="2308" spans="1:9" x14ac:dyDescent="0.25">
      <c r="A2308" s="6">
        <v>43153</v>
      </c>
      <c r="B2308" t="s">
        <v>26</v>
      </c>
      <c r="C2308">
        <v>56931</v>
      </c>
      <c r="D2308" t="s">
        <v>310</v>
      </c>
      <c r="E2308" s="7">
        <v>10865.1</v>
      </c>
      <c r="F2308" t="s">
        <v>20</v>
      </c>
      <c r="G2308" t="s">
        <v>21</v>
      </c>
      <c r="H2308" t="str">
        <f>"LRK5937"</f>
        <v>LRK5937</v>
      </c>
      <c r="I2308" t="str">
        <f>"CDW GOVERNMENT"</f>
        <v>CDW GOVERNMENT</v>
      </c>
    </row>
    <row r="2309" spans="1:9" x14ac:dyDescent="0.25">
      <c r="A2309" s="6">
        <v>43153</v>
      </c>
      <c r="B2309" t="s">
        <v>26</v>
      </c>
      <c r="C2309">
        <v>56932</v>
      </c>
      <c r="D2309" t="s">
        <v>140</v>
      </c>
      <c r="E2309" s="7">
        <v>2790</v>
      </c>
      <c r="F2309" t="s">
        <v>20</v>
      </c>
      <c r="G2309" t="s">
        <v>21</v>
      </c>
      <c r="H2309" t="str">
        <f>"2 - POLICE DEPT"</f>
        <v>2 - POLICE DEPT</v>
      </c>
      <c r="I2309" t="str">
        <f>"DEBRA J. DOCKERY"</f>
        <v>DEBRA J. DOCKERY</v>
      </c>
    </row>
    <row r="2310" spans="1:9" x14ac:dyDescent="0.25">
      <c r="A2310" s="6">
        <v>43153</v>
      </c>
      <c r="B2310" t="s">
        <v>26</v>
      </c>
      <c r="C2310">
        <v>56933</v>
      </c>
      <c r="D2310" t="s">
        <v>311</v>
      </c>
      <c r="E2310" s="7">
        <v>3633.7</v>
      </c>
      <c r="F2310" t="s">
        <v>20</v>
      </c>
      <c r="G2310" t="s">
        <v>21</v>
      </c>
      <c r="H2310" t="str">
        <f>"201802228281"</f>
        <v>201802228281</v>
      </c>
      <c r="I2310" t="s">
        <v>267</v>
      </c>
    </row>
    <row r="2311" spans="1:9" x14ac:dyDescent="0.25">
      <c r="A2311" s="6">
        <v>43153</v>
      </c>
      <c r="B2311" t="s">
        <v>26</v>
      </c>
      <c r="C2311">
        <v>56934</v>
      </c>
      <c r="D2311" t="s">
        <v>217</v>
      </c>
      <c r="E2311" s="7">
        <v>652</v>
      </c>
      <c r="F2311" t="s">
        <v>20</v>
      </c>
      <c r="G2311" t="s">
        <v>21</v>
      </c>
      <c r="H2311" t="str">
        <f>"PT#AH0031708365"</f>
        <v>PT#AH0031708365</v>
      </c>
      <c r="I2311" t="str">
        <f>"CHILDRENS HOSPITAL OF SAN ANTO"</f>
        <v>CHILDRENS HOSPITAL OF SAN ANTO</v>
      </c>
    </row>
    <row r="2312" spans="1:9" x14ac:dyDescent="0.25">
      <c r="A2312" s="6">
        <v>43153</v>
      </c>
      <c r="B2312" t="s">
        <v>26</v>
      </c>
      <c r="C2312">
        <v>56935</v>
      </c>
      <c r="D2312" t="s">
        <v>175</v>
      </c>
      <c r="E2312" s="7">
        <v>500</v>
      </c>
      <c r="F2312" t="s">
        <v>20</v>
      </c>
      <c r="G2312" t="s">
        <v>21</v>
      </c>
      <c r="H2312" t="str">
        <f>"151103"</f>
        <v>151103</v>
      </c>
      <c r="I2312" t="str">
        <f>"AMER TECHNOLOGY  INC."</f>
        <v>AMER TECHNOLOGY  INC.</v>
      </c>
    </row>
    <row r="2313" spans="1:9" x14ac:dyDescent="0.25">
      <c r="A2313" s="6">
        <v>43153</v>
      </c>
      <c r="B2313" t="s">
        <v>26</v>
      </c>
      <c r="C2313">
        <v>56936</v>
      </c>
      <c r="D2313" t="s">
        <v>312</v>
      </c>
      <c r="E2313" s="7">
        <v>579</v>
      </c>
      <c r="F2313" t="s">
        <v>20</v>
      </c>
      <c r="G2313" t="s">
        <v>21</v>
      </c>
      <c r="H2313" t="str">
        <f>"17-2742"</f>
        <v>17-2742</v>
      </c>
      <c r="I2313" t="str">
        <f>"FULLER'S ALAMO SAFE AND LOCK"</f>
        <v>FULLER'S ALAMO SAFE AND LOCK</v>
      </c>
    </row>
    <row r="2314" spans="1:9" x14ac:dyDescent="0.25">
      <c r="E2314" s="7"/>
      <c r="F2314" t="s">
        <v>20</v>
      </c>
      <c r="G2314" t="s">
        <v>21</v>
      </c>
      <c r="H2314" t="str">
        <f>"18-030"</f>
        <v>18-030</v>
      </c>
      <c r="I2314" t="str">
        <f>"FULLER'S ALAMO SAFE AND LOCK"</f>
        <v>FULLER'S ALAMO SAFE AND LOCK</v>
      </c>
    </row>
    <row r="2315" spans="1:9" x14ac:dyDescent="0.25">
      <c r="A2315" s="6">
        <v>43153</v>
      </c>
      <c r="B2315" t="s">
        <v>26</v>
      </c>
      <c r="C2315">
        <v>56937</v>
      </c>
      <c r="D2315" t="s">
        <v>237</v>
      </c>
      <c r="E2315" s="7">
        <v>2386.11</v>
      </c>
      <c r="F2315" t="s">
        <v>20</v>
      </c>
      <c r="G2315" t="s">
        <v>21</v>
      </c>
      <c r="H2315" t="str">
        <f>"153477653-001"</f>
        <v>153477653-001</v>
      </c>
      <c r="I2315" t="str">
        <f>"UNITED RENTALS (NORTH AMERICA)"</f>
        <v>UNITED RENTALS (NORTH AMERICA)</v>
      </c>
    </row>
    <row r="2316" spans="1:9" x14ac:dyDescent="0.25">
      <c r="A2316" s="6">
        <v>43153</v>
      </c>
      <c r="B2316" t="s">
        <v>26</v>
      </c>
      <c r="C2316">
        <v>56938</v>
      </c>
      <c r="D2316" t="s">
        <v>195</v>
      </c>
      <c r="E2316" s="7">
        <v>500</v>
      </c>
      <c r="F2316" t="s">
        <v>20</v>
      </c>
      <c r="G2316" t="s">
        <v>21</v>
      </c>
      <c r="H2316" t="str">
        <f>"24830"</f>
        <v>24830</v>
      </c>
      <c r="I2316" t="str">
        <f>"ARISTA INFORMATION SYSTEMS  IN"</f>
        <v>ARISTA INFORMATION SYSTEMS  IN</v>
      </c>
    </row>
    <row r="2317" spans="1:9" x14ac:dyDescent="0.25">
      <c r="A2317" s="6">
        <v>43153</v>
      </c>
      <c r="B2317" t="s">
        <v>26</v>
      </c>
      <c r="C2317">
        <v>56939</v>
      </c>
      <c r="D2317" t="s">
        <v>313</v>
      </c>
      <c r="E2317" s="7">
        <v>20165.25</v>
      </c>
      <c r="F2317" t="s">
        <v>20</v>
      </c>
      <c r="G2317" t="s">
        <v>21</v>
      </c>
      <c r="H2317" t="str">
        <f>"201802228280"</f>
        <v>201802228280</v>
      </c>
      <c r="I2317" t="s">
        <v>267</v>
      </c>
    </row>
    <row r="2318" spans="1:9" x14ac:dyDescent="0.25">
      <c r="A2318" s="6">
        <v>43153</v>
      </c>
      <c r="B2318" t="s">
        <v>26</v>
      </c>
      <c r="C2318">
        <v>56940</v>
      </c>
      <c r="D2318" t="s">
        <v>197</v>
      </c>
      <c r="E2318" s="7">
        <v>2700</v>
      </c>
      <c r="F2318" t="s">
        <v>20</v>
      </c>
      <c r="G2318" t="s">
        <v>21</v>
      </c>
      <c r="H2318" t="str">
        <f>"180313"</f>
        <v>180313</v>
      </c>
      <c r="I2318" t="str">
        <f>"WHOLESALE CHEMICAL COMPANY  IN"</f>
        <v>WHOLESALE CHEMICAL COMPANY  IN</v>
      </c>
    </row>
    <row r="2319" spans="1:9" x14ac:dyDescent="0.25">
      <c r="A2319" s="6">
        <v>43153</v>
      </c>
      <c r="B2319" t="s">
        <v>26</v>
      </c>
      <c r="C2319">
        <v>56941</v>
      </c>
      <c r="D2319" t="s">
        <v>198</v>
      </c>
      <c r="E2319" s="7">
        <v>75</v>
      </c>
      <c r="F2319" t="s">
        <v>20</v>
      </c>
      <c r="G2319" t="s">
        <v>21</v>
      </c>
      <c r="H2319" t="str">
        <f>"2.17.18"</f>
        <v>2.17.18</v>
      </c>
      <c r="I2319" t="str">
        <f>"ABELINA MURILLO"</f>
        <v>ABELINA MURILLO</v>
      </c>
    </row>
    <row r="2320" spans="1:9" x14ac:dyDescent="0.25">
      <c r="A2320" s="6">
        <v>43153</v>
      </c>
      <c r="B2320" t="s">
        <v>26</v>
      </c>
      <c r="C2320">
        <v>56942</v>
      </c>
      <c r="D2320" t="s">
        <v>135</v>
      </c>
      <c r="E2320" s="7">
        <v>108671.97</v>
      </c>
      <c r="F2320" t="s">
        <v>20</v>
      </c>
      <c r="G2320" t="s">
        <v>21</v>
      </c>
      <c r="H2320" t="str">
        <f>"PAY APP#7"</f>
        <v>PAY APP#7</v>
      </c>
      <c r="I2320" t="str">
        <f>"HENOCK CONSTRUCTION  LLC"</f>
        <v>HENOCK CONSTRUCTION  LLC</v>
      </c>
    </row>
    <row r="2321" spans="1:9" x14ac:dyDescent="0.25">
      <c r="A2321" s="6">
        <v>43153</v>
      </c>
      <c r="B2321" t="s">
        <v>26</v>
      </c>
      <c r="C2321">
        <v>56943</v>
      </c>
      <c r="D2321" t="s">
        <v>246</v>
      </c>
      <c r="E2321" s="7">
        <v>40</v>
      </c>
      <c r="F2321" t="s">
        <v>20</v>
      </c>
      <c r="G2321" t="s">
        <v>21</v>
      </c>
      <c r="H2321" t="str">
        <f>"TEST"</f>
        <v>TEST</v>
      </c>
      <c r="I2321" t="str">
        <f>"JAY TRINIDAD"</f>
        <v>JAY TRINIDAD</v>
      </c>
    </row>
    <row r="2322" spans="1:9" x14ac:dyDescent="0.25">
      <c r="A2322" s="6">
        <v>43153</v>
      </c>
      <c r="B2322" t="s">
        <v>26</v>
      </c>
      <c r="C2322">
        <v>56944</v>
      </c>
      <c r="D2322" t="s">
        <v>55</v>
      </c>
      <c r="E2322" s="7">
        <v>3825</v>
      </c>
      <c r="F2322" t="s">
        <v>20</v>
      </c>
      <c r="G2322" t="s">
        <v>21</v>
      </c>
      <c r="H2322" t="str">
        <f>"1087-2"</f>
        <v>1087-2</v>
      </c>
      <c r="I2322" t="str">
        <f>"LEVEL 4 CONSULTING"</f>
        <v>LEVEL 4 CONSULTING</v>
      </c>
    </row>
    <row r="2323" spans="1:9" x14ac:dyDescent="0.25">
      <c r="A2323" s="6">
        <v>43153</v>
      </c>
      <c r="B2323" t="s">
        <v>26</v>
      </c>
      <c r="C2323">
        <v>56945</v>
      </c>
      <c r="D2323" t="s">
        <v>276</v>
      </c>
      <c r="E2323" s="7">
        <v>166.5</v>
      </c>
      <c r="F2323" t="s">
        <v>20</v>
      </c>
      <c r="G2323" t="s">
        <v>21</v>
      </c>
      <c r="H2323" t="str">
        <f>"17GB113230"</f>
        <v>17GB113230</v>
      </c>
      <c r="I2323" t="str">
        <f>"DAILEY-WELLS COMMUNICATIONS"</f>
        <v>DAILEY-WELLS COMMUNICATIONS</v>
      </c>
    </row>
    <row r="2324" spans="1:9" x14ac:dyDescent="0.25">
      <c r="E2324" s="7"/>
      <c r="F2324" t="s">
        <v>20</v>
      </c>
      <c r="G2324" t="s">
        <v>21</v>
      </c>
      <c r="H2324" t="str">
        <f>"17GB123309"</f>
        <v>17GB123309</v>
      </c>
      <c r="I2324" t="str">
        <f>"DAILEY-WELLS COMMUNICATIONS"</f>
        <v>DAILEY-WELLS COMMUNICATIONS</v>
      </c>
    </row>
    <row r="2325" spans="1:9" x14ac:dyDescent="0.25">
      <c r="A2325" s="6">
        <v>43153</v>
      </c>
      <c r="B2325" t="s">
        <v>26</v>
      </c>
      <c r="C2325">
        <v>56946</v>
      </c>
      <c r="D2325" t="s">
        <v>262</v>
      </c>
      <c r="E2325" s="7">
        <v>6050</v>
      </c>
      <c r="F2325" t="s">
        <v>20</v>
      </c>
      <c r="G2325" t="s">
        <v>21</v>
      </c>
      <c r="H2325" t="str">
        <f>"7216170 - #2"</f>
        <v>7216170 - #2</v>
      </c>
      <c r="I2325" t="str">
        <f>"GRANTWORKS INC"</f>
        <v>GRANTWORKS INC</v>
      </c>
    </row>
    <row r="2326" spans="1:9" x14ac:dyDescent="0.25">
      <c r="A2326" s="6">
        <v>43153</v>
      </c>
      <c r="B2326" t="s">
        <v>26</v>
      </c>
      <c r="C2326">
        <v>56947</v>
      </c>
      <c r="D2326" t="s">
        <v>314</v>
      </c>
      <c r="E2326" s="7">
        <v>717</v>
      </c>
      <c r="F2326" t="s">
        <v>20</v>
      </c>
      <c r="G2326" t="s">
        <v>21</v>
      </c>
      <c r="H2326" t="str">
        <f>"13056"</f>
        <v>13056</v>
      </c>
      <c r="I2326" t="str">
        <f>"GOLDEN OPENINGS"</f>
        <v>GOLDEN OPENINGS</v>
      </c>
    </row>
    <row r="2327" spans="1:9" x14ac:dyDescent="0.25">
      <c r="A2327" s="6">
        <v>43153</v>
      </c>
      <c r="B2327" t="s">
        <v>26</v>
      </c>
      <c r="C2327">
        <v>56948</v>
      </c>
      <c r="D2327" t="s">
        <v>140</v>
      </c>
      <c r="E2327" s="7">
        <v>8377.2000000000007</v>
      </c>
      <c r="F2327" t="s">
        <v>20</v>
      </c>
      <c r="G2327" t="s">
        <v>21</v>
      </c>
      <c r="H2327" t="str">
        <f>"6 - ADA/CITY HALL"</f>
        <v>6 - ADA/CITY HALL</v>
      </c>
      <c r="I2327" t="str">
        <f>"DEBRA J. DOCKERY"</f>
        <v>DEBRA J. DOCKERY</v>
      </c>
    </row>
    <row r="2328" spans="1:9" x14ac:dyDescent="0.25">
      <c r="A2328" s="6">
        <v>43153</v>
      </c>
      <c r="B2328" t="s">
        <v>26</v>
      </c>
      <c r="C2328">
        <v>56949</v>
      </c>
      <c r="D2328" t="s">
        <v>135</v>
      </c>
      <c r="E2328" s="7">
        <v>8265</v>
      </c>
      <c r="F2328" t="s">
        <v>20</v>
      </c>
      <c r="G2328" t="s">
        <v>21</v>
      </c>
      <c r="H2328" t="str">
        <f>"PAY APP#6 ADA"</f>
        <v>PAY APP#6 ADA</v>
      </c>
      <c r="I2328" t="str">
        <f>"HENOCK CONSTRUCTION  LLC"</f>
        <v>HENOCK CONSTRUCTION  LLC</v>
      </c>
    </row>
    <row r="2329" spans="1:9" x14ac:dyDescent="0.25">
      <c r="A2329" s="6">
        <v>43157</v>
      </c>
      <c r="B2329" t="s">
        <v>26</v>
      </c>
      <c r="C2329">
        <v>56951</v>
      </c>
      <c r="D2329" t="s">
        <v>110</v>
      </c>
      <c r="E2329" s="7">
        <v>8591.5499999999993</v>
      </c>
      <c r="F2329" t="s">
        <v>20</v>
      </c>
      <c r="G2329" t="s">
        <v>21</v>
      </c>
      <c r="H2329" t="str">
        <f>"1401803"</f>
        <v>1401803</v>
      </c>
      <c r="I2329" t="str">
        <f t="shared" ref="I2329:I2340" si="43">"BUREAU VERITAS NORTH AMERICA"</f>
        <v>BUREAU VERITAS NORTH AMERICA</v>
      </c>
    </row>
    <row r="2330" spans="1:9" x14ac:dyDescent="0.25">
      <c r="E2330" s="7"/>
      <c r="F2330" t="s">
        <v>20</v>
      </c>
      <c r="G2330" t="s">
        <v>21</v>
      </c>
      <c r="H2330" t="str">
        <f>"1401804"</f>
        <v>1401804</v>
      </c>
      <c r="I2330" t="str">
        <f t="shared" si="43"/>
        <v>BUREAU VERITAS NORTH AMERICA</v>
      </c>
    </row>
    <row r="2331" spans="1:9" x14ac:dyDescent="0.25">
      <c r="E2331" s="7"/>
      <c r="F2331" t="s">
        <v>20</v>
      </c>
      <c r="G2331" t="s">
        <v>21</v>
      </c>
      <c r="H2331" t="str">
        <f>"1401805"</f>
        <v>1401805</v>
      </c>
      <c r="I2331" t="str">
        <f t="shared" si="43"/>
        <v>BUREAU VERITAS NORTH AMERICA</v>
      </c>
    </row>
    <row r="2332" spans="1:9" x14ac:dyDescent="0.25">
      <c r="E2332" s="7"/>
      <c r="F2332" t="s">
        <v>20</v>
      </c>
      <c r="G2332" t="s">
        <v>21</v>
      </c>
      <c r="H2332" t="str">
        <f>"1401806"</f>
        <v>1401806</v>
      </c>
      <c r="I2332" t="str">
        <f t="shared" si="43"/>
        <v>BUREAU VERITAS NORTH AMERICA</v>
      </c>
    </row>
    <row r="2333" spans="1:9" x14ac:dyDescent="0.25">
      <c r="E2333" s="7"/>
      <c r="F2333" t="s">
        <v>20</v>
      </c>
      <c r="G2333" t="s">
        <v>21</v>
      </c>
      <c r="H2333" t="str">
        <f>"1401807"</f>
        <v>1401807</v>
      </c>
      <c r="I2333" t="str">
        <f t="shared" si="43"/>
        <v>BUREAU VERITAS NORTH AMERICA</v>
      </c>
    </row>
    <row r="2334" spans="1:9" x14ac:dyDescent="0.25">
      <c r="E2334" s="7"/>
      <c r="F2334" t="s">
        <v>20</v>
      </c>
      <c r="G2334" t="s">
        <v>21</v>
      </c>
      <c r="H2334" t="str">
        <f>"1401808"</f>
        <v>1401808</v>
      </c>
      <c r="I2334" t="str">
        <f t="shared" si="43"/>
        <v>BUREAU VERITAS NORTH AMERICA</v>
      </c>
    </row>
    <row r="2335" spans="1:9" x14ac:dyDescent="0.25">
      <c r="E2335" s="7"/>
      <c r="F2335" t="s">
        <v>20</v>
      </c>
      <c r="G2335" t="s">
        <v>21</v>
      </c>
      <c r="H2335" t="str">
        <f>"1401809"</f>
        <v>1401809</v>
      </c>
      <c r="I2335" t="str">
        <f t="shared" si="43"/>
        <v>BUREAU VERITAS NORTH AMERICA</v>
      </c>
    </row>
    <row r="2336" spans="1:9" x14ac:dyDescent="0.25">
      <c r="E2336" s="7"/>
      <c r="F2336" t="s">
        <v>20</v>
      </c>
      <c r="G2336" t="s">
        <v>21</v>
      </c>
      <c r="H2336" t="str">
        <f>"1401810"</f>
        <v>1401810</v>
      </c>
      <c r="I2336" t="str">
        <f t="shared" si="43"/>
        <v>BUREAU VERITAS NORTH AMERICA</v>
      </c>
    </row>
    <row r="2337" spans="1:9" x14ac:dyDescent="0.25">
      <c r="E2337" s="7"/>
      <c r="F2337" t="s">
        <v>20</v>
      </c>
      <c r="G2337" t="s">
        <v>21</v>
      </c>
      <c r="H2337" t="str">
        <f>"1401811"</f>
        <v>1401811</v>
      </c>
      <c r="I2337" t="str">
        <f t="shared" si="43"/>
        <v>BUREAU VERITAS NORTH AMERICA</v>
      </c>
    </row>
    <row r="2338" spans="1:9" x14ac:dyDescent="0.25">
      <c r="E2338" s="7"/>
      <c r="F2338" t="s">
        <v>20</v>
      </c>
      <c r="G2338" t="s">
        <v>21</v>
      </c>
      <c r="H2338" t="str">
        <f>"1402944"</f>
        <v>1402944</v>
      </c>
      <c r="I2338" t="str">
        <f t="shared" si="43"/>
        <v>BUREAU VERITAS NORTH AMERICA</v>
      </c>
    </row>
    <row r="2339" spans="1:9" x14ac:dyDescent="0.25">
      <c r="E2339" s="7"/>
      <c r="F2339" t="s">
        <v>20</v>
      </c>
      <c r="G2339" t="s">
        <v>21</v>
      </c>
      <c r="H2339" t="str">
        <f>"1402945"</f>
        <v>1402945</v>
      </c>
      <c r="I2339" t="str">
        <f t="shared" si="43"/>
        <v>BUREAU VERITAS NORTH AMERICA</v>
      </c>
    </row>
    <row r="2340" spans="1:9" x14ac:dyDescent="0.25">
      <c r="E2340" s="7"/>
      <c r="F2340" t="s">
        <v>20</v>
      </c>
      <c r="G2340" t="s">
        <v>21</v>
      </c>
      <c r="H2340" t="str">
        <f>"1402946"</f>
        <v>1402946</v>
      </c>
      <c r="I2340" t="str">
        <f t="shared" si="43"/>
        <v>BUREAU VERITAS NORTH AMERICA</v>
      </c>
    </row>
    <row r="2341" spans="1:9" x14ac:dyDescent="0.25">
      <c r="A2341" s="6">
        <v>43157</v>
      </c>
      <c r="B2341" t="s">
        <v>26</v>
      </c>
      <c r="C2341">
        <v>56953</v>
      </c>
      <c r="D2341" t="s">
        <v>123</v>
      </c>
      <c r="E2341" s="7">
        <v>154.77000000000001</v>
      </c>
      <c r="F2341" t="s">
        <v>20</v>
      </c>
      <c r="G2341" t="s">
        <v>21</v>
      </c>
      <c r="H2341" t="str">
        <f>"994424571001"</f>
        <v>994424571001</v>
      </c>
      <c r="I2341" t="str">
        <f>"OFFICE DEPOT  INC."</f>
        <v>OFFICE DEPOT  INC.</v>
      </c>
    </row>
    <row r="2342" spans="1:9" x14ac:dyDescent="0.25">
      <c r="E2342" s="7"/>
      <c r="F2342" t="s">
        <v>20</v>
      </c>
      <c r="G2342" t="s">
        <v>21</v>
      </c>
      <c r="H2342" t="str">
        <f>"994425819001"</f>
        <v>994425819001</v>
      </c>
      <c r="I2342" t="str">
        <f>"OFFICE DEPOT  INC."</f>
        <v>OFFICE DEPOT  INC.</v>
      </c>
    </row>
    <row r="2343" spans="1:9" x14ac:dyDescent="0.25">
      <c r="A2343" s="6">
        <v>43157</v>
      </c>
      <c r="B2343" t="s">
        <v>26</v>
      </c>
      <c r="C2343">
        <v>56954</v>
      </c>
      <c r="D2343" t="s">
        <v>81</v>
      </c>
      <c r="E2343" s="7">
        <v>217.44</v>
      </c>
      <c r="F2343" t="s">
        <v>20</v>
      </c>
      <c r="G2343" t="s">
        <v>21</v>
      </c>
      <c r="H2343" t="str">
        <f>"2.26.18 BC"</f>
        <v>2.26.18 BC</v>
      </c>
      <c r="I2343" t="str">
        <f>"CITY OF FLORESVILLE -PETTY CAS"</f>
        <v>CITY OF FLORESVILLE -PETTY CAS</v>
      </c>
    </row>
    <row r="2344" spans="1:9" x14ac:dyDescent="0.25">
      <c r="A2344" s="6">
        <v>43157</v>
      </c>
      <c r="B2344" t="s">
        <v>26</v>
      </c>
      <c r="C2344">
        <v>56955</v>
      </c>
      <c r="D2344" t="s">
        <v>84</v>
      </c>
      <c r="E2344" s="7">
        <v>3000</v>
      </c>
      <c r="F2344" t="s">
        <v>20</v>
      </c>
      <c r="G2344" t="s">
        <v>21</v>
      </c>
      <c r="H2344" t="str">
        <f>"1287735"</f>
        <v>1287735</v>
      </c>
      <c r="I2344" t="str">
        <f>"STANTEC CONSULTING SERVICES IN"</f>
        <v>STANTEC CONSULTING SERVICES IN</v>
      </c>
    </row>
    <row r="2345" spans="1:9" x14ac:dyDescent="0.25">
      <c r="A2345" s="6">
        <v>43157</v>
      </c>
      <c r="B2345" t="s">
        <v>26</v>
      </c>
      <c r="C2345">
        <v>56956</v>
      </c>
      <c r="D2345" t="s">
        <v>315</v>
      </c>
      <c r="E2345" s="7">
        <v>454.99</v>
      </c>
      <c r="F2345" t="s">
        <v>20</v>
      </c>
      <c r="G2345" t="s">
        <v>21</v>
      </c>
      <c r="H2345" t="str">
        <f>"766646"</f>
        <v>766646</v>
      </c>
      <c r="I2345" t="str">
        <f>"PRIME TIME ADVERTISING"</f>
        <v>PRIME TIME ADVERTISING</v>
      </c>
    </row>
    <row r="2346" spans="1:9" x14ac:dyDescent="0.25">
      <c r="A2346" s="6">
        <v>43159</v>
      </c>
      <c r="B2346" t="s">
        <v>26</v>
      </c>
      <c r="C2346">
        <v>56965</v>
      </c>
      <c r="D2346" t="s">
        <v>51</v>
      </c>
      <c r="E2346" s="7">
        <v>327.84</v>
      </c>
      <c r="F2346" t="s">
        <v>20</v>
      </c>
      <c r="G2346" t="s">
        <v>21</v>
      </c>
      <c r="H2346" t="str">
        <f>"CLE201802288290"</f>
        <v>CLE201802288290</v>
      </c>
      <c r="I2346" t="str">
        <f>"CLEAT ONLY DUES"</f>
        <v>CLEAT ONLY DUES</v>
      </c>
    </row>
    <row r="2347" spans="1:9" x14ac:dyDescent="0.25">
      <c r="E2347" s="7"/>
      <c r="F2347" t="s">
        <v>20</v>
      </c>
      <c r="G2347" t="s">
        <v>21</v>
      </c>
      <c r="H2347" t="str">
        <f>"PDD201802288290"</f>
        <v>PDD201802288290</v>
      </c>
      <c r="I2347" t="str">
        <f>"POLICE OFFICERS ASSOC DUES"</f>
        <v>POLICE OFFICERS ASSOC DUES</v>
      </c>
    </row>
    <row r="2348" spans="1:9" x14ac:dyDescent="0.25">
      <c r="A2348" s="6">
        <v>43159</v>
      </c>
      <c r="B2348" t="s">
        <v>26</v>
      </c>
      <c r="C2348">
        <v>56966</v>
      </c>
      <c r="D2348" t="s">
        <v>90</v>
      </c>
      <c r="E2348" s="7">
        <v>114.96</v>
      </c>
      <c r="F2348" t="s">
        <v>20</v>
      </c>
      <c r="G2348" t="s">
        <v>21</v>
      </c>
      <c r="H2348" t="str">
        <f>"AFS201802288290"</f>
        <v>AFS201802288290</v>
      </c>
      <c r="I2348" t="str">
        <f>"AFLAC STD"</f>
        <v>AFLAC STD</v>
      </c>
    </row>
    <row r="2349" spans="1:9" x14ac:dyDescent="0.25">
      <c r="A2349" s="6">
        <v>43159</v>
      </c>
      <c r="B2349" t="s">
        <v>26</v>
      </c>
      <c r="C2349">
        <v>56967</v>
      </c>
      <c r="D2349" t="s">
        <v>53</v>
      </c>
      <c r="E2349" s="7">
        <v>99.1</v>
      </c>
      <c r="F2349" t="s">
        <v>20</v>
      </c>
      <c r="G2349" t="s">
        <v>21</v>
      </c>
      <c r="H2349" t="str">
        <f>"MCO201802288290"</f>
        <v>MCO201802288290</v>
      </c>
      <c r="I2349" t="str">
        <f>"MONICA CORDOVA"</f>
        <v>MONICA CORDOVA</v>
      </c>
    </row>
    <row r="2350" spans="1:9" x14ac:dyDescent="0.25">
      <c r="A2350" s="6">
        <v>43159</v>
      </c>
      <c r="B2350" t="s">
        <v>91</v>
      </c>
      <c r="C2350">
        <v>56968</v>
      </c>
      <c r="D2350" t="s">
        <v>54</v>
      </c>
      <c r="E2350" s="7">
        <v>1236.74</v>
      </c>
      <c r="F2350" t="s">
        <v>20</v>
      </c>
      <c r="G2350" t="s">
        <v>21</v>
      </c>
      <c r="H2350" t="str">
        <f>"457201802288290"</f>
        <v>457201802288290</v>
      </c>
      <c r="I2350" t="str">
        <f>"CASE # 180-60751 457B DEDUCT"</f>
        <v>CASE # 180-60751 457B DEDUCT</v>
      </c>
    </row>
    <row r="2351" spans="1:9" x14ac:dyDescent="0.25">
      <c r="A2351" s="6">
        <v>43159</v>
      </c>
      <c r="B2351" t="s">
        <v>26</v>
      </c>
      <c r="C2351">
        <v>56969</v>
      </c>
      <c r="D2351" t="s">
        <v>316</v>
      </c>
      <c r="E2351" s="7">
        <v>47506.5</v>
      </c>
      <c r="F2351" t="s">
        <v>20</v>
      </c>
      <c r="G2351" t="s">
        <v>21</v>
      </c>
      <c r="H2351" t="str">
        <f>"1710048541*"</f>
        <v>1710048541*</v>
      </c>
      <c r="I2351" t="s">
        <v>267</v>
      </c>
    </row>
    <row r="2352" spans="1:9" x14ac:dyDescent="0.25">
      <c r="A2352" s="6">
        <v>43159</v>
      </c>
      <c r="B2352" t="s">
        <v>26</v>
      </c>
      <c r="C2352">
        <v>56970</v>
      </c>
      <c r="D2352" t="s">
        <v>232</v>
      </c>
      <c r="E2352" s="7">
        <v>357.68</v>
      </c>
      <c r="F2352" t="s">
        <v>20</v>
      </c>
      <c r="G2352" t="s">
        <v>21</v>
      </c>
      <c r="H2352" t="str">
        <f>"TRNG 3/5-3/9"</f>
        <v>TRNG 3/5-3/9</v>
      </c>
      <c r="I2352" t="str">
        <f>"MARK VELASQUEZ"</f>
        <v>MARK VELASQUEZ</v>
      </c>
    </row>
    <row r="2353" spans="1:9" x14ac:dyDescent="0.25">
      <c r="A2353" s="6">
        <v>43165</v>
      </c>
      <c r="B2353" t="s">
        <v>26</v>
      </c>
      <c r="C2353">
        <v>56971</v>
      </c>
      <c r="D2353" t="s">
        <v>56</v>
      </c>
      <c r="E2353" s="7">
        <v>35</v>
      </c>
      <c r="F2353" t="s">
        <v>20</v>
      </c>
      <c r="G2353" t="s">
        <v>21</v>
      </c>
      <c r="H2353" t="str">
        <f>"162907*"</f>
        <v>162907*</v>
      </c>
      <c r="I2353" t="str">
        <f>"GERALD LUBIANSKI ENTERPRISES"</f>
        <v>GERALD LUBIANSKI ENTERPRISES</v>
      </c>
    </row>
    <row r="2354" spans="1:9" x14ac:dyDescent="0.25">
      <c r="A2354" s="6">
        <v>43165</v>
      </c>
      <c r="B2354" t="s">
        <v>26</v>
      </c>
      <c r="C2354">
        <v>56972</v>
      </c>
      <c r="D2354" t="s">
        <v>57</v>
      </c>
      <c r="E2354" s="7">
        <v>34463.599999999999</v>
      </c>
      <c r="F2354" t="s">
        <v>20</v>
      </c>
      <c r="G2354" t="s">
        <v>21</v>
      </c>
      <c r="H2354" t="str">
        <f>"2.16.18"</f>
        <v>2.16.18</v>
      </c>
      <c r="I2354" t="str">
        <f>"F.E.L.P.S."</f>
        <v>F.E.L.P.S.</v>
      </c>
    </row>
    <row r="2355" spans="1:9" x14ac:dyDescent="0.25">
      <c r="E2355" s="7"/>
      <c r="F2355" t="s">
        <v>20</v>
      </c>
      <c r="G2355" t="s">
        <v>21</v>
      </c>
      <c r="H2355" t="str">
        <f>"4A"</f>
        <v>4A</v>
      </c>
      <c r="I2355" t="str">
        <f>"F.E.L.P.S."</f>
        <v>F.E.L.P.S.</v>
      </c>
    </row>
    <row r="2356" spans="1:9" x14ac:dyDescent="0.25">
      <c r="A2356" s="6">
        <v>43165</v>
      </c>
      <c r="B2356" t="s">
        <v>26</v>
      </c>
      <c r="C2356">
        <v>56973</v>
      </c>
      <c r="D2356" t="s">
        <v>165</v>
      </c>
      <c r="E2356" s="7">
        <v>282.95999999999998</v>
      </c>
      <c r="F2356" t="s">
        <v>20</v>
      </c>
      <c r="G2356" t="s">
        <v>21</v>
      </c>
      <c r="H2356" t="str">
        <f>"2.16.18"</f>
        <v>2.16.18</v>
      </c>
      <c r="I2356" t="str">
        <f>"WAL-MART BUSINESS/SYNCB"</f>
        <v>WAL-MART BUSINESS/SYNCB</v>
      </c>
    </row>
    <row r="2357" spans="1:9" x14ac:dyDescent="0.25">
      <c r="A2357" s="6">
        <v>43165</v>
      </c>
      <c r="B2357" t="s">
        <v>26</v>
      </c>
      <c r="C2357">
        <v>56974</v>
      </c>
      <c r="D2357" t="s">
        <v>104</v>
      </c>
      <c r="E2357" s="7">
        <v>386.6</v>
      </c>
      <c r="F2357" t="s">
        <v>20</v>
      </c>
      <c r="G2357" t="s">
        <v>21</v>
      </c>
      <c r="H2357" t="str">
        <f>"1312200214"</f>
        <v>1312200214</v>
      </c>
      <c r="I2357" t="str">
        <f t="shared" ref="I2357:I2363" si="44">"WILSON COUNTY NEWS"</f>
        <v>WILSON COUNTY NEWS</v>
      </c>
    </row>
    <row r="2358" spans="1:9" x14ac:dyDescent="0.25">
      <c r="E2358" s="7"/>
      <c r="F2358" t="s">
        <v>20</v>
      </c>
      <c r="G2358" t="s">
        <v>21</v>
      </c>
      <c r="H2358" t="str">
        <f>"1312200221"</f>
        <v>1312200221</v>
      </c>
      <c r="I2358" t="str">
        <f t="shared" si="44"/>
        <v>WILSON COUNTY NEWS</v>
      </c>
    </row>
    <row r="2359" spans="1:9" x14ac:dyDescent="0.25">
      <c r="E2359" s="7"/>
      <c r="F2359" t="s">
        <v>20</v>
      </c>
      <c r="G2359" t="s">
        <v>21</v>
      </c>
      <c r="H2359" t="str">
        <f>"1314250228"</f>
        <v>1314250228</v>
      </c>
      <c r="I2359" t="str">
        <f t="shared" si="44"/>
        <v>WILSON COUNTY NEWS</v>
      </c>
    </row>
    <row r="2360" spans="1:9" x14ac:dyDescent="0.25">
      <c r="E2360" s="7"/>
      <c r="F2360" t="s">
        <v>20</v>
      </c>
      <c r="G2360" t="s">
        <v>21</v>
      </c>
      <c r="H2360" t="str">
        <f>"1314280228"</f>
        <v>1314280228</v>
      </c>
      <c r="I2360" t="str">
        <f t="shared" si="44"/>
        <v>WILSON COUNTY NEWS</v>
      </c>
    </row>
    <row r="2361" spans="1:9" x14ac:dyDescent="0.25">
      <c r="E2361" s="7"/>
      <c r="F2361" t="s">
        <v>20</v>
      </c>
      <c r="G2361" t="s">
        <v>21</v>
      </c>
      <c r="H2361" t="str">
        <f>"1314290228"</f>
        <v>1314290228</v>
      </c>
      <c r="I2361" t="str">
        <f t="shared" si="44"/>
        <v>WILSON COUNTY NEWS</v>
      </c>
    </row>
    <row r="2362" spans="1:9" x14ac:dyDescent="0.25">
      <c r="E2362" s="7"/>
      <c r="F2362" t="s">
        <v>20</v>
      </c>
      <c r="G2362" t="s">
        <v>21</v>
      </c>
      <c r="H2362" t="str">
        <f>"1314490228"</f>
        <v>1314490228</v>
      </c>
      <c r="I2362" t="str">
        <f t="shared" si="44"/>
        <v>WILSON COUNTY NEWS</v>
      </c>
    </row>
    <row r="2363" spans="1:9" x14ac:dyDescent="0.25">
      <c r="E2363" s="7"/>
      <c r="F2363" t="s">
        <v>20</v>
      </c>
      <c r="G2363" t="s">
        <v>21</v>
      </c>
      <c r="H2363" t="str">
        <f>"1314560228"</f>
        <v>1314560228</v>
      </c>
      <c r="I2363" t="str">
        <f t="shared" si="44"/>
        <v>WILSON COUNTY NEWS</v>
      </c>
    </row>
    <row r="2364" spans="1:9" x14ac:dyDescent="0.25">
      <c r="A2364" s="6">
        <v>43165</v>
      </c>
      <c r="B2364" t="s">
        <v>26</v>
      </c>
      <c r="C2364">
        <v>56976</v>
      </c>
      <c r="D2364" t="s">
        <v>59</v>
      </c>
      <c r="E2364" s="7">
        <v>6991.09</v>
      </c>
      <c r="F2364" t="s">
        <v>20</v>
      </c>
      <c r="G2364" t="s">
        <v>21</v>
      </c>
      <c r="H2364" t="str">
        <f>"0931123-2"</f>
        <v>0931123-2</v>
      </c>
      <c r="I2364" t="str">
        <f>"FERGUSON WATERWORKS - MUNICIPA"</f>
        <v>FERGUSON WATERWORKS - MUNICIPA</v>
      </c>
    </row>
    <row r="2365" spans="1:9" x14ac:dyDescent="0.25">
      <c r="E2365" s="7"/>
      <c r="F2365" t="s">
        <v>20</v>
      </c>
      <c r="G2365" t="s">
        <v>21</v>
      </c>
      <c r="H2365" t="str">
        <f>"0936745"</f>
        <v>0936745</v>
      </c>
      <c r="I2365" t="str">
        <f>"FERGUSON WATERWORKS - MUNICIPA"</f>
        <v>FERGUSON WATERWORKS - MUNICIPA</v>
      </c>
    </row>
    <row r="2366" spans="1:9" x14ac:dyDescent="0.25">
      <c r="A2366" s="6">
        <v>43165</v>
      </c>
      <c r="B2366" t="s">
        <v>26</v>
      </c>
      <c r="C2366">
        <v>56977</v>
      </c>
      <c r="D2366" t="s">
        <v>273</v>
      </c>
      <c r="E2366" s="7">
        <v>5350.85</v>
      </c>
      <c r="F2366" t="s">
        <v>20</v>
      </c>
      <c r="G2366" t="s">
        <v>21</v>
      </c>
      <c r="H2366" t="str">
        <f>"5119-000082265"</f>
        <v>5119-000082265</v>
      </c>
      <c r="I2366" t="str">
        <f>"REPUBLIC SERVICES TESSMAN ROAD"</f>
        <v>REPUBLIC SERVICES TESSMAN ROAD</v>
      </c>
    </row>
    <row r="2367" spans="1:9" x14ac:dyDescent="0.25">
      <c r="A2367" s="6">
        <v>43165</v>
      </c>
      <c r="B2367" t="s">
        <v>26</v>
      </c>
      <c r="C2367">
        <v>56978</v>
      </c>
      <c r="D2367" t="s">
        <v>108</v>
      </c>
      <c r="E2367" s="7">
        <v>1443.68</v>
      </c>
      <c r="F2367" t="s">
        <v>20</v>
      </c>
      <c r="G2367" t="s">
        <v>21</v>
      </c>
      <c r="H2367" t="str">
        <f>"041295589264"</f>
        <v>041295589264</v>
      </c>
      <c r="I2367" t="str">
        <f>"POOLSURE"</f>
        <v>POOLSURE</v>
      </c>
    </row>
    <row r="2368" spans="1:9" x14ac:dyDescent="0.25">
      <c r="A2368" s="6">
        <v>43165</v>
      </c>
      <c r="B2368" t="s">
        <v>26</v>
      </c>
      <c r="C2368">
        <v>56979</v>
      </c>
      <c r="D2368" t="s">
        <v>240</v>
      </c>
      <c r="E2368" s="7">
        <v>516.64</v>
      </c>
      <c r="F2368" t="s">
        <v>20</v>
      </c>
      <c r="G2368" t="s">
        <v>21</v>
      </c>
      <c r="H2368" t="str">
        <f>"0139915-IN"</f>
        <v>0139915-IN</v>
      </c>
      <c r="I2368" t="str">
        <f>"NARDIS PUBLIC SAFETY"</f>
        <v>NARDIS PUBLIC SAFETY</v>
      </c>
    </row>
    <row r="2369" spans="1:9" x14ac:dyDescent="0.25">
      <c r="A2369" s="6">
        <v>43165</v>
      </c>
      <c r="B2369" t="s">
        <v>26</v>
      </c>
      <c r="C2369">
        <v>56980</v>
      </c>
      <c r="D2369" t="s">
        <v>110</v>
      </c>
      <c r="E2369" s="7">
        <v>11274.64</v>
      </c>
      <c r="F2369" t="s">
        <v>20</v>
      </c>
      <c r="G2369" t="s">
        <v>21</v>
      </c>
      <c r="H2369" t="str">
        <f>"1405382"</f>
        <v>1405382</v>
      </c>
      <c r="I2369" t="str">
        <f t="shared" ref="I2369:I2392" si="45">"BUREAU VERITAS NORTH AMERICA"</f>
        <v>BUREAU VERITAS NORTH AMERICA</v>
      </c>
    </row>
    <row r="2370" spans="1:9" x14ac:dyDescent="0.25">
      <c r="E2370" s="7"/>
      <c r="F2370" t="s">
        <v>20</v>
      </c>
      <c r="G2370" t="s">
        <v>21</v>
      </c>
      <c r="H2370" t="str">
        <f>"1405383"</f>
        <v>1405383</v>
      </c>
      <c r="I2370" t="str">
        <f t="shared" si="45"/>
        <v>BUREAU VERITAS NORTH AMERICA</v>
      </c>
    </row>
    <row r="2371" spans="1:9" x14ac:dyDescent="0.25">
      <c r="E2371" s="7"/>
      <c r="F2371" t="s">
        <v>20</v>
      </c>
      <c r="G2371" t="s">
        <v>21</v>
      </c>
      <c r="H2371" t="str">
        <f>"1405384"</f>
        <v>1405384</v>
      </c>
      <c r="I2371" t="str">
        <f t="shared" si="45"/>
        <v>BUREAU VERITAS NORTH AMERICA</v>
      </c>
    </row>
    <row r="2372" spans="1:9" x14ac:dyDescent="0.25">
      <c r="E2372" s="7"/>
      <c r="F2372" t="s">
        <v>20</v>
      </c>
      <c r="G2372" t="s">
        <v>21</v>
      </c>
      <c r="H2372" t="str">
        <f>"1405385"</f>
        <v>1405385</v>
      </c>
      <c r="I2372" t="str">
        <f t="shared" si="45"/>
        <v>BUREAU VERITAS NORTH AMERICA</v>
      </c>
    </row>
    <row r="2373" spans="1:9" x14ac:dyDescent="0.25">
      <c r="E2373" s="7"/>
      <c r="F2373" t="s">
        <v>20</v>
      </c>
      <c r="G2373" t="s">
        <v>21</v>
      </c>
      <c r="H2373" t="str">
        <f>"1405386"</f>
        <v>1405386</v>
      </c>
      <c r="I2373" t="str">
        <f t="shared" si="45"/>
        <v>BUREAU VERITAS NORTH AMERICA</v>
      </c>
    </row>
    <row r="2374" spans="1:9" x14ac:dyDescent="0.25">
      <c r="E2374" s="7"/>
      <c r="F2374" t="s">
        <v>20</v>
      </c>
      <c r="G2374" t="s">
        <v>21</v>
      </c>
      <c r="H2374" t="str">
        <f>"1405387"</f>
        <v>1405387</v>
      </c>
      <c r="I2374" t="str">
        <f t="shared" si="45"/>
        <v>BUREAU VERITAS NORTH AMERICA</v>
      </c>
    </row>
    <row r="2375" spans="1:9" x14ac:dyDescent="0.25">
      <c r="E2375" s="7"/>
      <c r="F2375" t="s">
        <v>20</v>
      </c>
      <c r="G2375" t="s">
        <v>21</v>
      </c>
      <c r="H2375" t="str">
        <f>"1405388"</f>
        <v>1405388</v>
      </c>
      <c r="I2375" t="str">
        <f t="shared" si="45"/>
        <v>BUREAU VERITAS NORTH AMERICA</v>
      </c>
    </row>
    <row r="2376" spans="1:9" x14ac:dyDescent="0.25">
      <c r="E2376" s="7"/>
      <c r="F2376" t="s">
        <v>20</v>
      </c>
      <c r="G2376" t="s">
        <v>21</v>
      </c>
      <c r="H2376" t="str">
        <f>"1405389"</f>
        <v>1405389</v>
      </c>
      <c r="I2376" t="str">
        <f t="shared" si="45"/>
        <v>BUREAU VERITAS NORTH AMERICA</v>
      </c>
    </row>
    <row r="2377" spans="1:9" x14ac:dyDescent="0.25">
      <c r="E2377" s="7"/>
      <c r="F2377" t="s">
        <v>20</v>
      </c>
      <c r="G2377" t="s">
        <v>21</v>
      </c>
      <c r="H2377" t="str">
        <f>"1405390"</f>
        <v>1405390</v>
      </c>
      <c r="I2377" t="str">
        <f t="shared" si="45"/>
        <v>BUREAU VERITAS NORTH AMERICA</v>
      </c>
    </row>
    <row r="2378" spans="1:9" x14ac:dyDescent="0.25">
      <c r="E2378" s="7"/>
      <c r="F2378" t="s">
        <v>20</v>
      </c>
      <c r="G2378" t="s">
        <v>21</v>
      </c>
      <c r="H2378" t="str">
        <f>"1405391"</f>
        <v>1405391</v>
      </c>
      <c r="I2378" t="str">
        <f t="shared" si="45"/>
        <v>BUREAU VERITAS NORTH AMERICA</v>
      </c>
    </row>
    <row r="2379" spans="1:9" x14ac:dyDescent="0.25">
      <c r="E2379" s="7"/>
      <c r="F2379" t="s">
        <v>20</v>
      </c>
      <c r="G2379" t="s">
        <v>21</v>
      </c>
      <c r="H2379" t="str">
        <f>"1405392"</f>
        <v>1405392</v>
      </c>
      <c r="I2379" t="str">
        <f t="shared" si="45"/>
        <v>BUREAU VERITAS NORTH AMERICA</v>
      </c>
    </row>
    <row r="2380" spans="1:9" x14ac:dyDescent="0.25">
      <c r="E2380" s="7"/>
      <c r="F2380" t="s">
        <v>20</v>
      </c>
      <c r="G2380" t="s">
        <v>21</v>
      </c>
      <c r="H2380" t="str">
        <f>"1405393"</f>
        <v>1405393</v>
      </c>
      <c r="I2380" t="str">
        <f t="shared" si="45"/>
        <v>BUREAU VERITAS NORTH AMERICA</v>
      </c>
    </row>
    <row r="2381" spans="1:9" x14ac:dyDescent="0.25">
      <c r="E2381" s="7"/>
      <c r="F2381" t="s">
        <v>20</v>
      </c>
      <c r="G2381" t="s">
        <v>21</v>
      </c>
      <c r="H2381" t="str">
        <f>"1405394"</f>
        <v>1405394</v>
      </c>
      <c r="I2381" t="str">
        <f t="shared" si="45"/>
        <v>BUREAU VERITAS NORTH AMERICA</v>
      </c>
    </row>
    <row r="2382" spans="1:9" x14ac:dyDescent="0.25">
      <c r="E2382" s="7"/>
      <c r="F2382" t="s">
        <v>20</v>
      </c>
      <c r="G2382" t="s">
        <v>21</v>
      </c>
      <c r="H2382" t="str">
        <f>"1405395"</f>
        <v>1405395</v>
      </c>
      <c r="I2382" t="str">
        <f t="shared" si="45"/>
        <v>BUREAU VERITAS NORTH AMERICA</v>
      </c>
    </row>
    <row r="2383" spans="1:9" x14ac:dyDescent="0.25">
      <c r="E2383" s="7"/>
      <c r="F2383" t="s">
        <v>20</v>
      </c>
      <c r="G2383" t="s">
        <v>21</v>
      </c>
      <c r="H2383" t="str">
        <f>"1405396"</f>
        <v>1405396</v>
      </c>
      <c r="I2383" t="str">
        <f t="shared" si="45"/>
        <v>BUREAU VERITAS NORTH AMERICA</v>
      </c>
    </row>
    <row r="2384" spans="1:9" x14ac:dyDescent="0.25">
      <c r="E2384" s="7"/>
      <c r="F2384" t="s">
        <v>20</v>
      </c>
      <c r="G2384" t="s">
        <v>21</v>
      </c>
      <c r="H2384" t="str">
        <f>"1405397"</f>
        <v>1405397</v>
      </c>
      <c r="I2384" t="str">
        <f t="shared" si="45"/>
        <v>BUREAU VERITAS NORTH AMERICA</v>
      </c>
    </row>
    <row r="2385" spans="1:9" x14ac:dyDescent="0.25">
      <c r="E2385" s="7"/>
      <c r="F2385" t="s">
        <v>20</v>
      </c>
      <c r="G2385" t="s">
        <v>21</v>
      </c>
      <c r="H2385" t="str">
        <f>"1405398"</f>
        <v>1405398</v>
      </c>
      <c r="I2385" t="str">
        <f t="shared" si="45"/>
        <v>BUREAU VERITAS NORTH AMERICA</v>
      </c>
    </row>
    <row r="2386" spans="1:9" x14ac:dyDescent="0.25">
      <c r="E2386" s="7"/>
      <c r="F2386" t="s">
        <v>20</v>
      </c>
      <c r="G2386" t="s">
        <v>21</v>
      </c>
      <c r="H2386" t="str">
        <f>"1405399"</f>
        <v>1405399</v>
      </c>
      <c r="I2386" t="str">
        <f t="shared" si="45"/>
        <v>BUREAU VERITAS NORTH AMERICA</v>
      </c>
    </row>
    <row r="2387" spans="1:9" x14ac:dyDescent="0.25">
      <c r="E2387" s="7"/>
      <c r="F2387" t="s">
        <v>20</v>
      </c>
      <c r="G2387" t="s">
        <v>21</v>
      </c>
      <c r="H2387" t="str">
        <f>"1405400"</f>
        <v>1405400</v>
      </c>
      <c r="I2387" t="str">
        <f t="shared" si="45"/>
        <v>BUREAU VERITAS NORTH AMERICA</v>
      </c>
    </row>
    <row r="2388" spans="1:9" x14ac:dyDescent="0.25">
      <c r="E2388" s="7"/>
      <c r="F2388" t="s">
        <v>20</v>
      </c>
      <c r="G2388" t="s">
        <v>21</v>
      </c>
      <c r="H2388" t="str">
        <f>"1405401"</f>
        <v>1405401</v>
      </c>
      <c r="I2388" t="str">
        <f t="shared" si="45"/>
        <v>BUREAU VERITAS NORTH AMERICA</v>
      </c>
    </row>
    <row r="2389" spans="1:9" x14ac:dyDescent="0.25">
      <c r="E2389" s="7"/>
      <c r="F2389" t="s">
        <v>20</v>
      </c>
      <c r="G2389" t="s">
        <v>21</v>
      </c>
      <c r="H2389" t="str">
        <f>"1405402"</f>
        <v>1405402</v>
      </c>
      <c r="I2389" t="str">
        <f t="shared" si="45"/>
        <v>BUREAU VERITAS NORTH AMERICA</v>
      </c>
    </row>
    <row r="2390" spans="1:9" x14ac:dyDescent="0.25">
      <c r="E2390" s="7"/>
      <c r="F2390" t="s">
        <v>20</v>
      </c>
      <c r="G2390" t="s">
        <v>21</v>
      </c>
      <c r="H2390" t="str">
        <f>"1405403"</f>
        <v>1405403</v>
      </c>
      <c r="I2390" t="str">
        <f t="shared" si="45"/>
        <v>BUREAU VERITAS NORTH AMERICA</v>
      </c>
    </row>
    <row r="2391" spans="1:9" x14ac:dyDescent="0.25">
      <c r="E2391" s="7"/>
      <c r="F2391" t="s">
        <v>20</v>
      </c>
      <c r="G2391" t="s">
        <v>21</v>
      </c>
      <c r="H2391" t="str">
        <f>"1405404"</f>
        <v>1405404</v>
      </c>
      <c r="I2391" t="str">
        <f t="shared" si="45"/>
        <v>BUREAU VERITAS NORTH AMERICA</v>
      </c>
    </row>
    <row r="2392" spans="1:9" x14ac:dyDescent="0.25">
      <c r="E2392" s="7"/>
      <c r="F2392" t="s">
        <v>20</v>
      </c>
      <c r="G2392" t="s">
        <v>21</v>
      </c>
      <c r="H2392" t="str">
        <f>"1405405"</f>
        <v>1405405</v>
      </c>
      <c r="I2392" t="str">
        <f t="shared" si="45"/>
        <v>BUREAU VERITAS NORTH AMERICA</v>
      </c>
    </row>
    <row r="2393" spans="1:9" x14ac:dyDescent="0.25">
      <c r="A2393" s="6">
        <v>43165</v>
      </c>
      <c r="B2393" t="s">
        <v>26</v>
      </c>
      <c r="C2393">
        <v>56984</v>
      </c>
      <c r="D2393" t="s">
        <v>181</v>
      </c>
      <c r="E2393" s="7">
        <v>41.98</v>
      </c>
      <c r="F2393" t="s">
        <v>20</v>
      </c>
      <c r="G2393" t="s">
        <v>21</v>
      </c>
      <c r="H2393" t="str">
        <f>"201803068296"</f>
        <v>201803068296</v>
      </c>
      <c r="I2393" t="str">
        <f>"AT&amp;T"</f>
        <v>AT&amp;T</v>
      </c>
    </row>
    <row r="2394" spans="1:9" x14ac:dyDescent="0.25">
      <c r="A2394" s="6">
        <v>43165</v>
      </c>
      <c r="B2394" t="s">
        <v>91</v>
      </c>
      <c r="C2394">
        <v>56985</v>
      </c>
      <c r="D2394" t="s">
        <v>317</v>
      </c>
      <c r="E2394" s="7">
        <v>110</v>
      </c>
      <c r="F2394" t="s">
        <v>20</v>
      </c>
      <c r="G2394" t="s">
        <v>21</v>
      </c>
      <c r="H2394" t="str">
        <f>"2018 WCLS"</f>
        <v>2018 WCLS</v>
      </c>
      <c r="I2394" t="str">
        <f>"2018 WCLS"</f>
        <v>2018 WCLS</v>
      </c>
    </row>
    <row r="2395" spans="1:9" x14ac:dyDescent="0.25">
      <c r="A2395" s="6">
        <v>43165</v>
      </c>
      <c r="B2395" t="s">
        <v>91</v>
      </c>
      <c r="C2395">
        <v>56985</v>
      </c>
      <c r="D2395" t="s">
        <v>318</v>
      </c>
      <c r="E2395" s="7">
        <v>110</v>
      </c>
      <c r="F2395" t="s">
        <v>20</v>
      </c>
      <c r="G2395" t="s">
        <v>93</v>
      </c>
      <c r="H2395" t="str">
        <f>"CHECK"</f>
        <v>CHECK</v>
      </c>
      <c r="I2395" t="str">
        <f>""</f>
        <v/>
      </c>
    </row>
    <row r="2396" spans="1:9" x14ac:dyDescent="0.25">
      <c r="A2396" s="6">
        <v>43165</v>
      </c>
      <c r="B2396" t="s">
        <v>26</v>
      </c>
      <c r="C2396">
        <v>56986</v>
      </c>
      <c r="D2396" t="s">
        <v>61</v>
      </c>
      <c r="E2396" s="7">
        <v>690.01</v>
      </c>
      <c r="F2396" t="s">
        <v>20</v>
      </c>
      <c r="G2396" t="s">
        <v>21</v>
      </c>
      <c r="H2396" t="str">
        <f>"025-214646"</f>
        <v>025-214646</v>
      </c>
      <c r="I2396" t="str">
        <f>"TYLER TECHNOLOGIES  INC."</f>
        <v>TYLER TECHNOLOGIES  INC.</v>
      </c>
    </row>
    <row r="2397" spans="1:9" x14ac:dyDescent="0.25">
      <c r="E2397" s="7"/>
      <c r="F2397" t="s">
        <v>20</v>
      </c>
      <c r="G2397" t="s">
        <v>21</v>
      </c>
      <c r="H2397" t="str">
        <f>"025-215178"</f>
        <v>025-215178</v>
      </c>
      <c r="I2397" t="str">
        <f>"TYLER TECHNOLOGIES  INC."</f>
        <v>TYLER TECHNOLOGIES  INC.</v>
      </c>
    </row>
    <row r="2398" spans="1:9" x14ac:dyDescent="0.25">
      <c r="A2398" s="6">
        <v>43165</v>
      </c>
      <c r="B2398" t="s">
        <v>26</v>
      </c>
      <c r="C2398">
        <v>56987</v>
      </c>
      <c r="D2398" t="s">
        <v>0</v>
      </c>
      <c r="E2398" s="7">
        <v>3088.62</v>
      </c>
      <c r="F2398" t="s">
        <v>20</v>
      </c>
      <c r="G2398" t="s">
        <v>21</v>
      </c>
      <c r="H2398" t="str">
        <f>"3.10.18"</f>
        <v>3.10.18</v>
      </c>
      <c r="I2398" t="str">
        <f>"CITY OF FLORESVILLE"</f>
        <v>CITY OF FLORESVILLE</v>
      </c>
    </row>
    <row r="2399" spans="1:9" x14ac:dyDescent="0.25">
      <c r="A2399" s="6">
        <v>43165</v>
      </c>
      <c r="B2399" t="s">
        <v>26</v>
      </c>
      <c r="C2399">
        <v>56988</v>
      </c>
      <c r="D2399" t="s">
        <v>168</v>
      </c>
      <c r="E2399" s="7">
        <v>1564</v>
      </c>
      <c r="F2399" t="s">
        <v>20</v>
      </c>
      <c r="G2399" t="s">
        <v>21</v>
      </c>
      <c r="H2399" t="str">
        <f>"LI-5225"</f>
        <v>LI-5225</v>
      </c>
      <c r="I2399" t="str">
        <f t="shared" ref="I2399:I2414" si="46">"BEXAR COUNTY AUDITOR/ATTN:CRIM"</f>
        <v>BEXAR COUNTY AUDITOR/ATTN:CRIM</v>
      </c>
    </row>
    <row r="2400" spans="1:9" x14ac:dyDescent="0.25">
      <c r="E2400" s="7"/>
      <c r="F2400" t="s">
        <v>20</v>
      </c>
      <c r="G2400" t="s">
        <v>21</v>
      </c>
      <c r="H2400" t="str">
        <f>"LI-5226"</f>
        <v>LI-5226</v>
      </c>
      <c r="I2400" t="str">
        <f t="shared" si="46"/>
        <v>BEXAR COUNTY AUDITOR/ATTN:CRIM</v>
      </c>
    </row>
    <row r="2401" spans="1:9" x14ac:dyDescent="0.25">
      <c r="E2401" s="7"/>
      <c r="F2401" t="s">
        <v>20</v>
      </c>
      <c r="G2401" t="s">
        <v>21</v>
      </c>
      <c r="H2401" t="str">
        <f>"LI-5227"</f>
        <v>LI-5227</v>
      </c>
      <c r="I2401" t="str">
        <f t="shared" si="46"/>
        <v>BEXAR COUNTY AUDITOR/ATTN:CRIM</v>
      </c>
    </row>
    <row r="2402" spans="1:9" x14ac:dyDescent="0.25">
      <c r="E2402" s="7"/>
      <c r="F2402" t="s">
        <v>20</v>
      </c>
      <c r="G2402" t="s">
        <v>21</v>
      </c>
      <c r="H2402" t="str">
        <f>"LI-5228"</f>
        <v>LI-5228</v>
      </c>
      <c r="I2402" t="str">
        <f t="shared" si="46"/>
        <v>BEXAR COUNTY AUDITOR/ATTN:CRIM</v>
      </c>
    </row>
    <row r="2403" spans="1:9" x14ac:dyDescent="0.25">
      <c r="E2403" s="7"/>
      <c r="F2403" t="s">
        <v>20</v>
      </c>
      <c r="G2403" t="s">
        <v>21</v>
      </c>
      <c r="H2403" t="str">
        <f>"LI-5229"</f>
        <v>LI-5229</v>
      </c>
      <c r="I2403" t="str">
        <f t="shared" si="46"/>
        <v>BEXAR COUNTY AUDITOR/ATTN:CRIM</v>
      </c>
    </row>
    <row r="2404" spans="1:9" x14ac:dyDescent="0.25">
      <c r="E2404" s="7"/>
      <c r="F2404" t="s">
        <v>20</v>
      </c>
      <c r="G2404" t="s">
        <v>21</v>
      </c>
      <c r="H2404" t="str">
        <f>"LI-5230"</f>
        <v>LI-5230</v>
      </c>
      <c r="I2404" t="str">
        <f t="shared" si="46"/>
        <v>BEXAR COUNTY AUDITOR/ATTN:CRIM</v>
      </c>
    </row>
    <row r="2405" spans="1:9" x14ac:dyDescent="0.25">
      <c r="E2405" s="7"/>
      <c r="F2405" t="s">
        <v>20</v>
      </c>
      <c r="G2405" t="s">
        <v>21</v>
      </c>
      <c r="H2405" t="str">
        <f>"LI-5231"</f>
        <v>LI-5231</v>
      </c>
      <c r="I2405" t="str">
        <f t="shared" si="46"/>
        <v>BEXAR COUNTY AUDITOR/ATTN:CRIM</v>
      </c>
    </row>
    <row r="2406" spans="1:9" x14ac:dyDescent="0.25">
      <c r="E2406" s="7"/>
      <c r="F2406" t="s">
        <v>20</v>
      </c>
      <c r="G2406" t="s">
        <v>21</v>
      </c>
      <c r="H2406" t="str">
        <f>"LI-5232"</f>
        <v>LI-5232</v>
      </c>
      <c r="I2406" t="str">
        <f t="shared" si="46"/>
        <v>BEXAR COUNTY AUDITOR/ATTN:CRIM</v>
      </c>
    </row>
    <row r="2407" spans="1:9" x14ac:dyDescent="0.25">
      <c r="E2407" s="7"/>
      <c r="F2407" t="s">
        <v>20</v>
      </c>
      <c r="G2407" t="s">
        <v>21</v>
      </c>
      <c r="H2407" t="str">
        <f>"LI-5233"</f>
        <v>LI-5233</v>
      </c>
      <c r="I2407" t="str">
        <f t="shared" si="46"/>
        <v>BEXAR COUNTY AUDITOR/ATTN:CRIM</v>
      </c>
    </row>
    <row r="2408" spans="1:9" x14ac:dyDescent="0.25">
      <c r="E2408" s="7"/>
      <c r="F2408" t="s">
        <v>20</v>
      </c>
      <c r="G2408" t="s">
        <v>21</v>
      </c>
      <c r="H2408" t="str">
        <f>"LI-5234"</f>
        <v>LI-5234</v>
      </c>
      <c r="I2408" t="str">
        <f t="shared" si="46"/>
        <v>BEXAR COUNTY AUDITOR/ATTN:CRIM</v>
      </c>
    </row>
    <row r="2409" spans="1:9" x14ac:dyDescent="0.25">
      <c r="E2409" s="7"/>
      <c r="F2409" t="s">
        <v>20</v>
      </c>
      <c r="G2409" t="s">
        <v>21</v>
      </c>
      <c r="H2409" t="str">
        <f>"LI-5235"</f>
        <v>LI-5235</v>
      </c>
      <c r="I2409" t="str">
        <f t="shared" si="46"/>
        <v>BEXAR COUNTY AUDITOR/ATTN:CRIM</v>
      </c>
    </row>
    <row r="2410" spans="1:9" x14ac:dyDescent="0.25">
      <c r="E2410" s="7"/>
      <c r="F2410" t="s">
        <v>20</v>
      </c>
      <c r="G2410" t="s">
        <v>21</v>
      </c>
      <c r="H2410" t="str">
        <f>"LI-5236"</f>
        <v>LI-5236</v>
      </c>
      <c r="I2410" t="str">
        <f t="shared" si="46"/>
        <v>BEXAR COUNTY AUDITOR/ATTN:CRIM</v>
      </c>
    </row>
    <row r="2411" spans="1:9" x14ac:dyDescent="0.25">
      <c r="E2411" s="7"/>
      <c r="F2411" t="s">
        <v>20</v>
      </c>
      <c r="G2411" t="s">
        <v>21</v>
      </c>
      <c r="H2411" t="str">
        <f>"LI-5237"</f>
        <v>LI-5237</v>
      </c>
      <c r="I2411" t="str">
        <f t="shared" si="46"/>
        <v>BEXAR COUNTY AUDITOR/ATTN:CRIM</v>
      </c>
    </row>
    <row r="2412" spans="1:9" x14ac:dyDescent="0.25">
      <c r="E2412" s="7"/>
      <c r="F2412" t="s">
        <v>20</v>
      </c>
      <c r="G2412" t="s">
        <v>21</v>
      </c>
      <c r="H2412" t="str">
        <f>"LI-5238"</f>
        <v>LI-5238</v>
      </c>
      <c r="I2412" t="str">
        <f t="shared" si="46"/>
        <v>BEXAR COUNTY AUDITOR/ATTN:CRIM</v>
      </c>
    </row>
    <row r="2413" spans="1:9" x14ac:dyDescent="0.25">
      <c r="E2413" s="7"/>
      <c r="F2413" t="s">
        <v>20</v>
      </c>
      <c r="G2413" t="s">
        <v>21</v>
      </c>
      <c r="H2413" t="str">
        <f>"LI-5239"</f>
        <v>LI-5239</v>
      </c>
      <c r="I2413" t="str">
        <f t="shared" si="46"/>
        <v>BEXAR COUNTY AUDITOR/ATTN:CRIM</v>
      </c>
    </row>
    <row r="2414" spans="1:9" x14ac:dyDescent="0.25">
      <c r="E2414" s="7"/>
      <c r="F2414" t="s">
        <v>20</v>
      </c>
      <c r="G2414" t="s">
        <v>21</v>
      </c>
      <c r="H2414" t="str">
        <f>"LI-5240"</f>
        <v>LI-5240</v>
      </c>
      <c r="I2414" t="str">
        <f t="shared" si="46"/>
        <v>BEXAR COUNTY AUDITOR/ATTN:CRIM</v>
      </c>
    </row>
    <row r="2415" spans="1:9" x14ac:dyDescent="0.25">
      <c r="A2415" s="6">
        <v>43165</v>
      </c>
      <c r="B2415" t="s">
        <v>26</v>
      </c>
      <c r="C2415">
        <v>56991</v>
      </c>
      <c r="D2415" t="s">
        <v>62</v>
      </c>
      <c r="E2415" s="7">
        <v>186</v>
      </c>
      <c r="F2415" t="s">
        <v>20</v>
      </c>
      <c r="G2415" t="s">
        <v>21</v>
      </c>
      <c r="H2415" t="str">
        <f>"58129"</f>
        <v>58129</v>
      </c>
      <c r="I2415" t="str">
        <f>"SBS ADMINISTRATIVE SERVICES  L"</f>
        <v>SBS ADMINISTRATIVE SERVICES  L</v>
      </c>
    </row>
    <row r="2416" spans="1:9" x14ac:dyDescent="0.25">
      <c r="A2416" s="6">
        <v>43165</v>
      </c>
      <c r="B2416" t="s">
        <v>26</v>
      </c>
      <c r="C2416">
        <v>56992</v>
      </c>
      <c r="D2416" t="s">
        <v>115</v>
      </c>
      <c r="E2416" s="7">
        <v>11.58</v>
      </c>
      <c r="F2416" t="s">
        <v>20</v>
      </c>
      <c r="G2416" t="s">
        <v>24</v>
      </c>
      <c r="H2416" t="str">
        <f>"3547101316"</f>
        <v>3547101316</v>
      </c>
      <c r="I2416" t="str">
        <f>"AUTOZONE"</f>
        <v>AUTOZONE</v>
      </c>
    </row>
    <row r="2417" spans="1:9" x14ac:dyDescent="0.25">
      <c r="E2417" s="7"/>
      <c r="F2417" t="s">
        <v>20</v>
      </c>
      <c r="G2417" t="s">
        <v>21</v>
      </c>
      <c r="H2417" t="str">
        <f>"3547095595"</f>
        <v>3547095595</v>
      </c>
      <c r="I2417" t="str">
        <f>"AUTOZONE"</f>
        <v>AUTOZONE</v>
      </c>
    </row>
    <row r="2418" spans="1:9" x14ac:dyDescent="0.25">
      <c r="E2418" s="7"/>
      <c r="F2418" t="s">
        <v>20</v>
      </c>
      <c r="G2418" t="s">
        <v>21</v>
      </c>
      <c r="H2418" t="str">
        <f>"3547101336"</f>
        <v>3547101336</v>
      </c>
      <c r="I2418" t="str">
        <f>"AUTOZONE"</f>
        <v>AUTOZONE</v>
      </c>
    </row>
    <row r="2419" spans="1:9" x14ac:dyDescent="0.25">
      <c r="A2419" s="6">
        <v>43165</v>
      </c>
      <c r="B2419" t="s">
        <v>26</v>
      </c>
      <c r="C2419">
        <v>56993</v>
      </c>
      <c r="D2419" t="s">
        <v>63</v>
      </c>
      <c r="E2419" s="7">
        <v>198</v>
      </c>
      <c r="F2419" t="s">
        <v>20</v>
      </c>
      <c r="G2419" t="s">
        <v>21</v>
      </c>
      <c r="H2419" t="str">
        <f>"8403541863"</f>
        <v>8403541863</v>
      </c>
      <c r="I2419" t="str">
        <f>"CINTAS CORPORATION"</f>
        <v>CINTAS CORPORATION</v>
      </c>
    </row>
    <row r="2420" spans="1:9" x14ac:dyDescent="0.25">
      <c r="A2420" s="6">
        <v>43165</v>
      </c>
      <c r="B2420" t="s">
        <v>26</v>
      </c>
      <c r="C2420">
        <v>56994</v>
      </c>
      <c r="D2420" t="s">
        <v>64</v>
      </c>
      <c r="E2420" s="7">
        <v>10125</v>
      </c>
      <c r="F2420" t="s">
        <v>20</v>
      </c>
      <c r="G2420" t="s">
        <v>21</v>
      </c>
      <c r="H2420" t="str">
        <f>"7478"</f>
        <v>7478</v>
      </c>
      <c r="I2420" t="str">
        <f>"DREWA DESIGNS  INC."</f>
        <v>DREWA DESIGNS  INC.</v>
      </c>
    </row>
    <row r="2421" spans="1:9" x14ac:dyDescent="0.25">
      <c r="A2421" s="6">
        <v>43165</v>
      </c>
      <c r="B2421" t="s">
        <v>26</v>
      </c>
      <c r="C2421">
        <v>56995</v>
      </c>
      <c r="D2421" t="s">
        <v>65</v>
      </c>
      <c r="E2421" s="7">
        <v>498.94</v>
      </c>
      <c r="F2421" t="s">
        <v>20</v>
      </c>
      <c r="G2421" t="s">
        <v>21</v>
      </c>
      <c r="H2421" t="str">
        <f>"201803068297"</f>
        <v>201803068297</v>
      </c>
      <c r="I2421" t="str">
        <f>"SAM'S CLUB/SYNCHRONY BANK"</f>
        <v>SAM'S CLUB/SYNCHRONY BANK</v>
      </c>
    </row>
    <row r="2422" spans="1:9" x14ac:dyDescent="0.25">
      <c r="A2422" s="6">
        <v>43165</v>
      </c>
      <c r="B2422" t="s">
        <v>26</v>
      </c>
      <c r="C2422">
        <v>56996</v>
      </c>
      <c r="D2422" t="s">
        <v>119</v>
      </c>
      <c r="E2422" s="7">
        <v>40</v>
      </c>
      <c r="F2422" t="s">
        <v>20</v>
      </c>
      <c r="G2422" t="s">
        <v>21</v>
      </c>
      <c r="H2422" t="str">
        <f>"37811"</f>
        <v>37811</v>
      </c>
      <c r="I2422" t="str">
        <f>"PRUSKI'S TIRE SHOP  L.L.C."</f>
        <v>PRUSKI'S TIRE SHOP  L.L.C.</v>
      </c>
    </row>
    <row r="2423" spans="1:9" x14ac:dyDescent="0.25">
      <c r="A2423" s="6">
        <v>43165</v>
      </c>
      <c r="B2423" t="s">
        <v>26</v>
      </c>
      <c r="C2423">
        <v>56997</v>
      </c>
      <c r="D2423" t="s">
        <v>189</v>
      </c>
      <c r="E2423" s="7">
        <v>261.3</v>
      </c>
      <c r="F2423" t="s">
        <v>20</v>
      </c>
      <c r="G2423" t="s">
        <v>21</v>
      </c>
      <c r="H2423" t="str">
        <f>"C40497"</f>
        <v>C40497</v>
      </c>
      <c r="I2423" t="str">
        <f>"ASCO"</f>
        <v>ASCO</v>
      </c>
    </row>
    <row r="2424" spans="1:9" x14ac:dyDescent="0.25">
      <c r="A2424" s="6">
        <v>43165</v>
      </c>
      <c r="B2424" t="s">
        <v>26</v>
      </c>
      <c r="C2424">
        <v>56998</v>
      </c>
      <c r="D2424" t="s">
        <v>146</v>
      </c>
      <c r="E2424" s="7">
        <v>75</v>
      </c>
      <c r="F2424" t="s">
        <v>20</v>
      </c>
      <c r="G2424" t="s">
        <v>21</v>
      </c>
      <c r="H2424" t="str">
        <f>"557002"</f>
        <v>557002</v>
      </c>
      <c r="I2424" t="str">
        <f>"LARRY SRALLA ELECTRIC"</f>
        <v>LARRY SRALLA ELECTRIC</v>
      </c>
    </row>
    <row r="2425" spans="1:9" x14ac:dyDescent="0.25">
      <c r="A2425" s="6">
        <v>43165</v>
      </c>
      <c r="B2425" t="s">
        <v>26</v>
      </c>
      <c r="C2425">
        <v>56999</v>
      </c>
      <c r="D2425" t="s">
        <v>29</v>
      </c>
      <c r="E2425" s="7">
        <v>4328.75</v>
      </c>
      <c r="F2425" t="s">
        <v>20</v>
      </c>
      <c r="G2425" t="s">
        <v>21</v>
      </c>
      <c r="H2425" t="str">
        <f>"30303"</f>
        <v>30303</v>
      </c>
      <c r="I2425" t="str">
        <f>"M &amp; S ENGINEERING  LLC"</f>
        <v>M &amp; S ENGINEERING  LLC</v>
      </c>
    </row>
    <row r="2426" spans="1:9" x14ac:dyDescent="0.25">
      <c r="E2426" s="7"/>
      <c r="F2426" t="s">
        <v>20</v>
      </c>
      <c r="G2426" t="s">
        <v>21</v>
      </c>
      <c r="H2426" t="str">
        <f>"30352"</f>
        <v>30352</v>
      </c>
      <c r="I2426" t="str">
        <f>"M &amp; S ENGINEERING  LLC"</f>
        <v>M &amp; S ENGINEERING  LLC</v>
      </c>
    </row>
    <row r="2427" spans="1:9" x14ac:dyDescent="0.25">
      <c r="A2427" s="6">
        <v>43165</v>
      </c>
      <c r="B2427" t="s">
        <v>26</v>
      </c>
      <c r="C2427">
        <v>57000</v>
      </c>
      <c r="D2427" t="s">
        <v>71</v>
      </c>
      <c r="E2427" s="7">
        <v>522.63</v>
      </c>
      <c r="F2427" t="s">
        <v>20</v>
      </c>
      <c r="G2427" t="s">
        <v>21</v>
      </c>
      <c r="H2427" t="str">
        <f>"087840747"</f>
        <v>087840747</v>
      </c>
      <c r="I2427" t="str">
        <f>"CINTAS CORPORATION #087"</f>
        <v>CINTAS CORPORATION #087</v>
      </c>
    </row>
    <row r="2428" spans="1:9" x14ac:dyDescent="0.25">
      <c r="E2428" s="7"/>
      <c r="F2428" t="s">
        <v>20</v>
      </c>
      <c r="G2428" t="s">
        <v>21</v>
      </c>
      <c r="H2428" t="str">
        <f>"087840748"</f>
        <v>087840748</v>
      </c>
      <c r="I2428" t="str">
        <f>"CINTAS CORPORATION #087"</f>
        <v>CINTAS CORPORATION #087</v>
      </c>
    </row>
    <row r="2429" spans="1:9" x14ac:dyDescent="0.25">
      <c r="E2429" s="7"/>
      <c r="F2429" t="s">
        <v>20</v>
      </c>
      <c r="G2429" t="s">
        <v>21</v>
      </c>
      <c r="H2429" t="str">
        <f>"087844922"</f>
        <v>087844922</v>
      </c>
      <c r="I2429" t="str">
        <f>"CINTAS CORPORATION #087"</f>
        <v>CINTAS CORPORATION #087</v>
      </c>
    </row>
    <row r="2430" spans="1:9" x14ac:dyDescent="0.25">
      <c r="A2430" s="6">
        <v>43165</v>
      </c>
      <c r="B2430" t="s">
        <v>26</v>
      </c>
      <c r="C2430">
        <v>57001</v>
      </c>
      <c r="D2430" t="s">
        <v>215</v>
      </c>
      <c r="E2430" s="7">
        <v>15.2</v>
      </c>
      <c r="F2430" t="s">
        <v>20</v>
      </c>
      <c r="G2430" t="s">
        <v>21</v>
      </c>
      <c r="H2430" t="str">
        <f>"537976"</f>
        <v>537976</v>
      </c>
      <c r="I2430" t="str">
        <f>"ODESSA PUMPS &amp; EQUIPMENT"</f>
        <v>ODESSA PUMPS &amp; EQUIPMENT</v>
      </c>
    </row>
    <row r="2431" spans="1:9" x14ac:dyDescent="0.25">
      <c r="A2431" s="6">
        <v>43165</v>
      </c>
      <c r="B2431" t="s">
        <v>26</v>
      </c>
      <c r="C2431">
        <v>57002</v>
      </c>
      <c r="D2431" t="s">
        <v>123</v>
      </c>
      <c r="E2431" s="7">
        <v>1317.63</v>
      </c>
      <c r="F2431" t="s">
        <v>20</v>
      </c>
      <c r="G2431" t="s">
        <v>24</v>
      </c>
      <c r="H2431" t="str">
        <f>"104906626001"</f>
        <v>104906626001</v>
      </c>
      <c r="I2431" t="str">
        <f t="shared" ref="I2431:I2442" si="47">"OFFICE DEPOT  INC."</f>
        <v>OFFICE DEPOT  INC.</v>
      </c>
    </row>
    <row r="2432" spans="1:9" x14ac:dyDescent="0.25">
      <c r="E2432" s="7"/>
      <c r="F2432" t="s">
        <v>20</v>
      </c>
      <c r="G2432" t="s">
        <v>21</v>
      </c>
      <c r="H2432" t="str">
        <f>"106026196001"</f>
        <v>106026196001</v>
      </c>
      <c r="I2432" t="str">
        <f t="shared" si="47"/>
        <v>OFFICE DEPOT  INC.</v>
      </c>
    </row>
    <row r="2433" spans="1:9" x14ac:dyDescent="0.25">
      <c r="E2433" s="7"/>
      <c r="F2433" t="s">
        <v>20</v>
      </c>
      <c r="G2433" t="s">
        <v>21</v>
      </c>
      <c r="H2433" t="str">
        <f>"106026570001"</f>
        <v>106026570001</v>
      </c>
      <c r="I2433" t="str">
        <f t="shared" si="47"/>
        <v>OFFICE DEPOT  INC.</v>
      </c>
    </row>
    <row r="2434" spans="1:9" x14ac:dyDescent="0.25">
      <c r="E2434" s="7"/>
      <c r="F2434" t="s">
        <v>20</v>
      </c>
      <c r="G2434" t="s">
        <v>21</v>
      </c>
      <c r="H2434" t="str">
        <f>"106026571001"</f>
        <v>106026571001</v>
      </c>
      <c r="I2434" t="str">
        <f t="shared" si="47"/>
        <v>OFFICE DEPOT  INC.</v>
      </c>
    </row>
    <row r="2435" spans="1:9" x14ac:dyDescent="0.25">
      <c r="E2435" s="7"/>
      <c r="F2435" t="s">
        <v>20</v>
      </c>
      <c r="G2435" t="s">
        <v>21</v>
      </c>
      <c r="H2435" t="str">
        <f>"106183836001"</f>
        <v>106183836001</v>
      </c>
      <c r="I2435" t="str">
        <f t="shared" si="47"/>
        <v>OFFICE DEPOT  INC.</v>
      </c>
    </row>
    <row r="2436" spans="1:9" x14ac:dyDescent="0.25">
      <c r="E2436" s="7"/>
      <c r="F2436" t="s">
        <v>20</v>
      </c>
      <c r="G2436" t="s">
        <v>21</v>
      </c>
      <c r="H2436" t="str">
        <f>"106183942001"</f>
        <v>106183942001</v>
      </c>
      <c r="I2436" t="str">
        <f t="shared" si="47"/>
        <v>OFFICE DEPOT  INC.</v>
      </c>
    </row>
    <row r="2437" spans="1:9" x14ac:dyDescent="0.25">
      <c r="E2437" s="7"/>
      <c r="F2437" t="s">
        <v>20</v>
      </c>
      <c r="G2437" t="s">
        <v>21</v>
      </c>
      <c r="H2437" t="str">
        <f>"107995677001"</f>
        <v>107995677001</v>
      </c>
      <c r="I2437" t="str">
        <f t="shared" si="47"/>
        <v>OFFICE DEPOT  INC.</v>
      </c>
    </row>
    <row r="2438" spans="1:9" x14ac:dyDescent="0.25">
      <c r="E2438" s="7"/>
      <c r="F2438" t="s">
        <v>20</v>
      </c>
      <c r="G2438" t="s">
        <v>21</v>
      </c>
      <c r="H2438" t="str">
        <f>"107996119001"</f>
        <v>107996119001</v>
      </c>
      <c r="I2438" t="str">
        <f t="shared" si="47"/>
        <v>OFFICE DEPOT  INC.</v>
      </c>
    </row>
    <row r="2439" spans="1:9" x14ac:dyDescent="0.25">
      <c r="E2439" s="7"/>
      <c r="F2439" t="s">
        <v>20</v>
      </c>
      <c r="G2439" t="s">
        <v>21</v>
      </c>
      <c r="H2439" t="str">
        <f>"107996120001"</f>
        <v>107996120001</v>
      </c>
      <c r="I2439" t="str">
        <f t="shared" si="47"/>
        <v>OFFICE DEPOT  INC.</v>
      </c>
    </row>
    <row r="2440" spans="1:9" x14ac:dyDescent="0.25">
      <c r="E2440" s="7"/>
      <c r="F2440" t="s">
        <v>20</v>
      </c>
      <c r="G2440" t="s">
        <v>21</v>
      </c>
      <c r="H2440" t="str">
        <f>"108030678001"</f>
        <v>108030678001</v>
      </c>
      <c r="I2440" t="str">
        <f t="shared" si="47"/>
        <v>OFFICE DEPOT  INC.</v>
      </c>
    </row>
    <row r="2441" spans="1:9" x14ac:dyDescent="0.25">
      <c r="E2441" s="7"/>
      <c r="F2441" t="s">
        <v>20</v>
      </c>
      <c r="G2441" t="s">
        <v>21</v>
      </c>
      <c r="H2441" t="str">
        <f>"110236136001"</f>
        <v>110236136001</v>
      </c>
      <c r="I2441" t="str">
        <f t="shared" si="47"/>
        <v>OFFICE DEPOT  INC.</v>
      </c>
    </row>
    <row r="2442" spans="1:9" x14ac:dyDescent="0.25">
      <c r="E2442" s="7"/>
      <c r="F2442" t="s">
        <v>20</v>
      </c>
      <c r="G2442" t="s">
        <v>21</v>
      </c>
      <c r="H2442" t="str">
        <f>"110469006001"</f>
        <v>110469006001</v>
      </c>
      <c r="I2442" t="str">
        <f t="shared" si="47"/>
        <v>OFFICE DEPOT  INC.</v>
      </c>
    </row>
    <row r="2443" spans="1:9" x14ac:dyDescent="0.25">
      <c r="A2443" s="6">
        <v>43165</v>
      </c>
      <c r="B2443" t="s">
        <v>26</v>
      </c>
      <c r="C2443">
        <v>57005</v>
      </c>
      <c r="D2443" t="s">
        <v>77</v>
      </c>
      <c r="E2443" s="7">
        <v>1828.2</v>
      </c>
      <c r="F2443" t="s">
        <v>20</v>
      </c>
      <c r="G2443" t="s">
        <v>21</v>
      </c>
      <c r="H2443" t="str">
        <f>"857002539-17"</f>
        <v>857002539-17</v>
      </c>
      <c r="I2443" t="str">
        <f>"DPC INDUSTRIES  INC."</f>
        <v>DPC INDUSTRIES  INC.</v>
      </c>
    </row>
    <row r="2444" spans="1:9" x14ac:dyDescent="0.25">
      <c r="E2444" s="7"/>
      <c r="F2444" t="s">
        <v>20</v>
      </c>
      <c r="G2444" t="s">
        <v>21</v>
      </c>
      <c r="H2444" t="str">
        <f>"857002573-17"</f>
        <v>857002573-17</v>
      </c>
      <c r="I2444" t="str">
        <f>"DPC INDUSTRIES  INC."</f>
        <v>DPC INDUSTRIES  INC.</v>
      </c>
    </row>
    <row r="2445" spans="1:9" x14ac:dyDescent="0.25">
      <c r="A2445" s="6">
        <v>43165</v>
      </c>
      <c r="B2445" t="s">
        <v>26</v>
      </c>
      <c r="C2445">
        <v>57006</v>
      </c>
      <c r="D2445" t="s">
        <v>124</v>
      </c>
      <c r="E2445" s="7">
        <v>6.34</v>
      </c>
      <c r="F2445" t="s">
        <v>20</v>
      </c>
      <c r="G2445" t="s">
        <v>24</v>
      </c>
      <c r="H2445" t="str">
        <f>"11156047"</f>
        <v>11156047</v>
      </c>
      <c r="I2445" t="str">
        <f>"MCCOY'S CORPORATION"</f>
        <v>MCCOY'S CORPORATION</v>
      </c>
    </row>
    <row r="2446" spans="1:9" x14ac:dyDescent="0.25">
      <c r="E2446" s="7"/>
      <c r="F2446" t="s">
        <v>20</v>
      </c>
      <c r="G2446" t="s">
        <v>21</v>
      </c>
      <c r="H2446" t="str">
        <f>"11155554"</f>
        <v>11155554</v>
      </c>
      <c r="I2446" t="str">
        <f>"MCCOY'S CORPORATION"</f>
        <v>MCCOY'S CORPORATION</v>
      </c>
    </row>
    <row r="2447" spans="1:9" x14ac:dyDescent="0.25">
      <c r="E2447" s="7"/>
      <c r="F2447" t="s">
        <v>20</v>
      </c>
      <c r="G2447" t="s">
        <v>21</v>
      </c>
      <c r="H2447" t="str">
        <f>"11156033"</f>
        <v>11156033</v>
      </c>
      <c r="I2447" t="str">
        <f>"MCCOY'S CORPORATION"</f>
        <v>MCCOY'S CORPORATION</v>
      </c>
    </row>
    <row r="2448" spans="1:9" x14ac:dyDescent="0.25">
      <c r="A2448" s="6">
        <v>43165</v>
      </c>
      <c r="B2448" t="s">
        <v>26</v>
      </c>
      <c r="C2448">
        <v>57007</v>
      </c>
      <c r="D2448" t="s">
        <v>319</v>
      </c>
      <c r="E2448" s="7">
        <v>1362.5</v>
      </c>
      <c r="F2448" t="s">
        <v>20</v>
      </c>
      <c r="G2448" t="s">
        <v>21</v>
      </c>
      <c r="H2448" t="str">
        <f>"P#L9052884"</f>
        <v>P#L9052884</v>
      </c>
      <c r="I2448" t="str">
        <f>"PRUDENTIAL INSURANCE COMPANY"</f>
        <v>PRUDENTIAL INSURANCE COMPANY</v>
      </c>
    </row>
    <row r="2449" spans="1:9" x14ac:dyDescent="0.25">
      <c r="A2449" s="6">
        <v>43165</v>
      </c>
      <c r="B2449" t="s">
        <v>26</v>
      </c>
      <c r="C2449">
        <v>57008</v>
      </c>
      <c r="D2449" t="s">
        <v>79</v>
      </c>
      <c r="E2449" s="7">
        <v>113.5</v>
      </c>
      <c r="F2449" t="s">
        <v>20</v>
      </c>
      <c r="G2449" t="s">
        <v>21</v>
      </c>
      <c r="H2449" t="str">
        <f>"6-097-66607"</f>
        <v>6-097-66607</v>
      </c>
      <c r="I2449" t="str">
        <f>"FEDEX"</f>
        <v>FEDEX</v>
      </c>
    </row>
    <row r="2450" spans="1:9" x14ac:dyDescent="0.25">
      <c r="A2450" s="6">
        <v>43165</v>
      </c>
      <c r="B2450" t="s">
        <v>26</v>
      </c>
      <c r="C2450">
        <v>57009</v>
      </c>
      <c r="D2450" t="s">
        <v>80</v>
      </c>
      <c r="E2450" s="7">
        <v>1817.74</v>
      </c>
      <c r="F2450" t="s">
        <v>20</v>
      </c>
      <c r="G2450" t="s">
        <v>21</v>
      </c>
      <c r="H2450" t="str">
        <f>"1648-20180301-1"</f>
        <v>1648-20180301-1</v>
      </c>
      <c r="I2450" t="str">
        <f>"LVWIFI.COM"</f>
        <v>LVWIFI.COM</v>
      </c>
    </row>
    <row r="2451" spans="1:9" x14ac:dyDescent="0.25">
      <c r="E2451" s="7"/>
      <c r="F2451" t="s">
        <v>20</v>
      </c>
      <c r="G2451" t="s">
        <v>21</v>
      </c>
      <c r="H2451" t="str">
        <f>"2313-20180301-1"</f>
        <v>2313-20180301-1</v>
      </c>
      <c r="I2451" t="str">
        <f>"LVWIFI.COM"</f>
        <v>LVWIFI.COM</v>
      </c>
    </row>
    <row r="2452" spans="1:9" x14ac:dyDescent="0.25">
      <c r="E2452" s="7"/>
      <c r="F2452" t="s">
        <v>20</v>
      </c>
      <c r="G2452" t="s">
        <v>21</v>
      </c>
      <c r="H2452" t="str">
        <f>"2314-20180301-1"</f>
        <v>2314-20180301-1</v>
      </c>
      <c r="I2452" t="str">
        <f>"LVWIFI.COM"</f>
        <v>LVWIFI.COM</v>
      </c>
    </row>
    <row r="2453" spans="1:9" x14ac:dyDescent="0.25">
      <c r="E2453" s="7"/>
      <c r="F2453" t="s">
        <v>20</v>
      </c>
      <c r="G2453" t="s">
        <v>21</v>
      </c>
      <c r="H2453" t="str">
        <f>"2478-20180301-1"</f>
        <v>2478-20180301-1</v>
      </c>
      <c r="I2453" t="str">
        <f>"LVWIFI.COM"</f>
        <v>LVWIFI.COM</v>
      </c>
    </row>
    <row r="2454" spans="1:9" x14ac:dyDescent="0.25">
      <c r="A2454" s="6">
        <v>43165</v>
      </c>
      <c r="B2454" t="s">
        <v>26</v>
      </c>
      <c r="C2454">
        <v>57010</v>
      </c>
      <c r="D2454" t="s">
        <v>31</v>
      </c>
      <c r="E2454" s="7">
        <v>2000</v>
      </c>
      <c r="F2454" t="s">
        <v>20</v>
      </c>
      <c r="G2454" t="s">
        <v>21</v>
      </c>
      <c r="H2454" t="str">
        <f>"2018184"</f>
        <v>2018184</v>
      </c>
      <c r="I2454" t="str">
        <f>"THE LAW OFFICE OF TOM CALDWELL"</f>
        <v>THE LAW OFFICE OF TOM CALDWELL</v>
      </c>
    </row>
    <row r="2455" spans="1:9" x14ac:dyDescent="0.25">
      <c r="A2455" s="6">
        <v>43165</v>
      </c>
      <c r="B2455" t="s">
        <v>26</v>
      </c>
      <c r="C2455">
        <v>57011</v>
      </c>
      <c r="D2455" t="s">
        <v>192</v>
      </c>
      <c r="E2455" s="7">
        <v>2409.62</v>
      </c>
      <c r="F2455" t="s">
        <v>20</v>
      </c>
      <c r="G2455" t="s">
        <v>21</v>
      </c>
      <c r="H2455" t="str">
        <f>"58173206"</f>
        <v>58173206</v>
      </c>
      <c r="I2455" t="str">
        <f>"DE LAGE LANDEN PUBLIC FINANCE"</f>
        <v>DE LAGE LANDEN PUBLIC FINANCE</v>
      </c>
    </row>
    <row r="2456" spans="1:9" x14ac:dyDescent="0.25">
      <c r="E2456" s="7"/>
      <c r="F2456" t="s">
        <v>20</v>
      </c>
      <c r="G2456" t="s">
        <v>21</v>
      </c>
      <c r="H2456" t="str">
        <f>"58173211"</f>
        <v>58173211</v>
      </c>
      <c r="I2456" t="str">
        <f>"DE LAGE LANDEN PUBLIC FINANCE"</f>
        <v>DE LAGE LANDEN PUBLIC FINANCE</v>
      </c>
    </row>
    <row r="2457" spans="1:9" x14ac:dyDescent="0.25">
      <c r="E2457" s="7"/>
      <c r="F2457" t="s">
        <v>20</v>
      </c>
      <c r="G2457" t="s">
        <v>21</v>
      </c>
      <c r="H2457" t="str">
        <f>"58173222"</f>
        <v>58173222</v>
      </c>
      <c r="I2457" t="str">
        <f>"DE LAGE LANDEN PUBLIC FINANCE"</f>
        <v>DE LAGE LANDEN PUBLIC FINANCE</v>
      </c>
    </row>
    <row r="2458" spans="1:9" x14ac:dyDescent="0.25">
      <c r="A2458" s="6">
        <v>43165</v>
      </c>
      <c r="B2458" t="s">
        <v>26</v>
      </c>
      <c r="C2458">
        <v>57013</v>
      </c>
      <c r="D2458" t="s">
        <v>131</v>
      </c>
      <c r="E2458" s="7">
        <v>268.97000000000003</v>
      </c>
      <c r="F2458" t="s">
        <v>20</v>
      </c>
      <c r="G2458" t="s">
        <v>21</v>
      </c>
      <c r="H2458" t="str">
        <f>"026901"</f>
        <v>026901</v>
      </c>
      <c r="I2458" t="str">
        <f>"R &amp; S TEXAS PARTS CO"</f>
        <v>R &amp; S TEXAS PARTS CO</v>
      </c>
    </row>
    <row r="2459" spans="1:9" x14ac:dyDescent="0.25">
      <c r="E2459" s="7"/>
      <c r="F2459" t="s">
        <v>20</v>
      </c>
      <c r="G2459" t="s">
        <v>21</v>
      </c>
      <c r="H2459" t="str">
        <f>"026935"</f>
        <v>026935</v>
      </c>
      <c r="I2459" t="str">
        <f>"R &amp; S TEXAS PARTS CO"</f>
        <v>R &amp; S TEXAS PARTS CO</v>
      </c>
    </row>
    <row r="2460" spans="1:9" x14ac:dyDescent="0.25">
      <c r="A2460" s="6">
        <v>43165</v>
      </c>
      <c r="B2460" t="s">
        <v>26</v>
      </c>
      <c r="C2460">
        <v>57014</v>
      </c>
      <c r="D2460" t="s">
        <v>83</v>
      </c>
      <c r="E2460" s="7">
        <v>918</v>
      </c>
      <c r="F2460" t="s">
        <v>20</v>
      </c>
      <c r="G2460" t="s">
        <v>21</v>
      </c>
      <c r="H2460" t="str">
        <f>"291544"</f>
        <v>291544</v>
      </c>
      <c r="I2460" t="str">
        <f>"APPRIVER"</f>
        <v>APPRIVER</v>
      </c>
    </row>
    <row r="2461" spans="1:9" x14ac:dyDescent="0.25">
      <c r="A2461" s="6">
        <v>43165</v>
      </c>
      <c r="B2461" t="s">
        <v>26</v>
      </c>
      <c r="C2461">
        <v>57015</v>
      </c>
      <c r="D2461" t="s">
        <v>320</v>
      </c>
      <c r="E2461" s="7">
        <v>4000</v>
      </c>
      <c r="F2461" t="s">
        <v>20</v>
      </c>
      <c r="G2461" t="s">
        <v>21</v>
      </c>
      <c r="H2461" t="str">
        <f>"DEP JUNE 30"</f>
        <v>DEP JUNE 30</v>
      </c>
      <c r="I2461" t="str">
        <f>"MAGIC IN THE SKY  LLC"</f>
        <v>MAGIC IN THE SKY  LLC</v>
      </c>
    </row>
    <row r="2462" spans="1:9" x14ac:dyDescent="0.25">
      <c r="A2462" s="6">
        <v>43165</v>
      </c>
      <c r="B2462" t="s">
        <v>26</v>
      </c>
      <c r="C2462">
        <v>57016</v>
      </c>
      <c r="D2462" t="s">
        <v>85</v>
      </c>
      <c r="E2462" s="7">
        <v>264.91000000000003</v>
      </c>
      <c r="F2462" t="s">
        <v>20</v>
      </c>
      <c r="G2462" t="s">
        <v>21</v>
      </c>
      <c r="H2462" t="str">
        <f>"201803068291"</f>
        <v>201803068291</v>
      </c>
      <c r="I2462" t="str">
        <f>"FRONTIER"</f>
        <v>FRONTIER</v>
      </c>
    </row>
    <row r="2463" spans="1:9" x14ac:dyDescent="0.25">
      <c r="E2463" s="7"/>
      <c r="F2463" t="s">
        <v>20</v>
      </c>
      <c r="G2463" t="s">
        <v>21</v>
      </c>
      <c r="H2463" t="str">
        <f>"201803068292"</f>
        <v>201803068292</v>
      </c>
      <c r="I2463" t="str">
        <f>"FRONTIER"</f>
        <v>FRONTIER</v>
      </c>
    </row>
    <row r="2464" spans="1:9" x14ac:dyDescent="0.25">
      <c r="E2464" s="7"/>
      <c r="F2464" t="s">
        <v>20</v>
      </c>
      <c r="G2464" t="s">
        <v>21</v>
      </c>
      <c r="H2464" t="str">
        <f>"201803068293"</f>
        <v>201803068293</v>
      </c>
      <c r="I2464" t="str">
        <f>"FRONTIER"</f>
        <v>FRONTIER</v>
      </c>
    </row>
    <row r="2465" spans="1:9" x14ac:dyDescent="0.25">
      <c r="E2465" s="7"/>
      <c r="F2465" t="s">
        <v>20</v>
      </c>
      <c r="G2465" t="s">
        <v>21</v>
      </c>
      <c r="H2465" t="str">
        <f>"201803068294"</f>
        <v>201803068294</v>
      </c>
      <c r="I2465" t="str">
        <f>"FRONTIER"</f>
        <v>FRONTIER</v>
      </c>
    </row>
    <row r="2466" spans="1:9" x14ac:dyDescent="0.25">
      <c r="E2466" s="7"/>
      <c r="F2466" t="s">
        <v>20</v>
      </c>
      <c r="G2466" t="s">
        <v>21</v>
      </c>
      <c r="H2466" t="str">
        <f>"201803068295"</f>
        <v>201803068295</v>
      </c>
      <c r="I2466" t="str">
        <f>"FRONTIER"</f>
        <v>FRONTIER</v>
      </c>
    </row>
    <row r="2467" spans="1:9" x14ac:dyDescent="0.25">
      <c r="A2467" s="6">
        <v>43165</v>
      </c>
      <c r="B2467" t="s">
        <v>26</v>
      </c>
      <c r="C2467">
        <v>57017</v>
      </c>
      <c r="D2467" t="s">
        <v>321</v>
      </c>
      <c r="E2467" s="7">
        <v>180</v>
      </c>
      <c r="F2467" t="s">
        <v>20</v>
      </c>
      <c r="G2467" t="s">
        <v>21</v>
      </c>
      <c r="H2467" t="str">
        <f>"H. TURNER"</f>
        <v>H. TURNER</v>
      </c>
      <c r="I2467" t="str">
        <f>"TEXAS DOWNTOWN ASSOCIATION"</f>
        <v>TEXAS DOWNTOWN ASSOCIATION</v>
      </c>
    </row>
    <row r="2468" spans="1:9" x14ac:dyDescent="0.25">
      <c r="A2468" s="6">
        <v>43165</v>
      </c>
      <c r="B2468" t="s">
        <v>26</v>
      </c>
      <c r="C2468">
        <v>57018</v>
      </c>
      <c r="D2468" t="s">
        <v>175</v>
      </c>
      <c r="E2468" s="7">
        <v>500</v>
      </c>
      <c r="F2468" t="s">
        <v>20</v>
      </c>
      <c r="G2468" t="s">
        <v>21</v>
      </c>
      <c r="H2468" t="str">
        <f>"151131"</f>
        <v>151131</v>
      </c>
      <c r="I2468" t="str">
        <f>"AMER TECHNOLOGY  INC."</f>
        <v>AMER TECHNOLOGY  INC.</v>
      </c>
    </row>
    <row r="2469" spans="1:9" x14ac:dyDescent="0.25">
      <c r="A2469" s="6">
        <v>43165</v>
      </c>
      <c r="B2469" t="s">
        <v>26</v>
      </c>
      <c r="C2469">
        <v>57019</v>
      </c>
      <c r="D2469" t="s">
        <v>38</v>
      </c>
      <c r="E2469" s="7">
        <v>199</v>
      </c>
      <c r="F2469" t="s">
        <v>20</v>
      </c>
      <c r="G2469" t="s">
        <v>21</v>
      </c>
      <c r="H2469" t="str">
        <f>"TML CONF"</f>
        <v>TML CONF</v>
      </c>
      <c r="I2469" t="str">
        <f>"CECELIA GONZALEZ-DIPPEL"</f>
        <v>CECELIA GONZALEZ-DIPPEL</v>
      </c>
    </row>
    <row r="2470" spans="1:9" x14ac:dyDescent="0.25">
      <c r="A2470" s="6">
        <v>43165</v>
      </c>
      <c r="B2470" t="s">
        <v>26</v>
      </c>
      <c r="C2470">
        <v>57020</v>
      </c>
      <c r="D2470" t="s">
        <v>237</v>
      </c>
      <c r="E2470" s="7">
        <v>229.24</v>
      </c>
      <c r="F2470" t="s">
        <v>20</v>
      </c>
      <c r="G2470" t="s">
        <v>21</v>
      </c>
      <c r="H2470" t="str">
        <f>"154615536-001"</f>
        <v>154615536-001</v>
      </c>
      <c r="I2470" t="str">
        <f>"UNITED RENTALS (NORTH AMERICA)"</f>
        <v>UNITED RENTALS (NORTH AMERICA)</v>
      </c>
    </row>
    <row r="2471" spans="1:9" x14ac:dyDescent="0.25">
      <c r="A2471" s="6">
        <v>43165</v>
      </c>
      <c r="B2471" t="s">
        <v>26</v>
      </c>
      <c r="C2471">
        <v>57021</v>
      </c>
      <c r="D2471" t="s">
        <v>134</v>
      </c>
      <c r="E2471" s="7">
        <v>1091.74</v>
      </c>
      <c r="F2471" t="s">
        <v>20</v>
      </c>
      <c r="G2471" t="s">
        <v>21</v>
      </c>
      <c r="H2471" t="str">
        <f>"2017-118.6"</f>
        <v>2017-118.6</v>
      </c>
      <c r="I2471" t="str">
        <f>"MOODY ENGINEERING GROUP INC."</f>
        <v>MOODY ENGINEERING GROUP INC.</v>
      </c>
    </row>
    <row r="2472" spans="1:9" x14ac:dyDescent="0.25">
      <c r="A2472" s="6">
        <v>43165</v>
      </c>
      <c r="B2472" t="s">
        <v>26</v>
      </c>
      <c r="C2472">
        <v>57022</v>
      </c>
      <c r="D2472" t="s">
        <v>48</v>
      </c>
      <c r="E2472" s="7">
        <v>2727.02</v>
      </c>
      <c r="F2472" t="s">
        <v>20</v>
      </c>
      <c r="G2472" t="s">
        <v>21</v>
      </c>
      <c r="H2472" t="str">
        <f>"1558"</f>
        <v>1558</v>
      </c>
      <c r="I2472" t="str">
        <f>"RANDY HOLLAR  LLC"</f>
        <v>RANDY HOLLAR  LLC</v>
      </c>
    </row>
    <row r="2473" spans="1:9" x14ac:dyDescent="0.25">
      <c r="A2473" s="6">
        <v>43165</v>
      </c>
      <c r="B2473" t="s">
        <v>26</v>
      </c>
      <c r="C2473">
        <v>57023</v>
      </c>
      <c r="D2473" t="s">
        <v>277</v>
      </c>
      <c r="E2473" s="7">
        <v>2250</v>
      </c>
      <c r="F2473" t="s">
        <v>20</v>
      </c>
      <c r="G2473" t="s">
        <v>21</v>
      </c>
      <c r="H2473" t="str">
        <f>"FINAL ST PATTY"</f>
        <v>FINAL ST PATTY</v>
      </c>
      <c r="I2473" t="str">
        <f>"HOWL USA LLC"</f>
        <v>HOWL USA LLC</v>
      </c>
    </row>
    <row r="2474" spans="1:9" x14ac:dyDescent="0.25">
      <c r="A2474" s="6">
        <v>43165</v>
      </c>
      <c r="B2474" t="s">
        <v>26</v>
      </c>
      <c r="C2474">
        <v>57024</v>
      </c>
      <c r="D2474" t="s">
        <v>322</v>
      </c>
      <c r="E2474" s="7">
        <v>660</v>
      </c>
      <c r="F2474" t="s">
        <v>20</v>
      </c>
      <c r="G2474" t="s">
        <v>21</v>
      </c>
      <c r="H2474" t="str">
        <f>"01242018AMAGROUP"</f>
        <v>01242018AMAGROUP</v>
      </c>
      <c r="I2474" t="str">
        <f>"AIR METHODS ADVANTAGE"</f>
        <v>AIR METHODS ADVANTAGE</v>
      </c>
    </row>
    <row r="2475" spans="1:9" x14ac:dyDescent="0.25">
      <c r="A2475" s="6">
        <v>43166</v>
      </c>
      <c r="B2475" t="s">
        <v>26</v>
      </c>
      <c r="C2475">
        <v>57026</v>
      </c>
      <c r="D2475" t="s">
        <v>189</v>
      </c>
      <c r="E2475" s="7">
        <v>448.83</v>
      </c>
      <c r="F2475" t="s">
        <v>20</v>
      </c>
      <c r="G2475" t="s">
        <v>21</v>
      </c>
      <c r="H2475" t="str">
        <f>"W72808*"</f>
        <v>W72808*</v>
      </c>
      <c r="I2475" t="str">
        <f>"ASCO"</f>
        <v>ASCO</v>
      </c>
    </row>
    <row r="2476" spans="1:9" x14ac:dyDescent="0.25">
      <c r="A2476" s="6">
        <v>43167</v>
      </c>
      <c r="B2476" t="s">
        <v>26</v>
      </c>
      <c r="C2476">
        <v>57027</v>
      </c>
      <c r="D2476" t="s">
        <v>57</v>
      </c>
      <c r="E2476" s="7">
        <v>7865.01</v>
      </c>
      <c r="F2476" t="s">
        <v>20</v>
      </c>
      <c r="G2476" t="s">
        <v>21</v>
      </c>
      <c r="H2476" t="str">
        <f>"03.01.18"</f>
        <v>03.01.18</v>
      </c>
      <c r="I2476" t="str">
        <f>"F.E.L.P.S."</f>
        <v>F.E.L.P.S.</v>
      </c>
    </row>
    <row r="2477" spans="1:9" x14ac:dyDescent="0.25">
      <c r="A2477" s="6">
        <v>43167</v>
      </c>
      <c r="B2477" t="s">
        <v>26</v>
      </c>
      <c r="C2477">
        <v>57028</v>
      </c>
      <c r="D2477" t="s">
        <v>273</v>
      </c>
      <c r="E2477" s="7">
        <v>8244.86</v>
      </c>
      <c r="F2477" t="s">
        <v>20</v>
      </c>
      <c r="G2477" t="s">
        <v>21</v>
      </c>
      <c r="H2477" t="str">
        <f>"5119-000082452"</f>
        <v>5119-000082452</v>
      </c>
      <c r="I2477" t="str">
        <f>"REPUBLIC SERVICES TESSMAN ROAD"</f>
        <v>REPUBLIC SERVICES TESSMAN ROAD</v>
      </c>
    </row>
    <row r="2478" spans="1:9" x14ac:dyDescent="0.25">
      <c r="A2478" s="6">
        <v>43167</v>
      </c>
      <c r="B2478" t="s">
        <v>26</v>
      </c>
      <c r="C2478">
        <v>57029</v>
      </c>
      <c r="D2478" t="s">
        <v>213</v>
      </c>
      <c r="E2478" s="7">
        <v>6103.02</v>
      </c>
      <c r="F2478" t="s">
        <v>20</v>
      </c>
      <c r="G2478" t="s">
        <v>21</v>
      </c>
      <c r="H2478" t="str">
        <f>"03.08.2018"</f>
        <v>03.08.2018</v>
      </c>
      <c r="I2478" t="str">
        <f>"RIVER BEND COMMUNITY DEVELOPME"</f>
        <v>RIVER BEND COMMUNITY DEVELOPME</v>
      </c>
    </row>
    <row r="2479" spans="1:9" x14ac:dyDescent="0.25">
      <c r="A2479" s="6">
        <v>43167</v>
      </c>
      <c r="B2479" t="s">
        <v>26</v>
      </c>
      <c r="C2479">
        <v>57030</v>
      </c>
      <c r="D2479" t="s">
        <v>159</v>
      </c>
      <c r="E2479" s="7">
        <v>956</v>
      </c>
      <c r="F2479" t="s">
        <v>20</v>
      </c>
      <c r="G2479" t="s">
        <v>21</v>
      </c>
      <c r="H2479" t="str">
        <f>"37633"</f>
        <v>37633</v>
      </c>
      <c r="I2479" t="str">
        <f>"PHOTOGRAPHS BY JIM"</f>
        <v>PHOTOGRAPHS BY JIM</v>
      </c>
    </row>
    <row r="2480" spans="1:9" x14ac:dyDescent="0.25">
      <c r="A2480" s="6">
        <v>43167</v>
      </c>
      <c r="B2480" t="s">
        <v>26</v>
      </c>
      <c r="C2480">
        <v>57031</v>
      </c>
      <c r="D2480" t="s">
        <v>71</v>
      </c>
      <c r="E2480" s="7">
        <v>57.61</v>
      </c>
      <c r="F2480" t="s">
        <v>20</v>
      </c>
      <c r="G2480" t="s">
        <v>21</v>
      </c>
      <c r="H2480" t="str">
        <f>"087844927"</f>
        <v>087844927</v>
      </c>
      <c r="I2480" t="str">
        <f>"CINTAS CORPORATION #087"</f>
        <v>CINTAS CORPORATION #087</v>
      </c>
    </row>
    <row r="2481" spans="1:9" x14ac:dyDescent="0.25">
      <c r="A2481" s="6">
        <v>43167</v>
      </c>
      <c r="B2481" t="s">
        <v>26</v>
      </c>
      <c r="C2481">
        <v>57032</v>
      </c>
      <c r="D2481" t="s">
        <v>73</v>
      </c>
      <c r="E2481" s="7">
        <v>14826</v>
      </c>
      <c r="F2481" t="s">
        <v>20</v>
      </c>
      <c r="G2481" t="s">
        <v>21</v>
      </c>
      <c r="H2481" t="str">
        <f>"03.01.18"</f>
        <v>03.01.18</v>
      </c>
      <c r="I2481" t="str">
        <f>"TML INTERGOVERNMENTAL RISK POO"</f>
        <v>TML INTERGOVERNMENTAL RISK POO</v>
      </c>
    </row>
    <row r="2482" spans="1:9" x14ac:dyDescent="0.25">
      <c r="A2482" s="6">
        <v>43167</v>
      </c>
      <c r="B2482" t="s">
        <v>26</v>
      </c>
      <c r="C2482">
        <v>57033</v>
      </c>
      <c r="D2482" t="s">
        <v>205</v>
      </c>
      <c r="E2482" s="7">
        <v>744.95</v>
      </c>
      <c r="F2482" t="s">
        <v>20</v>
      </c>
      <c r="G2482" t="s">
        <v>21</v>
      </c>
      <c r="H2482" t="str">
        <f>"3.8.18"</f>
        <v>3.8.18</v>
      </c>
      <c r="I2482" t="str">
        <f>"SILVER EAGLE DISTRIBUTORS"</f>
        <v>SILVER EAGLE DISTRIBUTORS</v>
      </c>
    </row>
    <row r="2483" spans="1:9" x14ac:dyDescent="0.25">
      <c r="A2483" s="6">
        <v>43167</v>
      </c>
      <c r="B2483" t="s">
        <v>26</v>
      </c>
      <c r="C2483">
        <v>57034</v>
      </c>
      <c r="D2483" t="s">
        <v>156</v>
      </c>
      <c r="E2483" s="7">
        <v>1294.25</v>
      </c>
      <c r="F2483" t="s">
        <v>20</v>
      </c>
      <c r="G2483" t="s">
        <v>21</v>
      </c>
      <c r="H2483" t="str">
        <f>"3.8.18"</f>
        <v>3.8.18</v>
      </c>
      <c r="I2483" t="str">
        <f>"GLI DISTRIBUTING"</f>
        <v>GLI DISTRIBUTING</v>
      </c>
    </row>
    <row r="2484" spans="1:9" x14ac:dyDescent="0.25">
      <c r="A2484" s="6">
        <v>43167</v>
      </c>
      <c r="B2484" t="s">
        <v>26</v>
      </c>
      <c r="C2484">
        <v>57035</v>
      </c>
      <c r="D2484" t="s">
        <v>292</v>
      </c>
      <c r="E2484" s="7">
        <v>146.80000000000001</v>
      </c>
      <c r="F2484" t="s">
        <v>20</v>
      </c>
      <c r="G2484" t="s">
        <v>21</v>
      </c>
      <c r="H2484" t="str">
        <f>"TRNG 3.16.18"</f>
        <v>TRNG 3.16.18</v>
      </c>
      <c r="I2484" t="str">
        <f>"MELINDA RILEY"</f>
        <v>MELINDA RILEY</v>
      </c>
    </row>
    <row r="2485" spans="1:9" x14ac:dyDescent="0.25">
      <c r="A2485" s="6">
        <v>43167</v>
      </c>
      <c r="B2485" t="s">
        <v>26</v>
      </c>
      <c r="C2485">
        <v>57036</v>
      </c>
      <c r="D2485" t="s">
        <v>131</v>
      </c>
      <c r="E2485" s="7">
        <v>184.99</v>
      </c>
      <c r="F2485" t="s">
        <v>20</v>
      </c>
      <c r="G2485" t="s">
        <v>21</v>
      </c>
      <c r="H2485" t="str">
        <f>"026447"</f>
        <v>026447</v>
      </c>
      <c r="I2485" t="str">
        <f>"R &amp; S TEXAS PARTS CO"</f>
        <v>R &amp; S TEXAS PARTS CO</v>
      </c>
    </row>
    <row r="2486" spans="1:9" x14ac:dyDescent="0.25">
      <c r="A2486" s="6">
        <v>43167</v>
      </c>
      <c r="B2486" t="s">
        <v>26</v>
      </c>
      <c r="C2486">
        <v>57037</v>
      </c>
      <c r="D2486" t="s">
        <v>84</v>
      </c>
      <c r="E2486" s="7">
        <v>1831.5</v>
      </c>
      <c r="F2486" t="s">
        <v>20</v>
      </c>
      <c r="G2486" t="s">
        <v>21</v>
      </c>
      <c r="H2486" t="str">
        <f>"1322459"</f>
        <v>1322459</v>
      </c>
      <c r="I2486" t="str">
        <f>"STANTEC CONSULTING SERVICES IN"</f>
        <v>STANTEC CONSULTING SERVICES IN</v>
      </c>
    </row>
    <row r="2487" spans="1:9" x14ac:dyDescent="0.25">
      <c r="A2487" s="6">
        <v>43167</v>
      </c>
      <c r="B2487" t="s">
        <v>26</v>
      </c>
      <c r="C2487">
        <v>57038</v>
      </c>
      <c r="D2487" t="s">
        <v>85</v>
      </c>
      <c r="E2487" s="7">
        <v>97.75</v>
      </c>
      <c r="F2487" t="s">
        <v>20</v>
      </c>
      <c r="G2487" t="s">
        <v>21</v>
      </c>
      <c r="H2487" t="str">
        <f>"201803088298"</f>
        <v>201803088298</v>
      </c>
      <c r="I2487" t="str">
        <f>"FRONTIER"</f>
        <v>FRONTIER</v>
      </c>
    </row>
    <row r="2488" spans="1:9" x14ac:dyDescent="0.25">
      <c r="A2488" s="6">
        <v>43167</v>
      </c>
      <c r="B2488" t="s">
        <v>26</v>
      </c>
      <c r="C2488">
        <v>57039</v>
      </c>
      <c r="D2488" t="s">
        <v>275</v>
      </c>
      <c r="E2488" s="7">
        <v>785</v>
      </c>
      <c r="F2488" t="s">
        <v>20</v>
      </c>
      <c r="G2488" t="s">
        <v>21</v>
      </c>
      <c r="H2488" t="str">
        <f>"35950"</f>
        <v>35950</v>
      </c>
      <c r="I2488" t="str">
        <f>"CORTEZ LIQUID WASTE SERVICES"</f>
        <v>CORTEZ LIQUID WASTE SERVICES</v>
      </c>
    </row>
    <row r="2489" spans="1:9" x14ac:dyDescent="0.25">
      <c r="A2489" s="6">
        <v>43167</v>
      </c>
      <c r="B2489" t="s">
        <v>26</v>
      </c>
      <c r="C2489">
        <v>57040</v>
      </c>
      <c r="D2489" t="s">
        <v>47</v>
      </c>
      <c r="E2489" s="7">
        <v>30476.87</v>
      </c>
      <c r="F2489" t="s">
        <v>20</v>
      </c>
      <c r="G2489" t="s">
        <v>21</v>
      </c>
      <c r="H2489" t="str">
        <f>"DRAW #13"</f>
        <v>DRAW #13</v>
      </c>
      <c r="I2489" t="str">
        <f>"HEARTLAND PARK &amp; RECREATION  L"</f>
        <v>HEARTLAND PARK &amp; RECREATION  L</v>
      </c>
    </row>
    <row r="2490" spans="1:9" x14ac:dyDescent="0.25">
      <c r="A2490" s="6">
        <v>43167</v>
      </c>
      <c r="B2490" t="s">
        <v>26</v>
      </c>
      <c r="C2490">
        <v>57041</v>
      </c>
      <c r="D2490" t="s">
        <v>323</v>
      </c>
      <c r="E2490" s="7">
        <v>7320</v>
      </c>
      <c r="F2490" t="s">
        <v>20</v>
      </c>
      <c r="G2490" t="s">
        <v>21</v>
      </c>
      <c r="H2490" t="str">
        <f>"UNIT#183"</f>
        <v>UNIT#183</v>
      </c>
      <c r="I2490" t="str">
        <f>"POLLOK SELF STORAGE LLC"</f>
        <v>POLLOK SELF STORAGE LLC</v>
      </c>
    </row>
    <row r="2491" spans="1:9" x14ac:dyDescent="0.25">
      <c r="E2491" s="7"/>
      <c r="F2491" t="s">
        <v>20</v>
      </c>
      <c r="G2491" t="s">
        <v>21</v>
      </c>
      <c r="H2491" t="str">
        <f>"UNIT#185"</f>
        <v>UNIT#185</v>
      </c>
      <c r="I2491" t="str">
        <f>"POLLOK SELF STORAGE LLC"</f>
        <v>POLLOK SELF STORAGE LLC</v>
      </c>
    </row>
    <row r="2492" spans="1:9" x14ac:dyDescent="0.25">
      <c r="E2492" s="7"/>
      <c r="F2492" t="s">
        <v>20</v>
      </c>
      <c r="G2492" t="s">
        <v>21</v>
      </c>
      <c r="H2492" t="str">
        <f>"UNIT#186"</f>
        <v>UNIT#186</v>
      </c>
      <c r="I2492" t="str">
        <f>"POLLOK SELF STORAGE LLC"</f>
        <v>POLLOK SELF STORAGE LLC</v>
      </c>
    </row>
    <row r="2493" spans="1:9" x14ac:dyDescent="0.25">
      <c r="E2493" s="7"/>
      <c r="F2493" t="s">
        <v>20</v>
      </c>
      <c r="G2493" t="s">
        <v>21</v>
      </c>
      <c r="H2493" t="str">
        <f>"UNIT#187"</f>
        <v>UNIT#187</v>
      </c>
      <c r="I2493" t="str">
        <f>"POLLOK SELF STORAGE LLC"</f>
        <v>POLLOK SELF STORAGE LLC</v>
      </c>
    </row>
    <row r="2494" spans="1:9" x14ac:dyDescent="0.25">
      <c r="A2494" s="6">
        <v>43167</v>
      </c>
      <c r="B2494" t="s">
        <v>26</v>
      </c>
      <c r="C2494">
        <v>57042</v>
      </c>
      <c r="D2494" t="s">
        <v>48</v>
      </c>
      <c r="E2494" s="7">
        <v>1244.76</v>
      </c>
      <c r="F2494" t="s">
        <v>20</v>
      </c>
      <c r="G2494" t="s">
        <v>21</v>
      </c>
      <c r="H2494" t="str">
        <f>"1567"</f>
        <v>1567</v>
      </c>
      <c r="I2494" t="str">
        <f>"RANDY HOLLAR  LLC"</f>
        <v>RANDY HOLLAR  LLC</v>
      </c>
    </row>
    <row r="2495" spans="1:9" x14ac:dyDescent="0.25">
      <c r="A2495" s="6">
        <v>43167</v>
      </c>
      <c r="B2495" t="s">
        <v>26</v>
      </c>
      <c r="C2495">
        <v>57043</v>
      </c>
      <c r="D2495" t="s">
        <v>324</v>
      </c>
      <c r="E2495" s="7">
        <v>200</v>
      </c>
      <c r="F2495" t="s">
        <v>20</v>
      </c>
      <c r="G2495" t="s">
        <v>21</v>
      </c>
      <c r="H2495" t="str">
        <f>"02.28.2018"</f>
        <v>02.28.2018</v>
      </c>
      <c r="I2495" t="str">
        <f>"ELITE SPORTING &amp; ENTERTIANMENT"</f>
        <v>ELITE SPORTING &amp; ENTERTIANMENT</v>
      </c>
    </row>
    <row r="2496" spans="1:9" x14ac:dyDescent="0.25">
      <c r="A2496" s="6">
        <v>43172</v>
      </c>
      <c r="B2496" t="s">
        <v>26</v>
      </c>
      <c r="C2496">
        <v>57044</v>
      </c>
      <c r="D2496" t="s">
        <v>143</v>
      </c>
      <c r="E2496" s="7">
        <v>438.33</v>
      </c>
      <c r="F2496" t="s">
        <v>20</v>
      </c>
      <c r="G2496" t="s">
        <v>21</v>
      </c>
      <c r="H2496" t="str">
        <f>"9401794717"</f>
        <v>9401794717</v>
      </c>
      <c r="I2496" t="str">
        <f>"ERGON ASPHALT AND EMULSIONS  I"</f>
        <v>ERGON ASPHALT AND EMULSIONS  I</v>
      </c>
    </row>
    <row r="2497" spans="1:9" x14ac:dyDescent="0.25">
      <c r="A2497" s="6">
        <v>43172</v>
      </c>
      <c r="B2497" t="s">
        <v>26</v>
      </c>
      <c r="C2497">
        <v>57045</v>
      </c>
      <c r="D2497" t="s">
        <v>201</v>
      </c>
      <c r="E2497" s="7">
        <v>296.55</v>
      </c>
      <c r="F2497" t="s">
        <v>20</v>
      </c>
      <c r="G2497" t="s">
        <v>21</v>
      </c>
      <c r="H2497" t="str">
        <f>"FEB 2018"</f>
        <v>FEB 2018</v>
      </c>
      <c r="I2497" t="str">
        <f>"WILSON COUNTY HARDWARE"</f>
        <v>WILSON COUNTY HARDWARE</v>
      </c>
    </row>
    <row r="2498" spans="1:9" x14ac:dyDescent="0.25">
      <c r="A2498" s="6">
        <v>43172</v>
      </c>
      <c r="B2498" t="s">
        <v>26</v>
      </c>
      <c r="C2498">
        <v>57046</v>
      </c>
      <c r="D2498" t="s">
        <v>59</v>
      </c>
      <c r="E2498" s="7">
        <v>4227.54</v>
      </c>
      <c r="F2498" t="s">
        <v>20</v>
      </c>
      <c r="G2498" t="s">
        <v>21</v>
      </c>
      <c r="H2498" t="str">
        <f>"0933098-3"</f>
        <v>0933098-3</v>
      </c>
      <c r="I2498" t="str">
        <f>"FERGUSON WATERWORKS - MUNICIPA"</f>
        <v>FERGUSON WATERWORKS - MUNICIPA</v>
      </c>
    </row>
    <row r="2499" spans="1:9" x14ac:dyDescent="0.25">
      <c r="E2499" s="7"/>
      <c r="F2499" t="s">
        <v>20</v>
      </c>
      <c r="G2499" t="s">
        <v>21</v>
      </c>
      <c r="H2499" t="str">
        <f>"0936745-1"</f>
        <v>0936745-1</v>
      </c>
      <c r="I2499" t="str">
        <f>"FERGUSON WATERWORKS - MUNICIPA"</f>
        <v>FERGUSON WATERWORKS - MUNICIPA</v>
      </c>
    </row>
    <row r="2500" spans="1:9" x14ac:dyDescent="0.25">
      <c r="E2500" s="7"/>
      <c r="F2500" t="s">
        <v>20</v>
      </c>
      <c r="G2500" t="s">
        <v>21</v>
      </c>
      <c r="H2500" t="str">
        <f>"0937023"</f>
        <v>0937023</v>
      </c>
      <c r="I2500" t="str">
        <f>"FERGUSON WATERWORKS - MUNICIPA"</f>
        <v>FERGUSON WATERWORKS - MUNICIPA</v>
      </c>
    </row>
    <row r="2501" spans="1:9" x14ac:dyDescent="0.25">
      <c r="A2501" s="6">
        <v>43172</v>
      </c>
      <c r="B2501" t="s">
        <v>26</v>
      </c>
      <c r="C2501">
        <v>57047</v>
      </c>
      <c r="D2501" t="s">
        <v>180</v>
      </c>
      <c r="E2501" s="7">
        <v>97.42</v>
      </c>
      <c r="F2501" t="s">
        <v>20</v>
      </c>
      <c r="G2501" t="s">
        <v>21</v>
      </c>
      <c r="H2501" t="str">
        <f>"30122630"</f>
        <v>30122630</v>
      </c>
      <c r="I2501" t="str">
        <f>"DITTMAR LUMBER CO."</f>
        <v>DITTMAR LUMBER CO.</v>
      </c>
    </row>
    <row r="2502" spans="1:9" x14ac:dyDescent="0.25">
      <c r="A2502" s="6">
        <v>43172</v>
      </c>
      <c r="B2502" t="s">
        <v>26</v>
      </c>
      <c r="C2502">
        <v>57048</v>
      </c>
      <c r="D2502" t="s">
        <v>203</v>
      </c>
      <c r="E2502" s="7">
        <v>256.25</v>
      </c>
      <c r="F2502" t="s">
        <v>20</v>
      </c>
      <c r="G2502" t="s">
        <v>21</v>
      </c>
      <c r="H2502" t="str">
        <f>"504009"</f>
        <v>504009</v>
      </c>
      <c r="I2502" t="str">
        <f>"USA BLUEBOOK"</f>
        <v>USA BLUEBOOK</v>
      </c>
    </row>
    <row r="2503" spans="1:9" x14ac:dyDescent="0.25">
      <c r="A2503" s="6">
        <v>43172</v>
      </c>
      <c r="B2503" t="s">
        <v>26</v>
      </c>
      <c r="C2503">
        <v>57049</v>
      </c>
      <c r="D2503" t="s">
        <v>325</v>
      </c>
      <c r="E2503" s="7">
        <v>127.22</v>
      </c>
      <c r="F2503" t="s">
        <v>20</v>
      </c>
      <c r="G2503" t="s">
        <v>21</v>
      </c>
      <c r="H2503" t="str">
        <f>"201803138299"</f>
        <v>201803138299</v>
      </c>
      <c r="I2503" t="str">
        <f>"DSHS CENTRAL LAB MC2004"</f>
        <v>DSHS CENTRAL LAB MC2004</v>
      </c>
    </row>
    <row r="2504" spans="1:9" x14ac:dyDescent="0.25">
      <c r="A2504" s="6">
        <v>43172</v>
      </c>
      <c r="B2504" t="s">
        <v>26</v>
      </c>
      <c r="C2504">
        <v>57050</v>
      </c>
      <c r="D2504" t="s">
        <v>115</v>
      </c>
      <c r="E2504" s="7">
        <v>210.87</v>
      </c>
      <c r="F2504" t="s">
        <v>20</v>
      </c>
      <c r="G2504" t="s">
        <v>21</v>
      </c>
      <c r="H2504" t="str">
        <f>"3547106208"</f>
        <v>3547106208</v>
      </c>
      <c r="I2504" t="str">
        <f>"AUTOZONE"</f>
        <v>AUTOZONE</v>
      </c>
    </row>
    <row r="2505" spans="1:9" x14ac:dyDescent="0.25">
      <c r="E2505" s="7"/>
      <c r="F2505" t="s">
        <v>20</v>
      </c>
      <c r="G2505" t="s">
        <v>21</v>
      </c>
      <c r="H2505" t="str">
        <f>"3547109904"</f>
        <v>3547109904</v>
      </c>
      <c r="I2505" t="str">
        <f>"AUTOZONE"</f>
        <v>AUTOZONE</v>
      </c>
    </row>
    <row r="2506" spans="1:9" x14ac:dyDescent="0.25">
      <c r="A2506" s="6">
        <v>43172</v>
      </c>
      <c r="B2506" t="s">
        <v>26</v>
      </c>
      <c r="C2506">
        <v>57051</v>
      </c>
      <c r="D2506" t="s">
        <v>63</v>
      </c>
      <c r="E2506" s="7">
        <v>346.08</v>
      </c>
      <c r="F2506" t="s">
        <v>20</v>
      </c>
      <c r="G2506" t="s">
        <v>21</v>
      </c>
      <c r="H2506" t="str">
        <f>"8403548631"</f>
        <v>8403548631</v>
      </c>
      <c r="I2506" t="str">
        <f>"CINTAS CORPORATION"</f>
        <v>CINTAS CORPORATION</v>
      </c>
    </row>
    <row r="2507" spans="1:9" x14ac:dyDescent="0.25">
      <c r="E2507" s="7"/>
      <c r="F2507" t="s">
        <v>20</v>
      </c>
      <c r="G2507" t="s">
        <v>21</v>
      </c>
      <c r="H2507" t="str">
        <f>"8403554855"</f>
        <v>8403554855</v>
      </c>
      <c r="I2507" t="str">
        <f>"CINTAS CORPORATION"</f>
        <v>CINTAS CORPORATION</v>
      </c>
    </row>
    <row r="2508" spans="1:9" x14ac:dyDescent="0.25">
      <c r="E2508" s="7"/>
      <c r="F2508" t="s">
        <v>20</v>
      </c>
      <c r="G2508" t="s">
        <v>21</v>
      </c>
      <c r="H2508" t="str">
        <f>"8403567706"</f>
        <v>8403567706</v>
      </c>
      <c r="I2508" t="str">
        <f>"CINTAS CORPORATION"</f>
        <v>CINTAS CORPORATION</v>
      </c>
    </row>
    <row r="2509" spans="1:9" x14ac:dyDescent="0.25">
      <c r="A2509" s="6">
        <v>43172</v>
      </c>
      <c r="B2509" t="s">
        <v>26</v>
      </c>
      <c r="C2509">
        <v>57052</v>
      </c>
      <c r="D2509" t="s">
        <v>189</v>
      </c>
      <c r="E2509" s="7">
        <v>9474.33</v>
      </c>
      <c r="F2509" t="s">
        <v>20</v>
      </c>
      <c r="G2509" t="s">
        <v>21</v>
      </c>
      <c r="H2509" t="str">
        <f>"W74754"</f>
        <v>W74754</v>
      </c>
      <c r="I2509" t="str">
        <f>"ASCO"</f>
        <v>ASCO</v>
      </c>
    </row>
    <row r="2510" spans="1:9" x14ac:dyDescent="0.25">
      <c r="E2510" s="7"/>
      <c r="F2510" t="s">
        <v>20</v>
      </c>
      <c r="G2510" t="s">
        <v>21</v>
      </c>
      <c r="H2510" t="str">
        <f>"W84452"</f>
        <v>W84452</v>
      </c>
      <c r="I2510" t="str">
        <f>"ASCO"</f>
        <v>ASCO</v>
      </c>
    </row>
    <row r="2511" spans="1:9" x14ac:dyDescent="0.25">
      <c r="A2511" s="6">
        <v>43172</v>
      </c>
      <c r="B2511" t="s">
        <v>26</v>
      </c>
      <c r="C2511">
        <v>57053</v>
      </c>
      <c r="D2511" t="s">
        <v>122</v>
      </c>
      <c r="E2511" s="7">
        <v>40</v>
      </c>
      <c r="F2511" t="s">
        <v>20</v>
      </c>
      <c r="G2511" t="s">
        <v>21</v>
      </c>
      <c r="H2511" t="str">
        <f>"0776303"</f>
        <v>0776303</v>
      </c>
      <c r="I2511" t="str">
        <f>"VILLA TIRES"</f>
        <v>VILLA TIRES</v>
      </c>
    </row>
    <row r="2512" spans="1:9" x14ac:dyDescent="0.25">
      <c r="E2512" s="7"/>
      <c r="F2512" t="s">
        <v>20</v>
      </c>
      <c r="G2512" t="s">
        <v>21</v>
      </c>
      <c r="H2512" t="str">
        <f>"0776317"</f>
        <v>0776317</v>
      </c>
      <c r="I2512" t="str">
        <f>"VILLA TIRES"</f>
        <v>VILLA TIRES</v>
      </c>
    </row>
    <row r="2513" spans="1:9" x14ac:dyDescent="0.25">
      <c r="E2513" s="7"/>
      <c r="F2513" t="s">
        <v>20</v>
      </c>
      <c r="G2513" t="s">
        <v>21</v>
      </c>
      <c r="H2513" t="str">
        <f>"0776325"</f>
        <v>0776325</v>
      </c>
      <c r="I2513" t="str">
        <f>"VILLA TIRES"</f>
        <v>VILLA TIRES</v>
      </c>
    </row>
    <row r="2514" spans="1:9" x14ac:dyDescent="0.25">
      <c r="E2514" s="7"/>
      <c r="F2514" t="s">
        <v>20</v>
      </c>
      <c r="G2514" t="s">
        <v>21</v>
      </c>
      <c r="H2514" t="str">
        <f>"0776328"</f>
        <v>0776328</v>
      </c>
      <c r="I2514" t="str">
        <f>"VILLA TIRES"</f>
        <v>VILLA TIRES</v>
      </c>
    </row>
    <row r="2515" spans="1:9" x14ac:dyDescent="0.25">
      <c r="A2515" s="6">
        <v>43172</v>
      </c>
      <c r="B2515" t="s">
        <v>26</v>
      </c>
      <c r="C2515">
        <v>57054</v>
      </c>
      <c r="D2515" t="s">
        <v>77</v>
      </c>
      <c r="E2515" s="7">
        <v>1210.8</v>
      </c>
      <c r="F2515" t="s">
        <v>20</v>
      </c>
      <c r="G2515" t="s">
        <v>21</v>
      </c>
      <c r="H2515" t="str">
        <f>"857000363-18"</f>
        <v>857000363-18</v>
      </c>
      <c r="I2515" t="str">
        <f>"DPC INDUSTRIES  INC."</f>
        <v>DPC INDUSTRIES  INC.</v>
      </c>
    </row>
    <row r="2516" spans="1:9" x14ac:dyDescent="0.25">
      <c r="E2516" s="7"/>
      <c r="F2516" t="s">
        <v>20</v>
      </c>
      <c r="G2516" t="s">
        <v>21</v>
      </c>
      <c r="H2516" t="str">
        <f>"DE85000307-18"</f>
        <v>DE85000307-18</v>
      </c>
      <c r="I2516" t="str">
        <f>"DPC INDUSTRIES  INC."</f>
        <v>DPC INDUSTRIES  INC.</v>
      </c>
    </row>
    <row r="2517" spans="1:9" x14ac:dyDescent="0.25">
      <c r="E2517" s="7"/>
      <c r="F2517" t="s">
        <v>20</v>
      </c>
      <c r="G2517" t="s">
        <v>21</v>
      </c>
      <c r="H2517" t="str">
        <f>"DE85000540-18"</f>
        <v>DE85000540-18</v>
      </c>
      <c r="I2517" t="str">
        <f>"DPC INDUSTRIES  INC."</f>
        <v>DPC INDUSTRIES  INC.</v>
      </c>
    </row>
    <row r="2518" spans="1:9" x14ac:dyDescent="0.25">
      <c r="A2518" s="6">
        <v>43172</v>
      </c>
      <c r="B2518" t="s">
        <v>26</v>
      </c>
      <c r="C2518">
        <v>57055</v>
      </c>
      <c r="D2518" t="s">
        <v>124</v>
      </c>
      <c r="E2518" s="7">
        <v>1.99</v>
      </c>
      <c r="F2518" t="s">
        <v>20</v>
      </c>
      <c r="G2518" t="s">
        <v>21</v>
      </c>
      <c r="H2518" t="str">
        <f>"11156901"</f>
        <v>11156901</v>
      </c>
      <c r="I2518" t="str">
        <f>"MCCOY'S CORPORATION"</f>
        <v>MCCOY'S CORPORATION</v>
      </c>
    </row>
    <row r="2519" spans="1:9" x14ac:dyDescent="0.25">
      <c r="A2519" s="6">
        <v>43172</v>
      </c>
      <c r="B2519" t="s">
        <v>26</v>
      </c>
      <c r="C2519">
        <v>57056</v>
      </c>
      <c r="D2519" t="s">
        <v>126</v>
      </c>
      <c r="E2519" s="7">
        <v>7283.13</v>
      </c>
      <c r="F2519" t="s">
        <v>20</v>
      </c>
      <c r="G2519" t="s">
        <v>21</v>
      </c>
      <c r="H2519" t="str">
        <f>"0859-002005454"</f>
        <v>0859-002005454</v>
      </c>
      <c r="I2519" t="str">
        <f>"REPUBLIC SERVICES #859"</f>
        <v>REPUBLIC SERVICES #859</v>
      </c>
    </row>
    <row r="2520" spans="1:9" x14ac:dyDescent="0.25">
      <c r="A2520" s="6">
        <v>43172</v>
      </c>
      <c r="B2520" t="s">
        <v>26</v>
      </c>
      <c r="C2520">
        <v>57057</v>
      </c>
      <c r="D2520" t="s">
        <v>127</v>
      </c>
      <c r="E2520" s="7">
        <v>350</v>
      </c>
      <c r="F2520" t="s">
        <v>20</v>
      </c>
      <c r="G2520" t="s">
        <v>21</v>
      </c>
      <c r="H2520" t="str">
        <f>"731624"</f>
        <v>731624</v>
      </c>
      <c r="I2520" t="str">
        <f>"A &amp; B COMMUNICATIONS"</f>
        <v>A &amp; B COMMUNICATIONS</v>
      </c>
    </row>
    <row r="2521" spans="1:9" x14ac:dyDescent="0.25">
      <c r="A2521" s="6">
        <v>43172</v>
      </c>
      <c r="B2521" t="s">
        <v>26</v>
      </c>
      <c r="C2521">
        <v>57058</v>
      </c>
      <c r="D2521" t="s">
        <v>129</v>
      </c>
      <c r="E2521" s="7">
        <v>654.48</v>
      </c>
      <c r="F2521" t="s">
        <v>20</v>
      </c>
      <c r="G2521" t="s">
        <v>21</v>
      </c>
      <c r="H2521" t="str">
        <f>"E03265"</f>
        <v>E03265</v>
      </c>
      <c r="I2521" t="str">
        <f>"AG-PRO COMPANIES"</f>
        <v>AG-PRO COMPANIES</v>
      </c>
    </row>
    <row r="2522" spans="1:9" x14ac:dyDescent="0.25">
      <c r="E2522" s="7"/>
      <c r="F2522" t="s">
        <v>20</v>
      </c>
      <c r="G2522" t="s">
        <v>21</v>
      </c>
      <c r="H2522" t="str">
        <f>"P27936"</f>
        <v>P27936</v>
      </c>
      <c r="I2522" t="str">
        <f>"AG-PRO COMPANIES"</f>
        <v>AG-PRO COMPANIES</v>
      </c>
    </row>
    <row r="2523" spans="1:9" x14ac:dyDescent="0.25">
      <c r="A2523" s="6">
        <v>43172</v>
      </c>
      <c r="B2523" t="s">
        <v>26</v>
      </c>
      <c r="C2523">
        <v>57059</v>
      </c>
      <c r="D2523" t="s">
        <v>131</v>
      </c>
      <c r="E2523" s="7">
        <v>521.16999999999996</v>
      </c>
      <c r="F2523" t="s">
        <v>20</v>
      </c>
      <c r="G2523" t="s">
        <v>21</v>
      </c>
      <c r="H2523" t="str">
        <f>"027145"</f>
        <v>027145</v>
      </c>
      <c r="I2523" t="str">
        <f>"R &amp; S TEXAS PARTS CO"</f>
        <v>R &amp; S TEXAS PARTS CO</v>
      </c>
    </row>
    <row r="2524" spans="1:9" x14ac:dyDescent="0.25">
      <c r="E2524" s="7"/>
      <c r="F2524" t="s">
        <v>20</v>
      </c>
      <c r="G2524" t="s">
        <v>21</v>
      </c>
      <c r="H2524" t="str">
        <f>"027225"</f>
        <v>027225</v>
      </c>
      <c r="I2524" t="str">
        <f>"R &amp; S TEXAS PARTS CO"</f>
        <v>R &amp; S TEXAS PARTS CO</v>
      </c>
    </row>
    <row r="2525" spans="1:9" x14ac:dyDescent="0.25">
      <c r="E2525" s="7"/>
      <c r="F2525" t="s">
        <v>20</v>
      </c>
      <c r="G2525" t="s">
        <v>21</v>
      </c>
      <c r="H2525" t="str">
        <f>"027307"</f>
        <v>027307</v>
      </c>
      <c r="I2525" t="str">
        <f>"R &amp; S TEXAS PARTS CO"</f>
        <v>R &amp; S TEXAS PARTS CO</v>
      </c>
    </row>
    <row r="2526" spans="1:9" x14ac:dyDescent="0.25">
      <c r="E2526" s="7"/>
      <c r="F2526" t="s">
        <v>20</v>
      </c>
      <c r="G2526" t="s">
        <v>21</v>
      </c>
      <c r="H2526" t="str">
        <f>"027357"</f>
        <v>027357</v>
      </c>
      <c r="I2526" t="str">
        <f>"R &amp; S TEXAS PARTS CO"</f>
        <v>R &amp; S TEXAS PARTS CO</v>
      </c>
    </row>
    <row r="2527" spans="1:9" x14ac:dyDescent="0.25">
      <c r="A2527" s="6">
        <v>43172</v>
      </c>
      <c r="B2527" t="s">
        <v>26</v>
      </c>
      <c r="C2527">
        <v>57060</v>
      </c>
      <c r="D2527" t="s">
        <v>326</v>
      </c>
      <c r="E2527" s="7">
        <v>178.93</v>
      </c>
      <c r="F2527" t="s">
        <v>20</v>
      </c>
      <c r="G2527" t="s">
        <v>21</v>
      </c>
      <c r="H2527" t="str">
        <f>"17136227"</f>
        <v>17136227</v>
      </c>
      <c r="I2527" t="str">
        <f>"MATHESON TRI-GAS INC"</f>
        <v>MATHESON TRI-GAS INC</v>
      </c>
    </row>
    <row r="2528" spans="1:9" x14ac:dyDescent="0.25">
      <c r="E2528" s="7"/>
      <c r="F2528" t="s">
        <v>20</v>
      </c>
      <c r="G2528" t="s">
        <v>21</v>
      </c>
      <c r="H2528" t="str">
        <f>"17166479"</f>
        <v>17166479</v>
      </c>
      <c r="I2528" t="str">
        <f>"MATHESON TRI-GAS INC"</f>
        <v>MATHESON TRI-GAS INC</v>
      </c>
    </row>
    <row r="2529" spans="1:9" x14ac:dyDescent="0.25">
      <c r="A2529" s="6">
        <v>43172</v>
      </c>
      <c r="B2529" t="s">
        <v>26</v>
      </c>
      <c r="C2529">
        <v>57061</v>
      </c>
      <c r="D2529" t="s">
        <v>327</v>
      </c>
      <c r="E2529" s="7">
        <v>45</v>
      </c>
      <c r="F2529" t="s">
        <v>20</v>
      </c>
      <c r="G2529" t="s">
        <v>21</v>
      </c>
      <c r="H2529" t="str">
        <f>"565"</f>
        <v>565</v>
      </c>
      <c r="I2529" t="str">
        <f>"MOY'S WATER WELL SERVICES"</f>
        <v>MOY'S WATER WELL SERVICES</v>
      </c>
    </row>
    <row r="2530" spans="1:9" x14ac:dyDescent="0.25">
      <c r="A2530" s="6">
        <v>43172</v>
      </c>
      <c r="B2530" t="s">
        <v>26</v>
      </c>
      <c r="C2530">
        <v>57062</v>
      </c>
      <c r="D2530" t="s">
        <v>100</v>
      </c>
      <c r="E2530" s="7">
        <v>2000</v>
      </c>
      <c r="F2530" t="s">
        <v>20</v>
      </c>
      <c r="G2530" t="s">
        <v>21</v>
      </c>
      <c r="H2530" t="str">
        <f>"1"</f>
        <v>1</v>
      </c>
      <c r="I2530" t="str">
        <f>"GAONA &amp; SONS"</f>
        <v>GAONA &amp; SONS</v>
      </c>
    </row>
    <row r="2531" spans="1:9" x14ac:dyDescent="0.25">
      <c r="A2531" s="6">
        <v>43172</v>
      </c>
      <c r="B2531" t="s">
        <v>26</v>
      </c>
      <c r="C2531">
        <v>57063</v>
      </c>
      <c r="D2531" t="s">
        <v>328</v>
      </c>
      <c r="E2531" s="7">
        <v>991.68</v>
      </c>
      <c r="F2531" t="s">
        <v>20</v>
      </c>
      <c r="G2531" t="s">
        <v>21</v>
      </c>
      <c r="H2531" t="str">
        <f>"7015818"</f>
        <v>7015818</v>
      </c>
      <c r="I2531" t="str">
        <f>"KOLOGIK"</f>
        <v>KOLOGIK</v>
      </c>
    </row>
    <row r="2532" spans="1:9" x14ac:dyDescent="0.25">
      <c r="A2532" s="6">
        <v>43173</v>
      </c>
      <c r="B2532" t="s">
        <v>26</v>
      </c>
      <c r="C2532">
        <v>57064</v>
      </c>
      <c r="D2532" t="s">
        <v>90</v>
      </c>
      <c r="E2532" s="7">
        <v>2118.48</v>
      </c>
      <c r="F2532" t="s">
        <v>20</v>
      </c>
      <c r="G2532" t="s">
        <v>329</v>
      </c>
      <c r="H2532" t="str">
        <f>"253235"</f>
        <v>253235</v>
      </c>
      <c r="I2532" t="str">
        <f>"AFLAC"</f>
        <v>AFLAC</v>
      </c>
    </row>
    <row r="2533" spans="1:9" x14ac:dyDescent="0.25">
      <c r="E2533" s="7"/>
      <c r="F2533" t="s">
        <v>20</v>
      </c>
      <c r="G2533" t="s">
        <v>21</v>
      </c>
      <c r="H2533" t="str">
        <f>"ACA201802138272"</f>
        <v>ACA201802138272</v>
      </c>
      <c r="I2533" t="str">
        <f>"AFLAC INSURANCE"</f>
        <v>AFLAC INSURANCE</v>
      </c>
    </row>
    <row r="2534" spans="1:9" x14ac:dyDescent="0.25">
      <c r="E2534" s="7"/>
      <c r="F2534" t="s">
        <v>20</v>
      </c>
      <c r="G2534" t="s">
        <v>21</v>
      </c>
      <c r="H2534" t="str">
        <f>"ACA201802288290"</f>
        <v>ACA201802288290</v>
      </c>
      <c r="I2534" t="str">
        <f>"AFLAC INSURANCE"</f>
        <v>AFLAC INSURANCE</v>
      </c>
    </row>
    <row r="2535" spans="1:9" x14ac:dyDescent="0.25">
      <c r="E2535" s="7"/>
      <c r="F2535" t="s">
        <v>20</v>
      </c>
      <c r="G2535" t="s">
        <v>21</v>
      </c>
      <c r="H2535" t="str">
        <f>"AD2201802138272"</f>
        <v>AD2201802138272</v>
      </c>
      <c r="I2535" t="str">
        <f>"AFLAC INSURANCE"</f>
        <v>AFLAC INSURANCE</v>
      </c>
    </row>
    <row r="2536" spans="1:9" x14ac:dyDescent="0.25">
      <c r="E2536" s="7"/>
      <c r="F2536" t="s">
        <v>20</v>
      </c>
      <c r="G2536" t="s">
        <v>21</v>
      </c>
      <c r="H2536" t="str">
        <f>"AD2201802288290"</f>
        <v>AD2201802288290</v>
      </c>
      <c r="I2536" t="str">
        <f>"AFLAC INSURANCE"</f>
        <v>AFLAC INSURANCE</v>
      </c>
    </row>
    <row r="2537" spans="1:9" x14ac:dyDescent="0.25">
      <c r="E2537" s="7"/>
      <c r="F2537" t="s">
        <v>20</v>
      </c>
      <c r="G2537" t="s">
        <v>21</v>
      </c>
      <c r="H2537" t="str">
        <f>"ADR201802138272"</f>
        <v>ADR201802138272</v>
      </c>
      <c r="I2537" t="str">
        <f>"INSURANCE"</f>
        <v>INSURANCE</v>
      </c>
    </row>
    <row r="2538" spans="1:9" x14ac:dyDescent="0.25">
      <c r="E2538" s="7"/>
      <c r="F2538" t="s">
        <v>20</v>
      </c>
      <c r="G2538" t="s">
        <v>21</v>
      </c>
      <c r="H2538" t="str">
        <f>"ADR201802288290"</f>
        <v>ADR201802288290</v>
      </c>
      <c r="I2538" t="str">
        <f>"INSURANCE"</f>
        <v>INSURANCE</v>
      </c>
    </row>
    <row r="2539" spans="1:9" x14ac:dyDescent="0.25">
      <c r="E2539" s="7"/>
      <c r="F2539" t="s">
        <v>20</v>
      </c>
      <c r="G2539" t="s">
        <v>21</v>
      </c>
      <c r="H2539" t="str">
        <f>"AF1201802138272"</f>
        <v>AF1201802138272</v>
      </c>
      <c r="I2539" t="str">
        <f t="shared" ref="I2539:I2544" si="48">"AFLAC INSURANCE"</f>
        <v>AFLAC INSURANCE</v>
      </c>
    </row>
    <row r="2540" spans="1:9" x14ac:dyDescent="0.25">
      <c r="E2540" s="7"/>
      <c r="F2540" t="s">
        <v>20</v>
      </c>
      <c r="G2540" t="s">
        <v>21</v>
      </c>
      <c r="H2540" t="str">
        <f>"AF1201802288290"</f>
        <v>AF1201802288290</v>
      </c>
      <c r="I2540" t="str">
        <f t="shared" si="48"/>
        <v>AFLAC INSURANCE</v>
      </c>
    </row>
    <row r="2541" spans="1:9" x14ac:dyDescent="0.25">
      <c r="E2541" s="7"/>
      <c r="F2541" t="s">
        <v>20</v>
      </c>
      <c r="G2541" t="s">
        <v>21</v>
      </c>
      <c r="H2541" t="str">
        <f>"ASP201802138272"</f>
        <v>ASP201802138272</v>
      </c>
      <c r="I2541" t="str">
        <f t="shared" si="48"/>
        <v>AFLAC INSURANCE</v>
      </c>
    </row>
    <row r="2542" spans="1:9" x14ac:dyDescent="0.25">
      <c r="E2542" s="7"/>
      <c r="F2542" t="s">
        <v>20</v>
      </c>
      <c r="G2542" t="s">
        <v>21</v>
      </c>
      <c r="H2542" t="str">
        <f>"ASP201802288290"</f>
        <v>ASP201802288290</v>
      </c>
      <c r="I2542" t="str">
        <f t="shared" si="48"/>
        <v>AFLAC INSURANCE</v>
      </c>
    </row>
    <row r="2543" spans="1:9" x14ac:dyDescent="0.25">
      <c r="E2543" s="7"/>
      <c r="F2543" t="s">
        <v>20</v>
      </c>
      <c r="G2543" t="s">
        <v>21</v>
      </c>
      <c r="H2543" t="str">
        <f>"HCO201802138272"</f>
        <v>HCO201802138272</v>
      </c>
      <c r="I2543" t="str">
        <f t="shared" si="48"/>
        <v>AFLAC INSURANCE</v>
      </c>
    </row>
    <row r="2544" spans="1:9" x14ac:dyDescent="0.25">
      <c r="E2544" s="7"/>
      <c r="F2544" t="s">
        <v>20</v>
      </c>
      <c r="G2544" t="s">
        <v>21</v>
      </c>
      <c r="H2544" t="str">
        <f>"HCO201802288290"</f>
        <v>HCO201802288290</v>
      </c>
      <c r="I2544" t="str">
        <f t="shared" si="48"/>
        <v>AFLAC INSURANCE</v>
      </c>
    </row>
    <row r="2545" spans="1:9" x14ac:dyDescent="0.25">
      <c r="A2545" s="6">
        <v>43173</v>
      </c>
      <c r="B2545" t="s">
        <v>26</v>
      </c>
      <c r="C2545">
        <v>57068</v>
      </c>
      <c r="D2545" t="s">
        <v>92</v>
      </c>
      <c r="E2545" s="7">
        <v>40426.21</v>
      </c>
      <c r="F2545" t="s">
        <v>20</v>
      </c>
      <c r="G2545" t="s">
        <v>329</v>
      </c>
      <c r="H2545" t="str">
        <f>"2/2018"</f>
        <v>2/2018</v>
      </c>
      <c r="I2545" t="str">
        <f>"TEXAS MUNICIPAL RETIREMENT SYS"</f>
        <v>TEXAS MUNICIPAL RETIREMENT SYS</v>
      </c>
    </row>
    <row r="2546" spans="1:9" x14ac:dyDescent="0.25">
      <c r="E2546" s="7"/>
      <c r="F2546" t="s">
        <v>20</v>
      </c>
      <c r="G2546" t="s">
        <v>21</v>
      </c>
      <c r="H2546" t="str">
        <f>"RET201802138272"</f>
        <v>RET201802138272</v>
      </c>
      <c r="I2546" t="str">
        <f>"TMRS CITY OF FLORESVILLE"</f>
        <v>TMRS CITY OF FLORESVILLE</v>
      </c>
    </row>
    <row r="2547" spans="1:9" x14ac:dyDescent="0.25">
      <c r="E2547" s="7"/>
      <c r="F2547" t="s">
        <v>20</v>
      </c>
      <c r="G2547" t="s">
        <v>21</v>
      </c>
      <c r="H2547" t="str">
        <f>"RET201802288290"</f>
        <v>RET201802288290</v>
      </c>
      <c r="I2547" t="str">
        <f>"TMRS CITY OF FLORESVILLE"</f>
        <v>TMRS CITY OF FLORESVILLE</v>
      </c>
    </row>
    <row r="2548" spans="1:9" x14ac:dyDescent="0.25">
      <c r="A2548" s="6">
        <v>43173</v>
      </c>
      <c r="B2548" t="s">
        <v>26</v>
      </c>
      <c r="C2548">
        <v>57072</v>
      </c>
      <c r="D2548" t="s">
        <v>94</v>
      </c>
      <c r="E2548" s="7">
        <v>2614.1799999999998</v>
      </c>
      <c r="F2548" t="s">
        <v>20</v>
      </c>
      <c r="G2548" t="s">
        <v>329</v>
      </c>
      <c r="H2548" t="str">
        <f>"4209614"</f>
        <v>4209614</v>
      </c>
      <c r="I2548" t="str">
        <f>"DENTAL SELECT"</f>
        <v>DENTAL SELECT</v>
      </c>
    </row>
    <row r="2549" spans="1:9" x14ac:dyDescent="0.25">
      <c r="E2549" s="7"/>
      <c r="F2549" t="s">
        <v>20</v>
      </c>
      <c r="G2549" t="s">
        <v>21</v>
      </c>
      <c r="H2549" t="str">
        <f>"DEN201802138272"</f>
        <v>DEN201802138272</v>
      </c>
      <c r="I2549" t="str">
        <f>"DENTAL INSURANCE"</f>
        <v>DENTAL INSURANCE</v>
      </c>
    </row>
    <row r="2550" spans="1:9" x14ac:dyDescent="0.25">
      <c r="A2550" s="6">
        <v>43173</v>
      </c>
      <c r="B2550" t="s">
        <v>26</v>
      </c>
      <c r="C2550">
        <v>57073</v>
      </c>
      <c r="D2550" t="s">
        <v>95</v>
      </c>
      <c r="E2550" s="7">
        <v>84.78</v>
      </c>
      <c r="F2550" t="s">
        <v>20</v>
      </c>
      <c r="G2550" t="s">
        <v>329</v>
      </c>
      <c r="H2550" t="str">
        <f>"201802064"</f>
        <v>201802064</v>
      </c>
      <c r="I2550" t="str">
        <f>"LEGAL PLANS"</f>
        <v>LEGAL PLANS</v>
      </c>
    </row>
    <row r="2551" spans="1:9" x14ac:dyDescent="0.25">
      <c r="E2551" s="7"/>
      <c r="F2551" t="s">
        <v>20</v>
      </c>
      <c r="G2551" t="s">
        <v>21</v>
      </c>
      <c r="H2551" t="str">
        <f>"LEA201802138272"</f>
        <v>LEA201802138272</v>
      </c>
      <c r="I2551" t="str">
        <f>"INSURANCE"</f>
        <v>INSURANCE</v>
      </c>
    </row>
    <row r="2552" spans="1:9" x14ac:dyDescent="0.25">
      <c r="A2552" s="6">
        <v>43173</v>
      </c>
      <c r="B2552" t="s">
        <v>26</v>
      </c>
      <c r="C2552">
        <v>57074</v>
      </c>
      <c r="D2552" t="s">
        <v>96</v>
      </c>
      <c r="E2552" s="7">
        <v>587.79999999999995</v>
      </c>
      <c r="F2552" t="s">
        <v>20</v>
      </c>
      <c r="G2552" t="s">
        <v>329</v>
      </c>
      <c r="H2552" t="str">
        <f>"2/2018"</f>
        <v>2/2018</v>
      </c>
      <c r="I2552" t="str">
        <f>"LEGALSHIELD"</f>
        <v>LEGALSHIELD</v>
      </c>
    </row>
    <row r="2553" spans="1:9" x14ac:dyDescent="0.25">
      <c r="E2553" s="7"/>
      <c r="F2553" t="s">
        <v>20</v>
      </c>
      <c r="G2553" t="s">
        <v>21</v>
      </c>
      <c r="H2553" t="str">
        <f>"PPL201802138272"</f>
        <v>PPL201802138272</v>
      </c>
      <c r="I2553" t="str">
        <f>"INSURANCE"</f>
        <v>INSURANCE</v>
      </c>
    </row>
    <row r="2554" spans="1:9" x14ac:dyDescent="0.25">
      <c r="A2554" s="6">
        <v>43173</v>
      </c>
      <c r="B2554" t="s">
        <v>91</v>
      </c>
      <c r="C2554">
        <v>57075</v>
      </c>
      <c r="D2554" t="s">
        <v>97</v>
      </c>
      <c r="E2554" s="7">
        <v>932.68</v>
      </c>
      <c r="F2554" t="s">
        <v>20</v>
      </c>
      <c r="G2554" t="s">
        <v>21</v>
      </c>
      <c r="H2554" t="str">
        <f>"BME201802138272"</f>
        <v>BME201802138272</v>
      </c>
      <c r="I2554" t="str">
        <f>"INSURANCE"</f>
        <v>INSURANCE</v>
      </c>
    </row>
    <row r="2555" spans="1:9" x14ac:dyDescent="0.25">
      <c r="A2555" s="6">
        <v>43173</v>
      </c>
      <c r="B2555" t="s">
        <v>91</v>
      </c>
      <c r="C2555">
        <v>57075</v>
      </c>
      <c r="D2555" t="s">
        <v>97</v>
      </c>
      <c r="E2555" s="7">
        <v>932.68</v>
      </c>
      <c r="F2555" t="s">
        <v>20</v>
      </c>
      <c r="G2555" t="s">
        <v>93</v>
      </c>
      <c r="H2555" t="str">
        <f>"CHECK"</f>
        <v>CHECK</v>
      </c>
      <c r="I2555" t="str">
        <f>""</f>
        <v/>
      </c>
    </row>
    <row r="2556" spans="1:9" x14ac:dyDescent="0.25">
      <c r="A2556" s="6">
        <v>43173</v>
      </c>
      <c r="B2556" t="s">
        <v>26</v>
      </c>
      <c r="C2556">
        <v>57076</v>
      </c>
      <c r="D2556" t="s">
        <v>98</v>
      </c>
      <c r="E2556" s="7">
        <v>2840.95</v>
      </c>
      <c r="F2556" t="s">
        <v>20</v>
      </c>
      <c r="G2556" t="s">
        <v>329</v>
      </c>
      <c r="H2556" t="str">
        <f>"2/2018"</f>
        <v>2/2018</v>
      </c>
      <c r="I2556" t="str">
        <f>"DEARBORN NATIONAL"</f>
        <v>DEARBORN NATIONAL</v>
      </c>
    </row>
    <row r="2557" spans="1:9" x14ac:dyDescent="0.25">
      <c r="E2557" s="7"/>
      <c r="F2557" t="s">
        <v>20</v>
      </c>
      <c r="G2557" t="s">
        <v>21</v>
      </c>
      <c r="H2557" t="str">
        <f>"STD201802138272"</f>
        <v>STD201802138272</v>
      </c>
      <c r="I2557" t="str">
        <f>"SHORT TERM DISABILITY"</f>
        <v>SHORT TERM DISABILITY</v>
      </c>
    </row>
    <row r="2558" spans="1:9" x14ac:dyDescent="0.25">
      <c r="E2558" s="7"/>
      <c r="F2558" t="s">
        <v>20</v>
      </c>
      <c r="G2558" t="s">
        <v>21</v>
      </c>
      <c r="H2558" t="str">
        <f>"STD201802288290"</f>
        <v>STD201802288290</v>
      </c>
      <c r="I2558" t="str">
        <f>"SHORT TERM DISABILITY"</f>
        <v>SHORT TERM DISABILITY</v>
      </c>
    </row>
    <row r="2559" spans="1:9" x14ac:dyDescent="0.25">
      <c r="E2559" s="7"/>
      <c r="F2559" t="s">
        <v>20</v>
      </c>
      <c r="G2559" t="s">
        <v>21</v>
      </c>
      <c r="H2559" t="str">
        <f>"VLC201802138272"</f>
        <v>VLC201802138272</v>
      </c>
      <c r="I2559" t="str">
        <f>"CHILD LIFE INSURANCE"</f>
        <v>CHILD LIFE INSURANCE</v>
      </c>
    </row>
    <row r="2560" spans="1:9" x14ac:dyDescent="0.25">
      <c r="E2560" s="7"/>
      <c r="F2560" t="s">
        <v>20</v>
      </c>
      <c r="G2560" t="s">
        <v>21</v>
      </c>
      <c r="H2560" t="str">
        <f>"VLS201802138272"</f>
        <v>VLS201802138272</v>
      </c>
      <c r="I2560" t="str">
        <f>"SPOUSE LIFE"</f>
        <v>SPOUSE LIFE</v>
      </c>
    </row>
    <row r="2561" spans="1:9" x14ac:dyDescent="0.25">
      <c r="E2561" s="7"/>
      <c r="F2561" t="s">
        <v>20</v>
      </c>
      <c r="G2561" t="s">
        <v>21</v>
      </c>
      <c r="H2561" t="str">
        <f>"VOE201802138272"</f>
        <v>VOE201802138272</v>
      </c>
      <c r="I2561" t="str">
        <f>"EMPLOYEE LIFE"</f>
        <v>EMPLOYEE LIFE</v>
      </c>
    </row>
    <row r="2562" spans="1:9" x14ac:dyDescent="0.25">
      <c r="E2562" s="7"/>
      <c r="F2562" t="s">
        <v>20</v>
      </c>
      <c r="G2562" t="s">
        <v>21</v>
      </c>
      <c r="H2562" t="str">
        <f>"VOL201802138272"</f>
        <v>VOL201802138272</v>
      </c>
      <c r="I2562" t="str">
        <f>"LIFE"</f>
        <v>LIFE</v>
      </c>
    </row>
    <row r="2563" spans="1:9" x14ac:dyDescent="0.25">
      <c r="A2563" s="6">
        <v>43173</v>
      </c>
      <c r="B2563" t="s">
        <v>26</v>
      </c>
      <c r="C2563">
        <v>57083</v>
      </c>
      <c r="D2563" t="s">
        <v>99</v>
      </c>
      <c r="E2563" s="7">
        <v>674.08</v>
      </c>
      <c r="F2563" t="s">
        <v>20</v>
      </c>
      <c r="G2563" t="s">
        <v>329</v>
      </c>
      <c r="H2563" t="str">
        <f>"201803148300"</f>
        <v>201803148300</v>
      </c>
      <c r="I2563" t="str">
        <f>"VISION SERVICE PLAN"</f>
        <v>VISION SERVICE PLAN</v>
      </c>
    </row>
    <row r="2564" spans="1:9" x14ac:dyDescent="0.25">
      <c r="E2564" s="7"/>
      <c r="F2564" t="s">
        <v>20</v>
      </c>
      <c r="G2564" t="s">
        <v>21</v>
      </c>
      <c r="H2564" t="str">
        <f>"VIS201802138272"</f>
        <v>VIS201802138272</v>
      </c>
      <c r="I2564" t="str">
        <f>"VISION INSURANCE"</f>
        <v>VISION INSURANCE</v>
      </c>
    </row>
    <row r="2565" spans="1:9" x14ac:dyDescent="0.25">
      <c r="A2565" s="6">
        <v>43173</v>
      </c>
      <c r="B2565" t="s">
        <v>26</v>
      </c>
      <c r="C2565">
        <v>57084</v>
      </c>
      <c r="D2565" t="s">
        <v>221</v>
      </c>
      <c r="E2565" s="7">
        <v>41581.97</v>
      </c>
      <c r="F2565" t="s">
        <v>20</v>
      </c>
      <c r="G2565" t="s">
        <v>329</v>
      </c>
      <c r="H2565" t="str">
        <f>"C471803A"</f>
        <v>C471803A</v>
      </c>
      <c r="I2565" t="str">
        <f>"TML MULTISTATE INTERGOVERNMENT"</f>
        <v>TML MULTISTATE INTERGOVERNMENT</v>
      </c>
    </row>
    <row r="2566" spans="1:9" x14ac:dyDescent="0.25">
      <c r="E2566" s="7"/>
      <c r="F2566" t="s">
        <v>20</v>
      </c>
      <c r="G2566" t="s">
        <v>21</v>
      </c>
      <c r="H2566" t="str">
        <f>"MED201802138272"</f>
        <v>MED201802138272</v>
      </c>
      <c r="I2566" t="str">
        <f>"INSURANCE"</f>
        <v>INSURANCE</v>
      </c>
    </row>
    <row r="2567" spans="1:9" x14ac:dyDescent="0.25">
      <c r="A2567" s="6">
        <v>43173</v>
      </c>
      <c r="B2567" t="s">
        <v>26</v>
      </c>
      <c r="C2567">
        <v>57087</v>
      </c>
      <c r="D2567" t="s">
        <v>102</v>
      </c>
      <c r="E2567" s="7">
        <v>441.32</v>
      </c>
      <c r="F2567" t="s">
        <v>20</v>
      </c>
      <c r="G2567" t="s">
        <v>21</v>
      </c>
      <c r="H2567" t="str">
        <f>"201803148303"</f>
        <v>201803148303</v>
      </c>
      <c r="I2567" t="str">
        <f>"CENTERPOINT ENERGY ENTEX"</f>
        <v>CENTERPOINT ENERGY ENTEX</v>
      </c>
    </row>
    <row r="2568" spans="1:9" x14ac:dyDescent="0.25">
      <c r="E2568" s="7"/>
      <c r="F2568" t="s">
        <v>20</v>
      </c>
      <c r="G2568" t="s">
        <v>21</v>
      </c>
      <c r="H2568" t="str">
        <f>"201803148304"</f>
        <v>201803148304</v>
      </c>
      <c r="I2568" t="str">
        <f>"CENTERPOINT ENERGY ENTEX"</f>
        <v>CENTERPOINT ENERGY ENTEX</v>
      </c>
    </row>
    <row r="2569" spans="1:9" x14ac:dyDescent="0.25">
      <c r="E2569" s="7"/>
      <c r="F2569" t="s">
        <v>20</v>
      </c>
      <c r="G2569" t="s">
        <v>21</v>
      </c>
      <c r="H2569" t="str">
        <f>"201803148305"</f>
        <v>201803148305</v>
      </c>
      <c r="I2569" t="str">
        <f>"CENTERPOINT ENERGY ENTEX"</f>
        <v>CENTERPOINT ENERGY ENTEX</v>
      </c>
    </row>
    <row r="2570" spans="1:9" x14ac:dyDescent="0.25">
      <c r="E2570" s="7"/>
      <c r="F2570" t="s">
        <v>20</v>
      </c>
      <c r="G2570" t="s">
        <v>21</v>
      </c>
      <c r="H2570" t="str">
        <f>"201803148306"</f>
        <v>201803148306</v>
      </c>
      <c r="I2570" t="str">
        <f>"CENTERPOINT ENERGY ENTEX"</f>
        <v>CENTERPOINT ENERGY ENTEX</v>
      </c>
    </row>
    <row r="2571" spans="1:9" x14ac:dyDescent="0.25">
      <c r="A2571" s="6">
        <v>43173</v>
      </c>
      <c r="B2571" t="s">
        <v>26</v>
      </c>
      <c r="C2571">
        <v>57088</v>
      </c>
      <c r="D2571" t="s">
        <v>103</v>
      </c>
      <c r="E2571" s="7">
        <v>141545.64000000001</v>
      </c>
      <c r="F2571" t="s">
        <v>20</v>
      </c>
      <c r="G2571" t="s">
        <v>21</v>
      </c>
      <c r="H2571" t="str">
        <f>"FEB/MARCH TAX"</f>
        <v>FEB/MARCH TAX</v>
      </c>
      <c r="I2571" t="str">
        <f>"F. E. D. C."</f>
        <v>F. E. D. C.</v>
      </c>
    </row>
    <row r="2572" spans="1:9" x14ac:dyDescent="0.25">
      <c r="A2572" s="6">
        <v>43173</v>
      </c>
      <c r="B2572" t="s">
        <v>26</v>
      </c>
      <c r="C2572">
        <v>57089</v>
      </c>
      <c r="D2572" t="s">
        <v>58</v>
      </c>
      <c r="E2572" s="7">
        <v>357.68</v>
      </c>
      <c r="F2572" t="s">
        <v>20</v>
      </c>
      <c r="G2572" t="s">
        <v>21</v>
      </c>
      <c r="H2572" t="str">
        <f>"522393"</f>
        <v>522393</v>
      </c>
      <c r="I2572" t="str">
        <f t="shared" ref="I2572:I2580" si="49">"DEASON ANIMAL HOSPITAL"</f>
        <v>DEASON ANIMAL HOSPITAL</v>
      </c>
    </row>
    <row r="2573" spans="1:9" x14ac:dyDescent="0.25">
      <c r="E2573" s="7"/>
      <c r="F2573" t="s">
        <v>20</v>
      </c>
      <c r="G2573" t="s">
        <v>21</v>
      </c>
      <c r="H2573" t="str">
        <f>"523343"</f>
        <v>523343</v>
      </c>
      <c r="I2573" t="str">
        <f t="shared" si="49"/>
        <v>DEASON ANIMAL HOSPITAL</v>
      </c>
    </row>
    <row r="2574" spans="1:9" x14ac:dyDescent="0.25">
      <c r="E2574" s="7"/>
      <c r="F2574" t="s">
        <v>20</v>
      </c>
      <c r="G2574" t="s">
        <v>21</v>
      </c>
      <c r="H2574" t="str">
        <f>"523355"</f>
        <v>523355</v>
      </c>
      <c r="I2574" t="str">
        <f t="shared" si="49"/>
        <v>DEASON ANIMAL HOSPITAL</v>
      </c>
    </row>
    <row r="2575" spans="1:9" x14ac:dyDescent="0.25">
      <c r="E2575" s="7"/>
      <c r="F2575" t="s">
        <v>20</v>
      </c>
      <c r="G2575" t="s">
        <v>21</v>
      </c>
      <c r="H2575" t="str">
        <f>"523617"</f>
        <v>523617</v>
      </c>
      <c r="I2575" t="str">
        <f t="shared" si="49"/>
        <v>DEASON ANIMAL HOSPITAL</v>
      </c>
    </row>
    <row r="2576" spans="1:9" x14ac:dyDescent="0.25">
      <c r="E2576" s="7"/>
      <c r="F2576" t="s">
        <v>20</v>
      </c>
      <c r="G2576" t="s">
        <v>21</v>
      </c>
      <c r="H2576" t="str">
        <f>"523789"</f>
        <v>523789</v>
      </c>
      <c r="I2576" t="str">
        <f t="shared" si="49"/>
        <v>DEASON ANIMAL HOSPITAL</v>
      </c>
    </row>
    <row r="2577" spans="1:9" x14ac:dyDescent="0.25">
      <c r="E2577" s="7"/>
      <c r="F2577" t="s">
        <v>20</v>
      </c>
      <c r="G2577" t="s">
        <v>21</v>
      </c>
      <c r="H2577" t="str">
        <f>"524062"</f>
        <v>524062</v>
      </c>
      <c r="I2577" t="str">
        <f t="shared" si="49"/>
        <v>DEASON ANIMAL HOSPITAL</v>
      </c>
    </row>
    <row r="2578" spans="1:9" x14ac:dyDescent="0.25">
      <c r="E2578" s="7"/>
      <c r="F2578" t="s">
        <v>20</v>
      </c>
      <c r="G2578" t="s">
        <v>21</v>
      </c>
      <c r="H2578" t="str">
        <f>"524344"</f>
        <v>524344</v>
      </c>
      <c r="I2578" t="str">
        <f t="shared" si="49"/>
        <v>DEASON ANIMAL HOSPITAL</v>
      </c>
    </row>
    <row r="2579" spans="1:9" x14ac:dyDescent="0.25">
      <c r="E2579" s="7"/>
      <c r="F2579" t="s">
        <v>20</v>
      </c>
      <c r="G2579" t="s">
        <v>21</v>
      </c>
      <c r="H2579" t="str">
        <f>"524538"</f>
        <v>524538</v>
      </c>
      <c r="I2579" t="str">
        <f t="shared" si="49"/>
        <v>DEASON ANIMAL HOSPITAL</v>
      </c>
    </row>
    <row r="2580" spans="1:9" x14ac:dyDescent="0.25">
      <c r="E2580" s="7"/>
      <c r="F2580" t="s">
        <v>20</v>
      </c>
      <c r="G2580" t="s">
        <v>21</v>
      </c>
      <c r="H2580" t="str">
        <f>"524715"</f>
        <v>524715</v>
      </c>
      <c r="I2580" t="str">
        <f t="shared" si="49"/>
        <v>DEASON ANIMAL HOSPITAL</v>
      </c>
    </row>
    <row r="2581" spans="1:9" x14ac:dyDescent="0.25">
      <c r="A2581" s="6">
        <v>43173</v>
      </c>
      <c r="B2581" t="s">
        <v>26</v>
      </c>
      <c r="C2581">
        <v>57091</v>
      </c>
      <c r="D2581" t="s">
        <v>104</v>
      </c>
      <c r="E2581" s="7">
        <v>2024.65</v>
      </c>
      <c r="F2581" t="s">
        <v>20</v>
      </c>
      <c r="G2581" t="s">
        <v>21</v>
      </c>
      <c r="H2581" t="str">
        <f>"2.28.18"</f>
        <v>2.28.18</v>
      </c>
      <c r="I2581" t="str">
        <f>"WILSON COUNTY NEWS"</f>
        <v>WILSON COUNTY NEWS</v>
      </c>
    </row>
    <row r="2582" spans="1:9" x14ac:dyDescent="0.25">
      <c r="E2582" s="7"/>
      <c r="F2582" t="s">
        <v>20</v>
      </c>
      <c r="G2582" t="s">
        <v>21</v>
      </c>
      <c r="H2582" t="str">
        <f>"2.28.2018"</f>
        <v>2.28.2018</v>
      </c>
      <c r="I2582" t="str">
        <f>"WILSON COUNTY NEWS"</f>
        <v>WILSON COUNTY NEWS</v>
      </c>
    </row>
    <row r="2583" spans="1:9" x14ac:dyDescent="0.25">
      <c r="A2583" s="6">
        <v>43173</v>
      </c>
      <c r="B2583" t="s">
        <v>26</v>
      </c>
      <c r="C2583">
        <v>57092</v>
      </c>
      <c r="D2583" t="s">
        <v>180</v>
      </c>
      <c r="E2583" s="7">
        <v>132.86000000000001</v>
      </c>
      <c r="F2583" t="s">
        <v>20</v>
      </c>
      <c r="G2583" t="s">
        <v>21</v>
      </c>
      <c r="H2583" t="str">
        <f>"30123074"</f>
        <v>30123074</v>
      </c>
      <c r="I2583" t="str">
        <f>"DITTMAR LUMBER CO."</f>
        <v>DITTMAR LUMBER CO.</v>
      </c>
    </row>
    <row r="2584" spans="1:9" x14ac:dyDescent="0.25">
      <c r="A2584" s="6">
        <v>43173</v>
      </c>
      <c r="B2584" t="s">
        <v>26</v>
      </c>
      <c r="C2584">
        <v>57093</v>
      </c>
      <c r="D2584" t="s">
        <v>240</v>
      </c>
      <c r="E2584" s="7">
        <v>1882.14</v>
      </c>
      <c r="F2584" t="s">
        <v>20</v>
      </c>
      <c r="G2584" t="s">
        <v>21</v>
      </c>
      <c r="H2584" t="str">
        <f>"0140796-IN"</f>
        <v>0140796-IN</v>
      </c>
      <c r="I2584" t="str">
        <f t="shared" ref="I2584:I2592" si="50">"NARDIS PUBLIC SAFETY"</f>
        <v>NARDIS PUBLIC SAFETY</v>
      </c>
    </row>
    <row r="2585" spans="1:9" x14ac:dyDescent="0.25">
      <c r="E2585" s="7"/>
      <c r="F2585" t="s">
        <v>20</v>
      </c>
      <c r="G2585" t="s">
        <v>21</v>
      </c>
      <c r="H2585" t="str">
        <f>"0140994-IN"</f>
        <v>0140994-IN</v>
      </c>
      <c r="I2585" t="str">
        <f t="shared" si="50"/>
        <v>NARDIS PUBLIC SAFETY</v>
      </c>
    </row>
    <row r="2586" spans="1:9" x14ac:dyDescent="0.25">
      <c r="E2586" s="7"/>
      <c r="F2586" t="s">
        <v>20</v>
      </c>
      <c r="G2586" t="s">
        <v>21</v>
      </c>
      <c r="H2586" t="str">
        <f>"0141004-IN"</f>
        <v>0141004-IN</v>
      </c>
      <c r="I2586" t="str">
        <f t="shared" si="50"/>
        <v>NARDIS PUBLIC SAFETY</v>
      </c>
    </row>
    <row r="2587" spans="1:9" x14ac:dyDescent="0.25">
      <c r="E2587" s="7"/>
      <c r="F2587" t="s">
        <v>20</v>
      </c>
      <c r="G2587" t="s">
        <v>21</v>
      </c>
      <c r="H2587" t="str">
        <f>"0141015-IN"</f>
        <v>0141015-IN</v>
      </c>
      <c r="I2587" t="str">
        <f t="shared" si="50"/>
        <v>NARDIS PUBLIC SAFETY</v>
      </c>
    </row>
    <row r="2588" spans="1:9" x14ac:dyDescent="0.25">
      <c r="E2588" s="7"/>
      <c r="F2588" t="s">
        <v>20</v>
      </c>
      <c r="G2588" t="s">
        <v>21</v>
      </c>
      <c r="H2588" t="str">
        <f>"0141406-IN"</f>
        <v>0141406-IN</v>
      </c>
      <c r="I2588" t="str">
        <f t="shared" si="50"/>
        <v>NARDIS PUBLIC SAFETY</v>
      </c>
    </row>
    <row r="2589" spans="1:9" x14ac:dyDescent="0.25">
      <c r="E2589" s="7"/>
      <c r="F2589" t="s">
        <v>20</v>
      </c>
      <c r="G2589" t="s">
        <v>21</v>
      </c>
      <c r="H2589" t="str">
        <f>"0141421-IN"</f>
        <v>0141421-IN</v>
      </c>
      <c r="I2589" t="str">
        <f t="shared" si="50"/>
        <v>NARDIS PUBLIC SAFETY</v>
      </c>
    </row>
    <row r="2590" spans="1:9" x14ac:dyDescent="0.25">
      <c r="E2590" s="7"/>
      <c r="F2590" t="s">
        <v>20</v>
      </c>
      <c r="G2590" t="s">
        <v>21</v>
      </c>
      <c r="H2590" t="str">
        <f>"0142249-IN"</f>
        <v>0142249-IN</v>
      </c>
      <c r="I2590" t="str">
        <f t="shared" si="50"/>
        <v>NARDIS PUBLIC SAFETY</v>
      </c>
    </row>
    <row r="2591" spans="1:9" x14ac:dyDescent="0.25">
      <c r="E2591" s="7"/>
      <c r="F2591" t="s">
        <v>20</v>
      </c>
      <c r="G2591" t="s">
        <v>21</v>
      </c>
      <c r="H2591" t="str">
        <f>"0142594-IN"</f>
        <v>0142594-IN</v>
      </c>
      <c r="I2591" t="str">
        <f t="shared" si="50"/>
        <v>NARDIS PUBLIC SAFETY</v>
      </c>
    </row>
    <row r="2592" spans="1:9" x14ac:dyDescent="0.25">
      <c r="E2592" s="7"/>
      <c r="F2592" t="s">
        <v>20</v>
      </c>
      <c r="G2592" t="s">
        <v>21</v>
      </c>
      <c r="H2592" t="str">
        <f>"0142599-IN"</f>
        <v>0142599-IN</v>
      </c>
      <c r="I2592" t="str">
        <f t="shared" si="50"/>
        <v>NARDIS PUBLIC SAFETY</v>
      </c>
    </row>
    <row r="2593" spans="1:9" x14ac:dyDescent="0.25">
      <c r="A2593" s="6">
        <v>43173</v>
      </c>
      <c r="B2593" t="s">
        <v>26</v>
      </c>
      <c r="C2593">
        <v>57095</v>
      </c>
      <c r="D2593" t="s">
        <v>167</v>
      </c>
      <c r="E2593" s="7">
        <v>360.22</v>
      </c>
      <c r="F2593" t="s">
        <v>20</v>
      </c>
      <c r="G2593" t="s">
        <v>21</v>
      </c>
      <c r="H2593" t="str">
        <f>"28079"</f>
        <v>28079</v>
      </c>
      <c r="I2593" t="str">
        <f>"DATA FLOW"</f>
        <v>DATA FLOW</v>
      </c>
    </row>
    <row r="2594" spans="1:9" x14ac:dyDescent="0.25">
      <c r="A2594" s="6">
        <v>43173</v>
      </c>
      <c r="B2594" t="s">
        <v>26</v>
      </c>
      <c r="C2594">
        <v>57096</v>
      </c>
      <c r="D2594" t="s">
        <v>248</v>
      </c>
      <c r="E2594" s="7">
        <v>266.35000000000002</v>
      </c>
      <c r="F2594" t="s">
        <v>20</v>
      </c>
      <c r="G2594" t="s">
        <v>21</v>
      </c>
      <c r="H2594" t="str">
        <f>"1006714751"</f>
        <v>1006714751</v>
      </c>
      <c r="I2594" t="str">
        <f>"PITNEY BOWES"</f>
        <v>PITNEY BOWES</v>
      </c>
    </row>
    <row r="2595" spans="1:9" x14ac:dyDescent="0.25">
      <c r="A2595" s="6">
        <v>43173</v>
      </c>
      <c r="B2595" t="s">
        <v>26</v>
      </c>
      <c r="C2595">
        <v>57097</v>
      </c>
      <c r="D2595" t="s">
        <v>330</v>
      </c>
      <c r="E2595" s="7">
        <v>7291.74</v>
      </c>
      <c r="F2595" t="s">
        <v>20</v>
      </c>
      <c r="G2595" t="s">
        <v>21</v>
      </c>
      <c r="H2595" t="str">
        <f>"NOTICE CP220"</f>
        <v>NOTICE CP220</v>
      </c>
      <c r="I2595" t="str">
        <f>"INTERNAL REVENUE SERVICE"</f>
        <v>INTERNAL REVENUE SERVICE</v>
      </c>
    </row>
    <row r="2596" spans="1:9" x14ac:dyDescent="0.25">
      <c r="A2596" s="6">
        <v>43173</v>
      </c>
      <c r="B2596" t="s">
        <v>26</v>
      </c>
      <c r="C2596">
        <v>57099</v>
      </c>
      <c r="D2596" t="s">
        <v>159</v>
      </c>
      <c r="E2596" s="7">
        <v>4450.75</v>
      </c>
      <c r="F2596" t="s">
        <v>20</v>
      </c>
      <c r="G2596" t="s">
        <v>21</v>
      </c>
      <c r="H2596" t="str">
        <f>"37635"</f>
        <v>37635</v>
      </c>
      <c r="I2596" t="str">
        <f>"PHOTOGRAPHS BY JIM"</f>
        <v>PHOTOGRAPHS BY JIM</v>
      </c>
    </row>
    <row r="2597" spans="1:9" x14ac:dyDescent="0.25">
      <c r="E2597" s="7"/>
      <c r="F2597" t="s">
        <v>20</v>
      </c>
      <c r="G2597" t="s">
        <v>21</v>
      </c>
      <c r="H2597" t="str">
        <f>"37639"</f>
        <v>37639</v>
      </c>
      <c r="I2597" t="str">
        <f>"PHOTOGRAPHS BY JIM"</f>
        <v>PHOTOGRAPHS BY JIM</v>
      </c>
    </row>
    <row r="2598" spans="1:9" x14ac:dyDescent="0.25">
      <c r="A2598" s="6">
        <v>43173</v>
      </c>
      <c r="B2598" t="s">
        <v>26</v>
      </c>
      <c r="C2598">
        <v>57100</v>
      </c>
      <c r="D2598" t="s">
        <v>70</v>
      </c>
      <c r="E2598" s="7">
        <v>72.95</v>
      </c>
      <c r="F2598" t="s">
        <v>20</v>
      </c>
      <c r="G2598" t="s">
        <v>21</v>
      </c>
      <c r="H2598" t="str">
        <f>"A971014"</f>
        <v>A971014</v>
      </c>
      <c r="I2598" t="str">
        <f>"TEXAS WIRED MUSIC  INC."</f>
        <v>TEXAS WIRED MUSIC  INC.</v>
      </c>
    </row>
    <row r="2599" spans="1:9" x14ac:dyDescent="0.25">
      <c r="A2599" s="6">
        <v>43173</v>
      </c>
      <c r="B2599" t="s">
        <v>26</v>
      </c>
      <c r="C2599">
        <v>57101</v>
      </c>
      <c r="D2599" t="s">
        <v>71</v>
      </c>
      <c r="E2599" s="7">
        <v>191.29</v>
      </c>
      <c r="F2599" t="s">
        <v>20</v>
      </c>
      <c r="G2599" t="s">
        <v>21</v>
      </c>
      <c r="H2599" t="str">
        <f>"087849069"</f>
        <v>087849069</v>
      </c>
      <c r="I2599" t="str">
        <f>"CINTAS CORPORATION #087"</f>
        <v>CINTAS CORPORATION #087</v>
      </c>
    </row>
    <row r="2600" spans="1:9" x14ac:dyDescent="0.25">
      <c r="A2600" s="6">
        <v>43173</v>
      </c>
      <c r="B2600" t="s">
        <v>26</v>
      </c>
      <c r="C2600">
        <v>57102</v>
      </c>
      <c r="D2600" t="s">
        <v>74</v>
      </c>
      <c r="E2600" s="7">
        <v>3429.21</v>
      </c>
      <c r="F2600" t="s">
        <v>20</v>
      </c>
      <c r="G2600" t="s">
        <v>21</v>
      </c>
      <c r="H2600" t="str">
        <f>"9802297030"</f>
        <v>9802297030</v>
      </c>
      <c r="I2600" t="str">
        <f>"VERIZON WIRELESS"</f>
        <v>VERIZON WIRELESS</v>
      </c>
    </row>
    <row r="2601" spans="1:9" x14ac:dyDescent="0.25">
      <c r="E2601" s="7"/>
      <c r="F2601" t="s">
        <v>20</v>
      </c>
      <c r="G2601" t="s">
        <v>21</v>
      </c>
      <c r="H2601" t="str">
        <f>"9802297031"</f>
        <v>9802297031</v>
      </c>
      <c r="I2601" t="str">
        <f>"VERIZON WIRELESS"</f>
        <v>VERIZON WIRELESS</v>
      </c>
    </row>
    <row r="2602" spans="1:9" x14ac:dyDescent="0.25">
      <c r="A2602" s="6">
        <v>43173</v>
      </c>
      <c r="B2602" t="s">
        <v>26</v>
      </c>
      <c r="C2602">
        <v>57104</v>
      </c>
      <c r="D2602" t="s">
        <v>124</v>
      </c>
      <c r="E2602" s="7">
        <v>155.94</v>
      </c>
      <c r="F2602" t="s">
        <v>20</v>
      </c>
      <c r="G2602" t="s">
        <v>21</v>
      </c>
      <c r="H2602" t="str">
        <f>"11156673"</f>
        <v>11156673</v>
      </c>
      <c r="I2602" t="str">
        <f>"MCCOY'S CORPORATION"</f>
        <v>MCCOY'S CORPORATION</v>
      </c>
    </row>
    <row r="2603" spans="1:9" x14ac:dyDescent="0.25">
      <c r="A2603" s="6">
        <v>43173</v>
      </c>
      <c r="B2603" t="s">
        <v>26</v>
      </c>
      <c r="C2603">
        <v>57105</v>
      </c>
      <c r="D2603" t="s">
        <v>125</v>
      </c>
      <c r="E2603" s="7">
        <v>5000</v>
      </c>
      <c r="F2603" t="s">
        <v>20</v>
      </c>
      <c r="G2603" t="s">
        <v>21</v>
      </c>
      <c r="H2603" t="str">
        <f>"17-0149"</f>
        <v>17-0149</v>
      </c>
      <c r="I2603" t="str">
        <f>"INTREPID SURVEYING CORPORATION"</f>
        <v>INTREPID SURVEYING CORPORATION</v>
      </c>
    </row>
    <row r="2604" spans="1:9" x14ac:dyDescent="0.25">
      <c r="E2604" s="7"/>
      <c r="F2604" t="s">
        <v>20</v>
      </c>
      <c r="G2604" t="s">
        <v>21</v>
      </c>
      <c r="H2604" t="str">
        <f>"18-0143"</f>
        <v>18-0143</v>
      </c>
      <c r="I2604" t="str">
        <f>"INTREPID SURVEYING CORPORATION"</f>
        <v>INTREPID SURVEYING CORPORATION</v>
      </c>
    </row>
    <row r="2605" spans="1:9" x14ac:dyDescent="0.25">
      <c r="A2605" s="6">
        <v>43173</v>
      </c>
      <c r="B2605" t="s">
        <v>26</v>
      </c>
      <c r="C2605">
        <v>57106</v>
      </c>
      <c r="D2605" t="s">
        <v>157</v>
      </c>
      <c r="E2605" s="7">
        <v>351.9</v>
      </c>
      <c r="F2605" t="s">
        <v>20</v>
      </c>
      <c r="G2605" t="s">
        <v>21</v>
      </c>
      <c r="H2605" t="str">
        <f>"3/14/18"</f>
        <v>3/14/18</v>
      </c>
      <c r="I2605" t="str">
        <f>"GLAZIERS"</f>
        <v>GLAZIERS</v>
      </c>
    </row>
    <row r="2606" spans="1:9" x14ac:dyDescent="0.25">
      <c r="A2606" s="6">
        <v>43173</v>
      </c>
      <c r="B2606" t="s">
        <v>26</v>
      </c>
      <c r="C2606">
        <v>57107</v>
      </c>
      <c r="D2606" t="s">
        <v>126</v>
      </c>
      <c r="E2606" s="7">
        <v>77140.100000000006</v>
      </c>
      <c r="F2606" t="s">
        <v>20</v>
      </c>
      <c r="G2606" t="s">
        <v>21</v>
      </c>
      <c r="H2606" t="str">
        <f>"0859-002009354"</f>
        <v>0859-002009354</v>
      </c>
      <c r="I2606" t="str">
        <f>"REPUBLIC SERVICES #859"</f>
        <v>REPUBLIC SERVICES #859</v>
      </c>
    </row>
    <row r="2607" spans="1:9" x14ac:dyDescent="0.25">
      <c r="A2607" s="6">
        <v>43173</v>
      </c>
      <c r="B2607" t="s">
        <v>26</v>
      </c>
      <c r="C2607">
        <v>57108</v>
      </c>
      <c r="D2607" t="s">
        <v>79</v>
      </c>
      <c r="E2607" s="7">
        <v>21.96</v>
      </c>
      <c r="F2607" t="s">
        <v>20</v>
      </c>
      <c r="G2607" t="s">
        <v>21</v>
      </c>
      <c r="H2607" t="str">
        <f>"6-104-48747"</f>
        <v>6-104-48747</v>
      </c>
      <c r="I2607" t="str">
        <f>"FEDEX"</f>
        <v>FEDEX</v>
      </c>
    </row>
    <row r="2608" spans="1:9" x14ac:dyDescent="0.25">
      <c r="A2608" s="6">
        <v>43173</v>
      </c>
      <c r="B2608" t="s">
        <v>26</v>
      </c>
      <c r="C2608">
        <v>57109</v>
      </c>
      <c r="D2608" t="s">
        <v>207</v>
      </c>
      <c r="E2608" s="7">
        <v>905</v>
      </c>
      <c r="F2608" t="s">
        <v>20</v>
      </c>
      <c r="G2608" t="s">
        <v>21</v>
      </c>
      <c r="H2608" t="str">
        <f>"4786"</f>
        <v>4786</v>
      </c>
      <c r="I2608" t="str">
        <f>"MAD DESIGNS"</f>
        <v>MAD DESIGNS</v>
      </c>
    </row>
    <row r="2609" spans="1:9" x14ac:dyDescent="0.25">
      <c r="A2609" s="6">
        <v>43173</v>
      </c>
      <c r="B2609" t="s">
        <v>26</v>
      </c>
      <c r="C2609">
        <v>57110</v>
      </c>
      <c r="D2609" t="s">
        <v>128</v>
      </c>
      <c r="E2609" s="7">
        <v>34.159999999999997</v>
      </c>
      <c r="F2609" t="s">
        <v>20</v>
      </c>
      <c r="G2609" t="s">
        <v>21</v>
      </c>
      <c r="H2609" t="str">
        <f>"GFOAT MTG"</f>
        <v>GFOAT MTG</v>
      </c>
      <c r="I2609" t="str">
        <f>"HELEN S. MARTINEZ"</f>
        <v>HELEN S. MARTINEZ</v>
      </c>
    </row>
    <row r="2610" spans="1:9" x14ac:dyDescent="0.25">
      <c r="A2610" s="6">
        <v>43173</v>
      </c>
      <c r="B2610" t="s">
        <v>26</v>
      </c>
      <c r="C2610">
        <v>57111</v>
      </c>
      <c r="D2610" t="s">
        <v>308</v>
      </c>
      <c r="E2610" s="7">
        <v>205.25</v>
      </c>
      <c r="F2610" t="s">
        <v>20</v>
      </c>
      <c r="G2610" t="s">
        <v>21</v>
      </c>
      <c r="H2610" t="str">
        <f>"TRNG 3/20-22"</f>
        <v>TRNG 3/20-22</v>
      </c>
      <c r="I2610" t="str">
        <f>"JOHNNY VILLARREAL"</f>
        <v>JOHNNY VILLARREAL</v>
      </c>
    </row>
    <row r="2611" spans="1:9" x14ac:dyDescent="0.25">
      <c r="A2611" s="6">
        <v>43173</v>
      </c>
      <c r="B2611" t="s">
        <v>26</v>
      </c>
      <c r="C2611">
        <v>57112</v>
      </c>
      <c r="D2611" t="s">
        <v>82</v>
      </c>
      <c r="E2611" s="7">
        <v>958.09</v>
      </c>
      <c r="F2611" t="s">
        <v>20</v>
      </c>
      <c r="G2611" t="s">
        <v>21</v>
      </c>
      <c r="H2611" t="str">
        <f>"SI-1018266"</f>
        <v>SI-1018266</v>
      </c>
      <c r="I2611" t="str">
        <f>"BASS COMPUTER  INC."</f>
        <v>BASS COMPUTER  INC.</v>
      </c>
    </row>
    <row r="2612" spans="1:9" x14ac:dyDescent="0.25">
      <c r="E2612" s="7"/>
      <c r="F2612" t="s">
        <v>20</v>
      </c>
      <c r="G2612" t="s">
        <v>21</v>
      </c>
      <c r="H2612" t="str">
        <f>"SI-1020435"</f>
        <v>SI-1020435</v>
      </c>
      <c r="I2612" t="str">
        <f>"BASS COMPUTER  INC."</f>
        <v>BASS COMPUTER  INC.</v>
      </c>
    </row>
    <row r="2613" spans="1:9" x14ac:dyDescent="0.25">
      <c r="A2613" s="6">
        <v>43173</v>
      </c>
      <c r="B2613" t="s">
        <v>26</v>
      </c>
      <c r="C2613">
        <v>57113</v>
      </c>
      <c r="D2613" t="s">
        <v>84</v>
      </c>
      <c r="E2613" s="7">
        <v>16779.8</v>
      </c>
      <c r="F2613" t="s">
        <v>20</v>
      </c>
      <c r="G2613" t="s">
        <v>21</v>
      </c>
      <c r="H2613" t="str">
        <f>"1322431"</f>
        <v>1322431</v>
      </c>
      <c r="I2613" t="str">
        <f>"STANTEC CONSULTING SERVICES IN"</f>
        <v>STANTEC CONSULTING SERVICES IN</v>
      </c>
    </row>
    <row r="2614" spans="1:9" x14ac:dyDescent="0.25">
      <c r="A2614" s="6">
        <v>43173</v>
      </c>
      <c r="B2614" t="s">
        <v>26</v>
      </c>
      <c r="C2614">
        <v>57114</v>
      </c>
      <c r="D2614" t="s">
        <v>257</v>
      </c>
      <c r="E2614" s="7">
        <v>3060</v>
      </c>
      <c r="F2614" t="s">
        <v>20</v>
      </c>
      <c r="G2614" t="s">
        <v>21</v>
      </c>
      <c r="H2614" t="str">
        <f>"1175733"</f>
        <v>1175733</v>
      </c>
      <c r="I2614" t="str">
        <f>"RAIN FOR RENT"</f>
        <v>RAIN FOR RENT</v>
      </c>
    </row>
    <row r="2615" spans="1:9" x14ac:dyDescent="0.25">
      <c r="A2615" s="6">
        <v>43173</v>
      </c>
      <c r="B2615" t="s">
        <v>26</v>
      </c>
      <c r="C2615">
        <v>57115</v>
      </c>
      <c r="D2615" t="s">
        <v>85</v>
      </c>
      <c r="E2615" s="7">
        <v>595.91999999999996</v>
      </c>
      <c r="F2615" t="s">
        <v>20</v>
      </c>
      <c r="G2615" t="s">
        <v>21</v>
      </c>
      <c r="H2615" t="str">
        <f>"201803148301"</f>
        <v>201803148301</v>
      </c>
      <c r="I2615" t="str">
        <f>"FRONTIER"</f>
        <v>FRONTIER</v>
      </c>
    </row>
    <row r="2616" spans="1:9" x14ac:dyDescent="0.25">
      <c r="E2616" s="7"/>
      <c r="F2616" t="s">
        <v>20</v>
      </c>
      <c r="G2616" t="s">
        <v>21</v>
      </c>
      <c r="H2616" t="str">
        <f>"201803148302"</f>
        <v>201803148302</v>
      </c>
      <c r="I2616" t="str">
        <f>"FRONTIER"</f>
        <v>FRONTIER</v>
      </c>
    </row>
    <row r="2617" spans="1:9" x14ac:dyDescent="0.25">
      <c r="E2617" s="7"/>
      <c r="F2617" t="s">
        <v>20</v>
      </c>
      <c r="G2617" t="s">
        <v>21</v>
      </c>
      <c r="H2617" t="str">
        <f>"201803148307"</f>
        <v>201803148307</v>
      </c>
      <c r="I2617" t="str">
        <f>"FRONTIER"</f>
        <v>FRONTIER</v>
      </c>
    </row>
    <row r="2618" spans="1:9" x14ac:dyDescent="0.25">
      <c r="A2618" s="6">
        <v>43173</v>
      </c>
      <c r="B2618" t="s">
        <v>26</v>
      </c>
      <c r="C2618">
        <v>57116</v>
      </c>
      <c r="D2618" t="s">
        <v>331</v>
      </c>
      <c r="E2618" s="7">
        <v>500</v>
      </c>
      <c r="F2618" t="s">
        <v>20</v>
      </c>
      <c r="G2618" t="s">
        <v>21</v>
      </c>
      <c r="H2618" t="str">
        <f>"ST PATTY EVENT"</f>
        <v>ST PATTY EVENT</v>
      </c>
      <c r="I2618" t="str">
        <f>"RENE SILVA"</f>
        <v>RENE SILVA</v>
      </c>
    </row>
    <row r="2619" spans="1:9" x14ac:dyDescent="0.25">
      <c r="A2619" s="6">
        <v>43173</v>
      </c>
      <c r="B2619" t="s">
        <v>26</v>
      </c>
      <c r="C2619">
        <v>57117</v>
      </c>
      <c r="D2619" t="s">
        <v>332</v>
      </c>
      <c r="E2619" s="7">
        <v>550</v>
      </c>
      <c r="F2619" t="s">
        <v>20</v>
      </c>
      <c r="G2619" t="s">
        <v>21</v>
      </c>
      <c r="H2619" t="str">
        <f>"03-5-2018"</f>
        <v>03-5-2018</v>
      </c>
      <c r="I2619" t="str">
        <f>"JESSE CASTRO"</f>
        <v>JESSE CASTRO</v>
      </c>
    </row>
    <row r="2620" spans="1:9" x14ac:dyDescent="0.25">
      <c r="A2620" s="6">
        <v>43173</v>
      </c>
      <c r="B2620" t="s">
        <v>26</v>
      </c>
      <c r="C2620">
        <v>57118</v>
      </c>
      <c r="D2620" t="s">
        <v>47</v>
      </c>
      <c r="E2620" s="7">
        <v>43348.14</v>
      </c>
      <c r="F2620" t="s">
        <v>20</v>
      </c>
      <c r="G2620" t="s">
        <v>21</v>
      </c>
      <c r="H2620" t="str">
        <f>"DRAW #14"</f>
        <v>DRAW #14</v>
      </c>
      <c r="I2620" t="str">
        <f>"HEARTLAND PARK &amp; RECREATION  L"</f>
        <v>HEARTLAND PARK &amp; RECREATION  L</v>
      </c>
    </row>
    <row r="2621" spans="1:9" x14ac:dyDescent="0.25">
      <c r="A2621" s="6">
        <v>43173</v>
      </c>
      <c r="B2621" t="s">
        <v>26</v>
      </c>
      <c r="C2621">
        <v>57119</v>
      </c>
      <c r="D2621" t="s">
        <v>176</v>
      </c>
      <c r="E2621" s="7">
        <v>500770.11</v>
      </c>
      <c r="F2621" t="s">
        <v>20</v>
      </c>
      <c r="G2621" t="s">
        <v>21</v>
      </c>
      <c r="H2621" t="str">
        <f>"PAY APP#15"</f>
        <v>PAY APP#15</v>
      </c>
      <c r="I2621" t="str">
        <f>"PEPPER-LAWSON WATERWORKS"</f>
        <v>PEPPER-LAWSON WATERWORKS</v>
      </c>
    </row>
    <row r="2622" spans="1:9" x14ac:dyDescent="0.25">
      <c r="A2622" s="6">
        <v>43173</v>
      </c>
      <c r="B2622" t="s">
        <v>26</v>
      </c>
      <c r="C2622">
        <v>57120</v>
      </c>
      <c r="D2622" t="s">
        <v>313</v>
      </c>
      <c r="E2622" s="7">
        <v>61728.800000000003</v>
      </c>
      <c r="F2622" t="s">
        <v>20</v>
      </c>
      <c r="G2622" t="s">
        <v>21</v>
      </c>
      <c r="H2622" t="str">
        <f>"994300446000001"</f>
        <v>994300446000001</v>
      </c>
      <c r="I2622" t="s">
        <v>267</v>
      </c>
    </row>
    <row r="2623" spans="1:9" x14ac:dyDescent="0.25">
      <c r="A2623" s="6">
        <v>43173</v>
      </c>
      <c r="B2623" t="s">
        <v>26</v>
      </c>
      <c r="C2623">
        <v>57121</v>
      </c>
      <c r="D2623" t="s">
        <v>219</v>
      </c>
      <c r="E2623" s="7">
        <v>3084.65</v>
      </c>
      <c r="F2623" t="s">
        <v>20</v>
      </c>
      <c r="G2623" t="s">
        <v>21</v>
      </c>
      <c r="H2623" t="str">
        <f>"PAY APP#5"</f>
        <v>PAY APP#5</v>
      </c>
      <c r="I2623" t="str">
        <f>"CCB COMMERCIAL CONTRACTING  LL"</f>
        <v>CCB COMMERCIAL CONTRACTING  LL</v>
      </c>
    </row>
    <row r="2624" spans="1:9" x14ac:dyDescent="0.25">
      <c r="A2624" s="6">
        <v>43173</v>
      </c>
      <c r="B2624" t="s">
        <v>26</v>
      </c>
      <c r="C2624">
        <v>57122</v>
      </c>
      <c r="D2624" t="s">
        <v>333</v>
      </c>
      <c r="E2624" s="7">
        <v>7991</v>
      </c>
      <c r="F2624" t="s">
        <v>20</v>
      </c>
      <c r="G2624" t="s">
        <v>21</v>
      </c>
      <c r="H2624" t="str">
        <f>"03-5-2018"</f>
        <v>03-5-2018</v>
      </c>
      <c r="I2624" t="str">
        <f>"MONICA ALMAGUER"</f>
        <v>MONICA ALMAGUER</v>
      </c>
    </row>
    <row r="2625" spans="1:9" x14ac:dyDescent="0.25">
      <c r="A2625" s="6">
        <v>43173</v>
      </c>
      <c r="B2625" t="s">
        <v>26</v>
      </c>
      <c r="C2625">
        <v>57123</v>
      </c>
      <c r="D2625" t="s">
        <v>334</v>
      </c>
      <c r="E2625" s="7">
        <v>300</v>
      </c>
      <c r="F2625" t="s">
        <v>20</v>
      </c>
      <c r="G2625" t="s">
        <v>21</v>
      </c>
      <c r="H2625" t="str">
        <f>"ST PATTY EVENT"</f>
        <v>ST PATTY EVENT</v>
      </c>
      <c r="I2625" t="str">
        <f>"MARIO R ORTIZ"</f>
        <v>MARIO R ORTIZ</v>
      </c>
    </row>
    <row r="2626" spans="1:9" x14ac:dyDescent="0.25">
      <c r="A2626" s="6">
        <v>43173</v>
      </c>
      <c r="B2626" t="s">
        <v>26</v>
      </c>
      <c r="C2626">
        <v>57132</v>
      </c>
      <c r="D2626" t="s">
        <v>158</v>
      </c>
      <c r="E2626" s="7">
        <v>550</v>
      </c>
      <c r="F2626" t="s">
        <v>20</v>
      </c>
      <c r="G2626" t="s">
        <v>21</v>
      </c>
      <c r="H2626" t="str">
        <f>"FIRST RESP EVENT"</f>
        <v>FIRST RESP EVENT</v>
      </c>
      <c r="I2626" t="str">
        <f>"GEORGE NICKLAS SILVA"</f>
        <v>GEORGE NICKLAS SILVA</v>
      </c>
    </row>
    <row r="2627" spans="1:9" x14ac:dyDescent="0.25">
      <c r="A2627" s="6">
        <v>43173</v>
      </c>
      <c r="B2627" t="s">
        <v>26</v>
      </c>
      <c r="C2627">
        <v>57133</v>
      </c>
      <c r="D2627" t="s">
        <v>51</v>
      </c>
      <c r="E2627" s="7">
        <v>327.84</v>
      </c>
      <c r="F2627" t="s">
        <v>20</v>
      </c>
      <c r="G2627" t="s">
        <v>21</v>
      </c>
      <c r="H2627" t="str">
        <f>"CLE201803148308"</f>
        <v>CLE201803148308</v>
      </c>
      <c r="I2627" t="str">
        <f>"CLEAT ONLY DUES"</f>
        <v>CLEAT ONLY DUES</v>
      </c>
    </row>
    <row r="2628" spans="1:9" x14ac:dyDescent="0.25">
      <c r="E2628" s="7"/>
      <c r="F2628" t="s">
        <v>20</v>
      </c>
      <c r="G2628" t="s">
        <v>21</v>
      </c>
      <c r="H2628" t="str">
        <f>"PDD201803148308"</f>
        <v>PDD201803148308</v>
      </c>
      <c r="I2628" t="str">
        <f>"POLICE OFFICERS ASSOC DUES"</f>
        <v>POLICE OFFICERS ASSOC DUES</v>
      </c>
    </row>
    <row r="2629" spans="1:9" x14ac:dyDescent="0.25">
      <c r="A2629" s="6">
        <v>43173</v>
      </c>
      <c r="B2629" t="s">
        <v>26</v>
      </c>
      <c r="C2629">
        <v>57134</v>
      </c>
      <c r="D2629" t="s">
        <v>90</v>
      </c>
      <c r="E2629" s="7">
        <v>114.96</v>
      </c>
      <c r="F2629" t="s">
        <v>20</v>
      </c>
      <c r="G2629" t="s">
        <v>21</v>
      </c>
      <c r="H2629" t="str">
        <f>"AFS201803148308"</f>
        <v>AFS201803148308</v>
      </c>
      <c r="I2629" t="str">
        <f>"AFLAC STD"</f>
        <v>AFLAC STD</v>
      </c>
    </row>
    <row r="2630" spans="1:9" x14ac:dyDescent="0.25">
      <c r="A2630" s="6">
        <v>43173</v>
      </c>
      <c r="B2630" t="s">
        <v>26</v>
      </c>
      <c r="C2630">
        <v>57135</v>
      </c>
      <c r="D2630" t="s">
        <v>52</v>
      </c>
      <c r="E2630" s="7">
        <v>1331.53</v>
      </c>
      <c r="F2630" t="s">
        <v>20</v>
      </c>
      <c r="G2630" t="s">
        <v>21</v>
      </c>
      <c r="H2630" t="str">
        <f>"CPS201803148308"</f>
        <v>CPS201803148308</v>
      </c>
      <c r="I2630" t="str">
        <f>"G MENDOZA 00123012032010EM5054"</f>
        <v>G MENDOZA 00123012032010EM5054</v>
      </c>
    </row>
    <row r="2631" spans="1:9" x14ac:dyDescent="0.25">
      <c r="E2631" s="7"/>
      <c r="F2631" t="s">
        <v>20</v>
      </c>
      <c r="G2631" t="s">
        <v>21</v>
      </c>
      <c r="H2631" t="str">
        <f>"CS 201803148308"</f>
        <v>CS 201803148308</v>
      </c>
      <c r="I2631" t="str">
        <f>"CAUSE#98EM504113 PEGGY RIVAS"</f>
        <v>CAUSE#98EM504113 PEGGY RIVAS</v>
      </c>
    </row>
    <row r="2632" spans="1:9" x14ac:dyDescent="0.25">
      <c r="E2632" s="7"/>
      <c r="F2632" t="s">
        <v>20</v>
      </c>
      <c r="G2632" t="s">
        <v>21</v>
      </c>
      <c r="H2632" t="str">
        <f>"CS1201803148308"</f>
        <v>CS1201803148308</v>
      </c>
      <c r="I2632" t="str">
        <f>"CAUSE# 10008CVW DEBRA ESQUEDA"</f>
        <v>CAUSE# 10008CVW DEBRA ESQUEDA</v>
      </c>
    </row>
    <row r="2633" spans="1:9" x14ac:dyDescent="0.25">
      <c r="E2633" s="7"/>
      <c r="F2633" t="s">
        <v>20</v>
      </c>
      <c r="G2633" t="s">
        <v>21</v>
      </c>
      <c r="H2633" t="str">
        <f>"CSJ201803148308"</f>
        <v>CSJ201803148308</v>
      </c>
      <c r="I2633" t="str">
        <f>"CAUSE# 0010185272 MARIANN GUTI"</f>
        <v>CAUSE# 0010185272 MARIANN GUTI</v>
      </c>
    </row>
    <row r="2634" spans="1:9" x14ac:dyDescent="0.25">
      <c r="E2634" s="7"/>
      <c r="F2634" t="s">
        <v>20</v>
      </c>
      <c r="G2634" t="s">
        <v>21</v>
      </c>
      <c r="H2634" t="str">
        <f>"CST201803148308"</f>
        <v>CST201803148308</v>
      </c>
      <c r="I2634" t="str">
        <f>"CAUSE #0009418917 SONIA PEREZ"</f>
        <v>CAUSE #0009418917 SONIA PEREZ</v>
      </c>
    </row>
    <row r="2635" spans="1:9" x14ac:dyDescent="0.25">
      <c r="A2635" s="6">
        <v>43173</v>
      </c>
      <c r="B2635" t="s">
        <v>26</v>
      </c>
      <c r="C2635">
        <v>57136</v>
      </c>
      <c r="D2635" t="s">
        <v>53</v>
      </c>
      <c r="E2635" s="7">
        <v>99.1</v>
      </c>
      <c r="F2635" t="s">
        <v>20</v>
      </c>
      <c r="G2635" t="s">
        <v>21</v>
      </c>
      <c r="H2635" t="str">
        <f>"MCO201803148308"</f>
        <v>MCO201803148308</v>
      </c>
      <c r="I2635" t="str">
        <f>"MONICA CORDOVA"</f>
        <v>MONICA CORDOVA</v>
      </c>
    </row>
    <row r="2636" spans="1:9" x14ac:dyDescent="0.25">
      <c r="A2636" s="6">
        <v>43173</v>
      </c>
      <c r="B2636" t="s">
        <v>26</v>
      </c>
      <c r="C2636">
        <v>57137</v>
      </c>
      <c r="D2636" t="s">
        <v>54</v>
      </c>
      <c r="E2636" s="7">
        <v>1236.74</v>
      </c>
      <c r="F2636" t="s">
        <v>20</v>
      </c>
      <c r="G2636" t="s">
        <v>21</v>
      </c>
      <c r="H2636" t="str">
        <f>"457201803148308"</f>
        <v>457201803148308</v>
      </c>
      <c r="I2636" t="str">
        <f>"CASE # 180-60751 457B DEDUCT"</f>
        <v>CASE # 180-60751 457B DEDUCT</v>
      </c>
    </row>
    <row r="2637" spans="1:9" x14ac:dyDescent="0.25">
      <c r="A2637" s="6">
        <v>43174</v>
      </c>
      <c r="B2637" t="s">
        <v>26</v>
      </c>
      <c r="C2637">
        <v>57138</v>
      </c>
      <c r="D2637" t="s">
        <v>159</v>
      </c>
      <c r="E2637" s="7">
        <v>240.25</v>
      </c>
      <c r="F2637" t="s">
        <v>20</v>
      </c>
      <c r="G2637" t="s">
        <v>21</v>
      </c>
      <c r="H2637" t="str">
        <f>"37640"</f>
        <v>37640</v>
      </c>
      <c r="I2637" t="str">
        <f>"PHOTOGRAPHS BY JIM"</f>
        <v>PHOTOGRAPHS BY JIM</v>
      </c>
    </row>
    <row r="2638" spans="1:9" x14ac:dyDescent="0.25">
      <c r="A2638" s="6">
        <v>43174</v>
      </c>
      <c r="B2638" t="s">
        <v>26</v>
      </c>
      <c r="C2638">
        <v>57139</v>
      </c>
      <c r="D2638" t="s">
        <v>335</v>
      </c>
      <c r="E2638" s="7">
        <v>210</v>
      </c>
      <c r="F2638" t="s">
        <v>20</v>
      </c>
      <c r="G2638" t="s">
        <v>21</v>
      </c>
      <c r="H2638" t="str">
        <f>"ST. PATTY EVENT"</f>
        <v>ST. PATTY EVENT</v>
      </c>
      <c r="I2638" t="str">
        <f>"DEVIN KEEN"</f>
        <v>DEVIN KEEN</v>
      </c>
    </row>
    <row r="2639" spans="1:9" x14ac:dyDescent="0.25">
      <c r="A2639" s="6">
        <v>43174</v>
      </c>
      <c r="B2639" t="s">
        <v>26</v>
      </c>
      <c r="C2639">
        <v>57140</v>
      </c>
      <c r="D2639" t="s">
        <v>81</v>
      </c>
      <c r="E2639" s="7">
        <v>179.69</v>
      </c>
      <c r="F2639" t="s">
        <v>20</v>
      </c>
      <c r="G2639" t="s">
        <v>21</v>
      </c>
      <c r="H2639" t="str">
        <f>"AM 3.15.18"</f>
        <v>AM 3.15.18</v>
      </c>
      <c r="I2639" t="str">
        <f>"CITY OF FLORESVILLE -PETTY CAS"</f>
        <v>CITY OF FLORESVILLE -PETTY CAS</v>
      </c>
    </row>
    <row r="2640" spans="1:9" x14ac:dyDescent="0.25">
      <c r="A2640" s="6">
        <v>43174</v>
      </c>
      <c r="B2640" t="s">
        <v>26</v>
      </c>
      <c r="C2640">
        <v>57141</v>
      </c>
      <c r="D2640" t="s">
        <v>336</v>
      </c>
      <c r="E2640" s="7">
        <v>210</v>
      </c>
      <c r="F2640" t="s">
        <v>20</v>
      </c>
      <c r="G2640" t="s">
        <v>21</v>
      </c>
      <c r="H2640" t="str">
        <f>"ST. PATTY EVENT"</f>
        <v>ST. PATTY EVENT</v>
      </c>
      <c r="I2640" t="str">
        <f>"BILLY HERRERA"</f>
        <v>BILLY HERRERA</v>
      </c>
    </row>
    <row r="2641" spans="1:9" x14ac:dyDescent="0.25">
      <c r="A2641" s="6">
        <v>43174</v>
      </c>
      <c r="B2641" t="s">
        <v>26</v>
      </c>
      <c r="C2641">
        <v>57142</v>
      </c>
      <c r="D2641" t="s">
        <v>337</v>
      </c>
      <c r="E2641" s="7">
        <v>210</v>
      </c>
      <c r="F2641" t="s">
        <v>20</v>
      </c>
      <c r="G2641" t="s">
        <v>21</v>
      </c>
      <c r="H2641" t="str">
        <f>"ST. PATTY EVENT"</f>
        <v>ST. PATTY EVENT</v>
      </c>
      <c r="I2641" t="str">
        <f>"JOSHUA  J  OLIVAREZ"</f>
        <v>JOSHUA  J  OLIVAREZ</v>
      </c>
    </row>
    <row r="2642" spans="1:9" x14ac:dyDescent="0.25">
      <c r="A2642" s="6">
        <v>43174</v>
      </c>
      <c r="B2642" t="s">
        <v>26</v>
      </c>
      <c r="C2642">
        <v>57143</v>
      </c>
      <c r="D2642" t="s">
        <v>338</v>
      </c>
      <c r="E2642" s="7">
        <v>500</v>
      </c>
      <c r="F2642" t="s">
        <v>20</v>
      </c>
      <c r="G2642" t="s">
        <v>21</v>
      </c>
      <c r="H2642" t="str">
        <f>"ST. PATTY EVENT"</f>
        <v>ST. PATTY EVENT</v>
      </c>
      <c r="I2642" t="str">
        <f>"ERIC JONES"</f>
        <v>ERIC JONES</v>
      </c>
    </row>
    <row r="2643" spans="1:9" x14ac:dyDescent="0.25">
      <c r="A2643" s="6">
        <v>43179</v>
      </c>
      <c r="B2643" t="s">
        <v>26</v>
      </c>
      <c r="C2643">
        <v>57144</v>
      </c>
      <c r="D2643" t="s">
        <v>298</v>
      </c>
      <c r="E2643" s="7">
        <v>120</v>
      </c>
      <c r="F2643" t="s">
        <v>20</v>
      </c>
      <c r="G2643" t="s">
        <v>21</v>
      </c>
      <c r="H2643" t="str">
        <f>"8996"</f>
        <v>8996</v>
      </c>
      <c r="I2643" t="str">
        <f>"HILL PEST CONTROL COMPANY"</f>
        <v>HILL PEST CONTROL COMPANY</v>
      </c>
    </row>
    <row r="2644" spans="1:9" x14ac:dyDescent="0.25">
      <c r="A2644" s="6">
        <v>43179</v>
      </c>
      <c r="B2644" t="s">
        <v>26</v>
      </c>
      <c r="C2644">
        <v>57145</v>
      </c>
      <c r="D2644" t="s">
        <v>59</v>
      </c>
      <c r="E2644" s="7">
        <v>61.2</v>
      </c>
      <c r="F2644" t="s">
        <v>20</v>
      </c>
      <c r="G2644" t="s">
        <v>21</v>
      </c>
      <c r="H2644" t="str">
        <f>"0929315"</f>
        <v>0929315</v>
      </c>
      <c r="I2644" t="str">
        <f>"FERGUSON WATERWORKS - MUNICIPA"</f>
        <v>FERGUSON WATERWORKS - MUNICIPA</v>
      </c>
    </row>
    <row r="2645" spans="1:9" x14ac:dyDescent="0.25">
      <c r="A2645" s="6">
        <v>43179</v>
      </c>
      <c r="B2645" t="s">
        <v>26</v>
      </c>
      <c r="C2645">
        <v>57146</v>
      </c>
      <c r="D2645" t="s">
        <v>339</v>
      </c>
      <c r="E2645" s="7">
        <v>1488.48</v>
      </c>
      <c r="F2645" t="s">
        <v>20</v>
      </c>
      <c r="G2645" t="s">
        <v>21</v>
      </c>
      <c r="H2645" t="str">
        <f>"789636"</f>
        <v>789636</v>
      </c>
      <c r="I2645" t="str">
        <f>"SOUTHWEST PUBLIC SAFETY"</f>
        <v>SOUTHWEST PUBLIC SAFETY</v>
      </c>
    </row>
    <row r="2646" spans="1:9" x14ac:dyDescent="0.25">
      <c r="A2646" s="6">
        <v>43179</v>
      </c>
      <c r="B2646" t="s">
        <v>26</v>
      </c>
      <c r="C2646">
        <v>57147</v>
      </c>
      <c r="D2646" t="s">
        <v>202</v>
      </c>
      <c r="E2646" s="7">
        <v>2886.92</v>
      </c>
      <c r="F2646" t="s">
        <v>20</v>
      </c>
      <c r="G2646" t="s">
        <v>21</v>
      </c>
      <c r="H2646" t="str">
        <f>"61705998"</f>
        <v>61705998</v>
      </c>
      <c r="I2646" t="str">
        <f>"VULCAN CONSTRUCTION MATERIALS"</f>
        <v>VULCAN CONSTRUCTION MATERIALS</v>
      </c>
    </row>
    <row r="2647" spans="1:9" x14ac:dyDescent="0.25">
      <c r="E2647" s="7"/>
      <c r="F2647" t="s">
        <v>20</v>
      </c>
      <c r="G2647" t="s">
        <v>21</v>
      </c>
      <c r="H2647" t="str">
        <f>"61705999"</f>
        <v>61705999</v>
      </c>
      <c r="I2647" t="str">
        <f>"VULCAN CONSTRUCTION MATERIALS"</f>
        <v>VULCAN CONSTRUCTION MATERIALS</v>
      </c>
    </row>
    <row r="2648" spans="1:9" x14ac:dyDescent="0.25">
      <c r="E2648" s="7"/>
      <c r="F2648" t="s">
        <v>20</v>
      </c>
      <c r="G2648" t="s">
        <v>21</v>
      </c>
      <c r="H2648" t="str">
        <f>"61706000"</f>
        <v>61706000</v>
      </c>
      <c r="I2648" t="str">
        <f>"VULCAN CONSTRUCTION MATERIALS"</f>
        <v>VULCAN CONSTRUCTION MATERIALS</v>
      </c>
    </row>
    <row r="2649" spans="1:9" x14ac:dyDescent="0.25">
      <c r="A2649" s="6">
        <v>43179</v>
      </c>
      <c r="B2649" t="s">
        <v>26</v>
      </c>
      <c r="C2649">
        <v>57148</v>
      </c>
      <c r="D2649" t="s">
        <v>240</v>
      </c>
      <c r="E2649" s="7">
        <v>150.91999999999999</v>
      </c>
      <c r="F2649" t="s">
        <v>20</v>
      </c>
      <c r="G2649" t="s">
        <v>21</v>
      </c>
      <c r="H2649" t="str">
        <f>"0141727-IN"</f>
        <v>0141727-IN</v>
      </c>
      <c r="I2649" t="str">
        <f>"NARDIS PUBLIC SAFETY"</f>
        <v>NARDIS PUBLIC SAFETY</v>
      </c>
    </row>
    <row r="2650" spans="1:9" x14ac:dyDescent="0.25">
      <c r="A2650" s="6">
        <v>43179</v>
      </c>
      <c r="B2650" t="s">
        <v>26</v>
      </c>
      <c r="C2650">
        <v>57149</v>
      </c>
      <c r="D2650" t="s">
        <v>340</v>
      </c>
      <c r="E2650" s="7">
        <v>24.77</v>
      </c>
      <c r="F2650" t="s">
        <v>20</v>
      </c>
      <c r="G2650" t="s">
        <v>21</v>
      </c>
      <c r="H2650" t="str">
        <f>"1810-297418"</f>
        <v>1810-297418</v>
      </c>
      <c r="I2650" t="str">
        <f>"O'REILLY AUTOMOTIVE  INC."</f>
        <v>O'REILLY AUTOMOTIVE  INC.</v>
      </c>
    </row>
    <row r="2651" spans="1:9" x14ac:dyDescent="0.25">
      <c r="E2651" s="7"/>
      <c r="F2651" t="s">
        <v>20</v>
      </c>
      <c r="G2651" t="s">
        <v>21</v>
      </c>
      <c r="H2651" t="str">
        <f>"1810-297837"</f>
        <v>1810-297837</v>
      </c>
      <c r="I2651" t="str">
        <f>"O'REILLY AUTOMOTIVE  INC."</f>
        <v>O'REILLY AUTOMOTIVE  INC.</v>
      </c>
    </row>
    <row r="2652" spans="1:9" x14ac:dyDescent="0.25">
      <c r="A2652" s="6">
        <v>43179</v>
      </c>
      <c r="B2652" t="s">
        <v>26</v>
      </c>
      <c r="C2652">
        <v>57150</v>
      </c>
      <c r="D2652" t="s">
        <v>61</v>
      </c>
      <c r="E2652" s="7">
        <v>10054.91</v>
      </c>
      <c r="F2652" t="s">
        <v>20</v>
      </c>
      <c r="G2652" t="s">
        <v>21</v>
      </c>
      <c r="H2652" t="str">
        <f>"025-217050"</f>
        <v>025-217050</v>
      </c>
      <c r="I2652" t="str">
        <f>"TYLER TECHNOLOGIES  INC."</f>
        <v>TYLER TECHNOLOGIES  INC.</v>
      </c>
    </row>
    <row r="2653" spans="1:9" x14ac:dyDescent="0.25">
      <c r="E2653" s="7"/>
      <c r="F2653" t="s">
        <v>20</v>
      </c>
      <c r="G2653" t="s">
        <v>21</v>
      </c>
      <c r="H2653" t="str">
        <f>"025-217561"</f>
        <v>025-217561</v>
      </c>
      <c r="I2653" t="str">
        <f>"TYLER TECHNOLOGIES  INC."</f>
        <v>TYLER TECHNOLOGIES  INC.</v>
      </c>
    </row>
    <row r="2654" spans="1:9" x14ac:dyDescent="0.25">
      <c r="A2654" s="6">
        <v>43179</v>
      </c>
      <c r="B2654" t="s">
        <v>26</v>
      </c>
      <c r="C2654">
        <v>57151</v>
      </c>
      <c r="D2654" t="s">
        <v>184</v>
      </c>
      <c r="E2654" s="7">
        <v>694</v>
      </c>
      <c r="F2654" t="s">
        <v>20</v>
      </c>
      <c r="G2654" t="s">
        <v>21</v>
      </c>
      <c r="H2654" t="str">
        <f>"1049-668"</f>
        <v>1049-668</v>
      </c>
      <c r="I2654" t="str">
        <f>"POLLUTION CONTROL SERVICES"</f>
        <v>POLLUTION CONTROL SERVICES</v>
      </c>
    </row>
    <row r="2655" spans="1:9" x14ac:dyDescent="0.25">
      <c r="A2655" s="6">
        <v>43179</v>
      </c>
      <c r="B2655" t="s">
        <v>26</v>
      </c>
      <c r="C2655">
        <v>57152</v>
      </c>
      <c r="D2655" t="s">
        <v>62</v>
      </c>
      <c r="E2655" s="7">
        <v>398.09</v>
      </c>
      <c r="F2655" t="s">
        <v>20</v>
      </c>
      <c r="G2655" t="s">
        <v>21</v>
      </c>
      <c r="H2655" t="str">
        <f>"201803208310"</f>
        <v>201803208310</v>
      </c>
      <c r="I2655" t="str">
        <f>"SBS ADMINISTRATIVE SERVICES  L"</f>
        <v>SBS ADMINISTRATIVE SERVICES  L</v>
      </c>
    </row>
    <row r="2656" spans="1:9" x14ac:dyDescent="0.25">
      <c r="A2656" s="6">
        <v>43179</v>
      </c>
      <c r="B2656" t="s">
        <v>26</v>
      </c>
      <c r="C2656">
        <v>57153</v>
      </c>
      <c r="D2656" t="s">
        <v>169</v>
      </c>
      <c r="E2656" s="7">
        <v>17.5</v>
      </c>
      <c r="F2656" t="s">
        <v>20</v>
      </c>
      <c r="G2656" t="s">
        <v>21</v>
      </c>
      <c r="H2656" t="str">
        <f>"104013"</f>
        <v>104013</v>
      </c>
      <c r="I2656" t="str">
        <f>"THE POLICE AND SHERIFFS PRESS"</f>
        <v>THE POLICE AND SHERIFFS PRESS</v>
      </c>
    </row>
    <row r="2657" spans="1:9" x14ac:dyDescent="0.25">
      <c r="A2657" s="6">
        <v>43179</v>
      </c>
      <c r="B2657" t="s">
        <v>26</v>
      </c>
      <c r="C2657">
        <v>57154</v>
      </c>
      <c r="D2657" t="s">
        <v>115</v>
      </c>
      <c r="E2657" s="7">
        <v>226.75</v>
      </c>
      <c r="F2657" t="s">
        <v>20</v>
      </c>
      <c r="G2657" t="s">
        <v>24</v>
      </c>
      <c r="H2657" t="str">
        <f>"3547058227"</f>
        <v>3547058227</v>
      </c>
      <c r="I2657" t="str">
        <f>"AUTOZONE"</f>
        <v>AUTOZONE</v>
      </c>
    </row>
    <row r="2658" spans="1:9" x14ac:dyDescent="0.25">
      <c r="E2658" s="7"/>
      <c r="F2658" t="s">
        <v>20</v>
      </c>
      <c r="G2658" t="s">
        <v>21</v>
      </c>
      <c r="H2658" t="str">
        <f>"3547057662"</f>
        <v>3547057662</v>
      </c>
      <c r="I2658" t="str">
        <f>"AUTOZONE"</f>
        <v>AUTOZONE</v>
      </c>
    </row>
    <row r="2659" spans="1:9" x14ac:dyDescent="0.25">
      <c r="E2659" s="7"/>
      <c r="F2659" t="s">
        <v>20</v>
      </c>
      <c r="G2659" t="s">
        <v>21</v>
      </c>
      <c r="H2659" t="str">
        <f>"3547101018"</f>
        <v>3547101018</v>
      </c>
      <c r="I2659" t="str">
        <f>"AUTOZONE"</f>
        <v>AUTOZONE</v>
      </c>
    </row>
    <row r="2660" spans="1:9" x14ac:dyDescent="0.25">
      <c r="E2660" s="7"/>
      <c r="F2660" t="s">
        <v>20</v>
      </c>
      <c r="G2660" t="s">
        <v>21</v>
      </c>
      <c r="H2660" t="str">
        <f>"3547101088"</f>
        <v>3547101088</v>
      </c>
      <c r="I2660" t="str">
        <f>"AUTOZONE"</f>
        <v>AUTOZONE</v>
      </c>
    </row>
    <row r="2661" spans="1:9" x14ac:dyDescent="0.25">
      <c r="E2661" s="7"/>
      <c r="F2661" t="s">
        <v>20</v>
      </c>
      <c r="G2661" t="s">
        <v>21</v>
      </c>
      <c r="H2661" t="str">
        <f>"3547110766"</f>
        <v>3547110766</v>
      </c>
      <c r="I2661" t="str">
        <f>"AUTOZONE"</f>
        <v>AUTOZONE</v>
      </c>
    </row>
    <row r="2662" spans="1:9" x14ac:dyDescent="0.25">
      <c r="A2662" s="6">
        <v>43179</v>
      </c>
      <c r="B2662" t="s">
        <v>26</v>
      </c>
      <c r="C2662">
        <v>57155</v>
      </c>
      <c r="D2662" t="s">
        <v>67</v>
      </c>
      <c r="E2662" s="7">
        <v>297.77</v>
      </c>
      <c r="F2662" t="s">
        <v>20</v>
      </c>
      <c r="G2662" t="s">
        <v>21</v>
      </c>
      <c r="H2662" t="str">
        <f>"MARCH 2018"</f>
        <v>MARCH 2018</v>
      </c>
      <c r="I2662" t="str">
        <f>"ANYTIME FITNESS"</f>
        <v>ANYTIME FITNESS</v>
      </c>
    </row>
    <row r="2663" spans="1:9" x14ac:dyDescent="0.25">
      <c r="A2663" s="6">
        <v>43179</v>
      </c>
      <c r="B2663" t="s">
        <v>26</v>
      </c>
      <c r="C2663">
        <v>57156</v>
      </c>
      <c r="D2663" t="s">
        <v>119</v>
      </c>
      <c r="E2663" s="7">
        <v>50</v>
      </c>
      <c r="F2663" t="s">
        <v>20</v>
      </c>
      <c r="G2663" t="s">
        <v>21</v>
      </c>
      <c r="H2663" t="str">
        <f>"38021"</f>
        <v>38021</v>
      </c>
      <c r="I2663" t="str">
        <f>"PRUSKI'S TIRE SHOP  L.L.C."</f>
        <v>PRUSKI'S TIRE SHOP  L.L.C.</v>
      </c>
    </row>
    <row r="2664" spans="1:9" x14ac:dyDescent="0.25">
      <c r="E2664" s="7"/>
      <c r="F2664" t="s">
        <v>20</v>
      </c>
      <c r="G2664" t="s">
        <v>21</v>
      </c>
      <c r="H2664" t="str">
        <f>"38188"</f>
        <v>38188</v>
      </c>
      <c r="I2664" t="str">
        <f>"PRUSKI'S TIRE SHOP  L.L.C."</f>
        <v>PRUSKI'S TIRE SHOP  L.L.C.</v>
      </c>
    </row>
    <row r="2665" spans="1:9" x14ac:dyDescent="0.25">
      <c r="A2665" s="6">
        <v>43179</v>
      </c>
      <c r="B2665" t="s">
        <v>26</v>
      </c>
      <c r="C2665">
        <v>57157</v>
      </c>
      <c r="D2665" t="s">
        <v>120</v>
      </c>
      <c r="E2665" s="7">
        <v>1792.3</v>
      </c>
      <c r="F2665" t="s">
        <v>20</v>
      </c>
      <c r="G2665" t="s">
        <v>21</v>
      </c>
      <c r="H2665" t="str">
        <f>"70725455"</f>
        <v>70725455</v>
      </c>
      <c r="I2665" t="str">
        <f>"VERIZON BUSINESS"</f>
        <v>VERIZON BUSINESS</v>
      </c>
    </row>
    <row r="2666" spans="1:9" x14ac:dyDescent="0.25">
      <c r="E2666" s="7"/>
      <c r="F2666" t="s">
        <v>20</v>
      </c>
      <c r="G2666" t="s">
        <v>21</v>
      </c>
      <c r="H2666" t="str">
        <f>"70725565"</f>
        <v>70725565</v>
      </c>
      <c r="I2666" t="str">
        <f>"VERIZON BUSINESS"</f>
        <v>VERIZON BUSINESS</v>
      </c>
    </row>
    <row r="2667" spans="1:9" x14ac:dyDescent="0.25">
      <c r="A2667" s="6">
        <v>43179</v>
      </c>
      <c r="B2667" t="s">
        <v>26</v>
      </c>
      <c r="C2667">
        <v>57158</v>
      </c>
      <c r="D2667" t="s">
        <v>189</v>
      </c>
      <c r="E2667" s="7">
        <v>1009.34</v>
      </c>
      <c r="F2667" t="s">
        <v>20</v>
      </c>
      <c r="G2667" t="s">
        <v>21</v>
      </c>
      <c r="H2667" t="str">
        <f>"C24304"</f>
        <v>C24304</v>
      </c>
      <c r="I2667" t="str">
        <f>"ASCO"</f>
        <v>ASCO</v>
      </c>
    </row>
    <row r="2668" spans="1:9" x14ac:dyDescent="0.25">
      <c r="E2668" s="7"/>
      <c r="F2668" t="s">
        <v>20</v>
      </c>
      <c r="G2668" t="s">
        <v>21</v>
      </c>
      <c r="H2668" t="str">
        <f>"W85477"</f>
        <v>W85477</v>
      </c>
      <c r="I2668" t="str">
        <f>"ASCO"</f>
        <v>ASCO</v>
      </c>
    </row>
    <row r="2669" spans="1:9" x14ac:dyDescent="0.25">
      <c r="A2669" s="6">
        <v>43179</v>
      </c>
      <c r="B2669" t="s">
        <v>26</v>
      </c>
      <c r="C2669">
        <v>57159</v>
      </c>
      <c r="D2669" t="s">
        <v>255</v>
      </c>
      <c r="E2669" s="7">
        <v>153.24</v>
      </c>
      <c r="F2669" t="s">
        <v>20</v>
      </c>
      <c r="G2669" t="s">
        <v>21</v>
      </c>
      <c r="H2669" t="str">
        <f>"3.14.18"</f>
        <v>3.14.18</v>
      </c>
      <c r="I2669" t="str">
        <f>"ADT SECURITY SERVICES"</f>
        <v>ADT SECURITY SERVICES</v>
      </c>
    </row>
    <row r="2670" spans="1:9" x14ac:dyDescent="0.25">
      <c r="A2670" s="6">
        <v>43179</v>
      </c>
      <c r="B2670" t="s">
        <v>26</v>
      </c>
      <c r="C2670">
        <v>57160</v>
      </c>
      <c r="D2670" t="s">
        <v>248</v>
      </c>
      <c r="E2670" s="7">
        <v>246.54</v>
      </c>
      <c r="F2670" t="s">
        <v>20</v>
      </c>
      <c r="G2670" t="s">
        <v>21</v>
      </c>
      <c r="H2670" t="str">
        <f>"1006756101"</f>
        <v>1006756101</v>
      </c>
      <c r="I2670" t="str">
        <f>"PITNEY BOWES"</f>
        <v>PITNEY BOWES</v>
      </c>
    </row>
    <row r="2671" spans="1:9" x14ac:dyDescent="0.25">
      <c r="A2671" s="6">
        <v>43179</v>
      </c>
      <c r="B2671" t="s">
        <v>26</v>
      </c>
      <c r="C2671">
        <v>57161</v>
      </c>
      <c r="D2671" t="s">
        <v>71</v>
      </c>
      <c r="E2671" s="7">
        <v>1403.15</v>
      </c>
      <c r="F2671" t="s">
        <v>20</v>
      </c>
      <c r="G2671" t="s">
        <v>21</v>
      </c>
      <c r="H2671" t="str">
        <f>"087100494"</f>
        <v>087100494</v>
      </c>
      <c r="I2671" t="str">
        <f>"CINTAS CORPORATION #087"</f>
        <v>CINTAS CORPORATION #087</v>
      </c>
    </row>
    <row r="2672" spans="1:9" x14ac:dyDescent="0.25">
      <c r="E2672" s="7"/>
      <c r="F2672" t="s">
        <v>20</v>
      </c>
      <c r="G2672" t="s">
        <v>21</v>
      </c>
      <c r="H2672" t="str">
        <f>"087838006"</f>
        <v>087838006</v>
      </c>
      <c r="I2672" t="str">
        <f>"CINTAS CORPORATION #087"</f>
        <v>CINTAS CORPORATION #087</v>
      </c>
    </row>
    <row r="2673" spans="1:9" x14ac:dyDescent="0.25">
      <c r="E2673" s="7"/>
      <c r="F2673" t="s">
        <v>20</v>
      </c>
      <c r="G2673" t="s">
        <v>21</v>
      </c>
      <c r="H2673" t="str">
        <f>"087842183"</f>
        <v>087842183</v>
      </c>
      <c r="I2673" t="str">
        <f>"CINTAS CORPORATION #087"</f>
        <v>CINTAS CORPORATION #087</v>
      </c>
    </row>
    <row r="2674" spans="1:9" x14ac:dyDescent="0.25">
      <c r="E2674" s="7"/>
      <c r="F2674" t="s">
        <v>20</v>
      </c>
      <c r="G2674" t="s">
        <v>21</v>
      </c>
      <c r="H2674" t="str">
        <f>"087846328"</f>
        <v>087846328</v>
      </c>
      <c r="I2674" t="str">
        <f>"CINTAS CORPORATION #087"</f>
        <v>CINTAS CORPORATION #087</v>
      </c>
    </row>
    <row r="2675" spans="1:9" x14ac:dyDescent="0.25">
      <c r="A2675" s="6">
        <v>43179</v>
      </c>
      <c r="B2675" t="s">
        <v>26</v>
      </c>
      <c r="C2675">
        <v>57164</v>
      </c>
      <c r="D2675" t="s">
        <v>122</v>
      </c>
      <c r="E2675" s="7">
        <v>66</v>
      </c>
      <c r="F2675" t="s">
        <v>20</v>
      </c>
      <c r="G2675" t="s">
        <v>21</v>
      </c>
      <c r="H2675" t="str">
        <f>"0776153"</f>
        <v>0776153</v>
      </c>
      <c r="I2675" t="str">
        <f>"VILLA TIRES"</f>
        <v>VILLA TIRES</v>
      </c>
    </row>
    <row r="2676" spans="1:9" x14ac:dyDescent="0.25">
      <c r="E2676" s="7"/>
      <c r="F2676" t="s">
        <v>20</v>
      </c>
      <c r="G2676" t="s">
        <v>21</v>
      </c>
      <c r="H2676" t="str">
        <f>"0776340"</f>
        <v>0776340</v>
      </c>
      <c r="I2676" t="str">
        <f>"VILLA TIRES"</f>
        <v>VILLA TIRES</v>
      </c>
    </row>
    <row r="2677" spans="1:9" x14ac:dyDescent="0.25">
      <c r="E2677" s="7"/>
      <c r="F2677" t="s">
        <v>20</v>
      </c>
      <c r="G2677" t="s">
        <v>21</v>
      </c>
      <c r="H2677" t="str">
        <f>"0776347"</f>
        <v>0776347</v>
      </c>
      <c r="I2677" t="str">
        <f>"VILLA TIRES"</f>
        <v>VILLA TIRES</v>
      </c>
    </row>
    <row r="2678" spans="1:9" x14ac:dyDescent="0.25">
      <c r="E2678" s="7"/>
      <c r="F2678" t="s">
        <v>20</v>
      </c>
      <c r="G2678" t="s">
        <v>21</v>
      </c>
      <c r="H2678" t="str">
        <f>"0776348"</f>
        <v>0776348</v>
      </c>
      <c r="I2678" t="str">
        <f>"VILLA TIRES"</f>
        <v>VILLA TIRES</v>
      </c>
    </row>
    <row r="2679" spans="1:9" x14ac:dyDescent="0.25">
      <c r="E2679" s="7"/>
      <c r="F2679" t="s">
        <v>20</v>
      </c>
      <c r="G2679" t="s">
        <v>21</v>
      </c>
      <c r="H2679" t="str">
        <f>"0776350"</f>
        <v>0776350</v>
      </c>
      <c r="I2679" t="str">
        <f>"VILLA TIRES"</f>
        <v>VILLA TIRES</v>
      </c>
    </row>
    <row r="2680" spans="1:9" x14ac:dyDescent="0.25">
      <c r="A2680" s="6">
        <v>43179</v>
      </c>
      <c r="B2680" t="s">
        <v>26</v>
      </c>
      <c r="C2680">
        <v>57165</v>
      </c>
      <c r="D2680" t="s">
        <v>74</v>
      </c>
      <c r="E2680" s="7">
        <v>50.28</v>
      </c>
      <c r="F2680" t="s">
        <v>20</v>
      </c>
      <c r="G2680" t="s">
        <v>21</v>
      </c>
      <c r="H2680" t="str">
        <f>"9803091808"</f>
        <v>9803091808</v>
      </c>
      <c r="I2680" t="str">
        <f>"VERIZON WIRELESS"</f>
        <v>VERIZON WIRELESS</v>
      </c>
    </row>
    <row r="2681" spans="1:9" x14ac:dyDescent="0.25">
      <c r="A2681" s="6">
        <v>43179</v>
      </c>
      <c r="B2681" t="s">
        <v>26</v>
      </c>
      <c r="C2681">
        <v>57166</v>
      </c>
      <c r="D2681" t="s">
        <v>136</v>
      </c>
      <c r="E2681" s="7">
        <v>75</v>
      </c>
      <c r="F2681" t="s">
        <v>20</v>
      </c>
      <c r="G2681" t="s">
        <v>21</v>
      </c>
      <c r="H2681" t="str">
        <f>"3.17.18"</f>
        <v>3.17.18</v>
      </c>
      <c r="I2681" t="str">
        <f>"INEZ CLARICE TRINIDAD"</f>
        <v>INEZ CLARICE TRINIDAD</v>
      </c>
    </row>
    <row r="2682" spans="1:9" x14ac:dyDescent="0.25">
      <c r="A2682" s="6">
        <v>43179</v>
      </c>
      <c r="B2682" t="s">
        <v>26</v>
      </c>
      <c r="C2682">
        <v>57167</v>
      </c>
      <c r="D2682" t="s">
        <v>341</v>
      </c>
      <c r="E2682" s="7">
        <v>70</v>
      </c>
      <c r="F2682" t="s">
        <v>20</v>
      </c>
      <c r="G2682" t="s">
        <v>21</v>
      </c>
      <c r="H2682" t="str">
        <f>"3.17.18"</f>
        <v>3.17.18</v>
      </c>
      <c r="I2682" t="str">
        <f>"JUANITA MONTOYA"</f>
        <v>JUANITA MONTOYA</v>
      </c>
    </row>
    <row r="2683" spans="1:9" x14ac:dyDescent="0.25">
      <c r="A2683" s="6">
        <v>43179</v>
      </c>
      <c r="B2683" t="s">
        <v>26</v>
      </c>
      <c r="C2683">
        <v>57168</v>
      </c>
      <c r="D2683" t="s">
        <v>123</v>
      </c>
      <c r="E2683" s="7">
        <v>797.97</v>
      </c>
      <c r="F2683" t="s">
        <v>20</v>
      </c>
      <c r="G2683" t="s">
        <v>21</v>
      </c>
      <c r="H2683" t="str">
        <f>"112336532001"</f>
        <v>112336532001</v>
      </c>
      <c r="I2683" t="str">
        <f t="shared" ref="I2683:I2688" si="51">"OFFICE DEPOT  INC."</f>
        <v>OFFICE DEPOT  INC.</v>
      </c>
    </row>
    <row r="2684" spans="1:9" x14ac:dyDescent="0.25">
      <c r="E2684" s="7"/>
      <c r="F2684" t="s">
        <v>20</v>
      </c>
      <c r="G2684" t="s">
        <v>21</v>
      </c>
      <c r="H2684" t="str">
        <f>"112336965001"</f>
        <v>112336965001</v>
      </c>
      <c r="I2684" t="str">
        <f t="shared" si="51"/>
        <v>OFFICE DEPOT  INC.</v>
      </c>
    </row>
    <row r="2685" spans="1:9" x14ac:dyDescent="0.25">
      <c r="E2685" s="7"/>
      <c r="F2685" t="s">
        <v>20</v>
      </c>
      <c r="G2685" t="s">
        <v>21</v>
      </c>
      <c r="H2685" t="str">
        <f>"112656576001"</f>
        <v>112656576001</v>
      </c>
      <c r="I2685" t="str">
        <f t="shared" si="51"/>
        <v>OFFICE DEPOT  INC.</v>
      </c>
    </row>
    <row r="2686" spans="1:9" x14ac:dyDescent="0.25">
      <c r="E2686" s="7"/>
      <c r="F2686" t="s">
        <v>20</v>
      </c>
      <c r="G2686" t="s">
        <v>21</v>
      </c>
      <c r="H2686" t="str">
        <f>"112656974001"</f>
        <v>112656974001</v>
      </c>
      <c r="I2686" t="str">
        <f t="shared" si="51"/>
        <v>OFFICE DEPOT  INC.</v>
      </c>
    </row>
    <row r="2687" spans="1:9" x14ac:dyDescent="0.25">
      <c r="E2687" s="7"/>
      <c r="F2687" t="s">
        <v>20</v>
      </c>
      <c r="G2687" t="s">
        <v>21</v>
      </c>
      <c r="H2687" t="str">
        <f>"112656975001"</f>
        <v>112656975001</v>
      </c>
      <c r="I2687" t="str">
        <f t="shared" si="51"/>
        <v>OFFICE DEPOT  INC.</v>
      </c>
    </row>
    <row r="2688" spans="1:9" x14ac:dyDescent="0.25">
      <c r="E2688" s="7"/>
      <c r="F2688" t="s">
        <v>20</v>
      </c>
      <c r="G2688" t="s">
        <v>21</v>
      </c>
      <c r="H2688" t="str">
        <f>"112852086001"</f>
        <v>112852086001</v>
      </c>
      <c r="I2688" t="str">
        <f t="shared" si="51"/>
        <v>OFFICE DEPOT  INC.</v>
      </c>
    </row>
    <row r="2689" spans="1:9" x14ac:dyDescent="0.25">
      <c r="A2689" s="6">
        <v>43179</v>
      </c>
      <c r="B2689" t="s">
        <v>26</v>
      </c>
      <c r="C2689">
        <v>57171</v>
      </c>
      <c r="D2689" t="s">
        <v>137</v>
      </c>
      <c r="E2689" s="7">
        <v>121.9</v>
      </c>
      <c r="F2689" t="s">
        <v>20</v>
      </c>
      <c r="G2689" t="s">
        <v>21</v>
      </c>
      <c r="H2689" t="str">
        <f>"1446706"</f>
        <v>1446706</v>
      </c>
      <c r="I2689" t="str">
        <f>"OMNIBUS-M  INC.D.B.A."</f>
        <v>OMNIBUS-M  INC.D.B.A.</v>
      </c>
    </row>
    <row r="2690" spans="1:9" x14ac:dyDescent="0.25">
      <c r="E2690" s="7"/>
      <c r="F2690" t="s">
        <v>20</v>
      </c>
      <c r="G2690" t="s">
        <v>21</v>
      </c>
      <c r="H2690" t="str">
        <f>"1446707"</f>
        <v>1446707</v>
      </c>
      <c r="I2690" t="str">
        <f>"OMNIBUS-M  INC.D.B.A."</f>
        <v>OMNIBUS-M  INC.D.B.A.</v>
      </c>
    </row>
    <row r="2691" spans="1:9" x14ac:dyDescent="0.25">
      <c r="A2691" s="6">
        <v>43179</v>
      </c>
      <c r="B2691" t="s">
        <v>26</v>
      </c>
      <c r="C2691">
        <v>57172</v>
      </c>
      <c r="D2691" t="s">
        <v>77</v>
      </c>
      <c r="E2691" s="7">
        <v>776.04</v>
      </c>
      <c r="F2691" t="s">
        <v>20</v>
      </c>
      <c r="G2691" t="s">
        <v>21</v>
      </c>
      <c r="H2691" t="str">
        <f>"857000377-18"</f>
        <v>857000377-18</v>
      </c>
      <c r="I2691" t="str">
        <f>"DPC INDUSTRIES  INC."</f>
        <v>DPC INDUSTRIES  INC.</v>
      </c>
    </row>
    <row r="2692" spans="1:9" x14ac:dyDescent="0.25">
      <c r="A2692" s="6">
        <v>43179</v>
      </c>
      <c r="B2692" t="s">
        <v>26</v>
      </c>
      <c r="C2692">
        <v>57173</v>
      </c>
      <c r="D2692" t="s">
        <v>342</v>
      </c>
      <c r="E2692" s="7">
        <v>100</v>
      </c>
      <c r="F2692" t="s">
        <v>20</v>
      </c>
      <c r="G2692" t="s">
        <v>21</v>
      </c>
      <c r="H2692" t="str">
        <f>"000505"</f>
        <v>000505</v>
      </c>
      <c r="I2692" t="str">
        <f>"STOCKDALE MONUMENT COMPANY"</f>
        <v>STOCKDALE MONUMENT COMPANY</v>
      </c>
    </row>
    <row r="2693" spans="1:9" x14ac:dyDescent="0.25">
      <c r="A2693" s="6">
        <v>43179</v>
      </c>
      <c r="B2693" t="s">
        <v>26</v>
      </c>
      <c r="C2693">
        <v>57174</v>
      </c>
      <c r="D2693" t="s">
        <v>79</v>
      </c>
      <c r="E2693" s="7">
        <v>140.78</v>
      </c>
      <c r="F2693" t="s">
        <v>20</v>
      </c>
      <c r="G2693" t="s">
        <v>21</v>
      </c>
      <c r="H2693" t="str">
        <f>"6-118-66583"</f>
        <v>6-118-66583</v>
      </c>
      <c r="I2693" t="str">
        <f>"FEDEX"</f>
        <v>FEDEX</v>
      </c>
    </row>
    <row r="2694" spans="1:9" x14ac:dyDescent="0.25">
      <c r="A2694" s="6">
        <v>43179</v>
      </c>
      <c r="B2694" t="s">
        <v>26</v>
      </c>
      <c r="C2694">
        <v>57175</v>
      </c>
      <c r="D2694" t="s">
        <v>139</v>
      </c>
      <c r="E2694" s="7">
        <v>65</v>
      </c>
      <c r="F2694" t="s">
        <v>20</v>
      </c>
      <c r="G2694" t="s">
        <v>21</v>
      </c>
      <c r="H2694" t="str">
        <f>"23341"</f>
        <v>23341</v>
      </c>
      <c r="I2694" t="str">
        <f>"ANGEL FIRE &amp; SAFETY"</f>
        <v>ANGEL FIRE &amp; SAFETY</v>
      </c>
    </row>
    <row r="2695" spans="1:9" x14ac:dyDescent="0.25">
      <c r="A2695" s="6">
        <v>43179</v>
      </c>
      <c r="B2695" t="s">
        <v>26</v>
      </c>
      <c r="C2695">
        <v>57176</v>
      </c>
      <c r="D2695" t="s">
        <v>343</v>
      </c>
      <c r="E2695" s="7">
        <v>27000</v>
      </c>
      <c r="F2695" t="s">
        <v>20</v>
      </c>
      <c r="G2695" t="s">
        <v>21</v>
      </c>
      <c r="H2695" t="str">
        <f>"AGENDA ITEM 4B"</f>
        <v>AGENDA ITEM 4B</v>
      </c>
      <c r="I2695" t="str">
        <f>"FLORESVILLE PEANUT FESTIVAL AS"</f>
        <v>FLORESVILLE PEANUT FESTIVAL AS</v>
      </c>
    </row>
    <row r="2696" spans="1:9" x14ac:dyDescent="0.25">
      <c r="A2696" s="6">
        <v>43179</v>
      </c>
      <c r="B2696" t="s">
        <v>26</v>
      </c>
      <c r="C2696">
        <v>57177</v>
      </c>
      <c r="D2696" t="s">
        <v>32</v>
      </c>
      <c r="E2696" s="7">
        <v>85</v>
      </c>
      <c r="F2696" t="s">
        <v>20</v>
      </c>
      <c r="G2696" t="s">
        <v>21</v>
      </c>
      <c r="H2696" t="str">
        <f>"3.17.18"</f>
        <v>3.17.18</v>
      </c>
      <c r="I2696" t="str">
        <f>"SHARON KERRIGAN"</f>
        <v>SHARON KERRIGAN</v>
      </c>
    </row>
    <row r="2697" spans="1:9" x14ac:dyDescent="0.25">
      <c r="A2697" s="6">
        <v>43179</v>
      </c>
      <c r="B2697" t="s">
        <v>26</v>
      </c>
      <c r="C2697">
        <v>57178</v>
      </c>
      <c r="D2697" t="s">
        <v>33</v>
      </c>
      <c r="E2697" s="7">
        <v>85</v>
      </c>
      <c r="F2697" t="s">
        <v>20</v>
      </c>
      <c r="G2697" t="s">
        <v>21</v>
      </c>
      <c r="H2697" t="str">
        <f>"3.17.18"</f>
        <v>3.17.18</v>
      </c>
      <c r="I2697" t="str">
        <f>"DEBORAH KORCZYK"</f>
        <v>DEBORAH KORCZYK</v>
      </c>
    </row>
    <row r="2698" spans="1:9" x14ac:dyDescent="0.25">
      <c r="A2698" s="6">
        <v>43179</v>
      </c>
      <c r="B2698" t="s">
        <v>26</v>
      </c>
      <c r="C2698">
        <v>57179</v>
      </c>
      <c r="D2698" t="s">
        <v>131</v>
      </c>
      <c r="E2698" s="7">
        <v>73.45</v>
      </c>
      <c r="F2698" t="s">
        <v>20</v>
      </c>
      <c r="G2698" t="s">
        <v>21</v>
      </c>
      <c r="H2698" t="str">
        <f>"027535"</f>
        <v>027535</v>
      </c>
      <c r="I2698" t="str">
        <f>"R &amp; S TEXAS PARTS CO"</f>
        <v>R &amp; S TEXAS PARTS CO</v>
      </c>
    </row>
    <row r="2699" spans="1:9" x14ac:dyDescent="0.25">
      <c r="A2699" s="6">
        <v>43179</v>
      </c>
      <c r="B2699" t="s">
        <v>26</v>
      </c>
      <c r="C2699">
        <v>57180</v>
      </c>
      <c r="D2699" t="s">
        <v>309</v>
      </c>
      <c r="E2699" s="7">
        <v>205.45</v>
      </c>
      <c r="F2699" t="s">
        <v>20</v>
      </c>
      <c r="G2699" t="s">
        <v>21</v>
      </c>
      <c r="H2699" t="str">
        <f>"0101004"</f>
        <v>0101004</v>
      </c>
      <c r="I2699" t="str">
        <f>"POLLARD WATER"</f>
        <v>POLLARD WATER</v>
      </c>
    </row>
    <row r="2700" spans="1:9" x14ac:dyDescent="0.25">
      <c r="A2700" s="6">
        <v>43179</v>
      </c>
      <c r="B2700" t="s">
        <v>26</v>
      </c>
      <c r="C2700">
        <v>57181</v>
      </c>
      <c r="D2700" t="s">
        <v>194</v>
      </c>
      <c r="E2700" s="7">
        <v>12312.51</v>
      </c>
      <c r="F2700" t="s">
        <v>20</v>
      </c>
      <c r="G2700" t="s">
        <v>21</v>
      </c>
      <c r="H2700" t="str">
        <f>"BC0563081"</f>
        <v>BC0563081</v>
      </c>
      <c r="I2700" t="str">
        <f>"GALLS  LLC-D.B.A. STERLING'S U"</f>
        <v>GALLS  LLC-D.B.A. STERLING'S U</v>
      </c>
    </row>
    <row r="2701" spans="1:9" x14ac:dyDescent="0.25">
      <c r="A2701" s="6">
        <v>43179</v>
      </c>
      <c r="B2701" t="s">
        <v>26</v>
      </c>
      <c r="C2701">
        <v>57182</v>
      </c>
      <c r="D2701" t="s">
        <v>173</v>
      </c>
      <c r="E2701" s="7">
        <v>100</v>
      </c>
      <c r="F2701" t="s">
        <v>20</v>
      </c>
      <c r="G2701" t="s">
        <v>21</v>
      </c>
      <c r="H2701" t="str">
        <f>"TRNG 4.30-5.02"</f>
        <v>TRNG 4.30-5.02</v>
      </c>
      <c r="I2701" t="str">
        <f>"BEXAR COUNTY SHERIFF'S OFFICE"</f>
        <v>BEXAR COUNTY SHERIFF'S OFFICE</v>
      </c>
    </row>
    <row r="2702" spans="1:9" x14ac:dyDescent="0.25">
      <c r="E2702" s="7"/>
      <c r="F2702" t="s">
        <v>20</v>
      </c>
      <c r="G2702" t="s">
        <v>21</v>
      </c>
      <c r="H2702" t="str">
        <f>"TRNG 5.21-5.23"</f>
        <v>TRNG 5.21-5.23</v>
      </c>
      <c r="I2702" t="str">
        <f>"BEXAR COUNTY SHERIFF'S OFFICE"</f>
        <v>BEXAR COUNTY SHERIFF'S OFFICE</v>
      </c>
    </row>
    <row r="2703" spans="1:9" x14ac:dyDescent="0.25">
      <c r="A2703" s="6">
        <v>43179</v>
      </c>
      <c r="B2703" t="s">
        <v>26</v>
      </c>
      <c r="C2703">
        <v>57183</v>
      </c>
      <c r="D2703" t="s">
        <v>344</v>
      </c>
      <c r="E2703" s="7">
        <v>60</v>
      </c>
      <c r="F2703" t="s">
        <v>20</v>
      </c>
      <c r="G2703" t="s">
        <v>21</v>
      </c>
      <c r="H2703" t="str">
        <f>"3.17.18"</f>
        <v>3.17.18</v>
      </c>
      <c r="I2703" t="str">
        <f>"ALLISON RENAE LOPEZ"</f>
        <v>ALLISON RENAE LOPEZ</v>
      </c>
    </row>
    <row r="2704" spans="1:9" x14ac:dyDescent="0.25">
      <c r="A2704" s="6">
        <v>43179</v>
      </c>
      <c r="B2704" t="s">
        <v>91</v>
      </c>
      <c r="C2704">
        <v>57184</v>
      </c>
      <c r="D2704" t="s">
        <v>195</v>
      </c>
      <c r="E2704" s="7">
        <v>1573.7</v>
      </c>
      <c r="F2704" t="s">
        <v>20</v>
      </c>
      <c r="G2704" t="s">
        <v>21</v>
      </c>
      <c r="H2704" t="str">
        <f>"1565201803"</f>
        <v>1565201803</v>
      </c>
      <c r="I2704" t="str">
        <f>"ARISTA INFORMATION SYSTEMS  IN"</f>
        <v>ARISTA INFORMATION SYSTEMS  IN</v>
      </c>
    </row>
    <row r="2705" spans="1:9" x14ac:dyDescent="0.25">
      <c r="E2705" s="7"/>
      <c r="F2705" t="s">
        <v>20</v>
      </c>
      <c r="G2705" t="s">
        <v>21</v>
      </c>
      <c r="H2705" t="str">
        <f>"25012"</f>
        <v>25012</v>
      </c>
      <c r="I2705" t="str">
        <f>"ARISTA INFORMATION SYSTEMS  IN"</f>
        <v>ARISTA INFORMATION SYSTEMS  IN</v>
      </c>
    </row>
    <row r="2706" spans="1:9" x14ac:dyDescent="0.25">
      <c r="A2706" s="6">
        <v>43179</v>
      </c>
      <c r="B2706" t="s">
        <v>26</v>
      </c>
      <c r="C2706">
        <v>57185</v>
      </c>
      <c r="D2706" t="s">
        <v>196</v>
      </c>
      <c r="E2706" s="7">
        <v>1175.8800000000001</v>
      </c>
      <c r="F2706" t="s">
        <v>20</v>
      </c>
      <c r="G2706" t="s">
        <v>21</v>
      </c>
      <c r="H2706" t="str">
        <f>"2018-0024"</f>
        <v>2018-0024</v>
      </c>
      <c r="I2706" t="str">
        <f>"RF SPECIALTIES OF TX"</f>
        <v>RF SPECIALTIES OF TX</v>
      </c>
    </row>
    <row r="2707" spans="1:9" x14ac:dyDescent="0.25">
      <c r="E2707" s="7"/>
      <c r="F2707" t="s">
        <v>20</v>
      </c>
      <c r="G2707" t="s">
        <v>21</v>
      </c>
      <c r="H2707" t="str">
        <f>"2018-0030"</f>
        <v>2018-0030</v>
      </c>
      <c r="I2707" t="str">
        <f>"RF SPECIALTIES OF TX"</f>
        <v>RF SPECIALTIES OF TX</v>
      </c>
    </row>
    <row r="2708" spans="1:9" x14ac:dyDescent="0.25">
      <c r="A2708" s="6">
        <v>43179</v>
      </c>
      <c r="B2708" t="s">
        <v>26</v>
      </c>
      <c r="C2708">
        <v>57186</v>
      </c>
      <c r="D2708" t="s">
        <v>345</v>
      </c>
      <c r="E2708" s="7">
        <v>226.6</v>
      </c>
      <c r="F2708" t="s">
        <v>20</v>
      </c>
      <c r="G2708" t="s">
        <v>21</v>
      </c>
      <c r="H2708" t="str">
        <f>"3.9-3.17-18"</f>
        <v>3.9-3.17-18</v>
      </c>
      <c r="I2708" t="str">
        <f>"MICHAEL ISAAC MARTINEZ"</f>
        <v>MICHAEL ISAAC MARTINEZ</v>
      </c>
    </row>
    <row r="2709" spans="1:9" x14ac:dyDescent="0.25">
      <c r="A2709" s="6">
        <v>43179</v>
      </c>
      <c r="B2709" t="s">
        <v>26</v>
      </c>
      <c r="C2709">
        <v>57187</v>
      </c>
      <c r="D2709" t="s">
        <v>288</v>
      </c>
      <c r="E2709" s="7">
        <v>160</v>
      </c>
      <c r="F2709" t="s">
        <v>20</v>
      </c>
      <c r="G2709" t="s">
        <v>21</v>
      </c>
      <c r="H2709" t="str">
        <f>"SI-1525120"</f>
        <v>SI-1525120</v>
      </c>
      <c r="I2709" t="str">
        <f>"AXON ENTERPRISES INC"</f>
        <v>AXON ENTERPRISES INC</v>
      </c>
    </row>
    <row r="2710" spans="1:9" x14ac:dyDescent="0.25">
      <c r="A2710" s="6">
        <v>43179</v>
      </c>
      <c r="B2710" t="s">
        <v>26</v>
      </c>
      <c r="C2710">
        <v>57188</v>
      </c>
      <c r="D2710" t="s">
        <v>346</v>
      </c>
      <c r="E2710" s="7">
        <v>27500</v>
      </c>
      <c r="F2710" t="s">
        <v>20</v>
      </c>
      <c r="G2710" t="s">
        <v>21</v>
      </c>
      <c r="H2710" t="str">
        <f>"01/11-02/11/2018"</f>
        <v>01/11-02/11/2018</v>
      </c>
      <c r="I2710" t="str">
        <f>"SYLVIA RODRIGUEZ"</f>
        <v>SYLVIA RODRIGUEZ</v>
      </c>
    </row>
    <row r="2711" spans="1:9" x14ac:dyDescent="0.25">
      <c r="E2711" s="7"/>
      <c r="F2711" t="s">
        <v>20</v>
      </c>
      <c r="G2711" t="s">
        <v>21</v>
      </c>
      <c r="H2711" t="str">
        <f>"02/11-03/11/2018"</f>
        <v>02/11-03/11/2018</v>
      </c>
      <c r="I2711" t="str">
        <f>"SYLVIA RODRIGUEZ"</f>
        <v>SYLVIA RODRIGUEZ</v>
      </c>
    </row>
    <row r="2712" spans="1:9" x14ac:dyDescent="0.25">
      <c r="A2712" s="6">
        <v>43179</v>
      </c>
      <c r="B2712" t="s">
        <v>26</v>
      </c>
      <c r="C2712">
        <v>57190</v>
      </c>
      <c r="D2712" t="s">
        <v>347</v>
      </c>
      <c r="E2712" s="7">
        <v>7250</v>
      </c>
      <c r="F2712" t="s">
        <v>20</v>
      </c>
      <c r="G2712" t="s">
        <v>21</v>
      </c>
      <c r="H2712" t="str">
        <f>"WALL MURAL DEP"</f>
        <v>WALL MURAL DEP</v>
      </c>
      <c r="I2712" t="str">
        <f>"JIMMY JOHN RAMIREZ"</f>
        <v>JIMMY JOHN RAMIREZ</v>
      </c>
    </row>
    <row r="2713" spans="1:9" x14ac:dyDescent="0.25">
      <c r="A2713" s="6">
        <v>43179</v>
      </c>
      <c r="B2713" t="s">
        <v>26</v>
      </c>
      <c r="C2713">
        <v>57191</v>
      </c>
      <c r="D2713" t="s">
        <v>348</v>
      </c>
      <c r="E2713" s="7">
        <v>60</v>
      </c>
      <c r="F2713" t="s">
        <v>20</v>
      </c>
      <c r="G2713" t="s">
        <v>21</v>
      </c>
      <c r="H2713" t="str">
        <f>"3.17.18"</f>
        <v>3.17.18</v>
      </c>
      <c r="I2713" t="str">
        <f>"ANGELICA ECHAVARRIA"</f>
        <v>ANGELICA ECHAVARRIA</v>
      </c>
    </row>
    <row r="2714" spans="1:9" x14ac:dyDescent="0.25">
      <c r="A2714" s="6">
        <v>43179</v>
      </c>
      <c r="B2714" t="s">
        <v>26</v>
      </c>
      <c r="C2714">
        <v>57192</v>
      </c>
      <c r="D2714" t="s">
        <v>349</v>
      </c>
      <c r="E2714" s="7">
        <v>61.05</v>
      </c>
      <c r="F2714" t="s">
        <v>20</v>
      </c>
      <c r="G2714" t="s">
        <v>21</v>
      </c>
      <c r="H2714" t="str">
        <f>"93179073"</f>
        <v>93179073</v>
      </c>
      <c r="I2714" t="str">
        <f>"AAA COOPER TRANSPORTATION"</f>
        <v>AAA COOPER TRANSPORTATION</v>
      </c>
    </row>
    <row r="2715" spans="1:9" x14ac:dyDescent="0.25">
      <c r="A2715" s="6">
        <v>43179</v>
      </c>
      <c r="B2715" t="s">
        <v>26</v>
      </c>
      <c r="C2715">
        <v>57193</v>
      </c>
      <c r="D2715" t="s">
        <v>350</v>
      </c>
      <c r="E2715" s="7">
        <v>370</v>
      </c>
      <c r="F2715" t="s">
        <v>20</v>
      </c>
      <c r="G2715" t="s">
        <v>21</v>
      </c>
      <c r="H2715" t="str">
        <f>"ST. PATTY EVENT"</f>
        <v>ST. PATTY EVENT</v>
      </c>
      <c r="I2715" t="str">
        <f>"RICK ALFARO"</f>
        <v>RICK ALFARO</v>
      </c>
    </row>
    <row r="2716" spans="1:9" x14ac:dyDescent="0.25">
      <c r="A2716" s="6">
        <v>43179</v>
      </c>
      <c r="B2716" t="s">
        <v>26</v>
      </c>
      <c r="C2716">
        <v>57194</v>
      </c>
      <c r="D2716" t="s">
        <v>351</v>
      </c>
      <c r="E2716" s="7">
        <v>75</v>
      </c>
      <c r="F2716" t="s">
        <v>20</v>
      </c>
      <c r="G2716" t="s">
        <v>21</v>
      </c>
      <c r="H2716" t="str">
        <f>"440921"</f>
        <v>440921</v>
      </c>
      <c r="I2716" t="str">
        <f>"H &amp; H OIL"</f>
        <v>H &amp; H OIL</v>
      </c>
    </row>
    <row r="2717" spans="1:9" x14ac:dyDescent="0.25">
      <c r="A2717" s="6">
        <v>43179</v>
      </c>
      <c r="B2717" t="s">
        <v>26</v>
      </c>
      <c r="C2717">
        <v>57195</v>
      </c>
      <c r="D2717" t="s">
        <v>352</v>
      </c>
      <c r="E2717" s="7">
        <v>360</v>
      </c>
      <c r="F2717" t="s">
        <v>20</v>
      </c>
      <c r="G2717" t="s">
        <v>21</v>
      </c>
      <c r="H2717" t="str">
        <f>"26563"</f>
        <v>26563</v>
      </c>
      <c r="I2717" t="str">
        <f>"SKELTON FIRE ALARM"</f>
        <v>SKELTON FIRE ALARM</v>
      </c>
    </row>
    <row r="2718" spans="1:9" x14ac:dyDescent="0.25">
      <c r="A2718" s="6">
        <v>43179</v>
      </c>
      <c r="B2718" t="s">
        <v>26</v>
      </c>
      <c r="C2718">
        <v>57196</v>
      </c>
      <c r="D2718" t="s">
        <v>353</v>
      </c>
      <c r="E2718" s="7">
        <v>72.84</v>
      </c>
      <c r="F2718" t="s">
        <v>20</v>
      </c>
      <c r="G2718" t="s">
        <v>21</v>
      </c>
      <c r="H2718" t="str">
        <f>"000201803218321"</f>
        <v>000201803218321</v>
      </c>
      <c r="I2718" t="str">
        <f t="shared" ref="I2718:I2731" si="52">"US REFUND"</f>
        <v>US REFUND</v>
      </c>
    </row>
    <row r="2719" spans="1:9" x14ac:dyDescent="0.25">
      <c r="A2719" s="6">
        <v>43179</v>
      </c>
      <c r="B2719" t="s">
        <v>26</v>
      </c>
      <c r="C2719">
        <v>57197</v>
      </c>
      <c r="D2719" t="s">
        <v>354</v>
      </c>
      <c r="E2719" s="7">
        <v>28</v>
      </c>
      <c r="F2719" t="s">
        <v>20</v>
      </c>
      <c r="G2719" t="s">
        <v>21</v>
      </c>
      <c r="H2719" t="str">
        <f>"000201803218322"</f>
        <v>000201803218322</v>
      </c>
      <c r="I2719" t="str">
        <f t="shared" si="52"/>
        <v>US REFUND</v>
      </c>
    </row>
    <row r="2720" spans="1:9" x14ac:dyDescent="0.25">
      <c r="A2720" s="6">
        <v>43179</v>
      </c>
      <c r="B2720" t="s">
        <v>26</v>
      </c>
      <c r="C2720">
        <v>57198</v>
      </c>
      <c r="D2720" t="s">
        <v>355</v>
      </c>
      <c r="E2720" s="7">
        <v>18.75</v>
      </c>
      <c r="F2720" t="s">
        <v>20</v>
      </c>
      <c r="G2720" t="s">
        <v>21</v>
      </c>
      <c r="H2720" t="str">
        <f>"000201803218323"</f>
        <v>000201803218323</v>
      </c>
      <c r="I2720" t="str">
        <f t="shared" si="52"/>
        <v>US REFUND</v>
      </c>
    </row>
    <row r="2721" spans="1:9" x14ac:dyDescent="0.25">
      <c r="A2721" s="6">
        <v>43179</v>
      </c>
      <c r="B2721" t="s">
        <v>26</v>
      </c>
      <c r="C2721">
        <v>57199</v>
      </c>
      <c r="D2721" t="s">
        <v>356</v>
      </c>
      <c r="E2721" s="7">
        <v>120.5</v>
      </c>
      <c r="F2721" t="s">
        <v>20</v>
      </c>
      <c r="G2721" t="s">
        <v>21</v>
      </c>
      <c r="H2721" t="str">
        <f>"000201803218324"</f>
        <v>000201803218324</v>
      </c>
      <c r="I2721" t="str">
        <f t="shared" si="52"/>
        <v>US REFUND</v>
      </c>
    </row>
    <row r="2722" spans="1:9" x14ac:dyDescent="0.25">
      <c r="A2722" s="6">
        <v>43179</v>
      </c>
      <c r="B2722" t="s">
        <v>26</v>
      </c>
      <c r="C2722">
        <v>57200</v>
      </c>
      <c r="D2722" t="s">
        <v>357</v>
      </c>
      <c r="E2722" s="7">
        <v>8.6999999999999993</v>
      </c>
      <c r="F2722" t="s">
        <v>20</v>
      </c>
      <c r="G2722" t="s">
        <v>21</v>
      </c>
      <c r="H2722" t="str">
        <f>"000201803218325"</f>
        <v>000201803218325</v>
      </c>
      <c r="I2722" t="str">
        <f t="shared" si="52"/>
        <v>US REFUND</v>
      </c>
    </row>
    <row r="2723" spans="1:9" x14ac:dyDescent="0.25">
      <c r="A2723" s="6">
        <v>43180</v>
      </c>
      <c r="B2723" t="s">
        <v>26</v>
      </c>
      <c r="C2723">
        <v>57203</v>
      </c>
      <c r="D2723" t="s">
        <v>358</v>
      </c>
      <c r="E2723" s="7">
        <v>4.83</v>
      </c>
      <c r="F2723" t="s">
        <v>20</v>
      </c>
      <c r="G2723" t="s">
        <v>21</v>
      </c>
      <c r="H2723" t="str">
        <f>"000201803208311"</f>
        <v>000201803208311</v>
      </c>
      <c r="I2723" t="str">
        <f t="shared" si="52"/>
        <v>US REFUND</v>
      </c>
    </row>
    <row r="2724" spans="1:9" x14ac:dyDescent="0.25">
      <c r="A2724" s="6">
        <v>43180</v>
      </c>
      <c r="B2724" t="s">
        <v>26</v>
      </c>
      <c r="C2724">
        <v>57204</v>
      </c>
      <c r="D2724" t="s">
        <v>359</v>
      </c>
      <c r="E2724" s="7">
        <v>31.73</v>
      </c>
      <c r="F2724" t="s">
        <v>20</v>
      </c>
      <c r="G2724" t="s">
        <v>21</v>
      </c>
      <c r="H2724" t="str">
        <f>"000201803208312"</f>
        <v>000201803208312</v>
      </c>
      <c r="I2724" t="str">
        <f t="shared" si="52"/>
        <v>US REFUND</v>
      </c>
    </row>
    <row r="2725" spans="1:9" x14ac:dyDescent="0.25">
      <c r="A2725" s="6">
        <v>43180</v>
      </c>
      <c r="B2725" t="s">
        <v>26</v>
      </c>
      <c r="C2725">
        <v>57205</v>
      </c>
      <c r="D2725" t="s">
        <v>360</v>
      </c>
      <c r="E2725" s="7">
        <v>37.51</v>
      </c>
      <c r="F2725" t="s">
        <v>20</v>
      </c>
      <c r="G2725" t="s">
        <v>21</v>
      </c>
      <c r="H2725" t="str">
        <f>"000201803208313"</f>
        <v>000201803208313</v>
      </c>
      <c r="I2725" t="str">
        <f t="shared" si="52"/>
        <v>US REFUND</v>
      </c>
    </row>
    <row r="2726" spans="1:9" x14ac:dyDescent="0.25">
      <c r="A2726" s="6">
        <v>43180</v>
      </c>
      <c r="B2726" t="s">
        <v>26</v>
      </c>
      <c r="C2726">
        <v>57206</v>
      </c>
      <c r="D2726" t="s">
        <v>360</v>
      </c>
      <c r="E2726" s="7">
        <v>52.92</v>
      </c>
      <c r="F2726" t="s">
        <v>20</v>
      </c>
      <c r="G2726" t="s">
        <v>21</v>
      </c>
      <c r="H2726" t="str">
        <f>"000201803208314"</f>
        <v>000201803208314</v>
      </c>
      <c r="I2726" t="str">
        <f t="shared" si="52"/>
        <v>US REFUND</v>
      </c>
    </row>
    <row r="2727" spans="1:9" x14ac:dyDescent="0.25">
      <c r="A2727" s="6">
        <v>43180</v>
      </c>
      <c r="B2727" t="s">
        <v>26</v>
      </c>
      <c r="C2727">
        <v>57207</v>
      </c>
      <c r="D2727" t="s">
        <v>360</v>
      </c>
      <c r="E2727" s="7">
        <v>47.96</v>
      </c>
      <c r="F2727" t="s">
        <v>20</v>
      </c>
      <c r="G2727" t="s">
        <v>21</v>
      </c>
      <c r="H2727" t="str">
        <f>"000201803208315"</f>
        <v>000201803208315</v>
      </c>
      <c r="I2727" t="str">
        <f t="shared" si="52"/>
        <v>US REFUND</v>
      </c>
    </row>
    <row r="2728" spans="1:9" x14ac:dyDescent="0.25">
      <c r="A2728" s="6">
        <v>43180</v>
      </c>
      <c r="B2728" t="s">
        <v>26</v>
      </c>
      <c r="C2728">
        <v>57208</v>
      </c>
      <c r="D2728" t="s">
        <v>360</v>
      </c>
      <c r="E2728" s="7">
        <v>47.96</v>
      </c>
      <c r="F2728" t="s">
        <v>20</v>
      </c>
      <c r="G2728" t="s">
        <v>21</v>
      </c>
      <c r="H2728" t="str">
        <f>"000201803208316"</f>
        <v>000201803208316</v>
      </c>
      <c r="I2728" t="str">
        <f t="shared" si="52"/>
        <v>US REFUND</v>
      </c>
    </row>
    <row r="2729" spans="1:9" x14ac:dyDescent="0.25">
      <c r="A2729" s="6">
        <v>43180</v>
      </c>
      <c r="B2729" t="s">
        <v>26</v>
      </c>
      <c r="C2729">
        <v>57209</v>
      </c>
      <c r="D2729" t="s">
        <v>360</v>
      </c>
      <c r="E2729" s="7">
        <v>28.54</v>
      </c>
      <c r="F2729" t="s">
        <v>20</v>
      </c>
      <c r="G2729" t="s">
        <v>21</v>
      </c>
      <c r="H2729" t="str">
        <f>"000201803208317"</f>
        <v>000201803208317</v>
      </c>
      <c r="I2729" t="str">
        <f t="shared" si="52"/>
        <v>US REFUND</v>
      </c>
    </row>
    <row r="2730" spans="1:9" x14ac:dyDescent="0.25">
      <c r="A2730" s="6">
        <v>43180</v>
      </c>
      <c r="B2730" t="s">
        <v>26</v>
      </c>
      <c r="C2730">
        <v>57210</v>
      </c>
      <c r="D2730" t="s">
        <v>361</v>
      </c>
      <c r="E2730" s="7">
        <v>11.2</v>
      </c>
      <c r="F2730" t="s">
        <v>20</v>
      </c>
      <c r="G2730" t="s">
        <v>21</v>
      </c>
      <c r="H2730" t="str">
        <f>"000201803208318"</f>
        <v>000201803208318</v>
      </c>
      <c r="I2730" t="str">
        <f t="shared" si="52"/>
        <v>US REFUND</v>
      </c>
    </row>
    <row r="2731" spans="1:9" x14ac:dyDescent="0.25">
      <c r="A2731" s="6">
        <v>43180</v>
      </c>
      <c r="B2731" t="s">
        <v>26</v>
      </c>
      <c r="C2731">
        <v>57211</v>
      </c>
      <c r="D2731" t="s">
        <v>362</v>
      </c>
      <c r="E2731" s="7">
        <v>72.06</v>
      </c>
      <c r="F2731" t="s">
        <v>20</v>
      </c>
      <c r="G2731" t="s">
        <v>21</v>
      </c>
      <c r="H2731" t="str">
        <f>"000201803208319"</f>
        <v>000201803208319</v>
      </c>
      <c r="I2731" t="str">
        <f t="shared" si="52"/>
        <v>US REFUND</v>
      </c>
    </row>
    <row r="2732" spans="1:9" x14ac:dyDescent="0.25">
      <c r="A2732" s="6">
        <v>43180</v>
      </c>
      <c r="B2732" t="s">
        <v>26</v>
      </c>
      <c r="C2732">
        <v>57212</v>
      </c>
      <c r="D2732" t="s">
        <v>223</v>
      </c>
      <c r="E2732" s="7">
        <v>75</v>
      </c>
      <c r="F2732" t="s">
        <v>20</v>
      </c>
      <c r="G2732" t="s">
        <v>21</v>
      </c>
      <c r="H2732" t="str">
        <f>"032018-COUNCIL"</f>
        <v>032018-COUNCIL</v>
      </c>
      <c r="I2732" t="str">
        <f>""</f>
        <v/>
      </c>
    </row>
    <row r="2733" spans="1:9" x14ac:dyDescent="0.25">
      <c r="A2733" s="6">
        <v>43180</v>
      </c>
      <c r="B2733" t="s">
        <v>26</v>
      </c>
      <c r="C2733">
        <v>57213</v>
      </c>
      <c r="D2733" t="s">
        <v>36</v>
      </c>
      <c r="E2733" s="7">
        <v>75</v>
      </c>
      <c r="F2733" t="s">
        <v>20</v>
      </c>
      <c r="G2733" t="s">
        <v>21</v>
      </c>
      <c r="H2733" t="str">
        <f>"032018-COUNCIL"</f>
        <v>032018-COUNCIL</v>
      </c>
      <c r="I2733" t="str">
        <f>""</f>
        <v/>
      </c>
    </row>
    <row r="2734" spans="1:9" x14ac:dyDescent="0.25">
      <c r="A2734" s="6">
        <v>43180</v>
      </c>
      <c r="B2734" t="s">
        <v>91</v>
      </c>
      <c r="C2734">
        <v>57214</v>
      </c>
      <c r="D2734" t="s">
        <v>37</v>
      </c>
      <c r="E2734" s="7">
        <v>75</v>
      </c>
      <c r="F2734" t="s">
        <v>20</v>
      </c>
      <c r="G2734" t="s">
        <v>21</v>
      </c>
      <c r="H2734" t="str">
        <f>"032018-COUNCIL"</f>
        <v>032018-COUNCIL</v>
      </c>
      <c r="I2734" t="str">
        <f>""</f>
        <v/>
      </c>
    </row>
    <row r="2735" spans="1:9" x14ac:dyDescent="0.25">
      <c r="A2735" s="6">
        <v>43180</v>
      </c>
      <c r="B2735" t="s">
        <v>26</v>
      </c>
      <c r="C2735">
        <v>57215</v>
      </c>
      <c r="D2735" t="s">
        <v>38</v>
      </c>
      <c r="E2735" s="7">
        <v>100</v>
      </c>
      <c r="F2735" t="s">
        <v>20</v>
      </c>
      <c r="G2735" t="s">
        <v>21</v>
      </c>
      <c r="H2735" t="str">
        <f>"032018-MAYOR"</f>
        <v>032018-MAYOR</v>
      </c>
      <c r="I2735" t="str">
        <f>""</f>
        <v/>
      </c>
    </row>
    <row r="2736" spans="1:9" x14ac:dyDescent="0.25">
      <c r="A2736" s="6">
        <v>43180</v>
      </c>
      <c r="B2736" t="s">
        <v>26</v>
      </c>
      <c r="C2736">
        <v>57216</v>
      </c>
      <c r="D2736" t="s">
        <v>39</v>
      </c>
      <c r="E2736" s="7">
        <v>75</v>
      </c>
      <c r="F2736" t="s">
        <v>20</v>
      </c>
      <c r="G2736" t="s">
        <v>21</v>
      </c>
      <c r="H2736" t="str">
        <f>"032018-COUNCIL"</f>
        <v>032018-COUNCIL</v>
      </c>
      <c r="I2736" t="str">
        <f>""</f>
        <v/>
      </c>
    </row>
    <row r="2737" spans="1:9" x14ac:dyDescent="0.25">
      <c r="A2737" s="6">
        <v>43180</v>
      </c>
      <c r="B2737" t="s">
        <v>26</v>
      </c>
      <c r="C2737">
        <v>57217</v>
      </c>
      <c r="D2737" t="s">
        <v>40</v>
      </c>
      <c r="E2737" s="7">
        <v>75</v>
      </c>
      <c r="F2737" t="s">
        <v>20</v>
      </c>
      <c r="G2737" t="s">
        <v>21</v>
      </c>
      <c r="H2737" t="str">
        <f>"032018-COUNCIL"</f>
        <v>032018-COUNCIL</v>
      </c>
      <c r="I2737" t="str">
        <f>""</f>
        <v/>
      </c>
    </row>
    <row r="2738" spans="1:9" x14ac:dyDescent="0.25">
      <c r="A2738" s="6">
        <v>43181</v>
      </c>
      <c r="B2738" t="s">
        <v>26</v>
      </c>
      <c r="C2738">
        <v>57218</v>
      </c>
      <c r="D2738" t="s">
        <v>159</v>
      </c>
      <c r="E2738" s="7">
        <v>632.19000000000005</v>
      </c>
      <c r="F2738" t="s">
        <v>20</v>
      </c>
      <c r="G2738" t="s">
        <v>21</v>
      </c>
      <c r="H2738" t="str">
        <f>"37646"</f>
        <v>37646</v>
      </c>
      <c r="I2738" t="str">
        <f>"PHOTOGRAPHS BY JIM"</f>
        <v>PHOTOGRAPHS BY JIM</v>
      </c>
    </row>
    <row r="2739" spans="1:9" x14ac:dyDescent="0.25">
      <c r="A2739" s="6">
        <v>43181</v>
      </c>
      <c r="B2739" t="s">
        <v>26</v>
      </c>
      <c r="C2739">
        <v>57219</v>
      </c>
      <c r="D2739" t="s">
        <v>78</v>
      </c>
      <c r="E2739" s="7">
        <v>12563.45</v>
      </c>
      <c r="F2739" t="s">
        <v>20</v>
      </c>
      <c r="G2739" t="s">
        <v>21</v>
      </c>
      <c r="H2739" t="str">
        <f>"23567"</f>
        <v>23567</v>
      </c>
      <c r="I2739" t="str">
        <f>"DENTON NAVARRO ROCHA BERNAL HY"</f>
        <v>DENTON NAVARRO ROCHA BERNAL HY</v>
      </c>
    </row>
    <row r="2740" spans="1:9" x14ac:dyDescent="0.25">
      <c r="A2740" s="6">
        <v>43181</v>
      </c>
      <c r="B2740" t="s">
        <v>26</v>
      </c>
      <c r="C2740">
        <v>57220</v>
      </c>
      <c r="D2740" t="s">
        <v>363</v>
      </c>
      <c r="E2740" s="7">
        <v>350</v>
      </c>
      <c r="F2740" t="s">
        <v>20</v>
      </c>
      <c r="G2740" t="s">
        <v>21</v>
      </c>
      <c r="H2740" t="str">
        <f>"828"</f>
        <v>828</v>
      </c>
      <c r="I2740" t="str">
        <f>"FLORESVILLE LIONS CLUB"</f>
        <v>FLORESVILLE LIONS CLUB</v>
      </c>
    </row>
    <row r="2741" spans="1:9" x14ac:dyDescent="0.25">
      <c r="A2741" s="6">
        <v>43181</v>
      </c>
      <c r="B2741" t="s">
        <v>26</v>
      </c>
      <c r="C2741">
        <v>57221</v>
      </c>
      <c r="D2741" t="s">
        <v>47</v>
      </c>
      <c r="E2741" s="7">
        <v>191057.25</v>
      </c>
      <c r="F2741" t="s">
        <v>20</v>
      </c>
      <c r="G2741" t="s">
        <v>21</v>
      </c>
      <c r="H2741" t="str">
        <f>"DRAW #15"</f>
        <v>DRAW #15</v>
      </c>
      <c r="I2741" t="str">
        <f>"HEARTLAND PARK &amp; RECREATION  L"</f>
        <v>HEARTLAND PARK &amp; RECREATION  L</v>
      </c>
    </row>
    <row r="2742" spans="1:9" x14ac:dyDescent="0.25">
      <c r="A2742" s="6">
        <v>43181</v>
      </c>
      <c r="B2742" t="s">
        <v>91</v>
      </c>
      <c r="C2742">
        <v>57222</v>
      </c>
      <c r="D2742" t="s">
        <v>364</v>
      </c>
      <c r="E2742" s="7">
        <v>50</v>
      </c>
      <c r="F2742" t="s">
        <v>20</v>
      </c>
      <c r="G2742" t="s">
        <v>21</v>
      </c>
      <c r="H2742" t="str">
        <f>"DEPOSIT - 3/24/18"</f>
        <v>DEPOSIT - 3/24/18</v>
      </c>
      <c r="I2742" t="str">
        <f>"RAMIREZ PARTY RENTAL"</f>
        <v>RAMIREZ PARTY RENTAL</v>
      </c>
    </row>
    <row r="2743" spans="1:9" x14ac:dyDescent="0.25">
      <c r="A2743" s="6">
        <v>43181</v>
      </c>
      <c r="B2743" t="s">
        <v>91</v>
      </c>
      <c r="C2743">
        <v>57222</v>
      </c>
      <c r="D2743" t="s">
        <v>364</v>
      </c>
      <c r="E2743" s="7">
        <v>50</v>
      </c>
      <c r="F2743" t="s">
        <v>20</v>
      </c>
      <c r="G2743" t="s">
        <v>93</v>
      </c>
      <c r="H2743" t="str">
        <f>"CHECK"</f>
        <v>CHECK</v>
      </c>
      <c r="I2743" t="str">
        <f>""</f>
        <v/>
      </c>
    </row>
    <row r="2744" spans="1:9" x14ac:dyDescent="0.25">
      <c r="A2744" s="6">
        <v>43181</v>
      </c>
      <c r="B2744" t="s">
        <v>26</v>
      </c>
      <c r="C2744">
        <v>57223</v>
      </c>
      <c r="D2744" t="s">
        <v>365</v>
      </c>
      <c r="E2744" s="7">
        <v>395</v>
      </c>
      <c r="F2744" t="s">
        <v>20</v>
      </c>
      <c r="G2744" t="s">
        <v>21</v>
      </c>
      <c r="H2744" t="str">
        <f>"1803024"</f>
        <v>1803024</v>
      </c>
      <c r="I2744" t="str">
        <f>"KIDDIE EXPRESS TRAIN  LLC"</f>
        <v>KIDDIE EXPRESS TRAIN  LLC</v>
      </c>
    </row>
    <row r="2745" spans="1:9" x14ac:dyDescent="0.25">
      <c r="A2745" s="6">
        <v>43181</v>
      </c>
      <c r="B2745" t="s">
        <v>26</v>
      </c>
      <c r="C2745">
        <v>57224</v>
      </c>
      <c r="D2745" t="s">
        <v>364</v>
      </c>
      <c r="E2745" s="7">
        <v>195</v>
      </c>
      <c r="F2745" t="s">
        <v>20</v>
      </c>
      <c r="G2745" t="s">
        <v>21</v>
      </c>
      <c r="H2745" t="str">
        <f>"PARK EVENT 3/24/18"</f>
        <v>PARK EVENT 3/24/18</v>
      </c>
      <c r="I2745" t="str">
        <f>"RAMIREZ PARTY RENTAL"</f>
        <v>RAMIREZ PARTY RENTAL</v>
      </c>
    </row>
    <row r="2746" spans="1:9" x14ac:dyDescent="0.25">
      <c r="A2746" s="6">
        <v>43187</v>
      </c>
      <c r="B2746" t="s">
        <v>26</v>
      </c>
      <c r="C2746">
        <v>57237</v>
      </c>
      <c r="D2746" t="s">
        <v>51</v>
      </c>
      <c r="E2746" s="7">
        <v>18.47</v>
      </c>
      <c r="F2746" t="s">
        <v>20</v>
      </c>
      <c r="G2746" t="s">
        <v>21</v>
      </c>
      <c r="H2746" t="str">
        <f>"PDD201803208320"</f>
        <v>PDD201803208320</v>
      </c>
      <c r="I2746" t="str">
        <f>"POLICE OFFICERS ASSOC DUES"</f>
        <v>POLICE OFFICERS ASSOC DUES</v>
      </c>
    </row>
    <row r="2747" spans="1:9" x14ac:dyDescent="0.25">
      <c r="A2747" s="6">
        <v>43187</v>
      </c>
      <c r="B2747" t="s">
        <v>26</v>
      </c>
      <c r="C2747">
        <v>57238</v>
      </c>
      <c r="D2747" t="s">
        <v>90</v>
      </c>
      <c r="E2747" s="7">
        <v>51.6</v>
      </c>
      <c r="F2747" t="s">
        <v>20</v>
      </c>
      <c r="G2747" t="s">
        <v>21</v>
      </c>
      <c r="H2747" t="str">
        <f>"AFS201803288326"</f>
        <v>AFS201803288326</v>
      </c>
      <c r="I2747" t="str">
        <f>"AFLAC STD"</f>
        <v>AFLAC STD</v>
      </c>
    </row>
    <row r="2748" spans="1:9" x14ac:dyDescent="0.25">
      <c r="A2748" s="6">
        <v>43187</v>
      </c>
      <c r="B2748" t="s">
        <v>26</v>
      </c>
      <c r="C2748">
        <v>57239</v>
      </c>
      <c r="D2748" t="s">
        <v>54</v>
      </c>
      <c r="E2748" s="7">
        <v>50</v>
      </c>
      <c r="F2748" t="s">
        <v>20</v>
      </c>
      <c r="G2748" t="s">
        <v>21</v>
      </c>
      <c r="H2748" t="str">
        <f>"457201803288326"</f>
        <v>457201803288326</v>
      </c>
      <c r="I2748" t="str">
        <f>"CASE # 180-60751 457B DEDUCT"</f>
        <v>CASE # 180-60751 457B DEDUCT</v>
      </c>
    </row>
    <row r="2749" spans="1:9" x14ac:dyDescent="0.25">
      <c r="A2749" s="6">
        <v>43187</v>
      </c>
      <c r="B2749" t="s">
        <v>26</v>
      </c>
      <c r="C2749">
        <v>57240</v>
      </c>
      <c r="D2749" t="s">
        <v>51</v>
      </c>
      <c r="E2749" s="7">
        <v>309.37</v>
      </c>
      <c r="F2749" t="s">
        <v>20</v>
      </c>
      <c r="G2749" t="s">
        <v>21</v>
      </c>
      <c r="H2749" t="str">
        <f>"CLE201803288327"</f>
        <v>CLE201803288327</v>
      </c>
      <c r="I2749" t="str">
        <f>"CLEAT ONLY DUES"</f>
        <v>CLEAT ONLY DUES</v>
      </c>
    </row>
    <row r="2750" spans="1:9" x14ac:dyDescent="0.25">
      <c r="E2750" s="7"/>
      <c r="F2750" t="s">
        <v>20</v>
      </c>
      <c r="G2750" t="s">
        <v>21</v>
      </c>
      <c r="H2750" t="str">
        <f>"PDD201803288327"</f>
        <v>PDD201803288327</v>
      </c>
      <c r="I2750" t="str">
        <f>"POLICE OFFICERS ASSOC DUES"</f>
        <v>POLICE OFFICERS ASSOC DUES</v>
      </c>
    </row>
    <row r="2751" spans="1:9" x14ac:dyDescent="0.25">
      <c r="A2751" s="6">
        <v>43187</v>
      </c>
      <c r="B2751" t="s">
        <v>26</v>
      </c>
      <c r="C2751">
        <v>57241</v>
      </c>
      <c r="D2751" t="s">
        <v>90</v>
      </c>
      <c r="E2751" s="7">
        <v>114.96</v>
      </c>
      <c r="F2751" t="s">
        <v>20</v>
      </c>
      <c r="G2751" t="s">
        <v>21</v>
      </c>
      <c r="H2751" t="str">
        <f>"AFS201803288327"</f>
        <v>AFS201803288327</v>
      </c>
      <c r="I2751" t="str">
        <f>"AFLAC STD"</f>
        <v>AFLAC STD</v>
      </c>
    </row>
    <row r="2752" spans="1:9" x14ac:dyDescent="0.25">
      <c r="A2752" s="6">
        <v>43187</v>
      </c>
      <c r="B2752" t="s">
        <v>26</v>
      </c>
      <c r="C2752">
        <v>57242</v>
      </c>
      <c r="D2752" t="s">
        <v>52</v>
      </c>
      <c r="E2752" s="7">
        <v>1331.53</v>
      </c>
      <c r="F2752" t="s">
        <v>20</v>
      </c>
      <c r="G2752" t="s">
        <v>21</v>
      </c>
      <c r="H2752" t="str">
        <f>"CPS201803288327"</f>
        <v>CPS201803288327</v>
      </c>
      <c r="I2752" t="str">
        <f>"G MENDOZA 00123012032010EM5054"</f>
        <v>G MENDOZA 00123012032010EM5054</v>
      </c>
    </row>
    <row r="2753" spans="1:9" x14ac:dyDescent="0.25">
      <c r="E2753" s="7"/>
      <c r="F2753" t="s">
        <v>20</v>
      </c>
      <c r="G2753" t="s">
        <v>21</v>
      </c>
      <c r="H2753" t="str">
        <f>"CS 201803288327"</f>
        <v>CS 201803288327</v>
      </c>
      <c r="I2753" t="str">
        <f>"CAUSE#98EM504113 PEGGY RIVAS"</f>
        <v>CAUSE#98EM504113 PEGGY RIVAS</v>
      </c>
    </row>
    <row r="2754" spans="1:9" x14ac:dyDescent="0.25">
      <c r="E2754" s="7"/>
      <c r="F2754" t="s">
        <v>20</v>
      </c>
      <c r="G2754" t="s">
        <v>21</v>
      </c>
      <c r="H2754" t="str">
        <f>"CS1201803288327"</f>
        <v>CS1201803288327</v>
      </c>
      <c r="I2754" t="str">
        <f>"CAUSE# 10008CVW DEBRA ESQUEDA"</f>
        <v>CAUSE# 10008CVW DEBRA ESQUEDA</v>
      </c>
    </row>
    <row r="2755" spans="1:9" x14ac:dyDescent="0.25">
      <c r="E2755" s="7"/>
      <c r="F2755" t="s">
        <v>20</v>
      </c>
      <c r="G2755" t="s">
        <v>21</v>
      </c>
      <c r="H2755" t="str">
        <f>"CSJ201803288327"</f>
        <v>CSJ201803288327</v>
      </c>
      <c r="I2755" t="str">
        <f>"CAUSE# 0010185272 MARIANN GUTI"</f>
        <v>CAUSE# 0010185272 MARIANN GUTI</v>
      </c>
    </row>
    <row r="2756" spans="1:9" x14ac:dyDescent="0.25">
      <c r="E2756" s="7"/>
      <c r="F2756" t="s">
        <v>20</v>
      </c>
      <c r="G2756" t="s">
        <v>21</v>
      </c>
      <c r="H2756" t="str">
        <f>"CST201803288327"</f>
        <v>CST201803288327</v>
      </c>
      <c r="I2756" t="str">
        <f>"CAUSE #0009418917 SONIA PEREZ"</f>
        <v>CAUSE #0009418917 SONIA PEREZ</v>
      </c>
    </row>
    <row r="2757" spans="1:9" x14ac:dyDescent="0.25">
      <c r="A2757" s="6">
        <v>43187</v>
      </c>
      <c r="B2757" t="s">
        <v>26</v>
      </c>
      <c r="C2757">
        <v>57243</v>
      </c>
      <c r="D2757" t="s">
        <v>53</v>
      </c>
      <c r="E2757" s="7">
        <v>99.1</v>
      </c>
      <c r="F2757" t="s">
        <v>20</v>
      </c>
      <c r="G2757" t="s">
        <v>21</v>
      </c>
      <c r="H2757" t="str">
        <f>"MCO201803288327"</f>
        <v>MCO201803288327</v>
      </c>
      <c r="I2757" t="str">
        <f>"MONICA CORDOVA"</f>
        <v>MONICA CORDOVA</v>
      </c>
    </row>
    <row r="2758" spans="1:9" x14ac:dyDescent="0.25">
      <c r="A2758" s="6">
        <v>43187</v>
      </c>
      <c r="B2758" t="s">
        <v>26</v>
      </c>
      <c r="C2758">
        <v>57244</v>
      </c>
      <c r="D2758" t="s">
        <v>54</v>
      </c>
      <c r="E2758" s="7">
        <v>1236.74</v>
      </c>
      <c r="F2758" t="s">
        <v>20</v>
      </c>
      <c r="G2758" t="s">
        <v>21</v>
      </c>
      <c r="H2758" t="str">
        <f>"457201803288327"</f>
        <v>457201803288327</v>
      </c>
      <c r="I2758" t="str">
        <f>"CASE # 180-60751 457B DEDUCT"</f>
        <v>CASE # 180-60751 457B DEDUCT</v>
      </c>
    </row>
    <row r="2759" spans="1:9" x14ac:dyDescent="0.25">
      <c r="A2759" s="6">
        <v>43187</v>
      </c>
      <c r="B2759" t="s">
        <v>26</v>
      </c>
      <c r="C2759">
        <v>57245</v>
      </c>
      <c r="D2759" t="s">
        <v>57</v>
      </c>
      <c r="E2759" s="7">
        <v>22947.01</v>
      </c>
      <c r="F2759" t="s">
        <v>20</v>
      </c>
      <c r="G2759" t="s">
        <v>21</v>
      </c>
      <c r="H2759" t="str">
        <f>"4.10.18"</f>
        <v>4.10.18</v>
      </c>
      <c r="I2759" t="str">
        <f>"F.E.L.P.S."</f>
        <v>F.E.L.P.S.</v>
      </c>
    </row>
    <row r="2760" spans="1:9" x14ac:dyDescent="0.25">
      <c r="A2760" s="6">
        <v>43187</v>
      </c>
      <c r="B2760" t="s">
        <v>26</v>
      </c>
      <c r="C2760">
        <v>57246</v>
      </c>
      <c r="D2760" t="s">
        <v>117</v>
      </c>
      <c r="E2760" s="7">
        <v>1335.8</v>
      </c>
      <c r="F2760" t="s">
        <v>20</v>
      </c>
      <c r="G2760" t="s">
        <v>21</v>
      </c>
      <c r="H2760" t="str">
        <f>"FEBRUARY 2018"</f>
        <v>FEBRUARY 2018</v>
      </c>
      <c r="I2760" t="str">
        <f>"LINEBARGER GOGGAN BLAIR &amp; SAMP"</f>
        <v>LINEBARGER GOGGAN BLAIR &amp; SAMP</v>
      </c>
    </row>
    <row r="2761" spans="1:9" x14ac:dyDescent="0.25">
      <c r="A2761" s="6">
        <v>43187</v>
      </c>
      <c r="B2761" t="s">
        <v>26</v>
      </c>
      <c r="C2761">
        <v>57247</v>
      </c>
      <c r="D2761" t="s">
        <v>29</v>
      </c>
      <c r="E2761" s="7">
        <v>6274.67</v>
      </c>
      <c r="F2761" t="s">
        <v>20</v>
      </c>
      <c r="G2761" t="s">
        <v>21</v>
      </c>
      <c r="H2761" t="str">
        <f>"30669"</f>
        <v>30669</v>
      </c>
      <c r="I2761" t="str">
        <f>"M &amp; S ENGINEERING  LLC"</f>
        <v>M &amp; S ENGINEERING  LLC</v>
      </c>
    </row>
    <row r="2762" spans="1:9" x14ac:dyDescent="0.25">
      <c r="A2762" s="6">
        <v>43187</v>
      </c>
      <c r="B2762" t="s">
        <v>26</v>
      </c>
      <c r="C2762">
        <v>57248</v>
      </c>
      <c r="D2762" t="s">
        <v>123</v>
      </c>
      <c r="E2762" s="7">
        <v>12.99</v>
      </c>
      <c r="F2762" t="s">
        <v>20</v>
      </c>
      <c r="G2762" t="s">
        <v>21</v>
      </c>
      <c r="H2762" t="str">
        <f>"978343352001"</f>
        <v>978343352001</v>
      </c>
      <c r="I2762" t="str">
        <f>"OFFICE DEPOT  INC."</f>
        <v>OFFICE DEPOT  INC.</v>
      </c>
    </row>
    <row r="2763" spans="1:9" x14ac:dyDescent="0.25">
      <c r="A2763" s="6">
        <v>43187</v>
      </c>
      <c r="B2763" t="s">
        <v>26</v>
      </c>
      <c r="C2763">
        <v>57249</v>
      </c>
      <c r="D2763" t="s">
        <v>32</v>
      </c>
      <c r="E2763" s="7">
        <v>85</v>
      </c>
      <c r="F2763" t="s">
        <v>20</v>
      </c>
      <c r="G2763" t="s">
        <v>21</v>
      </c>
      <c r="H2763" t="str">
        <f>"3.24.18"</f>
        <v>3.24.18</v>
      </c>
      <c r="I2763" t="str">
        <f>"SHARON KERRIGAN"</f>
        <v>SHARON KERRIGAN</v>
      </c>
    </row>
    <row r="2764" spans="1:9" x14ac:dyDescent="0.25">
      <c r="A2764" s="6">
        <v>43187</v>
      </c>
      <c r="B2764" t="s">
        <v>26</v>
      </c>
      <c r="C2764">
        <v>57250</v>
      </c>
      <c r="D2764" t="s">
        <v>33</v>
      </c>
      <c r="E2764" s="7">
        <v>85</v>
      </c>
      <c r="F2764" t="s">
        <v>20</v>
      </c>
      <c r="G2764" t="s">
        <v>21</v>
      </c>
      <c r="H2764" t="str">
        <f>"3.24.18"</f>
        <v>3.24.18</v>
      </c>
      <c r="I2764" t="str">
        <f>"DEBORAH KORCZYK"</f>
        <v>DEBORAH KORCZYK</v>
      </c>
    </row>
    <row r="2765" spans="1:9" x14ac:dyDescent="0.25">
      <c r="A2765" s="6">
        <v>43187</v>
      </c>
      <c r="B2765" t="s">
        <v>26</v>
      </c>
      <c r="C2765">
        <v>57251</v>
      </c>
      <c r="D2765" t="s">
        <v>308</v>
      </c>
      <c r="E2765" s="7">
        <v>217.35</v>
      </c>
      <c r="F2765" t="s">
        <v>20</v>
      </c>
      <c r="G2765" t="s">
        <v>21</v>
      </c>
      <c r="H2765" t="str">
        <f>"TRAINING 4/3-5"</f>
        <v>TRAINING 4/3-5</v>
      </c>
      <c r="I2765" t="str">
        <f>"JOHNNY VILLARREAL"</f>
        <v>JOHNNY VILLARREAL</v>
      </c>
    </row>
    <row r="2766" spans="1:9" x14ac:dyDescent="0.25">
      <c r="A2766" s="6">
        <v>43187</v>
      </c>
      <c r="B2766" t="s">
        <v>26</v>
      </c>
      <c r="C2766">
        <v>57252</v>
      </c>
      <c r="D2766" t="s">
        <v>198</v>
      </c>
      <c r="E2766" s="7">
        <v>82.5</v>
      </c>
      <c r="F2766" t="s">
        <v>20</v>
      </c>
      <c r="G2766" t="s">
        <v>21</v>
      </c>
      <c r="H2766" t="str">
        <f>"3.24.18"</f>
        <v>3.24.18</v>
      </c>
      <c r="I2766" t="str">
        <f>"ABELINA MURILLO"</f>
        <v>ABELINA MURILLO</v>
      </c>
    </row>
    <row r="2767" spans="1:9" x14ac:dyDescent="0.25">
      <c r="A2767" s="6">
        <v>43187</v>
      </c>
      <c r="B2767" t="s">
        <v>26</v>
      </c>
      <c r="C2767">
        <v>57253</v>
      </c>
      <c r="D2767" t="s">
        <v>48</v>
      </c>
      <c r="E2767" s="7">
        <v>1914.64</v>
      </c>
      <c r="F2767" t="s">
        <v>20</v>
      </c>
      <c r="G2767" t="s">
        <v>21</v>
      </c>
      <c r="H2767" t="str">
        <f>"1569"</f>
        <v>1569</v>
      </c>
      <c r="I2767" t="str">
        <f>"RANDY HOLLAR  LLC"</f>
        <v>RANDY HOLLAR  LLC</v>
      </c>
    </row>
    <row r="2768" spans="1:9" x14ac:dyDescent="0.25">
      <c r="A2768" s="6">
        <v>43199</v>
      </c>
      <c r="B2768" t="s">
        <v>26</v>
      </c>
      <c r="C2768">
        <v>57254</v>
      </c>
      <c r="D2768" t="s">
        <v>56</v>
      </c>
      <c r="E2768" s="7">
        <v>10</v>
      </c>
      <c r="F2768" t="s">
        <v>20</v>
      </c>
      <c r="G2768" t="s">
        <v>21</v>
      </c>
      <c r="H2768" t="str">
        <f>"165886"</f>
        <v>165886</v>
      </c>
      <c r="I2768" t="str">
        <f>"GERALD LUBIANSKI ENTERPRISES"</f>
        <v>GERALD LUBIANSKI ENTERPRISES</v>
      </c>
    </row>
    <row r="2769" spans="1:9" x14ac:dyDescent="0.25">
      <c r="A2769" s="6">
        <v>43199</v>
      </c>
      <c r="B2769" t="s">
        <v>26</v>
      </c>
      <c r="C2769">
        <v>57255</v>
      </c>
      <c r="D2769" t="s">
        <v>165</v>
      </c>
      <c r="E2769" s="7">
        <v>235.89</v>
      </c>
      <c r="F2769" t="s">
        <v>20</v>
      </c>
      <c r="G2769" t="s">
        <v>21</v>
      </c>
      <c r="H2769" t="str">
        <f>"3/16/18"</f>
        <v>3/16/18</v>
      </c>
      <c r="I2769" t="str">
        <f>"WAL-MART BUSINESS/SYNCB"</f>
        <v>WAL-MART BUSINESS/SYNCB</v>
      </c>
    </row>
    <row r="2770" spans="1:9" x14ac:dyDescent="0.25">
      <c r="A2770" s="6">
        <v>43199</v>
      </c>
      <c r="B2770" t="s">
        <v>26</v>
      </c>
      <c r="C2770">
        <v>57256</v>
      </c>
      <c r="D2770" t="s">
        <v>58</v>
      </c>
      <c r="E2770" s="7">
        <v>325.5</v>
      </c>
      <c r="F2770" t="s">
        <v>20</v>
      </c>
      <c r="G2770" t="s">
        <v>21</v>
      </c>
      <c r="H2770" t="str">
        <f>"3/2018"</f>
        <v>3/2018</v>
      </c>
      <c r="I2770" t="str">
        <f>"DEASON ANIMAL HOSPITAL"</f>
        <v>DEASON ANIMAL HOSPITAL</v>
      </c>
    </row>
    <row r="2771" spans="1:9" x14ac:dyDescent="0.25">
      <c r="A2771" s="6">
        <v>43199</v>
      </c>
      <c r="B2771" t="s">
        <v>26</v>
      </c>
      <c r="C2771">
        <v>57257</v>
      </c>
      <c r="D2771" t="s">
        <v>104</v>
      </c>
      <c r="E2771" s="7">
        <v>3926.91</v>
      </c>
      <c r="F2771" t="s">
        <v>20</v>
      </c>
      <c r="G2771" t="s">
        <v>21</v>
      </c>
      <c r="H2771" t="str">
        <f>"201804098338"</f>
        <v>201804098338</v>
      </c>
      <c r="I2771" t="str">
        <f>"WILSON COUNTY NEWS"</f>
        <v>WILSON COUNTY NEWS</v>
      </c>
    </row>
    <row r="2772" spans="1:9" x14ac:dyDescent="0.25">
      <c r="E2772" s="7"/>
      <c r="F2772" t="s">
        <v>20</v>
      </c>
      <c r="G2772" t="s">
        <v>21</v>
      </c>
      <c r="H2772" t="str">
        <f>"201804098339"</f>
        <v>201804098339</v>
      </c>
      <c r="I2772" t="str">
        <f>"WILSON COUNTY NEWS"</f>
        <v>WILSON COUNTY NEWS</v>
      </c>
    </row>
    <row r="2773" spans="1:9" x14ac:dyDescent="0.25">
      <c r="E2773" s="7"/>
      <c r="F2773" t="s">
        <v>20</v>
      </c>
      <c r="G2773" t="s">
        <v>21</v>
      </c>
      <c r="H2773" t="str">
        <f>"201804098340"</f>
        <v>201804098340</v>
      </c>
      <c r="I2773" t="str">
        <f>"WILSON COUNTY NEWS"</f>
        <v>WILSON COUNTY NEWS</v>
      </c>
    </row>
    <row r="2774" spans="1:9" x14ac:dyDescent="0.25">
      <c r="A2774" s="6">
        <v>43199</v>
      </c>
      <c r="B2774" t="s">
        <v>26</v>
      </c>
      <c r="C2774">
        <v>57258</v>
      </c>
      <c r="D2774" t="s">
        <v>366</v>
      </c>
      <c r="E2774" s="7">
        <v>16778.400000000001</v>
      </c>
      <c r="F2774" t="s">
        <v>20</v>
      </c>
      <c r="G2774" t="s">
        <v>21</v>
      </c>
      <c r="H2774" t="str">
        <f>"QE 3/31/2018"</f>
        <v>QE 3/31/2018</v>
      </c>
      <c r="I2774" t="str">
        <f>"COMPTROLLER OF PUBLIC ACCOUNTS"</f>
        <v>COMPTROLLER OF PUBLIC ACCOUNTS</v>
      </c>
    </row>
    <row r="2775" spans="1:9" x14ac:dyDescent="0.25">
      <c r="A2775" s="6">
        <v>43199</v>
      </c>
      <c r="B2775" t="s">
        <v>26</v>
      </c>
      <c r="C2775">
        <v>57259</v>
      </c>
      <c r="D2775" t="s">
        <v>202</v>
      </c>
      <c r="E2775" s="7">
        <v>271.38</v>
      </c>
      <c r="F2775" t="s">
        <v>20</v>
      </c>
      <c r="G2775" t="s">
        <v>21</v>
      </c>
      <c r="H2775" t="str">
        <f>"61712877"</f>
        <v>61712877</v>
      </c>
      <c r="I2775" t="str">
        <f>"VULCAN CONSTRUCTION MATERIALS"</f>
        <v>VULCAN CONSTRUCTION MATERIALS</v>
      </c>
    </row>
    <row r="2776" spans="1:9" x14ac:dyDescent="0.25">
      <c r="A2776" s="6">
        <v>43199</v>
      </c>
      <c r="B2776" t="s">
        <v>26</v>
      </c>
      <c r="C2776">
        <v>57260</v>
      </c>
      <c r="D2776" t="s">
        <v>367</v>
      </c>
      <c r="E2776" s="7">
        <v>500</v>
      </c>
      <c r="F2776" t="s">
        <v>20</v>
      </c>
      <c r="G2776" t="s">
        <v>21</v>
      </c>
      <c r="H2776" t="str">
        <f>"CEM. PLOT REF"</f>
        <v>CEM. PLOT REF</v>
      </c>
      <c r="I2776" t="str">
        <f>"CEM PLOT REF"</f>
        <v>CEM PLOT REF</v>
      </c>
    </row>
    <row r="2777" spans="1:9" x14ac:dyDescent="0.25">
      <c r="A2777" s="6">
        <v>43199</v>
      </c>
      <c r="B2777" t="s">
        <v>26</v>
      </c>
      <c r="C2777">
        <v>57261</v>
      </c>
      <c r="D2777" t="s">
        <v>62</v>
      </c>
      <c r="E2777" s="7">
        <v>186</v>
      </c>
      <c r="F2777" t="s">
        <v>20</v>
      </c>
      <c r="G2777" t="s">
        <v>21</v>
      </c>
      <c r="H2777" t="str">
        <f>"58517"</f>
        <v>58517</v>
      </c>
      <c r="I2777" t="str">
        <f>"SBS ADMINISTRATIVE SERVICES  L"</f>
        <v>SBS ADMINISTRATIVE SERVICES  L</v>
      </c>
    </row>
    <row r="2778" spans="1:9" x14ac:dyDescent="0.25">
      <c r="A2778" s="6">
        <v>43199</v>
      </c>
      <c r="B2778" t="s">
        <v>26</v>
      </c>
      <c r="C2778">
        <v>57262</v>
      </c>
      <c r="D2778" t="s">
        <v>204</v>
      </c>
      <c r="E2778" s="7">
        <v>235</v>
      </c>
      <c r="F2778" t="s">
        <v>20</v>
      </c>
      <c r="G2778" t="s">
        <v>21</v>
      </c>
      <c r="H2778" t="str">
        <f>"003077"</f>
        <v>003077</v>
      </c>
      <c r="I2778" t="str">
        <f>"PROCESS CONTROL CALIBRATION"</f>
        <v>PROCESS CONTROL CALIBRATION</v>
      </c>
    </row>
    <row r="2779" spans="1:9" x14ac:dyDescent="0.25">
      <c r="A2779" s="6">
        <v>43199</v>
      </c>
      <c r="B2779" t="s">
        <v>26</v>
      </c>
      <c r="C2779">
        <v>57263</v>
      </c>
      <c r="D2779" t="s">
        <v>63</v>
      </c>
      <c r="E2779" s="7">
        <v>150.38999999999999</v>
      </c>
      <c r="F2779" t="s">
        <v>20</v>
      </c>
      <c r="G2779" t="s">
        <v>21</v>
      </c>
      <c r="H2779" t="str">
        <f>"8403587064"</f>
        <v>8403587064</v>
      </c>
      <c r="I2779" t="str">
        <f>"CINTAS CORPORATION"</f>
        <v>CINTAS CORPORATION</v>
      </c>
    </row>
    <row r="2780" spans="1:9" x14ac:dyDescent="0.25">
      <c r="A2780" s="6">
        <v>43199</v>
      </c>
      <c r="B2780" t="s">
        <v>26</v>
      </c>
      <c r="C2780">
        <v>57264</v>
      </c>
      <c r="D2780" t="s">
        <v>64</v>
      </c>
      <c r="E2780" s="7">
        <v>3960</v>
      </c>
      <c r="F2780" t="s">
        <v>20</v>
      </c>
      <c r="G2780" t="s">
        <v>21</v>
      </c>
      <c r="H2780" t="str">
        <f>"7501"</f>
        <v>7501</v>
      </c>
      <c r="I2780" t="str">
        <f>"DREWA DESIGNS  INC."</f>
        <v>DREWA DESIGNS  INC.</v>
      </c>
    </row>
    <row r="2781" spans="1:9" x14ac:dyDescent="0.25">
      <c r="A2781" s="6">
        <v>43199</v>
      </c>
      <c r="B2781" t="s">
        <v>26</v>
      </c>
      <c r="C2781">
        <v>57265</v>
      </c>
      <c r="D2781" t="s">
        <v>213</v>
      </c>
      <c r="E2781" s="7">
        <v>2781.72</v>
      </c>
      <c r="F2781" t="s">
        <v>20</v>
      </c>
      <c r="G2781" t="s">
        <v>21</v>
      </c>
      <c r="H2781" t="str">
        <f>"3/2018"</f>
        <v>3/2018</v>
      </c>
      <c r="I2781" t="str">
        <f>"RIVER BEND COMMUNITY DEVELOPME"</f>
        <v>RIVER BEND COMMUNITY DEVELOPME</v>
      </c>
    </row>
    <row r="2782" spans="1:9" x14ac:dyDescent="0.25">
      <c r="A2782" s="6">
        <v>43199</v>
      </c>
      <c r="B2782" t="s">
        <v>26</v>
      </c>
      <c r="C2782">
        <v>57266</v>
      </c>
      <c r="D2782" t="s">
        <v>368</v>
      </c>
      <c r="E2782" s="7">
        <v>16000</v>
      </c>
      <c r="F2782" t="s">
        <v>20</v>
      </c>
      <c r="G2782" t="s">
        <v>21</v>
      </c>
      <c r="H2782" t="str">
        <f>"201804098337"</f>
        <v>201804098337</v>
      </c>
      <c r="I2782" t="str">
        <f>"FLORESVILLE FIRE DEPARTMENT"</f>
        <v>FLORESVILLE FIRE DEPARTMENT</v>
      </c>
    </row>
    <row r="2783" spans="1:9" x14ac:dyDescent="0.25">
      <c r="A2783" s="6">
        <v>43199</v>
      </c>
      <c r="B2783" t="s">
        <v>26</v>
      </c>
      <c r="C2783">
        <v>57267</v>
      </c>
      <c r="D2783" t="s">
        <v>67</v>
      </c>
      <c r="E2783" s="7">
        <v>297.77</v>
      </c>
      <c r="F2783" t="s">
        <v>20</v>
      </c>
      <c r="G2783" t="s">
        <v>21</v>
      </c>
      <c r="H2783" t="str">
        <f>"201804098330"</f>
        <v>201804098330</v>
      </c>
      <c r="I2783" t="str">
        <f>"ANYTIME FITNESS"</f>
        <v>ANYTIME FITNESS</v>
      </c>
    </row>
    <row r="2784" spans="1:9" x14ac:dyDescent="0.25">
      <c r="A2784" s="6">
        <v>43199</v>
      </c>
      <c r="B2784" t="s">
        <v>26</v>
      </c>
      <c r="C2784">
        <v>57268</v>
      </c>
      <c r="D2784" t="s">
        <v>29</v>
      </c>
      <c r="E2784" s="7">
        <v>8321.25</v>
      </c>
      <c r="F2784" t="s">
        <v>20</v>
      </c>
      <c r="G2784" t="s">
        <v>21</v>
      </c>
      <c r="H2784" t="str">
        <f>"30665"</f>
        <v>30665</v>
      </c>
      <c r="I2784" t="str">
        <f>"M &amp; S ENGINEERING  LLC"</f>
        <v>M &amp; S ENGINEERING  LLC</v>
      </c>
    </row>
    <row r="2785" spans="1:9" x14ac:dyDescent="0.25">
      <c r="A2785" s="6">
        <v>43199</v>
      </c>
      <c r="B2785" t="s">
        <v>26</v>
      </c>
      <c r="C2785">
        <v>57269</v>
      </c>
      <c r="D2785" t="s">
        <v>74</v>
      </c>
      <c r="E2785" s="7">
        <v>92.44</v>
      </c>
      <c r="F2785" t="s">
        <v>20</v>
      </c>
      <c r="G2785" t="s">
        <v>21</v>
      </c>
      <c r="H2785" t="str">
        <f>"9804140010"</f>
        <v>9804140010</v>
      </c>
      <c r="I2785" t="str">
        <f>"VERIZON WIRELESS"</f>
        <v>VERIZON WIRELESS</v>
      </c>
    </row>
    <row r="2786" spans="1:9" x14ac:dyDescent="0.25">
      <c r="A2786" s="6">
        <v>43199</v>
      </c>
      <c r="B2786" t="s">
        <v>26</v>
      </c>
      <c r="C2786">
        <v>57270</v>
      </c>
      <c r="D2786" t="s">
        <v>123</v>
      </c>
      <c r="E2786" s="7">
        <v>159.75</v>
      </c>
      <c r="F2786" t="s">
        <v>20</v>
      </c>
      <c r="G2786" t="s">
        <v>21</v>
      </c>
      <c r="H2786" t="str">
        <f>"115634558001"</f>
        <v>115634558001</v>
      </c>
      <c r="I2786" t="str">
        <f>"OFFICE DEPOT  INC."</f>
        <v>OFFICE DEPOT  INC.</v>
      </c>
    </row>
    <row r="2787" spans="1:9" x14ac:dyDescent="0.25">
      <c r="E2787" s="7"/>
      <c r="F2787" t="s">
        <v>20</v>
      </c>
      <c r="G2787" t="s">
        <v>21</v>
      </c>
      <c r="H2787" t="str">
        <f>"120115639001"</f>
        <v>120115639001</v>
      </c>
      <c r="I2787" t="str">
        <f>"OFFICE DEPOT  INC."</f>
        <v>OFFICE DEPOT  INC.</v>
      </c>
    </row>
    <row r="2788" spans="1:9" x14ac:dyDescent="0.25">
      <c r="A2788" s="6">
        <v>43199</v>
      </c>
      <c r="B2788" t="s">
        <v>26</v>
      </c>
      <c r="C2788">
        <v>57271</v>
      </c>
      <c r="D2788" t="s">
        <v>284</v>
      </c>
      <c r="E2788" s="7">
        <v>494</v>
      </c>
      <c r="F2788" t="s">
        <v>20</v>
      </c>
      <c r="G2788" t="s">
        <v>21</v>
      </c>
      <c r="H2788" t="str">
        <f>"ADVREP119861"</f>
        <v>ADVREP119861</v>
      </c>
      <c r="I2788" t="str">
        <f>"WATCHGUARD VIDEO"</f>
        <v>WATCHGUARD VIDEO</v>
      </c>
    </row>
    <row r="2789" spans="1:9" x14ac:dyDescent="0.25">
      <c r="A2789" s="6">
        <v>43199</v>
      </c>
      <c r="B2789" t="s">
        <v>26</v>
      </c>
      <c r="C2789">
        <v>57272</v>
      </c>
      <c r="D2789" t="s">
        <v>126</v>
      </c>
      <c r="E2789" s="7">
        <v>9733.16</v>
      </c>
      <c r="F2789" t="s">
        <v>20</v>
      </c>
      <c r="G2789" t="s">
        <v>21</v>
      </c>
      <c r="H2789" t="str">
        <f>"5119-000082656"</f>
        <v>5119-000082656</v>
      </c>
      <c r="I2789" t="str">
        <f>"REPUBLIC SERVICES #859"</f>
        <v>REPUBLIC SERVICES #859</v>
      </c>
    </row>
    <row r="2790" spans="1:9" x14ac:dyDescent="0.25">
      <c r="A2790" s="6">
        <v>43199</v>
      </c>
      <c r="B2790" t="s">
        <v>26</v>
      </c>
      <c r="C2790">
        <v>57273</v>
      </c>
      <c r="D2790" t="s">
        <v>147</v>
      </c>
      <c r="E2790" s="7">
        <v>1950.57</v>
      </c>
      <c r="F2790" t="s">
        <v>20</v>
      </c>
      <c r="G2790" t="s">
        <v>21</v>
      </c>
      <c r="H2790" t="str">
        <f>"579"</f>
        <v>579</v>
      </c>
      <c r="I2790" t="str">
        <f>"SRALLA ELECTRIC"</f>
        <v>SRALLA ELECTRIC</v>
      </c>
    </row>
    <row r="2791" spans="1:9" x14ac:dyDescent="0.25">
      <c r="E2791" s="7"/>
      <c r="F2791" t="s">
        <v>20</v>
      </c>
      <c r="G2791" t="s">
        <v>21</v>
      </c>
      <c r="H2791" t="str">
        <f>"656"</f>
        <v>656</v>
      </c>
      <c r="I2791" t="str">
        <f>"SRALLA ELECTRIC"</f>
        <v>SRALLA ELECTRIC</v>
      </c>
    </row>
    <row r="2792" spans="1:9" x14ac:dyDescent="0.25">
      <c r="A2792" s="6">
        <v>43199</v>
      </c>
      <c r="B2792" t="s">
        <v>26</v>
      </c>
      <c r="C2792">
        <v>57274</v>
      </c>
      <c r="D2792" t="s">
        <v>79</v>
      </c>
      <c r="E2792" s="7">
        <v>55.54</v>
      </c>
      <c r="F2792" t="s">
        <v>20</v>
      </c>
      <c r="G2792" t="s">
        <v>21</v>
      </c>
      <c r="H2792" t="str">
        <f>"6-133-96908"</f>
        <v>6-133-96908</v>
      </c>
      <c r="I2792" t="str">
        <f>"FEDEX"</f>
        <v>FEDEX</v>
      </c>
    </row>
    <row r="2793" spans="1:9" x14ac:dyDescent="0.25">
      <c r="A2793" s="6">
        <v>43199</v>
      </c>
      <c r="B2793" t="s">
        <v>26</v>
      </c>
      <c r="C2793">
        <v>57275</v>
      </c>
      <c r="D2793" t="s">
        <v>80</v>
      </c>
      <c r="E2793" s="7">
        <v>1776.91</v>
      </c>
      <c r="F2793" t="s">
        <v>20</v>
      </c>
      <c r="G2793" t="s">
        <v>21</v>
      </c>
      <c r="H2793" t="str">
        <f>"1648-20180401-1"</f>
        <v>1648-20180401-1</v>
      </c>
      <c r="I2793" t="str">
        <f>"LVWIFI.COM"</f>
        <v>LVWIFI.COM</v>
      </c>
    </row>
    <row r="2794" spans="1:9" x14ac:dyDescent="0.25">
      <c r="E2794" s="7"/>
      <c r="F2794" t="s">
        <v>20</v>
      </c>
      <c r="G2794" t="s">
        <v>21</v>
      </c>
      <c r="H2794" t="str">
        <f>"2313-20180401-1"</f>
        <v>2313-20180401-1</v>
      </c>
      <c r="I2794" t="str">
        <f>"LVWIFI.COM"</f>
        <v>LVWIFI.COM</v>
      </c>
    </row>
    <row r="2795" spans="1:9" x14ac:dyDescent="0.25">
      <c r="E2795" s="7"/>
      <c r="F2795" t="s">
        <v>20</v>
      </c>
      <c r="G2795" t="s">
        <v>21</v>
      </c>
      <c r="H2795" t="str">
        <f>"2314-20180401-1"</f>
        <v>2314-20180401-1</v>
      </c>
      <c r="I2795" t="str">
        <f>"LVWIFI.COM"</f>
        <v>LVWIFI.COM</v>
      </c>
    </row>
    <row r="2796" spans="1:9" x14ac:dyDescent="0.25">
      <c r="E2796" s="7"/>
      <c r="F2796" t="s">
        <v>20</v>
      </c>
      <c r="G2796" t="s">
        <v>21</v>
      </c>
      <c r="H2796" t="str">
        <f>"2478-20180401-1"</f>
        <v>2478-20180401-1</v>
      </c>
      <c r="I2796" t="str">
        <f>"LVWIFI.COM"</f>
        <v>LVWIFI.COM</v>
      </c>
    </row>
    <row r="2797" spans="1:9" x14ac:dyDescent="0.25">
      <c r="A2797" s="6">
        <v>43199</v>
      </c>
      <c r="B2797" t="s">
        <v>26</v>
      </c>
      <c r="C2797">
        <v>57276</v>
      </c>
      <c r="D2797" t="s">
        <v>191</v>
      </c>
      <c r="E2797" s="7">
        <v>1558.35</v>
      </c>
      <c r="F2797" t="s">
        <v>20</v>
      </c>
      <c r="G2797" t="s">
        <v>21</v>
      </c>
      <c r="H2797" t="str">
        <f>"INV06-002445"</f>
        <v>INV06-002445</v>
      </c>
      <c r="I2797" t="str">
        <f>"MUNISERVICES  LLC"</f>
        <v>MUNISERVICES  LLC</v>
      </c>
    </row>
    <row r="2798" spans="1:9" x14ac:dyDescent="0.25">
      <c r="A2798" s="6">
        <v>43199</v>
      </c>
      <c r="B2798" t="s">
        <v>26</v>
      </c>
      <c r="C2798">
        <v>57277</v>
      </c>
      <c r="D2798" t="s">
        <v>31</v>
      </c>
      <c r="E2798" s="7">
        <v>2230</v>
      </c>
      <c r="F2798" t="s">
        <v>20</v>
      </c>
      <c r="G2798" t="s">
        <v>21</v>
      </c>
      <c r="H2798" t="str">
        <f>"2018188"</f>
        <v>2018188</v>
      </c>
      <c r="I2798" t="str">
        <f>"THE LAW OFFICE OF TOM CALDWELL"</f>
        <v>THE LAW OFFICE OF TOM CALDWELL</v>
      </c>
    </row>
    <row r="2799" spans="1:9" x14ac:dyDescent="0.25">
      <c r="A2799" s="6">
        <v>43199</v>
      </c>
      <c r="B2799" t="s">
        <v>26</v>
      </c>
      <c r="C2799">
        <v>57278</v>
      </c>
      <c r="D2799" t="s">
        <v>369</v>
      </c>
      <c r="E2799" s="7">
        <v>599.29999999999995</v>
      </c>
      <c r="F2799" t="s">
        <v>20</v>
      </c>
      <c r="G2799" t="s">
        <v>21</v>
      </c>
      <c r="H2799" t="str">
        <f>"00306592"</f>
        <v>00306592</v>
      </c>
      <c r="I2799" t="str">
        <f>"MUNICODE"</f>
        <v>MUNICODE</v>
      </c>
    </row>
    <row r="2800" spans="1:9" x14ac:dyDescent="0.25">
      <c r="A2800" s="6">
        <v>43199</v>
      </c>
      <c r="B2800" t="s">
        <v>26</v>
      </c>
      <c r="C2800">
        <v>57279</v>
      </c>
      <c r="D2800" t="s">
        <v>153</v>
      </c>
      <c r="E2800" s="7">
        <v>1100</v>
      </c>
      <c r="F2800" t="s">
        <v>20</v>
      </c>
      <c r="G2800" t="s">
        <v>21</v>
      </c>
      <c r="H2800" t="str">
        <f>"040518"</f>
        <v>040518</v>
      </c>
      <c r="I2800" t="str">
        <f>"FULLER COMPANY"</f>
        <v>FULLER COMPANY</v>
      </c>
    </row>
    <row r="2801" spans="1:9" x14ac:dyDescent="0.25">
      <c r="A2801" s="6">
        <v>43199</v>
      </c>
      <c r="B2801" t="s">
        <v>26</v>
      </c>
      <c r="C2801">
        <v>57280</v>
      </c>
      <c r="D2801" t="s">
        <v>83</v>
      </c>
      <c r="E2801" s="7">
        <v>918</v>
      </c>
      <c r="F2801" t="s">
        <v>20</v>
      </c>
      <c r="G2801" t="s">
        <v>21</v>
      </c>
      <c r="H2801" t="str">
        <f>"320278"</f>
        <v>320278</v>
      </c>
      <c r="I2801" t="str">
        <f>"APPRIVER"</f>
        <v>APPRIVER</v>
      </c>
    </row>
    <row r="2802" spans="1:9" x14ac:dyDescent="0.25">
      <c r="A2802" s="6">
        <v>43199</v>
      </c>
      <c r="B2802" t="s">
        <v>26</v>
      </c>
      <c r="C2802">
        <v>57281</v>
      </c>
      <c r="D2802" t="s">
        <v>85</v>
      </c>
      <c r="E2802" s="7">
        <v>673.05</v>
      </c>
      <c r="F2802" t="s">
        <v>20</v>
      </c>
      <c r="G2802" t="s">
        <v>21</v>
      </c>
      <c r="H2802" t="str">
        <f>"201804098331"</f>
        <v>201804098331</v>
      </c>
      <c r="I2802" t="str">
        <f t="shared" ref="I2802:I2807" si="53">"FRONTIER"</f>
        <v>FRONTIER</v>
      </c>
    </row>
    <row r="2803" spans="1:9" x14ac:dyDescent="0.25">
      <c r="E2803" s="7"/>
      <c r="F2803" t="s">
        <v>20</v>
      </c>
      <c r="G2803" t="s">
        <v>21</v>
      </c>
      <c r="H2803" t="str">
        <f>"201804098332"</f>
        <v>201804098332</v>
      </c>
      <c r="I2803" t="str">
        <f t="shared" si="53"/>
        <v>FRONTIER</v>
      </c>
    </row>
    <row r="2804" spans="1:9" x14ac:dyDescent="0.25">
      <c r="E2804" s="7"/>
      <c r="F2804" t="s">
        <v>20</v>
      </c>
      <c r="G2804" t="s">
        <v>21</v>
      </c>
      <c r="H2804" t="str">
        <f>"201804098333"</f>
        <v>201804098333</v>
      </c>
      <c r="I2804" t="str">
        <f t="shared" si="53"/>
        <v>FRONTIER</v>
      </c>
    </row>
    <row r="2805" spans="1:9" x14ac:dyDescent="0.25">
      <c r="E2805" s="7"/>
      <c r="F2805" t="s">
        <v>20</v>
      </c>
      <c r="G2805" t="s">
        <v>21</v>
      </c>
      <c r="H2805" t="str">
        <f>"201804098334"</f>
        <v>201804098334</v>
      </c>
      <c r="I2805" t="str">
        <f t="shared" si="53"/>
        <v>FRONTIER</v>
      </c>
    </row>
    <row r="2806" spans="1:9" x14ac:dyDescent="0.25">
      <c r="E2806" s="7"/>
      <c r="F2806" t="s">
        <v>20</v>
      </c>
      <c r="G2806" t="s">
        <v>21</v>
      </c>
      <c r="H2806" t="str">
        <f>"201804098335"</f>
        <v>201804098335</v>
      </c>
      <c r="I2806" t="str">
        <f t="shared" si="53"/>
        <v>FRONTIER</v>
      </c>
    </row>
    <row r="2807" spans="1:9" x14ac:dyDescent="0.25">
      <c r="E2807" s="7"/>
      <c r="F2807" t="s">
        <v>20</v>
      </c>
      <c r="G2807" t="s">
        <v>21</v>
      </c>
      <c r="H2807" t="str">
        <f>"201804098336"</f>
        <v>201804098336</v>
      </c>
      <c r="I2807" t="str">
        <f t="shared" si="53"/>
        <v>FRONTIER</v>
      </c>
    </row>
    <row r="2808" spans="1:9" x14ac:dyDescent="0.25">
      <c r="A2808" s="6">
        <v>43199</v>
      </c>
      <c r="B2808" t="s">
        <v>26</v>
      </c>
      <c r="C2808">
        <v>57282</v>
      </c>
      <c r="D2808" t="s">
        <v>193</v>
      </c>
      <c r="E2808" s="7">
        <v>87.14</v>
      </c>
      <c r="F2808" t="s">
        <v>20</v>
      </c>
      <c r="G2808" t="s">
        <v>21</v>
      </c>
      <c r="H2808" t="str">
        <f>"24118"</f>
        <v>24118</v>
      </c>
      <c r="I2808" t="str">
        <f>"MIDWAY AUTOMOTIVE"</f>
        <v>MIDWAY AUTOMOTIVE</v>
      </c>
    </row>
    <row r="2809" spans="1:9" x14ac:dyDescent="0.25">
      <c r="A2809" s="6">
        <v>43199</v>
      </c>
      <c r="B2809" t="s">
        <v>26</v>
      </c>
      <c r="C2809">
        <v>57283</v>
      </c>
      <c r="D2809" t="s">
        <v>370</v>
      </c>
      <c r="E2809" s="7">
        <v>500</v>
      </c>
      <c r="F2809" t="s">
        <v>20</v>
      </c>
      <c r="G2809" t="s">
        <v>21</v>
      </c>
      <c r="H2809" t="str">
        <f>"COWBOY BRKFST"</f>
        <v>COWBOY BRKFST</v>
      </c>
      <c r="I2809" t="str">
        <f>"WILSON AREA CHILDREN'S FOUNDAT"</f>
        <v>WILSON AREA CHILDREN'S FOUNDAT</v>
      </c>
    </row>
    <row r="2810" spans="1:9" x14ac:dyDescent="0.25">
      <c r="A2810" s="6">
        <v>43199</v>
      </c>
      <c r="B2810" t="s">
        <v>26</v>
      </c>
      <c r="C2810">
        <v>57284</v>
      </c>
      <c r="D2810" t="s">
        <v>104</v>
      </c>
      <c r="E2810" s="7">
        <v>276</v>
      </c>
      <c r="F2810" t="s">
        <v>20</v>
      </c>
      <c r="G2810" t="s">
        <v>21</v>
      </c>
      <c r="H2810" t="str">
        <f>"5026960825"</f>
        <v>5026960825</v>
      </c>
      <c r="I2810" t="str">
        <f>"WILSON COUNTY NEWS"</f>
        <v>WILSON COUNTY NEWS</v>
      </c>
    </row>
    <row r="2811" spans="1:9" x14ac:dyDescent="0.25">
      <c r="A2811" s="6">
        <v>43199</v>
      </c>
      <c r="B2811" t="s">
        <v>26</v>
      </c>
      <c r="C2811">
        <v>57285</v>
      </c>
      <c r="D2811" t="s">
        <v>105</v>
      </c>
      <c r="E2811" s="7">
        <v>7</v>
      </c>
      <c r="F2811" t="s">
        <v>20</v>
      </c>
      <c r="G2811" t="s">
        <v>21</v>
      </c>
      <c r="H2811" t="str">
        <f>"284677"</f>
        <v>284677</v>
      </c>
      <c r="I2811" t="str">
        <f>"LUBE WORKS"</f>
        <v>LUBE WORKS</v>
      </c>
    </row>
    <row r="2812" spans="1:9" x14ac:dyDescent="0.25">
      <c r="A2812" s="6">
        <v>43199</v>
      </c>
      <c r="B2812" t="s">
        <v>26</v>
      </c>
      <c r="C2812">
        <v>57286</v>
      </c>
      <c r="D2812" t="s">
        <v>180</v>
      </c>
      <c r="E2812" s="7">
        <v>1310.98</v>
      </c>
      <c r="F2812" t="s">
        <v>20</v>
      </c>
      <c r="G2812" t="s">
        <v>21</v>
      </c>
      <c r="H2812" t="str">
        <f>"30123567"</f>
        <v>30123567</v>
      </c>
      <c r="I2812" t="str">
        <f>"DITTMAR LUMBER CO."</f>
        <v>DITTMAR LUMBER CO.</v>
      </c>
    </row>
    <row r="2813" spans="1:9" x14ac:dyDescent="0.25">
      <c r="E2813" s="7"/>
      <c r="F2813" t="s">
        <v>20</v>
      </c>
      <c r="G2813" t="s">
        <v>21</v>
      </c>
      <c r="H2813" t="str">
        <f>"30123645"</f>
        <v>30123645</v>
      </c>
      <c r="I2813" t="str">
        <f>"DITTMAR LUMBER CO."</f>
        <v>DITTMAR LUMBER CO.</v>
      </c>
    </row>
    <row r="2814" spans="1:9" x14ac:dyDescent="0.25">
      <c r="A2814" s="6">
        <v>43199</v>
      </c>
      <c r="B2814" t="s">
        <v>26</v>
      </c>
      <c r="C2814">
        <v>57287</v>
      </c>
      <c r="D2814" t="s">
        <v>340</v>
      </c>
      <c r="E2814" s="7">
        <v>484.25</v>
      </c>
      <c r="F2814" t="s">
        <v>20</v>
      </c>
      <c r="G2814" t="s">
        <v>21</v>
      </c>
      <c r="H2814" t="str">
        <f>"1810-313999"</f>
        <v>1810-313999</v>
      </c>
      <c r="I2814" t="str">
        <f>"O'REILLY AUTOMOTIVE  INC."</f>
        <v>O'REILLY AUTOMOTIVE  INC.</v>
      </c>
    </row>
    <row r="2815" spans="1:9" x14ac:dyDescent="0.25">
      <c r="E2815" s="7"/>
      <c r="F2815" t="s">
        <v>20</v>
      </c>
      <c r="G2815" t="s">
        <v>21</v>
      </c>
      <c r="H2815" t="str">
        <f>"1810-314021"</f>
        <v>1810-314021</v>
      </c>
      <c r="I2815" t="str">
        <f>"O'REILLY AUTOMOTIVE  INC."</f>
        <v>O'REILLY AUTOMOTIVE  INC.</v>
      </c>
    </row>
    <row r="2816" spans="1:9" x14ac:dyDescent="0.25">
      <c r="A2816" s="6">
        <v>43199</v>
      </c>
      <c r="B2816" t="s">
        <v>26</v>
      </c>
      <c r="C2816">
        <v>57288</v>
      </c>
      <c r="D2816" t="s">
        <v>115</v>
      </c>
      <c r="E2816" s="7">
        <v>36</v>
      </c>
      <c r="F2816" t="s">
        <v>20</v>
      </c>
      <c r="G2816" t="s">
        <v>21</v>
      </c>
      <c r="H2816" t="str">
        <f>"3547120849"</f>
        <v>3547120849</v>
      </c>
      <c r="I2816" t="str">
        <f>"AUTOZONE"</f>
        <v>AUTOZONE</v>
      </c>
    </row>
    <row r="2817" spans="1:9" x14ac:dyDescent="0.25">
      <c r="A2817" s="6">
        <v>43199</v>
      </c>
      <c r="B2817" t="s">
        <v>26</v>
      </c>
      <c r="C2817">
        <v>57289</v>
      </c>
      <c r="D2817" t="s">
        <v>226</v>
      </c>
      <c r="E2817" s="7">
        <v>8841.26</v>
      </c>
      <c r="F2817" t="s">
        <v>20</v>
      </c>
      <c r="G2817" t="s">
        <v>21</v>
      </c>
      <c r="H2817" t="str">
        <f>"5044"</f>
        <v>5044</v>
      </c>
      <c r="I2817" t="str">
        <f>"WIATREK'S SERVICES"</f>
        <v>WIATREK'S SERVICES</v>
      </c>
    </row>
    <row r="2818" spans="1:9" x14ac:dyDescent="0.25">
      <c r="E2818" s="7"/>
      <c r="F2818" t="s">
        <v>20</v>
      </c>
      <c r="G2818" t="s">
        <v>21</v>
      </c>
      <c r="H2818" t="str">
        <f>"5045"</f>
        <v>5045</v>
      </c>
      <c r="I2818" t="str">
        <f>"WIATREK'S SERVICES"</f>
        <v>WIATREK'S SERVICES</v>
      </c>
    </row>
    <row r="2819" spans="1:9" x14ac:dyDescent="0.25">
      <c r="A2819" s="6">
        <v>43199</v>
      </c>
      <c r="B2819" t="s">
        <v>26</v>
      </c>
      <c r="C2819">
        <v>57290</v>
      </c>
      <c r="D2819" t="s">
        <v>119</v>
      </c>
      <c r="E2819" s="7">
        <v>35</v>
      </c>
      <c r="F2819" t="s">
        <v>20</v>
      </c>
      <c r="G2819" t="s">
        <v>21</v>
      </c>
      <c r="H2819" t="str">
        <f>"39849"</f>
        <v>39849</v>
      </c>
      <c r="I2819" t="str">
        <f>"PRUSKI'S TIRE SHOP  L.L.C."</f>
        <v>PRUSKI'S TIRE SHOP  L.L.C.</v>
      </c>
    </row>
    <row r="2820" spans="1:9" x14ac:dyDescent="0.25">
      <c r="A2820" s="6">
        <v>43199</v>
      </c>
      <c r="B2820" t="s">
        <v>26</v>
      </c>
      <c r="C2820">
        <v>57291</v>
      </c>
      <c r="D2820" t="s">
        <v>69</v>
      </c>
      <c r="E2820" s="7">
        <v>1021.91</v>
      </c>
      <c r="F2820" t="s">
        <v>20</v>
      </c>
      <c r="G2820" t="s">
        <v>21</v>
      </c>
      <c r="H2820" t="str">
        <f>"3388155"</f>
        <v>3388155</v>
      </c>
      <c r="I2820" t="str">
        <f>"EWALD TRACTOR SUPPLY"</f>
        <v>EWALD TRACTOR SUPPLY</v>
      </c>
    </row>
    <row r="2821" spans="1:9" x14ac:dyDescent="0.25">
      <c r="E2821" s="7"/>
      <c r="F2821" t="s">
        <v>20</v>
      </c>
      <c r="G2821" t="s">
        <v>21</v>
      </c>
      <c r="H2821" t="str">
        <f>"3388216"</f>
        <v>3388216</v>
      </c>
      <c r="I2821" t="str">
        <f>"EWALD TRACTOR SUPPLY"</f>
        <v>EWALD TRACTOR SUPPLY</v>
      </c>
    </row>
    <row r="2822" spans="1:9" x14ac:dyDescent="0.25">
      <c r="E2822" s="7"/>
      <c r="F2822" t="s">
        <v>20</v>
      </c>
      <c r="G2822" t="s">
        <v>21</v>
      </c>
      <c r="H2822" t="str">
        <f>"3388360"</f>
        <v>3388360</v>
      </c>
      <c r="I2822" t="str">
        <f>"EWALD TRACTOR SUPPLY"</f>
        <v>EWALD TRACTOR SUPPLY</v>
      </c>
    </row>
    <row r="2823" spans="1:9" x14ac:dyDescent="0.25">
      <c r="E2823" s="7"/>
      <c r="F2823" t="s">
        <v>20</v>
      </c>
      <c r="G2823" t="s">
        <v>21</v>
      </c>
      <c r="H2823" t="str">
        <f>"3388364"</f>
        <v>3388364</v>
      </c>
      <c r="I2823" t="str">
        <f>"EWALD TRACTOR SUPPLY"</f>
        <v>EWALD TRACTOR SUPPLY</v>
      </c>
    </row>
    <row r="2824" spans="1:9" x14ac:dyDescent="0.25">
      <c r="A2824" s="6">
        <v>43199</v>
      </c>
      <c r="B2824" t="s">
        <v>26</v>
      </c>
      <c r="C2824">
        <v>57293</v>
      </c>
      <c r="D2824" t="s">
        <v>122</v>
      </c>
      <c r="E2824" s="7">
        <v>10</v>
      </c>
      <c r="F2824" t="s">
        <v>20</v>
      </c>
      <c r="G2824" t="s">
        <v>21</v>
      </c>
      <c r="H2824" t="str">
        <f>"0776160"</f>
        <v>0776160</v>
      </c>
      <c r="I2824" t="str">
        <f>"VILLA TIRES"</f>
        <v>VILLA TIRES</v>
      </c>
    </row>
    <row r="2825" spans="1:9" x14ac:dyDescent="0.25">
      <c r="A2825" s="6">
        <v>43199</v>
      </c>
      <c r="B2825" t="s">
        <v>26</v>
      </c>
      <c r="C2825">
        <v>57294</v>
      </c>
      <c r="D2825" t="s">
        <v>371</v>
      </c>
      <c r="E2825" s="7">
        <v>165</v>
      </c>
      <c r="F2825" t="s">
        <v>20</v>
      </c>
      <c r="G2825" t="s">
        <v>21</v>
      </c>
      <c r="H2825" t="str">
        <f>"6829"</f>
        <v>6829</v>
      </c>
      <c r="I2825" t="str">
        <f>"ELEGUN ELECTRIC MOTOR AND SERV"</f>
        <v>ELEGUN ELECTRIC MOTOR AND SERV</v>
      </c>
    </row>
    <row r="2826" spans="1:9" x14ac:dyDescent="0.25">
      <c r="A2826" s="6">
        <v>43199</v>
      </c>
      <c r="B2826" t="s">
        <v>26</v>
      </c>
      <c r="C2826">
        <v>57295</v>
      </c>
      <c r="D2826" t="s">
        <v>215</v>
      </c>
      <c r="E2826" s="7">
        <v>6176.65</v>
      </c>
      <c r="F2826" t="s">
        <v>20</v>
      </c>
      <c r="G2826" t="s">
        <v>21</v>
      </c>
      <c r="H2826" t="str">
        <f>"542407"</f>
        <v>542407</v>
      </c>
      <c r="I2826" t="str">
        <f>"ODESSA PUMPS &amp; EQUIPMENT"</f>
        <v>ODESSA PUMPS &amp; EQUIPMENT</v>
      </c>
    </row>
    <row r="2827" spans="1:9" x14ac:dyDescent="0.25">
      <c r="E2827" s="7"/>
      <c r="F2827" t="s">
        <v>20</v>
      </c>
      <c r="G2827" t="s">
        <v>21</v>
      </c>
      <c r="H2827" t="str">
        <f>"542750"</f>
        <v>542750</v>
      </c>
      <c r="I2827" t="str">
        <f>"ODESSA PUMPS &amp; EQUIPMENT"</f>
        <v>ODESSA PUMPS &amp; EQUIPMENT</v>
      </c>
    </row>
    <row r="2828" spans="1:9" x14ac:dyDescent="0.25">
      <c r="A2828" s="6">
        <v>43199</v>
      </c>
      <c r="B2828" t="s">
        <v>26</v>
      </c>
      <c r="C2828">
        <v>57296</v>
      </c>
      <c r="D2828" t="s">
        <v>123</v>
      </c>
      <c r="E2828" s="7">
        <v>433.67</v>
      </c>
      <c r="F2828" t="s">
        <v>20</v>
      </c>
      <c r="G2828" t="s">
        <v>21</v>
      </c>
      <c r="H2828" t="str">
        <f>"112854189001"</f>
        <v>112854189001</v>
      </c>
      <c r="I2828" t="str">
        <f>"OFFICE DEPOT  INC."</f>
        <v>OFFICE DEPOT  INC.</v>
      </c>
    </row>
    <row r="2829" spans="1:9" x14ac:dyDescent="0.25">
      <c r="E2829" s="7"/>
      <c r="F2829" t="s">
        <v>20</v>
      </c>
      <c r="G2829" t="s">
        <v>21</v>
      </c>
      <c r="H2829" t="str">
        <f>"115634398001"</f>
        <v>115634398001</v>
      </c>
      <c r="I2829" t="str">
        <f>"OFFICE DEPOT  INC."</f>
        <v>OFFICE DEPOT  INC.</v>
      </c>
    </row>
    <row r="2830" spans="1:9" x14ac:dyDescent="0.25">
      <c r="E2830" s="7"/>
      <c r="F2830" t="s">
        <v>20</v>
      </c>
      <c r="G2830" t="s">
        <v>21</v>
      </c>
      <c r="H2830" t="str">
        <f>"115783430001"</f>
        <v>115783430001</v>
      </c>
      <c r="I2830" t="str">
        <f>"OFFICE DEPOT  INC."</f>
        <v>OFFICE DEPOT  INC.</v>
      </c>
    </row>
    <row r="2831" spans="1:9" x14ac:dyDescent="0.25">
      <c r="E2831" s="7"/>
      <c r="F2831" t="s">
        <v>20</v>
      </c>
      <c r="G2831" t="s">
        <v>21</v>
      </c>
      <c r="H2831" t="str">
        <f>"120115384001"</f>
        <v>120115384001</v>
      </c>
      <c r="I2831" t="str">
        <f>"OFFICE DEPOT  INC."</f>
        <v>OFFICE DEPOT  INC.</v>
      </c>
    </row>
    <row r="2832" spans="1:9" x14ac:dyDescent="0.25">
      <c r="A2832" s="6">
        <v>43199</v>
      </c>
      <c r="B2832" t="s">
        <v>26</v>
      </c>
      <c r="C2832">
        <v>57297</v>
      </c>
      <c r="D2832" t="s">
        <v>200</v>
      </c>
      <c r="E2832" s="7">
        <v>2500</v>
      </c>
      <c r="F2832" t="s">
        <v>20</v>
      </c>
      <c r="G2832" t="s">
        <v>21</v>
      </c>
      <c r="H2832" t="str">
        <f>"180509"</f>
        <v>180509</v>
      </c>
      <c r="I2832" t="str">
        <f>"MARIO AVILES"</f>
        <v>MARIO AVILES</v>
      </c>
    </row>
    <row r="2833" spans="1:9" x14ac:dyDescent="0.25">
      <c r="A2833" s="6">
        <v>43199</v>
      </c>
      <c r="B2833" t="s">
        <v>26</v>
      </c>
      <c r="C2833">
        <v>57298</v>
      </c>
      <c r="D2833" t="s">
        <v>197</v>
      </c>
      <c r="E2833" s="7">
        <v>2844</v>
      </c>
      <c r="F2833" t="s">
        <v>20</v>
      </c>
      <c r="G2833" t="s">
        <v>21</v>
      </c>
      <c r="H2833" t="str">
        <f>"181119"</f>
        <v>181119</v>
      </c>
      <c r="I2833" t="str">
        <f>"WHOLESALE CHEMICAL COMPANY  IN"</f>
        <v>WHOLESALE CHEMICAL COMPANY  IN</v>
      </c>
    </row>
    <row r="2834" spans="1:9" x14ac:dyDescent="0.25">
      <c r="A2834" s="6">
        <v>43199</v>
      </c>
      <c r="B2834" t="s">
        <v>26</v>
      </c>
      <c r="C2834">
        <v>57299</v>
      </c>
      <c r="D2834" t="s">
        <v>159</v>
      </c>
      <c r="E2834" s="7">
        <v>12249.5</v>
      </c>
      <c r="F2834" t="s">
        <v>20</v>
      </c>
      <c r="G2834" t="s">
        <v>21</v>
      </c>
      <c r="H2834" t="str">
        <f>"37616"</f>
        <v>37616</v>
      </c>
      <c r="I2834" t="str">
        <f>"PHOTOGRAPHS BY JIM"</f>
        <v>PHOTOGRAPHS BY JIM</v>
      </c>
    </row>
    <row r="2835" spans="1:9" x14ac:dyDescent="0.25">
      <c r="E2835" s="7"/>
      <c r="F2835" t="s">
        <v>20</v>
      </c>
      <c r="G2835" t="s">
        <v>21</v>
      </c>
      <c r="H2835" t="str">
        <f>"37650"</f>
        <v>37650</v>
      </c>
      <c r="I2835" t="str">
        <f>"PHOTOGRAPHS BY JIM"</f>
        <v>PHOTOGRAPHS BY JIM</v>
      </c>
    </row>
    <row r="2836" spans="1:9" x14ac:dyDescent="0.25">
      <c r="E2836" s="7"/>
      <c r="F2836" t="s">
        <v>20</v>
      </c>
      <c r="G2836" t="s">
        <v>21</v>
      </c>
      <c r="H2836" t="str">
        <f>"37651"</f>
        <v>37651</v>
      </c>
      <c r="I2836" t="str">
        <f>"PHOTOGRAPHS BY JIM"</f>
        <v>PHOTOGRAPHS BY JIM</v>
      </c>
    </row>
    <row r="2837" spans="1:9" x14ac:dyDescent="0.25">
      <c r="E2837" s="7"/>
      <c r="F2837" t="s">
        <v>20</v>
      </c>
      <c r="G2837" t="s">
        <v>21</v>
      </c>
      <c r="H2837" t="str">
        <f>"37652"</f>
        <v>37652</v>
      </c>
      <c r="I2837" t="str">
        <f>"PHOTOGRAPHS BY JIM"</f>
        <v>PHOTOGRAPHS BY JIM</v>
      </c>
    </row>
    <row r="2838" spans="1:9" x14ac:dyDescent="0.25">
      <c r="E2838" s="7"/>
      <c r="F2838" t="s">
        <v>20</v>
      </c>
      <c r="G2838" t="s">
        <v>21</v>
      </c>
      <c r="H2838" t="str">
        <f>"37653"</f>
        <v>37653</v>
      </c>
      <c r="I2838" t="str">
        <f>"PHOTOGRAPHS BY JIM"</f>
        <v>PHOTOGRAPHS BY JIM</v>
      </c>
    </row>
    <row r="2839" spans="1:9" x14ac:dyDescent="0.25">
      <c r="A2839" s="6">
        <v>43199</v>
      </c>
      <c r="B2839" t="s">
        <v>26</v>
      </c>
      <c r="C2839">
        <v>57300</v>
      </c>
      <c r="D2839" t="s">
        <v>345</v>
      </c>
      <c r="E2839" s="7">
        <v>764.5</v>
      </c>
      <c r="F2839" t="s">
        <v>20</v>
      </c>
      <c r="G2839" t="s">
        <v>21</v>
      </c>
      <c r="H2839" t="str">
        <f>"3/19-3/24"</f>
        <v>3/19-3/24</v>
      </c>
      <c r="I2839" t="str">
        <f>"MICHAEL ISAAC MARTINEZ"</f>
        <v>MICHAEL ISAAC MARTINEZ</v>
      </c>
    </row>
    <row r="2840" spans="1:9" x14ac:dyDescent="0.25">
      <c r="E2840" s="7"/>
      <c r="F2840" t="s">
        <v>20</v>
      </c>
      <c r="G2840" t="s">
        <v>21</v>
      </c>
      <c r="H2840" t="str">
        <f>"3/26-3/30"</f>
        <v>3/26-3/30</v>
      </c>
      <c r="I2840" t="str">
        <f>"MICHAEL ISAAC MARTINEZ"</f>
        <v>MICHAEL ISAAC MARTINEZ</v>
      </c>
    </row>
    <row r="2841" spans="1:9" x14ac:dyDescent="0.25">
      <c r="A2841" s="6">
        <v>43201</v>
      </c>
      <c r="B2841" t="s">
        <v>26</v>
      </c>
      <c r="C2841">
        <v>57301</v>
      </c>
      <c r="D2841" t="s">
        <v>90</v>
      </c>
      <c r="E2841" s="7">
        <v>2066.88</v>
      </c>
      <c r="F2841" t="s">
        <v>20</v>
      </c>
      <c r="G2841" t="s">
        <v>24</v>
      </c>
      <c r="H2841" t="str">
        <f>"675973"</f>
        <v>675973</v>
      </c>
      <c r="I2841" t="str">
        <f>"AFLAC"</f>
        <v>AFLAC</v>
      </c>
    </row>
    <row r="2842" spans="1:9" x14ac:dyDescent="0.25">
      <c r="E2842" s="7"/>
      <c r="F2842" t="s">
        <v>20</v>
      </c>
      <c r="G2842" t="s">
        <v>21</v>
      </c>
      <c r="H2842" t="str">
        <f>"ACA201803148308"</f>
        <v>ACA201803148308</v>
      </c>
      <c r="I2842" t="str">
        <f t="shared" ref="I2842:I2847" si="54">"AFLAC INSURANCE"</f>
        <v>AFLAC INSURANCE</v>
      </c>
    </row>
    <row r="2843" spans="1:9" x14ac:dyDescent="0.25">
      <c r="E2843" s="7"/>
      <c r="F2843" t="s">
        <v>20</v>
      </c>
      <c r="G2843" t="s">
        <v>21</v>
      </c>
      <c r="H2843" t="str">
        <f>"ACA201803288326"</f>
        <v>ACA201803288326</v>
      </c>
      <c r="I2843" t="str">
        <f t="shared" si="54"/>
        <v>AFLAC INSURANCE</v>
      </c>
    </row>
    <row r="2844" spans="1:9" x14ac:dyDescent="0.25">
      <c r="E2844" s="7"/>
      <c r="F2844" t="s">
        <v>20</v>
      </c>
      <c r="G2844" t="s">
        <v>21</v>
      </c>
      <c r="H2844" t="str">
        <f>"ACA201803288327"</f>
        <v>ACA201803288327</v>
      </c>
      <c r="I2844" t="str">
        <f t="shared" si="54"/>
        <v>AFLAC INSURANCE</v>
      </c>
    </row>
    <row r="2845" spans="1:9" x14ac:dyDescent="0.25">
      <c r="E2845" s="7"/>
      <c r="F2845" t="s">
        <v>20</v>
      </c>
      <c r="G2845" t="s">
        <v>21</v>
      </c>
      <c r="H2845" t="str">
        <f>"AD2201803148308"</f>
        <v>AD2201803148308</v>
      </c>
      <c r="I2845" t="str">
        <f t="shared" si="54"/>
        <v>AFLAC INSURANCE</v>
      </c>
    </row>
    <row r="2846" spans="1:9" x14ac:dyDescent="0.25">
      <c r="E2846" s="7"/>
      <c r="F2846" t="s">
        <v>20</v>
      </c>
      <c r="G2846" t="s">
        <v>21</v>
      </c>
      <c r="H2846" t="str">
        <f>"AD2201803288326"</f>
        <v>AD2201803288326</v>
      </c>
      <c r="I2846" t="str">
        <f t="shared" si="54"/>
        <v>AFLAC INSURANCE</v>
      </c>
    </row>
    <row r="2847" spans="1:9" x14ac:dyDescent="0.25">
      <c r="E2847" s="7"/>
      <c r="F2847" t="s">
        <v>20</v>
      </c>
      <c r="G2847" t="s">
        <v>21</v>
      </c>
      <c r="H2847" t="str">
        <f>"AD2201803288327"</f>
        <v>AD2201803288327</v>
      </c>
      <c r="I2847" t="str">
        <f t="shared" si="54"/>
        <v>AFLAC INSURANCE</v>
      </c>
    </row>
    <row r="2848" spans="1:9" x14ac:dyDescent="0.25">
      <c r="E2848" s="7"/>
      <c r="F2848" t="s">
        <v>20</v>
      </c>
      <c r="G2848" t="s">
        <v>21</v>
      </c>
      <c r="H2848" t="str">
        <f>"ADR201803148308"</f>
        <v>ADR201803148308</v>
      </c>
      <c r="I2848" t="str">
        <f>"INSURANCE"</f>
        <v>INSURANCE</v>
      </c>
    </row>
    <row r="2849" spans="1:9" x14ac:dyDescent="0.25">
      <c r="E2849" s="7"/>
      <c r="F2849" t="s">
        <v>20</v>
      </c>
      <c r="G2849" t="s">
        <v>21</v>
      </c>
      <c r="H2849" t="str">
        <f>"ADR201803288327"</f>
        <v>ADR201803288327</v>
      </c>
      <c r="I2849" t="str">
        <f>"INSURANCE"</f>
        <v>INSURANCE</v>
      </c>
    </row>
    <row r="2850" spans="1:9" x14ac:dyDescent="0.25">
      <c r="E2850" s="7"/>
      <c r="F2850" t="s">
        <v>20</v>
      </c>
      <c r="G2850" t="s">
        <v>21</v>
      </c>
      <c r="H2850" t="str">
        <f>"AF1201803148308"</f>
        <v>AF1201803148308</v>
      </c>
      <c r="I2850" t="str">
        <f t="shared" ref="I2850:I2858" si="55">"AFLAC INSURANCE"</f>
        <v>AFLAC INSURANCE</v>
      </c>
    </row>
    <row r="2851" spans="1:9" x14ac:dyDescent="0.25">
      <c r="E2851" s="7"/>
      <c r="F2851" t="s">
        <v>20</v>
      </c>
      <c r="G2851" t="s">
        <v>21</v>
      </c>
      <c r="H2851" t="str">
        <f>"AF1201803208320"</f>
        <v>AF1201803208320</v>
      </c>
      <c r="I2851" t="str">
        <f t="shared" si="55"/>
        <v>AFLAC INSURANCE</v>
      </c>
    </row>
    <row r="2852" spans="1:9" x14ac:dyDescent="0.25">
      <c r="E2852" s="7"/>
      <c r="F2852" t="s">
        <v>20</v>
      </c>
      <c r="G2852" t="s">
        <v>21</v>
      </c>
      <c r="H2852" t="str">
        <f>"AF1201803288326"</f>
        <v>AF1201803288326</v>
      </c>
      <c r="I2852" t="str">
        <f t="shared" si="55"/>
        <v>AFLAC INSURANCE</v>
      </c>
    </row>
    <row r="2853" spans="1:9" x14ac:dyDescent="0.25">
      <c r="E2853" s="7"/>
      <c r="F2853" t="s">
        <v>20</v>
      </c>
      <c r="G2853" t="s">
        <v>21</v>
      </c>
      <c r="H2853" t="str">
        <f>"AF1201803288327"</f>
        <v>AF1201803288327</v>
      </c>
      <c r="I2853" t="str">
        <f t="shared" si="55"/>
        <v>AFLAC INSURANCE</v>
      </c>
    </row>
    <row r="2854" spans="1:9" x14ac:dyDescent="0.25">
      <c r="E2854" s="7"/>
      <c r="F2854" t="s">
        <v>20</v>
      </c>
      <c r="G2854" t="s">
        <v>21</v>
      </c>
      <c r="H2854" t="str">
        <f>"ASP201803148308"</f>
        <v>ASP201803148308</v>
      </c>
      <c r="I2854" t="str">
        <f t="shared" si="55"/>
        <v>AFLAC INSURANCE</v>
      </c>
    </row>
    <row r="2855" spans="1:9" x14ac:dyDescent="0.25">
      <c r="E2855" s="7"/>
      <c r="F2855" t="s">
        <v>20</v>
      </c>
      <c r="G2855" t="s">
        <v>21</v>
      </c>
      <c r="H2855" t="str">
        <f>"ASP201803288326"</f>
        <v>ASP201803288326</v>
      </c>
      <c r="I2855" t="str">
        <f t="shared" si="55"/>
        <v>AFLAC INSURANCE</v>
      </c>
    </row>
    <row r="2856" spans="1:9" x14ac:dyDescent="0.25">
      <c r="E2856" s="7"/>
      <c r="F2856" t="s">
        <v>20</v>
      </c>
      <c r="G2856" t="s">
        <v>21</v>
      </c>
      <c r="H2856" t="str">
        <f>"ASP201803288327"</f>
        <v>ASP201803288327</v>
      </c>
      <c r="I2856" t="str">
        <f t="shared" si="55"/>
        <v>AFLAC INSURANCE</v>
      </c>
    </row>
    <row r="2857" spans="1:9" x14ac:dyDescent="0.25">
      <c r="E2857" s="7"/>
      <c r="F2857" t="s">
        <v>20</v>
      </c>
      <c r="G2857" t="s">
        <v>21</v>
      </c>
      <c r="H2857" t="str">
        <f>"HCO201803148308"</f>
        <v>HCO201803148308</v>
      </c>
      <c r="I2857" t="str">
        <f t="shared" si="55"/>
        <v>AFLAC INSURANCE</v>
      </c>
    </row>
    <row r="2858" spans="1:9" x14ac:dyDescent="0.25">
      <c r="E2858" s="7"/>
      <c r="F2858" t="s">
        <v>20</v>
      </c>
      <c r="G2858" t="s">
        <v>21</v>
      </c>
      <c r="H2858" t="str">
        <f>"HCO201803288327"</f>
        <v>HCO201803288327</v>
      </c>
      <c r="I2858" t="str">
        <f t="shared" si="55"/>
        <v>AFLAC INSURANCE</v>
      </c>
    </row>
    <row r="2859" spans="1:9" x14ac:dyDescent="0.25">
      <c r="A2859" s="6">
        <v>43201</v>
      </c>
      <c r="B2859" t="s">
        <v>26</v>
      </c>
      <c r="C2859">
        <v>57306</v>
      </c>
      <c r="D2859" t="s">
        <v>92</v>
      </c>
      <c r="E2859" s="7">
        <v>64703.15</v>
      </c>
      <c r="F2859" t="s">
        <v>20</v>
      </c>
      <c r="G2859" t="s">
        <v>329</v>
      </c>
      <c r="H2859" t="str">
        <f>"3/2018"</f>
        <v>3/2018</v>
      </c>
      <c r="I2859" t="str">
        <f>"TEXAS MUNICIPAL RETIREMENT SYS"</f>
        <v>TEXAS MUNICIPAL RETIREMENT SYS</v>
      </c>
    </row>
    <row r="2860" spans="1:9" x14ac:dyDescent="0.25">
      <c r="E2860" s="7"/>
      <c r="F2860" t="s">
        <v>20</v>
      </c>
      <c r="G2860" t="s">
        <v>21</v>
      </c>
      <c r="H2860" t="str">
        <f>"RET201803148308"</f>
        <v>RET201803148308</v>
      </c>
      <c r="I2860" t="str">
        <f>"TMRS CITY OF FLORESVILLE"</f>
        <v>TMRS CITY OF FLORESVILLE</v>
      </c>
    </row>
    <row r="2861" spans="1:9" x14ac:dyDescent="0.25">
      <c r="E2861" s="7"/>
      <c r="F2861" t="s">
        <v>20</v>
      </c>
      <c r="G2861" t="s">
        <v>21</v>
      </c>
      <c r="H2861" t="str">
        <f>"RET201803208320"</f>
        <v>RET201803208320</v>
      </c>
      <c r="I2861" t="str">
        <f>"TMRS CITY OF FLORESVILLE"</f>
        <v>TMRS CITY OF FLORESVILLE</v>
      </c>
    </row>
    <row r="2862" spans="1:9" x14ac:dyDescent="0.25">
      <c r="E2862" s="7"/>
      <c r="F2862" t="s">
        <v>20</v>
      </c>
      <c r="G2862" t="s">
        <v>21</v>
      </c>
      <c r="H2862" t="str">
        <f>"RET201803288326"</f>
        <v>RET201803288326</v>
      </c>
      <c r="I2862" t="str">
        <f>"TMRS CITY OF FLORESVILLE"</f>
        <v>TMRS CITY OF FLORESVILLE</v>
      </c>
    </row>
    <row r="2863" spans="1:9" x14ac:dyDescent="0.25">
      <c r="E2863" s="7"/>
      <c r="F2863" t="s">
        <v>20</v>
      </c>
      <c r="G2863" t="s">
        <v>21</v>
      </c>
      <c r="H2863" t="str">
        <f>"RET201803288327"</f>
        <v>RET201803288327</v>
      </c>
      <c r="I2863" t="str">
        <f>"TMRS CITY OF FLORESVILLE"</f>
        <v>TMRS CITY OF FLORESVILLE</v>
      </c>
    </row>
    <row r="2864" spans="1:9" x14ac:dyDescent="0.25">
      <c r="A2864" s="6">
        <v>43201</v>
      </c>
      <c r="B2864" t="s">
        <v>26</v>
      </c>
      <c r="C2864">
        <v>57311</v>
      </c>
      <c r="D2864" t="s">
        <v>94</v>
      </c>
      <c r="E2864" s="7">
        <v>2380.9699999999998</v>
      </c>
      <c r="F2864" t="s">
        <v>20</v>
      </c>
      <c r="G2864" t="s">
        <v>329</v>
      </c>
      <c r="H2864" t="str">
        <f>"4246262"</f>
        <v>4246262</v>
      </c>
      <c r="I2864" t="str">
        <f>"DENTAL SELECT"</f>
        <v>DENTAL SELECT</v>
      </c>
    </row>
    <row r="2865" spans="1:9" x14ac:dyDescent="0.25">
      <c r="E2865" s="7"/>
      <c r="F2865" t="s">
        <v>20</v>
      </c>
      <c r="G2865" t="s">
        <v>21</v>
      </c>
      <c r="H2865" t="str">
        <f>"DEN201803148308"</f>
        <v>DEN201803148308</v>
      </c>
      <c r="I2865" t="str">
        <f>"DENTAL INSURANCE"</f>
        <v>DENTAL INSURANCE</v>
      </c>
    </row>
    <row r="2866" spans="1:9" x14ac:dyDescent="0.25">
      <c r="E2866" s="7"/>
      <c r="F2866" t="s">
        <v>20</v>
      </c>
      <c r="G2866" t="s">
        <v>21</v>
      </c>
      <c r="H2866" t="str">
        <f>"DEN201803208320"</f>
        <v>DEN201803208320</v>
      </c>
      <c r="I2866" t="str">
        <f>"DENTAL INSURANCE"</f>
        <v>DENTAL INSURANCE</v>
      </c>
    </row>
    <row r="2867" spans="1:9" x14ac:dyDescent="0.25">
      <c r="E2867" s="7"/>
      <c r="F2867" t="s">
        <v>20</v>
      </c>
      <c r="G2867" t="s">
        <v>21</v>
      </c>
      <c r="H2867" t="str">
        <f>"DEN201803288327"</f>
        <v>DEN201803288327</v>
      </c>
      <c r="I2867" t="str">
        <f>"DENTAL INSURANCE"</f>
        <v>DENTAL INSURANCE</v>
      </c>
    </row>
    <row r="2868" spans="1:9" x14ac:dyDescent="0.25">
      <c r="A2868" s="6">
        <v>43201</v>
      </c>
      <c r="B2868" t="s">
        <v>26</v>
      </c>
      <c r="C2868">
        <v>57313</v>
      </c>
      <c r="D2868" t="s">
        <v>95</v>
      </c>
      <c r="E2868" s="7">
        <v>64.959999999999994</v>
      </c>
      <c r="F2868" t="s">
        <v>20</v>
      </c>
      <c r="G2868" t="s">
        <v>24</v>
      </c>
      <c r="H2868" t="str">
        <f>"201803134"</f>
        <v>201803134</v>
      </c>
      <c r="I2868" t="str">
        <f>"LEGAL PLANS"</f>
        <v>LEGAL PLANS</v>
      </c>
    </row>
    <row r="2869" spans="1:9" x14ac:dyDescent="0.25">
      <c r="E2869" s="7"/>
      <c r="F2869" t="s">
        <v>20</v>
      </c>
      <c r="G2869" t="s">
        <v>329</v>
      </c>
      <c r="H2869" t="str">
        <f>"201803134*"</f>
        <v>201803134*</v>
      </c>
      <c r="I2869" t="str">
        <f>"LEGAL PLANS"</f>
        <v>LEGAL PLANS</v>
      </c>
    </row>
    <row r="2870" spans="1:9" x14ac:dyDescent="0.25">
      <c r="E2870" s="7"/>
      <c r="F2870" t="s">
        <v>20</v>
      </c>
      <c r="G2870" t="s">
        <v>21</v>
      </c>
      <c r="H2870" t="str">
        <f>"LEA201803148308"</f>
        <v>LEA201803148308</v>
      </c>
      <c r="I2870" t="str">
        <f>"INSURANCE"</f>
        <v>INSURANCE</v>
      </c>
    </row>
    <row r="2871" spans="1:9" x14ac:dyDescent="0.25">
      <c r="E2871" s="7"/>
      <c r="F2871" t="s">
        <v>20</v>
      </c>
      <c r="G2871" t="s">
        <v>21</v>
      </c>
      <c r="H2871" t="str">
        <f>"LEA201803288327"</f>
        <v>LEA201803288327</v>
      </c>
      <c r="I2871" t="str">
        <f>"INSURANCE"</f>
        <v>INSURANCE</v>
      </c>
    </row>
    <row r="2872" spans="1:9" x14ac:dyDescent="0.25">
      <c r="A2872" s="6">
        <v>43201</v>
      </c>
      <c r="B2872" t="s">
        <v>26</v>
      </c>
      <c r="C2872">
        <v>57314</v>
      </c>
      <c r="D2872" t="s">
        <v>96</v>
      </c>
      <c r="E2872" s="7">
        <v>587.79999999999995</v>
      </c>
      <c r="F2872" t="s">
        <v>20</v>
      </c>
      <c r="G2872" t="s">
        <v>329</v>
      </c>
      <c r="H2872" t="str">
        <f>"3/15/18"</f>
        <v>3/15/18</v>
      </c>
      <c r="I2872" t="str">
        <f>"LEGALSHIELD"</f>
        <v>LEGALSHIELD</v>
      </c>
    </row>
    <row r="2873" spans="1:9" x14ac:dyDescent="0.25">
      <c r="E2873" s="7"/>
      <c r="F2873" t="s">
        <v>20</v>
      </c>
      <c r="G2873" t="s">
        <v>21</v>
      </c>
      <c r="H2873" t="str">
        <f>"PPL201803148308"</f>
        <v>PPL201803148308</v>
      </c>
      <c r="I2873" t="str">
        <f>"INSURANCE"</f>
        <v>INSURANCE</v>
      </c>
    </row>
    <row r="2874" spans="1:9" x14ac:dyDescent="0.25">
      <c r="E2874" s="7"/>
      <c r="F2874" t="s">
        <v>20</v>
      </c>
      <c r="G2874" t="s">
        <v>21</v>
      </c>
      <c r="H2874" t="str">
        <f>"PPL201803288327"</f>
        <v>PPL201803288327</v>
      </c>
      <c r="I2874" t="str">
        <f>"INSURANCE"</f>
        <v>INSURANCE</v>
      </c>
    </row>
    <row r="2875" spans="1:9" x14ac:dyDescent="0.25">
      <c r="A2875" s="6">
        <v>43201</v>
      </c>
      <c r="B2875" t="s">
        <v>91</v>
      </c>
      <c r="C2875">
        <v>57315</v>
      </c>
      <c r="D2875" t="s">
        <v>97</v>
      </c>
      <c r="E2875" s="7">
        <v>1399.02</v>
      </c>
      <c r="F2875" t="s">
        <v>20</v>
      </c>
      <c r="G2875" t="s">
        <v>21</v>
      </c>
      <c r="H2875" t="str">
        <f>"BME201803148308"</f>
        <v>BME201803148308</v>
      </c>
      <c r="I2875" t="str">
        <f>"INSURANCE"</f>
        <v>INSURANCE</v>
      </c>
    </row>
    <row r="2876" spans="1:9" x14ac:dyDescent="0.25">
      <c r="E2876" s="7"/>
      <c r="F2876" t="s">
        <v>20</v>
      </c>
      <c r="G2876" t="s">
        <v>21</v>
      </c>
      <c r="H2876" t="str">
        <f>"BME201803288327"</f>
        <v>BME201803288327</v>
      </c>
      <c r="I2876" t="str">
        <f>"INSURANCE"</f>
        <v>INSURANCE</v>
      </c>
    </row>
    <row r="2877" spans="1:9" x14ac:dyDescent="0.25">
      <c r="A2877" s="6">
        <v>43201</v>
      </c>
      <c r="B2877" t="s">
        <v>91</v>
      </c>
      <c r="C2877">
        <v>57315</v>
      </c>
      <c r="D2877" t="s">
        <v>97</v>
      </c>
      <c r="E2877" s="7">
        <v>1399.02</v>
      </c>
      <c r="F2877" t="s">
        <v>20</v>
      </c>
      <c r="G2877" t="s">
        <v>93</v>
      </c>
      <c r="H2877" t="str">
        <f>"CHECK"</f>
        <v>CHECK</v>
      </c>
      <c r="I2877" t="str">
        <f>""</f>
        <v/>
      </c>
    </row>
    <row r="2878" spans="1:9" x14ac:dyDescent="0.25">
      <c r="A2878" s="6">
        <v>43201</v>
      </c>
      <c r="B2878" t="s">
        <v>26</v>
      </c>
      <c r="C2878">
        <v>57316</v>
      </c>
      <c r="D2878" t="s">
        <v>98</v>
      </c>
      <c r="E2878" s="7">
        <v>2840.95</v>
      </c>
      <c r="F2878" t="s">
        <v>20</v>
      </c>
      <c r="G2878" t="s">
        <v>24</v>
      </c>
      <c r="H2878" t="str">
        <f>"4/2018"</f>
        <v>4/2018</v>
      </c>
      <c r="I2878" t="str">
        <f>"DEARBORN NATIONAL"</f>
        <v>DEARBORN NATIONAL</v>
      </c>
    </row>
    <row r="2879" spans="1:9" x14ac:dyDescent="0.25">
      <c r="E2879" s="7"/>
      <c r="F2879" t="s">
        <v>20</v>
      </c>
      <c r="G2879" t="s">
        <v>21</v>
      </c>
      <c r="H2879" t="str">
        <f>"STD201803148308"</f>
        <v>STD201803148308</v>
      </c>
      <c r="I2879" t="str">
        <f>"SHORT TERM DISABILITY"</f>
        <v>SHORT TERM DISABILITY</v>
      </c>
    </row>
    <row r="2880" spans="1:9" x14ac:dyDescent="0.25">
      <c r="E2880" s="7"/>
      <c r="F2880" t="s">
        <v>20</v>
      </c>
      <c r="G2880" t="s">
        <v>21</v>
      </c>
      <c r="H2880" t="str">
        <f>"STD201803208320"</f>
        <v>STD201803208320</v>
      </c>
      <c r="I2880" t="str">
        <f>"SHORT TERM DISABILITY"</f>
        <v>SHORT TERM DISABILITY</v>
      </c>
    </row>
    <row r="2881" spans="1:9" x14ac:dyDescent="0.25">
      <c r="E2881" s="7"/>
      <c r="F2881" t="s">
        <v>20</v>
      </c>
      <c r="G2881" t="s">
        <v>21</v>
      </c>
      <c r="H2881" t="str">
        <f>"STD201803288326"</f>
        <v>STD201803288326</v>
      </c>
      <c r="I2881" t="str">
        <f>"SHORT TERM DISABILITY"</f>
        <v>SHORT TERM DISABILITY</v>
      </c>
    </row>
    <row r="2882" spans="1:9" x14ac:dyDescent="0.25">
      <c r="E2882" s="7"/>
      <c r="F2882" t="s">
        <v>20</v>
      </c>
      <c r="G2882" t="s">
        <v>21</v>
      </c>
      <c r="H2882" t="str">
        <f>"STD201803288327"</f>
        <v>STD201803288327</v>
      </c>
      <c r="I2882" t="str">
        <f>"SHORT TERM DISABILITY"</f>
        <v>SHORT TERM DISABILITY</v>
      </c>
    </row>
    <row r="2883" spans="1:9" x14ac:dyDescent="0.25">
      <c r="E2883" s="7"/>
      <c r="F2883" t="s">
        <v>20</v>
      </c>
      <c r="G2883" t="s">
        <v>21</v>
      </c>
      <c r="H2883" t="str">
        <f>"VLC201803148308"</f>
        <v>VLC201803148308</v>
      </c>
      <c r="I2883" t="str">
        <f>"CHILD LIFE INSURANCE"</f>
        <v>CHILD LIFE INSURANCE</v>
      </c>
    </row>
    <row r="2884" spans="1:9" x14ac:dyDescent="0.25">
      <c r="E2884" s="7"/>
      <c r="F2884" t="s">
        <v>20</v>
      </c>
      <c r="G2884" t="s">
        <v>21</v>
      </c>
      <c r="H2884" t="str">
        <f>"VLC201803288327"</f>
        <v>VLC201803288327</v>
      </c>
      <c r="I2884" t="str">
        <f>"CHILD LIFE INSURANCE"</f>
        <v>CHILD LIFE INSURANCE</v>
      </c>
    </row>
    <row r="2885" spans="1:9" x14ac:dyDescent="0.25">
      <c r="E2885" s="7"/>
      <c r="F2885" t="s">
        <v>20</v>
      </c>
      <c r="G2885" t="s">
        <v>21</v>
      </c>
      <c r="H2885" t="str">
        <f>"VLS201803148308"</f>
        <v>VLS201803148308</v>
      </c>
      <c r="I2885" t="str">
        <f>"SPOUSE LIFE"</f>
        <v>SPOUSE LIFE</v>
      </c>
    </row>
    <row r="2886" spans="1:9" x14ac:dyDescent="0.25">
      <c r="E2886" s="7"/>
      <c r="F2886" t="s">
        <v>20</v>
      </c>
      <c r="G2886" t="s">
        <v>21</v>
      </c>
      <c r="H2886" t="str">
        <f>"VLS201803288327"</f>
        <v>VLS201803288327</v>
      </c>
      <c r="I2886" t="str">
        <f>"SPOUSE LIFE"</f>
        <v>SPOUSE LIFE</v>
      </c>
    </row>
    <row r="2887" spans="1:9" x14ac:dyDescent="0.25">
      <c r="E2887" s="7"/>
      <c r="F2887" t="s">
        <v>20</v>
      </c>
      <c r="G2887" t="s">
        <v>21</v>
      </c>
      <c r="H2887" t="str">
        <f>"VOE201803148308"</f>
        <v>VOE201803148308</v>
      </c>
      <c r="I2887" t="str">
        <f>"EMPLOYEE LIFE"</f>
        <v>EMPLOYEE LIFE</v>
      </c>
    </row>
    <row r="2888" spans="1:9" x14ac:dyDescent="0.25">
      <c r="E2888" s="7"/>
      <c r="F2888" t="s">
        <v>20</v>
      </c>
      <c r="G2888" t="s">
        <v>21</v>
      </c>
      <c r="H2888" t="str">
        <f>"VOE201803208320"</f>
        <v>VOE201803208320</v>
      </c>
      <c r="I2888" t="str">
        <f>"EMPLOYEE LIFE"</f>
        <v>EMPLOYEE LIFE</v>
      </c>
    </row>
    <row r="2889" spans="1:9" x14ac:dyDescent="0.25">
      <c r="E2889" s="7"/>
      <c r="F2889" t="s">
        <v>20</v>
      </c>
      <c r="G2889" t="s">
        <v>21</v>
      </c>
      <c r="H2889" t="str">
        <f>"VOE201803288327"</f>
        <v>VOE201803288327</v>
      </c>
      <c r="I2889" t="str">
        <f>"EMPLOYEE LIFE"</f>
        <v>EMPLOYEE LIFE</v>
      </c>
    </row>
    <row r="2890" spans="1:9" x14ac:dyDescent="0.25">
      <c r="E2890" s="7"/>
      <c r="F2890" t="s">
        <v>20</v>
      </c>
      <c r="G2890" t="s">
        <v>21</v>
      </c>
      <c r="H2890" t="str">
        <f>"VOL201803148308"</f>
        <v>VOL201803148308</v>
      </c>
      <c r="I2890" t="str">
        <f>"LIFE"</f>
        <v>LIFE</v>
      </c>
    </row>
    <row r="2891" spans="1:9" x14ac:dyDescent="0.25">
      <c r="E2891" s="7"/>
      <c r="F2891" t="s">
        <v>20</v>
      </c>
      <c r="G2891" t="s">
        <v>21</v>
      </c>
      <c r="H2891" t="str">
        <f>"VOL201803208320"</f>
        <v>VOL201803208320</v>
      </c>
      <c r="I2891" t="str">
        <f>"LIFE"</f>
        <v>LIFE</v>
      </c>
    </row>
    <row r="2892" spans="1:9" x14ac:dyDescent="0.25">
      <c r="E2892" s="7"/>
      <c r="F2892" t="s">
        <v>20</v>
      </c>
      <c r="G2892" t="s">
        <v>21</v>
      </c>
      <c r="H2892" t="str">
        <f>"VOL201803288327"</f>
        <v>VOL201803288327</v>
      </c>
      <c r="I2892" t="str">
        <f>"LIFE"</f>
        <v>LIFE</v>
      </c>
    </row>
    <row r="2893" spans="1:9" x14ac:dyDescent="0.25">
      <c r="A2893" s="6">
        <v>43201</v>
      </c>
      <c r="B2893" t="s">
        <v>91</v>
      </c>
      <c r="C2893">
        <v>57325</v>
      </c>
      <c r="D2893" t="s">
        <v>99</v>
      </c>
      <c r="E2893" s="7">
        <v>669.14</v>
      </c>
      <c r="F2893" t="s">
        <v>20</v>
      </c>
      <c r="G2893" t="s">
        <v>21</v>
      </c>
      <c r="H2893" t="str">
        <f>"VIS201803148308"</f>
        <v>VIS201803148308</v>
      </c>
      <c r="I2893" t="str">
        <f>"VISION INSURANCE"</f>
        <v>VISION INSURANCE</v>
      </c>
    </row>
    <row r="2894" spans="1:9" x14ac:dyDescent="0.25">
      <c r="E2894" s="7"/>
      <c r="F2894" t="s">
        <v>20</v>
      </c>
      <c r="G2894" t="s">
        <v>21</v>
      </c>
      <c r="H2894" t="str">
        <f>"VIS201803288327"</f>
        <v>VIS201803288327</v>
      </c>
      <c r="I2894" t="str">
        <f>"VISION INSURANCE"</f>
        <v>VISION INSURANCE</v>
      </c>
    </row>
    <row r="2895" spans="1:9" x14ac:dyDescent="0.25">
      <c r="A2895" s="6">
        <v>43201</v>
      </c>
      <c r="B2895" t="s">
        <v>91</v>
      </c>
      <c r="C2895">
        <v>57325</v>
      </c>
      <c r="D2895" t="s">
        <v>99</v>
      </c>
      <c r="E2895" s="7">
        <v>669.14</v>
      </c>
      <c r="F2895" t="s">
        <v>20</v>
      </c>
      <c r="G2895" t="s">
        <v>93</v>
      </c>
      <c r="H2895" t="str">
        <f>"CHECK"</f>
        <v>CHECK</v>
      </c>
      <c r="I2895" t="str">
        <f>""</f>
        <v/>
      </c>
    </row>
    <row r="2896" spans="1:9" x14ac:dyDescent="0.25">
      <c r="A2896" s="6">
        <v>43201</v>
      </c>
      <c r="B2896" t="s">
        <v>26</v>
      </c>
      <c r="C2896">
        <v>57326</v>
      </c>
      <c r="D2896" t="s">
        <v>221</v>
      </c>
      <c r="E2896" s="7">
        <v>40574.089999999997</v>
      </c>
      <c r="F2896" t="s">
        <v>20</v>
      </c>
      <c r="G2896" t="s">
        <v>24</v>
      </c>
      <c r="H2896" t="str">
        <f>"C471804A/R"</f>
        <v>C471804A/R</v>
      </c>
      <c r="I2896" t="str">
        <f>"TML MULTISTATE INTERGOVERNMENT"</f>
        <v>TML MULTISTATE INTERGOVERNMENT</v>
      </c>
    </row>
    <row r="2897" spans="1:9" x14ac:dyDescent="0.25">
      <c r="E2897" s="7"/>
      <c r="F2897" t="s">
        <v>20</v>
      </c>
      <c r="G2897" t="s">
        <v>21</v>
      </c>
      <c r="H2897" t="str">
        <f>"MED201803148308"</f>
        <v>MED201803148308</v>
      </c>
      <c r="I2897" t="str">
        <f>"INSURANCE"</f>
        <v>INSURANCE</v>
      </c>
    </row>
    <row r="2898" spans="1:9" x14ac:dyDescent="0.25">
      <c r="E2898" s="7"/>
      <c r="F2898" t="s">
        <v>20</v>
      </c>
      <c r="G2898" t="s">
        <v>21</v>
      </c>
      <c r="H2898" t="str">
        <f>"MED201803208320"</f>
        <v>MED201803208320</v>
      </c>
      <c r="I2898" t="str">
        <f>"INSURANCE"</f>
        <v>INSURANCE</v>
      </c>
    </row>
    <row r="2899" spans="1:9" x14ac:dyDescent="0.25">
      <c r="E2899" s="7"/>
      <c r="F2899" t="s">
        <v>20</v>
      </c>
      <c r="G2899" t="s">
        <v>21</v>
      </c>
      <c r="H2899" t="str">
        <f>"MED201803288327"</f>
        <v>MED201803288327</v>
      </c>
      <c r="I2899" t="str">
        <f>"INSURANCE"</f>
        <v>INSURANCE</v>
      </c>
    </row>
    <row r="2900" spans="1:9" x14ac:dyDescent="0.25">
      <c r="A2900" s="6">
        <v>43201</v>
      </c>
      <c r="B2900" t="s">
        <v>26</v>
      </c>
      <c r="C2900">
        <v>57338</v>
      </c>
      <c r="D2900" t="s">
        <v>51</v>
      </c>
      <c r="E2900" s="7">
        <v>309.37</v>
      </c>
      <c r="F2900" t="s">
        <v>20</v>
      </c>
      <c r="G2900" t="s">
        <v>21</v>
      </c>
      <c r="H2900" t="str">
        <f>"CLE201804118341"</f>
        <v>CLE201804118341</v>
      </c>
      <c r="I2900" t="str">
        <f>"CLEAT ONLY DUES"</f>
        <v>CLEAT ONLY DUES</v>
      </c>
    </row>
    <row r="2901" spans="1:9" x14ac:dyDescent="0.25">
      <c r="E2901" s="7"/>
      <c r="F2901" t="s">
        <v>20</v>
      </c>
      <c r="G2901" t="s">
        <v>21</v>
      </c>
      <c r="H2901" t="str">
        <f>"PDD201804118341"</f>
        <v>PDD201804118341</v>
      </c>
      <c r="I2901" t="str">
        <f>"POLICE OFFICERS ASSOC DUES"</f>
        <v>POLICE OFFICERS ASSOC DUES</v>
      </c>
    </row>
    <row r="2902" spans="1:9" x14ac:dyDescent="0.25">
      <c r="A2902" s="6">
        <v>43201</v>
      </c>
      <c r="B2902" t="s">
        <v>26</v>
      </c>
      <c r="C2902">
        <v>57339</v>
      </c>
      <c r="D2902" t="s">
        <v>90</v>
      </c>
      <c r="E2902" s="7">
        <v>114.96</v>
      </c>
      <c r="F2902" t="s">
        <v>20</v>
      </c>
      <c r="G2902" t="s">
        <v>21</v>
      </c>
      <c r="H2902" t="str">
        <f>"AFS201804118341"</f>
        <v>AFS201804118341</v>
      </c>
      <c r="I2902" t="str">
        <f>"AFLAC STD"</f>
        <v>AFLAC STD</v>
      </c>
    </row>
    <row r="2903" spans="1:9" x14ac:dyDescent="0.25">
      <c r="A2903" s="6">
        <v>43201</v>
      </c>
      <c r="B2903" t="s">
        <v>26</v>
      </c>
      <c r="C2903">
        <v>57340</v>
      </c>
      <c r="D2903" t="s">
        <v>52</v>
      </c>
      <c r="E2903" s="7">
        <v>1331.53</v>
      </c>
      <c r="F2903" t="s">
        <v>20</v>
      </c>
      <c r="G2903" t="s">
        <v>21</v>
      </c>
      <c r="H2903" t="str">
        <f>"CPS201804118341"</f>
        <v>CPS201804118341</v>
      </c>
      <c r="I2903" t="str">
        <f>"G MENDOZA 00123012032010EM5054"</f>
        <v>G MENDOZA 00123012032010EM5054</v>
      </c>
    </row>
    <row r="2904" spans="1:9" x14ac:dyDescent="0.25">
      <c r="E2904" s="7"/>
      <c r="F2904" t="s">
        <v>20</v>
      </c>
      <c r="G2904" t="s">
        <v>21</v>
      </c>
      <c r="H2904" t="str">
        <f>"CS 201804118341"</f>
        <v>CS 201804118341</v>
      </c>
      <c r="I2904" t="str">
        <f>"CAUSE#98EM504113 PEGGY RIVAS"</f>
        <v>CAUSE#98EM504113 PEGGY RIVAS</v>
      </c>
    </row>
    <row r="2905" spans="1:9" x14ac:dyDescent="0.25">
      <c r="E2905" s="7"/>
      <c r="F2905" t="s">
        <v>20</v>
      </c>
      <c r="G2905" t="s">
        <v>21</v>
      </c>
      <c r="H2905" t="str">
        <f>"CS1201804118341"</f>
        <v>CS1201804118341</v>
      </c>
      <c r="I2905" t="str">
        <f>"CAUSE# 10008CVW DEBRA ESQUEDA"</f>
        <v>CAUSE# 10008CVW DEBRA ESQUEDA</v>
      </c>
    </row>
    <row r="2906" spans="1:9" x14ac:dyDescent="0.25">
      <c r="E2906" s="7"/>
      <c r="F2906" t="s">
        <v>20</v>
      </c>
      <c r="G2906" t="s">
        <v>21</v>
      </c>
      <c r="H2906" t="str">
        <f>"CSJ201804118341"</f>
        <v>CSJ201804118341</v>
      </c>
      <c r="I2906" t="str">
        <f>"CAUSE# 0010185272 MARIANN GUTI"</f>
        <v>CAUSE# 0010185272 MARIANN GUTI</v>
      </c>
    </row>
    <row r="2907" spans="1:9" x14ac:dyDescent="0.25">
      <c r="E2907" s="7"/>
      <c r="F2907" t="s">
        <v>20</v>
      </c>
      <c r="G2907" t="s">
        <v>21</v>
      </c>
      <c r="H2907" t="str">
        <f>"CST201804118341"</f>
        <v>CST201804118341</v>
      </c>
      <c r="I2907" t="str">
        <f>"CAUSE #0009418917 SONIA PEREZ"</f>
        <v>CAUSE #0009418917 SONIA PEREZ</v>
      </c>
    </row>
    <row r="2908" spans="1:9" x14ac:dyDescent="0.25">
      <c r="A2908" s="6">
        <v>43201</v>
      </c>
      <c r="B2908" t="s">
        <v>26</v>
      </c>
      <c r="C2908">
        <v>57341</v>
      </c>
      <c r="D2908" t="s">
        <v>53</v>
      </c>
      <c r="E2908" s="7">
        <v>99.1</v>
      </c>
      <c r="F2908" t="s">
        <v>20</v>
      </c>
      <c r="G2908" t="s">
        <v>21</v>
      </c>
      <c r="H2908" t="str">
        <f>"MCO201804118341"</f>
        <v>MCO201804118341</v>
      </c>
      <c r="I2908" t="str">
        <f>"MONICA CORDOVA"</f>
        <v>MONICA CORDOVA</v>
      </c>
    </row>
    <row r="2909" spans="1:9" x14ac:dyDescent="0.25">
      <c r="A2909" s="6">
        <v>43201</v>
      </c>
      <c r="B2909" t="s">
        <v>26</v>
      </c>
      <c r="C2909">
        <v>57342</v>
      </c>
      <c r="D2909" t="s">
        <v>54</v>
      </c>
      <c r="E2909" s="7">
        <v>1236.74</v>
      </c>
      <c r="F2909" t="s">
        <v>20</v>
      </c>
      <c r="G2909" t="s">
        <v>21</v>
      </c>
      <c r="H2909" t="str">
        <f>"457201804118341"</f>
        <v>457201804118341</v>
      </c>
      <c r="I2909" t="str">
        <f>"CASE # 180-60751 457B DEDUCT"</f>
        <v>CASE # 180-60751 457B DEDUCT</v>
      </c>
    </row>
    <row r="2910" spans="1:9" x14ac:dyDescent="0.25">
      <c r="A2910" s="6">
        <v>43202</v>
      </c>
      <c r="B2910" t="s">
        <v>26</v>
      </c>
      <c r="C2910">
        <v>57343</v>
      </c>
      <c r="D2910" t="s">
        <v>223</v>
      </c>
      <c r="E2910" s="7">
        <v>75</v>
      </c>
      <c r="F2910" t="s">
        <v>20</v>
      </c>
      <c r="G2910" t="s">
        <v>21</v>
      </c>
      <c r="H2910" t="str">
        <f>"042018-COUNCIL"</f>
        <v>042018-COUNCIL</v>
      </c>
      <c r="I2910" t="str">
        <f>""</f>
        <v/>
      </c>
    </row>
    <row r="2911" spans="1:9" x14ac:dyDescent="0.25">
      <c r="A2911" s="6">
        <v>43202</v>
      </c>
      <c r="B2911" t="s">
        <v>26</v>
      </c>
      <c r="C2911">
        <v>57344</v>
      </c>
      <c r="D2911" t="s">
        <v>36</v>
      </c>
      <c r="E2911" s="7">
        <v>75</v>
      </c>
      <c r="F2911" t="s">
        <v>20</v>
      </c>
      <c r="G2911" t="s">
        <v>21</v>
      </c>
      <c r="H2911" t="str">
        <f>"042018-COUNCIL"</f>
        <v>042018-COUNCIL</v>
      </c>
      <c r="I2911" t="str">
        <f>""</f>
        <v/>
      </c>
    </row>
    <row r="2912" spans="1:9" x14ac:dyDescent="0.25">
      <c r="A2912" s="6">
        <v>43202</v>
      </c>
      <c r="B2912" t="s">
        <v>26</v>
      </c>
      <c r="C2912">
        <v>57345</v>
      </c>
      <c r="D2912" t="s">
        <v>37</v>
      </c>
      <c r="E2912" s="7">
        <v>75</v>
      </c>
      <c r="F2912" t="s">
        <v>20</v>
      </c>
      <c r="G2912" t="s">
        <v>21</v>
      </c>
      <c r="H2912" t="str">
        <f>"042018-COUNCIL"</f>
        <v>042018-COUNCIL</v>
      </c>
      <c r="I2912" t="str">
        <f>""</f>
        <v/>
      </c>
    </row>
    <row r="2913" spans="1:9" x14ac:dyDescent="0.25">
      <c r="A2913" s="6">
        <v>43202</v>
      </c>
      <c r="B2913" t="s">
        <v>26</v>
      </c>
      <c r="C2913">
        <v>57346</v>
      </c>
      <c r="D2913" t="s">
        <v>38</v>
      </c>
      <c r="E2913" s="7">
        <v>100</v>
      </c>
      <c r="F2913" t="s">
        <v>20</v>
      </c>
      <c r="G2913" t="s">
        <v>21</v>
      </c>
      <c r="H2913" t="str">
        <f>"042018-MAYOR"</f>
        <v>042018-MAYOR</v>
      </c>
      <c r="I2913" t="str">
        <f>""</f>
        <v/>
      </c>
    </row>
    <row r="2914" spans="1:9" x14ac:dyDescent="0.25">
      <c r="A2914" s="6">
        <v>43202</v>
      </c>
      <c r="B2914" t="s">
        <v>26</v>
      </c>
      <c r="C2914">
        <v>57347</v>
      </c>
      <c r="D2914" t="s">
        <v>39</v>
      </c>
      <c r="E2914" s="7">
        <v>75</v>
      </c>
      <c r="F2914" t="s">
        <v>20</v>
      </c>
      <c r="G2914" t="s">
        <v>21</v>
      </c>
      <c r="H2914" t="str">
        <f>"042018-COUNCIL"</f>
        <v>042018-COUNCIL</v>
      </c>
      <c r="I2914" t="str">
        <f>""</f>
        <v/>
      </c>
    </row>
    <row r="2915" spans="1:9" x14ac:dyDescent="0.25">
      <c r="A2915" s="6">
        <v>43202</v>
      </c>
      <c r="B2915" t="s">
        <v>26</v>
      </c>
      <c r="C2915">
        <v>57348</v>
      </c>
      <c r="D2915" t="s">
        <v>40</v>
      </c>
      <c r="E2915" s="7">
        <v>75</v>
      </c>
      <c r="F2915" t="s">
        <v>20</v>
      </c>
      <c r="G2915" t="s">
        <v>21</v>
      </c>
      <c r="H2915" t="str">
        <f>"042018-COUNCIL"</f>
        <v>042018-COUNCIL</v>
      </c>
      <c r="I2915" t="str">
        <f>""</f>
        <v/>
      </c>
    </row>
    <row r="2916" spans="1:9" x14ac:dyDescent="0.25">
      <c r="A2916" s="6">
        <v>43202</v>
      </c>
      <c r="B2916" t="s">
        <v>26</v>
      </c>
      <c r="C2916">
        <v>57349</v>
      </c>
      <c r="D2916" t="s">
        <v>57</v>
      </c>
      <c r="E2916" s="7">
        <v>5922.76</v>
      </c>
      <c r="F2916" t="s">
        <v>20</v>
      </c>
      <c r="G2916" t="s">
        <v>21</v>
      </c>
      <c r="H2916" t="str">
        <f>"4/02/18"</f>
        <v>4/02/18</v>
      </c>
      <c r="I2916" t="str">
        <f>"F.E.L.P.S."</f>
        <v>F.E.L.P.S.</v>
      </c>
    </row>
    <row r="2917" spans="1:9" x14ac:dyDescent="0.25">
      <c r="A2917" s="6">
        <v>43202</v>
      </c>
      <c r="B2917" t="s">
        <v>26</v>
      </c>
      <c r="C2917">
        <v>57350</v>
      </c>
      <c r="D2917" t="s">
        <v>103</v>
      </c>
      <c r="E2917" s="7">
        <v>62028.44</v>
      </c>
      <c r="F2917" t="s">
        <v>20</v>
      </c>
      <c r="G2917" t="s">
        <v>21</v>
      </c>
      <c r="H2917" t="str">
        <f>"4/11/18"</f>
        <v>4/11/18</v>
      </c>
      <c r="I2917" t="str">
        <f>"F. E. D. C."</f>
        <v>F. E. D. C.</v>
      </c>
    </row>
    <row r="2918" spans="1:9" x14ac:dyDescent="0.25">
      <c r="A2918" s="6">
        <v>43202</v>
      </c>
      <c r="B2918" t="s">
        <v>26</v>
      </c>
      <c r="C2918">
        <v>57351</v>
      </c>
      <c r="D2918" t="s">
        <v>59</v>
      </c>
      <c r="E2918" s="7">
        <v>7715.59</v>
      </c>
      <c r="F2918" t="s">
        <v>20</v>
      </c>
      <c r="G2918" t="s">
        <v>21</v>
      </c>
      <c r="H2918" t="str">
        <f>"0933592-1"</f>
        <v>0933592-1</v>
      </c>
      <c r="I2918" t="str">
        <f>"FERGUSON WATERWORKS - MUNICIPA"</f>
        <v>FERGUSON WATERWORKS - MUNICIPA</v>
      </c>
    </row>
    <row r="2919" spans="1:9" x14ac:dyDescent="0.25">
      <c r="E2919" s="7"/>
      <c r="F2919" t="s">
        <v>20</v>
      </c>
      <c r="G2919" t="s">
        <v>21</v>
      </c>
      <c r="H2919" t="str">
        <f>"0940523"</f>
        <v>0940523</v>
      </c>
      <c r="I2919" t="str">
        <f>"FERGUSON WATERWORKS - MUNICIPA"</f>
        <v>FERGUSON WATERWORKS - MUNICIPA</v>
      </c>
    </row>
    <row r="2920" spans="1:9" x14ac:dyDescent="0.25">
      <c r="E2920" s="7"/>
      <c r="F2920" t="s">
        <v>20</v>
      </c>
      <c r="G2920" t="s">
        <v>21</v>
      </c>
      <c r="H2920" t="str">
        <f>"0940523-2"</f>
        <v>0940523-2</v>
      </c>
      <c r="I2920" t="str">
        <f>"FERGUSON WATERWORKS - MUNICIPA"</f>
        <v>FERGUSON WATERWORKS - MUNICIPA</v>
      </c>
    </row>
    <row r="2921" spans="1:9" x14ac:dyDescent="0.25">
      <c r="A2921" s="6">
        <v>43202</v>
      </c>
      <c r="B2921" t="s">
        <v>26</v>
      </c>
      <c r="C2921">
        <v>57352</v>
      </c>
      <c r="D2921" t="s">
        <v>273</v>
      </c>
      <c r="E2921" s="7">
        <v>7573.8</v>
      </c>
      <c r="F2921" t="s">
        <v>20</v>
      </c>
      <c r="G2921" t="s">
        <v>21</v>
      </c>
      <c r="H2921" t="str">
        <f>"5119-000082836"</f>
        <v>5119-000082836</v>
      </c>
      <c r="I2921" t="str">
        <f>"REPUBLIC SERVICES TESSMAN ROAD"</f>
        <v>REPUBLIC SERVICES TESSMAN ROAD</v>
      </c>
    </row>
    <row r="2922" spans="1:9" x14ac:dyDescent="0.25">
      <c r="A2922" s="6">
        <v>43202</v>
      </c>
      <c r="B2922" t="s">
        <v>26</v>
      </c>
      <c r="C2922">
        <v>57353</v>
      </c>
      <c r="D2922" t="s">
        <v>110</v>
      </c>
      <c r="E2922" s="7">
        <v>3766.91</v>
      </c>
      <c r="F2922" t="s">
        <v>20</v>
      </c>
      <c r="G2922" t="s">
        <v>21</v>
      </c>
      <c r="H2922" t="str">
        <f>"1409331"</f>
        <v>1409331</v>
      </c>
      <c r="I2922" t="str">
        <f t="shared" ref="I2922:I2931" si="56">"BUREAU VERITAS NORTH AMERICA"</f>
        <v>BUREAU VERITAS NORTH AMERICA</v>
      </c>
    </row>
    <row r="2923" spans="1:9" x14ac:dyDescent="0.25">
      <c r="E2923" s="7"/>
      <c r="F2923" t="s">
        <v>20</v>
      </c>
      <c r="G2923" t="s">
        <v>21</v>
      </c>
      <c r="H2923" t="str">
        <f>"1409332"</f>
        <v>1409332</v>
      </c>
      <c r="I2923" t="str">
        <f t="shared" si="56"/>
        <v>BUREAU VERITAS NORTH AMERICA</v>
      </c>
    </row>
    <row r="2924" spans="1:9" x14ac:dyDescent="0.25">
      <c r="E2924" s="7"/>
      <c r="F2924" t="s">
        <v>20</v>
      </c>
      <c r="G2924" t="s">
        <v>21</v>
      </c>
      <c r="H2924" t="str">
        <f>"1409333"</f>
        <v>1409333</v>
      </c>
      <c r="I2924" t="str">
        <f t="shared" si="56"/>
        <v>BUREAU VERITAS NORTH AMERICA</v>
      </c>
    </row>
    <row r="2925" spans="1:9" x14ac:dyDescent="0.25">
      <c r="E2925" s="7"/>
      <c r="F2925" t="s">
        <v>20</v>
      </c>
      <c r="G2925" t="s">
        <v>21</v>
      </c>
      <c r="H2925" t="str">
        <f>"1409334"</f>
        <v>1409334</v>
      </c>
      <c r="I2925" t="str">
        <f t="shared" si="56"/>
        <v>BUREAU VERITAS NORTH AMERICA</v>
      </c>
    </row>
    <row r="2926" spans="1:9" x14ac:dyDescent="0.25">
      <c r="E2926" s="7"/>
      <c r="F2926" t="s">
        <v>20</v>
      </c>
      <c r="G2926" t="s">
        <v>21</v>
      </c>
      <c r="H2926" t="str">
        <f>"1409335"</f>
        <v>1409335</v>
      </c>
      <c r="I2926" t="str">
        <f t="shared" si="56"/>
        <v>BUREAU VERITAS NORTH AMERICA</v>
      </c>
    </row>
    <row r="2927" spans="1:9" x14ac:dyDescent="0.25">
      <c r="E2927" s="7"/>
      <c r="F2927" t="s">
        <v>20</v>
      </c>
      <c r="G2927" t="s">
        <v>21</v>
      </c>
      <c r="H2927" t="str">
        <f>"1409336"</f>
        <v>1409336</v>
      </c>
      <c r="I2927" t="str">
        <f t="shared" si="56"/>
        <v>BUREAU VERITAS NORTH AMERICA</v>
      </c>
    </row>
    <row r="2928" spans="1:9" x14ac:dyDescent="0.25">
      <c r="E2928" s="7"/>
      <c r="F2928" t="s">
        <v>20</v>
      </c>
      <c r="G2928" t="s">
        <v>21</v>
      </c>
      <c r="H2928" t="str">
        <f>"1409337"</f>
        <v>1409337</v>
      </c>
      <c r="I2928" t="str">
        <f t="shared" si="56"/>
        <v>BUREAU VERITAS NORTH AMERICA</v>
      </c>
    </row>
    <row r="2929" spans="1:9" x14ac:dyDescent="0.25">
      <c r="E2929" s="7"/>
      <c r="F2929" t="s">
        <v>20</v>
      </c>
      <c r="G2929" t="s">
        <v>21</v>
      </c>
      <c r="H2929" t="str">
        <f>"1409338"</f>
        <v>1409338</v>
      </c>
      <c r="I2929" t="str">
        <f t="shared" si="56"/>
        <v>BUREAU VERITAS NORTH AMERICA</v>
      </c>
    </row>
    <row r="2930" spans="1:9" x14ac:dyDescent="0.25">
      <c r="E2930" s="7"/>
      <c r="F2930" t="s">
        <v>20</v>
      </c>
      <c r="G2930" t="s">
        <v>21</v>
      </c>
      <c r="H2930" t="str">
        <f>"1409339"</f>
        <v>1409339</v>
      </c>
      <c r="I2930" t="str">
        <f t="shared" si="56"/>
        <v>BUREAU VERITAS NORTH AMERICA</v>
      </c>
    </row>
    <row r="2931" spans="1:9" x14ac:dyDescent="0.25">
      <c r="E2931" s="7"/>
      <c r="F2931" t="s">
        <v>20</v>
      </c>
      <c r="G2931" t="s">
        <v>21</v>
      </c>
      <c r="H2931" t="str">
        <f>"1409340"</f>
        <v>1409340</v>
      </c>
      <c r="I2931" t="str">
        <f t="shared" si="56"/>
        <v>BUREAU VERITAS NORTH AMERICA</v>
      </c>
    </row>
    <row r="2932" spans="1:9" x14ac:dyDescent="0.25">
      <c r="A2932" s="6">
        <v>43202</v>
      </c>
      <c r="B2932" t="s">
        <v>26</v>
      </c>
      <c r="C2932">
        <v>57355</v>
      </c>
      <c r="D2932" t="s">
        <v>61</v>
      </c>
      <c r="E2932" s="7">
        <v>1.25</v>
      </c>
      <c r="F2932" t="s">
        <v>20</v>
      </c>
      <c r="G2932" t="s">
        <v>21</v>
      </c>
      <c r="H2932" t="str">
        <f>"025-219079"</f>
        <v>025-219079</v>
      </c>
      <c r="I2932" t="str">
        <f>"TYLER TECHNOLOGIES  INC."</f>
        <v>TYLER TECHNOLOGIES  INC.</v>
      </c>
    </row>
    <row r="2933" spans="1:9" x14ac:dyDescent="0.25">
      <c r="A2933" s="6">
        <v>43202</v>
      </c>
      <c r="B2933" t="s">
        <v>26</v>
      </c>
      <c r="C2933">
        <v>57356</v>
      </c>
      <c r="D2933" t="s">
        <v>184</v>
      </c>
      <c r="E2933" s="7">
        <v>216</v>
      </c>
      <c r="F2933" t="s">
        <v>20</v>
      </c>
      <c r="G2933" t="s">
        <v>21</v>
      </c>
      <c r="H2933" t="str">
        <f>"1049-669"</f>
        <v>1049-669</v>
      </c>
      <c r="I2933" t="str">
        <f>"POLLUTION CONTROL SERVICES"</f>
        <v>POLLUTION CONTROL SERVICES</v>
      </c>
    </row>
    <row r="2934" spans="1:9" x14ac:dyDescent="0.25">
      <c r="A2934" s="6">
        <v>43202</v>
      </c>
      <c r="B2934" t="s">
        <v>26</v>
      </c>
      <c r="C2934">
        <v>57357</v>
      </c>
      <c r="D2934" t="s">
        <v>66</v>
      </c>
      <c r="E2934" s="7">
        <v>150</v>
      </c>
      <c r="F2934" t="s">
        <v>20</v>
      </c>
      <c r="G2934" t="s">
        <v>21</v>
      </c>
      <c r="H2934" t="str">
        <f>"52156"</f>
        <v>52156</v>
      </c>
      <c r="I2934" t="str">
        <f>"LOPEZ EXTERMINATING SERVICE  I"</f>
        <v>LOPEZ EXTERMINATING SERVICE  I</v>
      </c>
    </row>
    <row r="2935" spans="1:9" x14ac:dyDescent="0.25">
      <c r="A2935" s="6">
        <v>43202</v>
      </c>
      <c r="B2935" t="s">
        <v>26</v>
      </c>
      <c r="C2935">
        <v>57358</v>
      </c>
      <c r="D2935" t="s">
        <v>119</v>
      </c>
      <c r="E2935" s="7">
        <v>975.32</v>
      </c>
      <c r="F2935" t="s">
        <v>20</v>
      </c>
      <c r="G2935" t="s">
        <v>21</v>
      </c>
      <c r="H2935" t="str">
        <f>"39946"</f>
        <v>39946</v>
      </c>
      <c r="I2935" t="str">
        <f>"PRUSKI'S TIRE SHOP  L.L.C."</f>
        <v>PRUSKI'S TIRE SHOP  L.L.C.</v>
      </c>
    </row>
    <row r="2936" spans="1:9" x14ac:dyDescent="0.25">
      <c r="E2936" s="7"/>
      <c r="F2936" t="s">
        <v>20</v>
      </c>
      <c r="G2936" t="s">
        <v>21</v>
      </c>
      <c r="H2936" t="str">
        <f>"40075"</f>
        <v>40075</v>
      </c>
      <c r="I2936" t="str">
        <f>"PRUSKI'S TIRE SHOP  L.L.C."</f>
        <v>PRUSKI'S TIRE SHOP  L.L.C.</v>
      </c>
    </row>
    <row r="2937" spans="1:9" x14ac:dyDescent="0.25">
      <c r="A2937" s="6">
        <v>43202</v>
      </c>
      <c r="B2937" t="s">
        <v>26</v>
      </c>
      <c r="C2937">
        <v>57359</v>
      </c>
      <c r="D2937" t="s">
        <v>120</v>
      </c>
      <c r="E2937" s="7">
        <v>1782.29</v>
      </c>
      <c r="F2937" t="s">
        <v>20</v>
      </c>
      <c r="G2937" t="s">
        <v>21</v>
      </c>
      <c r="H2937" t="str">
        <f>"70747684"</f>
        <v>70747684</v>
      </c>
      <c r="I2937" t="str">
        <f>"VERIZON BUSINESS"</f>
        <v>VERIZON BUSINESS</v>
      </c>
    </row>
    <row r="2938" spans="1:9" x14ac:dyDescent="0.25">
      <c r="E2938" s="7"/>
      <c r="F2938" t="s">
        <v>20</v>
      </c>
      <c r="G2938" t="s">
        <v>21</v>
      </c>
      <c r="H2938" t="str">
        <f>"70751905"</f>
        <v>70751905</v>
      </c>
      <c r="I2938" t="str">
        <f>"VERIZON BUSINESS"</f>
        <v>VERIZON BUSINESS</v>
      </c>
    </row>
    <row r="2939" spans="1:9" x14ac:dyDescent="0.25">
      <c r="A2939" s="6">
        <v>43202</v>
      </c>
      <c r="B2939" t="s">
        <v>26</v>
      </c>
      <c r="C2939">
        <v>57360</v>
      </c>
      <c r="D2939" t="s">
        <v>70</v>
      </c>
      <c r="E2939" s="7">
        <v>72.95</v>
      </c>
      <c r="F2939" t="s">
        <v>20</v>
      </c>
      <c r="G2939" t="s">
        <v>21</v>
      </c>
      <c r="H2939" t="str">
        <f>"A975064"</f>
        <v>A975064</v>
      </c>
      <c r="I2939" t="str">
        <f>"TEXAS WIRED MUSIC  INC."</f>
        <v>TEXAS WIRED MUSIC  INC.</v>
      </c>
    </row>
    <row r="2940" spans="1:9" x14ac:dyDescent="0.25">
      <c r="A2940" s="6">
        <v>43202</v>
      </c>
      <c r="B2940" t="s">
        <v>26</v>
      </c>
      <c r="C2940">
        <v>57361</v>
      </c>
      <c r="D2940" t="s">
        <v>71</v>
      </c>
      <c r="E2940" s="7">
        <v>191.29</v>
      </c>
      <c r="F2940" t="s">
        <v>20</v>
      </c>
      <c r="G2940" t="s">
        <v>21</v>
      </c>
      <c r="H2940" t="str">
        <f>"087115534"</f>
        <v>087115534</v>
      </c>
      <c r="I2940" t="str">
        <f>"CINTAS CORPORATION #087"</f>
        <v>CINTAS CORPORATION #087</v>
      </c>
    </row>
    <row r="2941" spans="1:9" x14ac:dyDescent="0.25">
      <c r="A2941" s="6">
        <v>43202</v>
      </c>
      <c r="B2941" t="s">
        <v>26</v>
      </c>
      <c r="C2941">
        <v>57362</v>
      </c>
      <c r="D2941" t="s">
        <v>122</v>
      </c>
      <c r="E2941" s="7">
        <v>10</v>
      </c>
      <c r="F2941" t="s">
        <v>20</v>
      </c>
      <c r="G2941" t="s">
        <v>21</v>
      </c>
      <c r="H2941" t="str">
        <f>"0776331"</f>
        <v>0776331</v>
      </c>
      <c r="I2941" t="str">
        <f>"VILLA TIRES"</f>
        <v>VILLA TIRES</v>
      </c>
    </row>
    <row r="2942" spans="1:9" x14ac:dyDescent="0.25">
      <c r="A2942" s="6">
        <v>43202</v>
      </c>
      <c r="B2942" t="s">
        <v>26</v>
      </c>
      <c r="C2942">
        <v>57363</v>
      </c>
      <c r="D2942" t="s">
        <v>235</v>
      </c>
      <c r="E2942" s="7">
        <v>11940</v>
      </c>
      <c r="F2942" t="s">
        <v>20</v>
      </c>
      <c r="G2942" t="s">
        <v>21</v>
      </c>
      <c r="H2942" t="str">
        <f>"PERMITSJAN-FEB"</f>
        <v>PERMITSJAN-FEB</v>
      </c>
      <c r="I2942" t="str">
        <f>"WILSON COUNTY"</f>
        <v>WILSON COUNTY</v>
      </c>
    </row>
    <row r="2943" spans="1:9" x14ac:dyDescent="0.25">
      <c r="A2943" s="6">
        <v>43202</v>
      </c>
      <c r="B2943" t="s">
        <v>26</v>
      </c>
      <c r="C2943">
        <v>57364</v>
      </c>
      <c r="D2943" t="s">
        <v>341</v>
      </c>
      <c r="E2943" s="7">
        <v>72.5</v>
      </c>
      <c r="F2943" t="s">
        <v>20</v>
      </c>
      <c r="G2943" t="s">
        <v>21</v>
      </c>
      <c r="H2943" t="str">
        <f>"4/07/2018"</f>
        <v>4/07/2018</v>
      </c>
      <c r="I2943" t="str">
        <f>"JUANITA MONTOYA"</f>
        <v>JUANITA MONTOYA</v>
      </c>
    </row>
    <row r="2944" spans="1:9" x14ac:dyDescent="0.25">
      <c r="A2944" s="6">
        <v>43202</v>
      </c>
      <c r="B2944" t="s">
        <v>26</v>
      </c>
      <c r="C2944">
        <v>57365</v>
      </c>
      <c r="D2944" t="s">
        <v>123</v>
      </c>
      <c r="E2944" s="7">
        <v>297.08</v>
      </c>
      <c r="F2944" t="s">
        <v>20</v>
      </c>
      <c r="G2944" t="s">
        <v>21</v>
      </c>
      <c r="H2944" t="str">
        <f>"117873417001"</f>
        <v>117873417001</v>
      </c>
      <c r="I2944" t="str">
        <f>"OFFICE DEPOT  INC."</f>
        <v>OFFICE DEPOT  INC.</v>
      </c>
    </row>
    <row r="2945" spans="1:9" x14ac:dyDescent="0.25">
      <c r="E2945" s="7"/>
      <c r="F2945" t="s">
        <v>20</v>
      </c>
      <c r="G2945" t="s">
        <v>21</v>
      </c>
      <c r="H2945" t="str">
        <f>"117873720001"</f>
        <v>117873720001</v>
      </c>
      <c r="I2945" t="str">
        <f>"OFFICE DEPOT  INC."</f>
        <v>OFFICE DEPOT  INC.</v>
      </c>
    </row>
    <row r="2946" spans="1:9" x14ac:dyDescent="0.25">
      <c r="E2946" s="7"/>
      <c r="F2946" t="s">
        <v>20</v>
      </c>
      <c r="G2946" t="s">
        <v>21</v>
      </c>
      <c r="H2946" t="str">
        <f>"118456410001"</f>
        <v>118456410001</v>
      </c>
      <c r="I2946" t="str">
        <f>"OFFICE DEPOT  INC."</f>
        <v>OFFICE DEPOT  INC.</v>
      </c>
    </row>
    <row r="2947" spans="1:9" x14ac:dyDescent="0.25">
      <c r="E2947" s="7"/>
      <c r="F2947" t="s">
        <v>20</v>
      </c>
      <c r="G2947" t="s">
        <v>21</v>
      </c>
      <c r="H2947" t="str">
        <f>"118456623001"</f>
        <v>118456623001</v>
      </c>
      <c r="I2947" t="str">
        <f>"OFFICE DEPOT  INC."</f>
        <v>OFFICE DEPOT  INC.</v>
      </c>
    </row>
    <row r="2948" spans="1:9" x14ac:dyDescent="0.25">
      <c r="A2948" s="6">
        <v>43202</v>
      </c>
      <c r="B2948" t="s">
        <v>26</v>
      </c>
      <c r="C2948">
        <v>57366</v>
      </c>
      <c r="D2948" t="s">
        <v>77</v>
      </c>
      <c r="E2948" s="7">
        <v>1319.12</v>
      </c>
      <c r="F2948" t="s">
        <v>20</v>
      </c>
      <c r="G2948" t="s">
        <v>21</v>
      </c>
      <c r="H2948" t="str">
        <f>"857000520-18"</f>
        <v>857000520-18</v>
      </c>
      <c r="I2948" t="str">
        <f>"DPC INDUSTRIES  INC."</f>
        <v>DPC INDUSTRIES  INC.</v>
      </c>
    </row>
    <row r="2949" spans="1:9" x14ac:dyDescent="0.25">
      <c r="E2949" s="7"/>
      <c r="F2949" t="s">
        <v>20</v>
      </c>
      <c r="G2949" t="s">
        <v>21</v>
      </c>
      <c r="H2949" t="str">
        <f>"857000521-18"</f>
        <v>857000521-18</v>
      </c>
      <c r="I2949" t="str">
        <f>"DPC INDUSTRIES  INC."</f>
        <v>DPC INDUSTRIES  INC.</v>
      </c>
    </row>
    <row r="2950" spans="1:9" x14ac:dyDescent="0.25">
      <c r="A2950" s="6">
        <v>43202</v>
      </c>
      <c r="B2950" t="s">
        <v>26</v>
      </c>
      <c r="C2950">
        <v>57367</v>
      </c>
      <c r="D2950" t="s">
        <v>138</v>
      </c>
      <c r="E2950" s="7">
        <v>780.69</v>
      </c>
      <c r="F2950" t="s">
        <v>20</v>
      </c>
      <c r="G2950" t="s">
        <v>21</v>
      </c>
      <c r="H2950" t="str">
        <f>"201804128347"</f>
        <v>201804128347</v>
      </c>
      <c r="I2950" t="str">
        <f>"CITY OF FLORESVILLE-FLEX SPEND"</f>
        <v>CITY OF FLORESVILLE-FLEX SPEND</v>
      </c>
    </row>
    <row r="2951" spans="1:9" x14ac:dyDescent="0.25">
      <c r="A2951" s="6">
        <v>43202</v>
      </c>
      <c r="B2951" t="s">
        <v>26</v>
      </c>
      <c r="C2951">
        <v>57368</v>
      </c>
      <c r="D2951" t="s">
        <v>124</v>
      </c>
      <c r="E2951" s="7">
        <v>277.81</v>
      </c>
      <c r="F2951" t="s">
        <v>20</v>
      </c>
      <c r="G2951" t="s">
        <v>21</v>
      </c>
      <c r="H2951" t="str">
        <f>"11158237"</f>
        <v>11158237</v>
      </c>
      <c r="I2951" t="str">
        <f>"MCCOY'S CORPORATION"</f>
        <v>MCCOY'S CORPORATION</v>
      </c>
    </row>
    <row r="2952" spans="1:9" x14ac:dyDescent="0.25">
      <c r="A2952" s="6">
        <v>43202</v>
      </c>
      <c r="B2952" t="s">
        <v>26</v>
      </c>
      <c r="C2952">
        <v>57369</v>
      </c>
      <c r="D2952" t="s">
        <v>372</v>
      </c>
      <c r="E2952" s="7">
        <v>72.5</v>
      </c>
      <c r="F2952" t="s">
        <v>20</v>
      </c>
      <c r="G2952" t="s">
        <v>21</v>
      </c>
      <c r="H2952" t="str">
        <f>"4/07/2018"</f>
        <v>4/07/2018</v>
      </c>
      <c r="I2952" t="str">
        <f>"MICHELLE DOLBERRY"</f>
        <v>MICHELLE DOLBERRY</v>
      </c>
    </row>
    <row r="2953" spans="1:9" x14ac:dyDescent="0.25">
      <c r="A2953" s="6">
        <v>43202</v>
      </c>
      <c r="B2953" t="s">
        <v>26</v>
      </c>
      <c r="C2953">
        <v>57370</v>
      </c>
      <c r="D2953" t="s">
        <v>126</v>
      </c>
      <c r="E2953" s="7">
        <v>76813.97</v>
      </c>
      <c r="F2953" t="s">
        <v>20</v>
      </c>
      <c r="G2953" t="s">
        <v>21</v>
      </c>
      <c r="H2953" t="str">
        <f>"0859-002033881"</f>
        <v>0859-002033881</v>
      </c>
      <c r="I2953" t="str">
        <f>"REPUBLIC SERVICES #859"</f>
        <v>REPUBLIC SERVICES #859</v>
      </c>
    </row>
    <row r="2954" spans="1:9" x14ac:dyDescent="0.25">
      <c r="A2954" s="6">
        <v>43202</v>
      </c>
      <c r="B2954" t="s">
        <v>26</v>
      </c>
      <c r="C2954">
        <v>57371</v>
      </c>
      <c r="D2954" t="s">
        <v>139</v>
      </c>
      <c r="E2954" s="7">
        <v>65</v>
      </c>
      <c r="F2954" t="s">
        <v>20</v>
      </c>
      <c r="G2954" t="s">
        <v>21</v>
      </c>
      <c r="H2954" t="str">
        <f>"23534"</f>
        <v>23534</v>
      </c>
      <c r="I2954" t="str">
        <f>"ANGEL FIRE &amp; SAFETY"</f>
        <v>ANGEL FIRE &amp; SAFETY</v>
      </c>
    </row>
    <row r="2955" spans="1:9" x14ac:dyDescent="0.25">
      <c r="A2955" s="6">
        <v>43202</v>
      </c>
      <c r="B2955" t="s">
        <v>26</v>
      </c>
      <c r="C2955">
        <v>57372</v>
      </c>
      <c r="D2955" t="s">
        <v>32</v>
      </c>
      <c r="E2955" s="7">
        <v>72.5</v>
      </c>
      <c r="F2955" t="s">
        <v>20</v>
      </c>
      <c r="G2955" t="s">
        <v>21</v>
      </c>
      <c r="H2955" t="str">
        <f>"4/07/2018"</f>
        <v>4/07/2018</v>
      </c>
      <c r="I2955" t="str">
        <f>"SHARON KERRIGAN"</f>
        <v>SHARON KERRIGAN</v>
      </c>
    </row>
    <row r="2956" spans="1:9" x14ac:dyDescent="0.25">
      <c r="A2956" s="6">
        <v>43202</v>
      </c>
      <c r="B2956" t="s">
        <v>26</v>
      </c>
      <c r="C2956">
        <v>57373</v>
      </c>
      <c r="D2956" t="s">
        <v>33</v>
      </c>
      <c r="E2956" s="7">
        <v>72.5</v>
      </c>
      <c r="F2956" t="s">
        <v>20</v>
      </c>
      <c r="G2956" t="s">
        <v>21</v>
      </c>
      <c r="H2956" t="str">
        <f>"4/07/2018"</f>
        <v>4/07/2018</v>
      </c>
      <c r="I2956" t="str">
        <f>"DEBORAH KORCZYK"</f>
        <v>DEBORAH KORCZYK</v>
      </c>
    </row>
    <row r="2957" spans="1:9" x14ac:dyDescent="0.25">
      <c r="A2957" s="6">
        <v>43202</v>
      </c>
      <c r="B2957" t="s">
        <v>26</v>
      </c>
      <c r="C2957">
        <v>57374</v>
      </c>
      <c r="D2957" t="s">
        <v>292</v>
      </c>
      <c r="E2957" s="7">
        <v>124.36</v>
      </c>
      <c r="F2957" t="s">
        <v>20</v>
      </c>
      <c r="G2957" t="s">
        <v>21</v>
      </c>
      <c r="H2957" t="str">
        <f>"TRNG 4/20/18"</f>
        <v>TRNG 4/20/18</v>
      </c>
      <c r="I2957" t="str">
        <f>"MELINDA RILEY"</f>
        <v>MELINDA RILEY</v>
      </c>
    </row>
    <row r="2958" spans="1:9" x14ac:dyDescent="0.25">
      <c r="A2958" s="6">
        <v>43202</v>
      </c>
      <c r="B2958" t="s">
        <v>26</v>
      </c>
      <c r="C2958">
        <v>57375</v>
      </c>
      <c r="D2958" t="s">
        <v>373</v>
      </c>
      <c r="E2958" s="7">
        <v>1170</v>
      </c>
      <c r="F2958" t="s">
        <v>20</v>
      </c>
      <c r="G2958" t="s">
        <v>21</v>
      </c>
      <c r="H2958" t="str">
        <f>"1467"</f>
        <v>1467</v>
      </c>
      <c r="I2958" t="str">
        <f>"CASARES SAND PIT &amp; TRUCKING  I"</f>
        <v>CASARES SAND PIT &amp; TRUCKING  I</v>
      </c>
    </row>
    <row r="2959" spans="1:9" x14ac:dyDescent="0.25">
      <c r="A2959" s="6">
        <v>43202</v>
      </c>
      <c r="B2959" t="s">
        <v>26</v>
      </c>
      <c r="C2959">
        <v>57376</v>
      </c>
      <c r="D2959" t="s">
        <v>131</v>
      </c>
      <c r="E2959" s="7">
        <v>78.23</v>
      </c>
      <c r="F2959" t="s">
        <v>20</v>
      </c>
      <c r="G2959" t="s">
        <v>21</v>
      </c>
      <c r="H2959" t="str">
        <f>"027903"</f>
        <v>027903</v>
      </c>
      <c r="I2959" t="str">
        <f>"R &amp; S TEXAS PARTS CO"</f>
        <v>R &amp; S TEXAS PARTS CO</v>
      </c>
    </row>
    <row r="2960" spans="1:9" x14ac:dyDescent="0.25">
      <c r="E2960" s="7"/>
      <c r="F2960" t="s">
        <v>20</v>
      </c>
      <c r="G2960" t="s">
        <v>21</v>
      </c>
      <c r="H2960" t="str">
        <f>"028281"</f>
        <v>028281</v>
      </c>
      <c r="I2960" t="str">
        <f>"R &amp; S TEXAS PARTS CO"</f>
        <v>R &amp; S TEXAS PARTS CO</v>
      </c>
    </row>
    <row r="2961" spans="1:9" x14ac:dyDescent="0.25">
      <c r="A2961" s="6">
        <v>43202</v>
      </c>
      <c r="B2961" t="s">
        <v>26</v>
      </c>
      <c r="C2961">
        <v>57377</v>
      </c>
      <c r="D2961" t="s">
        <v>85</v>
      </c>
      <c r="E2961" s="7">
        <v>240.6</v>
      </c>
      <c r="F2961" t="s">
        <v>20</v>
      </c>
      <c r="G2961" t="s">
        <v>21</v>
      </c>
      <c r="H2961" t="str">
        <f>"201804128343"</f>
        <v>201804128343</v>
      </c>
      <c r="I2961" t="str">
        <f>"FRONTIER"</f>
        <v>FRONTIER</v>
      </c>
    </row>
    <row r="2962" spans="1:9" x14ac:dyDescent="0.25">
      <c r="E2962" s="7"/>
      <c r="F2962" t="s">
        <v>20</v>
      </c>
      <c r="G2962" t="s">
        <v>21</v>
      </c>
      <c r="H2962" t="str">
        <f>"201804128344"</f>
        <v>201804128344</v>
      </c>
      <c r="I2962" t="str">
        <f>"FRONTIER"</f>
        <v>FRONTIER</v>
      </c>
    </row>
    <row r="2963" spans="1:9" x14ac:dyDescent="0.25">
      <c r="E2963" s="7"/>
      <c r="F2963" t="s">
        <v>20</v>
      </c>
      <c r="G2963" t="s">
        <v>21</v>
      </c>
      <c r="H2963" t="str">
        <f>"201804128345"</f>
        <v>201804128345</v>
      </c>
      <c r="I2963" t="str">
        <f>"FRONTIER"</f>
        <v>FRONTIER</v>
      </c>
    </row>
    <row r="2964" spans="1:9" x14ac:dyDescent="0.25">
      <c r="E2964" s="7"/>
      <c r="F2964" t="s">
        <v>20</v>
      </c>
      <c r="G2964" t="s">
        <v>21</v>
      </c>
      <c r="H2964" t="str">
        <f>"201804128346"</f>
        <v>201804128346</v>
      </c>
      <c r="I2964" t="str">
        <f>"FRONTIER"</f>
        <v>FRONTIER</v>
      </c>
    </row>
    <row r="2965" spans="1:9" x14ac:dyDescent="0.25">
      <c r="A2965" s="6">
        <v>43202</v>
      </c>
      <c r="B2965" t="s">
        <v>26</v>
      </c>
      <c r="C2965">
        <v>57378</v>
      </c>
      <c r="D2965" t="s">
        <v>134</v>
      </c>
      <c r="E2965" s="7">
        <v>675.55</v>
      </c>
      <c r="F2965" t="s">
        <v>20</v>
      </c>
      <c r="G2965" t="s">
        <v>21</v>
      </c>
      <c r="H2965" t="str">
        <f>"2017-118.08"</f>
        <v>2017-118.08</v>
      </c>
      <c r="I2965" t="str">
        <f>"MOODY ENGINEERING GROUP INC."</f>
        <v>MOODY ENGINEERING GROUP INC.</v>
      </c>
    </row>
    <row r="2966" spans="1:9" x14ac:dyDescent="0.25">
      <c r="A2966" s="6">
        <v>43208</v>
      </c>
      <c r="B2966" t="s">
        <v>26</v>
      </c>
      <c r="C2966">
        <v>57379</v>
      </c>
      <c r="D2966" t="s">
        <v>56</v>
      </c>
      <c r="E2966" s="7">
        <v>46.25</v>
      </c>
      <c r="F2966" t="s">
        <v>20</v>
      </c>
      <c r="G2966" t="s">
        <v>21</v>
      </c>
      <c r="H2966" t="str">
        <f>"166196"</f>
        <v>166196</v>
      </c>
      <c r="I2966" t="str">
        <f>"GERALD LUBIANSKI ENTERPRISES"</f>
        <v>GERALD LUBIANSKI ENTERPRISES</v>
      </c>
    </row>
    <row r="2967" spans="1:9" x14ac:dyDescent="0.25">
      <c r="A2967" s="6">
        <v>43208</v>
      </c>
      <c r="B2967" t="s">
        <v>26</v>
      </c>
      <c r="C2967">
        <v>57380</v>
      </c>
      <c r="D2967" t="s">
        <v>102</v>
      </c>
      <c r="E2967" s="7">
        <v>205.9</v>
      </c>
      <c r="F2967" t="s">
        <v>20</v>
      </c>
      <c r="G2967" t="s">
        <v>21</v>
      </c>
      <c r="H2967" t="str">
        <f>"201804178348"</f>
        <v>201804178348</v>
      </c>
      <c r="I2967" t="str">
        <f>"CENTERPOINT ENERGY ENTEX"</f>
        <v>CENTERPOINT ENERGY ENTEX</v>
      </c>
    </row>
    <row r="2968" spans="1:9" x14ac:dyDescent="0.25">
      <c r="E2968" s="7"/>
      <c r="F2968" t="s">
        <v>20</v>
      </c>
      <c r="G2968" t="s">
        <v>21</v>
      </c>
      <c r="H2968" t="str">
        <f>"201804178349"</f>
        <v>201804178349</v>
      </c>
      <c r="I2968" t="str">
        <f>"CENTERPOINT ENERGY ENTEX"</f>
        <v>CENTERPOINT ENERGY ENTEX</v>
      </c>
    </row>
    <row r="2969" spans="1:9" x14ac:dyDescent="0.25">
      <c r="E2969" s="7"/>
      <c r="F2969" t="s">
        <v>20</v>
      </c>
      <c r="G2969" t="s">
        <v>21</v>
      </c>
      <c r="H2969" t="str">
        <f>"201804178350"</f>
        <v>201804178350</v>
      </c>
      <c r="I2969" t="str">
        <f>"CENTERPOINT ENERGY ENTEX"</f>
        <v>CENTERPOINT ENERGY ENTEX</v>
      </c>
    </row>
    <row r="2970" spans="1:9" x14ac:dyDescent="0.25">
      <c r="E2970" s="7"/>
      <c r="F2970" t="s">
        <v>20</v>
      </c>
      <c r="G2970" t="s">
        <v>21</v>
      </c>
      <c r="H2970" t="str">
        <f>"201804178351"</f>
        <v>201804178351</v>
      </c>
      <c r="I2970" t="str">
        <f>"CENTERPOINT ENERGY ENTEX"</f>
        <v>CENTERPOINT ENERGY ENTEX</v>
      </c>
    </row>
    <row r="2971" spans="1:9" x14ac:dyDescent="0.25">
      <c r="A2971" s="6">
        <v>43208</v>
      </c>
      <c r="B2971" t="s">
        <v>26</v>
      </c>
      <c r="C2971">
        <v>57381</v>
      </c>
      <c r="D2971" t="s">
        <v>201</v>
      </c>
      <c r="E2971" s="7">
        <v>539.25</v>
      </c>
      <c r="F2971" t="s">
        <v>20</v>
      </c>
      <c r="G2971" t="s">
        <v>21</v>
      </c>
      <c r="H2971" t="str">
        <f>"MARCH 2018"</f>
        <v>MARCH 2018</v>
      </c>
      <c r="I2971" t="str">
        <f>"WILSON COUNTY HARDWARE"</f>
        <v>WILSON COUNTY HARDWARE</v>
      </c>
    </row>
    <row r="2972" spans="1:9" x14ac:dyDescent="0.25">
      <c r="A2972" s="6">
        <v>43208</v>
      </c>
      <c r="B2972" t="s">
        <v>26</v>
      </c>
      <c r="C2972">
        <v>57382</v>
      </c>
      <c r="D2972" t="s">
        <v>59</v>
      </c>
      <c r="E2972" s="7">
        <v>5945.14</v>
      </c>
      <c r="F2972" t="s">
        <v>20</v>
      </c>
      <c r="G2972" t="s">
        <v>21</v>
      </c>
      <c r="H2972" t="str">
        <f>"0933098-4"</f>
        <v>0933098-4</v>
      </c>
      <c r="I2972" t="str">
        <f>"FERGUSON WATERWORKS - MUNICIPA"</f>
        <v>FERGUSON WATERWORKS - MUNICIPA</v>
      </c>
    </row>
    <row r="2973" spans="1:9" x14ac:dyDescent="0.25">
      <c r="E2973" s="7"/>
      <c r="F2973" t="s">
        <v>20</v>
      </c>
      <c r="G2973" t="s">
        <v>21</v>
      </c>
      <c r="H2973" t="str">
        <f>"0940523-1"</f>
        <v>0940523-1</v>
      </c>
      <c r="I2973" t="str">
        <f>"FERGUSON WATERWORKS - MUNICIPA"</f>
        <v>FERGUSON WATERWORKS - MUNICIPA</v>
      </c>
    </row>
    <row r="2974" spans="1:9" x14ac:dyDescent="0.25">
      <c r="E2974" s="7"/>
      <c r="F2974" t="s">
        <v>20</v>
      </c>
      <c r="G2974" t="s">
        <v>21</v>
      </c>
      <c r="H2974" t="str">
        <f>"0941046"</f>
        <v>0941046</v>
      </c>
      <c r="I2974" t="str">
        <f>"FERGUSON WATERWORKS - MUNICIPA"</f>
        <v>FERGUSON WATERWORKS - MUNICIPA</v>
      </c>
    </row>
    <row r="2975" spans="1:9" x14ac:dyDescent="0.25">
      <c r="E2975" s="7"/>
      <c r="F2975" t="s">
        <v>20</v>
      </c>
      <c r="G2975" t="s">
        <v>21</v>
      </c>
      <c r="H2975" t="str">
        <f>"0943705"</f>
        <v>0943705</v>
      </c>
      <c r="I2975" t="str">
        <f>"FERGUSON WATERWORKS - MUNICIPA"</f>
        <v>FERGUSON WATERWORKS - MUNICIPA</v>
      </c>
    </row>
    <row r="2976" spans="1:9" x14ac:dyDescent="0.25">
      <c r="E2976" s="7"/>
      <c r="F2976" t="s">
        <v>20</v>
      </c>
      <c r="G2976" t="s">
        <v>21</v>
      </c>
      <c r="H2976" t="str">
        <f>"0946639"</f>
        <v>0946639</v>
      </c>
      <c r="I2976" t="str">
        <f>"FERGUSON WATERWORKS - MUNICIPA"</f>
        <v>FERGUSON WATERWORKS - MUNICIPA</v>
      </c>
    </row>
    <row r="2977" spans="1:9" x14ac:dyDescent="0.25">
      <c r="A2977" s="6">
        <v>43208</v>
      </c>
      <c r="B2977" t="s">
        <v>26</v>
      </c>
      <c r="C2977">
        <v>57383</v>
      </c>
      <c r="D2977" t="s">
        <v>272</v>
      </c>
      <c r="E2977" s="7">
        <v>599.14</v>
      </c>
      <c r="F2977" t="s">
        <v>20</v>
      </c>
      <c r="G2977" t="s">
        <v>21</v>
      </c>
      <c r="H2977" t="str">
        <f>"103100611"</f>
        <v>103100611</v>
      </c>
      <c r="I2977" t="str">
        <f>"ROMCO EQUIPMENT CO."</f>
        <v>ROMCO EQUIPMENT CO.</v>
      </c>
    </row>
    <row r="2978" spans="1:9" x14ac:dyDescent="0.25">
      <c r="A2978" s="6">
        <v>43208</v>
      </c>
      <c r="B2978" t="s">
        <v>26</v>
      </c>
      <c r="C2978">
        <v>57384</v>
      </c>
      <c r="D2978" t="s">
        <v>106</v>
      </c>
      <c r="E2978" s="7">
        <v>120</v>
      </c>
      <c r="F2978" t="s">
        <v>20</v>
      </c>
      <c r="G2978" t="s">
        <v>21</v>
      </c>
      <c r="H2978" t="str">
        <f>"118-101247"</f>
        <v>118-101247</v>
      </c>
      <c r="I2978" t="str">
        <f>"OMNIBASE SERVICES OF TEXAS"</f>
        <v>OMNIBASE SERVICES OF TEXAS</v>
      </c>
    </row>
    <row r="2979" spans="1:9" x14ac:dyDescent="0.25">
      <c r="A2979" s="6">
        <v>43208</v>
      </c>
      <c r="B2979" t="s">
        <v>26</v>
      </c>
      <c r="C2979">
        <v>57385</v>
      </c>
      <c r="D2979" t="s">
        <v>202</v>
      </c>
      <c r="E2979" s="7">
        <v>650.44000000000005</v>
      </c>
      <c r="F2979" t="s">
        <v>20</v>
      </c>
      <c r="G2979" t="s">
        <v>21</v>
      </c>
      <c r="H2979" t="str">
        <f>"61709624"</f>
        <v>61709624</v>
      </c>
      <c r="I2979" t="str">
        <f>"VULCAN CONSTRUCTION MATERIALS"</f>
        <v>VULCAN CONSTRUCTION MATERIALS</v>
      </c>
    </row>
    <row r="2980" spans="1:9" x14ac:dyDescent="0.25">
      <c r="E2980" s="7"/>
      <c r="F2980" t="s">
        <v>20</v>
      </c>
      <c r="G2980" t="s">
        <v>21</v>
      </c>
      <c r="H2980" t="str">
        <f>"61709625"</f>
        <v>61709625</v>
      </c>
      <c r="I2980" t="str">
        <f>"VULCAN CONSTRUCTION MATERIALS"</f>
        <v>VULCAN CONSTRUCTION MATERIALS</v>
      </c>
    </row>
    <row r="2981" spans="1:9" x14ac:dyDescent="0.25">
      <c r="A2981" s="6">
        <v>43208</v>
      </c>
      <c r="B2981" t="s">
        <v>26</v>
      </c>
      <c r="C2981">
        <v>57386</v>
      </c>
      <c r="D2981" t="s">
        <v>179</v>
      </c>
      <c r="E2981" s="7">
        <v>1057.18</v>
      </c>
      <c r="F2981" t="s">
        <v>20</v>
      </c>
      <c r="G2981" t="s">
        <v>21</v>
      </c>
      <c r="H2981" t="str">
        <f>"50864F"</f>
        <v>50864F</v>
      </c>
      <c r="I2981" t="str">
        <f>"ANCIRA FORD-MERCURY"</f>
        <v>ANCIRA FORD-MERCURY</v>
      </c>
    </row>
    <row r="2982" spans="1:9" x14ac:dyDescent="0.25">
      <c r="E2982" s="7"/>
      <c r="F2982" t="s">
        <v>20</v>
      </c>
      <c r="G2982" t="s">
        <v>21</v>
      </c>
      <c r="H2982" t="str">
        <f>"FOCS228080"</f>
        <v>FOCS228080</v>
      </c>
      <c r="I2982" t="str">
        <f>"ANCIRA FORD-MERCURY"</f>
        <v>ANCIRA FORD-MERCURY</v>
      </c>
    </row>
    <row r="2983" spans="1:9" x14ac:dyDescent="0.25">
      <c r="A2983" s="6">
        <v>43208</v>
      </c>
      <c r="B2983" t="s">
        <v>26</v>
      </c>
      <c r="C2983">
        <v>57387</v>
      </c>
      <c r="D2983" t="s">
        <v>108</v>
      </c>
      <c r="E2983" s="7">
        <v>2366.38</v>
      </c>
      <c r="F2983" t="s">
        <v>20</v>
      </c>
      <c r="G2983" t="s">
        <v>21</v>
      </c>
      <c r="H2983" t="str">
        <f>"041295590766"</f>
        <v>041295590766</v>
      </c>
      <c r="I2983" t="str">
        <f>"POOLSURE"</f>
        <v>POOLSURE</v>
      </c>
    </row>
    <row r="2984" spans="1:9" x14ac:dyDescent="0.25">
      <c r="A2984" s="6">
        <v>43208</v>
      </c>
      <c r="B2984" t="s">
        <v>26</v>
      </c>
      <c r="C2984">
        <v>57388</v>
      </c>
      <c r="D2984" t="s">
        <v>340</v>
      </c>
      <c r="E2984" s="7">
        <v>39.99</v>
      </c>
      <c r="F2984" t="s">
        <v>20</v>
      </c>
      <c r="G2984" t="s">
        <v>21</v>
      </c>
      <c r="H2984" t="str">
        <f>"1810-315180"</f>
        <v>1810-315180</v>
      </c>
      <c r="I2984" t="str">
        <f>"O'REILLY AUTOMOTIVE  INC."</f>
        <v>O'REILLY AUTOMOTIVE  INC.</v>
      </c>
    </row>
    <row r="2985" spans="1:9" x14ac:dyDescent="0.25">
      <c r="A2985" s="6">
        <v>43208</v>
      </c>
      <c r="B2985" t="s">
        <v>26</v>
      </c>
      <c r="C2985">
        <v>57389</v>
      </c>
      <c r="D2985" t="s">
        <v>181</v>
      </c>
      <c r="E2985" s="7">
        <v>41.98</v>
      </c>
      <c r="F2985" t="s">
        <v>20</v>
      </c>
      <c r="G2985" t="s">
        <v>21</v>
      </c>
      <c r="H2985" t="str">
        <f>"201804178353"</f>
        <v>201804178353</v>
      </c>
      <c r="I2985" t="str">
        <f>"AT&amp;T"</f>
        <v>AT&amp;T</v>
      </c>
    </row>
    <row r="2986" spans="1:9" x14ac:dyDescent="0.25">
      <c r="A2986" s="6">
        <v>43208</v>
      </c>
      <c r="B2986" t="s">
        <v>26</v>
      </c>
      <c r="C2986">
        <v>57390</v>
      </c>
      <c r="D2986" t="s">
        <v>374</v>
      </c>
      <c r="E2986" s="7">
        <v>50</v>
      </c>
      <c r="F2986" t="s">
        <v>20</v>
      </c>
      <c r="G2986" t="s">
        <v>21</v>
      </c>
      <c r="H2986" t="str">
        <f>"PAV REF 3.24.18"</f>
        <v>PAV REF 3.24.18</v>
      </c>
      <c r="I2986" t="str">
        <f>"PAV REF"</f>
        <v>PAV REF</v>
      </c>
    </row>
    <row r="2987" spans="1:9" x14ac:dyDescent="0.25">
      <c r="A2987" s="6">
        <v>43208</v>
      </c>
      <c r="B2987" t="s">
        <v>91</v>
      </c>
      <c r="C2987">
        <v>57391</v>
      </c>
      <c r="D2987" t="s">
        <v>375</v>
      </c>
      <c r="E2987" s="7">
        <v>50</v>
      </c>
      <c r="F2987" t="s">
        <v>20</v>
      </c>
      <c r="G2987" t="s">
        <v>21</v>
      </c>
      <c r="H2987" t="str">
        <f>"PAV REF 4.1.18"</f>
        <v>PAV REF 4.1.18</v>
      </c>
      <c r="I2987" t="str">
        <f>"PAV REFUND"</f>
        <v>PAV REFUND</v>
      </c>
    </row>
    <row r="2988" spans="1:9" x14ac:dyDescent="0.25">
      <c r="A2988" s="6">
        <v>43208</v>
      </c>
      <c r="B2988" t="s">
        <v>26</v>
      </c>
      <c r="C2988">
        <v>57392</v>
      </c>
      <c r="D2988" t="s">
        <v>376</v>
      </c>
      <c r="E2988" s="7">
        <v>50</v>
      </c>
      <c r="F2988" t="s">
        <v>20</v>
      </c>
      <c r="G2988" t="s">
        <v>21</v>
      </c>
      <c r="H2988" t="str">
        <f>"PAV REF 4.7.18"</f>
        <v>PAV REF 4.7.18</v>
      </c>
      <c r="I2988" t="str">
        <f>"PAVREF"</f>
        <v>PAVREF</v>
      </c>
    </row>
    <row r="2989" spans="1:9" x14ac:dyDescent="0.25">
      <c r="A2989" s="6">
        <v>43208</v>
      </c>
      <c r="B2989" t="s">
        <v>26</v>
      </c>
      <c r="C2989">
        <v>57393</v>
      </c>
      <c r="D2989" t="s">
        <v>377</v>
      </c>
      <c r="E2989" s="7">
        <v>50</v>
      </c>
      <c r="F2989" t="s">
        <v>20</v>
      </c>
      <c r="G2989" t="s">
        <v>21</v>
      </c>
      <c r="H2989" t="str">
        <f>"SM PAV REF 4.1.18"</f>
        <v>SM PAV REF 4.1.18</v>
      </c>
      <c r="I2989" t="str">
        <f>"PAV REF"</f>
        <v>PAV REF</v>
      </c>
    </row>
    <row r="2990" spans="1:9" x14ac:dyDescent="0.25">
      <c r="A2990" s="6">
        <v>43208</v>
      </c>
      <c r="B2990" t="s">
        <v>26</v>
      </c>
      <c r="C2990">
        <v>57394</v>
      </c>
      <c r="D2990" t="s">
        <v>378</v>
      </c>
      <c r="E2990" s="7">
        <v>50</v>
      </c>
      <c r="F2990" t="s">
        <v>20</v>
      </c>
      <c r="G2990" t="s">
        <v>21</v>
      </c>
      <c r="H2990" t="str">
        <f>"SM PAV REF 4.14"</f>
        <v>SM PAV REF 4.14</v>
      </c>
      <c r="I2990" t="str">
        <f>"SM PAV REFUND"</f>
        <v>SM PAV REFUND</v>
      </c>
    </row>
    <row r="2991" spans="1:9" x14ac:dyDescent="0.25">
      <c r="A2991" s="6">
        <v>43208</v>
      </c>
      <c r="B2991" t="s">
        <v>26</v>
      </c>
      <c r="C2991">
        <v>57395</v>
      </c>
      <c r="D2991" t="s">
        <v>62</v>
      </c>
      <c r="E2991" s="7">
        <v>1680.31</v>
      </c>
      <c r="F2991" t="s">
        <v>20</v>
      </c>
      <c r="G2991" t="s">
        <v>21</v>
      </c>
      <c r="H2991" t="str">
        <f>"A. MARTINEZ"</f>
        <v>A. MARTINEZ</v>
      </c>
      <c r="I2991" t="str">
        <f>"SBS ADMINISTRATIVE SERVICES  L"</f>
        <v>SBS ADMINISTRATIVE SERVICES  L</v>
      </c>
    </row>
    <row r="2992" spans="1:9" x14ac:dyDescent="0.25">
      <c r="A2992" s="6">
        <v>43208</v>
      </c>
      <c r="B2992" t="s">
        <v>26</v>
      </c>
      <c r="C2992">
        <v>57396</v>
      </c>
      <c r="D2992" t="s">
        <v>63</v>
      </c>
      <c r="E2992" s="7">
        <v>99</v>
      </c>
      <c r="F2992" t="s">
        <v>20</v>
      </c>
      <c r="G2992" t="s">
        <v>21</v>
      </c>
      <c r="H2992" t="str">
        <f>"9022447252"</f>
        <v>9022447252</v>
      </c>
      <c r="I2992" t="str">
        <f>"CINTAS CORPORATION"</f>
        <v>CINTAS CORPORATION</v>
      </c>
    </row>
    <row r="2993" spans="1:9" x14ac:dyDescent="0.25">
      <c r="A2993" s="6">
        <v>43208</v>
      </c>
      <c r="B2993" t="s">
        <v>26</v>
      </c>
      <c r="C2993">
        <v>57397</v>
      </c>
      <c r="D2993" t="s">
        <v>117</v>
      </c>
      <c r="E2993" s="7">
        <v>1105.82</v>
      </c>
      <c r="F2993" t="s">
        <v>20</v>
      </c>
      <c r="G2993" t="s">
        <v>21</v>
      </c>
      <c r="H2993" t="str">
        <f>"MARCH 2018"</f>
        <v>MARCH 2018</v>
      </c>
      <c r="I2993" t="str">
        <f>"LINEBARGER GOGGAN BLAIR &amp; SAMP"</f>
        <v>LINEBARGER GOGGAN BLAIR &amp; SAMP</v>
      </c>
    </row>
    <row r="2994" spans="1:9" x14ac:dyDescent="0.25">
      <c r="A2994" s="6">
        <v>43208</v>
      </c>
      <c r="B2994" t="s">
        <v>26</v>
      </c>
      <c r="C2994">
        <v>57398</v>
      </c>
      <c r="D2994" t="s">
        <v>185</v>
      </c>
      <c r="E2994" s="7">
        <v>105.59</v>
      </c>
      <c r="F2994" t="s">
        <v>20</v>
      </c>
      <c r="G2994" t="s">
        <v>21</v>
      </c>
      <c r="H2994" t="str">
        <f>"718926"</f>
        <v>718926</v>
      </c>
      <c r="I2994" t="str">
        <f>"SOUTHWAY FORD"</f>
        <v>SOUTHWAY FORD</v>
      </c>
    </row>
    <row r="2995" spans="1:9" x14ac:dyDescent="0.25">
      <c r="A2995" s="6">
        <v>43208</v>
      </c>
      <c r="B2995" t="s">
        <v>26</v>
      </c>
      <c r="C2995">
        <v>57399</v>
      </c>
      <c r="D2995" t="s">
        <v>301</v>
      </c>
      <c r="E2995" s="7">
        <v>40</v>
      </c>
      <c r="F2995" t="s">
        <v>20</v>
      </c>
      <c r="G2995" t="s">
        <v>21</v>
      </c>
      <c r="H2995" t="str">
        <f>"181078"</f>
        <v>181078</v>
      </c>
      <c r="I2995" t="str">
        <f>"GRANDE TRUCK CENTER"</f>
        <v>GRANDE TRUCK CENTER</v>
      </c>
    </row>
    <row r="2996" spans="1:9" x14ac:dyDescent="0.25">
      <c r="A2996" s="6">
        <v>43208</v>
      </c>
      <c r="B2996" t="s">
        <v>26</v>
      </c>
      <c r="C2996">
        <v>57400</v>
      </c>
      <c r="D2996" t="s">
        <v>274</v>
      </c>
      <c r="E2996" s="7">
        <v>5995</v>
      </c>
      <c r="F2996" t="s">
        <v>20</v>
      </c>
      <c r="G2996" t="s">
        <v>21</v>
      </c>
      <c r="H2996" t="str">
        <f>"VEH PURCHASE"</f>
        <v>VEH PURCHASE</v>
      </c>
      <c r="I2996" t="str">
        <f>"C.E. LITTLEFIELD AUTO SALES"</f>
        <v>C.E. LITTLEFIELD AUTO SALES</v>
      </c>
    </row>
    <row r="2997" spans="1:9" x14ac:dyDescent="0.25">
      <c r="A2997" s="6">
        <v>43208</v>
      </c>
      <c r="B2997" t="s">
        <v>26</v>
      </c>
      <c r="C2997">
        <v>57401</v>
      </c>
      <c r="D2997" t="s">
        <v>69</v>
      </c>
      <c r="E2997" s="7">
        <v>31.1</v>
      </c>
      <c r="F2997" t="s">
        <v>20</v>
      </c>
      <c r="G2997" t="s">
        <v>21</v>
      </c>
      <c r="H2997" t="str">
        <f>"3388697"</f>
        <v>3388697</v>
      </c>
      <c r="I2997" t="str">
        <f>"EWALD TRACTOR SUPPLY"</f>
        <v>EWALD TRACTOR SUPPLY</v>
      </c>
    </row>
    <row r="2998" spans="1:9" x14ac:dyDescent="0.25">
      <c r="A2998" s="6">
        <v>43208</v>
      </c>
      <c r="B2998" t="s">
        <v>26</v>
      </c>
      <c r="C2998">
        <v>57402</v>
      </c>
      <c r="D2998" t="s">
        <v>248</v>
      </c>
      <c r="E2998" s="7">
        <v>180</v>
      </c>
      <c r="F2998" t="s">
        <v>20</v>
      </c>
      <c r="G2998" t="s">
        <v>21</v>
      </c>
      <c r="H2998" t="str">
        <f>"1006871081"</f>
        <v>1006871081</v>
      </c>
      <c r="I2998" t="str">
        <f>"PITNEY BOWES"</f>
        <v>PITNEY BOWES</v>
      </c>
    </row>
    <row r="2999" spans="1:9" x14ac:dyDescent="0.25">
      <c r="A2999" s="6">
        <v>43208</v>
      </c>
      <c r="B2999" t="s">
        <v>26</v>
      </c>
      <c r="C2999">
        <v>57403</v>
      </c>
      <c r="D2999" t="s">
        <v>145</v>
      </c>
      <c r="E2999" s="7">
        <v>6452.34</v>
      </c>
      <c r="F2999" t="s">
        <v>20</v>
      </c>
      <c r="G2999" t="s">
        <v>21</v>
      </c>
      <c r="H2999" t="str">
        <f>"IV180003151"</f>
        <v>IV180003151</v>
      </c>
      <c r="I2999" t="str">
        <f>"ARROW-MAGNOLIA INTERNATIONAL I"</f>
        <v>ARROW-MAGNOLIA INTERNATIONAL I</v>
      </c>
    </row>
    <row r="3000" spans="1:9" x14ac:dyDescent="0.25">
      <c r="A3000" s="6">
        <v>43208</v>
      </c>
      <c r="B3000" t="s">
        <v>26</v>
      </c>
      <c r="C3000">
        <v>57404</v>
      </c>
      <c r="D3000" t="s">
        <v>379</v>
      </c>
      <c r="E3000" s="7">
        <v>489.75</v>
      </c>
      <c r="F3000" t="s">
        <v>20</v>
      </c>
      <c r="G3000" t="s">
        <v>21</v>
      </c>
      <c r="H3000" t="str">
        <f>"18007090"</f>
        <v>18007090</v>
      </c>
      <c r="I3000" t="str">
        <f>"TEXDOOR  LTD."</f>
        <v>TEXDOOR  LTD.</v>
      </c>
    </row>
    <row r="3001" spans="1:9" x14ac:dyDescent="0.25">
      <c r="A3001" s="6">
        <v>43208</v>
      </c>
      <c r="B3001" t="s">
        <v>26</v>
      </c>
      <c r="C3001">
        <v>57405</v>
      </c>
      <c r="D3001" t="s">
        <v>29</v>
      </c>
      <c r="E3001" s="7">
        <v>26843.53</v>
      </c>
      <c r="F3001" t="s">
        <v>20</v>
      </c>
      <c r="G3001" t="s">
        <v>21</v>
      </c>
      <c r="H3001" t="str">
        <f>"30049"</f>
        <v>30049</v>
      </c>
      <c r="I3001" t="str">
        <f>"M &amp; S ENGINEERING  LLC"</f>
        <v>M &amp; S ENGINEERING  LLC</v>
      </c>
    </row>
    <row r="3002" spans="1:9" x14ac:dyDescent="0.25">
      <c r="E3002" s="7"/>
      <c r="F3002" t="s">
        <v>20</v>
      </c>
      <c r="G3002" t="s">
        <v>21</v>
      </c>
      <c r="H3002" t="str">
        <f>"30499"</f>
        <v>30499</v>
      </c>
      <c r="I3002" t="str">
        <f>"M &amp; S ENGINEERING  LLC"</f>
        <v>M &amp; S ENGINEERING  LLC</v>
      </c>
    </row>
    <row r="3003" spans="1:9" x14ac:dyDescent="0.25">
      <c r="A3003" s="6">
        <v>43208</v>
      </c>
      <c r="B3003" t="s">
        <v>26</v>
      </c>
      <c r="C3003">
        <v>57406</v>
      </c>
      <c r="D3003" t="s">
        <v>71</v>
      </c>
      <c r="E3003" s="7">
        <v>512.5</v>
      </c>
      <c r="F3003" t="s">
        <v>20</v>
      </c>
      <c r="G3003" t="s">
        <v>21</v>
      </c>
      <c r="H3003" t="str">
        <f>"087108768"</f>
        <v>087108768</v>
      </c>
      <c r="I3003" t="str">
        <f>"CINTAS CORPORATION #087"</f>
        <v>CINTAS CORPORATION #087</v>
      </c>
    </row>
    <row r="3004" spans="1:9" x14ac:dyDescent="0.25">
      <c r="E3004" s="7"/>
      <c r="F3004" t="s">
        <v>20</v>
      </c>
      <c r="G3004" t="s">
        <v>21</v>
      </c>
      <c r="H3004" t="str">
        <f>"087119557"</f>
        <v>087119557</v>
      </c>
      <c r="I3004" t="str">
        <f>"CINTAS CORPORATION #087"</f>
        <v>CINTAS CORPORATION #087</v>
      </c>
    </row>
    <row r="3005" spans="1:9" x14ac:dyDescent="0.25">
      <c r="A3005" s="6">
        <v>43208</v>
      </c>
      <c r="B3005" t="s">
        <v>26</v>
      </c>
      <c r="C3005">
        <v>57407</v>
      </c>
      <c r="D3005" t="s">
        <v>74</v>
      </c>
      <c r="E3005" s="7">
        <v>3547.63</v>
      </c>
      <c r="F3005" t="s">
        <v>20</v>
      </c>
      <c r="G3005" t="s">
        <v>21</v>
      </c>
      <c r="H3005" t="str">
        <f>"9804140009"</f>
        <v>9804140009</v>
      </c>
      <c r="I3005" t="str">
        <f>"VERIZON WIRELESS"</f>
        <v>VERIZON WIRELESS</v>
      </c>
    </row>
    <row r="3006" spans="1:9" x14ac:dyDescent="0.25">
      <c r="A3006" s="6">
        <v>43208</v>
      </c>
      <c r="B3006" t="s">
        <v>26</v>
      </c>
      <c r="C3006">
        <v>57409</v>
      </c>
      <c r="D3006" t="s">
        <v>170</v>
      </c>
      <c r="E3006" s="7">
        <v>215</v>
      </c>
      <c r="F3006" t="s">
        <v>20</v>
      </c>
      <c r="G3006" t="s">
        <v>21</v>
      </c>
      <c r="H3006" t="str">
        <f>"29325"</f>
        <v>29325</v>
      </c>
      <c r="I3006" t="str">
        <f>"BARRETT &amp; SONS  INC."</f>
        <v>BARRETT &amp; SONS  INC.</v>
      </c>
    </row>
    <row r="3007" spans="1:9" x14ac:dyDescent="0.25">
      <c r="A3007" s="6">
        <v>43208</v>
      </c>
      <c r="B3007" t="s">
        <v>26</v>
      </c>
      <c r="C3007">
        <v>57410</v>
      </c>
      <c r="D3007" t="s">
        <v>205</v>
      </c>
      <c r="E3007" s="7">
        <v>1566.74</v>
      </c>
      <c r="F3007" t="s">
        <v>20</v>
      </c>
      <c r="G3007" t="s">
        <v>21</v>
      </c>
      <c r="H3007" t="str">
        <f>"4.16.18"</f>
        <v>4.16.18</v>
      </c>
      <c r="I3007" t="str">
        <f>"SILVER EAGLE DISTRIBUTORS"</f>
        <v>SILVER EAGLE DISTRIBUTORS</v>
      </c>
    </row>
    <row r="3008" spans="1:9" x14ac:dyDescent="0.25">
      <c r="A3008" s="6">
        <v>43208</v>
      </c>
      <c r="B3008" t="s">
        <v>26</v>
      </c>
      <c r="C3008">
        <v>57411</v>
      </c>
      <c r="D3008" t="s">
        <v>341</v>
      </c>
      <c r="E3008" s="7">
        <v>65</v>
      </c>
      <c r="F3008" t="s">
        <v>20</v>
      </c>
      <c r="G3008" t="s">
        <v>21</v>
      </c>
      <c r="H3008" t="str">
        <f>"4.14.18"</f>
        <v>4.14.18</v>
      </c>
      <c r="I3008" t="str">
        <f>"JUANITA MONTOYA"</f>
        <v>JUANITA MONTOYA</v>
      </c>
    </row>
    <row r="3009" spans="1:9" x14ac:dyDescent="0.25">
      <c r="A3009" s="6">
        <v>43208</v>
      </c>
      <c r="B3009" t="s">
        <v>26</v>
      </c>
      <c r="C3009">
        <v>57412</v>
      </c>
      <c r="D3009" t="s">
        <v>372</v>
      </c>
      <c r="E3009" s="7">
        <v>65</v>
      </c>
      <c r="F3009" t="s">
        <v>20</v>
      </c>
      <c r="G3009" t="s">
        <v>21</v>
      </c>
      <c r="H3009" t="str">
        <f>"4.14.18"</f>
        <v>4.14.18</v>
      </c>
      <c r="I3009" t="str">
        <f>"MICHELLE DOLBERRY"</f>
        <v>MICHELLE DOLBERRY</v>
      </c>
    </row>
    <row r="3010" spans="1:9" x14ac:dyDescent="0.25">
      <c r="A3010" s="6">
        <v>43208</v>
      </c>
      <c r="B3010" t="s">
        <v>26</v>
      </c>
      <c r="C3010">
        <v>57413</v>
      </c>
      <c r="D3010" t="s">
        <v>127</v>
      </c>
      <c r="E3010" s="7">
        <v>100</v>
      </c>
      <c r="F3010" t="s">
        <v>20</v>
      </c>
      <c r="G3010" t="s">
        <v>21</v>
      </c>
      <c r="H3010" t="str">
        <f>"731787"</f>
        <v>731787</v>
      </c>
      <c r="I3010" t="str">
        <f>"A &amp; B COMMUNICATIONS"</f>
        <v>A &amp; B COMMUNICATIONS</v>
      </c>
    </row>
    <row r="3011" spans="1:9" x14ac:dyDescent="0.25">
      <c r="A3011" s="6">
        <v>43208</v>
      </c>
      <c r="B3011" t="s">
        <v>26</v>
      </c>
      <c r="C3011">
        <v>57414</v>
      </c>
      <c r="D3011" t="s">
        <v>79</v>
      </c>
      <c r="E3011" s="7">
        <v>10.78</v>
      </c>
      <c r="F3011" t="s">
        <v>20</v>
      </c>
      <c r="G3011" t="s">
        <v>21</v>
      </c>
      <c r="H3011" t="str">
        <f>"6-126-44826"</f>
        <v>6-126-44826</v>
      </c>
      <c r="I3011" t="str">
        <f>"FEDEX"</f>
        <v>FEDEX</v>
      </c>
    </row>
    <row r="3012" spans="1:9" x14ac:dyDescent="0.25">
      <c r="A3012" s="6">
        <v>43208</v>
      </c>
      <c r="B3012" t="s">
        <v>26</v>
      </c>
      <c r="C3012">
        <v>57415</v>
      </c>
      <c r="D3012" t="s">
        <v>207</v>
      </c>
      <c r="E3012" s="7">
        <v>126</v>
      </c>
      <c r="F3012" t="s">
        <v>20</v>
      </c>
      <c r="G3012" t="s">
        <v>21</v>
      </c>
      <c r="H3012" t="str">
        <f>"4835"</f>
        <v>4835</v>
      </c>
      <c r="I3012" t="str">
        <f>"MAD DESIGNS"</f>
        <v>MAD DESIGNS</v>
      </c>
    </row>
    <row r="3013" spans="1:9" x14ac:dyDescent="0.25">
      <c r="A3013" s="6">
        <v>43208</v>
      </c>
      <c r="B3013" t="s">
        <v>26</v>
      </c>
      <c r="C3013">
        <v>57416</v>
      </c>
      <c r="D3013" t="s">
        <v>81</v>
      </c>
      <c r="E3013" s="7">
        <v>149.24</v>
      </c>
      <c r="F3013" t="s">
        <v>20</v>
      </c>
      <c r="G3013" t="s">
        <v>21</v>
      </c>
      <c r="H3013" t="str">
        <f>"A.M 4/17/18"</f>
        <v>A.M 4/17/18</v>
      </c>
      <c r="I3013" t="str">
        <f>"CITY OF FLORESVILLE -PETTY CAS"</f>
        <v>CITY OF FLORESVILLE -PETTY CAS</v>
      </c>
    </row>
    <row r="3014" spans="1:9" x14ac:dyDescent="0.25">
      <c r="A3014" s="6">
        <v>43208</v>
      </c>
      <c r="B3014" t="s">
        <v>26</v>
      </c>
      <c r="C3014">
        <v>57417</v>
      </c>
      <c r="D3014" t="s">
        <v>32</v>
      </c>
      <c r="E3014" s="7">
        <v>65</v>
      </c>
      <c r="F3014" t="s">
        <v>20</v>
      </c>
      <c r="G3014" t="s">
        <v>21</v>
      </c>
      <c r="H3014" t="str">
        <f>"4.14.18"</f>
        <v>4.14.18</v>
      </c>
      <c r="I3014" t="str">
        <f>"SHARON KERRIGAN"</f>
        <v>SHARON KERRIGAN</v>
      </c>
    </row>
    <row r="3015" spans="1:9" x14ac:dyDescent="0.25">
      <c r="A3015" s="6">
        <v>43208</v>
      </c>
      <c r="B3015" t="s">
        <v>26</v>
      </c>
      <c r="C3015">
        <v>57418</v>
      </c>
      <c r="D3015" t="s">
        <v>33</v>
      </c>
      <c r="E3015" s="7">
        <v>65</v>
      </c>
      <c r="F3015" t="s">
        <v>20</v>
      </c>
      <c r="G3015" t="s">
        <v>21</v>
      </c>
      <c r="H3015" t="str">
        <f>"4.14.18"</f>
        <v>4.14.18</v>
      </c>
      <c r="I3015" t="str">
        <f>"DEBORAH KORCZYK"</f>
        <v>DEBORAH KORCZYK</v>
      </c>
    </row>
    <row r="3016" spans="1:9" x14ac:dyDescent="0.25">
      <c r="A3016" s="6">
        <v>43208</v>
      </c>
      <c r="B3016" t="s">
        <v>26</v>
      </c>
      <c r="C3016">
        <v>57419</v>
      </c>
      <c r="D3016" t="s">
        <v>192</v>
      </c>
      <c r="E3016" s="7">
        <v>2409.62</v>
      </c>
      <c r="F3016" t="s">
        <v>20</v>
      </c>
      <c r="G3016" t="s">
        <v>21</v>
      </c>
      <c r="H3016" t="str">
        <f>"58536409"</f>
        <v>58536409</v>
      </c>
      <c r="I3016" t="str">
        <f>"DE LAGE LANDEN PUBLIC FINANCE"</f>
        <v>DE LAGE LANDEN PUBLIC FINANCE</v>
      </c>
    </row>
    <row r="3017" spans="1:9" x14ac:dyDescent="0.25">
      <c r="E3017" s="7"/>
      <c r="F3017" t="s">
        <v>20</v>
      </c>
      <c r="G3017" t="s">
        <v>21</v>
      </c>
      <c r="H3017" t="str">
        <f>"58536412"</f>
        <v>58536412</v>
      </c>
      <c r="I3017" t="str">
        <f>"DE LAGE LANDEN PUBLIC FINANCE"</f>
        <v>DE LAGE LANDEN PUBLIC FINANCE</v>
      </c>
    </row>
    <row r="3018" spans="1:9" x14ac:dyDescent="0.25">
      <c r="E3018" s="7"/>
      <c r="F3018" t="s">
        <v>20</v>
      </c>
      <c r="G3018" t="s">
        <v>21</v>
      </c>
      <c r="H3018" t="str">
        <f>"58536413"</f>
        <v>58536413</v>
      </c>
      <c r="I3018" t="str">
        <f>"DE LAGE LANDEN PUBLIC FINANCE"</f>
        <v>DE LAGE LANDEN PUBLIC FINANCE</v>
      </c>
    </row>
    <row r="3019" spans="1:9" x14ac:dyDescent="0.25">
      <c r="A3019" s="6">
        <v>43208</v>
      </c>
      <c r="B3019" t="s">
        <v>26</v>
      </c>
      <c r="C3019">
        <v>57421</v>
      </c>
      <c r="D3019" t="s">
        <v>380</v>
      </c>
      <c r="E3019" s="7">
        <v>25000</v>
      </c>
      <c r="F3019" t="s">
        <v>20</v>
      </c>
      <c r="G3019" t="s">
        <v>21</v>
      </c>
      <c r="H3019" t="str">
        <f>"54982"</f>
        <v>54982</v>
      </c>
      <c r="I3019" t="str">
        <f>"ABIP CERTIFIED PUBLIC ACCOUNTA"</f>
        <v>ABIP CERTIFIED PUBLIC ACCOUNTA</v>
      </c>
    </row>
    <row r="3020" spans="1:9" x14ac:dyDescent="0.25">
      <c r="A3020" s="6">
        <v>43208</v>
      </c>
      <c r="B3020" t="s">
        <v>26</v>
      </c>
      <c r="C3020">
        <v>57422</v>
      </c>
      <c r="D3020" t="s">
        <v>153</v>
      </c>
      <c r="E3020" s="7">
        <v>1500</v>
      </c>
      <c r="F3020" t="s">
        <v>20</v>
      </c>
      <c r="G3020" t="s">
        <v>21</v>
      </c>
      <c r="H3020" t="str">
        <f>"050118"</f>
        <v>050118</v>
      </c>
      <c r="I3020" t="str">
        <f>"FULLER COMPANY"</f>
        <v>FULLER COMPANY</v>
      </c>
    </row>
    <row r="3021" spans="1:9" x14ac:dyDescent="0.25">
      <c r="A3021" s="6">
        <v>43208</v>
      </c>
      <c r="B3021" t="s">
        <v>26</v>
      </c>
      <c r="C3021">
        <v>57423</v>
      </c>
      <c r="D3021" t="s">
        <v>85</v>
      </c>
      <c r="E3021" s="7">
        <v>55.7</v>
      </c>
      <c r="F3021" t="s">
        <v>20</v>
      </c>
      <c r="G3021" t="s">
        <v>21</v>
      </c>
      <c r="H3021" t="str">
        <f>"201804178352"</f>
        <v>201804178352</v>
      </c>
      <c r="I3021" t="str">
        <f>"FRONTIER"</f>
        <v>FRONTIER</v>
      </c>
    </row>
    <row r="3022" spans="1:9" x14ac:dyDescent="0.25">
      <c r="A3022" s="6">
        <v>43208</v>
      </c>
      <c r="B3022" t="s">
        <v>26</v>
      </c>
      <c r="C3022">
        <v>57424</v>
      </c>
      <c r="D3022" t="s">
        <v>193</v>
      </c>
      <c r="E3022" s="7">
        <v>45</v>
      </c>
      <c r="F3022" t="s">
        <v>20</v>
      </c>
      <c r="G3022" t="s">
        <v>21</v>
      </c>
      <c r="H3022" t="str">
        <f>"24203"</f>
        <v>24203</v>
      </c>
      <c r="I3022" t="str">
        <f>"MIDWAY AUTOMOTIVE"</f>
        <v>MIDWAY AUTOMOTIVE</v>
      </c>
    </row>
    <row r="3023" spans="1:9" x14ac:dyDescent="0.25">
      <c r="A3023" s="6">
        <v>43208</v>
      </c>
      <c r="B3023" t="s">
        <v>26</v>
      </c>
      <c r="C3023">
        <v>57425</v>
      </c>
      <c r="D3023" t="s">
        <v>381</v>
      </c>
      <c r="E3023" s="7">
        <v>382.24</v>
      </c>
      <c r="F3023" t="s">
        <v>20</v>
      </c>
      <c r="G3023" t="s">
        <v>21</v>
      </c>
      <c r="H3023" t="str">
        <f>"TRAINING 4/30-5/2"</f>
        <v>TRAINING 4/30-5/2</v>
      </c>
      <c r="I3023" t="str">
        <f>"LISA TREJO"</f>
        <v>LISA TREJO</v>
      </c>
    </row>
    <row r="3024" spans="1:9" x14ac:dyDescent="0.25">
      <c r="A3024" s="6">
        <v>43208</v>
      </c>
      <c r="B3024" t="s">
        <v>26</v>
      </c>
      <c r="C3024">
        <v>57426</v>
      </c>
      <c r="D3024" t="s">
        <v>382</v>
      </c>
      <c r="E3024" s="7">
        <v>165.95</v>
      </c>
      <c r="F3024" t="s">
        <v>20</v>
      </c>
      <c r="G3024" t="s">
        <v>21</v>
      </c>
      <c r="H3024" t="str">
        <f>"24880"</f>
        <v>24880</v>
      </c>
      <c r="I3024" t="str">
        <f>"ALBERT'S SMALL ENGINE PARTS"</f>
        <v>ALBERT'S SMALL ENGINE PARTS</v>
      </c>
    </row>
    <row r="3025" spans="1:9" x14ac:dyDescent="0.25">
      <c r="A3025" s="6">
        <v>43208</v>
      </c>
      <c r="B3025" t="s">
        <v>26</v>
      </c>
      <c r="C3025">
        <v>57427</v>
      </c>
      <c r="D3025" t="s">
        <v>326</v>
      </c>
      <c r="E3025" s="7">
        <v>23</v>
      </c>
      <c r="F3025" t="s">
        <v>20</v>
      </c>
      <c r="G3025" t="s">
        <v>21</v>
      </c>
      <c r="H3025" t="str">
        <f>"17324294"</f>
        <v>17324294</v>
      </c>
      <c r="I3025" t="str">
        <f>"MATHESON TRI-GAS INC"</f>
        <v>MATHESON TRI-GAS INC</v>
      </c>
    </row>
    <row r="3026" spans="1:9" x14ac:dyDescent="0.25">
      <c r="A3026" s="6">
        <v>43208</v>
      </c>
      <c r="B3026" t="s">
        <v>26</v>
      </c>
      <c r="C3026">
        <v>57428</v>
      </c>
      <c r="D3026" t="s">
        <v>345</v>
      </c>
      <c r="E3026" s="7">
        <v>550</v>
      </c>
      <c r="F3026" t="s">
        <v>20</v>
      </c>
      <c r="G3026" t="s">
        <v>21</v>
      </c>
      <c r="H3026" t="str">
        <f>"4/2-4/7"</f>
        <v>4/2-4/7</v>
      </c>
      <c r="I3026" t="str">
        <f>"MICHAEL ISAAC MARTINEZ"</f>
        <v>MICHAEL ISAAC MARTINEZ</v>
      </c>
    </row>
    <row r="3027" spans="1:9" x14ac:dyDescent="0.25">
      <c r="E3027" s="7"/>
      <c r="F3027" t="s">
        <v>20</v>
      </c>
      <c r="G3027" t="s">
        <v>21</v>
      </c>
      <c r="H3027" t="str">
        <f>"4/9-4/14"</f>
        <v>4/9-4/14</v>
      </c>
      <c r="I3027" t="str">
        <f>"MICHAEL ISAAC MARTINEZ"</f>
        <v>MICHAEL ISAAC MARTINEZ</v>
      </c>
    </row>
    <row r="3028" spans="1:9" x14ac:dyDescent="0.25">
      <c r="A3028" s="6">
        <v>43208</v>
      </c>
      <c r="B3028" t="s">
        <v>26</v>
      </c>
      <c r="C3028">
        <v>57429</v>
      </c>
      <c r="D3028" t="s">
        <v>135</v>
      </c>
      <c r="E3028" s="7">
        <v>3752.5</v>
      </c>
      <c r="F3028" t="s">
        <v>20</v>
      </c>
      <c r="G3028" t="s">
        <v>21</v>
      </c>
      <c r="H3028" t="str">
        <f>"PAY APP#7 ADA"</f>
        <v>PAY APP#7 ADA</v>
      </c>
      <c r="I3028" t="str">
        <f>"HENOCK CONSTRUCTION  LLC"</f>
        <v>HENOCK CONSTRUCTION  LLC</v>
      </c>
    </row>
    <row r="3029" spans="1:9" x14ac:dyDescent="0.25">
      <c r="A3029" s="6">
        <v>43208</v>
      </c>
      <c r="B3029" t="s">
        <v>26</v>
      </c>
      <c r="C3029">
        <v>57430</v>
      </c>
      <c r="D3029" t="s">
        <v>246</v>
      </c>
      <c r="E3029" s="7">
        <v>40</v>
      </c>
      <c r="F3029" t="s">
        <v>20</v>
      </c>
      <c r="G3029" t="s">
        <v>21</v>
      </c>
      <c r="H3029" t="str">
        <f>"TRAINING"</f>
        <v>TRAINING</v>
      </c>
      <c r="I3029" t="str">
        <f>"JAY TRINIDAD"</f>
        <v>JAY TRINIDAD</v>
      </c>
    </row>
    <row r="3030" spans="1:9" x14ac:dyDescent="0.25">
      <c r="A3030" s="6">
        <v>43208</v>
      </c>
      <c r="B3030" t="s">
        <v>26</v>
      </c>
      <c r="C3030">
        <v>57431</v>
      </c>
      <c r="D3030" t="s">
        <v>293</v>
      </c>
      <c r="E3030" s="7">
        <v>26450</v>
      </c>
      <c r="F3030" t="s">
        <v>20</v>
      </c>
      <c r="G3030" t="s">
        <v>21</v>
      </c>
      <c r="H3030" t="str">
        <f>"#2"</f>
        <v>#2</v>
      </c>
      <c r="I3030" t="str">
        <f>"CASTILLON CONSTRUCTION INC"</f>
        <v>CASTILLON CONSTRUCTION INC</v>
      </c>
    </row>
    <row r="3031" spans="1:9" x14ac:dyDescent="0.25">
      <c r="E3031" s="7"/>
      <c r="F3031" t="s">
        <v>20</v>
      </c>
      <c r="G3031" t="s">
        <v>21</v>
      </c>
      <c r="H3031" t="str">
        <f>"CHANGE ORDER"</f>
        <v>CHANGE ORDER</v>
      </c>
      <c r="I3031" t="str">
        <f>"CASTILLON CONSTRUCTION INC"</f>
        <v>CASTILLON CONSTRUCTION INC</v>
      </c>
    </row>
    <row r="3032" spans="1:9" x14ac:dyDescent="0.25">
      <c r="A3032" s="6">
        <v>43208</v>
      </c>
      <c r="B3032" t="s">
        <v>26</v>
      </c>
      <c r="C3032">
        <v>57432</v>
      </c>
      <c r="D3032" t="s">
        <v>383</v>
      </c>
      <c r="E3032" s="7">
        <v>150</v>
      </c>
      <c r="F3032" t="s">
        <v>20</v>
      </c>
      <c r="G3032" t="s">
        <v>21</v>
      </c>
      <c r="H3032" t="str">
        <f>"2495"</f>
        <v>2495</v>
      </c>
      <c r="I3032" t="str">
        <f>"ROBERTA BARNES"</f>
        <v>ROBERTA BARNES</v>
      </c>
    </row>
    <row r="3033" spans="1:9" x14ac:dyDescent="0.25">
      <c r="A3033" s="6">
        <v>43208</v>
      </c>
      <c r="B3033" t="s">
        <v>26</v>
      </c>
      <c r="C3033">
        <v>57433</v>
      </c>
      <c r="D3033" t="s">
        <v>384</v>
      </c>
      <c r="E3033" s="7">
        <v>295</v>
      </c>
      <c r="F3033" t="s">
        <v>20</v>
      </c>
      <c r="G3033" t="s">
        <v>21</v>
      </c>
      <c r="H3033" t="str">
        <f>"1803010"</f>
        <v>1803010</v>
      </c>
      <c r="I3033" t="str">
        <f>"TURNAGE &amp; ASSOCIATES"</f>
        <v>TURNAGE &amp; ASSOCIATES</v>
      </c>
    </row>
    <row r="3034" spans="1:9" x14ac:dyDescent="0.25">
      <c r="A3034" s="6">
        <v>43208</v>
      </c>
      <c r="B3034" t="s">
        <v>26</v>
      </c>
      <c r="C3034">
        <v>57434</v>
      </c>
      <c r="D3034" t="s">
        <v>135</v>
      </c>
      <c r="E3034" s="7">
        <v>64097.27</v>
      </c>
      <c r="F3034" t="s">
        <v>20</v>
      </c>
      <c r="G3034" t="s">
        <v>21</v>
      </c>
      <c r="H3034" t="str">
        <f>"PAY APP#9"</f>
        <v>PAY APP#9</v>
      </c>
      <c r="I3034" t="str">
        <f>"HENOCK CONSTRUCTION  LLC"</f>
        <v>HENOCK CONSTRUCTION  LLC</v>
      </c>
    </row>
    <row r="3035" spans="1:9" x14ac:dyDescent="0.25">
      <c r="A3035" s="6">
        <v>43220</v>
      </c>
      <c r="B3035" t="s">
        <v>26</v>
      </c>
      <c r="C3035">
        <v>57446</v>
      </c>
      <c r="D3035" t="s">
        <v>51</v>
      </c>
      <c r="E3035" s="7">
        <v>290.89999999999998</v>
      </c>
      <c r="F3035" t="s">
        <v>20</v>
      </c>
      <c r="G3035" t="s">
        <v>21</v>
      </c>
      <c r="H3035" t="str">
        <f>"CLE201804258355"</f>
        <v>CLE201804258355</v>
      </c>
      <c r="I3035" t="str">
        <f>"CLEAT ONLY DUES"</f>
        <v>CLEAT ONLY DUES</v>
      </c>
    </row>
    <row r="3036" spans="1:9" x14ac:dyDescent="0.25">
      <c r="E3036" s="7"/>
      <c r="F3036" t="s">
        <v>20</v>
      </c>
      <c r="G3036" t="s">
        <v>21</v>
      </c>
      <c r="H3036" t="str">
        <f>"PDD201804258355"</f>
        <v>PDD201804258355</v>
      </c>
      <c r="I3036" t="str">
        <f>"POLICE OFFICERS ASSOC DUES"</f>
        <v>POLICE OFFICERS ASSOC DUES</v>
      </c>
    </row>
    <row r="3037" spans="1:9" x14ac:dyDescent="0.25">
      <c r="A3037" s="6">
        <v>43220</v>
      </c>
      <c r="B3037" t="s">
        <v>26</v>
      </c>
      <c r="C3037">
        <v>57447</v>
      </c>
      <c r="D3037" t="s">
        <v>90</v>
      </c>
      <c r="E3037" s="7">
        <v>114.96</v>
      </c>
      <c r="F3037" t="s">
        <v>20</v>
      </c>
      <c r="G3037" t="s">
        <v>21</v>
      </c>
      <c r="H3037" t="str">
        <f>"AFS201804258355"</f>
        <v>AFS201804258355</v>
      </c>
      <c r="I3037" t="str">
        <f>"AFLAC STD"</f>
        <v>AFLAC STD</v>
      </c>
    </row>
    <row r="3038" spans="1:9" x14ac:dyDescent="0.25">
      <c r="A3038" s="6">
        <v>43220</v>
      </c>
      <c r="B3038" t="s">
        <v>26</v>
      </c>
      <c r="C3038">
        <v>57448</v>
      </c>
      <c r="D3038" t="s">
        <v>53</v>
      </c>
      <c r="E3038" s="7">
        <v>99.1</v>
      </c>
      <c r="F3038" t="s">
        <v>20</v>
      </c>
      <c r="G3038" t="s">
        <v>21</v>
      </c>
      <c r="H3038" t="str">
        <f>"MCO201804258355"</f>
        <v>MCO201804258355</v>
      </c>
      <c r="I3038" t="str">
        <f>"MONICA CORDOVA"</f>
        <v>MONICA CORDOVA</v>
      </c>
    </row>
    <row r="3039" spans="1:9" x14ac:dyDescent="0.25">
      <c r="A3039" s="6">
        <v>43220</v>
      </c>
      <c r="B3039" t="s">
        <v>26</v>
      </c>
      <c r="C3039">
        <v>57449</v>
      </c>
      <c r="D3039" t="s">
        <v>54</v>
      </c>
      <c r="E3039" s="7">
        <v>1236.74</v>
      </c>
      <c r="F3039" t="s">
        <v>20</v>
      </c>
      <c r="G3039" t="s">
        <v>21</v>
      </c>
      <c r="H3039" t="str">
        <f>"457201804258355"</f>
        <v>457201804258355</v>
      </c>
      <c r="I3039" t="str">
        <f>"CASE # 180-60751 457B DEDUCT"</f>
        <v>CASE # 180-60751 457B DEDUCT</v>
      </c>
    </row>
    <row r="3040" spans="1:9" x14ac:dyDescent="0.25">
      <c r="A3040" s="6">
        <v>43220</v>
      </c>
      <c r="B3040" t="s">
        <v>26</v>
      </c>
      <c r="C3040">
        <v>57450</v>
      </c>
      <c r="D3040" t="s">
        <v>51</v>
      </c>
      <c r="E3040" s="7">
        <v>18.47</v>
      </c>
      <c r="F3040" t="s">
        <v>20</v>
      </c>
      <c r="G3040" t="s">
        <v>21</v>
      </c>
      <c r="H3040" t="str">
        <f>"PDD201804198354"</f>
        <v>PDD201804198354</v>
      </c>
      <c r="I3040" t="str">
        <f>"POLICE OFFICERS ASSOC DUES"</f>
        <v>POLICE OFFICERS ASSOC DUES</v>
      </c>
    </row>
    <row r="3041" spans="1:9" x14ac:dyDescent="0.25">
      <c r="A3041" s="6">
        <v>43220</v>
      </c>
      <c r="B3041" t="s">
        <v>26</v>
      </c>
      <c r="C3041">
        <v>57451</v>
      </c>
      <c r="D3041" t="s">
        <v>57</v>
      </c>
      <c r="E3041" s="7">
        <v>21474.44</v>
      </c>
      <c r="F3041" t="s">
        <v>20</v>
      </c>
      <c r="G3041" t="s">
        <v>21</v>
      </c>
      <c r="H3041" t="str">
        <f>"4.17.18"</f>
        <v>4.17.18</v>
      </c>
      <c r="I3041" t="str">
        <f>"F.E.L.P.S."</f>
        <v>F.E.L.P.S.</v>
      </c>
    </row>
    <row r="3042" spans="1:9" x14ac:dyDescent="0.25">
      <c r="A3042" s="6">
        <v>43220</v>
      </c>
      <c r="B3042" t="s">
        <v>26</v>
      </c>
      <c r="C3042">
        <v>57452</v>
      </c>
      <c r="D3042" t="s">
        <v>385</v>
      </c>
      <c r="E3042" s="7">
        <v>170</v>
      </c>
      <c r="F3042" t="s">
        <v>20</v>
      </c>
      <c r="G3042" t="s">
        <v>21</v>
      </c>
      <c r="H3042" t="str">
        <f>"701610"</f>
        <v>701610</v>
      </c>
      <c r="I3042" t="str">
        <f>"STILLWATER MACHINE  LLC"</f>
        <v>STILLWATER MACHINE  LLC</v>
      </c>
    </row>
    <row r="3043" spans="1:9" x14ac:dyDescent="0.25">
      <c r="A3043" s="6">
        <v>43220</v>
      </c>
      <c r="B3043" t="s">
        <v>26</v>
      </c>
      <c r="C3043">
        <v>57453</v>
      </c>
      <c r="D3043" t="s">
        <v>150</v>
      </c>
      <c r="E3043" s="7">
        <v>1014</v>
      </c>
      <c r="F3043" t="s">
        <v>20</v>
      </c>
      <c r="G3043" t="s">
        <v>21</v>
      </c>
      <c r="H3043" t="str">
        <f>"29"</f>
        <v>29</v>
      </c>
      <c r="I3043" t="str">
        <f>"FLORESVILLE CHAMBER OF COMMERC"</f>
        <v>FLORESVILLE CHAMBER OF COMMERC</v>
      </c>
    </row>
    <row r="3044" spans="1:9" x14ac:dyDescent="0.25">
      <c r="E3044" s="7"/>
      <c r="F3044" t="s">
        <v>20</v>
      </c>
      <c r="G3044" t="s">
        <v>21</v>
      </c>
      <c r="H3044" t="str">
        <f>"30"</f>
        <v>30</v>
      </c>
      <c r="I3044" t="str">
        <f>"FLORESVILLE CHAMBER OF COMMERC"</f>
        <v>FLORESVILLE CHAMBER OF COMMERC</v>
      </c>
    </row>
    <row r="3045" spans="1:9" x14ac:dyDescent="0.25">
      <c r="A3045" s="6">
        <v>43220</v>
      </c>
      <c r="B3045" t="s">
        <v>26</v>
      </c>
      <c r="C3045">
        <v>57454</v>
      </c>
      <c r="D3045" t="s">
        <v>104</v>
      </c>
      <c r="E3045" s="7">
        <v>3600</v>
      </c>
      <c r="F3045" t="s">
        <v>20</v>
      </c>
      <c r="G3045" t="s">
        <v>21</v>
      </c>
      <c r="H3045" t="str">
        <f>"COMM BLOCK"</f>
        <v>COMM BLOCK</v>
      </c>
      <c r="I3045" t="str">
        <f>"WILSON COUNTY NEWS"</f>
        <v>WILSON COUNTY NEWS</v>
      </c>
    </row>
    <row r="3046" spans="1:9" x14ac:dyDescent="0.25">
      <c r="A3046" s="6">
        <v>43220</v>
      </c>
      <c r="B3046" t="s">
        <v>26</v>
      </c>
      <c r="C3046">
        <v>57455</v>
      </c>
      <c r="D3046" t="s">
        <v>59</v>
      </c>
      <c r="E3046" s="7">
        <v>2391.5500000000002</v>
      </c>
      <c r="F3046" t="s">
        <v>20</v>
      </c>
      <c r="G3046" t="s">
        <v>21</v>
      </c>
      <c r="H3046" t="str">
        <f>"0946692"</f>
        <v>0946692</v>
      </c>
      <c r="I3046" t="str">
        <f>"FERGUSON WATERWORKS - MUNICIPA"</f>
        <v>FERGUSON WATERWORKS - MUNICIPA</v>
      </c>
    </row>
    <row r="3047" spans="1:9" x14ac:dyDescent="0.25">
      <c r="E3047" s="7"/>
      <c r="F3047" t="s">
        <v>20</v>
      </c>
      <c r="G3047" t="s">
        <v>21</v>
      </c>
      <c r="H3047" t="str">
        <f>"0950033"</f>
        <v>0950033</v>
      </c>
      <c r="I3047" t="str">
        <f>"FERGUSON WATERWORKS - MUNICIPA"</f>
        <v>FERGUSON WATERWORKS - MUNICIPA</v>
      </c>
    </row>
    <row r="3048" spans="1:9" x14ac:dyDescent="0.25">
      <c r="A3048" s="6">
        <v>43220</v>
      </c>
      <c r="B3048" t="s">
        <v>26</v>
      </c>
      <c r="C3048">
        <v>57456</v>
      </c>
      <c r="D3048" t="s">
        <v>105</v>
      </c>
      <c r="E3048" s="7">
        <v>7</v>
      </c>
      <c r="F3048" t="s">
        <v>20</v>
      </c>
      <c r="G3048" t="s">
        <v>21</v>
      </c>
      <c r="H3048" t="str">
        <f>"287521"</f>
        <v>287521</v>
      </c>
      <c r="I3048" t="str">
        <f>"LUBE WORKS"</f>
        <v>LUBE WORKS</v>
      </c>
    </row>
    <row r="3049" spans="1:9" x14ac:dyDescent="0.25">
      <c r="A3049" s="6">
        <v>43220</v>
      </c>
      <c r="B3049" t="s">
        <v>26</v>
      </c>
      <c r="C3049">
        <v>57457</v>
      </c>
      <c r="D3049" t="s">
        <v>202</v>
      </c>
      <c r="E3049" s="7">
        <v>2583.54</v>
      </c>
      <c r="F3049" t="s">
        <v>20</v>
      </c>
      <c r="G3049" t="s">
        <v>21</v>
      </c>
      <c r="H3049" t="str">
        <f>"61719361"</f>
        <v>61719361</v>
      </c>
      <c r="I3049" t="str">
        <f>"VULCAN CONSTRUCTION MATERIALS"</f>
        <v>VULCAN CONSTRUCTION MATERIALS</v>
      </c>
    </row>
    <row r="3050" spans="1:9" x14ac:dyDescent="0.25">
      <c r="E3050" s="7"/>
      <c r="F3050" t="s">
        <v>20</v>
      </c>
      <c r="G3050" t="s">
        <v>21</v>
      </c>
      <c r="H3050" t="str">
        <f>"61719362"</f>
        <v>61719362</v>
      </c>
      <c r="I3050" t="str">
        <f>"VULCAN CONSTRUCTION MATERIALS"</f>
        <v>VULCAN CONSTRUCTION MATERIALS</v>
      </c>
    </row>
    <row r="3051" spans="1:9" x14ac:dyDescent="0.25">
      <c r="A3051" s="6">
        <v>43220</v>
      </c>
      <c r="B3051" t="s">
        <v>26</v>
      </c>
      <c r="C3051">
        <v>57458</v>
      </c>
      <c r="D3051" t="s">
        <v>108</v>
      </c>
      <c r="E3051" s="7">
        <v>2366.38</v>
      </c>
      <c r="F3051" t="s">
        <v>20</v>
      </c>
      <c r="G3051" t="s">
        <v>21</v>
      </c>
      <c r="H3051" t="str">
        <f>"041295592741"</f>
        <v>041295592741</v>
      </c>
      <c r="I3051" t="str">
        <f>"POOLSURE"</f>
        <v>POOLSURE</v>
      </c>
    </row>
    <row r="3052" spans="1:9" x14ac:dyDescent="0.25">
      <c r="A3052" s="6">
        <v>43220</v>
      </c>
      <c r="B3052" t="s">
        <v>26</v>
      </c>
      <c r="C3052">
        <v>57459</v>
      </c>
      <c r="D3052" t="s">
        <v>340</v>
      </c>
      <c r="E3052" s="7">
        <v>204.85</v>
      </c>
      <c r="F3052" t="s">
        <v>20</v>
      </c>
      <c r="G3052" t="s">
        <v>21</v>
      </c>
      <c r="H3052" t="str">
        <f>"1810-315880"</f>
        <v>1810-315880</v>
      </c>
      <c r="I3052" t="str">
        <f>"O'REILLY AUTOMOTIVE  INC."</f>
        <v>O'REILLY AUTOMOTIVE  INC.</v>
      </c>
    </row>
    <row r="3053" spans="1:9" x14ac:dyDescent="0.25">
      <c r="E3053" s="7"/>
      <c r="F3053" t="s">
        <v>20</v>
      </c>
      <c r="G3053" t="s">
        <v>21</v>
      </c>
      <c r="H3053" t="str">
        <f>"1810-316826"</f>
        <v>1810-316826</v>
      </c>
      <c r="I3053" t="str">
        <f>"O'REILLY AUTOMOTIVE  INC."</f>
        <v>O'REILLY AUTOMOTIVE  INC.</v>
      </c>
    </row>
    <row r="3054" spans="1:9" x14ac:dyDescent="0.25">
      <c r="A3054" s="6">
        <v>43220</v>
      </c>
      <c r="B3054" t="s">
        <v>26</v>
      </c>
      <c r="C3054">
        <v>57460</v>
      </c>
      <c r="D3054" t="s">
        <v>181</v>
      </c>
      <c r="E3054" s="7">
        <v>41.59</v>
      </c>
      <c r="F3054" t="s">
        <v>20</v>
      </c>
      <c r="G3054" t="s">
        <v>21</v>
      </c>
      <c r="H3054" t="str">
        <f>"201804308362"</f>
        <v>201804308362</v>
      </c>
      <c r="I3054" t="str">
        <f>"AT&amp;T"</f>
        <v>AT&amp;T</v>
      </c>
    </row>
    <row r="3055" spans="1:9" x14ac:dyDescent="0.25">
      <c r="A3055" s="6">
        <v>43220</v>
      </c>
      <c r="B3055" t="s">
        <v>26</v>
      </c>
      <c r="C3055">
        <v>57461</v>
      </c>
      <c r="D3055" t="s">
        <v>61</v>
      </c>
      <c r="E3055" s="7">
        <v>3820.58</v>
      </c>
      <c r="F3055" t="s">
        <v>20</v>
      </c>
      <c r="G3055" t="s">
        <v>21</v>
      </c>
      <c r="H3055" t="str">
        <f>"025-220368"</f>
        <v>025-220368</v>
      </c>
      <c r="I3055" t="str">
        <f>"TYLER TECHNOLOGIES  INC."</f>
        <v>TYLER TECHNOLOGIES  INC.</v>
      </c>
    </row>
    <row r="3056" spans="1:9" x14ac:dyDescent="0.25">
      <c r="E3056" s="7"/>
      <c r="F3056" t="s">
        <v>20</v>
      </c>
      <c r="G3056" t="s">
        <v>21</v>
      </c>
      <c r="H3056" t="str">
        <f>"025-220937"</f>
        <v>025-220937</v>
      </c>
      <c r="I3056" t="str">
        <f>"TYLER TECHNOLOGIES  INC."</f>
        <v>TYLER TECHNOLOGIES  INC.</v>
      </c>
    </row>
    <row r="3057" spans="1:9" x14ac:dyDescent="0.25">
      <c r="E3057" s="7"/>
      <c r="F3057" t="s">
        <v>20</v>
      </c>
      <c r="G3057" t="s">
        <v>21</v>
      </c>
      <c r="H3057" t="str">
        <f>"025-221446"</f>
        <v>025-221446</v>
      </c>
      <c r="I3057" t="str">
        <f>"TYLER TECHNOLOGIES  INC."</f>
        <v>TYLER TECHNOLOGIES  INC.</v>
      </c>
    </row>
    <row r="3058" spans="1:9" x14ac:dyDescent="0.25">
      <c r="A3058" s="6">
        <v>43220</v>
      </c>
      <c r="B3058" t="s">
        <v>26</v>
      </c>
      <c r="C3058">
        <v>57462</v>
      </c>
      <c r="D3058" t="s">
        <v>325</v>
      </c>
      <c r="E3058" s="7">
        <v>410.82</v>
      </c>
      <c r="F3058" t="s">
        <v>20</v>
      </c>
      <c r="G3058" t="s">
        <v>21</v>
      </c>
      <c r="H3058" t="str">
        <f>"201804308357"</f>
        <v>201804308357</v>
      </c>
      <c r="I3058" t="str">
        <f>"DSHS CENTRAL LAB MC2004"</f>
        <v>DSHS CENTRAL LAB MC2004</v>
      </c>
    </row>
    <row r="3059" spans="1:9" x14ac:dyDescent="0.25">
      <c r="A3059" s="6">
        <v>43220</v>
      </c>
      <c r="B3059" t="s">
        <v>26</v>
      </c>
      <c r="C3059">
        <v>57463</v>
      </c>
      <c r="D3059" t="s">
        <v>63</v>
      </c>
      <c r="E3059" s="7">
        <v>815.44</v>
      </c>
      <c r="F3059" t="s">
        <v>20</v>
      </c>
      <c r="G3059" t="s">
        <v>21</v>
      </c>
      <c r="H3059" t="str">
        <f>"8403609927"</f>
        <v>8403609927</v>
      </c>
      <c r="I3059" t="str">
        <f>"CINTAS CORPORATION"</f>
        <v>CINTAS CORPORATION</v>
      </c>
    </row>
    <row r="3060" spans="1:9" x14ac:dyDescent="0.25">
      <c r="E3060" s="7"/>
      <c r="F3060" t="s">
        <v>20</v>
      </c>
      <c r="G3060" t="s">
        <v>21</v>
      </c>
      <c r="H3060" t="str">
        <f>"8403624716"</f>
        <v>8403624716</v>
      </c>
      <c r="I3060" t="str">
        <f>"CINTAS CORPORATION"</f>
        <v>CINTAS CORPORATION</v>
      </c>
    </row>
    <row r="3061" spans="1:9" x14ac:dyDescent="0.25">
      <c r="A3061" s="6">
        <v>43220</v>
      </c>
      <c r="B3061" t="s">
        <v>91</v>
      </c>
      <c r="C3061">
        <v>57464</v>
      </c>
      <c r="D3061" t="s">
        <v>65</v>
      </c>
      <c r="E3061" s="7">
        <v>45</v>
      </c>
      <c r="F3061" t="s">
        <v>20</v>
      </c>
      <c r="G3061" t="s">
        <v>21</v>
      </c>
      <c r="H3061" t="str">
        <f>"RENEWAL 2018"</f>
        <v>RENEWAL 2018</v>
      </c>
      <c r="I3061" t="str">
        <f>"SAM'S CLUB/SYNCHRONY BANK"</f>
        <v>SAM'S CLUB/SYNCHRONY BANK</v>
      </c>
    </row>
    <row r="3062" spans="1:9" x14ac:dyDescent="0.25">
      <c r="A3062" s="6">
        <v>43220</v>
      </c>
      <c r="B3062" t="s">
        <v>91</v>
      </c>
      <c r="C3062">
        <v>57464</v>
      </c>
      <c r="D3062" t="s">
        <v>65</v>
      </c>
      <c r="E3062" s="7">
        <v>45</v>
      </c>
      <c r="F3062" t="s">
        <v>20</v>
      </c>
      <c r="G3062" t="s">
        <v>93</v>
      </c>
      <c r="H3062" t="str">
        <f>"CHECK"</f>
        <v>CHECK</v>
      </c>
      <c r="I3062" t="str">
        <f>""</f>
        <v/>
      </c>
    </row>
    <row r="3063" spans="1:9" x14ac:dyDescent="0.25">
      <c r="A3063" s="6">
        <v>43220</v>
      </c>
      <c r="B3063" t="s">
        <v>26</v>
      </c>
      <c r="C3063">
        <v>57465</v>
      </c>
      <c r="D3063" t="s">
        <v>118</v>
      </c>
      <c r="E3063" s="7">
        <v>801.21</v>
      </c>
      <c r="F3063" t="s">
        <v>20</v>
      </c>
      <c r="G3063" t="s">
        <v>21</v>
      </c>
      <c r="H3063" t="str">
        <f>"10847"</f>
        <v>10847</v>
      </c>
      <c r="I3063" t="str">
        <f>"BRYAN AIR CONDITIONING &amp; HEATI"</f>
        <v>BRYAN AIR CONDITIONING &amp; HEATI</v>
      </c>
    </row>
    <row r="3064" spans="1:9" x14ac:dyDescent="0.25">
      <c r="A3064" s="6">
        <v>43220</v>
      </c>
      <c r="B3064" t="s">
        <v>26</v>
      </c>
      <c r="C3064">
        <v>57466</v>
      </c>
      <c r="D3064" t="s">
        <v>189</v>
      </c>
      <c r="E3064" s="7">
        <v>2659.9</v>
      </c>
      <c r="F3064" t="s">
        <v>20</v>
      </c>
      <c r="G3064" t="s">
        <v>21</v>
      </c>
      <c r="H3064" t="str">
        <f>"W87916"</f>
        <v>W87916</v>
      </c>
      <c r="I3064" t="str">
        <f>"ASCO"</f>
        <v>ASCO</v>
      </c>
    </row>
    <row r="3065" spans="1:9" x14ac:dyDescent="0.25">
      <c r="A3065" s="6">
        <v>43220</v>
      </c>
      <c r="B3065" t="s">
        <v>26</v>
      </c>
      <c r="C3065">
        <v>57467</v>
      </c>
      <c r="D3065" t="s">
        <v>145</v>
      </c>
      <c r="E3065" s="7">
        <v>440.15</v>
      </c>
      <c r="F3065" t="s">
        <v>20</v>
      </c>
      <c r="G3065" t="s">
        <v>21</v>
      </c>
      <c r="H3065" t="str">
        <f>"IV180003263"</f>
        <v>IV180003263</v>
      </c>
      <c r="I3065" t="str">
        <f>"ARROW-MAGNOLIA INTERNATIONAL I"</f>
        <v>ARROW-MAGNOLIA INTERNATIONAL I</v>
      </c>
    </row>
    <row r="3066" spans="1:9" x14ac:dyDescent="0.25">
      <c r="A3066" s="6">
        <v>43220</v>
      </c>
      <c r="B3066" t="s">
        <v>26</v>
      </c>
      <c r="C3066">
        <v>57468</v>
      </c>
      <c r="D3066" t="s">
        <v>29</v>
      </c>
      <c r="E3066" s="7">
        <v>2894.43</v>
      </c>
      <c r="F3066" t="s">
        <v>20</v>
      </c>
      <c r="G3066" t="s">
        <v>21</v>
      </c>
      <c r="H3066" t="str">
        <f>"31354"</f>
        <v>31354</v>
      </c>
      <c r="I3066" t="str">
        <f>"M &amp; S ENGINEERING  LLC"</f>
        <v>M &amp; S ENGINEERING  LLC</v>
      </c>
    </row>
    <row r="3067" spans="1:9" x14ac:dyDescent="0.25">
      <c r="A3067" s="6">
        <v>43220</v>
      </c>
      <c r="B3067" t="s">
        <v>26</v>
      </c>
      <c r="C3067">
        <v>57469</v>
      </c>
      <c r="D3067" t="s">
        <v>123</v>
      </c>
      <c r="E3067" s="7">
        <v>388.83</v>
      </c>
      <c r="F3067" t="s">
        <v>20</v>
      </c>
      <c r="G3067" t="s">
        <v>21</v>
      </c>
      <c r="H3067" t="str">
        <f>"123162237001"</f>
        <v>123162237001</v>
      </c>
      <c r="I3067" t="str">
        <f>"OFFICE DEPOT  INC."</f>
        <v>OFFICE DEPOT  INC.</v>
      </c>
    </row>
    <row r="3068" spans="1:9" x14ac:dyDescent="0.25">
      <c r="E3068" s="7"/>
      <c r="F3068" t="s">
        <v>20</v>
      </c>
      <c r="G3068" t="s">
        <v>21</v>
      </c>
      <c r="H3068" t="str">
        <f>"123162468001"</f>
        <v>123162468001</v>
      </c>
      <c r="I3068" t="str">
        <f>"OFFICE DEPOT  INC."</f>
        <v>OFFICE DEPOT  INC.</v>
      </c>
    </row>
    <row r="3069" spans="1:9" x14ac:dyDescent="0.25">
      <c r="E3069" s="7"/>
      <c r="F3069" t="s">
        <v>20</v>
      </c>
      <c r="G3069" t="s">
        <v>21</v>
      </c>
      <c r="H3069" t="str">
        <f>"123452269001"</f>
        <v>123452269001</v>
      </c>
      <c r="I3069" t="str">
        <f>"OFFICE DEPOT  INC."</f>
        <v>OFFICE DEPOT  INC.</v>
      </c>
    </row>
    <row r="3070" spans="1:9" x14ac:dyDescent="0.25">
      <c r="E3070" s="7"/>
      <c r="F3070" t="s">
        <v>20</v>
      </c>
      <c r="G3070" t="s">
        <v>21</v>
      </c>
      <c r="H3070" t="str">
        <f>"124032426001"</f>
        <v>124032426001</v>
      </c>
      <c r="I3070" t="str">
        <f>"OFFICE DEPOT  INC."</f>
        <v>OFFICE DEPOT  INC.</v>
      </c>
    </row>
    <row r="3071" spans="1:9" x14ac:dyDescent="0.25">
      <c r="A3071" s="6">
        <v>43220</v>
      </c>
      <c r="B3071" t="s">
        <v>26</v>
      </c>
      <c r="C3071">
        <v>57470</v>
      </c>
      <c r="D3071" t="s">
        <v>44</v>
      </c>
      <c r="E3071" s="7">
        <v>243.92</v>
      </c>
      <c r="F3071" t="s">
        <v>20</v>
      </c>
      <c r="G3071" t="s">
        <v>21</v>
      </c>
      <c r="H3071" t="str">
        <f>"TRAINING 5/1-4"</f>
        <v>TRAINING 5/1-4</v>
      </c>
      <c r="I3071" t="str">
        <f>"MONICA VELIZ"</f>
        <v>MONICA VELIZ</v>
      </c>
    </row>
    <row r="3072" spans="1:9" x14ac:dyDescent="0.25">
      <c r="A3072" s="6">
        <v>43220</v>
      </c>
      <c r="B3072" t="s">
        <v>26</v>
      </c>
      <c r="C3072">
        <v>57471</v>
      </c>
      <c r="D3072" t="s">
        <v>137</v>
      </c>
      <c r="E3072" s="7">
        <v>121.9</v>
      </c>
      <c r="F3072" t="s">
        <v>20</v>
      </c>
      <c r="G3072" t="s">
        <v>21</v>
      </c>
      <c r="H3072" t="str">
        <f>"1447930"</f>
        <v>1447930</v>
      </c>
      <c r="I3072" t="str">
        <f>"OMNIBUS-M  INC.D.B.A."</f>
        <v>OMNIBUS-M  INC.D.B.A.</v>
      </c>
    </row>
    <row r="3073" spans="1:9" x14ac:dyDescent="0.25">
      <c r="E3073" s="7"/>
      <c r="F3073" t="s">
        <v>20</v>
      </c>
      <c r="G3073" t="s">
        <v>21</v>
      </c>
      <c r="H3073" t="str">
        <f>"1447931"</f>
        <v>1447931</v>
      </c>
      <c r="I3073" t="str">
        <f>"OMNIBUS-M  INC.D.B.A."</f>
        <v>OMNIBUS-M  INC.D.B.A.</v>
      </c>
    </row>
    <row r="3074" spans="1:9" x14ac:dyDescent="0.25">
      <c r="A3074" s="6">
        <v>43220</v>
      </c>
      <c r="B3074" t="s">
        <v>26</v>
      </c>
      <c r="C3074">
        <v>57472</v>
      </c>
      <c r="D3074" t="s">
        <v>77</v>
      </c>
      <c r="E3074" s="7">
        <v>350</v>
      </c>
      <c r="F3074" t="s">
        <v>20</v>
      </c>
      <c r="G3074" t="s">
        <v>21</v>
      </c>
      <c r="H3074" t="str">
        <f>"DE85000590-18"</f>
        <v>DE85000590-18</v>
      </c>
      <c r="I3074" t="str">
        <f>"DPC INDUSTRIES  INC."</f>
        <v>DPC INDUSTRIES  INC.</v>
      </c>
    </row>
    <row r="3075" spans="1:9" x14ac:dyDescent="0.25">
      <c r="E3075" s="7"/>
      <c r="F3075" t="s">
        <v>20</v>
      </c>
      <c r="G3075" t="s">
        <v>21</v>
      </c>
      <c r="H3075" t="str">
        <f>"DE85000824-18"</f>
        <v>DE85000824-18</v>
      </c>
      <c r="I3075" t="str">
        <f>"DPC INDUSTRIES  INC."</f>
        <v>DPC INDUSTRIES  INC.</v>
      </c>
    </row>
    <row r="3076" spans="1:9" x14ac:dyDescent="0.25">
      <c r="A3076" s="6">
        <v>43220</v>
      </c>
      <c r="B3076" t="s">
        <v>26</v>
      </c>
      <c r="C3076">
        <v>57473</v>
      </c>
      <c r="D3076" t="s">
        <v>386</v>
      </c>
      <c r="E3076" s="7">
        <v>96.6</v>
      </c>
      <c r="F3076" t="s">
        <v>20</v>
      </c>
      <c r="G3076" t="s">
        <v>21</v>
      </c>
      <c r="H3076" t="str">
        <f>"TRAINING 5/4/18"</f>
        <v>TRAINING 5/4/18</v>
      </c>
      <c r="I3076" t="str">
        <f>"HENRIETTA TURNER"</f>
        <v>HENRIETTA TURNER</v>
      </c>
    </row>
    <row r="3077" spans="1:9" x14ac:dyDescent="0.25">
      <c r="A3077" s="6">
        <v>43220</v>
      </c>
      <c r="B3077" t="s">
        <v>26</v>
      </c>
      <c r="C3077">
        <v>57474</v>
      </c>
      <c r="D3077" t="s">
        <v>79</v>
      </c>
      <c r="E3077" s="7">
        <v>51.28</v>
      </c>
      <c r="F3077" t="s">
        <v>20</v>
      </c>
      <c r="G3077" t="s">
        <v>21</v>
      </c>
      <c r="H3077" t="str">
        <f>"6-148-48587"</f>
        <v>6-148-48587</v>
      </c>
      <c r="I3077" t="str">
        <f>"FEDEX"</f>
        <v>FEDEX</v>
      </c>
    </row>
    <row r="3078" spans="1:9" x14ac:dyDescent="0.25">
      <c r="A3078" s="6">
        <v>43220</v>
      </c>
      <c r="B3078" t="s">
        <v>26</v>
      </c>
      <c r="C3078">
        <v>57475</v>
      </c>
      <c r="D3078" t="s">
        <v>387</v>
      </c>
      <c r="E3078" s="7">
        <v>149.62</v>
      </c>
      <c r="F3078" t="s">
        <v>20</v>
      </c>
      <c r="G3078" t="s">
        <v>21</v>
      </c>
      <c r="H3078" t="str">
        <f>"F02732-SA"</f>
        <v>F02732-SA</v>
      </c>
      <c r="I3078" t="str">
        <f>"BARCO PUMP"</f>
        <v>BARCO PUMP</v>
      </c>
    </row>
    <row r="3079" spans="1:9" x14ac:dyDescent="0.25">
      <c r="A3079" s="6">
        <v>43220</v>
      </c>
      <c r="B3079" t="s">
        <v>26</v>
      </c>
      <c r="C3079">
        <v>57476</v>
      </c>
      <c r="D3079" t="s">
        <v>129</v>
      </c>
      <c r="E3079" s="7">
        <v>212.76</v>
      </c>
      <c r="F3079" t="s">
        <v>20</v>
      </c>
      <c r="G3079" t="s">
        <v>21</v>
      </c>
      <c r="H3079" t="str">
        <f>"P33000"</f>
        <v>P33000</v>
      </c>
      <c r="I3079" t="str">
        <f>"AG-PRO COMPANIES"</f>
        <v>AG-PRO COMPANIES</v>
      </c>
    </row>
    <row r="3080" spans="1:9" x14ac:dyDescent="0.25">
      <c r="A3080" s="6">
        <v>43220</v>
      </c>
      <c r="B3080" t="s">
        <v>26</v>
      </c>
      <c r="C3080">
        <v>57477</v>
      </c>
      <c r="D3080" t="s">
        <v>32</v>
      </c>
      <c r="E3080" s="7">
        <v>52.5</v>
      </c>
      <c r="F3080" t="s">
        <v>20</v>
      </c>
      <c r="G3080" t="s">
        <v>21</v>
      </c>
      <c r="H3080" t="str">
        <f>"4/28/18"</f>
        <v>4/28/18</v>
      </c>
      <c r="I3080" t="str">
        <f>"SHARON KERRIGAN"</f>
        <v>SHARON KERRIGAN</v>
      </c>
    </row>
    <row r="3081" spans="1:9" x14ac:dyDescent="0.25">
      <c r="A3081" s="6">
        <v>43220</v>
      </c>
      <c r="B3081" t="s">
        <v>26</v>
      </c>
      <c r="C3081">
        <v>57478</v>
      </c>
      <c r="D3081" t="s">
        <v>33</v>
      </c>
      <c r="E3081" s="7">
        <v>52.5</v>
      </c>
      <c r="F3081" t="s">
        <v>20</v>
      </c>
      <c r="G3081" t="s">
        <v>21</v>
      </c>
      <c r="H3081" t="str">
        <f>"4/28/18"</f>
        <v>4/28/18</v>
      </c>
      <c r="I3081" t="str">
        <f>"DEBORAH KORCZYK"</f>
        <v>DEBORAH KORCZYK</v>
      </c>
    </row>
    <row r="3082" spans="1:9" x14ac:dyDescent="0.25">
      <c r="A3082" s="6">
        <v>43220</v>
      </c>
      <c r="B3082" t="s">
        <v>26</v>
      </c>
      <c r="C3082">
        <v>57479</v>
      </c>
      <c r="D3082" t="s">
        <v>292</v>
      </c>
      <c r="E3082" s="7">
        <v>124.36</v>
      </c>
      <c r="F3082" t="s">
        <v>20</v>
      </c>
      <c r="G3082" t="s">
        <v>21</v>
      </c>
      <c r="H3082" t="str">
        <f>"TRAINING 5/4"</f>
        <v>TRAINING 5/4</v>
      </c>
      <c r="I3082" t="str">
        <f>"MELINDA RILEY"</f>
        <v>MELINDA RILEY</v>
      </c>
    </row>
    <row r="3083" spans="1:9" x14ac:dyDescent="0.25">
      <c r="A3083" s="6">
        <v>43220</v>
      </c>
      <c r="B3083" t="s">
        <v>26</v>
      </c>
      <c r="C3083">
        <v>57480</v>
      </c>
      <c r="D3083" t="s">
        <v>82</v>
      </c>
      <c r="E3083" s="7">
        <v>4978</v>
      </c>
      <c r="F3083" t="s">
        <v>20</v>
      </c>
      <c r="G3083" t="s">
        <v>21</v>
      </c>
      <c r="H3083" t="str">
        <f>"SI-1022572"</f>
        <v>SI-1022572</v>
      </c>
      <c r="I3083" t="str">
        <f>"BASS COMPUTER  INC."</f>
        <v>BASS COMPUTER  INC.</v>
      </c>
    </row>
    <row r="3084" spans="1:9" x14ac:dyDescent="0.25">
      <c r="A3084" s="6">
        <v>43220</v>
      </c>
      <c r="B3084" t="s">
        <v>26</v>
      </c>
      <c r="C3084">
        <v>57481</v>
      </c>
      <c r="D3084" t="s">
        <v>83</v>
      </c>
      <c r="E3084" s="7">
        <v>953.42</v>
      </c>
      <c r="F3084" t="s">
        <v>20</v>
      </c>
      <c r="G3084" t="s">
        <v>21</v>
      </c>
      <c r="H3084" t="str">
        <f>"348913"</f>
        <v>348913</v>
      </c>
      <c r="I3084" t="str">
        <f>"APPRIVER"</f>
        <v>APPRIVER</v>
      </c>
    </row>
    <row r="3085" spans="1:9" x14ac:dyDescent="0.25">
      <c r="A3085" s="6">
        <v>43220</v>
      </c>
      <c r="B3085" t="s">
        <v>26</v>
      </c>
      <c r="C3085">
        <v>57482</v>
      </c>
      <c r="D3085" t="s">
        <v>84</v>
      </c>
      <c r="E3085" s="7">
        <v>28852.14</v>
      </c>
      <c r="F3085" t="s">
        <v>20</v>
      </c>
      <c r="G3085" t="s">
        <v>21</v>
      </c>
      <c r="H3085" t="str">
        <f>"1335670"</f>
        <v>1335670</v>
      </c>
      <c r="I3085" t="str">
        <f>"STANTEC CONSULTING SERVICES IN"</f>
        <v>STANTEC CONSULTING SERVICES IN</v>
      </c>
    </row>
    <row r="3086" spans="1:9" x14ac:dyDescent="0.25">
      <c r="E3086" s="7"/>
      <c r="F3086" t="s">
        <v>20</v>
      </c>
      <c r="G3086" t="s">
        <v>21</v>
      </c>
      <c r="H3086" t="str">
        <f>"1336177"</f>
        <v>1336177</v>
      </c>
      <c r="I3086" t="str">
        <f>"STANTEC CONSULTING SERVICES IN"</f>
        <v>STANTEC CONSULTING SERVICES IN</v>
      </c>
    </row>
    <row r="3087" spans="1:9" x14ac:dyDescent="0.25">
      <c r="E3087" s="7"/>
      <c r="F3087" t="s">
        <v>20</v>
      </c>
      <c r="G3087" t="s">
        <v>21</v>
      </c>
      <c r="H3087" t="str">
        <f>"1342542"</f>
        <v>1342542</v>
      </c>
      <c r="I3087" t="str">
        <f>"STANTEC CONSULTING SERVICES IN"</f>
        <v>STANTEC CONSULTING SERVICES IN</v>
      </c>
    </row>
    <row r="3088" spans="1:9" x14ac:dyDescent="0.25">
      <c r="A3088" s="6">
        <v>43220</v>
      </c>
      <c r="B3088" t="s">
        <v>26</v>
      </c>
      <c r="C3088">
        <v>57483</v>
      </c>
      <c r="D3088" t="s">
        <v>85</v>
      </c>
      <c r="E3088" s="7">
        <v>227.4</v>
      </c>
      <c r="F3088" t="s">
        <v>20</v>
      </c>
      <c r="G3088" t="s">
        <v>21</v>
      </c>
      <c r="H3088" t="str">
        <f>"201804308358"</f>
        <v>201804308358</v>
      </c>
      <c r="I3088" t="str">
        <f>"FRONTIER"</f>
        <v>FRONTIER</v>
      </c>
    </row>
    <row r="3089" spans="1:9" x14ac:dyDescent="0.25">
      <c r="E3089" s="7"/>
      <c r="F3089" t="s">
        <v>20</v>
      </c>
      <c r="G3089" t="s">
        <v>21</v>
      </c>
      <c r="H3089" t="str">
        <f>"201804308359"</f>
        <v>201804308359</v>
      </c>
      <c r="I3089" t="str">
        <f>"FRONTIER"</f>
        <v>FRONTIER</v>
      </c>
    </row>
    <row r="3090" spans="1:9" x14ac:dyDescent="0.25">
      <c r="E3090" s="7"/>
      <c r="F3090" t="s">
        <v>20</v>
      </c>
      <c r="G3090" t="s">
        <v>21</v>
      </c>
      <c r="H3090" t="str">
        <f>"201804308360"</f>
        <v>201804308360</v>
      </c>
      <c r="I3090" t="str">
        <f>"FRONTIER"</f>
        <v>FRONTIER</v>
      </c>
    </row>
    <row r="3091" spans="1:9" x14ac:dyDescent="0.25">
      <c r="E3091" s="7"/>
      <c r="F3091" t="s">
        <v>20</v>
      </c>
      <c r="G3091" t="s">
        <v>21</v>
      </c>
      <c r="H3091" t="str">
        <f>"201804308361"</f>
        <v>201804308361</v>
      </c>
      <c r="I3091" t="str">
        <f>"FRONTIER"</f>
        <v>FRONTIER</v>
      </c>
    </row>
    <row r="3092" spans="1:9" x14ac:dyDescent="0.25">
      <c r="E3092" s="7"/>
      <c r="F3092" t="s">
        <v>20</v>
      </c>
      <c r="G3092" t="s">
        <v>21</v>
      </c>
      <c r="H3092" t="str">
        <f>"201804308363"</f>
        <v>201804308363</v>
      </c>
      <c r="I3092" t="str">
        <f>"FRONTIER"</f>
        <v>FRONTIER</v>
      </c>
    </row>
    <row r="3093" spans="1:9" x14ac:dyDescent="0.25">
      <c r="A3093" s="6">
        <v>43220</v>
      </c>
      <c r="B3093" t="s">
        <v>26</v>
      </c>
      <c r="C3093">
        <v>57484</v>
      </c>
      <c r="D3093" t="s">
        <v>275</v>
      </c>
      <c r="E3093" s="7">
        <v>1035</v>
      </c>
      <c r="F3093" t="s">
        <v>20</v>
      </c>
      <c r="G3093" t="s">
        <v>21</v>
      </c>
      <c r="H3093" t="str">
        <f>"36404"</f>
        <v>36404</v>
      </c>
      <c r="I3093" t="str">
        <f>"CORTEZ LIQUID WASTE SERVICES"</f>
        <v>CORTEZ LIQUID WASTE SERVICES</v>
      </c>
    </row>
    <row r="3094" spans="1:9" x14ac:dyDescent="0.25">
      <c r="A3094" s="6">
        <v>43220</v>
      </c>
      <c r="B3094" t="s">
        <v>26</v>
      </c>
      <c r="C3094">
        <v>57485</v>
      </c>
      <c r="D3094" t="s">
        <v>388</v>
      </c>
      <c r="E3094" s="7">
        <v>1718</v>
      </c>
      <c r="F3094" t="s">
        <v>20</v>
      </c>
      <c r="G3094" t="s">
        <v>21</v>
      </c>
      <c r="H3094" t="str">
        <f>"C-1079"</f>
        <v>C-1079</v>
      </c>
      <c r="I3094" t="str">
        <f>"TML ADMINISTRATIVE SERVICES"</f>
        <v>TML ADMINISTRATIVE SERVICES</v>
      </c>
    </row>
    <row r="3095" spans="1:9" x14ac:dyDescent="0.25">
      <c r="A3095" s="6">
        <v>43220</v>
      </c>
      <c r="B3095" t="s">
        <v>26</v>
      </c>
      <c r="C3095">
        <v>57486</v>
      </c>
      <c r="D3095" t="s">
        <v>175</v>
      </c>
      <c r="E3095" s="7">
        <v>1945</v>
      </c>
      <c r="F3095" t="s">
        <v>20</v>
      </c>
      <c r="G3095" t="s">
        <v>21</v>
      </c>
      <c r="H3095" t="str">
        <f>"151172"</f>
        <v>151172</v>
      </c>
      <c r="I3095" t="str">
        <f>"AMER TECHNOLOGY  INC."</f>
        <v>AMER TECHNOLOGY  INC.</v>
      </c>
    </row>
    <row r="3096" spans="1:9" x14ac:dyDescent="0.25">
      <c r="E3096" s="7"/>
      <c r="F3096" t="s">
        <v>20</v>
      </c>
      <c r="G3096" t="s">
        <v>21</v>
      </c>
      <c r="H3096" t="str">
        <f>"151173"</f>
        <v>151173</v>
      </c>
      <c r="I3096" t="str">
        <f>"AMER TECHNOLOGY  INC."</f>
        <v>AMER TECHNOLOGY  INC.</v>
      </c>
    </row>
    <row r="3097" spans="1:9" x14ac:dyDescent="0.25">
      <c r="A3097" s="6">
        <v>43220</v>
      </c>
      <c r="B3097" t="s">
        <v>26</v>
      </c>
      <c r="C3097">
        <v>57487</v>
      </c>
      <c r="D3097" t="s">
        <v>176</v>
      </c>
      <c r="E3097" s="7">
        <v>744727.11</v>
      </c>
      <c r="F3097" t="s">
        <v>20</v>
      </c>
      <c r="G3097" t="s">
        <v>21</v>
      </c>
      <c r="H3097" t="str">
        <f>"APP #16"</f>
        <v>APP #16</v>
      </c>
      <c r="I3097" t="str">
        <f>"PEPPER-LAWSON WATERWORKS"</f>
        <v>PEPPER-LAWSON WATERWORKS</v>
      </c>
    </row>
    <row r="3098" spans="1:9" x14ac:dyDescent="0.25">
      <c r="A3098" s="6">
        <v>43220</v>
      </c>
      <c r="B3098" t="s">
        <v>26</v>
      </c>
      <c r="C3098">
        <v>57488</v>
      </c>
      <c r="D3098" t="s">
        <v>195</v>
      </c>
      <c r="E3098" s="7">
        <v>3161.32</v>
      </c>
      <c r="F3098" t="s">
        <v>20</v>
      </c>
      <c r="G3098" t="s">
        <v>21</v>
      </c>
      <c r="H3098" t="str">
        <f>"1565201804"</f>
        <v>1565201804</v>
      </c>
      <c r="I3098" t="str">
        <f>"ARISTA INFORMATION SYSTEMS  IN"</f>
        <v>ARISTA INFORMATION SYSTEMS  IN</v>
      </c>
    </row>
    <row r="3099" spans="1:9" x14ac:dyDescent="0.25">
      <c r="E3099" s="7"/>
      <c r="F3099" t="s">
        <v>20</v>
      </c>
      <c r="G3099" t="s">
        <v>21</v>
      </c>
      <c r="H3099" t="str">
        <f>"25191"</f>
        <v>25191</v>
      </c>
      <c r="I3099" t="str">
        <f>"ARISTA INFORMATION SYSTEMS  IN"</f>
        <v>ARISTA INFORMATION SYSTEMS  IN</v>
      </c>
    </row>
    <row r="3100" spans="1:9" x14ac:dyDescent="0.25">
      <c r="A3100" s="6">
        <v>43220</v>
      </c>
      <c r="B3100" t="s">
        <v>26</v>
      </c>
      <c r="C3100">
        <v>57489</v>
      </c>
      <c r="D3100" t="s">
        <v>345</v>
      </c>
      <c r="E3100" s="7">
        <v>577.5</v>
      </c>
      <c r="F3100" t="s">
        <v>20</v>
      </c>
      <c r="G3100" t="s">
        <v>21</v>
      </c>
      <c r="H3100" t="str">
        <f>"4/16-4/20"</f>
        <v>4/16-4/20</v>
      </c>
      <c r="I3100" t="str">
        <f>"MICHAEL ISAAC MARTINEZ"</f>
        <v>MICHAEL ISAAC MARTINEZ</v>
      </c>
    </row>
    <row r="3101" spans="1:9" x14ac:dyDescent="0.25">
      <c r="E3101" s="7"/>
      <c r="F3101" t="s">
        <v>20</v>
      </c>
      <c r="G3101" t="s">
        <v>21</v>
      </c>
      <c r="H3101" t="str">
        <f>"4/23-4/28"</f>
        <v>4/23-4/28</v>
      </c>
      <c r="I3101" t="str">
        <f>"MICHAEL ISAAC MARTINEZ"</f>
        <v>MICHAEL ISAAC MARTINEZ</v>
      </c>
    </row>
    <row r="3102" spans="1:9" x14ac:dyDescent="0.25">
      <c r="A3102" s="6">
        <v>43220</v>
      </c>
      <c r="B3102" t="s">
        <v>26</v>
      </c>
      <c r="C3102">
        <v>57490</v>
      </c>
      <c r="D3102" t="s">
        <v>389</v>
      </c>
      <c r="E3102" s="7">
        <v>2950</v>
      </c>
      <c r="F3102" t="s">
        <v>20</v>
      </c>
      <c r="G3102" t="s">
        <v>21</v>
      </c>
      <c r="H3102" t="str">
        <f>"1815"</f>
        <v>1815</v>
      </c>
      <c r="I3102" t="str">
        <f>"CAVAZOS VENTURES LLC"</f>
        <v>CAVAZOS VENTURES LLC</v>
      </c>
    </row>
    <row r="3103" spans="1:9" x14ac:dyDescent="0.25">
      <c r="A3103" s="6">
        <v>43222</v>
      </c>
      <c r="B3103" t="s">
        <v>26</v>
      </c>
      <c r="C3103">
        <v>57491</v>
      </c>
      <c r="D3103" t="s">
        <v>386</v>
      </c>
      <c r="E3103" s="7">
        <v>909.84</v>
      </c>
      <c r="F3103" t="s">
        <v>20</v>
      </c>
      <c r="G3103" t="s">
        <v>21</v>
      </c>
      <c r="H3103" t="str">
        <f>"POOL REIMB"</f>
        <v>POOL REIMB</v>
      </c>
      <c r="I3103" t="str">
        <f>"HENRIETTA TURNER"</f>
        <v>HENRIETTA TURNER</v>
      </c>
    </row>
    <row r="3104" spans="1:9" x14ac:dyDescent="0.25">
      <c r="A3104" s="6">
        <v>43229</v>
      </c>
      <c r="B3104" t="s">
        <v>26</v>
      </c>
      <c r="C3104">
        <v>57492</v>
      </c>
      <c r="D3104" t="s">
        <v>252</v>
      </c>
      <c r="E3104" s="7">
        <v>74102.58</v>
      </c>
      <c r="F3104" t="s">
        <v>20</v>
      </c>
      <c r="G3104" t="s">
        <v>21</v>
      </c>
      <c r="H3104" t="str">
        <f>"PAY APP#2"</f>
        <v>PAY APP#2</v>
      </c>
      <c r="I3104" t="str">
        <f>"RAM II GENERAL CONTRACTOR INC."</f>
        <v>RAM II GENERAL CONTRACTOR INC.</v>
      </c>
    </row>
    <row r="3105" spans="1:9" x14ac:dyDescent="0.25">
      <c r="E3105" s="7"/>
      <c r="F3105" t="s">
        <v>20</v>
      </c>
      <c r="G3105" t="s">
        <v>21</v>
      </c>
      <c r="H3105" t="str">
        <f>"PAY APP#3 FINAL"</f>
        <v>PAY APP#3 FINAL</v>
      </c>
      <c r="I3105" t="str">
        <f>"RAM II GENERAL CONTRACTOR INC."</f>
        <v>RAM II GENERAL CONTRACTOR INC.</v>
      </c>
    </row>
    <row r="3106" spans="1:9" x14ac:dyDescent="0.25">
      <c r="A3106" s="6">
        <v>43229</v>
      </c>
      <c r="B3106" t="s">
        <v>26</v>
      </c>
      <c r="C3106">
        <v>57493</v>
      </c>
      <c r="D3106" t="s">
        <v>262</v>
      </c>
      <c r="E3106" s="7">
        <v>3025</v>
      </c>
      <c r="F3106" t="s">
        <v>20</v>
      </c>
      <c r="G3106" t="s">
        <v>21</v>
      </c>
      <c r="H3106" t="str">
        <f>"4"</f>
        <v>4</v>
      </c>
      <c r="I3106" t="str">
        <f>"GRANTWORKS INC"</f>
        <v>GRANTWORKS INC</v>
      </c>
    </row>
    <row r="3107" spans="1:9" x14ac:dyDescent="0.25">
      <c r="A3107" s="6">
        <v>43229</v>
      </c>
      <c r="B3107" t="s">
        <v>26</v>
      </c>
      <c r="C3107">
        <v>57502</v>
      </c>
      <c r="D3107" t="s">
        <v>51</v>
      </c>
      <c r="E3107" s="7">
        <v>290.89999999999998</v>
      </c>
      <c r="F3107" t="s">
        <v>20</v>
      </c>
      <c r="G3107" t="s">
        <v>21</v>
      </c>
      <c r="H3107" t="str">
        <f>"CLE201805098364"</f>
        <v>CLE201805098364</v>
      </c>
      <c r="I3107" t="str">
        <f>"CLEAT ONLY DUES"</f>
        <v>CLEAT ONLY DUES</v>
      </c>
    </row>
    <row r="3108" spans="1:9" x14ac:dyDescent="0.25">
      <c r="E3108" s="7"/>
      <c r="F3108" t="s">
        <v>20</v>
      </c>
      <c r="G3108" t="s">
        <v>21</v>
      </c>
      <c r="H3108" t="str">
        <f>"PDD201805098364"</f>
        <v>PDD201805098364</v>
      </c>
      <c r="I3108" t="str">
        <f>"POLICE OFFICERS ASSOC DUES"</f>
        <v>POLICE OFFICERS ASSOC DUES</v>
      </c>
    </row>
    <row r="3109" spans="1:9" x14ac:dyDescent="0.25">
      <c r="A3109" s="6">
        <v>43229</v>
      </c>
      <c r="B3109" t="s">
        <v>26</v>
      </c>
      <c r="C3109">
        <v>57503</v>
      </c>
      <c r="D3109" t="s">
        <v>90</v>
      </c>
      <c r="E3109" s="7">
        <v>114.96</v>
      </c>
      <c r="F3109" t="s">
        <v>20</v>
      </c>
      <c r="G3109" t="s">
        <v>21</v>
      </c>
      <c r="H3109" t="str">
        <f>"AFS201805098364"</f>
        <v>AFS201805098364</v>
      </c>
      <c r="I3109" t="str">
        <f>"AFLAC STD"</f>
        <v>AFLAC STD</v>
      </c>
    </row>
    <row r="3110" spans="1:9" x14ac:dyDescent="0.25">
      <c r="A3110" s="6">
        <v>43229</v>
      </c>
      <c r="B3110" t="s">
        <v>26</v>
      </c>
      <c r="C3110">
        <v>57504</v>
      </c>
      <c r="D3110" t="s">
        <v>52</v>
      </c>
      <c r="E3110" s="7">
        <v>1331.53</v>
      </c>
      <c r="F3110" t="s">
        <v>20</v>
      </c>
      <c r="G3110" t="s">
        <v>21</v>
      </c>
      <c r="H3110" t="str">
        <f>"CPS201805098364"</f>
        <v>CPS201805098364</v>
      </c>
      <c r="I3110" t="str">
        <f>"G MENDOZA 00123012032010EM5054"</f>
        <v>G MENDOZA 00123012032010EM5054</v>
      </c>
    </row>
    <row r="3111" spans="1:9" x14ac:dyDescent="0.25">
      <c r="E3111" s="7"/>
      <c r="F3111" t="s">
        <v>20</v>
      </c>
      <c r="G3111" t="s">
        <v>21</v>
      </c>
      <c r="H3111" t="str">
        <f>"CS 201805098364"</f>
        <v>CS 201805098364</v>
      </c>
      <c r="I3111" t="str">
        <f>"CAUSE#98EM504113 PEGGY RIVAS"</f>
        <v>CAUSE#98EM504113 PEGGY RIVAS</v>
      </c>
    </row>
    <row r="3112" spans="1:9" x14ac:dyDescent="0.25">
      <c r="E3112" s="7"/>
      <c r="F3112" t="s">
        <v>20</v>
      </c>
      <c r="G3112" t="s">
        <v>21</v>
      </c>
      <c r="H3112" t="str">
        <f>"CS1201805098364"</f>
        <v>CS1201805098364</v>
      </c>
      <c r="I3112" t="str">
        <f>"CAUSE# 10008CVW DEBRA ESQUEDA"</f>
        <v>CAUSE# 10008CVW DEBRA ESQUEDA</v>
      </c>
    </row>
    <row r="3113" spans="1:9" x14ac:dyDescent="0.25">
      <c r="E3113" s="7"/>
      <c r="F3113" t="s">
        <v>20</v>
      </c>
      <c r="G3113" t="s">
        <v>21</v>
      </c>
      <c r="H3113" t="str">
        <f>"CSJ201805098364"</f>
        <v>CSJ201805098364</v>
      </c>
      <c r="I3113" t="str">
        <f>"CAUSE# 0010185272 MARIANN GUTI"</f>
        <v>CAUSE# 0010185272 MARIANN GUTI</v>
      </c>
    </row>
    <row r="3114" spans="1:9" x14ac:dyDescent="0.25">
      <c r="E3114" s="7"/>
      <c r="F3114" t="s">
        <v>20</v>
      </c>
      <c r="G3114" t="s">
        <v>21</v>
      </c>
      <c r="H3114" t="str">
        <f>"CST201805098364"</f>
        <v>CST201805098364</v>
      </c>
      <c r="I3114" t="str">
        <f>"CAUSE #0009418917 SONIA PEREZ"</f>
        <v>CAUSE #0009418917 SONIA PEREZ</v>
      </c>
    </row>
    <row r="3115" spans="1:9" x14ac:dyDescent="0.25">
      <c r="A3115" s="6">
        <v>43229</v>
      </c>
      <c r="B3115" t="s">
        <v>26</v>
      </c>
      <c r="C3115">
        <v>57505</v>
      </c>
      <c r="D3115" t="s">
        <v>53</v>
      </c>
      <c r="E3115" s="7">
        <v>99.1</v>
      </c>
      <c r="F3115" t="s">
        <v>20</v>
      </c>
      <c r="G3115" t="s">
        <v>21</v>
      </c>
      <c r="H3115" t="str">
        <f>"MCO201805098364"</f>
        <v>MCO201805098364</v>
      </c>
      <c r="I3115" t="str">
        <f>"MONICA CORDOVA"</f>
        <v>MONICA CORDOVA</v>
      </c>
    </row>
    <row r="3116" spans="1:9" x14ac:dyDescent="0.25">
      <c r="A3116" s="6">
        <v>43229</v>
      </c>
      <c r="B3116" t="s">
        <v>26</v>
      </c>
      <c r="C3116">
        <v>57506</v>
      </c>
      <c r="D3116" t="s">
        <v>54</v>
      </c>
      <c r="E3116" s="7">
        <v>1236.74</v>
      </c>
      <c r="F3116" t="s">
        <v>20</v>
      </c>
      <c r="G3116" t="s">
        <v>21</v>
      </c>
      <c r="H3116" t="str">
        <f>"457201805098364"</f>
        <v>457201805098364</v>
      </c>
      <c r="I3116" t="str">
        <f>"CASE # 180-60751 457B DEDUCT"</f>
        <v>CASE # 180-60751 457B DEDUCT</v>
      </c>
    </row>
    <row r="3117" spans="1:9" x14ac:dyDescent="0.25">
      <c r="A3117" s="6">
        <v>43230</v>
      </c>
      <c r="B3117" t="s">
        <v>26</v>
      </c>
      <c r="C3117">
        <v>57507</v>
      </c>
      <c r="D3117" t="s">
        <v>57</v>
      </c>
      <c r="E3117" s="7">
        <v>207.12</v>
      </c>
      <c r="F3117" t="s">
        <v>20</v>
      </c>
      <c r="G3117" t="s">
        <v>21</v>
      </c>
      <c r="H3117" t="str">
        <f>"ACCT 11617-041"</f>
        <v>ACCT 11617-041</v>
      </c>
      <c r="I3117" t="str">
        <f>"F.E.L.P.S."</f>
        <v>F.E.L.P.S.</v>
      </c>
    </row>
    <row r="3118" spans="1:9" x14ac:dyDescent="0.25">
      <c r="A3118" s="6">
        <v>43230</v>
      </c>
      <c r="B3118" t="s">
        <v>26</v>
      </c>
      <c r="C3118">
        <v>57508</v>
      </c>
      <c r="D3118" t="s">
        <v>143</v>
      </c>
      <c r="E3118" s="7">
        <v>382.29</v>
      </c>
      <c r="F3118" t="s">
        <v>20</v>
      </c>
      <c r="G3118" t="s">
        <v>21</v>
      </c>
      <c r="H3118" t="str">
        <f>"9401811076"</f>
        <v>9401811076</v>
      </c>
      <c r="I3118" t="str">
        <f>"ERGON ASPHALT AND EMULSIONS  I"</f>
        <v>ERGON ASPHALT AND EMULSIONS  I</v>
      </c>
    </row>
    <row r="3119" spans="1:9" x14ac:dyDescent="0.25">
      <c r="A3119" s="6">
        <v>43230</v>
      </c>
      <c r="B3119" t="s">
        <v>26</v>
      </c>
      <c r="C3119">
        <v>57509</v>
      </c>
      <c r="D3119" t="s">
        <v>58</v>
      </c>
      <c r="E3119" s="7">
        <v>467.51</v>
      </c>
      <c r="F3119" t="s">
        <v>20</v>
      </c>
      <c r="G3119" t="s">
        <v>21</v>
      </c>
      <c r="H3119" t="str">
        <f>"APRIL 2018"</f>
        <v>APRIL 2018</v>
      </c>
      <c r="I3119" t="str">
        <f>"DEASON ANIMAL HOSPITAL"</f>
        <v>DEASON ANIMAL HOSPITAL</v>
      </c>
    </row>
    <row r="3120" spans="1:9" x14ac:dyDescent="0.25">
      <c r="A3120" s="6">
        <v>43230</v>
      </c>
      <c r="B3120" t="s">
        <v>26</v>
      </c>
      <c r="C3120">
        <v>57510</v>
      </c>
      <c r="D3120" t="s">
        <v>104</v>
      </c>
      <c r="E3120" s="7">
        <v>3831.06</v>
      </c>
      <c r="F3120" t="s">
        <v>20</v>
      </c>
      <c r="G3120" t="s">
        <v>21</v>
      </c>
      <c r="H3120" t="str">
        <f>"ACCT1068/APRIL 18"</f>
        <v>ACCT1068/APRIL 18</v>
      </c>
      <c r="I3120" t="str">
        <f>"WILSON COUNTY NEWS"</f>
        <v>WILSON COUNTY NEWS</v>
      </c>
    </row>
    <row r="3121" spans="1:9" x14ac:dyDescent="0.25">
      <c r="E3121" s="7"/>
      <c r="F3121" t="s">
        <v>20</v>
      </c>
      <c r="G3121" t="s">
        <v>21</v>
      </c>
      <c r="H3121" t="str">
        <f>"ACCT15964/APRIL18"</f>
        <v>ACCT15964/APRIL18</v>
      </c>
      <c r="I3121" t="str">
        <f>"WILSON COUNTY NEWS"</f>
        <v>WILSON COUNTY NEWS</v>
      </c>
    </row>
    <row r="3122" spans="1:9" x14ac:dyDescent="0.25">
      <c r="E3122" s="7"/>
      <c r="F3122" t="s">
        <v>20</v>
      </c>
      <c r="G3122" t="s">
        <v>21</v>
      </c>
      <c r="H3122" t="str">
        <f>"ACCT23259/APRIL 18"</f>
        <v>ACCT23259/APRIL 18</v>
      </c>
      <c r="I3122" t="str">
        <f>"WILSON COUNTY NEWS"</f>
        <v>WILSON COUNTY NEWS</v>
      </c>
    </row>
    <row r="3123" spans="1:9" x14ac:dyDescent="0.25">
      <c r="A3123" s="6">
        <v>43230</v>
      </c>
      <c r="B3123" t="s">
        <v>26</v>
      </c>
      <c r="C3123">
        <v>57511</v>
      </c>
      <c r="D3123" t="s">
        <v>59</v>
      </c>
      <c r="E3123" s="7">
        <v>1640.47</v>
      </c>
      <c r="F3123" t="s">
        <v>20</v>
      </c>
      <c r="G3123" t="s">
        <v>21</v>
      </c>
      <c r="H3123" t="str">
        <f>"0946639-1"</f>
        <v>0946639-1</v>
      </c>
      <c r="I3123" t="str">
        <f>"FERGUSON WATERWORKS - MUNICIPA"</f>
        <v>FERGUSON WATERWORKS - MUNICIPA</v>
      </c>
    </row>
    <row r="3124" spans="1:9" x14ac:dyDescent="0.25">
      <c r="E3124" s="7"/>
      <c r="F3124" t="s">
        <v>20</v>
      </c>
      <c r="G3124" t="s">
        <v>21</v>
      </c>
      <c r="H3124" t="str">
        <f>"0946686"</f>
        <v>0946686</v>
      </c>
      <c r="I3124" t="str">
        <f>"FERGUSON WATERWORKS - MUNICIPA"</f>
        <v>FERGUSON WATERWORKS - MUNICIPA</v>
      </c>
    </row>
    <row r="3125" spans="1:9" x14ac:dyDescent="0.25">
      <c r="A3125" s="6">
        <v>43230</v>
      </c>
      <c r="B3125" t="s">
        <v>91</v>
      </c>
      <c r="C3125">
        <v>57512</v>
      </c>
      <c r="D3125" t="s">
        <v>390</v>
      </c>
      <c r="E3125" s="7">
        <v>12312.51</v>
      </c>
      <c r="F3125" t="s">
        <v>20</v>
      </c>
      <c r="G3125" t="s">
        <v>21</v>
      </c>
      <c r="H3125" t="str">
        <f>"BC0563081"</f>
        <v>BC0563081</v>
      </c>
      <c r="I3125" t="str">
        <f>"GALLS  LLC."</f>
        <v>GALLS  LLC.</v>
      </c>
    </row>
    <row r="3126" spans="1:9" x14ac:dyDescent="0.25">
      <c r="A3126" s="6">
        <v>43230</v>
      </c>
      <c r="B3126" t="s">
        <v>91</v>
      </c>
      <c r="C3126">
        <v>57512</v>
      </c>
      <c r="D3126" t="s">
        <v>390</v>
      </c>
      <c r="E3126" s="7">
        <v>12312.51</v>
      </c>
      <c r="F3126" t="s">
        <v>20</v>
      </c>
      <c r="G3126" t="s">
        <v>93</v>
      </c>
      <c r="H3126" t="str">
        <f>"CHECK"</f>
        <v>CHECK</v>
      </c>
      <c r="I3126" t="str">
        <f>""</f>
        <v/>
      </c>
    </row>
    <row r="3127" spans="1:9" x14ac:dyDescent="0.25">
      <c r="A3127" s="6">
        <v>43230</v>
      </c>
      <c r="B3127" t="s">
        <v>26</v>
      </c>
      <c r="C3127">
        <v>57513</v>
      </c>
      <c r="D3127" t="s">
        <v>202</v>
      </c>
      <c r="E3127" s="7">
        <v>2469.48</v>
      </c>
      <c r="F3127" t="s">
        <v>20</v>
      </c>
      <c r="G3127" t="s">
        <v>21</v>
      </c>
      <c r="H3127" t="str">
        <f>"61726734"</f>
        <v>61726734</v>
      </c>
      <c r="I3127" t="str">
        <f>"VULCAN CONSTRUCTION MATERIALS"</f>
        <v>VULCAN CONSTRUCTION MATERIALS</v>
      </c>
    </row>
    <row r="3128" spans="1:9" x14ac:dyDescent="0.25">
      <c r="A3128" s="6">
        <v>43230</v>
      </c>
      <c r="B3128" t="s">
        <v>26</v>
      </c>
      <c r="C3128">
        <v>57514</v>
      </c>
      <c r="D3128" t="s">
        <v>179</v>
      </c>
      <c r="E3128" s="7">
        <v>44.91</v>
      </c>
      <c r="F3128" t="s">
        <v>20</v>
      </c>
      <c r="G3128" t="s">
        <v>21</v>
      </c>
      <c r="H3128" t="str">
        <f>"52382F"</f>
        <v>52382F</v>
      </c>
      <c r="I3128" t="str">
        <f>"ANCIRA FORD-MERCURY"</f>
        <v>ANCIRA FORD-MERCURY</v>
      </c>
    </row>
    <row r="3129" spans="1:9" x14ac:dyDescent="0.25">
      <c r="A3129" s="6">
        <v>43230</v>
      </c>
      <c r="B3129" t="s">
        <v>26</v>
      </c>
      <c r="C3129">
        <v>57515</v>
      </c>
      <c r="D3129" t="s">
        <v>273</v>
      </c>
      <c r="E3129" s="7">
        <v>8796.3799999999992</v>
      </c>
      <c r="F3129" t="s">
        <v>20</v>
      </c>
      <c r="G3129" t="s">
        <v>21</v>
      </c>
      <c r="H3129" t="str">
        <f>"5119-000083091"</f>
        <v>5119-000083091</v>
      </c>
      <c r="I3129" t="str">
        <f>"REPUBLIC SERVICES TESSMAN ROAD"</f>
        <v>REPUBLIC SERVICES TESSMAN ROAD</v>
      </c>
    </row>
    <row r="3130" spans="1:9" x14ac:dyDescent="0.25">
      <c r="A3130" s="6">
        <v>43230</v>
      </c>
      <c r="B3130" t="s">
        <v>26</v>
      </c>
      <c r="C3130">
        <v>57516</v>
      </c>
      <c r="D3130" t="s">
        <v>107</v>
      </c>
      <c r="E3130" s="7">
        <v>55</v>
      </c>
      <c r="F3130" t="s">
        <v>20</v>
      </c>
      <c r="G3130" t="s">
        <v>21</v>
      </c>
      <c r="H3130" t="str">
        <f>"1166960-20180228"</f>
        <v>1166960-20180228</v>
      </c>
      <c r="I3130" t="str">
        <f>"LEXISNEXIS RISK SOLUTIONS"</f>
        <v>LEXISNEXIS RISK SOLUTIONS</v>
      </c>
    </row>
    <row r="3131" spans="1:9" x14ac:dyDescent="0.25">
      <c r="E3131" s="7"/>
      <c r="F3131" t="s">
        <v>20</v>
      </c>
      <c r="G3131" t="s">
        <v>21</v>
      </c>
      <c r="H3131" t="str">
        <f>"1166960-20180331"</f>
        <v>1166960-20180331</v>
      </c>
      <c r="I3131" t="str">
        <f>"LEXISNEXIS RISK SOLUTIONS"</f>
        <v>LEXISNEXIS RISK SOLUTIONS</v>
      </c>
    </row>
    <row r="3132" spans="1:9" x14ac:dyDescent="0.25">
      <c r="A3132" s="6">
        <v>43230</v>
      </c>
      <c r="B3132" t="s">
        <v>26</v>
      </c>
      <c r="C3132">
        <v>57517</v>
      </c>
      <c r="D3132" t="s">
        <v>110</v>
      </c>
      <c r="E3132" s="7">
        <v>4028.58</v>
      </c>
      <c r="F3132" t="s">
        <v>20</v>
      </c>
      <c r="G3132" t="s">
        <v>21</v>
      </c>
      <c r="H3132" t="str">
        <f>"1413369"</f>
        <v>1413369</v>
      </c>
      <c r="I3132" t="str">
        <f t="shared" ref="I3132:I3141" si="57">"BUREAU VERITAS NORTH AMERICA"</f>
        <v>BUREAU VERITAS NORTH AMERICA</v>
      </c>
    </row>
    <row r="3133" spans="1:9" x14ac:dyDescent="0.25">
      <c r="E3133" s="7"/>
      <c r="F3133" t="s">
        <v>20</v>
      </c>
      <c r="G3133" t="s">
        <v>21</v>
      </c>
      <c r="H3133" t="str">
        <f>"1413372"</f>
        <v>1413372</v>
      </c>
      <c r="I3133" t="str">
        <f t="shared" si="57"/>
        <v>BUREAU VERITAS NORTH AMERICA</v>
      </c>
    </row>
    <row r="3134" spans="1:9" x14ac:dyDescent="0.25">
      <c r="E3134" s="7"/>
      <c r="F3134" t="s">
        <v>20</v>
      </c>
      <c r="G3134" t="s">
        <v>21</v>
      </c>
      <c r="H3134" t="str">
        <f>"1413373"</f>
        <v>1413373</v>
      </c>
      <c r="I3134" t="str">
        <f t="shared" si="57"/>
        <v>BUREAU VERITAS NORTH AMERICA</v>
      </c>
    </row>
    <row r="3135" spans="1:9" x14ac:dyDescent="0.25">
      <c r="E3135" s="7"/>
      <c r="F3135" t="s">
        <v>20</v>
      </c>
      <c r="G3135" t="s">
        <v>21</v>
      </c>
      <c r="H3135" t="str">
        <f>"1413374"</f>
        <v>1413374</v>
      </c>
      <c r="I3135" t="str">
        <f t="shared" si="57"/>
        <v>BUREAU VERITAS NORTH AMERICA</v>
      </c>
    </row>
    <row r="3136" spans="1:9" x14ac:dyDescent="0.25">
      <c r="E3136" s="7"/>
      <c r="F3136" t="s">
        <v>20</v>
      </c>
      <c r="G3136" t="s">
        <v>21</v>
      </c>
      <c r="H3136" t="str">
        <f>"1413375"</f>
        <v>1413375</v>
      </c>
      <c r="I3136" t="str">
        <f t="shared" si="57"/>
        <v>BUREAU VERITAS NORTH AMERICA</v>
      </c>
    </row>
    <row r="3137" spans="1:9" x14ac:dyDescent="0.25">
      <c r="E3137" s="7"/>
      <c r="F3137" t="s">
        <v>20</v>
      </c>
      <c r="G3137" t="s">
        <v>21</v>
      </c>
      <c r="H3137" t="str">
        <f>"1413376"</f>
        <v>1413376</v>
      </c>
      <c r="I3137" t="str">
        <f t="shared" si="57"/>
        <v>BUREAU VERITAS NORTH AMERICA</v>
      </c>
    </row>
    <row r="3138" spans="1:9" x14ac:dyDescent="0.25">
      <c r="E3138" s="7"/>
      <c r="F3138" t="s">
        <v>20</v>
      </c>
      <c r="G3138" t="s">
        <v>21</v>
      </c>
      <c r="H3138" t="str">
        <f>"1413377"</f>
        <v>1413377</v>
      </c>
      <c r="I3138" t="str">
        <f t="shared" si="57"/>
        <v>BUREAU VERITAS NORTH AMERICA</v>
      </c>
    </row>
    <row r="3139" spans="1:9" x14ac:dyDescent="0.25">
      <c r="E3139" s="7"/>
      <c r="F3139" t="s">
        <v>20</v>
      </c>
      <c r="G3139" t="s">
        <v>21</v>
      </c>
      <c r="H3139" t="str">
        <f>"1413379"</f>
        <v>1413379</v>
      </c>
      <c r="I3139" t="str">
        <f t="shared" si="57"/>
        <v>BUREAU VERITAS NORTH AMERICA</v>
      </c>
    </row>
    <row r="3140" spans="1:9" x14ac:dyDescent="0.25">
      <c r="E3140" s="7"/>
      <c r="F3140" t="s">
        <v>20</v>
      </c>
      <c r="G3140" t="s">
        <v>21</v>
      </c>
      <c r="H3140" t="str">
        <f>"1413380"</f>
        <v>1413380</v>
      </c>
      <c r="I3140" t="str">
        <f t="shared" si="57"/>
        <v>BUREAU VERITAS NORTH AMERICA</v>
      </c>
    </row>
    <row r="3141" spans="1:9" x14ac:dyDescent="0.25">
      <c r="E3141" s="7"/>
      <c r="F3141" t="s">
        <v>20</v>
      </c>
      <c r="G3141" t="s">
        <v>21</v>
      </c>
      <c r="H3141" t="str">
        <f>"1413381"</f>
        <v>1413381</v>
      </c>
      <c r="I3141" t="str">
        <f t="shared" si="57"/>
        <v>BUREAU VERITAS NORTH AMERICA</v>
      </c>
    </row>
    <row r="3142" spans="1:9" x14ac:dyDescent="0.25">
      <c r="A3142" s="6">
        <v>43230</v>
      </c>
      <c r="B3142" t="s">
        <v>26</v>
      </c>
      <c r="C3142">
        <v>57519</v>
      </c>
      <c r="D3142" t="s">
        <v>391</v>
      </c>
      <c r="E3142" s="7">
        <v>50</v>
      </c>
      <c r="F3142" t="s">
        <v>20</v>
      </c>
      <c r="G3142" t="s">
        <v>21</v>
      </c>
      <c r="H3142" t="str">
        <f>"LG PAV REF 4/21"</f>
        <v>LG PAV REF 4/21</v>
      </c>
      <c r="I3142" t="str">
        <f>"LG PAV REF"</f>
        <v>LG PAV REF</v>
      </c>
    </row>
    <row r="3143" spans="1:9" x14ac:dyDescent="0.25">
      <c r="A3143" s="6">
        <v>43230</v>
      </c>
      <c r="B3143" t="s">
        <v>26</v>
      </c>
      <c r="C3143">
        <v>57520</v>
      </c>
      <c r="D3143" t="s">
        <v>392</v>
      </c>
      <c r="E3143" s="7">
        <v>50</v>
      </c>
      <c r="F3143" t="s">
        <v>20</v>
      </c>
      <c r="G3143" t="s">
        <v>21</v>
      </c>
      <c r="H3143" t="str">
        <f>"LG PAV REF 4/29"</f>
        <v>LG PAV REF 4/29</v>
      </c>
      <c r="I3143" t="str">
        <f>"PAV REF"</f>
        <v>PAV REF</v>
      </c>
    </row>
    <row r="3144" spans="1:9" x14ac:dyDescent="0.25">
      <c r="A3144" s="6">
        <v>43230</v>
      </c>
      <c r="B3144" t="s">
        <v>26</v>
      </c>
      <c r="C3144">
        <v>57521</v>
      </c>
      <c r="D3144" t="s">
        <v>393</v>
      </c>
      <c r="E3144" s="7">
        <v>50</v>
      </c>
      <c r="F3144" t="s">
        <v>20</v>
      </c>
      <c r="G3144" t="s">
        <v>21</v>
      </c>
      <c r="H3144" t="str">
        <f>"SM PAV REF 4/21"</f>
        <v>SM PAV REF 4/21</v>
      </c>
      <c r="I3144" t="str">
        <f>"SM PAV REF"</f>
        <v>SM PAV REF</v>
      </c>
    </row>
    <row r="3145" spans="1:9" x14ac:dyDescent="0.25">
      <c r="A3145" s="6">
        <v>43230</v>
      </c>
      <c r="B3145" t="s">
        <v>26</v>
      </c>
      <c r="C3145">
        <v>57522</v>
      </c>
      <c r="D3145" t="s">
        <v>0</v>
      </c>
      <c r="E3145" s="7">
        <v>5492.16</v>
      </c>
      <c r="F3145" t="s">
        <v>20</v>
      </c>
      <c r="G3145" t="s">
        <v>21</v>
      </c>
      <c r="H3145" t="str">
        <f>"201805098369"</f>
        <v>201805098369</v>
      </c>
      <c r="I3145" t="str">
        <f>"CITY OF FLORESVILLE"</f>
        <v>CITY OF FLORESVILLE</v>
      </c>
    </row>
    <row r="3146" spans="1:9" x14ac:dyDescent="0.25">
      <c r="A3146" s="6">
        <v>43230</v>
      </c>
      <c r="B3146" t="s">
        <v>26</v>
      </c>
      <c r="C3146">
        <v>57523</v>
      </c>
      <c r="D3146" t="s">
        <v>184</v>
      </c>
      <c r="E3146" s="7">
        <v>948</v>
      </c>
      <c r="F3146" t="s">
        <v>20</v>
      </c>
      <c r="G3146" t="s">
        <v>21</v>
      </c>
      <c r="H3146" t="str">
        <f>"1050-088"</f>
        <v>1050-088</v>
      </c>
      <c r="I3146" t="str">
        <f>"POLLUTION CONTROL SERVICES"</f>
        <v>POLLUTION CONTROL SERVICES</v>
      </c>
    </row>
    <row r="3147" spans="1:9" x14ac:dyDescent="0.25">
      <c r="E3147" s="7"/>
      <c r="F3147" t="s">
        <v>20</v>
      </c>
      <c r="G3147" t="s">
        <v>21</v>
      </c>
      <c r="H3147" t="str">
        <f>"1050-089"</f>
        <v>1050-089</v>
      </c>
      <c r="I3147" t="str">
        <f>"POLLUTION CONTROL SERVICES"</f>
        <v>POLLUTION CONTROL SERVICES</v>
      </c>
    </row>
    <row r="3148" spans="1:9" x14ac:dyDescent="0.25">
      <c r="A3148" s="6">
        <v>43230</v>
      </c>
      <c r="B3148" t="s">
        <v>26</v>
      </c>
      <c r="C3148">
        <v>57524</v>
      </c>
      <c r="D3148" t="s">
        <v>62</v>
      </c>
      <c r="E3148" s="7">
        <v>186</v>
      </c>
      <c r="F3148" t="s">
        <v>20</v>
      </c>
      <c r="G3148" t="s">
        <v>21</v>
      </c>
      <c r="H3148" t="str">
        <f>"58914"</f>
        <v>58914</v>
      </c>
      <c r="I3148" t="str">
        <f>"SBS ADMINISTRATIVE SERVICES  L"</f>
        <v>SBS ADMINISTRATIVE SERVICES  L</v>
      </c>
    </row>
    <row r="3149" spans="1:9" x14ac:dyDescent="0.25">
      <c r="A3149" s="6">
        <v>43230</v>
      </c>
      <c r="B3149" t="s">
        <v>26</v>
      </c>
      <c r="C3149">
        <v>57525</v>
      </c>
      <c r="D3149" t="s">
        <v>63</v>
      </c>
      <c r="E3149" s="7">
        <v>107.17</v>
      </c>
      <c r="F3149" t="s">
        <v>20</v>
      </c>
      <c r="G3149" t="s">
        <v>21</v>
      </c>
      <c r="H3149" t="str">
        <f>"8403638240"</f>
        <v>8403638240</v>
      </c>
      <c r="I3149" t="str">
        <f>"CINTAS CORPORATION"</f>
        <v>CINTAS CORPORATION</v>
      </c>
    </row>
    <row r="3150" spans="1:9" x14ac:dyDescent="0.25">
      <c r="A3150" s="6">
        <v>43230</v>
      </c>
      <c r="B3150" t="s">
        <v>26</v>
      </c>
      <c r="C3150">
        <v>57526</v>
      </c>
      <c r="D3150" t="s">
        <v>64</v>
      </c>
      <c r="E3150" s="7">
        <v>5690</v>
      </c>
      <c r="F3150" t="s">
        <v>20</v>
      </c>
      <c r="G3150" t="s">
        <v>21</v>
      </c>
      <c r="H3150" t="str">
        <f>"7524"</f>
        <v>7524</v>
      </c>
      <c r="I3150" t="str">
        <f>"DREWA DESIGNS  INC."</f>
        <v>DREWA DESIGNS  INC.</v>
      </c>
    </row>
    <row r="3151" spans="1:9" x14ac:dyDescent="0.25">
      <c r="A3151" s="6">
        <v>43230</v>
      </c>
      <c r="B3151" t="s">
        <v>26</v>
      </c>
      <c r="C3151">
        <v>57527</v>
      </c>
      <c r="D3151" t="s">
        <v>213</v>
      </c>
      <c r="E3151" s="7">
        <v>3060.47</v>
      </c>
      <c r="F3151" t="s">
        <v>20</v>
      </c>
      <c r="G3151" t="s">
        <v>21</v>
      </c>
      <c r="H3151" t="str">
        <f>"APRIL 2018"</f>
        <v>APRIL 2018</v>
      </c>
      <c r="I3151" t="str">
        <f>"RIVER BEND COMMUNITY DEVELOPME"</f>
        <v>RIVER BEND COMMUNITY DEVELOPME</v>
      </c>
    </row>
    <row r="3152" spans="1:9" x14ac:dyDescent="0.25">
      <c r="A3152" s="6">
        <v>43230</v>
      </c>
      <c r="B3152" t="s">
        <v>26</v>
      </c>
      <c r="C3152">
        <v>57528</v>
      </c>
      <c r="D3152" t="s">
        <v>65</v>
      </c>
      <c r="E3152" s="7">
        <v>18.760000000000002</v>
      </c>
      <c r="F3152" t="s">
        <v>20</v>
      </c>
      <c r="G3152" t="s">
        <v>21</v>
      </c>
      <c r="H3152" t="str">
        <f>"201805098368"</f>
        <v>201805098368</v>
      </c>
      <c r="I3152" t="str">
        <f>"SAM'S CLUB/SYNCHRONY BANK"</f>
        <v>SAM'S CLUB/SYNCHRONY BANK</v>
      </c>
    </row>
    <row r="3153" spans="1:9" x14ac:dyDescent="0.25">
      <c r="A3153" s="6">
        <v>43230</v>
      </c>
      <c r="B3153" t="s">
        <v>26</v>
      </c>
      <c r="C3153">
        <v>57529</v>
      </c>
      <c r="D3153" t="s">
        <v>66</v>
      </c>
      <c r="E3153" s="7">
        <v>2042.88</v>
      </c>
      <c r="F3153" t="s">
        <v>20</v>
      </c>
      <c r="G3153" t="s">
        <v>21</v>
      </c>
      <c r="H3153" t="str">
        <f>"52069"</f>
        <v>52069</v>
      </c>
      <c r="I3153" t="str">
        <f>"LOPEZ EXTERMINATING SERVICE  I"</f>
        <v>LOPEZ EXTERMINATING SERVICE  I</v>
      </c>
    </row>
    <row r="3154" spans="1:9" x14ac:dyDescent="0.25">
      <c r="E3154" s="7"/>
      <c r="F3154" t="s">
        <v>20</v>
      </c>
      <c r="G3154" t="s">
        <v>21</v>
      </c>
      <c r="H3154" t="str">
        <f>"52440"</f>
        <v>52440</v>
      </c>
      <c r="I3154" t="str">
        <f>"LOPEZ EXTERMINATING SERVICE  I"</f>
        <v>LOPEZ EXTERMINATING SERVICE  I</v>
      </c>
    </row>
    <row r="3155" spans="1:9" x14ac:dyDescent="0.25">
      <c r="E3155" s="7"/>
      <c r="F3155" t="s">
        <v>20</v>
      </c>
      <c r="G3155" t="s">
        <v>21</v>
      </c>
      <c r="H3155" t="str">
        <f>"52476"</f>
        <v>52476</v>
      </c>
      <c r="I3155" t="str">
        <f>"LOPEZ EXTERMINATING SERVICE  I"</f>
        <v>LOPEZ EXTERMINATING SERVICE  I</v>
      </c>
    </row>
    <row r="3156" spans="1:9" x14ac:dyDescent="0.25">
      <c r="A3156" s="6">
        <v>43230</v>
      </c>
      <c r="B3156" t="s">
        <v>26</v>
      </c>
      <c r="C3156">
        <v>57530</v>
      </c>
      <c r="D3156" t="s">
        <v>368</v>
      </c>
      <c r="E3156" s="7">
        <v>16000</v>
      </c>
      <c r="F3156" t="s">
        <v>20</v>
      </c>
      <c r="G3156" t="s">
        <v>21</v>
      </c>
      <c r="H3156" t="str">
        <f>"1ST QUARTER"</f>
        <v>1ST QUARTER</v>
      </c>
      <c r="I3156" t="str">
        <f>"FLORESVILLE FIRE DEPARTMENT"</f>
        <v>FLORESVILLE FIRE DEPARTMENT</v>
      </c>
    </row>
    <row r="3157" spans="1:9" x14ac:dyDescent="0.25">
      <c r="A3157" s="6">
        <v>43230</v>
      </c>
      <c r="B3157" t="s">
        <v>26</v>
      </c>
      <c r="C3157">
        <v>57531</v>
      </c>
      <c r="D3157" t="s">
        <v>118</v>
      </c>
      <c r="E3157" s="7">
        <v>110</v>
      </c>
      <c r="F3157" t="s">
        <v>20</v>
      </c>
      <c r="G3157" t="s">
        <v>21</v>
      </c>
      <c r="H3157" t="str">
        <f>"10870"</f>
        <v>10870</v>
      </c>
      <c r="I3157" t="str">
        <f>"BRYAN AIR CONDITIONING &amp; HEATI"</f>
        <v>BRYAN AIR CONDITIONING &amp; HEATI</v>
      </c>
    </row>
    <row r="3158" spans="1:9" x14ac:dyDescent="0.25">
      <c r="A3158" s="6">
        <v>43230</v>
      </c>
      <c r="B3158" t="s">
        <v>26</v>
      </c>
      <c r="C3158">
        <v>57532</v>
      </c>
      <c r="D3158" t="s">
        <v>226</v>
      </c>
      <c r="E3158" s="7">
        <v>150</v>
      </c>
      <c r="F3158" t="s">
        <v>20</v>
      </c>
      <c r="G3158" t="s">
        <v>21</v>
      </c>
      <c r="H3158" t="str">
        <f>"5050"</f>
        <v>5050</v>
      </c>
      <c r="I3158" t="str">
        <f>"WIATREK'S SERVICES"</f>
        <v>WIATREK'S SERVICES</v>
      </c>
    </row>
    <row r="3159" spans="1:9" x14ac:dyDescent="0.25">
      <c r="A3159" s="6">
        <v>43230</v>
      </c>
      <c r="B3159" t="s">
        <v>26</v>
      </c>
      <c r="C3159">
        <v>57533</v>
      </c>
      <c r="D3159" t="s">
        <v>28</v>
      </c>
      <c r="E3159" s="7">
        <v>250</v>
      </c>
      <c r="F3159" t="s">
        <v>20</v>
      </c>
      <c r="G3159" t="s">
        <v>21</v>
      </c>
      <c r="H3159" t="str">
        <f>"2107"</f>
        <v>2107</v>
      </c>
      <c r="I3159" t="str">
        <f>"THE LAW OFFICES OF LOUIS T. RO"</f>
        <v>THE LAW OFFICES OF LOUIS T. RO</v>
      </c>
    </row>
    <row r="3160" spans="1:9" x14ac:dyDescent="0.25">
      <c r="A3160" s="6">
        <v>43230</v>
      </c>
      <c r="B3160" t="s">
        <v>26</v>
      </c>
      <c r="C3160">
        <v>57534</v>
      </c>
      <c r="D3160" t="s">
        <v>119</v>
      </c>
      <c r="E3160" s="7">
        <v>80</v>
      </c>
      <c r="F3160" t="s">
        <v>20</v>
      </c>
      <c r="G3160" t="s">
        <v>21</v>
      </c>
      <c r="H3160" t="str">
        <f>"38889"</f>
        <v>38889</v>
      </c>
      <c r="I3160" t="str">
        <f>"PRUSKI'S TIRE SHOP  L.L.C."</f>
        <v>PRUSKI'S TIRE SHOP  L.L.C.</v>
      </c>
    </row>
    <row r="3161" spans="1:9" x14ac:dyDescent="0.25">
      <c r="E3161" s="7"/>
      <c r="F3161" t="s">
        <v>20</v>
      </c>
      <c r="G3161" t="s">
        <v>21</v>
      </c>
      <c r="H3161" t="str">
        <f>"38995"</f>
        <v>38995</v>
      </c>
      <c r="I3161" t="str">
        <f>"PRUSKI'S TIRE SHOP  L.L.C."</f>
        <v>PRUSKI'S TIRE SHOP  L.L.C.</v>
      </c>
    </row>
    <row r="3162" spans="1:9" x14ac:dyDescent="0.25">
      <c r="A3162" s="6">
        <v>43230</v>
      </c>
      <c r="B3162" t="s">
        <v>26</v>
      </c>
      <c r="C3162">
        <v>57535</v>
      </c>
      <c r="D3162" t="s">
        <v>69</v>
      </c>
      <c r="E3162" s="7">
        <v>475</v>
      </c>
      <c r="F3162" t="s">
        <v>20</v>
      </c>
      <c r="G3162" t="s">
        <v>21</v>
      </c>
      <c r="H3162" t="str">
        <f>"3389103"</f>
        <v>3389103</v>
      </c>
      <c r="I3162" t="str">
        <f>"EWALD TRACTOR SUPPLY"</f>
        <v>EWALD TRACTOR SUPPLY</v>
      </c>
    </row>
    <row r="3163" spans="1:9" x14ac:dyDescent="0.25">
      <c r="A3163" s="6">
        <v>43230</v>
      </c>
      <c r="B3163" t="s">
        <v>26</v>
      </c>
      <c r="C3163">
        <v>57536</v>
      </c>
      <c r="D3163" t="s">
        <v>159</v>
      </c>
      <c r="E3163" s="7">
        <v>444.25</v>
      </c>
      <c r="F3163" t="s">
        <v>20</v>
      </c>
      <c r="G3163" t="s">
        <v>21</v>
      </c>
      <c r="H3163" t="str">
        <f>"37686"</f>
        <v>37686</v>
      </c>
      <c r="I3163" t="str">
        <f>"PHOTOGRAPHS BY JIM"</f>
        <v>PHOTOGRAPHS BY JIM</v>
      </c>
    </row>
    <row r="3164" spans="1:9" x14ac:dyDescent="0.25">
      <c r="A3164" s="6">
        <v>43230</v>
      </c>
      <c r="B3164" t="s">
        <v>26</v>
      </c>
      <c r="C3164">
        <v>57537</v>
      </c>
      <c r="D3164" t="s">
        <v>70</v>
      </c>
      <c r="E3164" s="7">
        <v>72.95</v>
      </c>
      <c r="F3164" t="s">
        <v>20</v>
      </c>
      <c r="G3164" t="s">
        <v>21</v>
      </c>
      <c r="H3164" t="str">
        <f>"A979174"</f>
        <v>A979174</v>
      </c>
      <c r="I3164" t="str">
        <f>"TEXAS WIRED MUSIC  INC."</f>
        <v>TEXAS WIRED MUSIC  INC.</v>
      </c>
    </row>
    <row r="3165" spans="1:9" x14ac:dyDescent="0.25">
      <c r="A3165" s="6">
        <v>43230</v>
      </c>
      <c r="B3165" t="s">
        <v>26</v>
      </c>
      <c r="C3165">
        <v>57538</v>
      </c>
      <c r="D3165" t="s">
        <v>146</v>
      </c>
      <c r="E3165" s="7">
        <v>857.5</v>
      </c>
      <c r="F3165" t="s">
        <v>20</v>
      </c>
      <c r="G3165" t="s">
        <v>21</v>
      </c>
      <c r="H3165" t="str">
        <f>"557021"</f>
        <v>557021</v>
      </c>
      <c r="I3165" t="str">
        <f t="shared" ref="I3165:I3170" si="58">"LARRY SRALLA ELECTRIC"</f>
        <v>LARRY SRALLA ELECTRIC</v>
      </c>
    </row>
    <row r="3166" spans="1:9" x14ac:dyDescent="0.25">
      <c r="E3166" s="7"/>
      <c r="F3166" t="s">
        <v>20</v>
      </c>
      <c r="G3166" t="s">
        <v>21</v>
      </c>
      <c r="H3166" t="str">
        <f>"557025"</f>
        <v>557025</v>
      </c>
      <c r="I3166" t="str">
        <f t="shared" si="58"/>
        <v>LARRY SRALLA ELECTRIC</v>
      </c>
    </row>
    <row r="3167" spans="1:9" x14ac:dyDescent="0.25">
      <c r="E3167" s="7"/>
      <c r="F3167" t="s">
        <v>20</v>
      </c>
      <c r="G3167" t="s">
        <v>21</v>
      </c>
      <c r="H3167" t="str">
        <f>"557031"</f>
        <v>557031</v>
      </c>
      <c r="I3167" t="str">
        <f t="shared" si="58"/>
        <v>LARRY SRALLA ELECTRIC</v>
      </c>
    </row>
    <row r="3168" spans="1:9" x14ac:dyDescent="0.25">
      <c r="E3168" s="7"/>
      <c r="F3168" t="s">
        <v>20</v>
      </c>
      <c r="G3168" t="s">
        <v>21</v>
      </c>
      <c r="H3168" t="str">
        <f>"557036"</f>
        <v>557036</v>
      </c>
      <c r="I3168" t="str">
        <f t="shared" si="58"/>
        <v>LARRY SRALLA ELECTRIC</v>
      </c>
    </row>
    <row r="3169" spans="1:9" x14ac:dyDescent="0.25">
      <c r="E3169" s="7"/>
      <c r="F3169" t="s">
        <v>20</v>
      </c>
      <c r="G3169" t="s">
        <v>21</v>
      </c>
      <c r="H3169" t="str">
        <f>"557042"</f>
        <v>557042</v>
      </c>
      <c r="I3169" t="str">
        <f t="shared" si="58"/>
        <v>LARRY SRALLA ELECTRIC</v>
      </c>
    </row>
    <row r="3170" spans="1:9" x14ac:dyDescent="0.25">
      <c r="E3170" s="7"/>
      <c r="F3170" t="s">
        <v>20</v>
      </c>
      <c r="G3170" t="s">
        <v>21</v>
      </c>
      <c r="H3170" t="str">
        <f>"557044"</f>
        <v>557044</v>
      </c>
      <c r="I3170" t="str">
        <f t="shared" si="58"/>
        <v>LARRY SRALLA ELECTRIC</v>
      </c>
    </row>
    <row r="3171" spans="1:9" x14ac:dyDescent="0.25">
      <c r="A3171" s="6">
        <v>43230</v>
      </c>
      <c r="B3171" t="s">
        <v>26</v>
      </c>
      <c r="C3171">
        <v>57539</v>
      </c>
      <c r="D3171" t="s">
        <v>71</v>
      </c>
      <c r="E3171" s="7">
        <v>798.28</v>
      </c>
      <c r="F3171" t="s">
        <v>20</v>
      </c>
      <c r="G3171" t="s">
        <v>21</v>
      </c>
      <c r="H3171" t="str">
        <f>"087103236"</f>
        <v>087103236</v>
      </c>
      <c r="I3171" t="str">
        <f>"CINTAS CORPORATION #087"</f>
        <v>CINTAS CORPORATION #087</v>
      </c>
    </row>
    <row r="3172" spans="1:9" x14ac:dyDescent="0.25">
      <c r="E3172" s="7"/>
      <c r="F3172" t="s">
        <v>20</v>
      </c>
      <c r="G3172" t="s">
        <v>21</v>
      </c>
      <c r="H3172" t="str">
        <f>"087104639"</f>
        <v>087104639</v>
      </c>
      <c r="I3172" t="str">
        <f>"CINTAS CORPORATION #087"</f>
        <v>CINTAS CORPORATION #087</v>
      </c>
    </row>
    <row r="3173" spans="1:9" x14ac:dyDescent="0.25">
      <c r="E3173" s="7"/>
      <c r="F3173" t="s">
        <v>20</v>
      </c>
      <c r="G3173" t="s">
        <v>21</v>
      </c>
      <c r="H3173" t="str">
        <f>"087120945"</f>
        <v>087120945</v>
      </c>
      <c r="I3173" t="str">
        <f>"CINTAS CORPORATION #087"</f>
        <v>CINTAS CORPORATION #087</v>
      </c>
    </row>
    <row r="3174" spans="1:9" x14ac:dyDescent="0.25">
      <c r="E3174" s="7"/>
      <c r="F3174" t="s">
        <v>20</v>
      </c>
      <c r="G3174" t="s">
        <v>21</v>
      </c>
      <c r="H3174" t="str">
        <f>"087833801"</f>
        <v>087833801</v>
      </c>
      <c r="I3174" t="str">
        <f>"CINTAS CORPORATION #087"</f>
        <v>CINTAS CORPORATION #087</v>
      </c>
    </row>
    <row r="3175" spans="1:9" x14ac:dyDescent="0.25">
      <c r="A3175" s="6">
        <v>43230</v>
      </c>
      <c r="B3175" t="s">
        <v>26</v>
      </c>
      <c r="C3175">
        <v>57541</v>
      </c>
      <c r="D3175" t="s">
        <v>122</v>
      </c>
      <c r="E3175" s="7">
        <v>75</v>
      </c>
      <c r="F3175" t="s">
        <v>20</v>
      </c>
      <c r="G3175" t="s">
        <v>21</v>
      </c>
      <c r="H3175" t="str">
        <f>"0776179"</f>
        <v>0776179</v>
      </c>
      <c r="I3175" t="str">
        <f>"VILLA TIRES"</f>
        <v>VILLA TIRES</v>
      </c>
    </row>
    <row r="3176" spans="1:9" x14ac:dyDescent="0.25">
      <c r="E3176" s="7"/>
      <c r="F3176" t="s">
        <v>20</v>
      </c>
      <c r="G3176" t="s">
        <v>21</v>
      </c>
      <c r="H3176" t="str">
        <f>"0776182"</f>
        <v>0776182</v>
      </c>
      <c r="I3176" t="str">
        <f>"VILLA TIRES"</f>
        <v>VILLA TIRES</v>
      </c>
    </row>
    <row r="3177" spans="1:9" x14ac:dyDescent="0.25">
      <c r="E3177" s="7"/>
      <c r="F3177" t="s">
        <v>20</v>
      </c>
      <c r="G3177" t="s">
        <v>21</v>
      </c>
      <c r="H3177" t="str">
        <f>"0776183"</f>
        <v>0776183</v>
      </c>
      <c r="I3177" t="str">
        <f>"VILLA TIRES"</f>
        <v>VILLA TIRES</v>
      </c>
    </row>
    <row r="3178" spans="1:9" x14ac:dyDescent="0.25">
      <c r="E3178" s="7"/>
      <c r="F3178" t="s">
        <v>20</v>
      </c>
      <c r="G3178" t="s">
        <v>21</v>
      </c>
      <c r="H3178" t="str">
        <f>"0776188"</f>
        <v>0776188</v>
      </c>
      <c r="I3178" t="str">
        <f>"VILLA TIRES"</f>
        <v>VILLA TIRES</v>
      </c>
    </row>
    <row r="3179" spans="1:9" x14ac:dyDescent="0.25">
      <c r="E3179" s="7"/>
      <c r="F3179" t="s">
        <v>20</v>
      </c>
      <c r="G3179" t="s">
        <v>21</v>
      </c>
      <c r="H3179" t="str">
        <f>"0776192"</f>
        <v>0776192</v>
      </c>
      <c r="I3179" t="str">
        <f>"VILLA TIRES"</f>
        <v>VILLA TIRES</v>
      </c>
    </row>
    <row r="3180" spans="1:9" x14ac:dyDescent="0.25">
      <c r="A3180" s="6">
        <v>43230</v>
      </c>
      <c r="B3180" t="s">
        <v>26</v>
      </c>
      <c r="C3180">
        <v>57542</v>
      </c>
      <c r="D3180" t="s">
        <v>394</v>
      </c>
      <c r="E3180" s="7">
        <v>2570</v>
      </c>
      <c r="F3180" t="s">
        <v>20</v>
      </c>
      <c r="G3180" t="s">
        <v>21</v>
      </c>
      <c r="H3180" t="str">
        <f>"10192"</f>
        <v>10192</v>
      </c>
      <c r="I3180" t="str">
        <f>"U.S. UNDERWATER SERVICES  LLC"</f>
        <v>U.S. UNDERWATER SERVICES  LLC</v>
      </c>
    </row>
    <row r="3181" spans="1:9" x14ac:dyDescent="0.25">
      <c r="A3181" s="6">
        <v>43230</v>
      </c>
      <c r="B3181" t="s">
        <v>26</v>
      </c>
      <c r="C3181">
        <v>57543</v>
      </c>
      <c r="D3181" t="s">
        <v>74</v>
      </c>
      <c r="E3181" s="7">
        <v>142.6</v>
      </c>
      <c r="F3181" t="s">
        <v>20</v>
      </c>
      <c r="G3181" t="s">
        <v>21</v>
      </c>
      <c r="H3181" t="str">
        <f>"9804944010"</f>
        <v>9804944010</v>
      </c>
      <c r="I3181" t="str">
        <f>"VERIZON WIRELESS"</f>
        <v>VERIZON WIRELESS</v>
      </c>
    </row>
    <row r="3182" spans="1:9" x14ac:dyDescent="0.25">
      <c r="E3182" s="7"/>
      <c r="F3182" t="s">
        <v>20</v>
      </c>
      <c r="G3182" t="s">
        <v>21</v>
      </c>
      <c r="H3182" t="str">
        <f>"9805987174"</f>
        <v>9805987174</v>
      </c>
      <c r="I3182" t="str">
        <f>"VERIZON WIRELESS"</f>
        <v>VERIZON WIRELESS</v>
      </c>
    </row>
    <row r="3183" spans="1:9" x14ac:dyDescent="0.25">
      <c r="A3183" s="6">
        <v>43230</v>
      </c>
      <c r="B3183" t="s">
        <v>26</v>
      </c>
      <c r="C3183">
        <v>57544</v>
      </c>
      <c r="D3183" t="s">
        <v>170</v>
      </c>
      <c r="E3183" s="7">
        <v>2308</v>
      </c>
      <c r="F3183" t="s">
        <v>20</v>
      </c>
      <c r="G3183" t="s">
        <v>21</v>
      </c>
      <c r="H3183" t="str">
        <f>"29298"</f>
        <v>29298</v>
      </c>
      <c r="I3183" t="str">
        <f>"BARRETT &amp; SONS  INC."</f>
        <v>BARRETT &amp; SONS  INC.</v>
      </c>
    </row>
    <row r="3184" spans="1:9" x14ac:dyDescent="0.25">
      <c r="A3184" s="6">
        <v>43230</v>
      </c>
      <c r="B3184" t="s">
        <v>26</v>
      </c>
      <c r="C3184">
        <v>57545</v>
      </c>
      <c r="D3184" t="s">
        <v>371</v>
      </c>
      <c r="E3184" s="7">
        <v>475</v>
      </c>
      <c r="F3184" t="s">
        <v>20</v>
      </c>
      <c r="G3184" t="s">
        <v>21</v>
      </c>
      <c r="H3184" t="str">
        <f>"6843"</f>
        <v>6843</v>
      </c>
      <c r="I3184" t="str">
        <f>"ELEGUN ELECTRIC MOTOR AND SERV"</f>
        <v>ELEGUN ELECTRIC MOTOR AND SERV</v>
      </c>
    </row>
    <row r="3185" spans="1:9" x14ac:dyDescent="0.25">
      <c r="A3185" s="6">
        <v>43230</v>
      </c>
      <c r="B3185" t="s">
        <v>26</v>
      </c>
      <c r="C3185">
        <v>57546</v>
      </c>
      <c r="D3185" t="s">
        <v>341</v>
      </c>
      <c r="E3185" s="7">
        <v>62.5</v>
      </c>
      <c r="F3185" t="s">
        <v>20</v>
      </c>
      <c r="G3185" t="s">
        <v>21</v>
      </c>
      <c r="H3185" t="str">
        <f>"4/20/2018"</f>
        <v>4/20/2018</v>
      </c>
      <c r="I3185" t="str">
        <f>"JUANITA MONTOYA"</f>
        <v>JUANITA MONTOYA</v>
      </c>
    </row>
    <row r="3186" spans="1:9" x14ac:dyDescent="0.25">
      <c r="A3186" s="6">
        <v>43230</v>
      </c>
      <c r="B3186" t="s">
        <v>26</v>
      </c>
      <c r="C3186">
        <v>57547</v>
      </c>
      <c r="D3186" t="s">
        <v>123</v>
      </c>
      <c r="E3186" s="7">
        <v>284.2</v>
      </c>
      <c r="F3186" t="s">
        <v>20</v>
      </c>
      <c r="G3186" t="s">
        <v>21</v>
      </c>
      <c r="H3186" t="str">
        <f>"130570148001"</f>
        <v>130570148001</v>
      </c>
      <c r="I3186" t="str">
        <f>"OFFICE DEPOT  INC."</f>
        <v>OFFICE DEPOT  INC.</v>
      </c>
    </row>
    <row r="3187" spans="1:9" x14ac:dyDescent="0.25">
      <c r="E3187" s="7"/>
      <c r="F3187" t="s">
        <v>20</v>
      </c>
      <c r="G3187" t="s">
        <v>21</v>
      </c>
      <c r="H3187" t="str">
        <f>"132298928001"</f>
        <v>132298928001</v>
      </c>
      <c r="I3187" t="str">
        <f>"OFFICE DEPOT  INC."</f>
        <v>OFFICE DEPOT  INC.</v>
      </c>
    </row>
    <row r="3188" spans="1:9" x14ac:dyDescent="0.25">
      <c r="A3188" s="6">
        <v>43230</v>
      </c>
      <c r="B3188" t="s">
        <v>26</v>
      </c>
      <c r="C3188">
        <v>57548</v>
      </c>
      <c r="D3188" t="s">
        <v>76</v>
      </c>
      <c r="E3188" s="7">
        <v>2393.2199999999998</v>
      </c>
      <c r="F3188" t="s">
        <v>20</v>
      </c>
      <c r="G3188" t="s">
        <v>21</v>
      </c>
      <c r="H3188" t="str">
        <f>"98"</f>
        <v>98</v>
      </c>
      <c r="I3188" t="str">
        <f>"WILSON COUNTY TAX COLLECTOR"</f>
        <v>WILSON COUNTY TAX COLLECTOR</v>
      </c>
    </row>
    <row r="3189" spans="1:9" x14ac:dyDescent="0.25">
      <c r="A3189" s="6">
        <v>43230</v>
      </c>
      <c r="B3189" t="s">
        <v>26</v>
      </c>
      <c r="C3189">
        <v>57549</v>
      </c>
      <c r="D3189" t="s">
        <v>77</v>
      </c>
      <c r="E3189" s="7">
        <v>1297.5999999999999</v>
      </c>
      <c r="F3189" t="s">
        <v>20</v>
      </c>
      <c r="G3189" t="s">
        <v>21</v>
      </c>
      <c r="H3189" t="str">
        <f>"857000584-18"</f>
        <v>857000584-18</v>
      </c>
      <c r="I3189" t="str">
        <f>"DPC INDUSTRIES  INC."</f>
        <v>DPC INDUSTRIES  INC.</v>
      </c>
    </row>
    <row r="3190" spans="1:9" x14ac:dyDescent="0.25">
      <c r="A3190" s="6">
        <v>43230</v>
      </c>
      <c r="B3190" t="s">
        <v>26</v>
      </c>
      <c r="C3190">
        <v>57550</v>
      </c>
      <c r="D3190" t="s">
        <v>125</v>
      </c>
      <c r="E3190" s="7">
        <v>14492.5</v>
      </c>
      <c r="F3190" t="s">
        <v>20</v>
      </c>
      <c r="G3190" t="s">
        <v>21</v>
      </c>
      <c r="H3190" t="str">
        <f>"18-0013"</f>
        <v>18-0013</v>
      </c>
      <c r="I3190" t="str">
        <f>"INTREPID SURVEYING CORPORATION"</f>
        <v>INTREPID SURVEYING CORPORATION</v>
      </c>
    </row>
    <row r="3191" spans="1:9" x14ac:dyDescent="0.25">
      <c r="E3191" s="7"/>
      <c r="F3191" t="s">
        <v>20</v>
      </c>
      <c r="G3191" t="s">
        <v>21</v>
      </c>
      <c r="H3191" t="str">
        <f>"18-0158"</f>
        <v>18-0158</v>
      </c>
      <c r="I3191" t="str">
        <f>"INTREPID SURVEYING CORPORATION"</f>
        <v>INTREPID SURVEYING CORPORATION</v>
      </c>
    </row>
    <row r="3192" spans="1:9" x14ac:dyDescent="0.25">
      <c r="E3192" s="7"/>
      <c r="F3192" t="s">
        <v>20</v>
      </c>
      <c r="G3192" t="s">
        <v>21</v>
      </c>
      <c r="H3192" t="str">
        <f>"18-0201"</f>
        <v>18-0201</v>
      </c>
      <c r="I3192" t="str">
        <f>"INTREPID SURVEYING CORPORATION"</f>
        <v>INTREPID SURVEYING CORPORATION</v>
      </c>
    </row>
    <row r="3193" spans="1:9" x14ac:dyDescent="0.25">
      <c r="E3193" s="7"/>
      <c r="F3193" t="s">
        <v>20</v>
      </c>
      <c r="G3193" t="s">
        <v>21</v>
      </c>
      <c r="H3193" t="str">
        <f>"18-0202"</f>
        <v>18-0202</v>
      </c>
      <c r="I3193" t="str">
        <f>"INTREPID SURVEYING CORPORATION"</f>
        <v>INTREPID SURVEYING CORPORATION</v>
      </c>
    </row>
    <row r="3194" spans="1:9" x14ac:dyDescent="0.25">
      <c r="A3194" s="6">
        <v>43230</v>
      </c>
      <c r="B3194" t="s">
        <v>26</v>
      </c>
      <c r="C3194">
        <v>57551</v>
      </c>
      <c r="D3194" t="s">
        <v>372</v>
      </c>
      <c r="E3194" s="7">
        <v>62.5</v>
      </c>
      <c r="F3194" t="s">
        <v>20</v>
      </c>
      <c r="G3194" t="s">
        <v>21</v>
      </c>
      <c r="H3194" t="str">
        <f>"4/20/18"</f>
        <v>4/20/18</v>
      </c>
      <c r="I3194" t="str">
        <f>"MICHELLE DOLBERRY"</f>
        <v>MICHELLE DOLBERRY</v>
      </c>
    </row>
    <row r="3195" spans="1:9" x14ac:dyDescent="0.25">
      <c r="A3195" s="6">
        <v>43230</v>
      </c>
      <c r="B3195" t="s">
        <v>26</v>
      </c>
      <c r="C3195">
        <v>57552</v>
      </c>
      <c r="D3195" t="s">
        <v>147</v>
      </c>
      <c r="E3195" s="7">
        <v>78.150000000000006</v>
      </c>
      <c r="F3195" t="s">
        <v>20</v>
      </c>
      <c r="G3195" t="s">
        <v>21</v>
      </c>
      <c r="H3195" t="str">
        <f>"690"</f>
        <v>690</v>
      </c>
      <c r="I3195" t="str">
        <f>"SRALLA ELECTRIC"</f>
        <v>SRALLA ELECTRIC</v>
      </c>
    </row>
    <row r="3196" spans="1:9" x14ac:dyDescent="0.25">
      <c r="A3196" s="6">
        <v>43230</v>
      </c>
      <c r="B3196" t="s">
        <v>26</v>
      </c>
      <c r="C3196">
        <v>57553</v>
      </c>
      <c r="D3196" t="s">
        <v>79</v>
      </c>
      <c r="E3196" s="7">
        <v>110.67</v>
      </c>
      <c r="F3196" t="s">
        <v>20</v>
      </c>
      <c r="G3196" t="s">
        <v>21</v>
      </c>
      <c r="H3196" t="str">
        <f>"6-163-57972"</f>
        <v>6-163-57972</v>
      </c>
      <c r="I3196" t="str">
        <f>"FEDEX"</f>
        <v>FEDEX</v>
      </c>
    </row>
    <row r="3197" spans="1:9" x14ac:dyDescent="0.25">
      <c r="E3197" s="7"/>
      <c r="F3197" t="s">
        <v>20</v>
      </c>
      <c r="G3197" t="s">
        <v>21</v>
      </c>
      <c r="H3197" t="str">
        <f>"6-170-02578"</f>
        <v>6-170-02578</v>
      </c>
      <c r="I3197" t="str">
        <f>"FEDEX"</f>
        <v>FEDEX</v>
      </c>
    </row>
    <row r="3198" spans="1:9" x14ac:dyDescent="0.25">
      <c r="A3198" s="6">
        <v>43230</v>
      </c>
      <c r="B3198" t="s">
        <v>26</v>
      </c>
      <c r="C3198">
        <v>57554</v>
      </c>
      <c r="D3198" t="s">
        <v>80</v>
      </c>
      <c r="E3198" s="7">
        <v>1776.91</v>
      </c>
      <c r="F3198" t="s">
        <v>20</v>
      </c>
      <c r="G3198" t="s">
        <v>21</v>
      </c>
      <c r="H3198" t="str">
        <f>"1648-20180501-1"</f>
        <v>1648-20180501-1</v>
      </c>
      <c r="I3198" t="str">
        <f>"LVWIFI.COM"</f>
        <v>LVWIFI.COM</v>
      </c>
    </row>
    <row r="3199" spans="1:9" x14ac:dyDescent="0.25">
      <c r="E3199" s="7"/>
      <c r="F3199" t="s">
        <v>20</v>
      </c>
      <c r="G3199" t="s">
        <v>21</v>
      </c>
      <c r="H3199" t="str">
        <f>"2313-20180501-1"</f>
        <v>2313-20180501-1</v>
      </c>
      <c r="I3199" t="str">
        <f>"LVWIFI.COM"</f>
        <v>LVWIFI.COM</v>
      </c>
    </row>
    <row r="3200" spans="1:9" x14ac:dyDescent="0.25">
      <c r="E3200" s="7"/>
      <c r="F3200" t="s">
        <v>20</v>
      </c>
      <c r="G3200" t="s">
        <v>21</v>
      </c>
      <c r="H3200" t="str">
        <f>"2314-20180501-1"</f>
        <v>2314-20180501-1</v>
      </c>
      <c r="I3200" t="str">
        <f>"LVWIFI.COM"</f>
        <v>LVWIFI.COM</v>
      </c>
    </row>
    <row r="3201" spans="1:9" x14ac:dyDescent="0.25">
      <c r="E3201" s="7"/>
      <c r="F3201" t="s">
        <v>20</v>
      </c>
      <c r="G3201" t="s">
        <v>21</v>
      </c>
      <c r="H3201" t="str">
        <f>"2478-20180501-1"</f>
        <v>2478-20180501-1</v>
      </c>
      <c r="I3201" t="str">
        <f>"LVWIFI.COM"</f>
        <v>LVWIFI.COM</v>
      </c>
    </row>
    <row r="3202" spans="1:9" x14ac:dyDescent="0.25">
      <c r="A3202" s="6">
        <v>43230</v>
      </c>
      <c r="B3202" t="s">
        <v>26</v>
      </c>
      <c r="C3202">
        <v>57555</v>
      </c>
      <c r="D3202" t="s">
        <v>139</v>
      </c>
      <c r="E3202" s="7">
        <v>65</v>
      </c>
      <c r="F3202" t="s">
        <v>20</v>
      </c>
      <c r="G3202" t="s">
        <v>21</v>
      </c>
      <c r="H3202" t="str">
        <f>"23716"</f>
        <v>23716</v>
      </c>
      <c r="I3202" t="str">
        <f>"ANGEL FIRE &amp; SAFETY"</f>
        <v>ANGEL FIRE &amp; SAFETY</v>
      </c>
    </row>
    <row r="3203" spans="1:9" x14ac:dyDescent="0.25">
      <c r="A3203" s="6">
        <v>43230</v>
      </c>
      <c r="B3203" t="s">
        <v>26</v>
      </c>
      <c r="C3203">
        <v>57556</v>
      </c>
      <c r="D3203" t="s">
        <v>387</v>
      </c>
      <c r="E3203" s="7">
        <v>1455.55</v>
      </c>
      <c r="F3203" t="s">
        <v>20</v>
      </c>
      <c r="G3203" t="s">
        <v>21</v>
      </c>
      <c r="H3203" t="str">
        <f>"F02769-SA"</f>
        <v>F02769-SA</v>
      </c>
      <c r="I3203" t="str">
        <f>"BARCO PUMP"</f>
        <v>BARCO PUMP</v>
      </c>
    </row>
    <row r="3204" spans="1:9" x14ac:dyDescent="0.25">
      <c r="A3204" s="6">
        <v>43230</v>
      </c>
      <c r="B3204" t="s">
        <v>26</v>
      </c>
      <c r="C3204">
        <v>57557</v>
      </c>
      <c r="D3204" t="s">
        <v>395</v>
      </c>
      <c r="E3204" s="7">
        <v>322.13</v>
      </c>
      <c r="F3204" t="s">
        <v>20</v>
      </c>
      <c r="G3204" t="s">
        <v>21</v>
      </c>
      <c r="H3204" t="str">
        <f>"97151266"</f>
        <v>97151266</v>
      </c>
      <c r="I3204" t="str">
        <f>"ULINE"</f>
        <v>ULINE</v>
      </c>
    </row>
    <row r="3205" spans="1:9" x14ac:dyDescent="0.25">
      <c r="A3205" s="6">
        <v>43230</v>
      </c>
      <c r="B3205" t="s">
        <v>26</v>
      </c>
      <c r="C3205">
        <v>57558</v>
      </c>
      <c r="D3205" t="s">
        <v>31</v>
      </c>
      <c r="E3205" s="7">
        <v>2000</v>
      </c>
      <c r="F3205" t="s">
        <v>20</v>
      </c>
      <c r="G3205" t="s">
        <v>21</v>
      </c>
      <c r="H3205" t="str">
        <f>"2018191"</f>
        <v>2018191</v>
      </c>
      <c r="I3205" t="str">
        <f>"THE LAW OFFICE OF TOM CALDWELL"</f>
        <v>THE LAW OFFICE OF TOM CALDWELL</v>
      </c>
    </row>
    <row r="3206" spans="1:9" x14ac:dyDescent="0.25">
      <c r="A3206" s="6">
        <v>43230</v>
      </c>
      <c r="B3206" t="s">
        <v>26</v>
      </c>
      <c r="C3206">
        <v>57559</v>
      </c>
      <c r="D3206" t="s">
        <v>369</v>
      </c>
      <c r="E3206" s="7">
        <v>1500</v>
      </c>
      <c r="F3206" t="s">
        <v>20</v>
      </c>
      <c r="G3206" t="s">
        <v>21</v>
      </c>
      <c r="H3206" t="str">
        <f>"00307854"</f>
        <v>00307854</v>
      </c>
      <c r="I3206" t="str">
        <f>"MUNICODE"</f>
        <v>MUNICODE</v>
      </c>
    </row>
    <row r="3207" spans="1:9" x14ac:dyDescent="0.25">
      <c r="A3207" s="6">
        <v>43230</v>
      </c>
      <c r="B3207" t="s">
        <v>26</v>
      </c>
      <c r="C3207">
        <v>57560</v>
      </c>
      <c r="D3207" t="s">
        <v>32</v>
      </c>
      <c r="E3207" s="7">
        <v>62.5</v>
      </c>
      <c r="F3207" t="s">
        <v>20</v>
      </c>
      <c r="G3207" t="s">
        <v>21</v>
      </c>
      <c r="H3207" t="str">
        <f>"4/20/18"</f>
        <v>4/20/18</v>
      </c>
      <c r="I3207" t="str">
        <f>"SHARON KERRIGAN"</f>
        <v>SHARON KERRIGAN</v>
      </c>
    </row>
    <row r="3208" spans="1:9" x14ac:dyDescent="0.25">
      <c r="A3208" s="6">
        <v>43230</v>
      </c>
      <c r="B3208" t="s">
        <v>26</v>
      </c>
      <c r="C3208">
        <v>57561</v>
      </c>
      <c r="D3208" t="s">
        <v>33</v>
      </c>
      <c r="E3208" s="7">
        <v>62.5</v>
      </c>
      <c r="F3208" t="s">
        <v>20</v>
      </c>
      <c r="G3208" t="s">
        <v>21</v>
      </c>
      <c r="H3208" t="str">
        <f>"4/20/2018"</f>
        <v>4/20/2018</v>
      </c>
      <c r="I3208" t="str">
        <f>"DEBORAH KORCZYK"</f>
        <v>DEBORAH KORCZYK</v>
      </c>
    </row>
    <row r="3209" spans="1:9" x14ac:dyDescent="0.25">
      <c r="A3209" s="6">
        <v>43230</v>
      </c>
      <c r="B3209" t="s">
        <v>26</v>
      </c>
      <c r="C3209">
        <v>57562</v>
      </c>
      <c r="D3209" t="s">
        <v>192</v>
      </c>
      <c r="E3209" s="7">
        <v>2409.62</v>
      </c>
      <c r="F3209" t="s">
        <v>20</v>
      </c>
      <c r="G3209" t="s">
        <v>21</v>
      </c>
      <c r="H3209" t="str">
        <f>"58886820"</f>
        <v>58886820</v>
      </c>
      <c r="I3209" t="str">
        <f>"DE LAGE LANDEN PUBLIC FINANCE"</f>
        <v>DE LAGE LANDEN PUBLIC FINANCE</v>
      </c>
    </row>
    <row r="3210" spans="1:9" x14ac:dyDescent="0.25">
      <c r="E3210" s="7"/>
      <c r="F3210" t="s">
        <v>20</v>
      </c>
      <c r="G3210" t="s">
        <v>21</v>
      </c>
      <c r="H3210" t="str">
        <f>"58886824"</f>
        <v>58886824</v>
      </c>
      <c r="I3210" t="str">
        <f>"DE LAGE LANDEN PUBLIC FINANCE"</f>
        <v>DE LAGE LANDEN PUBLIC FINANCE</v>
      </c>
    </row>
    <row r="3211" spans="1:9" x14ac:dyDescent="0.25">
      <c r="E3211" s="7"/>
      <c r="F3211" t="s">
        <v>20</v>
      </c>
      <c r="G3211" t="s">
        <v>21</v>
      </c>
      <c r="H3211" t="str">
        <f>"58886834"</f>
        <v>58886834</v>
      </c>
      <c r="I3211" t="str">
        <f>"DE LAGE LANDEN PUBLIC FINANCE"</f>
        <v>DE LAGE LANDEN PUBLIC FINANCE</v>
      </c>
    </row>
    <row r="3212" spans="1:9" x14ac:dyDescent="0.25">
      <c r="A3212" s="6">
        <v>43230</v>
      </c>
      <c r="B3212" t="s">
        <v>26</v>
      </c>
      <c r="C3212">
        <v>57564</v>
      </c>
      <c r="D3212" t="s">
        <v>130</v>
      </c>
      <c r="E3212" s="7">
        <v>1050.08</v>
      </c>
      <c r="F3212" t="s">
        <v>20</v>
      </c>
      <c r="G3212" t="s">
        <v>21</v>
      </c>
      <c r="H3212" t="str">
        <f>"INV559070"</f>
        <v>INV559070</v>
      </c>
      <c r="I3212" t="str">
        <f>"DOCUMATION"</f>
        <v>DOCUMATION</v>
      </c>
    </row>
    <row r="3213" spans="1:9" x14ac:dyDescent="0.25">
      <c r="A3213" s="6">
        <v>43230</v>
      </c>
      <c r="B3213" t="s">
        <v>26</v>
      </c>
      <c r="C3213">
        <v>57565</v>
      </c>
      <c r="D3213" t="s">
        <v>131</v>
      </c>
      <c r="E3213" s="7">
        <v>18.36</v>
      </c>
      <c r="F3213" t="s">
        <v>20</v>
      </c>
      <c r="G3213" t="s">
        <v>21</v>
      </c>
      <c r="H3213" t="str">
        <f>"028809"</f>
        <v>028809</v>
      </c>
      <c r="I3213" t="str">
        <f>"R &amp; S TEXAS PARTS CO"</f>
        <v>R &amp; S TEXAS PARTS CO</v>
      </c>
    </row>
    <row r="3214" spans="1:9" x14ac:dyDescent="0.25">
      <c r="E3214" s="7"/>
      <c r="F3214" t="s">
        <v>20</v>
      </c>
      <c r="G3214" t="s">
        <v>21</v>
      </c>
      <c r="H3214" t="str">
        <f>"028873"</f>
        <v>028873</v>
      </c>
      <c r="I3214" t="str">
        <f>"R &amp; S TEXAS PARTS CO"</f>
        <v>R &amp; S TEXAS PARTS CO</v>
      </c>
    </row>
    <row r="3215" spans="1:9" x14ac:dyDescent="0.25">
      <c r="A3215" s="6">
        <v>43230</v>
      </c>
      <c r="B3215" t="s">
        <v>26</v>
      </c>
      <c r="C3215">
        <v>57566</v>
      </c>
      <c r="D3215" t="s">
        <v>82</v>
      </c>
      <c r="E3215" s="7">
        <v>823.4</v>
      </c>
      <c r="F3215" t="s">
        <v>20</v>
      </c>
      <c r="G3215" t="s">
        <v>21</v>
      </c>
      <c r="H3215" t="str">
        <f>"SI-1022860"</f>
        <v>SI-1022860</v>
      </c>
      <c r="I3215" t="str">
        <f>"BASS COMPUTER  INC."</f>
        <v>BASS COMPUTER  INC.</v>
      </c>
    </row>
    <row r="3216" spans="1:9" x14ac:dyDescent="0.25">
      <c r="E3216" s="7"/>
      <c r="F3216" t="s">
        <v>20</v>
      </c>
      <c r="G3216" t="s">
        <v>21</v>
      </c>
      <c r="H3216" t="str">
        <f>"SI-1022978"</f>
        <v>SI-1022978</v>
      </c>
      <c r="I3216" t="str">
        <f>"BASS COMPUTER  INC."</f>
        <v>BASS COMPUTER  INC.</v>
      </c>
    </row>
    <row r="3217" spans="1:9" x14ac:dyDescent="0.25">
      <c r="A3217" s="6">
        <v>43230</v>
      </c>
      <c r="B3217" t="s">
        <v>26</v>
      </c>
      <c r="C3217">
        <v>57567</v>
      </c>
      <c r="D3217" t="s">
        <v>85</v>
      </c>
      <c r="E3217" s="7">
        <v>640.19000000000005</v>
      </c>
      <c r="F3217" t="s">
        <v>20</v>
      </c>
      <c r="G3217" t="s">
        <v>21</v>
      </c>
      <c r="H3217" t="str">
        <f>"201805098365"</f>
        <v>201805098365</v>
      </c>
      <c r="I3217" t="str">
        <f>"FRONTIER"</f>
        <v>FRONTIER</v>
      </c>
    </row>
    <row r="3218" spans="1:9" x14ac:dyDescent="0.25">
      <c r="E3218" s="7"/>
      <c r="F3218" t="s">
        <v>20</v>
      </c>
      <c r="G3218" t="s">
        <v>21</v>
      </c>
      <c r="H3218" t="str">
        <f>"201805098366"</f>
        <v>201805098366</v>
      </c>
      <c r="I3218" t="str">
        <f>"FRONTIER"</f>
        <v>FRONTIER</v>
      </c>
    </row>
    <row r="3219" spans="1:9" x14ac:dyDescent="0.25">
      <c r="E3219" s="7"/>
      <c r="F3219" t="s">
        <v>20</v>
      </c>
      <c r="G3219" t="s">
        <v>21</v>
      </c>
      <c r="H3219" t="str">
        <f>"201805098367"</f>
        <v>201805098367</v>
      </c>
      <c r="I3219" t="str">
        <f>"FRONTIER"</f>
        <v>FRONTIER</v>
      </c>
    </row>
    <row r="3220" spans="1:9" x14ac:dyDescent="0.25">
      <c r="E3220" s="7"/>
      <c r="F3220" t="s">
        <v>20</v>
      </c>
      <c r="G3220" t="s">
        <v>21</v>
      </c>
      <c r="H3220" t="str">
        <f>"201805098370"</f>
        <v>201805098370</v>
      </c>
      <c r="I3220" t="str">
        <f>"FRONTIER"</f>
        <v>FRONTIER</v>
      </c>
    </row>
    <row r="3221" spans="1:9" x14ac:dyDescent="0.25">
      <c r="E3221" s="7"/>
      <c r="F3221" t="s">
        <v>20</v>
      </c>
      <c r="G3221" t="s">
        <v>21</v>
      </c>
      <c r="H3221" t="str">
        <f>"201805098371"</f>
        <v>201805098371</v>
      </c>
      <c r="I3221" t="str">
        <f>"FRONTIER"</f>
        <v>FRONTIER</v>
      </c>
    </row>
    <row r="3222" spans="1:9" x14ac:dyDescent="0.25">
      <c r="A3222" s="6">
        <v>43230</v>
      </c>
      <c r="B3222" t="s">
        <v>26</v>
      </c>
      <c r="C3222">
        <v>57568</v>
      </c>
      <c r="D3222" t="s">
        <v>275</v>
      </c>
      <c r="E3222" s="7">
        <v>1035</v>
      </c>
      <c r="F3222" t="s">
        <v>20</v>
      </c>
      <c r="G3222" t="s">
        <v>21</v>
      </c>
      <c r="H3222" t="str">
        <f>"36883"</f>
        <v>36883</v>
      </c>
      <c r="I3222" t="str">
        <f>"CORTEZ LIQUID WASTE SERVICES"</f>
        <v>CORTEZ LIQUID WASTE SERVICES</v>
      </c>
    </row>
    <row r="3223" spans="1:9" x14ac:dyDescent="0.25">
      <c r="A3223" s="6">
        <v>43230</v>
      </c>
      <c r="B3223" t="s">
        <v>26</v>
      </c>
      <c r="C3223">
        <v>57569</v>
      </c>
      <c r="D3223" t="s">
        <v>396</v>
      </c>
      <c r="E3223" s="7">
        <v>4196</v>
      </c>
      <c r="F3223" t="s">
        <v>20</v>
      </c>
      <c r="G3223" t="s">
        <v>21</v>
      </c>
      <c r="H3223" t="str">
        <f>"1445"</f>
        <v>1445</v>
      </c>
      <c r="I3223" t="str">
        <f>"B &amp; S CONTRACTING SERVICES LLC"</f>
        <v>B &amp; S CONTRACTING SERVICES LLC</v>
      </c>
    </row>
    <row r="3224" spans="1:9" x14ac:dyDescent="0.25">
      <c r="A3224" s="6">
        <v>43230</v>
      </c>
      <c r="B3224" t="s">
        <v>26</v>
      </c>
      <c r="C3224">
        <v>57570</v>
      </c>
      <c r="D3224" t="s">
        <v>132</v>
      </c>
      <c r="E3224" s="7">
        <v>174.36</v>
      </c>
      <c r="F3224" t="s">
        <v>20</v>
      </c>
      <c r="G3224" t="s">
        <v>21</v>
      </c>
      <c r="H3224" t="str">
        <f>"16992887042618"</f>
        <v>16992887042618</v>
      </c>
      <c r="I3224" t="str">
        <f>"SPARKLETTS &amp; SIERRA SPRINGS"</f>
        <v>SPARKLETTS &amp; SIERRA SPRINGS</v>
      </c>
    </row>
    <row r="3225" spans="1:9" x14ac:dyDescent="0.25">
      <c r="A3225" s="6">
        <v>43230</v>
      </c>
      <c r="B3225" t="s">
        <v>26</v>
      </c>
      <c r="C3225">
        <v>57571</v>
      </c>
      <c r="D3225" t="s">
        <v>326</v>
      </c>
      <c r="E3225" s="7">
        <v>23</v>
      </c>
      <c r="F3225" t="s">
        <v>20</v>
      </c>
      <c r="G3225" t="s">
        <v>21</v>
      </c>
      <c r="H3225" t="str">
        <f>"17500801"</f>
        <v>17500801</v>
      </c>
      <c r="I3225" t="str">
        <f>"MATHESON TRI-GAS INC"</f>
        <v>MATHESON TRI-GAS INC</v>
      </c>
    </row>
    <row r="3226" spans="1:9" x14ac:dyDescent="0.25">
      <c r="A3226" s="6">
        <v>43230</v>
      </c>
      <c r="B3226" t="s">
        <v>26</v>
      </c>
      <c r="C3226">
        <v>57572</v>
      </c>
      <c r="D3226" t="s">
        <v>237</v>
      </c>
      <c r="E3226" s="7">
        <v>18999</v>
      </c>
      <c r="F3226" t="s">
        <v>20</v>
      </c>
      <c r="G3226" t="s">
        <v>21</v>
      </c>
      <c r="H3226" t="str">
        <f>"156779416-001"</f>
        <v>156779416-001</v>
      </c>
      <c r="I3226" t="str">
        <f>"UNITED RENTALS (NORTH AMERICA)"</f>
        <v>UNITED RENTALS (NORTH AMERICA)</v>
      </c>
    </row>
    <row r="3227" spans="1:9" x14ac:dyDescent="0.25">
      <c r="A3227" s="6">
        <v>43230</v>
      </c>
      <c r="B3227" t="s">
        <v>26</v>
      </c>
      <c r="C3227">
        <v>57573</v>
      </c>
      <c r="D3227" t="s">
        <v>397</v>
      </c>
      <c r="E3227" s="7">
        <v>365.7</v>
      </c>
      <c r="F3227" t="s">
        <v>20</v>
      </c>
      <c r="G3227" t="s">
        <v>21</v>
      </c>
      <c r="H3227" t="str">
        <f>"1034"</f>
        <v>1034</v>
      </c>
      <c r="I3227" t="str">
        <f>"ROGUE DESIGNS"</f>
        <v>ROGUE DESIGNS</v>
      </c>
    </row>
    <row r="3228" spans="1:9" x14ac:dyDescent="0.25">
      <c r="A3228" s="6">
        <v>43230</v>
      </c>
      <c r="B3228" t="s">
        <v>26</v>
      </c>
      <c r="C3228">
        <v>57574</v>
      </c>
      <c r="D3228" t="s">
        <v>328</v>
      </c>
      <c r="E3228" s="7">
        <v>14351.4</v>
      </c>
      <c r="F3228" t="s">
        <v>20</v>
      </c>
      <c r="G3228" t="s">
        <v>21</v>
      </c>
      <c r="H3228" t="str">
        <f>"7016173"</f>
        <v>7016173</v>
      </c>
      <c r="I3228" t="str">
        <f>"KOLOGIK"</f>
        <v>KOLOGIK</v>
      </c>
    </row>
    <row r="3229" spans="1:9" x14ac:dyDescent="0.25">
      <c r="A3229" s="6">
        <v>43230</v>
      </c>
      <c r="B3229" t="s">
        <v>26</v>
      </c>
      <c r="C3229">
        <v>57575</v>
      </c>
      <c r="D3229" t="s">
        <v>398</v>
      </c>
      <c r="E3229" s="7">
        <v>9590.0499999999993</v>
      </c>
      <c r="F3229" t="s">
        <v>20</v>
      </c>
      <c r="G3229" t="s">
        <v>21</v>
      </c>
      <c r="H3229" t="str">
        <f>"570A"</f>
        <v>570A</v>
      </c>
      <c r="I3229" t="str">
        <f>"INTERCEPTOR TECHNOLOGY GROUP L"</f>
        <v>INTERCEPTOR TECHNOLOGY GROUP L</v>
      </c>
    </row>
    <row r="3230" spans="1:9" x14ac:dyDescent="0.25">
      <c r="A3230" s="6">
        <v>43230</v>
      </c>
      <c r="B3230" t="s">
        <v>26</v>
      </c>
      <c r="C3230">
        <v>57576</v>
      </c>
      <c r="D3230" t="s">
        <v>182</v>
      </c>
      <c r="E3230" s="7">
        <v>40</v>
      </c>
      <c r="F3230" t="s">
        <v>20</v>
      </c>
      <c r="G3230" t="s">
        <v>21</v>
      </c>
      <c r="H3230" t="str">
        <f>"TRAINING REF"</f>
        <v>TRAINING REF</v>
      </c>
      <c r="I3230" t="str">
        <f>"DAVID INOUYE"</f>
        <v>DAVID INOUYE</v>
      </c>
    </row>
    <row r="3231" spans="1:9" x14ac:dyDescent="0.25">
      <c r="A3231" s="6">
        <v>43235</v>
      </c>
      <c r="B3231" t="s">
        <v>26</v>
      </c>
      <c r="C3231">
        <v>57577</v>
      </c>
      <c r="D3231" t="s">
        <v>90</v>
      </c>
      <c r="E3231" s="7">
        <v>2118.48</v>
      </c>
      <c r="F3231" t="s">
        <v>20</v>
      </c>
      <c r="G3231" t="s">
        <v>24</v>
      </c>
      <c r="H3231" t="str">
        <f>"103501"</f>
        <v>103501</v>
      </c>
      <c r="I3231" t="str">
        <f>"AFLAC"</f>
        <v>AFLAC</v>
      </c>
    </row>
    <row r="3232" spans="1:9" x14ac:dyDescent="0.25">
      <c r="E3232" s="7"/>
      <c r="F3232" t="s">
        <v>20</v>
      </c>
      <c r="G3232" t="s">
        <v>21</v>
      </c>
      <c r="H3232" t="str">
        <f>"ACA201804118341"</f>
        <v>ACA201804118341</v>
      </c>
      <c r="I3232" t="str">
        <f t="shared" ref="I3232:I3237" si="59">"AFLAC INSURANCE"</f>
        <v>AFLAC INSURANCE</v>
      </c>
    </row>
    <row r="3233" spans="5:9" x14ac:dyDescent="0.25">
      <c r="E3233" s="7"/>
      <c r="F3233" t="s">
        <v>20</v>
      </c>
      <c r="G3233" t="s">
        <v>21</v>
      </c>
      <c r="H3233" t="str">
        <f>"ACA201804258355"</f>
        <v>ACA201804258355</v>
      </c>
      <c r="I3233" t="str">
        <f t="shared" si="59"/>
        <v>AFLAC INSURANCE</v>
      </c>
    </row>
    <row r="3234" spans="5:9" x14ac:dyDescent="0.25">
      <c r="E3234" s="7"/>
      <c r="F3234" t="s">
        <v>20</v>
      </c>
      <c r="G3234" t="s">
        <v>21</v>
      </c>
      <c r="H3234" t="str">
        <f>"ACA201805098364"</f>
        <v>ACA201805098364</v>
      </c>
      <c r="I3234" t="str">
        <f t="shared" si="59"/>
        <v>AFLAC INSURANCE</v>
      </c>
    </row>
    <row r="3235" spans="5:9" x14ac:dyDescent="0.25">
      <c r="E3235" s="7"/>
      <c r="F3235" t="s">
        <v>20</v>
      </c>
      <c r="G3235" t="s">
        <v>21</v>
      </c>
      <c r="H3235" t="str">
        <f>"AD2201804118341"</f>
        <v>AD2201804118341</v>
      </c>
      <c r="I3235" t="str">
        <f t="shared" si="59"/>
        <v>AFLAC INSURANCE</v>
      </c>
    </row>
    <row r="3236" spans="5:9" x14ac:dyDescent="0.25">
      <c r="E3236" s="7"/>
      <c r="F3236" t="s">
        <v>20</v>
      </c>
      <c r="G3236" t="s">
        <v>21</v>
      </c>
      <c r="H3236" t="str">
        <f>"AD2201804258355"</f>
        <v>AD2201804258355</v>
      </c>
      <c r="I3236" t="str">
        <f t="shared" si="59"/>
        <v>AFLAC INSURANCE</v>
      </c>
    </row>
    <row r="3237" spans="5:9" x14ac:dyDescent="0.25">
      <c r="E3237" s="7"/>
      <c r="F3237" t="s">
        <v>20</v>
      </c>
      <c r="G3237" t="s">
        <v>21</v>
      </c>
      <c r="H3237" t="str">
        <f>"AD2201805098364"</f>
        <v>AD2201805098364</v>
      </c>
      <c r="I3237" t="str">
        <f t="shared" si="59"/>
        <v>AFLAC INSURANCE</v>
      </c>
    </row>
    <row r="3238" spans="5:9" x14ac:dyDescent="0.25">
      <c r="E3238" s="7"/>
      <c r="F3238" t="s">
        <v>20</v>
      </c>
      <c r="G3238" t="s">
        <v>21</v>
      </c>
      <c r="H3238" t="str">
        <f>"ADR201804118341"</f>
        <v>ADR201804118341</v>
      </c>
      <c r="I3238" t="str">
        <f>"INSURANCE"</f>
        <v>INSURANCE</v>
      </c>
    </row>
    <row r="3239" spans="5:9" x14ac:dyDescent="0.25">
      <c r="E3239" s="7"/>
      <c r="F3239" t="s">
        <v>20</v>
      </c>
      <c r="G3239" t="s">
        <v>21</v>
      </c>
      <c r="H3239" t="str">
        <f>"ADR201804258355"</f>
        <v>ADR201804258355</v>
      </c>
      <c r="I3239" t="str">
        <f>"INSURANCE"</f>
        <v>INSURANCE</v>
      </c>
    </row>
    <row r="3240" spans="5:9" x14ac:dyDescent="0.25">
      <c r="E3240" s="7"/>
      <c r="F3240" t="s">
        <v>20</v>
      </c>
      <c r="G3240" t="s">
        <v>21</v>
      </c>
      <c r="H3240" t="str">
        <f>"ADR201805098364"</f>
        <v>ADR201805098364</v>
      </c>
      <c r="I3240" t="str">
        <f>"INSURANCE"</f>
        <v>INSURANCE</v>
      </c>
    </row>
    <row r="3241" spans="5:9" x14ac:dyDescent="0.25">
      <c r="E3241" s="7"/>
      <c r="F3241" t="s">
        <v>20</v>
      </c>
      <c r="G3241" t="s">
        <v>21</v>
      </c>
      <c r="H3241" t="str">
        <f>"AF1201804118341"</f>
        <v>AF1201804118341</v>
      </c>
      <c r="I3241" t="str">
        <f t="shared" ref="I3241:I3251" si="60">"AFLAC INSURANCE"</f>
        <v>AFLAC INSURANCE</v>
      </c>
    </row>
    <row r="3242" spans="5:9" x14ac:dyDescent="0.25">
      <c r="E3242" s="7"/>
      <c r="F3242" t="s">
        <v>20</v>
      </c>
      <c r="G3242" t="s">
        <v>21</v>
      </c>
      <c r="H3242" t="str">
        <f>"AF1201804198354"</f>
        <v>AF1201804198354</v>
      </c>
      <c r="I3242" t="str">
        <f t="shared" si="60"/>
        <v>AFLAC INSURANCE</v>
      </c>
    </row>
    <row r="3243" spans="5:9" x14ac:dyDescent="0.25">
      <c r="E3243" s="7"/>
      <c r="F3243" t="s">
        <v>20</v>
      </c>
      <c r="G3243" t="s">
        <v>21</v>
      </c>
      <c r="H3243" t="str">
        <f>"AF1201804258355"</f>
        <v>AF1201804258355</v>
      </c>
      <c r="I3243" t="str">
        <f t="shared" si="60"/>
        <v>AFLAC INSURANCE</v>
      </c>
    </row>
    <row r="3244" spans="5:9" x14ac:dyDescent="0.25">
      <c r="E3244" s="7"/>
      <c r="F3244" t="s">
        <v>20</v>
      </c>
      <c r="G3244" t="s">
        <v>21</v>
      </c>
      <c r="H3244" t="str">
        <f>"AF1201805098364"</f>
        <v>AF1201805098364</v>
      </c>
      <c r="I3244" t="str">
        <f t="shared" si="60"/>
        <v>AFLAC INSURANCE</v>
      </c>
    </row>
    <row r="3245" spans="5:9" x14ac:dyDescent="0.25">
      <c r="E3245" s="7"/>
      <c r="F3245" t="s">
        <v>20</v>
      </c>
      <c r="G3245" t="s">
        <v>21</v>
      </c>
      <c r="H3245" t="str">
        <f>"ASP201804118341"</f>
        <v>ASP201804118341</v>
      </c>
      <c r="I3245" t="str">
        <f t="shared" si="60"/>
        <v>AFLAC INSURANCE</v>
      </c>
    </row>
    <row r="3246" spans="5:9" x14ac:dyDescent="0.25">
      <c r="E3246" s="7"/>
      <c r="F3246" t="s">
        <v>20</v>
      </c>
      <c r="G3246" t="s">
        <v>21</v>
      </c>
      <c r="H3246" t="str">
        <f>"ASP201804258355"</f>
        <v>ASP201804258355</v>
      </c>
      <c r="I3246" t="str">
        <f t="shared" si="60"/>
        <v>AFLAC INSURANCE</v>
      </c>
    </row>
    <row r="3247" spans="5:9" x14ac:dyDescent="0.25">
      <c r="E3247" s="7"/>
      <c r="F3247" t="s">
        <v>20</v>
      </c>
      <c r="G3247" t="s">
        <v>21</v>
      </c>
      <c r="H3247" t="str">
        <f>"ASP201805098364"</f>
        <v>ASP201805098364</v>
      </c>
      <c r="I3247" t="str">
        <f t="shared" si="60"/>
        <v>AFLAC INSURANCE</v>
      </c>
    </row>
    <row r="3248" spans="5:9" x14ac:dyDescent="0.25">
      <c r="E3248" s="7"/>
      <c r="F3248" t="s">
        <v>20</v>
      </c>
      <c r="G3248" t="s">
        <v>21</v>
      </c>
      <c r="H3248" t="str">
        <f>"HCO201804118341"</f>
        <v>HCO201804118341</v>
      </c>
      <c r="I3248" t="str">
        <f t="shared" si="60"/>
        <v>AFLAC INSURANCE</v>
      </c>
    </row>
    <row r="3249" spans="1:9" x14ac:dyDescent="0.25">
      <c r="E3249" s="7"/>
      <c r="F3249" t="s">
        <v>20</v>
      </c>
      <c r="G3249" t="s">
        <v>21</v>
      </c>
      <c r="H3249" t="str">
        <f>"HCO201804198354"</f>
        <v>HCO201804198354</v>
      </c>
      <c r="I3249" t="str">
        <f t="shared" si="60"/>
        <v>AFLAC INSURANCE</v>
      </c>
    </row>
    <row r="3250" spans="1:9" x14ac:dyDescent="0.25">
      <c r="E3250" s="7"/>
      <c r="F3250" t="s">
        <v>20</v>
      </c>
      <c r="G3250" t="s">
        <v>21</v>
      </c>
      <c r="H3250" t="str">
        <f>"HCO201804258355"</f>
        <v>HCO201804258355</v>
      </c>
      <c r="I3250" t="str">
        <f t="shared" si="60"/>
        <v>AFLAC INSURANCE</v>
      </c>
    </row>
    <row r="3251" spans="1:9" x14ac:dyDescent="0.25">
      <c r="E3251" s="7"/>
      <c r="F3251" t="s">
        <v>20</v>
      </c>
      <c r="G3251" t="s">
        <v>21</v>
      </c>
      <c r="H3251" t="str">
        <f>"HCO201805098364"</f>
        <v>HCO201805098364</v>
      </c>
      <c r="I3251" t="str">
        <f t="shared" si="60"/>
        <v>AFLAC INSURANCE</v>
      </c>
    </row>
    <row r="3252" spans="1:9" x14ac:dyDescent="0.25">
      <c r="A3252" s="6">
        <v>43235</v>
      </c>
      <c r="B3252" t="s">
        <v>26</v>
      </c>
      <c r="C3252">
        <v>57584</v>
      </c>
      <c r="D3252" t="s">
        <v>92</v>
      </c>
      <c r="E3252" s="7">
        <v>59949.39</v>
      </c>
      <c r="F3252" t="s">
        <v>20</v>
      </c>
      <c r="G3252" t="s">
        <v>21</v>
      </c>
      <c r="H3252" t="str">
        <f>"RET201804118341"</f>
        <v>RET201804118341</v>
      </c>
      <c r="I3252" t="str">
        <f>"TMRS CITY OF FLORESVILLE"</f>
        <v>TMRS CITY OF FLORESVILLE</v>
      </c>
    </row>
    <row r="3253" spans="1:9" x14ac:dyDescent="0.25">
      <c r="E3253" s="7"/>
      <c r="F3253" t="s">
        <v>20</v>
      </c>
      <c r="G3253" t="s">
        <v>21</v>
      </c>
      <c r="H3253" t="str">
        <f>"RET201804198354"</f>
        <v>RET201804198354</v>
      </c>
      <c r="I3253" t="str">
        <f>"TMRS CITY OF FLORESVILLE"</f>
        <v>TMRS CITY OF FLORESVILLE</v>
      </c>
    </row>
    <row r="3254" spans="1:9" x14ac:dyDescent="0.25">
      <c r="E3254" s="7"/>
      <c r="F3254" t="s">
        <v>20</v>
      </c>
      <c r="G3254" t="s">
        <v>21</v>
      </c>
      <c r="H3254" t="str">
        <f>"RET201804258355"</f>
        <v>RET201804258355</v>
      </c>
      <c r="I3254" t="str">
        <f>"TMRS CITY OF FLORESVILLE"</f>
        <v>TMRS CITY OF FLORESVILLE</v>
      </c>
    </row>
    <row r="3255" spans="1:9" x14ac:dyDescent="0.25">
      <c r="E3255" s="7"/>
      <c r="F3255" t="s">
        <v>20</v>
      </c>
      <c r="G3255" t="s">
        <v>21</v>
      </c>
      <c r="H3255" t="str">
        <f>"RET201804268356"</f>
        <v>RET201804268356</v>
      </c>
      <c r="I3255" t="str">
        <f>"TMRS CITY OF FLORESVILLE"</f>
        <v>TMRS CITY OF FLORESVILLE</v>
      </c>
    </row>
    <row r="3256" spans="1:9" x14ac:dyDescent="0.25">
      <c r="E3256" s="7"/>
      <c r="F3256" t="s">
        <v>20</v>
      </c>
      <c r="G3256" t="s">
        <v>21</v>
      </c>
      <c r="H3256" t="str">
        <f>"RET201805098364"</f>
        <v>RET201805098364</v>
      </c>
      <c r="I3256" t="str">
        <f>"TMRS CITY OF FLORESVILLE"</f>
        <v>TMRS CITY OF FLORESVILLE</v>
      </c>
    </row>
    <row r="3257" spans="1:9" x14ac:dyDescent="0.25">
      <c r="A3257" s="6">
        <v>43235</v>
      </c>
      <c r="B3257" t="s">
        <v>26</v>
      </c>
      <c r="C3257">
        <v>57590</v>
      </c>
      <c r="D3257" t="s">
        <v>94</v>
      </c>
      <c r="E3257" s="7">
        <v>2176.14</v>
      </c>
      <c r="F3257" t="s">
        <v>20</v>
      </c>
      <c r="G3257" t="s">
        <v>24</v>
      </c>
      <c r="H3257" t="str">
        <f>"4283035"</f>
        <v>4283035</v>
      </c>
      <c r="I3257" t="str">
        <f>"DENTAL SELECT"</f>
        <v>DENTAL SELECT</v>
      </c>
    </row>
    <row r="3258" spans="1:9" x14ac:dyDescent="0.25">
      <c r="E3258" s="7"/>
      <c r="F3258" t="s">
        <v>20</v>
      </c>
      <c r="G3258" t="s">
        <v>21</v>
      </c>
      <c r="H3258" t="str">
        <f>"DEN201804118341"</f>
        <v>DEN201804118341</v>
      </c>
      <c r="I3258" t="str">
        <f>"DENTAL INSURANCE"</f>
        <v>DENTAL INSURANCE</v>
      </c>
    </row>
    <row r="3259" spans="1:9" x14ac:dyDescent="0.25">
      <c r="E3259" s="7"/>
      <c r="F3259" t="s">
        <v>20</v>
      </c>
      <c r="G3259" t="s">
        <v>21</v>
      </c>
      <c r="H3259" t="str">
        <f>"DEN201804198354"</f>
        <v>DEN201804198354</v>
      </c>
      <c r="I3259" t="str">
        <f>"DENTAL INSURANCE"</f>
        <v>DENTAL INSURANCE</v>
      </c>
    </row>
    <row r="3260" spans="1:9" x14ac:dyDescent="0.25">
      <c r="E3260" s="7"/>
      <c r="F3260" t="s">
        <v>20</v>
      </c>
      <c r="G3260" t="s">
        <v>21</v>
      </c>
      <c r="H3260" t="str">
        <f>"DEN201805098364"</f>
        <v>DEN201805098364</v>
      </c>
      <c r="I3260" t="str">
        <f>"DENTAL INSURANCE"</f>
        <v>DENTAL INSURANCE</v>
      </c>
    </row>
    <row r="3261" spans="1:9" x14ac:dyDescent="0.25">
      <c r="A3261" s="6">
        <v>43235</v>
      </c>
      <c r="B3261" t="s">
        <v>26</v>
      </c>
      <c r="C3261">
        <v>57592</v>
      </c>
      <c r="D3261" t="s">
        <v>95</v>
      </c>
      <c r="E3261" s="7">
        <v>64.959999999999994</v>
      </c>
      <c r="F3261" t="s">
        <v>20</v>
      </c>
      <c r="G3261" t="s">
        <v>21</v>
      </c>
      <c r="H3261" t="str">
        <f>"201804012"</f>
        <v>201804012</v>
      </c>
      <c r="I3261" t="str">
        <f>"LEGAL PLANS"</f>
        <v>LEGAL PLANS</v>
      </c>
    </row>
    <row r="3262" spans="1:9" x14ac:dyDescent="0.25">
      <c r="E3262" s="7"/>
      <c r="F3262" t="s">
        <v>20</v>
      </c>
      <c r="G3262" t="s">
        <v>21</v>
      </c>
      <c r="H3262" t="str">
        <f>"LEA201804118341"</f>
        <v>LEA201804118341</v>
      </c>
      <c r="I3262" t="str">
        <f>"INSURANCE"</f>
        <v>INSURANCE</v>
      </c>
    </row>
    <row r="3263" spans="1:9" x14ac:dyDescent="0.25">
      <c r="E3263" s="7"/>
      <c r="F3263" t="s">
        <v>20</v>
      </c>
      <c r="G3263" t="s">
        <v>21</v>
      </c>
      <c r="H3263" t="str">
        <f>"LEA201805098364"</f>
        <v>LEA201805098364</v>
      </c>
      <c r="I3263" t="str">
        <f>"INSURANCE"</f>
        <v>INSURANCE</v>
      </c>
    </row>
    <row r="3264" spans="1:9" x14ac:dyDescent="0.25">
      <c r="A3264" s="6">
        <v>43235</v>
      </c>
      <c r="B3264" t="s">
        <v>26</v>
      </c>
      <c r="C3264">
        <v>57593</v>
      </c>
      <c r="D3264" t="s">
        <v>96</v>
      </c>
      <c r="E3264" s="7">
        <v>587.79999999999995</v>
      </c>
      <c r="F3264" t="s">
        <v>20</v>
      </c>
      <c r="G3264" t="s">
        <v>21</v>
      </c>
      <c r="H3264" t="str">
        <f>"4/15/18"</f>
        <v>4/15/18</v>
      </c>
      <c r="I3264" t="str">
        <f>"LEGALSHIELD"</f>
        <v>LEGALSHIELD</v>
      </c>
    </row>
    <row r="3265" spans="1:9" x14ac:dyDescent="0.25">
      <c r="E3265" s="7"/>
      <c r="F3265" t="s">
        <v>20</v>
      </c>
      <c r="G3265" t="s">
        <v>21</v>
      </c>
      <c r="H3265" t="str">
        <f>"PPL201804118341"</f>
        <v>PPL201804118341</v>
      </c>
      <c r="I3265" t="str">
        <f>"INSURANCE"</f>
        <v>INSURANCE</v>
      </c>
    </row>
    <row r="3266" spans="1:9" x14ac:dyDescent="0.25">
      <c r="E3266" s="7"/>
      <c r="F3266" t="s">
        <v>20</v>
      </c>
      <c r="G3266" t="s">
        <v>21</v>
      </c>
      <c r="H3266" t="str">
        <f>"PPL201805098364"</f>
        <v>PPL201805098364</v>
      </c>
      <c r="I3266" t="str">
        <f>"INSURANCE"</f>
        <v>INSURANCE</v>
      </c>
    </row>
    <row r="3267" spans="1:9" x14ac:dyDescent="0.25">
      <c r="A3267" s="6">
        <v>43235</v>
      </c>
      <c r="B3267" t="s">
        <v>91</v>
      </c>
      <c r="C3267">
        <v>57594</v>
      </c>
      <c r="D3267" t="s">
        <v>97</v>
      </c>
      <c r="E3267" s="7">
        <v>1399.02</v>
      </c>
      <c r="F3267" t="s">
        <v>20</v>
      </c>
      <c r="G3267" t="s">
        <v>21</v>
      </c>
      <c r="H3267" t="str">
        <f>"BME201804118341"</f>
        <v>BME201804118341</v>
      </c>
      <c r="I3267" t="str">
        <f>"INSURANCE"</f>
        <v>INSURANCE</v>
      </c>
    </row>
    <row r="3268" spans="1:9" x14ac:dyDescent="0.25">
      <c r="E3268" s="7"/>
      <c r="F3268" t="s">
        <v>20</v>
      </c>
      <c r="G3268" t="s">
        <v>21</v>
      </c>
      <c r="H3268" t="str">
        <f>"BME201805098364"</f>
        <v>BME201805098364</v>
      </c>
      <c r="I3268" t="str">
        <f>"INSURANCE"</f>
        <v>INSURANCE</v>
      </c>
    </row>
    <row r="3269" spans="1:9" x14ac:dyDescent="0.25">
      <c r="A3269" s="6">
        <v>43235</v>
      </c>
      <c r="B3269" t="s">
        <v>91</v>
      </c>
      <c r="C3269">
        <v>57594</v>
      </c>
      <c r="D3269" t="s">
        <v>97</v>
      </c>
      <c r="E3269" s="7">
        <v>1399.02</v>
      </c>
      <c r="F3269" t="s">
        <v>20</v>
      </c>
      <c r="G3269" t="s">
        <v>93</v>
      </c>
      <c r="H3269" t="str">
        <f>"CHECK"</f>
        <v>CHECK</v>
      </c>
      <c r="I3269" t="str">
        <f>""</f>
        <v/>
      </c>
    </row>
    <row r="3270" spans="1:9" x14ac:dyDescent="0.25">
      <c r="A3270" s="6">
        <v>43235</v>
      </c>
      <c r="B3270" t="s">
        <v>26</v>
      </c>
      <c r="C3270">
        <v>57595</v>
      </c>
      <c r="D3270" t="s">
        <v>98</v>
      </c>
      <c r="E3270" s="7">
        <v>2847.79</v>
      </c>
      <c r="F3270" t="s">
        <v>20</v>
      </c>
      <c r="G3270" t="s">
        <v>24</v>
      </c>
      <c r="H3270" t="str">
        <f>"5/2018"</f>
        <v>5/2018</v>
      </c>
      <c r="I3270" t="str">
        <f>"DEARBORN NATIONAL"</f>
        <v>DEARBORN NATIONAL</v>
      </c>
    </row>
    <row r="3271" spans="1:9" x14ac:dyDescent="0.25">
      <c r="E3271" s="7"/>
      <c r="F3271" t="s">
        <v>20</v>
      </c>
      <c r="G3271" t="s">
        <v>21</v>
      </c>
      <c r="H3271" t="str">
        <f>"STD201804118341"</f>
        <v>STD201804118341</v>
      </c>
      <c r="I3271" t="str">
        <f>"SHORT TERM DISABILITY"</f>
        <v>SHORT TERM DISABILITY</v>
      </c>
    </row>
    <row r="3272" spans="1:9" x14ac:dyDescent="0.25">
      <c r="E3272" s="7"/>
      <c r="F3272" t="s">
        <v>20</v>
      </c>
      <c r="G3272" t="s">
        <v>21</v>
      </c>
      <c r="H3272" t="str">
        <f>"STD201804198354"</f>
        <v>STD201804198354</v>
      </c>
      <c r="I3272" t="str">
        <f>"SHORT TERM DISABILITY"</f>
        <v>SHORT TERM DISABILITY</v>
      </c>
    </row>
    <row r="3273" spans="1:9" x14ac:dyDescent="0.25">
      <c r="E3273" s="7"/>
      <c r="F3273" t="s">
        <v>20</v>
      </c>
      <c r="G3273" t="s">
        <v>21</v>
      </c>
      <c r="H3273" t="str">
        <f>"STD201804258355"</f>
        <v>STD201804258355</v>
      </c>
      <c r="I3273" t="str">
        <f>"SHORT TERM DISABILITY"</f>
        <v>SHORT TERM DISABILITY</v>
      </c>
    </row>
    <row r="3274" spans="1:9" x14ac:dyDescent="0.25">
      <c r="E3274" s="7"/>
      <c r="F3274" t="s">
        <v>20</v>
      </c>
      <c r="G3274" t="s">
        <v>21</v>
      </c>
      <c r="H3274" t="str">
        <f>"STD201804268356"</f>
        <v>STD201804268356</v>
      </c>
      <c r="I3274" t="str">
        <f>"SHORT TERM DISABILITY"</f>
        <v>SHORT TERM DISABILITY</v>
      </c>
    </row>
    <row r="3275" spans="1:9" x14ac:dyDescent="0.25">
      <c r="E3275" s="7"/>
      <c r="F3275" t="s">
        <v>20</v>
      </c>
      <c r="G3275" t="s">
        <v>21</v>
      </c>
      <c r="H3275" t="str">
        <f>"STD201805098364"</f>
        <v>STD201805098364</v>
      </c>
      <c r="I3275" t="str">
        <f>"SHORT TERM DISABILITY"</f>
        <v>SHORT TERM DISABILITY</v>
      </c>
    </row>
    <row r="3276" spans="1:9" x14ac:dyDescent="0.25">
      <c r="E3276" s="7"/>
      <c r="F3276" t="s">
        <v>20</v>
      </c>
      <c r="G3276" t="s">
        <v>21</v>
      </c>
      <c r="H3276" t="str">
        <f>"VLC201804118341"</f>
        <v>VLC201804118341</v>
      </c>
      <c r="I3276" t="str">
        <f>"CHILD LIFE INSURANCE"</f>
        <v>CHILD LIFE INSURANCE</v>
      </c>
    </row>
    <row r="3277" spans="1:9" x14ac:dyDescent="0.25">
      <c r="E3277" s="7"/>
      <c r="F3277" t="s">
        <v>20</v>
      </c>
      <c r="G3277" t="s">
        <v>21</v>
      </c>
      <c r="H3277" t="str">
        <f>"VLC201805098364"</f>
        <v>VLC201805098364</v>
      </c>
      <c r="I3277" t="str">
        <f>"CHILD LIFE INSURANCE"</f>
        <v>CHILD LIFE INSURANCE</v>
      </c>
    </row>
    <row r="3278" spans="1:9" x14ac:dyDescent="0.25">
      <c r="E3278" s="7"/>
      <c r="F3278" t="s">
        <v>20</v>
      </c>
      <c r="G3278" t="s">
        <v>21</v>
      </c>
      <c r="H3278" t="str">
        <f>"VLS201804118341"</f>
        <v>VLS201804118341</v>
      </c>
      <c r="I3278" t="str">
        <f>"SPOUSE LIFE"</f>
        <v>SPOUSE LIFE</v>
      </c>
    </row>
    <row r="3279" spans="1:9" x14ac:dyDescent="0.25">
      <c r="E3279" s="7"/>
      <c r="F3279" t="s">
        <v>20</v>
      </c>
      <c r="G3279" t="s">
        <v>21</v>
      </c>
      <c r="H3279" t="str">
        <f>"VLS201805098364"</f>
        <v>VLS201805098364</v>
      </c>
      <c r="I3279" t="str">
        <f>"SPOUSE LIFE"</f>
        <v>SPOUSE LIFE</v>
      </c>
    </row>
    <row r="3280" spans="1:9" x14ac:dyDescent="0.25">
      <c r="E3280" s="7"/>
      <c r="F3280" t="s">
        <v>20</v>
      </c>
      <c r="G3280" t="s">
        <v>21</v>
      </c>
      <c r="H3280" t="str">
        <f>"VOE201804118341"</f>
        <v>VOE201804118341</v>
      </c>
      <c r="I3280" t="str">
        <f>"EMPLOYEE LIFE"</f>
        <v>EMPLOYEE LIFE</v>
      </c>
    </row>
    <row r="3281" spans="1:9" x14ac:dyDescent="0.25">
      <c r="E3281" s="7"/>
      <c r="F3281" t="s">
        <v>20</v>
      </c>
      <c r="G3281" t="s">
        <v>21</v>
      </c>
      <c r="H3281" t="str">
        <f>"VOE201804198354"</f>
        <v>VOE201804198354</v>
      </c>
      <c r="I3281" t="str">
        <f>"EMPLOYEE LIFE"</f>
        <v>EMPLOYEE LIFE</v>
      </c>
    </row>
    <row r="3282" spans="1:9" x14ac:dyDescent="0.25">
      <c r="E3282" s="7"/>
      <c r="F3282" t="s">
        <v>20</v>
      </c>
      <c r="G3282" t="s">
        <v>21</v>
      </c>
      <c r="H3282" t="str">
        <f>"VOE201805098364"</f>
        <v>VOE201805098364</v>
      </c>
      <c r="I3282" t="str">
        <f>"EMPLOYEE LIFE"</f>
        <v>EMPLOYEE LIFE</v>
      </c>
    </row>
    <row r="3283" spans="1:9" x14ac:dyDescent="0.25">
      <c r="E3283" s="7"/>
      <c r="F3283" t="s">
        <v>20</v>
      </c>
      <c r="G3283" t="s">
        <v>21</v>
      </c>
      <c r="H3283" t="str">
        <f>"VOL201804118341"</f>
        <v>VOL201804118341</v>
      </c>
      <c r="I3283" t="str">
        <f>"LIFE"</f>
        <v>LIFE</v>
      </c>
    </row>
    <row r="3284" spans="1:9" x14ac:dyDescent="0.25">
      <c r="E3284" s="7"/>
      <c r="F3284" t="s">
        <v>20</v>
      </c>
      <c r="G3284" t="s">
        <v>21</v>
      </c>
      <c r="H3284" t="str">
        <f>"VOL201805098364"</f>
        <v>VOL201805098364</v>
      </c>
      <c r="I3284" t="str">
        <f>"LIFE"</f>
        <v>LIFE</v>
      </c>
    </row>
    <row r="3285" spans="1:9" x14ac:dyDescent="0.25">
      <c r="A3285" s="6">
        <v>43235</v>
      </c>
      <c r="B3285" t="s">
        <v>26</v>
      </c>
      <c r="C3285">
        <v>57605</v>
      </c>
      <c r="D3285" t="s">
        <v>99</v>
      </c>
      <c r="E3285" s="7">
        <v>1348.16</v>
      </c>
      <c r="F3285" t="s">
        <v>20</v>
      </c>
      <c r="G3285" t="s">
        <v>21</v>
      </c>
      <c r="H3285" t="str">
        <f>"4/18-5/18"</f>
        <v>4/18-5/18</v>
      </c>
      <c r="I3285" t="str">
        <f>"VISION SERVICE PLAN"</f>
        <v>VISION SERVICE PLAN</v>
      </c>
    </row>
    <row r="3286" spans="1:9" x14ac:dyDescent="0.25">
      <c r="E3286" s="7"/>
      <c r="F3286" t="s">
        <v>20</v>
      </c>
      <c r="G3286" t="s">
        <v>21</v>
      </c>
      <c r="H3286" t="str">
        <f>"VIS201804118341"</f>
        <v>VIS201804118341</v>
      </c>
      <c r="I3286" t="str">
        <f>"VISION INSURANCE"</f>
        <v>VISION INSURANCE</v>
      </c>
    </row>
    <row r="3287" spans="1:9" x14ac:dyDescent="0.25">
      <c r="E3287" s="7"/>
      <c r="F3287" t="s">
        <v>20</v>
      </c>
      <c r="G3287" t="s">
        <v>21</v>
      </c>
      <c r="H3287" t="str">
        <f>"VIS201805098364"</f>
        <v>VIS201805098364</v>
      </c>
      <c r="I3287" t="str">
        <f>"VISION INSURANCE"</f>
        <v>VISION INSURANCE</v>
      </c>
    </row>
    <row r="3288" spans="1:9" x14ac:dyDescent="0.25">
      <c r="A3288" s="6">
        <v>43235</v>
      </c>
      <c r="B3288" t="s">
        <v>26</v>
      </c>
      <c r="C3288">
        <v>57607</v>
      </c>
      <c r="D3288" t="s">
        <v>221</v>
      </c>
      <c r="E3288" s="7">
        <v>39566.21</v>
      </c>
      <c r="F3288" t="s">
        <v>20</v>
      </c>
      <c r="G3288" t="s">
        <v>24</v>
      </c>
      <c r="H3288" t="str">
        <f>"C471805A/R"</f>
        <v>C471805A/R</v>
      </c>
      <c r="I3288" t="str">
        <f>"TML MULTISTATE INTERGOVERNMENT"</f>
        <v>TML MULTISTATE INTERGOVERNMENT</v>
      </c>
    </row>
    <row r="3289" spans="1:9" x14ac:dyDescent="0.25">
      <c r="E3289" s="7"/>
      <c r="F3289" t="s">
        <v>20</v>
      </c>
      <c r="G3289" t="s">
        <v>21</v>
      </c>
      <c r="H3289" t="str">
        <f>"MED201804118341"</f>
        <v>MED201804118341</v>
      </c>
      <c r="I3289" t="str">
        <f>"INSURANCE"</f>
        <v>INSURANCE</v>
      </c>
    </row>
    <row r="3290" spans="1:9" x14ac:dyDescent="0.25">
      <c r="E3290" s="7"/>
      <c r="F3290" t="s">
        <v>20</v>
      </c>
      <c r="G3290" t="s">
        <v>21</v>
      </c>
      <c r="H3290" t="str">
        <f>"MED201804198354"</f>
        <v>MED201804198354</v>
      </c>
      <c r="I3290" t="str">
        <f>"INSURANCE"</f>
        <v>INSURANCE</v>
      </c>
    </row>
    <row r="3291" spans="1:9" x14ac:dyDescent="0.25">
      <c r="E3291" s="7"/>
      <c r="F3291" t="s">
        <v>20</v>
      </c>
      <c r="G3291" t="s">
        <v>21</v>
      </c>
      <c r="H3291" t="str">
        <f>"MED201805098364"</f>
        <v>MED201805098364</v>
      </c>
      <c r="I3291" t="str">
        <f>"INSURANCE"</f>
        <v>INSURANCE</v>
      </c>
    </row>
    <row r="3292" spans="1:9" x14ac:dyDescent="0.25">
      <c r="A3292" s="6">
        <v>43235</v>
      </c>
      <c r="B3292" t="s">
        <v>26</v>
      </c>
      <c r="C3292">
        <v>57612</v>
      </c>
      <c r="D3292" t="s">
        <v>223</v>
      </c>
      <c r="E3292" s="7">
        <v>75</v>
      </c>
      <c r="F3292" t="s">
        <v>20</v>
      </c>
      <c r="G3292" t="s">
        <v>21</v>
      </c>
      <c r="H3292" t="str">
        <f>"05/2018-COUNCIL"</f>
        <v>05/2018-COUNCIL</v>
      </c>
      <c r="I3292" t="str">
        <f>""</f>
        <v/>
      </c>
    </row>
    <row r="3293" spans="1:9" x14ac:dyDescent="0.25">
      <c r="A3293" s="6">
        <v>43235</v>
      </c>
      <c r="B3293" t="s">
        <v>26</v>
      </c>
      <c r="C3293">
        <v>57613</v>
      </c>
      <c r="D3293" t="s">
        <v>36</v>
      </c>
      <c r="E3293" s="7">
        <v>75</v>
      </c>
      <c r="F3293" t="s">
        <v>20</v>
      </c>
      <c r="G3293" t="s">
        <v>21</v>
      </c>
      <c r="H3293" t="str">
        <f>"05/2018-COUNCIL"</f>
        <v>05/2018-COUNCIL</v>
      </c>
      <c r="I3293" t="str">
        <f>""</f>
        <v/>
      </c>
    </row>
    <row r="3294" spans="1:9" x14ac:dyDescent="0.25">
      <c r="A3294" s="6">
        <v>43235</v>
      </c>
      <c r="B3294" t="s">
        <v>26</v>
      </c>
      <c r="C3294">
        <v>57614</v>
      </c>
      <c r="D3294" t="s">
        <v>37</v>
      </c>
      <c r="E3294" s="7">
        <v>75</v>
      </c>
      <c r="F3294" t="s">
        <v>20</v>
      </c>
      <c r="G3294" t="s">
        <v>21</v>
      </c>
      <c r="H3294" t="str">
        <f>"05/2018-COUNCIL"</f>
        <v>05/2018-COUNCIL</v>
      </c>
      <c r="I3294" t="str">
        <f>""</f>
        <v/>
      </c>
    </row>
    <row r="3295" spans="1:9" x14ac:dyDescent="0.25">
      <c r="A3295" s="6">
        <v>43235</v>
      </c>
      <c r="B3295" t="s">
        <v>26</v>
      </c>
      <c r="C3295">
        <v>57615</v>
      </c>
      <c r="D3295" t="s">
        <v>38</v>
      </c>
      <c r="E3295" s="7">
        <v>100</v>
      </c>
      <c r="F3295" t="s">
        <v>20</v>
      </c>
      <c r="G3295" t="s">
        <v>21</v>
      </c>
      <c r="H3295" t="str">
        <f>"05/2018-MAYOR"</f>
        <v>05/2018-MAYOR</v>
      </c>
      <c r="I3295" t="str">
        <f>""</f>
        <v/>
      </c>
    </row>
    <row r="3296" spans="1:9" x14ac:dyDescent="0.25">
      <c r="A3296" s="6">
        <v>43235</v>
      </c>
      <c r="B3296" t="s">
        <v>26</v>
      </c>
      <c r="C3296">
        <v>57616</v>
      </c>
      <c r="D3296" t="s">
        <v>39</v>
      </c>
      <c r="E3296" s="7">
        <v>75</v>
      </c>
      <c r="F3296" t="s">
        <v>20</v>
      </c>
      <c r="G3296" t="s">
        <v>21</v>
      </c>
      <c r="H3296" t="str">
        <f>"05/2018-COUNCIL"</f>
        <v>05/2018-COUNCIL</v>
      </c>
      <c r="I3296" t="str">
        <f>""</f>
        <v/>
      </c>
    </row>
    <row r="3297" spans="1:9" x14ac:dyDescent="0.25">
      <c r="A3297" s="6">
        <v>43235</v>
      </c>
      <c r="B3297" t="s">
        <v>26</v>
      </c>
      <c r="C3297">
        <v>57617</v>
      </c>
      <c r="D3297" t="s">
        <v>40</v>
      </c>
      <c r="E3297" s="7">
        <v>75</v>
      </c>
      <c r="F3297" t="s">
        <v>20</v>
      </c>
      <c r="G3297" t="s">
        <v>21</v>
      </c>
      <c r="H3297" t="str">
        <f>"05/2018-COUNCIL"</f>
        <v>05/2018-COUNCIL</v>
      </c>
      <c r="I3297" t="str">
        <f>""</f>
        <v/>
      </c>
    </row>
    <row r="3298" spans="1:9" x14ac:dyDescent="0.25">
      <c r="A3298" s="6">
        <v>43235</v>
      </c>
      <c r="B3298" t="s">
        <v>26</v>
      </c>
      <c r="C3298">
        <v>57618</v>
      </c>
      <c r="D3298" t="s">
        <v>399</v>
      </c>
      <c r="E3298" s="7">
        <v>74.11</v>
      </c>
      <c r="F3298" t="s">
        <v>20</v>
      </c>
      <c r="G3298" t="s">
        <v>21</v>
      </c>
      <c r="H3298" t="str">
        <f>"000201804098328"</f>
        <v>000201804098328</v>
      </c>
      <c r="I3298" t="str">
        <f>"US REFUND"</f>
        <v>US REFUND</v>
      </c>
    </row>
    <row r="3299" spans="1:9" x14ac:dyDescent="0.25">
      <c r="A3299" s="6">
        <v>43235</v>
      </c>
      <c r="B3299" t="s">
        <v>26</v>
      </c>
      <c r="C3299">
        <v>57619</v>
      </c>
      <c r="D3299" t="s">
        <v>356</v>
      </c>
      <c r="E3299" s="7">
        <v>67</v>
      </c>
      <c r="F3299" t="s">
        <v>20</v>
      </c>
      <c r="G3299" t="s">
        <v>21</v>
      </c>
      <c r="H3299" t="str">
        <f>"000201804098329"</f>
        <v>000201804098329</v>
      </c>
      <c r="I3299" t="str">
        <f>"US REFUND"</f>
        <v>US REFUND</v>
      </c>
    </row>
    <row r="3300" spans="1:9" x14ac:dyDescent="0.25">
      <c r="A3300" s="6">
        <v>43235</v>
      </c>
      <c r="B3300" t="s">
        <v>26</v>
      </c>
      <c r="C3300">
        <v>57620</v>
      </c>
      <c r="D3300" t="s">
        <v>56</v>
      </c>
      <c r="E3300" s="7">
        <v>255.95</v>
      </c>
      <c r="F3300" t="s">
        <v>20</v>
      </c>
      <c r="G3300" t="s">
        <v>21</v>
      </c>
      <c r="H3300" t="str">
        <f>"164589"</f>
        <v>164589</v>
      </c>
      <c r="I3300" t="str">
        <f>"GERALD LUBIANSKI ENTERPRISES"</f>
        <v>GERALD LUBIANSKI ENTERPRISES</v>
      </c>
    </row>
    <row r="3301" spans="1:9" x14ac:dyDescent="0.25">
      <c r="E3301" s="7"/>
      <c r="F3301" t="s">
        <v>20</v>
      </c>
      <c r="G3301" t="s">
        <v>21</v>
      </c>
      <c r="H3301" t="str">
        <f>"166094"</f>
        <v>166094</v>
      </c>
      <c r="I3301" t="str">
        <f>"GERALD LUBIANSKI ENTERPRISES"</f>
        <v>GERALD LUBIANSKI ENTERPRISES</v>
      </c>
    </row>
    <row r="3302" spans="1:9" x14ac:dyDescent="0.25">
      <c r="A3302" s="6">
        <v>43235</v>
      </c>
      <c r="B3302" t="s">
        <v>26</v>
      </c>
      <c r="C3302">
        <v>57621</v>
      </c>
      <c r="D3302" t="s">
        <v>102</v>
      </c>
      <c r="E3302" s="7">
        <v>169.7</v>
      </c>
      <c r="F3302" t="s">
        <v>20</v>
      </c>
      <c r="G3302" t="s">
        <v>21</v>
      </c>
      <c r="H3302" t="str">
        <f>"201805158377"</f>
        <v>201805158377</v>
      </c>
      <c r="I3302" t="str">
        <f>"CENTERPOINT ENERGY ENTEX"</f>
        <v>CENTERPOINT ENERGY ENTEX</v>
      </c>
    </row>
    <row r="3303" spans="1:9" x14ac:dyDescent="0.25">
      <c r="E3303" s="7"/>
      <c r="F3303" t="s">
        <v>20</v>
      </c>
      <c r="G3303" t="s">
        <v>21</v>
      </c>
      <c r="H3303" t="str">
        <f>"201805158378"</f>
        <v>201805158378</v>
      </c>
      <c r="I3303" t="str">
        <f>"CENTERPOINT ENERGY ENTEX"</f>
        <v>CENTERPOINT ENERGY ENTEX</v>
      </c>
    </row>
    <row r="3304" spans="1:9" x14ac:dyDescent="0.25">
      <c r="E3304" s="7"/>
      <c r="F3304" t="s">
        <v>20</v>
      </c>
      <c r="G3304" t="s">
        <v>21</v>
      </c>
      <c r="H3304" t="str">
        <f>"201805158379"</f>
        <v>201805158379</v>
      </c>
      <c r="I3304" t="str">
        <f>"CENTERPOINT ENERGY ENTEX"</f>
        <v>CENTERPOINT ENERGY ENTEX</v>
      </c>
    </row>
    <row r="3305" spans="1:9" x14ac:dyDescent="0.25">
      <c r="E3305" s="7"/>
      <c r="F3305" t="s">
        <v>20</v>
      </c>
      <c r="G3305" t="s">
        <v>21</v>
      </c>
      <c r="H3305" t="str">
        <f>"201805158380"</f>
        <v>201805158380</v>
      </c>
      <c r="I3305" t="str">
        <f>"CENTERPOINT ENERGY ENTEX"</f>
        <v>CENTERPOINT ENERGY ENTEX</v>
      </c>
    </row>
    <row r="3306" spans="1:9" x14ac:dyDescent="0.25">
      <c r="A3306" s="6">
        <v>43235</v>
      </c>
      <c r="B3306" t="s">
        <v>26</v>
      </c>
      <c r="C3306">
        <v>57622</v>
      </c>
      <c r="D3306" t="s">
        <v>143</v>
      </c>
      <c r="E3306" s="7">
        <v>354.27</v>
      </c>
      <c r="F3306" t="s">
        <v>20</v>
      </c>
      <c r="G3306" t="s">
        <v>21</v>
      </c>
      <c r="H3306" t="str">
        <f>"9401823271"</f>
        <v>9401823271</v>
      </c>
      <c r="I3306" t="str">
        <f>"ERGON ASPHALT AND EMULSIONS  I"</f>
        <v>ERGON ASPHALT AND EMULSIONS  I</v>
      </c>
    </row>
    <row r="3307" spans="1:9" x14ac:dyDescent="0.25">
      <c r="A3307" s="6">
        <v>43235</v>
      </c>
      <c r="B3307" t="s">
        <v>26</v>
      </c>
      <c r="C3307">
        <v>57623</v>
      </c>
      <c r="D3307" t="s">
        <v>165</v>
      </c>
      <c r="E3307" s="7">
        <v>139.29</v>
      </c>
      <c r="F3307" t="s">
        <v>20</v>
      </c>
      <c r="G3307" t="s">
        <v>21</v>
      </c>
      <c r="H3307" t="str">
        <f>"4/16/18"</f>
        <v>4/16/18</v>
      </c>
      <c r="I3307" t="str">
        <f>"WAL-MART BUSINESS/SYNCB"</f>
        <v>WAL-MART BUSINESS/SYNCB</v>
      </c>
    </row>
    <row r="3308" spans="1:9" x14ac:dyDescent="0.25">
      <c r="A3308" s="6">
        <v>43235</v>
      </c>
      <c r="B3308" t="s">
        <v>26</v>
      </c>
      <c r="C3308">
        <v>57624</v>
      </c>
      <c r="D3308" t="s">
        <v>105</v>
      </c>
      <c r="E3308" s="7">
        <v>42</v>
      </c>
      <c r="F3308" t="s">
        <v>20</v>
      </c>
      <c r="G3308" t="s">
        <v>21</v>
      </c>
      <c r="H3308" t="str">
        <f>"287545"</f>
        <v>287545</v>
      </c>
      <c r="I3308" t="str">
        <f t="shared" ref="I3308:I3313" si="61">"LUBE WORKS"</f>
        <v>LUBE WORKS</v>
      </c>
    </row>
    <row r="3309" spans="1:9" x14ac:dyDescent="0.25">
      <c r="E3309" s="7"/>
      <c r="F3309" t="s">
        <v>20</v>
      </c>
      <c r="G3309" t="s">
        <v>21</v>
      </c>
      <c r="H3309" t="str">
        <f>"288754"</f>
        <v>288754</v>
      </c>
      <c r="I3309" t="str">
        <f t="shared" si="61"/>
        <v>LUBE WORKS</v>
      </c>
    </row>
    <row r="3310" spans="1:9" x14ac:dyDescent="0.25">
      <c r="E3310" s="7"/>
      <c r="F3310" t="s">
        <v>20</v>
      </c>
      <c r="G3310" t="s">
        <v>21</v>
      </c>
      <c r="H3310" t="str">
        <f>"288765"</f>
        <v>288765</v>
      </c>
      <c r="I3310" t="str">
        <f t="shared" si="61"/>
        <v>LUBE WORKS</v>
      </c>
    </row>
    <row r="3311" spans="1:9" x14ac:dyDescent="0.25">
      <c r="E3311" s="7"/>
      <c r="F3311" t="s">
        <v>20</v>
      </c>
      <c r="G3311" t="s">
        <v>21</v>
      </c>
      <c r="H3311" t="str">
        <f>"288766"</f>
        <v>288766</v>
      </c>
      <c r="I3311" t="str">
        <f t="shared" si="61"/>
        <v>LUBE WORKS</v>
      </c>
    </row>
    <row r="3312" spans="1:9" x14ac:dyDescent="0.25">
      <c r="E3312" s="7"/>
      <c r="F3312" t="s">
        <v>20</v>
      </c>
      <c r="G3312" t="s">
        <v>21</v>
      </c>
      <c r="H3312" t="str">
        <f>"288767"</f>
        <v>288767</v>
      </c>
      <c r="I3312" t="str">
        <f t="shared" si="61"/>
        <v>LUBE WORKS</v>
      </c>
    </row>
    <row r="3313" spans="1:9" x14ac:dyDescent="0.25">
      <c r="E3313" s="7"/>
      <c r="F3313" t="s">
        <v>20</v>
      </c>
      <c r="G3313" t="s">
        <v>21</v>
      </c>
      <c r="H3313" t="str">
        <f>"288785"</f>
        <v>288785</v>
      </c>
      <c r="I3313" t="str">
        <f t="shared" si="61"/>
        <v>LUBE WORKS</v>
      </c>
    </row>
    <row r="3314" spans="1:9" x14ac:dyDescent="0.25">
      <c r="A3314" s="6">
        <v>43235</v>
      </c>
      <c r="B3314" t="s">
        <v>26</v>
      </c>
      <c r="C3314">
        <v>57625</v>
      </c>
      <c r="D3314" t="s">
        <v>166</v>
      </c>
      <c r="E3314" s="7">
        <v>601</v>
      </c>
      <c r="F3314" t="s">
        <v>20</v>
      </c>
      <c r="G3314" t="s">
        <v>21</v>
      </c>
      <c r="H3314" t="str">
        <f>"5/2018"</f>
        <v>5/2018</v>
      </c>
      <c r="I3314" t="str">
        <f>"PITNEY BOWES PURCHASE POWER"</f>
        <v>PITNEY BOWES PURCHASE POWER</v>
      </c>
    </row>
    <row r="3315" spans="1:9" x14ac:dyDescent="0.25">
      <c r="A3315" s="6">
        <v>43235</v>
      </c>
      <c r="B3315" t="s">
        <v>26</v>
      </c>
      <c r="C3315">
        <v>57626</v>
      </c>
      <c r="D3315" t="s">
        <v>202</v>
      </c>
      <c r="E3315" s="7">
        <v>406.8</v>
      </c>
      <c r="F3315" t="s">
        <v>20</v>
      </c>
      <c r="G3315" t="s">
        <v>21</v>
      </c>
      <c r="H3315" t="str">
        <f>"61730614"</f>
        <v>61730614</v>
      </c>
      <c r="I3315" t="str">
        <f>"VULCAN CONSTRUCTION MATERIALS"</f>
        <v>VULCAN CONSTRUCTION MATERIALS</v>
      </c>
    </row>
    <row r="3316" spans="1:9" x14ac:dyDescent="0.25">
      <c r="A3316" s="6">
        <v>43235</v>
      </c>
      <c r="B3316" t="s">
        <v>26</v>
      </c>
      <c r="C3316">
        <v>57627</v>
      </c>
      <c r="D3316" t="s">
        <v>107</v>
      </c>
      <c r="E3316" s="7">
        <v>11.19</v>
      </c>
      <c r="F3316" t="s">
        <v>20</v>
      </c>
      <c r="G3316" t="s">
        <v>21</v>
      </c>
      <c r="H3316" t="str">
        <f>"1166960-20180430"</f>
        <v>1166960-20180430</v>
      </c>
      <c r="I3316" t="str">
        <f>"LEXISNEXIS RISK SOLUTIONS"</f>
        <v>LEXISNEXIS RISK SOLUTIONS</v>
      </c>
    </row>
    <row r="3317" spans="1:9" x14ac:dyDescent="0.25">
      <c r="A3317" s="6">
        <v>43235</v>
      </c>
      <c r="B3317" t="s">
        <v>26</v>
      </c>
      <c r="C3317">
        <v>57628</v>
      </c>
      <c r="D3317" t="s">
        <v>180</v>
      </c>
      <c r="E3317" s="7">
        <v>155.01</v>
      </c>
      <c r="F3317" t="s">
        <v>20</v>
      </c>
      <c r="G3317" t="s">
        <v>24</v>
      </c>
      <c r="H3317" t="str">
        <f>"30124299"</f>
        <v>30124299</v>
      </c>
      <c r="I3317" t="str">
        <f>"DITTMAR LUMBER CO."</f>
        <v>DITTMAR LUMBER CO.</v>
      </c>
    </row>
    <row r="3318" spans="1:9" x14ac:dyDescent="0.25">
      <c r="E3318" s="7"/>
      <c r="F3318" t="s">
        <v>20</v>
      </c>
      <c r="G3318" t="s">
        <v>21</v>
      </c>
      <c r="H3318" t="str">
        <f>"30124298"</f>
        <v>30124298</v>
      </c>
      <c r="I3318" t="str">
        <f>"DITTMAR LUMBER CO."</f>
        <v>DITTMAR LUMBER CO.</v>
      </c>
    </row>
    <row r="3319" spans="1:9" x14ac:dyDescent="0.25">
      <c r="E3319" s="7"/>
      <c r="F3319" t="s">
        <v>20</v>
      </c>
      <c r="G3319" t="s">
        <v>21</v>
      </c>
      <c r="H3319" t="str">
        <f>"30124622"</f>
        <v>30124622</v>
      </c>
      <c r="I3319" t="str">
        <f>"DITTMAR LUMBER CO."</f>
        <v>DITTMAR LUMBER CO.</v>
      </c>
    </row>
    <row r="3320" spans="1:9" x14ac:dyDescent="0.25">
      <c r="E3320" s="7"/>
      <c r="F3320" t="s">
        <v>20</v>
      </c>
      <c r="G3320" t="s">
        <v>21</v>
      </c>
      <c r="H3320" t="str">
        <f>"30124801"</f>
        <v>30124801</v>
      </c>
      <c r="I3320" t="str">
        <f>"DITTMAR LUMBER CO."</f>
        <v>DITTMAR LUMBER CO.</v>
      </c>
    </row>
    <row r="3321" spans="1:9" x14ac:dyDescent="0.25">
      <c r="A3321" s="6">
        <v>43235</v>
      </c>
      <c r="B3321" t="s">
        <v>26</v>
      </c>
      <c r="C3321">
        <v>57629</v>
      </c>
      <c r="D3321" t="s">
        <v>340</v>
      </c>
      <c r="E3321" s="7">
        <v>140.83000000000001</v>
      </c>
      <c r="F3321" t="s">
        <v>20</v>
      </c>
      <c r="G3321" t="s">
        <v>21</v>
      </c>
      <c r="H3321" t="str">
        <f>"1810-319848"</f>
        <v>1810-319848</v>
      </c>
      <c r="I3321" t="str">
        <f>"O'REILLY AUTOMOTIVE  INC."</f>
        <v>O'REILLY AUTOMOTIVE  INC.</v>
      </c>
    </row>
    <row r="3322" spans="1:9" x14ac:dyDescent="0.25">
      <c r="A3322" s="6">
        <v>43235</v>
      </c>
      <c r="B3322" t="s">
        <v>26</v>
      </c>
      <c r="C3322">
        <v>57630</v>
      </c>
      <c r="D3322" t="s">
        <v>400</v>
      </c>
      <c r="E3322" s="7">
        <v>130.28</v>
      </c>
      <c r="F3322" t="s">
        <v>20</v>
      </c>
      <c r="G3322" t="s">
        <v>21</v>
      </c>
      <c r="H3322" t="str">
        <f>"N.C. REIMBUR"</f>
        <v>N.C. REIMBUR</v>
      </c>
      <c r="I3322" t="str">
        <f>"REIMBURSEMENT"</f>
        <v>REIMBURSEMENT</v>
      </c>
    </row>
    <row r="3323" spans="1:9" x14ac:dyDescent="0.25">
      <c r="A3323" s="6">
        <v>43235</v>
      </c>
      <c r="B3323" t="s">
        <v>26</v>
      </c>
      <c r="C3323">
        <v>57631</v>
      </c>
      <c r="D3323" t="s">
        <v>401</v>
      </c>
      <c r="E3323" s="7">
        <v>2500</v>
      </c>
      <c r="F3323" t="s">
        <v>20</v>
      </c>
      <c r="G3323" t="s">
        <v>21</v>
      </c>
      <c r="H3323" t="str">
        <f>"2018 SYP"</f>
        <v>2018 SYP</v>
      </c>
      <c r="I3323" t="str">
        <f>"WILSON COUNTY PUBLIC LIBRARY"</f>
        <v>WILSON COUNTY PUBLIC LIBRARY</v>
      </c>
    </row>
    <row r="3324" spans="1:9" x14ac:dyDescent="0.25">
      <c r="A3324" s="6">
        <v>43235</v>
      </c>
      <c r="B3324" t="s">
        <v>26</v>
      </c>
      <c r="C3324">
        <v>57632</v>
      </c>
      <c r="D3324" t="s">
        <v>168</v>
      </c>
      <c r="E3324" s="7">
        <v>1587</v>
      </c>
      <c r="F3324" t="s">
        <v>20</v>
      </c>
      <c r="G3324" t="s">
        <v>21</v>
      </c>
      <c r="H3324" t="str">
        <f>"LI-5408"</f>
        <v>LI-5408</v>
      </c>
      <c r="I3324" t="str">
        <f>"BEXAR COUNTY AUDITOR/ATTN:CRIM"</f>
        <v>BEXAR COUNTY AUDITOR/ATTN:CRIM</v>
      </c>
    </row>
    <row r="3325" spans="1:9" x14ac:dyDescent="0.25">
      <c r="E3325" s="7"/>
      <c r="F3325" t="s">
        <v>20</v>
      </c>
      <c r="G3325" t="s">
        <v>21</v>
      </c>
      <c r="H3325" t="str">
        <f>"LI-5409"</f>
        <v>LI-5409</v>
      </c>
      <c r="I3325" t="str">
        <f>"BEXAR COUNTY AUDITOR/ATTN:CRIM"</f>
        <v>BEXAR COUNTY AUDITOR/ATTN:CRIM</v>
      </c>
    </row>
    <row r="3326" spans="1:9" x14ac:dyDescent="0.25">
      <c r="A3326" s="6">
        <v>43235</v>
      </c>
      <c r="B3326" t="s">
        <v>26</v>
      </c>
      <c r="C3326">
        <v>57633</v>
      </c>
      <c r="D3326" t="s">
        <v>169</v>
      </c>
      <c r="E3326" s="7">
        <v>32.49</v>
      </c>
      <c r="F3326" t="s">
        <v>20</v>
      </c>
      <c r="G3326" t="s">
        <v>21</v>
      </c>
      <c r="H3326" t="str">
        <f>"105810"</f>
        <v>105810</v>
      </c>
      <c r="I3326" t="str">
        <f>"THE POLICE AND SHERIFFS PRESS"</f>
        <v>THE POLICE AND SHERIFFS PRESS</v>
      </c>
    </row>
    <row r="3327" spans="1:9" x14ac:dyDescent="0.25">
      <c r="A3327" s="6">
        <v>43235</v>
      </c>
      <c r="B3327" t="s">
        <v>26</v>
      </c>
      <c r="C3327">
        <v>57634</v>
      </c>
      <c r="D3327" t="s">
        <v>115</v>
      </c>
      <c r="E3327" s="7">
        <v>23.97</v>
      </c>
      <c r="F3327" t="s">
        <v>20</v>
      </c>
      <c r="G3327" t="s">
        <v>21</v>
      </c>
      <c r="H3327" t="str">
        <f>"3547144030"</f>
        <v>3547144030</v>
      </c>
      <c r="I3327" t="str">
        <f>"AUTOZONE"</f>
        <v>AUTOZONE</v>
      </c>
    </row>
    <row r="3328" spans="1:9" x14ac:dyDescent="0.25">
      <c r="E3328" s="7"/>
      <c r="F3328" t="s">
        <v>20</v>
      </c>
      <c r="G3328" t="s">
        <v>21</v>
      </c>
      <c r="H3328" t="str">
        <f>"3547145413"</f>
        <v>3547145413</v>
      </c>
      <c r="I3328" t="str">
        <f>"AUTOZONE"</f>
        <v>AUTOZONE</v>
      </c>
    </row>
    <row r="3329" spans="1:9" x14ac:dyDescent="0.25">
      <c r="A3329" s="6">
        <v>43235</v>
      </c>
      <c r="B3329" t="s">
        <v>26</v>
      </c>
      <c r="C3329">
        <v>57635</v>
      </c>
      <c r="D3329" t="s">
        <v>63</v>
      </c>
      <c r="E3329" s="7">
        <v>919.85</v>
      </c>
      <c r="F3329" t="s">
        <v>20</v>
      </c>
      <c r="G3329" t="s">
        <v>21</v>
      </c>
      <c r="H3329" t="str">
        <f>"8403631926"</f>
        <v>8403631926</v>
      </c>
      <c r="I3329" t="str">
        <f>"CINTAS CORPORATION"</f>
        <v>CINTAS CORPORATION</v>
      </c>
    </row>
    <row r="3330" spans="1:9" x14ac:dyDescent="0.25">
      <c r="E3330" s="7"/>
      <c r="F3330" t="s">
        <v>20</v>
      </c>
      <c r="G3330" t="s">
        <v>21</v>
      </c>
      <c r="H3330" t="str">
        <f>"8403646884"</f>
        <v>8403646884</v>
      </c>
      <c r="I3330" t="str">
        <f>"CINTAS CORPORATION"</f>
        <v>CINTAS CORPORATION</v>
      </c>
    </row>
    <row r="3331" spans="1:9" x14ac:dyDescent="0.25">
      <c r="A3331" s="6">
        <v>43235</v>
      </c>
      <c r="B3331" t="s">
        <v>26</v>
      </c>
      <c r="C3331">
        <v>57636</v>
      </c>
      <c r="D3331" t="s">
        <v>185</v>
      </c>
      <c r="E3331" s="7">
        <v>23.12</v>
      </c>
      <c r="F3331" t="s">
        <v>20</v>
      </c>
      <c r="G3331" t="s">
        <v>21</v>
      </c>
      <c r="H3331" t="str">
        <f>"720980"</f>
        <v>720980</v>
      </c>
      <c r="I3331" t="str">
        <f>"SOUTHWAY FORD"</f>
        <v>SOUTHWAY FORD</v>
      </c>
    </row>
    <row r="3332" spans="1:9" x14ac:dyDescent="0.25">
      <c r="A3332" s="6">
        <v>43235</v>
      </c>
      <c r="B3332" t="s">
        <v>26</v>
      </c>
      <c r="C3332">
        <v>57637</v>
      </c>
      <c r="D3332" t="s">
        <v>186</v>
      </c>
      <c r="E3332" s="7">
        <v>5957.83</v>
      </c>
      <c r="F3332" t="s">
        <v>20</v>
      </c>
      <c r="G3332" t="s">
        <v>21</v>
      </c>
      <c r="H3332" t="str">
        <f>"2018 3RD QTR"</f>
        <v>2018 3RD QTR</v>
      </c>
      <c r="I3332" t="str">
        <f>"WILSON COUNTY APPRAISAL DISTRI"</f>
        <v>WILSON COUNTY APPRAISAL DISTRI</v>
      </c>
    </row>
    <row r="3333" spans="1:9" x14ac:dyDescent="0.25">
      <c r="A3333" s="6">
        <v>43235</v>
      </c>
      <c r="B3333" t="s">
        <v>26</v>
      </c>
      <c r="C3333">
        <v>57638</v>
      </c>
      <c r="D3333" t="s">
        <v>66</v>
      </c>
      <c r="E3333" s="7">
        <v>267.5</v>
      </c>
      <c r="F3333" t="s">
        <v>20</v>
      </c>
      <c r="G3333" t="s">
        <v>21</v>
      </c>
      <c r="H3333" t="str">
        <f>"52389"</f>
        <v>52389</v>
      </c>
      <c r="I3333" t="str">
        <f>"LOPEZ EXTERMINATING SERVICE  I"</f>
        <v>LOPEZ EXTERMINATING SERVICE  I</v>
      </c>
    </row>
    <row r="3334" spans="1:9" x14ac:dyDescent="0.25">
      <c r="E3334" s="7"/>
      <c r="F3334" t="s">
        <v>20</v>
      </c>
      <c r="G3334" t="s">
        <v>21</v>
      </c>
      <c r="H3334" t="str">
        <f>"52473"</f>
        <v>52473</v>
      </c>
      <c r="I3334" t="str">
        <f>"LOPEZ EXTERMINATING SERVICE  I"</f>
        <v>LOPEZ EXTERMINATING SERVICE  I</v>
      </c>
    </row>
    <row r="3335" spans="1:9" x14ac:dyDescent="0.25">
      <c r="A3335" s="6">
        <v>43235</v>
      </c>
      <c r="B3335" t="s">
        <v>26</v>
      </c>
      <c r="C3335">
        <v>57639</v>
      </c>
      <c r="D3335" t="s">
        <v>118</v>
      </c>
      <c r="E3335" s="7">
        <v>234</v>
      </c>
      <c r="F3335" t="s">
        <v>20</v>
      </c>
      <c r="G3335" t="s">
        <v>21</v>
      </c>
      <c r="H3335" t="str">
        <f>"10881"</f>
        <v>10881</v>
      </c>
      <c r="I3335" t="str">
        <f>"BRYAN AIR CONDITIONING &amp; HEATI"</f>
        <v>BRYAN AIR CONDITIONING &amp; HEATI</v>
      </c>
    </row>
    <row r="3336" spans="1:9" x14ac:dyDescent="0.25">
      <c r="A3336" s="6">
        <v>43235</v>
      </c>
      <c r="B3336" t="s">
        <v>26</v>
      </c>
      <c r="C3336">
        <v>57640</v>
      </c>
      <c r="D3336" t="s">
        <v>119</v>
      </c>
      <c r="E3336" s="7">
        <v>768.6</v>
      </c>
      <c r="F3336" t="s">
        <v>20</v>
      </c>
      <c r="G3336" t="s">
        <v>21</v>
      </c>
      <c r="H3336" t="str">
        <f>"39155"</f>
        <v>39155</v>
      </c>
      <c r="I3336" t="str">
        <f>"PRUSKI'S TIRE SHOP  L.L.C."</f>
        <v>PRUSKI'S TIRE SHOP  L.L.C.</v>
      </c>
    </row>
    <row r="3337" spans="1:9" x14ac:dyDescent="0.25">
      <c r="E3337" s="7"/>
      <c r="F3337" t="s">
        <v>20</v>
      </c>
      <c r="G3337" t="s">
        <v>21</v>
      </c>
      <c r="H3337" t="str">
        <f>"39210"</f>
        <v>39210</v>
      </c>
      <c r="I3337" t="str">
        <f>"PRUSKI'S TIRE SHOP  L.L.C."</f>
        <v>PRUSKI'S TIRE SHOP  L.L.C.</v>
      </c>
    </row>
    <row r="3338" spans="1:9" x14ac:dyDescent="0.25">
      <c r="E3338" s="7"/>
      <c r="F3338" t="s">
        <v>20</v>
      </c>
      <c r="G3338" t="s">
        <v>21</v>
      </c>
      <c r="H3338" t="str">
        <f>"39330"</f>
        <v>39330</v>
      </c>
      <c r="I3338" t="str">
        <f>"PRUSKI'S TIRE SHOP  L.L.C."</f>
        <v>PRUSKI'S TIRE SHOP  L.L.C.</v>
      </c>
    </row>
    <row r="3339" spans="1:9" x14ac:dyDescent="0.25">
      <c r="A3339" s="6">
        <v>43235</v>
      </c>
      <c r="B3339" t="s">
        <v>26</v>
      </c>
      <c r="C3339">
        <v>57641</v>
      </c>
      <c r="D3339" t="s">
        <v>120</v>
      </c>
      <c r="E3339" s="7">
        <v>1782.29</v>
      </c>
      <c r="F3339" t="s">
        <v>20</v>
      </c>
      <c r="G3339" t="s">
        <v>21</v>
      </c>
      <c r="H3339" t="str">
        <f>"70773705"</f>
        <v>70773705</v>
      </c>
      <c r="I3339" t="str">
        <f>"VERIZON BUSINESS"</f>
        <v>VERIZON BUSINESS</v>
      </c>
    </row>
    <row r="3340" spans="1:9" x14ac:dyDescent="0.25">
      <c r="E3340" s="7"/>
      <c r="F3340" t="s">
        <v>20</v>
      </c>
      <c r="G3340" t="s">
        <v>21</v>
      </c>
      <c r="H3340" t="str">
        <f>"70778968"</f>
        <v>70778968</v>
      </c>
      <c r="I3340" t="str">
        <f>"VERIZON BUSINESS"</f>
        <v>VERIZON BUSINESS</v>
      </c>
    </row>
    <row r="3341" spans="1:9" x14ac:dyDescent="0.25">
      <c r="A3341" s="6">
        <v>43235</v>
      </c>
      <c r="B3341" t="s">
        <v>26</v>
      </c>
      <c r="C3341">
        <v>57642</v>
      </c>
      <c r="D3341" t="s">
        <v>402</v>
      </c>
      <c r="E3341" s="7">
        <v>100</v>
      </c>
      <c r="F3341" t="s">
        <v>20</v>
      </c>
      <c r="G3341" t="s">
        <v>21</v>
      </c>
      <c r="H3341" t="str">
        <f>"2017-07-07"</f>
        <v>2017-07-07</v>
      </c>
      <c r="I3341" t="str">
        <f>"BETTY LOU SCHROEDER  PH.D."</f>
        <v>BETTY LOU SCHROEDER  PH.D.</v>
      </c>
    </row>
    <row r="3342" spans="1:9" x14ac:dyDescent="0.25">
      <c r="A3342" s="6">
        <v>43235</v>
      </c>
      <c r="B3342" t="s">
        <v>26</v>
      </c>
      <c r="C3342">
        <v>57643</v>
      </c>
      <c r="D3342" t="s">
        <v>71</v>
      </c>
      <c r="E3342" s="7">
        <v>115.22</v>
      </c>
      <c r="F3342" t="s">
        <v>20</v>
      </c>
      <c r="G3342" t="s">
        <v>21</v>
      </c>
      <c r="H3342" t="str">
        <f>"087119560"</f>
        <v>087119560</v>
      </c>
      <c r="I3342" t="str">
        <f>"CINTAS CORPORATION #087"</f>
        <v>CINTAS CORPORATION #087</v>
      </c>
    </row>
    <row r="3343" spans="1:9" x14ac:dyDescent="0.25">
      <c r="E3343" s="7"/>
      <c r="F3343" t="s">
        <v>20</v>
      </c>
      <c r="G3343" t="s">
        <v>21</v>
      </c>
      <c r="H3343" t="str">
        <f>"087127553"</f>
        <v>087127553</v>
      </c>
      <c r="I3343" t="str">
        <f>"CINTAS CORPORATION #087"</f>
        <v>CINTAS CORPORATION #087</v>
      </c>
    </row>
    <row r="3344" spans="1:9" x14ac:dyDescent="0.25">
      <c r="A3344" s="6">
        <v>43235</v>
      </c>
      <c r="B3344" t="s">
        <v>26</v>
      </c>
      <c r="C3344">
        <v>57644</v>
      </c>
      <c r="D3344" t="s">
        <v>73</v>
      </c>
      <c r="E3344" s="7">
        <v>39189.75</v>
      </c>
      <c r="F3344" t="s">
        <v>20</v>
      </c>
      <c r="G3344" t="s">
        <v>21</v>
      </c>
      <c r="H3344" t="str">
        <f>"4.01.18"</f>
        <v>4.01.18</v>
      </c>
      <c r="I3344" t="str">
        <f>"TML INTERGOVERNMENTAL RISK POO"</f>
        <v>TML INTERGOVERNMENTAL RISK POO</v>
      </c>
    </row>
    <row r="3345" spans="1:9" x14ac:dyDescent="0.25">
      <c r="A3345" s="6">
        <v>43235</v>
      </c>
      <c r="B3345" t="s">
        <v>26</v>
      </c>
      <c r="C3345">
        <v>57645</v>
      </c>
      <c r="D3345" t="s">
        <v>122</v>
      </c>
      <c r="E3345" s="7">
        <v>224</v>
      </c>
      <c r="F3345" t="s">
        <v>20</v>
      </c>
      <c r="G3345" t="s">
        <v>21</v>
      </c>
      <c r="H3345" t="str">
        <f>"0776191"</f>
        <v>0776191</v>
      </c>
      <c r="I3345" t="str">
        <f>"VILLA TIRES"</f>
        <v>VILLA TIRES</v>
      </c>
    </row>
    <row r="3346" spans="1:9" x14ac:dyDescent="0.25">
      <c r="E3346" s="7"/>
      <c r="F3346" t="s">
        <v>20</v>
      </c>
      <c r="G3346" t="s">
        <v>21</v>
      </c>
      <c r="H3346" t="str">
        <f>"0776196"</f>
        <v>0776196</v>
      </c>
      <c r="I3346" t="str">
        <f>"VILLA TIRES"</f>
        <v>VILLA TIRES</v>
      </c>
    </row>
    <row r="3347" spans="1:9" x14ac:dyDescent="0.25">
      <c r="E3347" s="7"/>
      <c r="F3347" t="s">
        <v>20</v>
      </c>
      <c r="G3347" t="s">
        <v>21</v>
      </c>
      <c r="H3347" t="str">
        <f>"0776200"</f>
        <v>0776200</v>
      </c>
      <c r="I3347" t="str">
        <f>"VILLA TIRES"</f>
        <v>VILLA TIRES</v>
      </c>
    </row>
    <row r="3348" spans="1:9" x14ac:dyDescent="0.25">
      <c r="A3348" s="6">
        <v>43235</v>
      </c>
      <c r="B3348" t="s">
        <v>26</v>
      </c>
      <c r="C3348">
        <v>57646</v>
      </c>
      <c r="D3348" t="s">
        <v>403</v>
      </c>
      <c r="E3348" s="7">
        <v>1672</v>
      </c>
      <c r="F3348" t="s">
        <v>20</v>
      </c>
      <c r="G3348" t="s">
        <v>21</v>
      </c>
      <c r="H3348" t="str">
        <f>"2018 SYP"</f>
        <v>2018 SYP</v>
      </c>
      <c r="I3348" t="str">
        <f>"ARCADIA THEATRE-FLORESVILLE"</f>
        <v>ARCADIA THEATRE-FLORESVILLE</v>
      </c>
    </row>
    <row r="3349" spans="1:9" x14ac:dyDescent="0.25">
      <c r="A3349" s="6">
        <v>43235</v>
      </c>
      <c r="B3349" t="s">
        <v>26</v>
      </c>
      <c r="C3349">
        <v>57647</v>
      </c>
      <c r="D3349" t="s">
        <v>74</v>
      </c>
      <c r="E3349" s="7">
        <v>3495.79</v>
      </c>
      <c r="F3349" t="s">
        <v>20</v>
      </c>
      <c r="G3349" t="s">
        <v>21</v>
      </c>
      <c r="H3349" t="str">
        <f>"9805987173"</f>
        <v>9805987173</v>
      </c>
      <c r="I3349" t="str">
        <f>"VERIZON WIRELESS"</f>
        <v>VERIZON WIRELESS</v>
      </c>
    </row>
    <row r="3350" spans="1:9" x14ac:dyDescent="0.25">
      <c r="A3350" s="6">
        <v>43235</v>
      </c>
      <c r="B3350" t="s">
        <v>26</v>
      </c>
      <c r="C3350">
        <v>57649</v>
      </c>
      <c r="D3350" t="s">
        <v>136</v>
      </c>
      <c r="E3350" s="7">
        <v>234</v>
      </c>
      <c r="F3350" t="s">
        <v>20</v>
      </c>
      <c r="G3350" t="s">
        <v>21</v>
      </c>
      <c r="H3350" t="str">
        <f>"5/7-5/10"</f>
        <v>5/7-5/10</v>
      </c>
      <c r="I3350" t="str">
        <f>"INEZ CLARICE TRINIDAD"</f>
        <v>INEZ CLARICE TRINIDAD</v>
      </c>
    </row>
    <row r="3351" spans="1:9" x14ac:dyDescent="0.25">
      <c r="A3351" s="6">
        <v>43235</v>
      </c>
      <c r="B3351" t="s">
        <v>26</v>
      </c>
      <c r="C3351">
        <v>57650</v>
      </c>
      <c r="D3351" t="s">
        <v>123</v>
      </c>
      <c r="E3351" s="7">
        <v>59.37</v>
      </c>
      <c r="F3351" t="s">
        <v>20</v>
      </c>
      <c r="G3351" t="s">
        <v>21</v>
      </c>
      <c r="H3351" t="str">
        <f>"132313302001"</f>
        <v>132313302001</v>
      </c>
      <c r="I3351" t="str">
        <f>"OFFICE DEPOT  INC."</f>
        <v>OFFICE DEPOT  INC.</v>
      </c>
    </row>
    <row r="3352" spans="1:9" x14ac:dyDescent="0.25">
      <c r="E3352" s="7"/>
      <c r="F3352" t="s">
        <v>20</v>
      </c>
      <c r="G3352" t="s">
        <v>21</v>
      </c>
      <c r="H3352" t="str">
        <f>"132313303001"</f>
        <v>132313303001</v>
      </c>
      <c r="I3352" t="str">
        <f>"OFFICE DEPOT  INC."</f>
        <v>OFFICE DEPOT  INC.</v>
      </c>
    </row>
    <row r="3353" spans="1:9" x14ac:dyDescent="0.25">
      <c r="A3353" s="6">
        <v>43235</v>
      </c>
      <c r="B3353" t="s">
        <v>26</v>
      </c>
      <c r="C3353">
        <v>57651</v>
      </c>
      <c r="D3353" t="s">
        <v>126</v>
      </c>
      <c r="E3353" s="7">
        <v>76822</v>
      </c>
      <c r="F3353" t="s">
        <v>20</v>
      </c>
      <c r="G3353" t="s">
        <v>21</v>
      </c>
      <c r="H3353" t="str">
        <f>"0859-002049034"</f>
        <v>0859-002049034</v>
      </c>
      <c r="I3353" t="str">
        <f>"REPUBLIC SERVICES #859"</f>
        <v>REPUBLIC SERVICES #859</v>
      </c>
    </row>
    <row r="3354" spans="1:9" x14ac:dyDescent="0.25">
      <c r="A3354" s="6">
        <v>43235</v>
      </c>
      <c r="B3354" t="s">
        <v>26</v>
      </c>
      <c r="C3354">
        <v>57652</v>
      </c>
      <c r="D3354" t="s">
        <v>79</v>
      </c>
      <c r="E3354" s="7">
        <v>6.53</v>
      </c>
      <c r="F3354" t="s">
        <v>20</v>
      </c>
      <c r="G3354" t="s">
        <v>21</v>
      </c>
      <c r="H3354" t="str">
        <f>"6-177-43381"</f>
        <v>6-177-43381</v>
      </c>
      <c r="I3354" t="str">
        <f>"FEDEX"</f>
        <v>FEDEX</v>
      </c>
    </row>
    <row r="3355" spans="1:9" x14ac:dyDescent="0.25">
      <c r="A3355" s="6">
        <v>43235</v>
      </c>
      <c r="B3355" t="s">
        <v>26</v>
      </c>
      <c r="C3355">
        <v>57653</v>
      </c>
      <c r="D3355" t="s">
        <v>81</v>
      </c>
      <c r="E3355" s="7">
        <v>77.5</v>
      </c>
      <c r="F3355" t="s">
        <v>20</v>
      </c>
      <c r="G3355" t="s">
        <v>21</v>
      </c>
      <c r="H3355" t="str">
        <f>"A.M. 5/14/18"</f>
        <v>A.M. 5/14/18</v>
      </c>
      <c r="I3355" t="str">
        <f>"CITY OF FLORESVILLE -PETTY CAS"</f>
        <v>CITY OF FLORESVILLE -PETTY CAS</v>
      </c>
    </row>
    <row r="3356" spans="1:9" x14ac:dyDescent="0.25">
      <c r="A3356" s="6">
        <v>43235</v>
      </c>
      <c r="B3356" t="s">
        <v>26</v>
      </c>
      <c r="C3356">
        <v>57654</v>
      </c>
      <c r="D3356" t="s">
        <v>380</v>
      </c>
      <c r="E3356" s="7">
        <v>13000</v>
      </c>
      <c r="F3356" t="s">
        <v>20</v>
      </c>
      <c r="G3356" t="s">
        <v>21</v>
      </c>
      <c r="H3356" t="str">
        <f>"56016"</f>
        <v>56016</v>
      </c>
      <c r="I3356" t="str">
        <f>"ABIP CERTIFIED PUBLIC ACCOUNTA"</f>
        <v>ABIP CERTIFIED PUBLIC ACCOUNTA</v>
      </c>
    </row>
    <row r="3357" spans="1:9" x14ac:dyDescent="0.25">
      <c r="A3357" s="6">
        <v>43235</v>
      </c>
      <c r="B3357" t="s">
        <v>26</v>
      </c>
      <c r="C3357">
        <v>57655</v>
      </c>
      <c r="D3357" t="s">
        <v>131</v>
      </c>
      <c r="E3357" s="7">
        <v>716.64</v>
      </c>
      <c r="F3357" t="s">
        <v>20</v>
      </c>
      <c r="G3357" t="s">
        <v>21</v>
      </c>
      <c r="H3357" t="str">
        <f>"028935"</f>
        <v>028935</v>
      </c>
      <c r="I3357" t="str">
        <f>"R &amp; S TEXAS PARTS CO"</f>
        <v>R &amp; S TEXAS PARTS CO</v>
      </c>
    </row>
    <row r="3358" spans="1:9" x14ac:dyDescent="0.25">
      <c r="E3358" s="7"/>
      <c r="F3358" t="s">
        <v>20</v>
      </c>
      <c r="G3358" t="s">
        <v>21</v>
      </c>
      <c r="H3358" t="str">
        <f>"029076"</f>
        <v>029076</v>
      </c>
      <c r="I3358" t="str">
        <f>"R &amp; S TEXAS PARTS CO"</f>
        <v>R &amp; S TEXAS PARTS CO</v>
      </c>
    </row>
    <row r="3359" spans="1:9" x14ac:dyDescent="0.25">
      <c r="A3359" s="6">
        <v>43235</v>
      </c>
      <c r="B3359" t="s">
        <v>26</v>
      </c>
      <c r="C3359">
        <v>57656</v>
      </c>
      <c r="D3359" t="s">
        <v>84</v>
      </c>
      <c r="E3359" s="7">
        <v>23165.82</v>
      </c>
      <c r="F3359" t="s">
        <v>20</v>
      </c>
      <c r="G3359" t="s">
        <v>21</v>
      </c>
      <c r="H3359" t="str">
        <f>"1350328"</f>
        <v>1350328</v>
      </c>
      <c r="I3359" t="str">
        <f>"STANTEC CONSULTING SERVICES IN"</f>
        <v>STANTEC CONSULTING SERVICES IN</v>
      </c>
    </row>
    <row r="3360" spans="1:9" x14ac:dyDescent="0.25">
      <c r="A3360" s="6">
        <v>43235</v>
      </c>
      <c r="B3360" t="s">
        <v>26</v>
      </c>
      <c r="C3360">
        <v>57657</v>
      </c>
      <c r="D3360" t="s">
        <v>85</v>
      </c>
      <c r="E3360" s="7">
        <v>6243.76</v>
      </c>
      <c r="F3360" t="s">
        <v>20</v>
      </c>
      <c r="G3360" t="s">
        <v>21</v>
      </c>
      <c r="H3360" t="str">
        <f>"201805148375"</f>
        <v>201805148375</v>
      </c>
      <c r="I3360" t="str">
        <f>"FRONTIER"</f>
        <v>FRONTIER</v>
      </c>
    </row>
    <row r="3361" spans="1:9" x14ac:dyDescent="0.25">
      <c r="E3361" s="7"/>
      <c r="F3361" t="s">
        <v>20</v>
      </c>
      <c r="G3361" t="s">
        <v>21</v>
      </c>
      <c r="H3361" t="str">
        <f>"201805158376"</f>
        <v>201805158376</v>
      </c>
      <c r="I3361" t="str">
        <f>"FRONTIER"</f>
        <v>FRONTIER</v>
      </c>
    </row>
    <row r="3362" spans="1:9" x14ac:dyDescent="0.25">
      <c r="E3362" s="7"/>
      <c r="F3362" t="s">
        <v>20</v>
      </c>
      <c r="G3362" t="s">
        <v>21</v>
      </c>
      <c r="H3362" t="str">
        <f>"201805158381"</f>
        <v>201805158381</v>
      </c>
      <c r="I3362" t="str">
        <f>"FRONTIER"</f>
        <v>FRONTIER</v>
      </c>
    </row>
    <row r="3363" spans="1:9" x14ac:dyDescent="0.25">
      <c r="A3363" s="6">
        <v>43235</v>
      </c>
      <c r="B3363" t="s">
        <v>26</v>
      </c>
      <c r="C3363">
        <v>57658</v>
      </c>
      <c r="D3363" t="s">
        <v>194</v>
      </c>
      <c r="E3363" s="7">
        <v>602.85</v>
      </c>
      <c r="F3363" t="s">
        <v>20</v>
      </c>
      <c r="G3363" t="s">
        <v>21</v>
      </c>
      <c r="H3363" t="str">
        <f>"009718728"</f>
        <v>009718728</v>
      </c>
      <c r="I3363" t="str">
        <f>"GALLS  LLC-D.B.A. STERLING'S U"</f>
        <v>GALLS  LLC-D.B.A. STERLING'S U</v>
      </c>
    </row>
    <row r="3364" spans="1:9" x14ac:dyDescent="0.25">
      <c r="E3364" s="7"/>
      <c r="F3364" t="s">
        <v>20</v>
      </c>
      <c r="G3364" t="s">
        <v>21</v>
      </c>
      <c r="H3364" t="str">
        <f>"009718731"</f>
        <v>009718731</v>
      </c>
      <c r="I3364" t="str">
        <f>"GALLS  LLC-D.B.A. STERLING'S U"</f>
        <v>GALLS  LLC-D.B.A. STERLING'S U</v>
      </c>
    </row>
    <row r="3365" spans="1:9" x14ac:dyDescent="0.25">
      <c r="A3365" s="6">
        <v>43235</v>
      </c>
      <c r="B3365" t="s">
        <v>26</v>
      </c>
      <c r="C3365">
        <v>57659</v>
      </c>
      <c r="D3365" t="s">
        <v>404</v>
      </c>
      <c r="E3365" s="7">
        <v>500</v>
      </c>
      <c r="F3365" t="s">
        <v>20</v>
      </c>
      <c r="G3365" t="s">
        <v>21</v>
      </c>
      <c r="H3365" t="str">
        <f>"2018 SYP"</f>
        <v>2018 SYP</v>
      </c>
      <c r="I3365" t="str">
        <f>"WILSON COUNTY ELITE BALLERZ"</f>
        <v>WILSON COUNTY ELITE BALLERZ</v>
      </c>
    </row>
    <row r="3366" spans="1:9" x14ac:dyDescent="0.25">
      <c r="A3366" s="6">
        <v>43235</v>
      </c>
      <c r="B3366" t="s">
        <v>26</v>
      </c>
      <c r="C3366">
        <v>57660</v>
      </c>
      <c r="D3366" t="s">
        <v>405</v>
      </c>
      <c r="E3366" s="7">
        <v>500</v>
      </c>
      <c r="F3366" t="s">
        <v>20</v>
      </c>
      <c r="G3366" t="s">
        <v>21</v>
      </c>
      <c r="H3366" t="str">
        <f>"2018 SYP"</f>
        <v>2018 SYP</v>
      </c>
      <c r="I3366" t="str">
        <f>"ALL CITY YOUTH PROGRAMS"</f>
        <v>ALL CITY YOUTH PROGRAMS</v>
      </c>
    </row>
    <row r="3367" spans="1:9" x14ac:dyDescent="0.25">
      <c r="A3367" s="6">
        <v>43235</v>
      </c>
      <c r="B3367" t="s">
        <v>26</v>
      </c>
      <c r="C3367">
        <v>57661</v>
      </c>
      <c r="D3367" t="s">
        <v>176</v>
      </c>
      <c r="E3367" s="7">
        <v>389759.04</v>
      </c>
      <c r="F3367" t="s">
        <v>20</v>
      </c>
      <c r="G3367" t="s">
        <v>21</v>
      </c>
      <c r="H3367" t="str">
        <f>"PAY APP#17"</f>
        <v>PAY APP#17</v>
      </c>
      <c r="I3367" t="str">
        <f>"PEPPER-LAWSON WATERWORKS"</f>
        <v>PEPPER-LAWSON WATERWORKS</v>
      </c>
    </row>
    <row r="3368" spans="1:9" x14ac:dyDescent="0.25">
      <c r="A3368" s="6">
        <v>43235</v>
      </c>
      <c r="B3368" t="s">
        <v>26</v>
      </c>
      <c r="C3368">
        <v>57662</v>
      </c>
      <c r="D3368" t="s">
        <v>406</v>
      </c>
      <c r="E3368" s="7">
        <v>500</v>
      </c>
      <c r="F3368" t="s">
        <v>20</v>
      </c>
      <c r="G3368" t="s">
        <v>21</v>
      </c>
      <c r="H3368" t="str">
        <f>"2018 SYP"</f>
        <v>2018 SYP</v>
      </c>
      <c r="I3368" t="str">
        <f>"WILSON COUNTY BALLET SUMMER PR"</f>
        <v>WILSON COUNTY BALLET SUMMER PR</v>
      </c>
    </row>
    <row r="3369" spans="1:9" x14ac:dyDescent="0.25">
      <c r="A3369" s="6">
        <v>43235</v>
      </c>
      <c r="B3369" t="s">
        <v>26</v>
      </c>
      <c r="C3369">
        <v>57663</v>
      </c>
      <c r="D3369" t="s">
        <v>407</v>
      </c>
      <c r="E3369" s="7">
        <v>331.65</v>
      </c>
      <c r="F3369" t="s">
        <v>20</v>
      </c>
      <c r="G3369" t="s">
        <v>21</v>
      </c>
      <c r="H3369" t="str">
        <f>"9109708"</f>
        <v>9109708</v>
      </c>
      <c r="I3369" t="str">
        <f>"WASTEQUIP  LLC"</f>
        <v>WASTEQUIP  LLC</v>
      </c>
    </row>
    <row r="3370" spans="1:9" x14ac:dyDescent="0.25">
      <c r="A3370" s="6">
        <v>43235</v>
      </c>
      <c r="B3370" t="s">
        <v>26</v>
      </c>
      <c r="C3370">
        <v>57664</v>
      </c>
      <c r="D3370" t="s">
        <v>408</v>
      </c>
      <c r="E3370" s="7">
        <v>2300</v>
      </c>
      <c r="F3370" t="s">
        <v>20</v>
      </c>
      <c r="G3370" t="s">
        <v>21</v>
      </c>
      <c r="H3370" t="str">
        <f>"LK18 0418"</f>
        <v>LK18 0418</v>
      </c>
      <c r="I3370" t="str">
        <f>"SAFREEDOMSAVER.COM"</f>
        <v>SAFREEDOMSAVER.COM</v>
      </c>
    </row>
    <row r="3371" spans="1:9" x14ac:dyDescent="0.25">
      <c r="A3371" s="6">
        <v>43235</v>
      </c>
      <c r="B3371" t="s">
        <v>26</v>
      </c>
      <c r="C3371">
        <v>57665</v>
      </c>
      <c r="D3371" t="s">
        <v>409</v>
      </c>
      <c r="E3371" s="7">
        <v>500</v>
      </c>
      <c r="F3371" t="s">
        <v>20</v>
      </c>
      <c r="G3371" t="s">
        <v>21</v>
      </c>
      <c r="H3371" t="str">
        <f>"2018 SYP"</f>
        <v>2018 SYP</v>
      </c>
      <c r="I3371" t="str">
        <f>"WILSON COUNTY ELITE FOOTBALL"</f>
        <v>WILSON COUNTY ELITE FOOTBALL</v>
      </c>
    </row>
    <row r="3372" spans="1:9" x14ac:dyDescent="0.25">
      <c r="A3372" s="6">
        <v>43236</v>
      </c>
      <c r="B3372" t="s">
        <v>26</v>
      </c>
      <c r="C3372">
        <v>57666</v>
      </c>
      <c r="D3372" t="s">
        <v>345</v>
      </c>
      <c r="E3372" s="7">
        <v>489.5</v>
      </c>
      <c r="F3372" t="s">
        <v>20</v>
      </c>
      <c r="G3372" t="s">
        <v>21</v>
      </c>
      <c r="H3372" t="str">
        <f>"4/30-5/5"</f>
        <v>4/30-5/5</v>
      </c>
      <c r="I3372" t="str">
        <f>"MICHAEL ISAAC MARTINEZ"</f>
        <v>MICHAEL ISAAC MARTINEZ</v>
      </c>
    </row>
    <row r="3373" spans="1:9" x14ac:dyDescent="0.25">
      <c r="E3373" s="7"/>
      <c r="F3373" t="s">
        <v>20</v>
      </c>
      <c r="G3373" t="s">
        <v>21</v>
      </c>
      <c r="H3373" t="str">
        <f>"5/7-5/11"</f>
        <v>5/7-5/11</v>
      </c>
      <c r="I3373" t="str">
        <f>"MICHAEL ISAAC MARTINEZ"</f>
        <v>MICHAEL ISAAC MARTINEZ</v>
      </c>
    </row>
    <row r="3374" spans="1:9" x14ac:dyDescent="0.25">
      <c r="A3374" s="6">
        <v>43237</v>
      </c>
      <c r="B3374" t="s">
        <v>26</v>
      </c>
      <c r="C3374">
        <v>57667</v>
      </c>
      <c r="D3374" t="s">
        <v>59</v>
      </c>
      <c r="E3374" s="7">
        <v>10362.64</v>
      </c>
      <c r="F3374" t="s">
        <v>20</v>
      </c>
      <c r="G3374" t="s">
        <v>21</v>
      </c>
      <c r="H3374" t="str">
        <f>"0941046-1"</f>
        <v>0941046-1</v>
      </c>
      <c r="I3374" t="str">
        <f>"FERGUSON WATERWORKS - MUNICIPA"</f>
        <v>FERGUSON WATERWORKS - MUNICIPA</v>
      </c>
    </row>
    <row r="3375" spans="1:9" x14ac:dyDescent="0.25">
      <c r="E3375" s="7"/>
      <c r="F3375" t="s">
        <v>20</v>
      </c>
      <c r="G3375" t="s">
        <v>21</v>
      </c>
      <c r="H3375" t="str">
        <f>"0946686-1"</f>
        <v>0946686-1</v>
      </c>
      <c r="I3375" t="str">
        <f>"FERGUSON WATERWORKS - MUNICIPA"</f>
        <v>FERGUSON WATERWORKS - MUNICIPA</v>
      </c>
    </row>
    <row r="3376" spans="1:9" x14ac:dyDescent="0.25">
      <c r="E3376" s="7"/>
      <c r="F3376" t="s">
        <v>20</v>
      </c>
      <c r="G3376" t="s">
        <v>21</v>
      </c>
      <c r="H3376" t="str">
        <f>"0950033-1"</f>
        <v>0950033-1</v>
      </c>
      <c r="I3376" t="str">
        <f>"FERGUSON WATERWORKS - MUNICIPA"</f>
        <v>FERGUSON WATERWORKS - MUNICIPA</v>
      </c>
    </row>
    <row r="3377" spans="1:9" x14ac:dyDescent="0.25">
      <c r="E3377" s="7"/>
      <c r="F3377" t="s">
        <v>20</v>
      </c>
      <c r="G3377" t="s">
        <v>21</v>
      </c>
      <c r="H3377" t="str">
        <f>"0954718"</f>
        <v>0954718</v>
      </c>
      <c r="I3377" t="str">
        <f>"FERGUSON WATERWORKS - MUNICIPA"</f>
        <v>FERGUSON WATERWORKS - MUNICIPA</v>
      </c>
    </row>
    <row r="3378" spans="1:9" x14ac:dyDescent="0.25">
      <c r="E3378" s="7"/>
      <c r="F3378" t="s">
        <v>20</v>
      </c>
      <c r="G3378" t="s">
        <v>21</v>
      </c>
      <c r="H3378" t="str">
        <f>"0954743"</f>
        <v>0954743</v>
      </c>
      <c r="I3378" t="str">
        <f>"FERGUSON WATERWORKS - MUNICIPA"</f>
        <v>FERGUSON WATERWORKS - MUNICIPA</v>
      </c>
    </row>
    <row r="3379" spans="1:9" x14ac:dyDescent="0.25">
      <c r="A3379" s="6">
        <v>43237</v>
      </c>
      <c r="B3379" t="s">
        <v>26</v>
      </c>
      <c r="C3379">
        <v>57669</v>
      </c>
      <c r="D3379" t="s">
        <v>250</v>
      </c>
      <c r="E3379" s="7">
        <v>132.03</v>
      </c>
      <c r="F3379" t="s">
        <v>20</v>
      </c>
      <c r="G3379" t="s">
        <v>21</v>
      </c>
      <c r="H3379" t="str">
        <f>"C109699"</f>
        <v>C109699</v>
      </c>
      <c r="I3379" t="str">
        <f>"MATERA PAPER CO  LTD."</f>
        <v>MATERA PAPER CO  LTD.</v>
      </c>
    </row>
    <row r="3380" spans="1:9" x14ac:dyDescent="0.25">
      <c r="A3380" s="6">
        <v>43237</v>
      </c>
      <c r="B3380" t="s">
        <v>26</v>
      </c>
      <c r="C3380">
        <v>57670</v>
      </c>
      <c r="D3380" t="s">
        <v>273</v>
      </c>
      <c r="E3380" s="7">
        <v>9660.9</v>
      </c>
      <c r="F3380" t="s">
        <v>20</v>
      </c>
      <c r="G3380" t="s">
        <v>21</v>
      </c>
      <c r="H3380" t="str">
        <f>"5119-000083259"</f>
        <v>5119-000083259</v>
      </c>
      <c r="I3380" t="str">
        <f>"REPUBLIC SERVICES TESSMAN ROAD"</f>
        <v>REPUBLIC SERVICES TESSMAN ROAD</v>
      </c>
    </row>
    <row r="3381" spans="1:9" x14ac:dyDescent="0.25">
      <c r="A3381" s="6">
        <v>43237</v>
      </c>
      <c r="B3381" t="s">
        <v>26</v>
      </c>
      <c r="C3381">
        <v>57671</v>
      </c>
      <c r="D3381" t="s">
        <v>180</v>
      </c>
      <c r="E3381" s="7">
        <v>19.98</v>
      </c>
      <c r="F3381" t="s">
        <v>20</v>
      </c>
      <c r="G3381" t="s">
        <v>21</v>
      </c>
      <c r="H3381" t="str">
        <f>"30124878"</f>
        <v>30124878</v>
      </c>
      <c r="I3381" t="str">
        <f>"DITTMAR LUMBER CO."</f>
        <v>DITTMAR LUMBER CO.</v>
      </c>
    </row>
    <row r="3382" spans="1:9" x14ac:dyDescent="0.25">
      <c r="A3382" s="6">
        <v>43237</v>
      </c>
      <c r="B3382" t="s">
        <v>26</v>
      </c>
      <c r="C3382">
        <v>57672</v>
      </c>
      <c r="D3382" t="s">
        <v>240</v>
      </c>
      <c r="E3382" s="7">
        <v>3265.98</v>
      </c>
      <c r="F3382" t="s">
        <v>20</v>
      </c>
      <c r="G3382" t="s">
        <v>21</v>
      </c>
      <c r="H3382" t="str">
        <f>"0138602-IN"</f>
        <v>0138602-IN</v>
      </c>
      <c r="I3382" t="str">
        <f t="shared" ref="I3382:I3392" si="62">"NARDIS PUBLIC SAFETY"</f>
        <v>NARDIS PUBLIC SAFETY</v>
      </c>
    </row>
    <row r="3383" spans="1:9" x14ac:dyDescent="0.25">
      <c r="E3383" s="7"/>
      <c r="F3383" t="s">
        <v>20</v>
      </c>
      <c r="G3383" t="s">
        <v>21</v>
      </c>
      <c r="H3383" t="str">
        <f>"0139808-IN"</f>
        <v>0139808-IN</v>
      </c>
      <c r="I3383" t="str">
        <f t="shared" si="62"/>
        <v>NARDIS PUBLIC SAFETY</v>
      </c>
    </row>
    <row r="3384" spans="1:9" x14ac:dyDescent="0.25">
      <c r="E3384" s="7"/>
      <c r="F3384" t="s">
        <v>20</v>
      </c>
      <c r="G3384" t="s">
        <v>21</v>
      </c>
      <c r="H3384" t="str">
        <f>"0139837-IN"</f>
        <v>0139837-IN</v>
      </c>
      <c r="I3384" t="str">
        <f t="shared" si="62"/>
        <v>NARDIS PUBLIC SAFETY</v>
      </c>
    </row>
    <row r="3385" spans="1:9" x14ac:dyDescent="0.25">
      <c r="E3385" s="7"/>
      <c r="F3385" t="s">
        <v>20</v>
      </c>
      <c r="G3385" t="s">
        <v>21</v>
      </c>
      <c r="H3385" t="str">
        <f>"0139856-IN"</f>
        <v>0139856-IN</v>
      </c>
      <c r="I3385" t="str">
        <f t="shared" si="62"/>
        <v>NARDIS PUBLIC SAFETY</v>
      </c>
    </row>
    <row r="3386" spans="1:9" x14ac:dyDescent="0.25">
      <c r="E3386" s="7"/>
      <c r="F3386" t="s">
        <v>20</v>
      </c>
      <c r="G3386" t="s">
        <v>21</v>
      </c>
      <c r="H3386" t="str">
        <f>"0139921-IN"</f>
        <v>0139921-IN</v>
      </c>
      <c r="I3386" t="str">
        <f t="shared" si="62"/>
        <v>NARDIS PUBLIC SAFETY</v>
      </c>
    </row>
    <row r="3387" spans="1:9" x14ac:dyDescent="0.25">
      <c r="E3387" s="7"/>
      <c r="F3387" t="s">
        <v>20</v>
      </c>
      <c r="G3387" t="s">
        <v>21</v>
      </c>
      <c r="H3387" t="str">
        <f>"0140134-IN"</f>
        <v>0140134-IN</v>
      </c>
      <c r="I3387" t="str">
        <f t="shared" si="62"/>
        <v>NARDIS PUBLIC SAFETY</v>
      </c>
    </row>
    <row r="3388" spans="1:9" x14ac:dyDescent="0.25">
      <c r="E3388" s="7"/>
      <c r="F3388" t="s">
        <v>20</v>
      </c>
      <c r="G3388" t="s">
        <v>21</v>
      </c>
      <c r="H3388" t="str">
        <f>"0143136-IN"</f>
        <v>0143136-IN</v>
      </c>
      <c r="I3388" t="str">
        <f t="shared" si="62"/>
        <v>NARDIS PUBLIC SAFETY</v>
      </c>
    </row>
    <row r="3389" spans="1:9" x14ac:dyDescent="0.25">
      <c r="E3389" s="7"/>
      <c r="F3389" t="s">
        <v>20</v>
      </c>
      <c r="G3389" t="s">
        <v>21</v>
      </c>
      <c r="H3389" t="str">
        <f>"0143528-IN"</f>
        <v>0143528-IN</v>
      </c>
      <c r="I3389" t="str">
        <f t="shared" si="62"/>
        <v>NARDIS PUBLIC SAFETY</v>
      </c>
    </row>
    <row r="3390" spans="1:9" x14ac:dyDescent="0.25">
      <c r="E3390" s="7"/>
      <c r="F3390" t="s">
        <v>20</v>
      </c>
      <c r="G3390" t="s">
        <v>21</v>
      </c>
      <c r="H3390" t="str">
        <f>"0145715-IN"</f>
        <v>0145715-IN</v>
      </c>
      <c r="I3390" t="str">
        <f t="shared" si="62"/>
        <v>NARDIS PUBLIC SAFETY</v>
      </c>
    </row>
    <row r="3391" spans="1:9" x14ac:dyDescent="0.25">
      <c r="E3391" s="7"/>
      <c r="F3391" t="s">
        <v>20</v>
      </c>
      <c r="G3391" t="s">
        <v>21</v>
      </c>
      <c r="H3391" t="str">
        <f>"0145775-IN"</f>
        <v>0145775-IN</v>
      </c>
      <c r="I3391" t="str">
        <f t="shared" si="62"/>
        <v>NARDIS PUBLIC SAFETY</v>
      </c>
    </row>
    <row r="3392" spans="1:9" x14ac:dyDescent="0.25">
      <c r="E3392" s="7"/>
      <c r="F3392" t="s">
        <v>20</v>
      </c>
      <c r="G3392" t="s">
        <v>21</v>
      </c>
      <c r="H3392" t="str">
        <f>"0145814-IN"</f>
        <v>0145814-IN</v>
      </c>
      <c r="I3392" t="str">
        <f t="shared" si="62"/>
        <v>NARDIS PUBLIC SAFETY</v>
      </c>
    </row>
    <row r="3393" spans="1:9" x14ac:dyDescent="0.25">
      <c r="A3393" s="6">
        <v>43237</v>
      </c>
      <c r="B3393" t="s">
        <v>26</v>
      </c>
      <c r="C3393">
        <v>57674</v>
      </c>
      <c r="D3393" t="s">
        <v>340</v>
      </c>
      <c r="E3393" s="7">
        <v>302.52999999999997</v>
      </c>
      <c r="F3393" t="s">
        <v>20</v>
      </c>
      <c r="G3393" t="s">
        <v>21</v>
      </c>
      <c r="H3393" t="str">
        <f>"1810-320924"</f>
        <v>1810-320924</v>
      </c>
      <c r="I3393" t="str">
        <f>"O'REILLY AUTOMOTIVE  INC."</f>
        <v>O'REILLY AUTOMOTIVE  INC.</v>
      </c>
    </row>
    <row r="3394" spans="1:9" x14ac:dyDescent="0.25">
      <c r="E3394" s="7"/>
      <c r="F3394" t="s">
        <v>20</v>
      </c>
      <c r="G3394" t="s">
        <v>21</v>
      </c>
      <c r="H3394" t="str">
        <f>"1810-321134"</f>
        <v>1810-321134</v>
      </c>
      <c r="I3394" t="str">
        <f>"O'REILLY AUTOMOTIVE  INC."</f>
        <v>O'REILLY AUTOMOTIVE  INC.</v>
      </c>
    </row>
    <row r="3395" spans="1:9" x14ac:dyDescent="0.25">
      <c r="A3395" s="6">
        <v>43237</v>
      </c>
      <c r="B3395" t="s">
        <v>91</v>
      </c>
      <c r="C3395">
        <v>57675</v>
      </c>
      <c r="D3395" t="s">
        <v>325</v>
      </c>
      <c r="E3395" s="7">
        <v>410.82</v>
      </c>
      <c r="F3395" t="s">
        <v>20</v>
      </c>
      <c r="G3395" t="s">
        <v>21</v>
      </c>
      <c r="H3395" t="str">
        <f>"201805178382"</f>
        <v>201805178382</v>
      </c>
      <c r="I3395" t="str">
        <f>"DSHS CENTRAL LAB MC2004"</f>
        <v>DSHS CENTRAL LAB MC2004</v>
      </c>
    </row>
    <row r="3396" spans="1:9" x14ac:dyDescent="0.25">
      <c r="A3396" s="6">
        <v>43237</v>
      </c>
      <c r="B3396" t="s">
        <v>91</v>
      </c>
      <c r="C3396">
        <v>57675</v>
      </c>
      <c r="D3396" t="s">
        <v>325</v>
      </c>
      <c r="E3396" s="7">
        <v>410.82</v>
      </c>
      <c r="F3396" t="s">
        <v>20</v>
      </c>
      <c r="G3396" t="s">
        <v>93</v>
      </c>
      <c r="H3396" t="str">
        <f>"CHECK"</f>
        <v>CHECK</v>
      </c>
      <c r="I3396" t="str">
        <f>""</f>
        <v/>
      </c>
    </row>
    <row r="3397" spans="1:9" x14ac:dyDescent="0.25">
      <c r="A3397" s="6">
        <v>43237</v>
      </c>
      <c r="B3397" t="s">
        <v>26</v>
      </c>
      <c r="C3397">
        <v>57676</v>
      </c>
      <c r="D3397" t="s">
        <v>410</v>
      </c>
      <c r="E3397" s="7">
        <v>498</v>
      </c>
      <c r="F3397" t="s">
        <v>20</v>
      </c>
      <c r="G3397" t="s">
        <v>21</v>
      </c>
      <c r="H3397" t="str">
        <f>"18-13247"</f>
        <v>18-13247</v>
      </c>
      <c r="I3397" t="str">
        <f>"HEAT SAFETY EQUIPMENT"</f>
        <v>HEAT SAFETY EQUIPMENT</v>
      </c>
    </row>
    <row r="3398" spans="1:9" x14ac:dyDescent="0.25">
      <c r="A3398" s="6">
        <v>43237</v>
      </c>
      <c r="B3398" t="s">
        <v>26</v>
      </c>
      <c r="C3398">
        <v>57677</v>
      </c>
      <c r="D3398" t="s">
        <v>67</v>
      </c>
      <c r="E3398" s="7">
        <v>297.77</v>
      </c>
      <c r="F3398" t="s">
        <v>20</v>
      </c>
      <c r="G3398" t="s">
        <v>21</v>
      </c>
      <c r="H3398" t="str">
        <f>"5/2018"</f>
        <v>5/2018</v>
      </c>
      <c r="I3398" t="str">
        <f>"ANYTIME FITNESS"</f>
        <v>ANYTIME FITNESS</v>
      </c>
    </row>
    <row r="3399" spans="1:9" x14ac:dyDescent="0.25">
      <c r="A3399" s="6">
        <v>43237</v>
      </c>
      <c r="B3399" t="s">
        <v>26</v>
      </c>
      <c r="C3399">
        <v>57678</v>
      </c>
      <c r="D3399" t="s">
        <v>189</v>
      </c>
      <c r="E3399" s="7">
        <v>1347.27</v>
      </c>
      <c r="F3399" t="s">
        <v>20</v>
      </c>
      <c r="G3399" t="s">
        <v>21</v>
      </c>
      <c r="H3399" t="str">
        <f>"C63607"</f>
        <v>C63607</v>
      </c>
      <c r="I3399" t="str">
        <f>"ASCO"</f>
        <v>ASCO</v>
      </c>
    </row>
    <row r="3400" spans="1:9" x14ac:dyDescent="0.25">
      <c r="E3400" s="7"/>
      <c r="F3400" t="s">
        <v>20</v>
      </c>
      <c r="G3400" t="s">
        <v>21</v>
      </c>
      <c r="H3400" t="str">
        <f>"C67862"</f>
        <v>C67862</v>
      </c>
      <c r="I3400" t="str">
        <f>"ASCO"</f>
        <v>ASCO</v>
      </c>
    </row>
    <row r="3401" spans="1:9" x14ac:dyDescent="0.25">
      <c r="A3401" s="6">
        <v>43237</v>
      </c>
      <c r="B3401" t="s">
        <v>26</v>
      </c>
      <c r="C3401">
        <v>57679</v>
      </c>
      <c r="D3401" t="s">
        <v>77</v>
      </c>
      <c r="E3401" s="7">
        <v>260</v>
      </c>
      <c r="F3401" t="s">
        <v>20</v>
      </c>
      <c r="G3401" t="s">
        <v>21</v>
      </c>
      <c r="H3401" t="str">
        <f>"DE85000876-18"</f>
        <v>DE85000876-18</v>
      </c>
      <c r="I3401" t="str">
        <f>"DPC INDUSTRIES  INC."</f>
        <v>DPC INDUSTRIES  INC.</v>
      </c>
    </row>
    <row r="3402" spans="1:9" x14ac:dyDescent="0.25">
      <c r="E3402" s="7"/>
      <c r="F3402" t="s">
        <v>20</v>
      </c>
      <c r="G3402" t="s">
        <v>21</v>
      </c>
      <c r="H3402" t="str">
        <f>"DE85001100-18"</f>
        <v>DE85001100-18</v>
      </c>
      <c r="I3402" t="str">
        <f>"DPC INDUSTRIES  INC."</f>
        <v>DPC INDUSTRIES  INC.</v>
      </c>
    </row>
    <row r="3403" spans="1:9" x14ac:dyDescent="0.25">
      <c r="A3403" s="6">
        <v>43237</v>
      </c>
      <c r="B3403" t="s">
        <v>26</v>
      </c>
      <c r="C3403">
        <v>57680</v>
      </c>
      <c r="D3403" t="s">
        <v>124</v>
      </c>
      <c r="E3403" s="7">
        <v>70.42</v>
      </c>
      <c r="F3403" t="s">
        <v>20</v>
      </c>
      <c r="G3403" t="s">
        <v>21</v>
      </c>
      <c r="H3403" t="str">
        <f>"11159267"</f>
        <v>11159267</v>
      </c>
      <c r="I3403" t="str">
        <f>"MCCOY'S CORPORATION"</f>
        <v>MCCOY'S CORPORATION</v>
      </c>
    </row>
    <row r="3404" spans="1:9" x14ac:dyDescent="0.25">
      <c r="A3404" s="6">
        <v>43237</v>
      </c>
      <c r="B3404" t="s">
        <v>26</v>
      </c>
      <c r="C3404">
        <v>57681</v>
      </c>
      <c r="D3404" t="s">
        <v>31</v>
      </c>
      <c r="E3404" s="7">
        <v>1777.83</v>
      </c>
      <c r="F3404" t="s">
        <v>20</v>
      </c>
      <c r="G3404" t="s">
        <v>21</v>
      </c>
      <c r="H3404" t="str">
        <f>"BEER/WINE LIC"</f>
        <v>BEER/WINE LIC</v>
      </c>
      <c r="I3404" t="str">
        <f>"THE LAW OFFICE OF TOM CALDWELL"</f>
        <v>THE LAW OFFICE OF TOM CALDWELL</v>
      </c>
    </row>
    <row r="3405" spans="1:9" x14ac:dyDescent="0.25">
      <c r="A3405" s="6">
        <v>43237</v>
      </c>
      <c r="B3405" t="s">
        <v>26</v>
      </c>
      <c r="C3405">
        <v>57682</v>
      </c>
      <c r="D3405" t="s">
        <v>373</v>
      </c>
      <c r="E3405" s="7">
        <v>1560</v>
      </c>
      <c r="F3405" t="s">
        <v>20</v>
      </c>
      <c r="G3405" t="s">
        <v>21</v>
      </c>
      <c r="H3405" t="str">
        <f>"1571"</f>
        <v>1571</v>
      </c>
      <c r="I3405" t="str">
        <f>"CASARES SAND PIT &amp; TRUCKING  I"</f>
        <v>CASARES SAND PIT &amp; TRUCKING  I</v>
      </c>
    </row>
    <row r="3406" spans="1:9" x14ac:dyDescent="0.25">
      <c r="A3406" s="6">
        <v>43237</v>
      </c>
      <c r="B3406" t="s">
        <v>26</v>
      </c>
      <c r="C3406">
        <v>57683</v>
      </c>
      <c r="D3406" t="s">
        <v>131</v>
      </c>
      <c r="E3406" s="7">
        <v>104.97</v>
      </c>
      <c r="F3406" t="s">
        <v>20</v>
      </c>
      <c r="G3406" t="s">
        <v>21</v>
      </c>
      <c r="H3406" t="str">
        <f>"029292"</f>
        <v>029292</v>
      </c>
      <c r="I3406" t="str">
        <f>"R &amp; S TEXAS PARTS CO"</f>
        <v>R &amp; S TEXAS PARTS CO</v>
      </c>
    </row>
    <row r="3407" spans="1:9" x14ac:dyDescent="0.25">
      <c r="E3407" s="7"/>
      <c r="F3407" t="s">
        <v>20</v>
      </c>
      <c r="G3407" t="s">
        <v>21</v>
      </c>
      <c r="H3407" t="str">
        <f>"029337"</f>
        <v>029337</v>
      </c>
      <c r="I3407" t="str">
        <f>"R &amp; S TEXAS PARTS CO"</f>
        <v>R &amp; S TEXAS PARTS CO</v>
      </c>
    </row>
    <row r="3408" spans="1:9" x14ac:dyDescent="0.25">
      <c r="A3408" s="6">
        <v>43237</v>
      </c>
      <c r="B3408" t="s">
        <v>26</v>
      </c>
      <c r="C3408">
        <v>57684</v>
      </c>
      <c r="D3408" t="s">
        <v>85</v>
      </c>
      <c r="E3408" s="7">
        <v>309.76</v>
      </c>
      <c r="F3408" t="s">
        <v>20</v>
      </c>
      <c r="G3408" t="s">
        <v>21</v>
      </c>
      <c r="H3408" t="str">
        <f>"201805178383"</f>
        <v>201805178383</v>
      </c>
      <c r="I3408" t="str">
        <f>"FRONTIER"</f>
        <v>FRONTIER</v>
      </c>
    </row>
    <row r="3409" spans="1:9" x14ac:dyDescent="0.25">
      <c r="E3409" s="7"/>
      <c r="F3409" t="s">
        <v>20</v>
      </c>
      <c r="G3409" t="s">
        <v>21</v>
      </c>
      <c r="H3409" t="str">
        <f>"201805178384"</f>
        <v>201805178384</v>
      </c>
      <c r="I3409" t="str">
        <f>"FRONTIER"</f>
        <v>FRONTIER</v>
      </c>
    </row>
    <row r="3410" spans="1:9" x14ac:dyDescent="0.25">
      <c r="E3410" s="7"/>
      <c r="F3410" t="s">
        <v>20</v>
      </c>
      <c r="G3410" t="s">
        <v>21</v>
      </c>
      <c r="H3410" t="str">
        <f>"201805178385"</f>
        <v>201805178385</v>
      </c>
      <c r="I3410" t="str">
        <f>"FRONTIER"</f>
        <v>FRONTIER</v>
      </c>
    </row>
    <row r="3411" spans="1:9" x14ac:dyDescent="0.25">
      <c r="E3411" s="7"/>
      <c r="F3411" t="s">
        <v>20</v>
      </c>
      <c r="G3411" t="s">
        <v>21</v>
      </c>
      <c r="H3411" t="str">
        <f>"201805178386"</f>
        <v>201805178386</v>
      </c>
      <c r="I3411" t="str">
        <f>"FRONTIER"</f>
        <v>FRONTIER</v>
      </c>
    </row>
    <row r="3412" spans="1:9" x14ac:dyDescent="0.25">
      <c r="A3412" s="6">
        <v>43237</v>
      </c>
      <c r="B3412" t="s">
        <v>26</v>
      </c>
      <c r="C3412">
        <v>57685</v>
      </c>
      <c r="D3412" t="s">
        <v>140</v>
      </c>
      <c r="E3412" s="7">
        <v>1080.3599999999999</v>
      </c>
      <c r="F3412" t="s">
        <v>20</v>
      </c>
      <c r="G3412" t="s">
        <v>21</v>
      </c>
      <c r="H3412" t="str">
        <f>"7"</f>
        <v>7</v>
      </c>
      <c r="I3412" t="str">
        <f>"DEBRA J. DOCKERY"</f>
        <v>DEBRA J. DOCKERY</v>
      </c>
    </row>
    <row r="3413" spans="1:9" x14ac:dyDescent="0.25">
      <c r="A3413" s="6">
        <v>43237</v>
      </c>
      <c r="B3413" t="s">
        <v>26</v>
      </c>
      <c r="C3413">
        <v>57686</v>
      </c>
      <c r="D3413" t="s">
        <v>411</v>
      </c>
      <c r="E3413" s="7">
        <v>529.5</v>
      </c>
      <c r="F3413" t="s">
        <v>20</v>
      </c>
      <c r="G3413" t="s">
        <v>21</v>
      </c>
      <c r="H3413" t="str">
        <f>"SO-001218"</f>
        <v>SO-001218</v>
      </c>
      <c r="I3413" t="str">
        <f>"OBR METAL BUILDINGS &amp; COMPONEN"</f>
        <v>OBR METAL BUILDINGS &amp; COMPONEN</v>
      </c>
    </row>
    <row r="3414" spans="1:9" x14ac:dyDescent="0.25">
      <c r="A3414" s="6">
        <v>43237</v>
      </c>
      <c r="B3414" t="s">
        <v>26</v>
      </c>
      <c r="C3414">
        <v>57687</v>
      </c>
      <c r="D3414" t="s">
        <v>346</v>
      </c>
      <c r="E3414" s="7">
        <v>27500</v>
      </c>
      <c r="F3414" t="s">
        <v>20</v>
      </c>
      <c r="G3414" t="s">
        <v>21</v>
      </c>
      <c r="H3414" t="str">
        <f>"3/11-4/11/2018"</f>
        <v>3/11-4/11/2018</v>
      </c>
      <c r="I3414" t="str">
        <f>"SYLVIA RODRIGUEZ"</f>
        <v>SYLVIA RODRIGUEZ</v>
      </c>
    </row>
    <row r="3415" spans="1:9" x14ac:dyDescent="0.25">
      <c r="E3415" s="7"/>
      <c r="F3415" t="s">
        <v>20</v>
      </c>
      <c r="G3415" t="s">
        <v>21</v>
      </c>
      <c r="H3415" t="str">
        <f>"4/11-5/11/2018"</f>
        <v>4/11-5/11/2018</v>
      </c>
      <c r="I3415" t="str">
        <f>"SYLVIA RODRIGUEZ"</f>
        <v>SYLVIA RODRIGUEZ</v>
      </c>
    </row>
    <row r="3416" spans="1:9" x14ac:dyDescent="0.25">
      <c r="A3416" s="6">
        <v>43244</v>
      </c>
      <c r="B3416" t="s">
        <v>26</v>
      </c>
      <c r="C3416">
        <v>57710</v>
      </c>
      <c r="D3416" t="s">
        <v>51</v>
      </c>
      <c r="E3416" s="7">
        <v>290.89999999999998</v>
      </c>
      <c r="F3416" t="s">
        <v>20</v>
      </c>
      <c r="G3416" t="s">
        <v>21</v>
      </c>
      <c r="H3416" t="str">
        <f>"CLE201805238388"</f>
        <v>CLE201805238388</v>
      </c>
      <c r="I3416" t="str">
        <f>"CLEAT ONLY DUES"</f>
        <v>CLEAT ONLY DUES</v>
      </c>
    </row>
    <row r="3417" spans="1:9" x14ac:dyDescent="0.25">
      <c r="E3417" s="7"/>
      <c r="F3417" t="s">
        <v>20</v>
      </c>
      <c r="G3417" t="s">
        <v>21</v>
      </c>
      <c r="H3417" t="str">
        <f>"PDD201805238388"</f>
        <v>PDD201805238388</v>
      </c>
      <c r="I3417" t="str">
        <f>"POLICE OFFICERS ASSOC DUES"</f>
        <v>POLICE OFFICERS ASSOC DUES</v>
      </c>
    </row>
    <row r="3418" spans="1:9" x14ac:dyDescent="0.25">
      <c r="A3418" s="6">
        <v>43244</v>
      </c>
      <c r="B3418" t="s">
        <v>26</v>
      </c>
      <c r="C3418">
        <v>57711</v>
      </c>
      <c r="D3418" t="s">
        <v>90</v>
      </c>
      <c r="E3418" s="7">
        <v>114.96</v>
      </c>
      <c r="F3418" t="s">
        <v>20</v>
      </c>
      <c r="G3418" t="s">
        <v>21</v>
      </c>
      <c r="H3418" t="str">
        <f>"AFS201805238388"</f>
        <v>AFS201805238388</v>
      </c>
      <c r="I3418" t="str">
        <f>"AFLAC STD"</f>
        <v>AFLAC STD</v>
      </c>
    </row>
    <row r="3419" spans="1:9" x14ac:dyDescent="0.25">
      <c r="A3419" s="6">
        <v>43244</v>
      </c>
      <c r="B3419" t="s">
        <v>26</v>
      </c>
      <c r="C3419">
        <v>57712</v>
      </c>
      <c r="D3419" t="s">
        <v>52</v>
      </c>
      <c r="E3419" s="7">
        <v>1331.53</v>
      </c>
      <c r="F3419" t="s">
        <v>20</v>
      </c>
      <c r="G3419" t="s">
        <v>21</v>
      </c>
      <c r="H3419" t="str">
        <f>"CPS201805238388"</f>
        <v>CPS201805238388</v>
      </c>
      <c r="I3419" t="str">
        <f>"G MENDOZA 00123012032010EM5054"</f>
        <v>G MENDOZA 00123012032010EM5054</v>
      </c>
    </row>
    <row r="3420" spans="1:9" x14ac:dyDescent="0.25">
      <c r="E3420" s="7"/>
      <c r="F3420" t="s">
        <v>20</v>
      </c>
      <c r="G3420" t="s">
        <v>21</v>
      </c>
      <c r="H3420" t="str">
        <f>"CS 201805238388"</f>
        <v>CS 201805238388</v>
      </c>
      <c r="I3420" t="str">
        <f>"CAUSE#98EM504113 PEGGY RIVAS"</f>
        <v>CAUSE#98EM504113 PEGGY RIVAS</v>
      </c>
    </row>
    <row r="3421" spans="1:9" x14ac:dyDescent="0.25">
      <c r="E3421" s="7"/>
      <c r="F3421" t="s">
        <v>20</v>
      </c>
      <c r="G3421" t="s">
        <v>21</v>
      </c>
      <c r="H3421" t="str">
        <f>"CS1201805238388"</f>
        <v>CS1201805238388</v>
      </c>
      <c r="I3421" t="str">
        <f>"CAUSE# 10008CVW DEBRA ESQUEDA"</f>
        <v>CAUSE# 10008CVW DEBRA ESQUEDA</v>
      </c>
    </row>
    <row r="3422" spans="1:9" x14ac:dyDescent="0.25">
      <c r="E3422" s="7"/>
      <c r="F3422" t="s">
        <v>20</v>
      </c>
      <c r="G3422" t="s">
        <v>21</v>
      </c>
      <c r="H3422" t="str">
        <f>"CSJ201805238388"</f>
        <v>CSJ201805238388</v>
      </c>
      <c r="I3422" t="str">
        <f>"CAUSE# 0010185272 MARIANN GUTI"</f>
        <v>CAUSE# 0010185272 MARIANN GUTI</v>
      </c>
    </row>
    <row r="3423" spans="1:9" x14ac:dyDescent="0.25">
      <c r="E3423" s="7"/>
      <c r="F3423" t="s">
        <v>20</v>
      </c>
      <c r="G3423" t="s">
        <v>21</v>
      </c>
      <c r="H3423" t="str">
        <f>"CST201805238388"</f>
        <v>CST201805238388</v>
      </c>
      <c r="I3423" t="str">
        <f>"CAUSE #0009418917 SONIA PEREZ"</f>
        <v>CAUSE #0009418917 SONIA PEREZ</v>
      </c>
    </row>
    <row r="3424" spans="1:9" x14ac:dyDescent="0.25">
      <c r="A3424" s="6">
        <v>43244</v>
      </c>
      <c r="B3424" t="s">
        <v>26</v>
      </c>
      <c r="C3424">
        <v>57713</v>
      </c>
      <c r="D3424" t="s">
        <v>53</v>
      </c>
      <c r="E3424" s="7">
        <v>99.1</v>
      </c>
      <c r="F3424" t="s">
        <v>20</v>
      </c>
      <c r="G3424" t="s">
        <v>21</v>
      </c>
      <c r="H3424" t="str">
        <f>"MCO201805238388"</f>
        <v>MCO201805238388</v>
      </c>
      <c r="I3424" t="str">
        <f>"MONICA CORDOVA"</f>
        <v>MONICA CORDOVA</v>
      </c>
    </row>
    <row r="3425" spans="1:9" x14ac:dyDescent="0.25">
      <c r="A3425" s="6">
        <v>43244</v>
      </c>
      <c r="B3425" t="s">
        <v>26</v>
      </c>
      <c r="C3425">
        <v>57714</v>
      </c>
      <c r="D3425" t="s">
        <v>54</v>
      </c>
      <c r="E3425" s="7">
        <v>1236.74</v>
      </c>
      <c r="F3425" t="s">
        <v>20</v>
      </c>
      <c r="G3425" t="s">
        <v>21</v>
      </c>
      <c r="H3425" t="str">
        <f>"457201805238388"</f>
        <v>457201805238388</v>
      </c>
      <c r="I3425" t="str">
        <f>"CASE # 180-60751 457B DEDUCT"</f>
        <v>CASE # 180-60751 457B DEDUCT</v>
      </c>
    </row>
    <row r="3426" spans="1:9" x14ac:dyDescent="0.25">
      <c r="A3426" s="6">
        <v>43244</v>
      </c>
      <c r="B3426" t="s">
        <v>26</v>
      </c>
      <c r="C3426">
        <v>57715</v>
      </c>
      <c r="D3426" t="s">
        <v>143</v>
      </c>
      <c r="E3426" s="7">
        <v>252.19</v>
      </c>
      <c r="F3426" t="s">
        <v>20</v>
      </c>
      <c r="G3426" t="s">
        <v>21</v>
      </c>
      <c r="H3426" t="str">
        <f>"9401836626"</f>
        <v>9401836626</v>
      </c>
      <c r="I3426" t="str">
        <f>"ERGON ASPHALT AND EMULSIONS  I"</f>
        <v>ERGON ASPHALT AND EMULSIONS  I</v>
      </c>
    </row>
    <row r="3427" spans="1:9" x14ac:dyDescent="0.25">
      <c r="A3427" s="6">
        <v>43244</v>
      </c>
      <c r="B3427" t="s">
        <v>26</v>
      </c>
      <c r="C3427">
        <v>57716</v>
      </c>
      <c r="D3427" t="s">
        <v>103</v>
      </c>
      <c r="E3427" s="7">
        <v>80635.11</v>
      </c>
      <c r="F3427" t="s">
        <v>20</v>
      </c>
      <c r="G3427" t="s">
        <v>21</v>
      </c>
      <c r="H3427" t="str">
        <f>"5/18/18"</f>
        <v>5/18/18</v>
      </c>
      <c r="I3427" t="str">
        <f>"F. E. D. C."</f>
        <v>F. E. D. C.</v>
      </c>
    </row>
    <row r="3428" spans="1:9" x14ac:dyDescent="0.25">
      <c r="A3428" s="6">
        <v>43244</v>
      </c>
      <c r="B3428" t="s">
        <v>26</v>
      </c>
      <c r="C3428">
        <v>57717</v>
      </c>
      <c r="D3428" t="s">
        <v>59</v>
      </c>
      <c r="E3428" s="7">
        <v>932.04</v>
      </c>
      <c r="F3428" t="s">
        <v>20</v>
      </c>
      <c r="G3428" t="s">
        <v>21</v>
      </c>
      <c r="H3428" t="str">
        <f>"0954718-1"</f>
        <v>0954718-1</v>
      </c>
      <c r="I3428" t="str">
        <f>"FERGUSON WATERWORKS - MUNICIPA"</f>
        <v>FERGUSON WATERWORKS - MUNICIPA</v>
      </c>
    </row>
    <row r="3429" spans="1:9" x14ac:dyDescent="0.25">
      <c r="A3429" s="6">
        <v>43244</v>
      </c>
      <c r="B3429" t="s">
        <v>26</v>
      </c>
      <c r="C3429">
        <v>57718</v>
      </c>
      <c r="D3429" t="s">
        <v>179</v>
      </c>
      <c r="E3429" s="7">
        <v>13.56</v>
      </c>
      <c r="F3429" t="s">
        <v>20</v>
      </c>
      <c r="G3429" t="s">
        <v>21</v>
      </c>
      <c r="H3429" t="str">
        <f>"52627F"</f>
        <v>52627F</v>
      </c>
      <c r="I3429" t="str">
        <f>"ANCIRA FORD-MERCURY"</f>
        <v>ANCIRA FORD-MERCURY</v>
      </c>
    </row>
    <row r="3430" spans="1:9" x14ac:dyDescent="0.25">
      <c r="A3430" s="6">
        <v>43244</v>
      </c>
      <c r="B3430" t="s">
        <v>26</v>
      </c>
      <c r="C3430">
        <v>57719</v>
      </c>
      <c r="D3430" t="s">
        <v>108</v>
      </c>
      <c r="E3430" s="7">
        <v>2366.38</v>
      </c>
      <c r="F3430" t="s">
        <v>20</v>
      </c>
      <c r="G3430" t="s">
        <v>21</v>
      </c>
      <c r="H3430" t="str">
        <f>"041295594591"</f>
        <v>041295594591</v>
      </c>
      <c r="I3430" t="str">
        <f>"POOLSURE"</f>
        <v>POOLSURE</v>
      </c>
    </row>
    <row r="3431" spans="1:9" x14ac:dyDescent="0.25">
      <c r="A3431" s="6">
        <v>43244</v>
      </c>
      <c r="B3431" t="s">
        <v>26</v>
      </c>
      <c r="C3431">
        <v>57720</v>
      </c>
      <c r="D3431" t="s">
        <v>340</v>
      </c>
      <c r="E3431" s="7">
        <v>66.95</v>
      </c>
      <c r="F3431" t="s">
        <v>20</v>
      </c>
      <c r="G3431" t="s">
        <v>21</v>
      </c>
      <c r="H3431" t="str">
        <f>"1810-321302"</f>
        <v>1810-321302</v>
      </c>
      <c r="I3431" t="str">
        <f>"O'REILLY AUTOMOTIVE  INC."</f>
        <v>O'REILLY AUTOMOTIVE  INC.</v>
      </c>
    </row>
    <row r="3432" spans="1:9" x14ac:dyDescent="0.25">
      <c r="E3432" s="7"/>
      <c r="F3432" t="s">
        <v>20</v>
      </c>
      <c r="G3432" t="s">
        <v>21</v>
      </c>
      <c r="H3432" t="str">
        <f>"1810-321821"</f>
        <v>1810-321821</v>
      </c>
      <c r="I3432" t="str">
        <f>"O'REILLY AUTOMOTIVE  INC."</f>
        <v>O'REILLY AUTOMOTIVE  INC.</v>
      </c>
    </row>
    <row r="3433" spans="1:9" x14ac:dyDescent="0.25">
      <c r="A3433" s="6">
        <v>43244</v>
      </c>
      <c r="B3433" t="s">
        <v>26</v>
      </c>
      <c r="C3433">
        <v>57721</v>
      </c>
      <c r="D3433" t="s">
        <v>181</v>
      </c>
      <c r="E3433" s="7">
        <v>41.59</v>
      </c>
      <c r="F3433" t="s">
        <v>20</v>
      </c>
      <c r="G3433" t="s">
        <v>21</v>
      </c>
      <c r="H3433" t="str">
        <f>"201805248393"</f>
        <v>201805248393</v>
      </c>
      <c r="I3433" t="str">
        <f>"AT&amp;T"</f>
        <v>AT&amp;T</v>
      </c>
    </row>
    <row r="3434" spans="1:9" x14ac:dyDescent="0.25">
      <c r="A3434" s="6">
        <v>43244</v>
      </c>
      <c r="B3434" t="s">
        <v>91</v>
      </c>
      <c r="C3434">
        <v>57722</v>
      </c>
      <c r="D3434" t="s">
        <v>412</v>
      </c>
      <c r="E3434" s="7">
        <v>60</v>
      </c>
      <c r="F3434" t="s">
        <v>20</v>
      </c>
      <c r="G3434" t="s">
        <v>21</v>
      </c>
      <c r="H3434" t="str">
        <f>"POOL REF 6/10"</f>
        <v>POOL REF 6/10</v>
      </c>
      <c r="I3434" t="str">
        <f>"POOL REF"</f>
        <v>POOL REF</v>
      </c>
    </row>
    <row r="3435" spans="1:9" x14ac:dyDescent="0.25">
      <c r="A3435" s="6">
        <v>43244</v>
      </c>
      <c r="B3435" t="s">
        <v>91</v>
      </c>
      <c r="C3435">
        <v>57722</v>
      </c>
      <c r="D3435" t="s">
        <v>413</v>
      </c>
      <c r="E3435" s="7">
        <v>60</v>
      </c>
      <c r="F3435" t="s">
        <v>20</v>
      </c>
      <c r="G3435" t="s">
        <v>93</v>
      </c>
      <c r="H3435" t="str">
        <f>"CHECK"</f>
        <v>CHECK</v>
      </c>
      <c r="I3435" t="str">
        <f>""</f>
        <v/>
      </c>
    </row>
    <row r="3436" spans="1:9" x14ac:dyDescent="0.25">
      <c r="A3436" s="6">
        <v>43244</v>
      </c>
      <c r="B3436" t="s">
        <v>26</v>
      </c>
      <c r="C3436">
        <v>57723</v>
      </c>
      <c r="D3436" t="s">
        <v>61</v>
      </c>
      <c r="E3436" s="7">
        <v>2804</v>
      </c>
      <c r="F3436" t="s">
        <v>20</v>
      </c>
      <c r="G3436" t="s">
        <v>21</v>
      </c>
      <c r="H3436" t="str">
        <f>"025-222196"</f>
        <v>025-222196</v>
      </c>
      <c r="I3436" t="str">
        <f>"TYLER TECHNOLOGIES  INC."</f>
        <v>TYLER TECHNOLOGIES  INC.</v>
      </c>
    </row>
    <row r="3437" spans="1:9" x14ac:dyDescent="0.25">
      <c r="A3437" s="6">
        <v>43244</v>
      </c>
      <c r="B3437" t="s">
        <v>26</v>
      </c>
      <c r="C3437">
        <v>57724</v>
      </c>
      <c r="D3437" t="s">
        <v>184</v>
      </c>
      <c r="E3437" s="7">
        <v>974</v>
      </c>
      <c r="F3437" t="s">
        <v>20</v>
      </c>
      <c r="G3437" t="s">
        <v>21</v>
      </c>
      <c r="H3437" t="str">
        <f>"1050-431"</f>
        <v>1050-431</v>
      </c>
      <c r="I3437" t="str">
        <f>"POLLUTION CONTROL SERVICES"</f>
        <v>POLLUTION CONTROL SERVICES</v>
      </c>
    </row>
    <row r="3438" spans="1:9" x14ac:dyDescent="0.25">
      <c r="E3438" s="7"/>
      <c r="F3438" t="s">
        <v>20</v>
      </c>
      <c r="G3438" t="s">
        <v>21</v>
      </c>
      <c r="H3438" t="str">
        <f>"1050-432"</f>
        <v>1050-432</v>
      </c>
      <c r="I3438" t="str">
        <f>"POLLUTION CONTROL SERVICES"</f>
        <v>POLLUTION CONTROL SERVICES</v>
      </c>
    </row>
    <row r="3439" spans="1:9" x14ac:dyDescent="0.25">
      <c r="A3439" s="6">
        <v>43244</v>
      </c>
      <c r="B3439" t="s">
        <v>26</v>
      </c>
      <c r="C3439">
        <v>57725</v>
      </c>
      <c r="D3439" t="s">
        <v>414</v>
      </c>
      <c r="E3439" s="7">
        <v>680</v>
      </c>
      <c r="F3439" t="s">
        <v>20</v>
      </c>
      <c r="G3439" t="s">
        <v>21</v>
      </c>
      <c r="H3439" t="str">
        <f>"201805248394"</f>
        <v>201805248394</v>
      </c>
      <c r="I3439" t="str">
        <f>"AHC PHYSICIANS INC."</f>
        <v>AHC PHYSICIANS INC.</v>
      </c>
    </row>
    <row r="3440" spans="1:9" x14ac:dyDescent="0.25">
      <c r="A3440" s="6">
        <v>43244</v>
      </c>
      <c r="B3440" t="s">
        <v>26</v>
      </c>
      <c r="C3440">
        <v>57726</v>
      </c>
      <c r="D3440" t="s">
        <v>116</v>
      </c>
      <c r="E3440" s="7">
        <v>728.32</v>
      </c>
      <c r="F3440" t="s">
        <v>20</v>
      </c>
      <c r="G3440" t="s">
        <v>21</v>
      </c>
      <c r="H3440" t="str">
        <f>"INV687845"</f>
        <v>INV687845</v>
      </c>
      <c r="I3440" t="str">
        <f>"THE LIFEGUARD STORE  INC."</f>
        <v>THE LIFEGUARD STORE  INC.</v>
      </c>
    </row>
    <row r="3441" spans="1:9" x14ac:dyDescent="0.25">
      <c r="A3441" s="6">
        <v>43244</v>
      </c>
      <c r="B3441" t="s">
        <v>26</v>
      </c>
      <c r="C3441">
        <v>57727</v>
      </c>
      <c r="D3441" t="s">
        <v>117</v>
      </c>
      <c r="E3441" s="7">
        <v>849.85</v>
      </c>
      <c r="F3441" t="s">
        <v>20</v>
      </c>
      <c r="G3441" t="s">
        <v>21</v>
      </c>
      <c r="H3441" t="str">
        <f>"APRIL 2018"</f>
        <v>APRIL 2018</v>
      </c>
      <c r="I3441" t="str">
        <f>"LINEBARGER GOGGAN BLAIR &amp; SAMP"</f>
        <v>LINEBARGER GOGGAN BLAIR &amp; SAMP</v>
      </c>
    </row>
    <row r="3442" spans="1:9" x14ac:dyDescent="0.25">
      <c r="A3442" s="6">
        <v>43244</v>
      </c>
      <c r="B3442" t="s">
        <v>26</v>
      </c>
      <c r="C3442">
        <v>57728</v>
      </c>
      <c r="D3442" t="s">
        <v>119</v>
      </c>
      <c r="E3442" s="7">
        <v>55</v>
      </c>
      <c r="F3442" t="s">
        <v>20</v>
      </c>
      <c r="G3442" t="s">
        <v>21</v>
      </c>
      <c r="H3442" t="str">
        <f>"40551"</f>
        <v>40551</v>
      </c>
      <c r="I3442" t="str">
        <f>"PRUSKI'S TIRE SHOP  L.L.C."</f>
        <v>PRUSKI'S TIRE SHOP  L.L.C.</v>
      </c>
    </row>
    <row r="3443" spans="1:9" x14ac:dyDescent="0.25">
      <c r="A3443" s="6">
        <v>43244</v>
      </c>
      <c r="B3443" t="s">
        <v>26</v>
      </c>
      <c r="C3443">
        <v>57729</v>
      </c>
      <c r="D3443" t="s">
        <v>68</v>
      </c>
      <c r="E3443" s="7">
        <v>100</v>
      </c>
      <c r="F3443" t="s">
        <v>20</v>
      </c>
      <c r="G3443" t="s">
        <v>21</v>
      </c>
      <c r="H3443" t="str">
        <f>"0420128-IN"</f>
        <v>0420128-IN</v>
      </c>
      <c r="I3443" t="str">
        <f>"SOUTHWASTE DISPOSAL  LLP"</f>
        <v>SOUTHWASTE DISPOSAL  LLP</v>
      </c>
    </row>
    <row r="3444" spans="1:9" x14ac:dyDescent="0.25">
      <c r="A3444" s="6">
        <v>43244</v>
      </c>
      <c r="B3444" t="s">
        <v>26</v>
      </c>
      <c r="C3444">
        <v>57730</v>
      </c>
      <c r="D3444" t="s">
        <v>69</v>
      </c>
      <c r="E3444" s="7">
        <v>103</v>
      </c>
      <c r="F3444" t="s">
        <v>20</v>
      </c>
      <c r="G3444" t="s">
        <v>21</v>
      </c>
      <c r="H3444" t="str">
        <f>"3389642"</f>
        <v>3389642</v>
      </c>
      <c r="I3444" t="str">
        <f>"EWALD TRACTOR SUPPLY"</f>
        <v>EWALD TRACTOR SUPPLY</v>
      </c>
    </row>
    <row r="3445" spans="1:9" x14ac:dyDescent="0.25">
      <c r="A3445" s="6">
        <v>43244</v>
      </c>
      <c r="B3445" t="s">
        <v>26</v>
      </c>
      <c r="C3445">
        <v>57731</v>
      </c>
      <c r="D3445" t="s">
        <v>29</v>
      </c>
      <c r="E3445" s="7">
        <v>36175</v>
      </c>
      <c r="F3445" t="s">
        <v>20</v>
      </c>
      <c r="G3445" t="s">
        <v>21</v>
      </c>
      <c r="H3445" t="str">
        <f>"31839"</f>
        <v>31839</v>
      </c>
      <c r="I3445" t="str">
        <f>"M &amp; S ENGINEERING  LLC"</f>
        <v>M &amp; S ENGINEERING  LLC</v>
      </c>
    </row>
    <row r="3446" spans="1:9" x14ac:dyDescent="0.25">
      <c r="A3446" s="6">
        <v>43244</v>
      </c>
      <c r="B3446" t="s">
        <v>26</v>
      </c>
      <c r="C3446">
        <v>57732</v>
      </c>
      <c r="D3446" t="s">
        <v>71</v>
      </c>
      <c r="E3446" s="7">
        <v>633.97</v>
      </c>
      <c r="F3446" t="s">
        <v>20</v>
      </c>
      <c r="G3446" t="s">
        <v>21</v>
      </c>
      <c r="H3446" t="str">
        <f>"087140956"</f>
        <v>087140956</v>
      </c>
      <c r="I3446" t="str">
        <f>"CINTAS CORPORATION #087"</f>
        <v>CINTAS CORPORATION #087</v>
      </c>
    </row>
    <row r="3447" spans="1:9" x14ac:dyDescent="0.25">
      <c r="A3447" s="6">
        <v>43244</v>
      </c>
      <c r="B3447" t="s">
        <v>26</v>
      </c>
      <c r="C3447">
        <v>57733</v>
      </c>
      <c r="D3447" t="s">
        <v>122</v>
      </c>
      <c r="E3447" s="7">
        <v>60</v>
      </c>
      <c r="F3447" t="s">
        <v>20</v>
      </c>
      <c r="G3447" t="s">
        <v>21</v>
      </c>
      <c r="H3447" t="str">
        <f>"0758624"</f>
        <v>0758624</v>
      </c>
      <c r="I3447" t="str">
        <f>"VILLA TIRES"</f>
        <v>VILLA TIRES</v>
      </c>
    </row>
    <row r="3448" spans="1:9" x14ac:dyDescent="0.25">
      <c r="E3448" s="7"/>
      <c r="F3448" t="s">
        <v>20</v>
      </c>
      <c r="G3448" t="s">
        <v>21</v>
      </c>
      <c r="H3448" t="str">
        <f>"196559"</f>
        <v>196559</v>
      </c>
      <c r="I3448" t="str">
        <f>"VILLA TIRES"</f>
        <v>VILLA TIRES</v>
      </c>
    </row>
    <row r="3449" spans="1:9" x14ac:dyDescent="0.25">
      <c r="E3449" s="7"/>
      <c r="F3449" t="s">
        <v>20</v>
      </c>
      <c r="G3449" t="s">
        <v>21</v>
      </c>
      <c r="H3449" t="str">
        <f>"196560"</f>
        <v>196560</v>
      </c>
      <c r="I3449" t="str">
        <f>"VILLA TIRES"</f>
        <v>VILLA TIRES</v>
      </c>
    </row>
    <row r="3450" spans="1:9" x14ac:dyDescent="0.25">
      <c r="A3450" s="6">
        <v>43244</v>
      </c>
      <c r="B3450" t="s">
        <v>26</v>
      </c>
      <c r="C3450">
        <v>57734</v>
      </c>
      <c r="D3450" t="s">
        <v>77</v>
      </c>
      <c r="E3450" s="7">
        <v>885.76</v>
      </c>
      <c r="F3450" t="s">
        <v>20</v>
      </c>
      <c r="G3450" t="s">
        <v>21</v>
      </c>
      <c r="H3450" t="str">
        <f>"857000803-18"</f>
        <v>857000803-18</v>
      </c>
      <c r="I3450" t="str">
        <f>"DPC INDUSTRIES  INC."</f>
        <v>DPC INDUSTRIES  INC.</v>
      </c>
    </row>
    <row r="3451" spans="1:9" x14ac:dyDescent="0.25">
      <c r="A3451" s="6">
        <v>43244</v>
      </c>
      <c r="B3451" t="s">
        <v>26</v>
      </c>
      <c r="C3451">
        <v>57735</v>
      </c>
      <c r="D3451" t="s">
        <v>124</v>
      </c>
      <c r="E3451" s="7">
        <v>13.98</v>
      </c>
      <c r="F3451" t="s">
        <v>20</v>
      </c>
      <c r="G3451" t="s">
        <v>21</v>
      </c>
      <c r="H3451" t="str">
        <f>"11159906"</f>
        <v>11159906</v>
      </c>
      <c r="I3451" t="str">
        <f>"MCCOY'S CORPORATION"</f>
        <v>MCCOY'S CORPORATION</v>
      </c>
    </row>
    <row r="3452" spans="1:9" x14ac:dyDescent="0.25">
      <c r="A3452" s="6">
        <v>43244</v>
      </c>
      <c r="B3452" t="s">
        <v>26</v>
      </c>
      <c r="C3452">
        <v>57736</v>
      </c>
      <c r="D3452" t="s">
        <v>343</v>
      </c>
      <c r="E3452" s="7">
        <v>100</v>
      </c>
      <c r="F3452" t="s">
        <v>20</v>
      </c>
      <c r="G3452" t="s">
        <v>21</v>
      </c>
      <c r="H3452" t="str">
        <f>"GOLF TOURN SPON"</f>
        <v>GOLF TOURN SPON</v>
      </c>
      <c r="I3452" t="str">
        <f>"FLORESVILLE PEANUT FESTIVAL AS"</f>
        <v>FLORESVILLE PEANUT FESTIVAL AS</v>
      </c>
    </row>
    <row r="3453" spans="1:9" x14ac:dyDescent="0.25">
      <c r="A3453" s="6">
        <v>43244</v>
      </c>
      <c r="B3453" t="s">
        <v>26</v>
      </c>
      <c r="C3453">
        <v>57737</v>
      </c>
      <c r="D3453" t="s">
        <v>85</v>
      </c>
      <c r="E3453" s="7">
        <v>160.97999999999999</v>
      </c>
      <c r="F3453" t="s">
        <v>20</v>
      </c>
      <c r="G3453" t="s">
        <v>21</v>
      </c>
      <c r="H3453" t="str">
        <f>"201805248389"</f>
        <v>201805248389</v>
      </c>
      <c r="I3453" t="str">
        <f>"FRONTIER"</f>
        <v>FRONTIER</v>
      </c>
    </row>
    <row r="3454" spans="1:9" x14ac:dyDescent="0.25">
      <c r="E3454" s="7"/>
      <c r="F3454" t="s">
        <v>20</v>
      </c>
      <c r="G3454" t="s">
        <v>21</v>
      </c>
      <c r="H3454" t="str">
        <f>"201805248390"</f>
        <v>201805248390</v>
      </c>
      <c r="I3454" t="str">
        <f>"FRONTIER"</f>
        <v>FRONTIER</v>
      </c>
    </row>
    <row r="3455" spans="1:9" x14ac:dyDescent="0.25">
      <c r="E3455" s="7"/>
      <c r="F3455" t="s">
        <v>20</v>
      </c>
      <c r="G3455" t="s">
        <v>21</v>
      </c>
      <c r="H3455" t="str">
        <f>"201805248391"</f>
        <v>201805248391</v>
      </c>
      <c r="I3455" t="str">
        <f>"FRONTIER"</f>
        <v>FRONTIER</v>
      </c>
    </row>
    <row r="3456" spans="1:9" x14ac:dyDescent="0.25">
      <c r="E3456" s="7"/>
      <c r="F3456" t="s">
        <v>20</v>
      </c>
      <c r="G3456" t="s">
        <v>21</v>
      </c>
      <c r="H3456" t="str">
        <f>"201805248392"</f>
        <v>201805248392</v>
      </c>
      <c r="I3456" t="str">
        <f>"FRONTIER"</f>
        <v>FRONTIER</v>
      </c>
    </row>
    <row r="3457" spans="1:9" x14ac:dyDescent="0.25">
      <c r="A3457" s="6">
        <v>43244</v>
      </c>
      <c r="B3457" t="s">
        <v>26</v>
      </c>
      <c r="C3457">
        <v>57738</v>
      </c>
      <c r="D3457" t="s">
        <v>194</v>
      </c>
      <c r="E3457" s="7">
        <v>25250</v>
      </c>
      <c r="F3457" t="s">
        <v>20</v>
      </c>
      <c r="G3457" t="s">
        <v>21</v>
      </c>
      <c r="H3457" t="str">
        <f>"OR10155838"</f>
        <v>OR10155838</v>
      </c>
      <c r="I3457" t="str">
        <f>"GALLS  LLC-D.B.A. STERLING'S U"</f>
        <v>GALLS  LLC-D.B.A. STERLING'S U</v>
      </c>
    </row>
    <row r="3458" spans="1:9" x14ac:dyDescent="0.25">
      <c r="A3458" s="6">
        <v>43244</v>
      </c>
      <c r="B3458" t="s">
        <v>26</v>
      </c>
      <c r="C3458">
        <v>57739</v>
      </c>
      <c r="D3458" t="s">
        <v>195</v>
      </c>
      <c r="E3458" s="7">
        <v>1908.37</v>
      </c>
      <c r="F3458" t="s">
        <v>20</v>
      </c>
      <c r="G3458" t="s">
        <v>21</v>
      </c>
      <c r="H3458" t="str">
        <f>"1565201805"</f>
        <v>1565201805</v>
      </c>
      <c r="I3458" t="str">
        <f>"ARISTA INFORMATION SYSTEMS  IN"</f>
        <v>ARISTA INFORMATION SYSTEMS  IN</v>
      </c>
    </row>
    <row r="3459" spans="1:9" x14ac:dyDescent="0.25">
      <c r="E3459" s="7"/>
      <c r="F3459" t="s">
        <v>20</v>
      </c>
      <c r="G3459" t="s">
        <v>21</v>
      </c>
      <c r="H3459" t="str">
        <f>"25373"</f>
        <v>25373</v>
      </c>
      <c r="I3459" t="str">
        <f>"ARISTA INFORMATION SYSTEMS  IN"</f>
        <v>ARISTA INFORMATION SYSTEMS  IN</v>
      </c>
    </row>
    <row r="3460" spans="1:9" x14ac:dyDescent="0.25">
      <c r="A3460" s="6">
        <v>43244</v>
      </c>
      <c r="B3460" t="s">
        <v>26</v>
      </c>
      <c r="C3460">
        <v>57740</v>
      </c>
      <c r="D3460" t="s">
        <v>87</v>
      </c>
      <c r="E3460" s="7">
        <v>291</v>
      </c>
      <c r="F3460" t="s">
        <v>20</v>
      </c>
      <c r="G3460" t="s">
        <v>21</v>
      </c>
      <c r="H3460" t="str">
        <f>"8244"</f>
        <v>8244</v>
      </c>
      <c r="I3460" t="str">
        <f>"SAVVYTECH SECURITY HOUSTON INC"</f>
        <v>SAVVYTECH SECURITY HOUSTON INC</v>
      </c>
    </row>
    <row r="3461" spans="1:9" x14ac:dyDescent="0.25">
      <c r="A3461" s="6">
        <v>43244</v>
      </c>
      <c r="B3461" t="s">
        <v>26</v>
      </c>
      <c r="C3461">
        <v>57741</v>
      </c>
      <c r="D3461" t="s">
        <v>289</v>
      </c>
      <c r="E3461" s="7">
        <v>3725</v>
      </c>
      <c r="F3461" t="s">
        <v>20</v>
      </c>
      <c r="G3461" t="s">
        <v>21</v>
      </c>
      <c r="H3461" t="str">
        <f>"1106"</f>
        <v>1106</v>
      </c>
      <c r="I3461" t="str">
        <f>"FLYER VIEW GROUP LLC"</f>
        <v>FLYER VIEW GROUP LLC</v>
      </c>
    </row>
    <row r="3462" spans="1:9" x14ac:dyDescent="0.25">
      <c r="A3462" s="6">
        <v>43244</v>
      </c>
      <c r="B3462" t="s">
        <v>26</v>
      </c>
      <c r="C3462">
        <v>57742</v>
      </c>
      <c r="D3462" t="s">
        <v>415</v>
      </c>
      <c r="E3462" s="7">
        <v>3542</v>
      </c>
      <c r="F3462" t="s">
        <v>20</v>
      </c>
      <c r="G3462" t="s">
        <v>21</v>
      </c>
      <c r="H3462" t="str">
        <f>"18009767"</f>
        <v>18009767</v>
      </c>
      <c r="I3462" t="str">
        <f>"TEXDOOR LTD"</f>
        <v>TEXDOOR LTD</v>
      </c>
    </row>
    <row r="3463" spans="1:9" x14ac:dyDescent="0.25">
      <c r="E3463" s="7"/>
      <c r="F3463" t="s">
        <v>20</v>
      </c>
      <c r="G3463" t="s">
        <v>21</v>
      </c>
      <c r="H3463" t="str">
        <f>"18010880"</f>
        <v>18010880</v>
      </c>
      <c r="I3463" t="str">
        <f>"TEXDOOR LTD"</f>
        <v>TEXDOOR LTD</v>
      </c>
    </row>
    <row r="3464" spans="1:9" x14ac:dyDescent="0.25">
      <c r="A3464" s="6">
        <v>43244</v>
      </c>
      <c r="B3464" t="s">
        <v>26</v>
      </c>
      <c r="C3464">
        <v>57743</v>
      </c>
      <c r="D3464" t="s">
        <v>416</v>
      </c>
      <c r="E3464" s="7">
        <v>9955</v>
      </c>
      <c r="F3464" t="s">
        <v>20</v>
      </c>
      <c r="G3464" t="s">
        <v>21</v>
      </c>
      <c r="H3464" t="str">
        <f>"0001"</f>
        <v>0001</v>
      </c>
      <c r="I3464" t="str">
        <f>"DIAMOND R CONTRACTING"</f>
        <v>DIAMOND R CONTRACTING</v>
      </c>
    </row>
    <row r="3465" spans="1:9" x14ac:dyDescent="0.25">
      <c r="A3465" s="6">
        <v>43244</v>
      </c>
      <c r="B3465" t="s">
        <v>26</v>
      </c>
      <c r="C3465">
        <v>57744</v>
      </c>
      <c r="D3465" t="s">
        <v>417</v>
      </c>
      <c r="E3465" s="7">
        <v>3475</v>
      </c>
      <c r="F3465" t="s">
        <v>20</v>
      </c>
      <c r="G3465" t="s">
        <v>21</v>
      </c>
      <c r="H3465" t="str">
        <f>"50% DOWN"</f>
        <v>50% DOWN</v>
      </c>
      <c r="I3465" t="str">
        <f>"REYES CUSTOM CABINETS &amp; ACCESS"</f>
        <v>REYES CUSTOM CABINETS &amp; ACCESS</v>
      </c>
    </row>
    <row r="3466" spans="1:9" x14ac:dyDescent="0.25">
      <c r="A3466" s="6">
        <v>43251</v>
      </c>
      <c r="B3466" t="s">
        <v>26</v>
      </c>
      <c r="C3466">
        <v>57745</v>
      </c>
      <c r="D3466" t="s">
        <v>57</v>
      </c>
      <c r="E3466" s="7">
        <v>30906.81</v>
      </c>
      <c r="F3466" t="s">
        <v>20</v>
      </c>
      <c r="G3466" t="s">
        <v>21</v>
      </c>
      <c r="H3466" t="str">
        <f>"201805318398"</f>
        <v>201805318398</v>
      </c>
      <c r="I3466" t="str">
        <f>"F.E.L.P.S."</f>
        <v>F.E.L.P.S.</v>
      </c>
    </row>
    <row r="3467" spans="1:9" x14ac:dyDescent="0.25">
      <c r="E3467" s="7"/>
      <c r="F3467" t="s">
        <v>20</v>
      </c>
      <c r="G3467" t="s">
        <v>21</v>
      </c>
      <c r="H3467" t="str">
        <f>"5/17/18"</f>
        <v>5/17/18</v>
      </c>
      <c r="I3467" t="str">
        <f>"F.E.L.P.S."</f>
        <v>F.E.L.P.S.</v>
      </c>
    </row>
    <row r="3468" spans="1:9" x14ac:dyDescent="0.25">
      <c r="A3468" s="6">
        <v>43251</v>
      </c>
      <c r="B3468" t="s">
        <v>26</v>
      </c>
      <c r="C3468">
        <v>57746</v>
      </c>
      <c r="D3468" t="s">
        <v>59</v>
      </c>
      <c r="E3468" s="7">
        <v>335.16</v>
      </c>
      <c r="F3468" t="s">
        <v>20</v>
      </c>
      <c r="G3468" t="s">
        <v>21</v>
      </c>
      <c r="H3468" t="str">
        <f>"0960235"</f>
        <v>0960235</v>
      </c>
      <c r="I3468" t="str">
        <f>"FERGUSON WATERWORKS - MUNICIPA"</f>
        <v>FERGUSON WATERWORKS - MUNICIPA</v>
      </c>
    </row>
    <row r="3469" spans="1:9" x14ac:dyDescent="0.25">
      <c r="A3469" s="6">
        <v>43251</v>
      </c>
      <c r="B3469" t="s">
        <v>26</v>
      </c>
      <c r="C3469">
        <v>57747</v>
      </c>
      <c r="D3469" t="s">
        <v>202</v>
      </c>
      <c r="E3469" s="7">
        <v>2477.2800000000002</v>
      </c>
      <c r="F3469" t="s">
        <v>20</v>
      </c>
      <c r="G3469" t="s">
        <v>21</v>
      </c>
      <c r="H3469" t="str">
        <f>"61740099"</f>
        <v>61740099</v>
      </c>
      <c r="I3469" t="str">
        <f>"VULCAN CONSTRUCTION MATERIALS"</f>
        <v>VULCAN CONSTRUCTION MATERIALS</v>
      </c>
    </row>
    <row r="3470" spans="1:9" x14ac:dyDescent="0.25">
      <c r="A3470" s="6">
        <v>43251</v>
      </c>
      <c r="B3470" t="s">
        <v>26</v>
      </c>
      <c r="C3470">
        <v>57748</v>
      </c>
      <c r="D3470" t="s">
        <v>180</v>
      </c>
      <c r="E3470" s="7">
        <v>1490.55</v>
      </c>
      <c r="F3470" t="s">
        <v>20</v>
      </c>
      <c r="G3470" t="s">
        <v>21</v>
      </c>
      <c r="H3470" t="str">
        <f>"30125088"</f>
        <v>30125088</v>
      </c>
      <c r="I3470" t="str">
        <f>"DITTMAR LUMBER CO."</f>
        <v>DITTMAR LUMBER CO.</v>
      </c>
    </row>
    <row r="3471" spans="1:9" x14ac:dyDescent="0.25">
      <c r="E3471" s="7"/>
      <c r="F3471" t="s">
        <v>20</v>
      </c>
      <c r="G3471" t="s">
        <v>21</v>
      </c>
      <c r="H3471" t="str">
        <f>"30125189"</f>
        <v>30125189</v>
      </c>
      <c r="I3471" t="str">
        <f>"DITTMAR LUMBER CO."</f>
        <v>DITTMAR LUMBER CO.</v>
      </c>
    </row>
    <row r="3472" spans="1:9" x14ac:dyDescent="0.25">
      <c r="E3472" s="7"/>
      <c r="F3472" t="s">
        <v>20</v>
      </c>
      <c r="G3472" t="s">
        <v>21</v>
      </c>
      <c r="H3472" t="str">
        <f>"30125214"</f>
        <v>30125214</v>
      </c>
      <c r="I3472" t="str">
        <f>"DITTMAR LUMBER CO."</f>
        <v>DITTMAR LUMBER CO.</v>
      </c>
    </row>
    <row r="3473" spans="1:9" x14ac:dyDescent="0.25">
      <c r="E3473" s="7"/>
      <c r="F3473" t="s">
        <v>20</v>
      </c>
      <c r="G3473" t="s">
        <v>21</v>
      </c>
      <c r="H3473" t="str">
        <f>"30125235"</f>
        <v>30125235</v>
      </c>
      <c r="I3473" t="str">
        <f>"DITTMAR LUMBER CO."</f>
        <v>DITTMAR LUMBER CO.</v>
      </c>
    </row>
    <row r="3474" spans="1:9" x14ac:dyDescent="0.25">
      <c r="E3474" s="7"/>
      <c r="F3474" t="s">
        <v>20</v>
      </c>
      <c r="G3474" t="s">
        <v>21</v>
      </c>
      <c r="H3474" t="str">
        <f>"30125408"</f>
        <v>30125408</v>
      </c>
      <c r="I3474" t="str">
        <f>"DITTMAR LUMBER CO."</f>
        <v>DITTMAR LUMBER CO.</v>
      </c>
    </row>
    <row r="3475" spans="1:9" x14ac:dyDescent="0.25">
      <c r="A3475" s="6">
        <v>43251</v>
      </c>
      <c r="B3475" t="s">
        <v>26</v>
      </c>
      <c r="C3475">
        <v>57749</v>
      </c>
      <c r="D3475" t="s">
        <v>240</v>
      </c>
      <c r="E3475" s="7">
        <v>129.97999999999999</v>
      </c>
      <c r="F3475" t="s">
        <v>20</v>
      </c>
      <c r="G3475" t="s">
        <v>21</v>
      </c>
      <c r="H3475" t="str">
        <f>"0145950-IN"</f>
        <v>0145950-IN</v>
      </c>
      <c r="I3475" t="str">
        <f>"NARDIS PUBLIC SAFETY"</f>
        <v>NARDIS PUBLIC SAFETY</v>
      </c>
    </row>
    <row r="3476" spans="1:9" x14ac:dyDescent="0.25">
      <c r="A3476" s="6">
        <v>43251</v>
      </c>
      <c r="B3476" t="s">
        <v>26</v>
      </c>
      <c r="C3476">
        <v>57750</v>
      </c>
      <c r="D3476" t="s">
        <v>418</v>
      </c>
      <c r="E3476" s="7">
        <v>800</v>
      </c>
      <c r="F3476" t="s">
        <v>20</v>
      </c>
      <c r="G3476" t="s">
        <v>21</v>
      </c>
      <c r="H3476" t="str">
        <f>"EVENT CENTER REF"</f>
        <v>EVENT CENTER REF</v>
      </c>
      <c r="I3476" t="str">
        <f>"EVENT CENTER REF"</f>
        <v>EVENT CENTER REF</v>
      </c>
    </row>
    <row r="3477" spans="1:9" x14ac:dyDescent="0.25">
      <c r="A3477" s="6">
        <v>43251</v>
      </c>
      <c r="B3477" t="s">
        <v>26</v>
      </c>
      <c r="C3477">
        <v>57751</v>
      </c>
      <c r="D3477" t="s">
        <v>61</v>
      </c>
      <c r="E3477" s="7">
        <v>3327.83</v>
      </c>
      <c r="F3477" t="s">
        <v>20</v>
      </c>
      <c r="G3477" t="s">
        <v>21</v>
      </c>
      <c r="H3477" t="str">
        <f>"025-223185"</f>
        <v>025-223185</v>
      </c>
      <c r="I3477" t="str">
        <f>"TYLER TECHNOLOGIES  INC."</f>
        <v>TYLER TECHNOLOGIES  INC.</v>
      </c>
    </row>
    <row r="3478" spans="1:9" x14ac:dyDescent="0.25">
      <c r="E3478" s="7"/>
      <c r="F3478" t="s">
        <v>20</v>
      </c>
      <c r="G3478" t="s">
        <v>21</v>
      </c>
      <c r="H3478" t="str">
        <f>"025-224732"</f>
        <v>025-224732</v>
      </c>
      <c r="I3478" t="str">
        <f>"TYLER TECHNOLOGIES  INC."</f>
        <v>TYLER TECHNOLOGIES  INC.</v>
      </c>
    </row>
    <row r="3479" spans="1:9" x14ac:dyDescent="0.25">
      <c r="A3479" s="6">
        <v>43251</v>
      </c>
      <c r="B3479" t="s">
        <v>26</v>
      </c>
      <c r="C3479">
        <v>57752</v>
      </c>
      <c r="D3479" t="s">
        <v>0</v>
      </c>
      <c r="E3479" s="7">
        <v>2711.39</v>
      </c>
      <c r="F3479" t="s">
        <v>20</v>
      </c>
      <c r="G3479" t="s">
        <v>21</v>
      </c>
      <c r="H3479" t="str">
        <f>"6/10/18"</f>
        <v>6/10/18</v>
      </c>
      <c r="I3479" t="str">
        <f>"CITY OF FLORESVILLE"</f>
        <v>CITY OF FLORESVILLE</v>
      </c>
    </row>
    <row r="3480" spans="1:9" x14ac:dyDescent="0.25">
      <c r="A3480" s="6">
        <v>43251</v>
      </c>
      <c r="B3480" t="s">
        <v>26</v>
      </c>
      <c r="C3480">
        <v>57753</v>
      </c>
      <c r="D3480" t="s">
        <v>62</v>
      </c>
      <c r="E3480" s="7">
        <v>5109.67</v>
      </c>
      <c r="F3480" t="s">
        <v>20</v>
      </c>
      <c r="G3480" t="s">
        <v>21</v>
      </c>
      <c r="H3480" t="str">
        <f>"201805318399"</f>
        <v>201805318399</v>
      </c>
      <c r="I3480" t="str">
        <f>"SBS ADMINISTRATIVE SERVICES  L"</f>
        <v>SBS ADMINISTRATIVE SERVICES  L</v>
      </c>
    </row>
    <row r="3481" spans="1:9" x14ac:dyDescent="0.25">
      <c r="A3481" s="6">
        <v>43251</v>
      </c>
      <c r="B3481" t="s">
        <v>26</v>
      </c>
      <c r="C3481">
        <v>57754</v>
      </c>
      <c r="D3481" t="s">
        <v>63</v>
      </c>
      <c r="E3481" s="7">
        <v>208.63</v>
      </c>
      <c r="F3481" t="s">
        <v>20</v>
      </c>
      <c r="G3481" t="s">
        <v>21</v>
      </c>
      <c r="H3481" t="str">
        <f>"8403661826"</f>
        <v>8403661826</v>
      </c>
      <c r="I3481" t="str">
        <f>"CINTAS CORPORATION"</f>
        <v>CINTAS CORPORATION</v>
      </c>
    </row>
    <row r="3482" spans="1:9" x14ac:dyDescent="0.25">
      <c r="A3482" s="6">
        <v>43251</v>
      </c>
      <c r="B3482" t="s">
        <v>26</v>
      </c>
      <c r="C3482">
        <v>57755</v>
      </c>
      <c r="D3482" t="s">
        <v>254</v>
      </c>
      <c r="E3482" s="7">
        <v>2761</v>
      </c>
      <c r="F3482" t="s">
        <v>20</v>
      </c>
      <c r="G3482" t="s">
        <v>21</v>
      </c>
      <c r="H3482" t="str">
        <f>"201805318397"</f>
        <v>201805318397</v>
      </c>
      <c r="I3482" t="str">
        <f>"TEXAS WORKFORCE COMMISSION"</f>
        <v>TEXAS WORKFORCE COMMISSION</v>
      </c>
    </row>
    <row r="3483" spans="1:9" x14ac:dyDescent="0.25">
      <c r="A3483" s="6">
        <v>43251</v>
      </c>
      <c r="B3483" t="s">
        <v>26</v>
      </c>
      <c r="C3483">
        <v>57756</v>
      </c>
      <c r="D3483" t="s">
        <v>189</v>
      </c>
      <c r="E3483" s="7">
        <v>471.03</v>
      </c>
      <c r="F3483" t="s">
        <v>20</v>
      </c>
      <c r="G3483" t="s">
        <v>21</v>
      </c>
      <c r="H3483" t="str">
        <f>"W93752"</f>
        <v>W93752</v>
      </c>
      <c r="I3483" t="str">
        <f>"ASCO"</f>
        <v>ASCO</v>
      </c>
    </row>
    <row r="3484" spans="1:9" x14ac:dyDescent="0.25">
      <c r="A3484" s="6">
        <v>43251</v>
      </c>
      <c r="B3484" t="s">
        <v>26</v>
      </c>
      <c r="C3484">
        <v>57757</v>
      </c>
      <c r="D3484" t="s">
        <v>419</v>
      </c>
      <c r="E3484" s="7">
        <v>102.93</v>
      </c>
      <c r="F3484" t="s">
        <v>20</v>
      </c>
      <c r="G3484" t="s">
        <v>21</v>
      </c>
      <c r="H3484" t="str">
        <f>"TRAVEL 5/22/18"</f>
        <v>TRAVEL 5/22/18</v>
      </c>
      <c r="I3484" t="str">
        <f>"GEORGE ORTIZ"</f>
        <v>GEORGE ORTIZ</v>
      </c>
    </row>
    <row r="3485" spans="1:9" x14ac:dyDescent="0.25">
      <c r="A3485" s="6">
        <v>43251</v>
      </c>
      <c r="B3485" t="s">
        <v>26</v>
      </c>
      <c r="C3485">
        <v>57758</v>
      </c>
      <c r="D3485" t="s">
        <v>146</v>
      </c>
      <c r="E3485" s="7">
        <v>312.5</v>
      </c>
      <c r="F3485" t="s">
        <v>20</v>
      </c>
      <c r="G3485" t="s">
        <v>21</v>
      </c>
      <c r="H3485" t="str">
        <f>"557052"</f>
        <v>557052</v>
      </c>
      <c r="I3485" t="str">
        <f>"LARRY SRALLA ELECTRIC"</f>
        <v>LARRY SRALLA ELECTRIC</v>
      </c>
    </row>
    <row r="3486" spans="1:9" x14ac:dyDescent="0.25">
      <c r="E3486" s="7"/>
      <c r="F3486" t="s">
        <v>20</v>
      </c>
      <c r="G3486" t="s">
        <v>21</v>
      </c>
      <c r="H3486" t="str">
        <f>"557057"</f>
        <v>557057</v>
      </c>
      <c r="I3486" t="str">
        <f>"LARRY SRALLA ELECTRIC"</f>
        <v>LARRY SRALLA ELECTRIC</v>
      </c>
    </row>
    <row r="3487" spans="1:9" x14ac:dyDescent="0.25">
      <c r="E3487" s="7"/>
      <c r="F3487" t="s">
        <v>20</v>
      </c>
      <c r="G3487" t="s">
        <v>21</v>
      </c>
      <c r="H3487" t="str">
        <f>"557062"</f>
        <v>557062</v>
      </c>
      <c r="I3487" t="str">
        <f>"LARRY SRALLA ELECTRIC"</f>
        <v>LARRY SRALLA ELECTRIC</v>
      </c>
    </row>
    <row r="3488" spans="1:9" x14ac:dyDescent="0.25">
      <c r="A3488" s="6">
        <v>43251</v>
      </c>
      <c r="B3488" t="s">
        <v>26</v>
      </c>
      <c r="C3488">
        <v>57759</v>
      </c>
      <c r="D3488" t="s">
        <v>29</v>
      </c>
      <c r="E3488" s="7">
        <v>27087.13</v>
      </c>
      <c r="F3488" t="s">
        <v>20</v>
      </c>
      <c r="G3488" t="s">
        <v>21</v>
      </c>
      <c r="H3488" t="str">
        <f>"31513"</f>
        <v>31513</v>
      </c>
      <c r="I3488" t="str">
        <f>"M &amp; S ENGINEERING  LLC"</f>
        <v>M &amp; S ENGINEERING  LLC</v>
      </c>
    </row>
    <row r="3489" spans="1:9" x14ac:dyDescent="0.25">
      <c r="E3489" s="7"/>
      <c r="F3489" t="s">
        <v>20</v>
      </c>
      <c r="G3489" t="s">
        <v>21</v>
      </c>
      <c r="H3489" t="str">
        <f>"31583"</f>
        <v>31583</v>
      </c>
      <c r="I3489" t="str">
        <f>"M &amp; S ENGINEERING  LLC"</f>
        <v>M &amp; S ENGINEERING  LLC</v>
      </c>
    </row>
    <row r="3490" spans="1:9" x14ac:dyDescent="0.25">
      <c r="E3490" s="7"/>
      <c r="F3490" t="s">
        <v>20</v>
      </c>
      <c r="G3490" t="s">
        <v>21</v>
      </c>
      <c r="H3490" t="str">
        <f>"31789"</f>
        <v>31789</v>
      </c>
      <c r="I3490" t="str">
        <f>"M &amp; S ENGINEERING  LLC"</f>
        <v>M &amp; S ENGINEERING  LLC</v>
      </c>
    </row>
    <row r="3491" spans="1:9" x14ac:dyDescent="0.25">
      <c r="E3491" s="7"/>
      <c r="F3491" t="s">
        <v>20</v>
      </c>
      <c r="G3491" t="s">
        <v>21</v>
      </c>
      <c r="H3491" t="str">
        <f>"31831"</f>
        <v>31831</v>
      </c>
      <c r="I3491" t="str">
        <f>"M &amp; S ENGINEERING  LLC"</f>
        <v>M &amp; S ENGINEERING  LLC</v>
      </c>
    </row>
    <row r="3492" spans="1:9" x14ac:dyDescent="0.25">
      <c r="A3492" s="6">
        <v>43251</v>
      </c>
      <c r="B3492" t="s">
        <v>26</v>
      </c>
      <c r="C3492">
        <v>57760</v>
      </c>
      <c r="D3492" t="s">
        <v>71</v>
      </c>
      <c r="E3492" s="7">
        <v>254.15</v>
      </c>
      <c r="F3492" t="s">
        <v>20</v>
      </c>
      <c r="G3492" t="s">
        <v>21</v>
      </c>
      <c r="H3492" t="str">
        <f>"087132938"</f>
        <v>087132938</v>
      </c>
      <c r="I3492" t="str">
        <f>"CINTAS CORPORATION #087"</f>
        <v>CINTAS CORPORATION #087</v>
      </c>
    </row>
    <row r="3493" spans="1:9" x14ac:dyDescent="0.25">
      <c r="A3493" s="6">
        <v>43251</v>
      </c>
      <c r="B3493" t="s">
        <v>26</v>
      </c>
      <c r="C3493">
        <v>57761</v>
      </c>
      <c r="D3493" t="s">
        <v>122</v>
      </c>
      <c r="E3493" s="7">
        <v>10</v>
      </c>
      <c r="F3493" t="s">
        <v>20</v>
      </c>
      <c r="G3493" t="s">
        <v>21</v>
      </c>
      <c r="H3493" t="str">
        <f>"196569"</f>
        <v>196569</v>
      </c>
      <c r="I3493" t="str">
        <f>"FLAT TIRE"</f>
        <v>FLAT TIRE</v>
      </c>
    </row>
    <row r="3494" spans="1:9" x14ac:dyDescent="0.25">
      <c r="A3494" s="6">
        <v>43251</v>
      </c>
      <c r="B3494" t="s">
        <v>26</v>
      </c>
      <c r="C3494">
        <v>57762</v>
      </c>
      <c r="D3494" t="s">
        <v>123</v>
      </c>
      <c r="E3494" s="7">
        <v>1014.97</v>
      </c>
      <c r="F3494" t="s">
        <v>20</v>
      </c>
      <c r="G3494" t="s">
        <v>21</v>
      </c>
      <c r="H3494" t="str">
        <f>"139871507001"</f>
        <v>139871507001</v>
      </c>
      <c r="I3494" t="str">
        <f>"OFFICE DEPOT  INC."</f>
        <v>OFFICE DEPOT  INC.</v>
      </c>
    </row>
    <row r="3495" spans="1:9" x14ac:dyDescent="0.25">
      <c r="E3495" s="7"/>
      <c r="F3495" t="s">
        <v>20</v>
      </c>
      <c r="G3495" t="s">
        <v>21</v>
      </c>
      <c r="H3495" t="str">
        <f>"139872372001"</f>
        <v>139872372001</v>
      </c>
      <c r="I3495" t="str">
        <f>"OFFICE DEPOT  INC."</f>
        <v>OFFICE DEPOT  INC.</v>
      </c>
    </row>
    <row r="3496" spans="1:9" x14ac:dyDescent="0.25">
      <c r="E3496" s="7"/>
      <c r="F3496" t="s">
        <v>20</v>
      </c>
      <c r="G3496" t="s">
        <v>21</v>
      </c>
      <c r="H3496" t="str">
        <f>"139872373001"</f>
        <v>139872373001</v>
      </c>
      <c r="I3496" t="str">
        <f>"OFFICE DEPOT  INC."</f>
        <v>OFFICE DEPOT  INC.</v>
      </c>
    </row>
    <row r="3497" spans="1:9" x14ac:dyDescent="0.25">
      <c r="E3497" s="7"/>
      <c r="F3497" t="s">
        <v>20</v>
      </c>
      <c r="G3497" t="s">
        <v>21</v>
      </c>
      <c r="H3497" t="str">
        <f>"140173448001"</f>
        <v>140173448001</v>
      </c>
      <c r="I3497" t="str">
        <f>"OFFICE DEPOT  INC."</f>
        <v>OFFICE DEPOT  INC.</v>
      </c>
    </row>
    <row r="3498" spans="1:9" x14ac:dyDescent="0.25">
      <c r="E3498" s="7"/>
      <c r="F3498" t="s">
        <v>20</v>
      </c>
      <c r="G3498" t="s">
        <v>21</v>
      </c>
      <c r="H3498" t="str">
        <f>"140173852001"</f>
        <v>140173852001</v>
      </c>
      <c r="I3498" t="str">
        <f>"OFFICE DEPOT  INC."</f>
        <v>OFFICE DEPOT  INC.</v>
      </c>
    </row>
    <row r="3499" spans="1:9" x14ac:dyDescent="0.25">
      <c r="A3499" s="6">
        <v>43251</v>
      </c>
      <c r="B3499" t="s">
        <v>26</v>
      </c>
      <c r="C3499">
        <v>57763</v>
      </c>
      <c r="D3499" t="s">
        <v>137</v>
      </c>
      <c r="E3499" s="7">
        <v>121.9</v>
      </c>
      <c r="F3499" t="s">
        <v>20</v>
      </c>
      <c r="G3499" t="s">
        <v>21</v>
      </c>
      <c r="H3499" t="str">
        <f>"1449109"</f>
        <v>1449109</v>
      </c>
      <c r="I3499" t="str">
        <f>"OMNIBUS-M  INC.D.B.A."</f>
        <v>OMNIBUS-M  INC.D.B.A.</v>
      </c>
    </row>
    <row r="3500" spans="1:9" x14ac:dyDescent="0.25">
      <c r="E3500" s="7"/>
      <c r="F3500" t="s">
        <v>20</v>
      </c>
      <c r="G3500" t="s">
        <v>21</v>
      </c>
      <c r="H3500" t="str">
        <f>"1449110"</f>
        <v>1449110</v>
      </c>
      <c r="I3500" t="str">
        <f>"OMNIBUS-M  INC.D.B.A."</f>
        <v>OMNIBUS-M  INC.D.B.A.</v>
      </c>
    </row>
    <row r="3501" spans="1:9" x14ac:dyDescent="0.25">
      <c r="A3501" s="6">
        <v>43251</v>
      </c>
      <c r="B3501" t="s">
        <v>26</v>
      </c>
      <c r="C3501">
        <v>57764</v>
      </c>
      <c r="D3501" t="s">
        <v>77</v>
      </c>
      <c r="E3501" s="7">
        <v>446.88</v>
      </c>
      <c r="F3501" t="s">
        <v>20</v>
      </c>
      <c r="G3501" t="s">
        <v>21</v>
      </c>
      <c r="H3501" t="str">
        <f>"857000841-18"</f>
        <v>857000841-18</v>
      </c>
      <c r="I3501" t="str">
        <f>"DPC INDUSTRIES  INC."</f>
        <v>DPC INDUSTRIES  INC.</v>
      </c>
    </row>
    <row r="3502" spans="1:9" x14ac:dyDescent="0.25">
      <c r="A3502" s="6">
        <v>43251</v>
      </c>
      <c r="B3502" t="s">
        <v>26</v>
      </c>
      <c r="C3502">
        <v>57765</v>
      </c>
      <c r="D3502" t="s">
        <v>79</v>
      </c>
      <c r="E3502" s="7">
        <v>6.93</v>
      </c>
      <c r="F3502" t="s">
        <v>20</v>
      </c>
      <c r="G3502" t="s">
        <v>21</v>
      </c>
      <c r="H3502" t="str">
        <f>"6-191-98706"</f>
        <v>6-191-98706</v>
      </c>
      <c r="I3502" t="str">
        <f>"FEDEX"</f>
        <v>FEDEX</v>
      </c>
    </row>
    <row r="3503" spans="1:9" x14ac:dyDescent="0.25">
      <c r="A3503" s="6">
        <v>43251</v>
      </c>
      <c r="B3503" t="s">
        <v>26</v>
      </c>
      <c r="C3503">
        <v>57766</v>
      </c>
      <c r="D3503" t="s">
        <v>222</v>
      </c>
      <c r="E3503" s="7">
        <v>225</v>
      </c>
      <c r="F3503" t="s">
        <v>20</v>
      </c>
      <c r="G3503" t="s">
        <v>21</v>
      </c>
      <c r="H3503" t="str">
        <f>"00252"</f>
        <v>00252</v>
      </c>
      <c r="I3503" t="str">
        <f>"ST. MARY'S UNIVERSITY POLICE D"</f>
        <v>ST. MARY'S UNIVERSITY POLICE D</v>
      </c>
    </row>
    <row r="3504" spans="1:9" x14ac:dyDescent="0.25">
      <c r="A3504" s="6">
        <v>43251</v>
      </c>
      <c r="B3504" t="s">
        <v>26</v>
      </c>
      <c r="C3504">
        <v>57767</v>
      </c>
      <c r="D3504" t="s">
        <v>131</v>
      </c>
      <c r="E3504" s="7">
        <v>180.82</v>
      </c>
      <c r="F3504" t="s">
        <v>20</v>
      </c>
      <c r="G3504" t="s">
        <v>21</v>
      </c>
      <c r="H3504" t="str">
        <f>"029479"</f>
        <v>029479</v>
      </c>
      <c r="I3504" t="str">
        <f>"R &amp; S TEXAS PARTS CO"</f>
        <v>R &amp; S TEXAS PARTS CO</v>
      </c>
    </row>
    <row r="3505" spans="1:9" x14ac:dyDescent="0.25">
      <c r="A3505" s="6">
        <v>43251</v>
      </c>
      <c r="B3505" t="s">
        <v>26</v>
      </c>
      <c r="C3505">
        <v>57768</v>
      </c>
      <c r="D3505" t="s">
        <v>82</v>
      </c>
      <c r="E3505" s="7">
        <v>55</v>
      </c>
      <c r="F3505" t="s">
        <v>20</v>
      </c>
      <c r="G3505" t="s">
        <v>21</v>
      </c>
      <c r="H3505" t="str">
        <f>"SI-1020690"</f>
        <v>SI-1020690</v>
      </c>
      <c r="I3505" t="str">
        <f>"BASS COMPUTER  INC."</f>
        <v>BASS COMPUTER  INC.</v>
      </c>
    </row>
    <row r="3506" spans="1:9" x14ac:dyDescent="0.25">
      <c r="A3506" s="6">
        <v>43251</v>
      </c>
      <c r="B3506" t="s">
        <v>26</v>
      </c>
      <c r="C3506">
        <v>57769</v>
      </c>
      <c r="D3506" t="s">
        <v>83</v>
      </c>
      <c r="E3506" s="7">
        <v>936</v>
      </c>
      <c r="F3506" t="s">
        <v>20</v>
      </c>
      <c r="G3506" t="s">
        <v>21</v>
      </c>
      <c r="H3506" t="str">
        <f>"378155"</f>
        <v>378155</v>
      </c>
      <c r="I3506" t="str">
        <f>"APPRIVER"</f>
        <v>APPRIVER</v>
      </c>
    </row>
    <row r="3507" spans="1:9" x14ac:dyDescent="0.25">
      <c r="A3507" s="6">
        <v>43251</v>
      </c>
      <c r="B3507" t="s">
        <v>26</v>
      </c>
      <c r="C3507">
        <v>57770</v>
      </c>
      <c r="D3507" t="s">
        <v>84</v>
      </c>
      <c r="E3507" s="7">
        <v>119.44</v>
      </c>
      <c r="F3507" t="s">
        <v>20</v>
      </c>
      <c r="G3507" t="s">
        <v>21</v>
      </c>
      <c r="H3507" t="str">
        <f>"1342542 (2)"</f>
        <v>1342542 (2)</v>
      </c>
      <c r="I3507" t="str">
        <f>"STANTEC CONSULTING SERVICES IN"</f>
        <v>STANTEC CONSULTING SERVICES IN</v>
      </c>
    </row>
    <row r="3508" spans="1:9" x14ac:dyDescent="0.25">
      <c r="A3508" s="6">
        <v>43251</v>
      </c>
      <c r="B3508" t="s">
        <v>26</v>
      </c>
      <c r="C3508">
        <v>57771</v>
      </c>
      <c r="D3508" t="s">
        <v>85</v>
      </c>
      <c r="E3508" s="7">
        <v>153.86000000000001</v>
      </c>
      <c r="F3508" t="s">
        <v>20</v>
      </c>
      <c r="G3508" t="s">
        <v>21</v>
      </c>
      <c r="H3508" t="str">
        <f>"201805318395"</f>
        <v>201805318395</v>
      </c>
      <c r="I3508" t="str">
        <f>"FRONTIER"</f>
        <v>FRONTIER</v>
      </c>
    </row>
    <row r="3509" spans="1:9" x14ac:dyDescent="0.25">
      <c r="E3509" s="7"/>
      <c r="F3509" t="s">
        <v>20</v>
      </c>
      <c r="G3509" t="s">
        <v>21</v>
      </c>
      <c r="H3509" t="str">
        <f>"201805318396"</f>
        <v>201805318396</v>
      </c>
      <c r="I3509" t="str">
        <f>"FRONTIER"</f>
        <v>FRONTIER</v>
      </c>
    </row>
    <row r="3510" spans="1:9" x14ac:dyDescent="0.25">
      <c r="A3510" s="6">
        <v>43251</v>
      </c>
      <c r="B3510" t="s">
        <v>26</v>
      </c>
      <c r="C3510">
        <v>57772</v>
      </c>
      <c r="D3510" t="s">
        <v>381</v>
      </c>
      <c r="E3510" s="7">
        <v>133.91999999999999</v>
      </c>
      <c r="F3510" t="s">
        <v>20</v>
      </c>
      <c r="G3510" t="s">
        <v>21</v>
      </c>
      <c r="H3510" t="str">
        <f>"LIFE INSUR REIM"</f>
        <v>LIFE INSUR REIM</v>
      </c>
      <c r="I3510" t="str">
        <f>"LISA TREJO"</f>
        <v>LISA TREJO</v>
      </c>
    </row>
    <row r="3511" spans="1:9" x14ac:dyDescent="0.25">
      <c r="A3511" s="6">
        <v>43251</v>
      </c>
      <c r="B3511" t="s">
        <v>26</v>
      </c>
      <c r="C3511">
        <v>57773</v>
      </c>
      <c r="D3511" t="s">
        <v>420</v>
      </c>
      <c r="E3511" s="7">
        <v>60</v>
      </c>
      <c r="F3511" t="s">
        <v>20</v>
      </c>
      <c r="G3511" t="s">
        <v>21</v>
      </c>
      <c r="H3511" t="str">
        <f>"5/26/18"</f>
        <v>5/26/18</v>
      </c>
      <c r="I3511" t="str">
        <f>"TERESA A. PENA-RODRIGUEZ"</f>
        <v>TERESA A. PENA-RODRIGUEZ</v>
      </c>
    </row>
    <row r="3512" spans="1:9" x14ac:dyDescent="0.25">
      <c r="A3512" s="6">
        <v>43251</v>
      </c>
      <c r="B3512" t="s">
        <v>26</v>
      </c>
      <c r="C3512">
        <v>57774</v>
      </c>
      <c r="D3512" t="s">
        <v>132</v>
      </c>
      <c r="E3512" s="7">
        <v>77.38</v>
      </c>
      <c r="F3512" t="s">
        <v>20</v>
      </c>
      <c r="G3512" t="s">
        <v>21</v>
      </c>
      <c r="H3512" t="str">
        <f>"16008854052318"</f>
        <v>16008854052318</v>
      </c>
      <c r="I3512" t="str">
        <f>"SPARKLETTS &amp; SIERRA SPRINGS"</f>
        <v>SPARKLETTS &amp; SIERRA SPRINGS</v>
      </c>
    </row>
    <row r="3513" spans="1:9" x14ac:dyDescent="0.25">
      <c r="A3513" s="6">
        <v>43251</v>
      </c>
      <c r="B3513" t="s">
        <v>26</v>
      </c>
      <c r="C3513">
        <v>57775</v>
      </c>
      <c r="D3513" t="s">
        <v>345</v>
      </c>
      <c r="E3513" s="7">
        <v>577.5</v>
      </c>
      <c r="F3513" t="s">
        <v>20</v>
      </c>
      <c r="G3513" t="s">
        <v>21</v>
      </c>
      <c r="H3513" t="str">
        <f>"5/14-5/18"</f>
        <v>5/14-5/18</v>
      </c>
      <c r="I3513" t="str">
        <f>"MICHAEL ISAAC MARTINEZ"</f>
        <v>MICHAEL ISAAC MARTINEZ</v>
      </c>
    </row>
    <row r="3514" spans="1:9" x14ac:dyDescent="0.25">
      <c r="E3514" s="7"/>
      <c r="F3514" t="s">
        <v>20</v>
      </c>
      <c r="G3514" t="s">
        <v>21</v>
      </c>
      <c r="H3514" t="str">
        <f>"5/21-5/26"</f>
        <v>5/21-5/26</v>
      </c>
      <c r="I3514" t="str">
        <f>"MICHAEL ISAAC MARTINEZ"</f>
        <v>MICHAEL ISAAC MARTINEZ</v>
      </c>
    </row>
    <row r="3515" spans="1:9" x14ac:dyDescent="0.25">
      <c r="A3515" s="6">
        <v>43251</v>
      </c>
      <c r="B3515" t="s">
        <v>26</v>
      </c>
      <c r="C3515">
        <v>57776</v>
      </c>
      <c r="D3515" t="s">
        <v>333</v>
      </c>
      <c r="E3515" s="7">
        <v>5933</v>
      </c>
      <c r="F3515" t="s">
        <v>20</v>
      </c>
      <c r="G3515" t="s">
        <v>21</v>
      </c>
      <c r="H3515" t="str">
        <f>"05-17-2018"</f>
        <v>05-17-2018</v>
      </c>
      <c r="I3515" t="str">
        <f>"MONICA ALMAGUER"</f>
        <v>MONICA ALMAGUER</v>
      </c>
    </row>
    <row r="3516" spans="1:9" x14ac:dyDescent="0.25">
      <c r="A3516" s="6">
        <v>43251</v>
      </c>
      <c r="B3516" t="s">
        <v>91</v>
      </c>
      <c r="C3516">
        <v>57777</v>
      </c>
      <c r="D3516" t="s">
        <v>421</v>
      </c>
      <c r="E3516" s="7">
        <v>2000</v>
      </c>
      <c r="F3516" t="s">
        <v>20</v>
      </c>
      <c r="G3516" t="s">
        <v>21</v>
      </c>
      <c r="H3516" t="str">
        <f>"DEPOSIT"</f>
        <v>DEPOSIT</v>
      </c>
      <c r="I3516" t="str">
        <f>"MAGIC VALLEY RIDES"</f>
        <v>MAGIC VALLEY RIDES</v>
      </c>
    </row>
    <row r="3517" spans="1:9" x14ac:dyDescent="0.25">
      <c r="A3517" s="6">
        <v>43251</v>
      </c>
      <c r="B3517" t="s">
        <v>91</v>
      </c>
      <c r="C3517">
        <v>57777</v>
      </c>
      <c r="D3517" t="s">
        <v>421</v>
      </c>
      <c r="E3517" s="7">
        <v>2000</v>
      </c>
      <c r="F3517" t="s">
        <v>20</v>
      </c>
      <c r="G3517" t="s">
        <v>93</v>
      </c>
      <c r="H3517" t="str">
        <f>"CHECK"</f>
        <v>CHECK</v>
      </c>
      <c r="I3517" t="str">
        <f>""</f>
        <v/>
      </c>
    </row>
    <row r="3518" spans="1:9" x14ac:dyDescent="0.25">
      <c r="A3518" s="6">
        <v>43251</v>
      </c>
      <c r="B3518" t="s">
        <v>26</v>
      </c>
      <c r="C3518">
        <v>57778</v>
      </c>
      <c r="D3518" t="s">
        <v>422</v>
      </c>
      <c r="E3518" s="7">
        <v>1000</v>
      </c>
      <c r="F3518" t="s">
        <v>20</v>
      </c>
      <c r="G3518" t="s">
        <v>21</v>
      </c>
      <c r="H3518" t="str">
        <f>"57956"</f>
        <v>57956</v>
      </c>
      <c r="I3518" t="str">
        <f>"SAN ANTONIO &amp; AUSTIN WEDDING G"</f>
        <v>SAN ANTONIO &amp; AUSTIN WEDDING G</v>
      </c>
    </row>
    <row r="3519" spans="1:9" x14ac:dyDescent="0.25">
      <c r="A3519" s="6">
        <v>43251</v>
      </c>
      <c r="B3519" t="s">
        <v>26</v>
      </c>
      <c r="C3519">
        <v>57779</v>
      </c>
      <c r="D3519" t="s">
        <v>423</v>
      </c>
      <c r="E3519" s="7">
        <v>211</v>
      </c>
      <c r="F3519" t="s">
        <v>20</v>
      </c>
      <c r="G3519" t="s">
        <v>21</v>
      </c>
      <c r="H3519" t="str">
        <f>"7001530858"</f>
        <v>7001530858</v>
      </c>
      <c r="I3519" t="str">
        <f>"AMERICAN WATER WORKS ASSOCIATI"</f>
        <v>AMERICAN WATER WORKS ASSOCIATI</v>
      </c>
    </row>
    <row r="3520" spans="1:9" x14ac:dyDescent="0.25">
      <c r="A3520" s="6">
        <v>43256</v>
      </c>
      <c r="B3520" t="s">
        <v>26</v>
      </c>
      <c r="C3520">
        <v>57780</v>
      </c>
      <c r="D3520" t="s">
        <v>223</v>
      </c>
      <c r="E3520" s="7">
        <v>75</v>
      </c>
      <c r="F3520" t="s">
        <v>20</v>
      </c>
      <c r="G3520" t="s">
        <v>21</v>
      </c>
      <c r="H3520" t="str">
        <f>"062018-COUNCIL"</f>
        <v>062018-COUNCIL</v>
      </c>
      <c r="I3520" t="str">
        <f>""</f>
        <v/>
      </c>
    </row>
    <row r="3521" spans="1:9" x14ac:dyDescent="0.25">
      <c r="A3521" s="6">
        <v>43256</v>
      </c>
      <c r="B3521" t="s">
        <v>26</v>
      </c>
      <c r="C3521">
        <v>57781</v>
      </c>
      <c r="D3521" t="s">
        <v>36</v>
      </c>
      <c r="E3521" s="7">
        <v>75</v>
      </c>
      <c r="F3521" t="s">
        <v>20</v>
      </c>
      <c r="G3521" t="s">
        <v>21</v>
      </c>
      <c r="H3521" t="str">
        <f>"062018-COUNCIL"</f>
        <v>062018-COUNCIL</v>
      </c>
      <c r="I3521" t="str">
        <f>""</f>
        <v/>
      </c>
    </row>
    <row r="3522" spans="1:9" x14ac:dyDescent="0.25">
      <c r="A3522" s="6">
        <v>43256</v>
      </c>
      <c r="B3522" t="s">
        <v>26</v>
      </c>
      <c r="C3522">
        <v>57782</v>
      </c>
      <c r="D3522" t="s">
        <v>37</v>
      </c>
      <c r="E3522" s="7">
        <v>75</v>
      </c>
      <c r="F3522" t="s">
        <v>20</v>
      </c>
      <c r="G3522" t="s">
        <v>21</v>
      </c>
      <c r="H3522" t="str">
        <f>"062018-COUNCIL"</f>
        <v>062018-COUNCIL</v>
      </c>
      <c r="I3522" t="str">
        <f>""</f>
        <v/>
      </c>
    </row>
    <row r="3523" spans="1:9" x14ac:dyDescent="0.25">
      <c r="A3523" s="6">
        <v>43256</v>
      </c>
      <c r="B3523" t="s">
        <v>26</v>
      </c>
      <c r="C3523">
        <v>57783</v>
      </c>
      <c r="D3523" t="s">
        <v>38</v>
      </c>
      <c r="E3523" s="7">
        <v>100</v>
      </c>
      <c r="F3523" t="s">
        <v>20</v>
      </c>
      <c r="G3523" t="s">
        <v>21</v>
      </c>
      <c r="H3523" t="str">
        <f>"062018-MAYOR"</f>
        <v>062018-MAYOR</v>
      </c>
      <c r="I3523" t="str">
        <f>""</f>
        <v/>
      </c>
    </row>
    <row r="3524" spans="1:9" x14ac:dyDescent="0.25">
      <c r="A3524" s="6">
        <v>43256</v>
      </c>
      <c r="B3524" t="s">
        <v>26</v>
      </c>
      <c r="C3524">
        <v>57784</v>
      </c>
      <c r="D3524" t="s">
        <v>39</v>
      </c>
      <c r="E3524" s="7">
        <v>75</v>
      </c>
      <c r="F3524" t="s">
        <v>20</v>
      </c>
      <c r="G3524" t="s">
        <v>21</v>
      </c>
      <c r="H3524" t="str">
        <f>"062018-COUNCIL"</f>
        <v>062018-COUNCIL</v>
      </c>
      <c r="I3524" t="str">
        <f>""</f>
        <v/>
      </c>
    </row>
    <row r="3525" spans="1:9" x14ac:dyDescent="0.25">
      <c r="A3525" s="6">
        <v>43256</v>
      </c>
      <c r="B3525" t="s">
        <v>26</v>
      </c>
      <c r="C3525">
        <v>57785</v>
      </c>
      <c r="D3525" t="s">
        <v>40</v>
      </c>
      <c r="E3525" s="7">
        <v>75</v>
      </c>
      <c r="F3525" t="s">
        <v>20</v>
      </c>
      <c r="G3525" t="s">
        <v>21</v>
      </c>
      <c r="H3525" t="str">
        <f>"062018-COUNCIL"</f>
        <v>062018-COUNCIL</v>
      </c>
      <c r="I3525" t="str">
        <f>""</f>
        <v/>
      </c>
    </row>
    <row r="3526" spans="1:9" x14ac:dyDescent="0.25">
      <c r="A3526" s="6">
        <v>43256</v>
      </c>
      <c r="B3526" t="s">
        <v>26</v>
      </c>
      <c r="C3526">
        <v>57786</v>
      </c>
      <c r="D3526" t="s">
        <v>424</v>
      </c>
      <c r="E3526" s="7">
        <v>208</v>
      </c>
      <c r="F3526" t="s">
        <v>20</v>
      </c>
      <c r="G3526" t="s">
        <v>21</v>
      </c>
      <c r="H3526" t="str">
        <f>"CASH BOND REF"</f>
        <v>CASH BOND REF</v>
      </c>
      <c r="I3526" t="str">
        <f>"MUN COURT R"</f>
        <v>MUN COURT R</v>
      </c>
    </row>
    <row r="3527" spans="1:9" x14ac:dyDescent="0.25">
      <c r="A3527" s="6">
        <v>43256</v>
      </c>
      <c r="B3527" t="s">
        <v>26</v>
      </c>
      <c r="C3527">
        <v>57787</v>
      </c>
      <c r="D3527" t="s">
        <v>425</v>
      </c>
      <c r="E3527" s="7">
        <v>282.25</v>
      </c>
      <c r="F3527" t="s">
        <v>20</v>
      </c>
      <c r="G3527" t="s">
        <v>21</v>
      </c>
      <c r="H3527" t="str">
        <f>"383090"</f>
        <v>383090</v>
      </c>
      <c r="I3527" t="str">
        <f>"SUN BADGE CO."</f>
        <v>SUN BADGE CO.</v>
      </c>
    </row>
    <row r="3528" spans="1:9" x14ac:dyDescent="0.25">
      <c r="A3528" s="6">
        <v>43256</v>
      </c>
      <c r="B3528" t="s">
        <v>26</v>
      </c>
      <c r="C3528">
        <v>57788</v>
      </c>
      <c r="D3528" t="s">
        <v>63</v>
      </c>
      <c r="E3528" s="7">
        <v>107.17</v>
      </c>
      <c r="F3528" t="s">
        <v>20</v>
      </c>
      <c r="G3528" t="s">
        <v>21</v>
      </c>
      <c r="H3528" t="str">
        <f>"8403680894"</f>
        <v>8403680894</v>
      </c>
      <c r="I3528" t="str">
        <f>"CINTAS CORPORATION"</f>
        <v>CINTAS CORPORATION</v>
      </c>
    </row>
    <row r="3529" spans="1:9" x14ac:dyDescent="0.25">
      <c r="A3529" s="6">
        <v>43256</v>
      </c>
      <c r="B3529" t="s">
        <v>26</v>
      </c>
      <c r="C3529">
        <v>57789</v>
      </c>
      <c r="D3529" t="s">
        <v>64</v>
      </c>
      <c r="E3529" s="7">
        <v>4309</v>
      </c>
      <c r="F3529" t="s">
        <v>20</v>
      </c>
      <c r="G3529" t="s">
        <v>21</v>
      </c>
      <c r="H3529" t="str">
        <f>"7550"</f>
        <v>7550</v>
      </c>
      <c r="I3529" t="str">
        <f>"DREWA DESIGNS  INC."</f>
        <v>DREWA DESIGNS  INC.</v>
      </c>
    </row>
    <row r="3530" spans="1:9" x14ac:dyDescent="0.25">
      <c r="A3530" s="6">
        <v>43256</v>
      </c>
      <c r="B3530" t="s">
        <v>26</v>
      </c>
      <c r="C3530">
        <v>57790</v>
      </c>
      <c r="D3530" t="s">
        <v>426</v>
      </c>
      <c r="E3530" s="7">
        <v>1340.2</v>
      </c>
      <c r="F3530" t="s">
        <v>20</v>
      </c>
      <c r="G3530" t="s">
        <v>21</v>
      </c>
      <c r="H3530" t="str">
        <f>"INV0661674"</f>
        <v>INV0661674</v>
      </c>
      <c r="I3530" t="str">
        <f>"GT DISTRIBUTORS  INC."</f>
        <v>GT DISTRIBUTORS  INC.</v>
      </c>
    </row>
    <row r="3531" spans="1:9" x14ac:dyDescent="0.25">
      <c r="A3531" s="6">
        <v>43256</v>
      </c>
      <c r="B3531" t="s">
        <v>26</v>
      </c>
      <c r="C3531">
        <v>57791</v>
      </c>
      <c r="D3531" t="s">
        <v>71</v>
      </c>
      <c r="E3531" s="7">
        <v>57.61</v>
      </c>
      <c r="F3531" t="s">
        <v>20</v>
      </c>
      <c r="G3531" t="s">
        <v>21</v>
      </c>
      <c r="H3531" t="str">
        <f>"087135548"</f>
        <v>087135548</v>
      </c>
      <c r="I3531" t="str">
        <f>"CINTAS CORPORATION #087"</f>
        <v>CINTAS CORPORATION #087</v>
      </c>
    </row>
    <row r="3532" spans="1:9" x14ac:dyDescent="0.25">
      <c r="A3532" s="6">
        <v>43256</v>
      </c>
      <c r="B3532" t="s">
        <v>26</v>
      </c>
      <c r="C3532">
        <v>57792</v>
      </c>
      <c r="D3532" t="s">
        <v>156</v>
      </c>
      <c r="E3532" s="7">
        <v>684</v>
      </c>
      <c r="F3532" t="s">
        <v>20</v>
      </c>
      <c r="G3532" t="s">
        <v>21</v>
      </c>
      <c r="H3532" t="str">
        <f>"6/05/18"</f>
        <v>6/05/18</v>
      </c>
      <c r="I3532" t="str">
        <f>"GLI DISTRIBUTING"</f>
        <v>GLI DISTRIBUTING</v>
      </c>
    </row>
    <row r="3533" spans="1:9" x14ac:dyDescent="0.25">
      <c r="A3533" s="6">
        <v>43256</v>
      </c>
      <c r="B3533" t="s">
        <v>26</v>
      </c>
      <c r="C3533">
        <v>57793</v>
      </c>
      <c r="D3533" t="s">
        <v>80</v>
      </c>
      <c r="E3533" s="7">
        <v>1776.91</v>
      </c>
      <c r="F3533" t="s">
        <v>20</v>
      </c>
      <c r="G3533" t="s">
        <v>21</v>
      </c>
      <c r="H3533" t="str">
        <f>"1648-20180601-1"</f>
        <v>1648-20180601-1</v>
      </c>
      <c r="I3533" t="str">
        <f>"LVWIFI.COM"</f>
        <v>LVWIFI.COM</v>
      </c>
    </row>
    <row r="3534" spans="1:9" x14ac:dyDescent="0.25">
      <c r="E3534" s="7"/>
      <c r="F3534" t="s">
        <v>20</v>
      </c>
      <c r="G3534" t="s">
        <v>21</v>
      </c>
      <c r="H3534" t="str">
        <f>"2313-20180601-1"</f>
        <v>2313-20180601-1</v>
      </c>
      <c r="I3534" t="str">
        <f>"LVWIFI.COM"</f>
        <v>LVWIFI.COM</v>
      </c>
    </row>
    <row r="3535" spans="1:9" x14ac:dyDescent="0.25">
      <c r="E3535" s="7"/>
      <c r="F3535" t="s">
        <v>20</v>
      </c>
      <c r="G3535" t="s">
        <v>21</v>
      </c>
      <c r="H3535" t="str">
        <f>"2314-20180601-1"</f>
        <v>2314-20180601-1</v>
      </c>
      <c r="I3535" t="str">
        <f>"LVWIFI.COM"</f>
        <v>LVWIFI.COM</v>
      </c>
    </row>
    <row r="3536" spans="1:9" x14ac:dyDescent="0.25">
      <c r="E3536" s="7"/>
      <c r="F3536" t="s">
        <v>20</v>
      </c>
      <c r="G3536" t="s">
        <v>21</v>
      </c>
      <c r="H3536" t="str">
        <f>"2478-20180601-1"</f>
        <v>2478-20180601-1</v>
      </c>
      <c r="I3536" t="str">
        <f>"LVWIFI.COM"</f>
        <v>LVWIFI.COM</v>
      </c>
    </row>
    <row r="3537" spans="1:9" x14ac:dyDescent="0.25">
      <c r="A3537" s="6">
        <v>43256</v>
      </c>
      <c r="B3537" t="s">
        <v>26</v>
      </c>
      <c r="C3537">
        <v>57794</v>
      </c>
      <c r="D3537" t="s">
        <v>207</v>
      </c>
      <c r="E3537" s="7">
        <v>570</v>
      </c>
      <c r="F3537" t="s">
        <v>20</v>
      </c>
      <c r="G3537" t="s">
        <v>21</v>
      </c>
      <c r="H3537" t="str">
        <f>"4890"</f>
        <v>4890</v>
      </c>
      <c r="I3537" t="str">
        <f>"MAD DESIGNS"</f>
        <v>MAD DESIGNS</v>
      </c>
    </row>
    <row r="3538" spans="1:9" x14ac:dyDescent="0.25">
      <c r="A3538" s="6">
        <v>43256</v>
      </c>
      <c r="B3538" t="s">
        <v>26</v>
      </c>
      <c r="C3538">
        <v>57795</v>
      </c>
      <c r="D3538" t="s">
        <v>158</v>
      </c>
      <c r="E3538" s="7">
        <v>550</v>
      </c>
      <c r="F3538" t="s">
        <v>20</v>
      </c>
      <c r="G3538" t="s">
        <v>21</v>
      </c>
      <c r="H3538" t="str">
        <f>"BRIDAL EXTRAV"</f>
        <v>BRIDAL EXTRAV</v>
      </c>
      <c r="I3538" t="str">
        <f>"GEORGE NICKLAS SILVA"</f>
        <v>GEORGE NICKLAS SILVA</v>
      </c>
    </row>
    <row r="3539" spans="1:9" x14ac:dyDescent="0.25">
      <c r="A3539" s="6">
        <v>43256</v>
      </c>
      <c r="B3539" t="s">
        <v>26</v>
      </c>
      <c r="C3539">
        <v>57796</v>
      </c>
      <c r="D3539" t="s">
        <v>82</v>
      </c>
      <c r="E3539" s="7">
        <v>3184.35</v>
      </c>
      <c r="F3539" t="s">
        <v>20</v>
      </c>
      <c r="G3539" t="s">
        <v>21</v>
      </c>
      <c r="H3539" t="str">
        <f>"SI-1023905"</f>
        <v>SI-1023905</v>
      </c>
      <c r="I3539" t="str">
        <f>"BASS COMPUTER  INC."</f>
        <v>BASS COMPUTER  INC.</v>
      </c>
    </row>
    <row r="3540" spans="1:9" x14ac:dyDescent="0.25">
      <c r="E3540" s="7"/>
      <c r="F3540" t="s">
        <v>20</v>
      </c>
      <c r="G3540" t="s">
        <v>21</v>
      </c>
      <c r="H3540" t="str">
        <f>"SI-1023964"</f>
        <v>SI-1023964</v>
      </c>
      <c r="I3540" t="str">
        <f>"IT EQUIPMENT"</f>
        <v>IT EQUIPMENT</v>
      </c>
    </row>
    <row r="3541" spans="1:9" x14ac:dyDescent="0.25">
      <c r="A3541" s="6">
        <v>43256</v>
      </c>
      <c r="B3541" t="s">
        <v>26</v>
      </c>
      <c r="C3541">
        <v>57797</v>
      </c>
      <c r="D3541" t="s">
        <v>420</v>
      </c>
      <c r="E3541" s="7">
        <v>60</v>
      </c>
      <c r="F3541" t="s">
        <v>20</v>
      </c>
      <c r="G3541" t="s">
        <v>21</v>
      </c>
      <c r="H3541" t="str">
        <f>"6/02/2018"</f>
        <v>6/02/2018</v>
      </c>
      <c r="I3541" t="str">
        <f>"TERESA A. PENA-RODRIGUEZ"</f>
        <v>TERESA A. PENA-RODRIGUEZ</v>
      </c>
    </row>
    <row r="3542" spans="1:9" x14ac:dyDescent="0.25">
      <c r="A3542" s="6">
        <v>43256</v>
      </c>
      <c r="B3542" t="s">
        <v>26</v>
      </c>
      <c r="C3542">
        <v>57798</v>
      </c>
      <c r="D3542" t="s">
        <v>345</v>
      </c>
      <c r="E3542" s="7">
        <v>126.5</v>
      </c>
      <c r="F3542" t="s">
        <v>20</v>
      </c>
      <c r="G3542" t="s">
        <v>21</v>
      </c>
      <c r="H3542" t="str">
        <f>"5/28-6/04"</f>
        <v>5/28-6/04</v>
      </c>
      <c r="I3542" t="str">
        <f>"MICHAEL ISAAC MARTINEZ"</f>
        <v>MICHAEL ISAAC MARTINEZ</v>
      </c>
    </row>
    <row r="3543" spans="1:9" x14ac:dyDescent="0.25">
      <c r="A3543" s="6">
        <v>43256</v>
      </c>
      <c r="B3543" t="s">
        <v>26</v>
      </c>
      <c r="C3543">
        <v>57799</v>
      </c>
      <c r="D3543" t="s">
        <v>288</v>
      </c>
      <c r="E3543" s="7">
        <v>225</v>
      </c>
      <c r="F3543" t="s">
        <v>20</v>
      </c>
      <c r="G3543" t="s">
        <v>21</v>
      </c>
      <c r="H3543" t="str">
        <f>"24674"</f>
        <v>24674</v>
      </c>
      <c r="I3543" t="str">
        <f>"AXON ENTERPRISES INC"</f>
        <v>AXON ENTERPRISES INC</v>
      </c>
    </row>
    <row r="3544" spans="1:9" x14ac:dyDescent="0.25">
      <c r="A3544" s="6">
        <v>43256</v>
      </c>
      <c r="B3544" t="s">
        <v>26</v>
      </c>
      <c r="C3544">
        <v>57800</v>
      </c>
      <c r="D3544" t="s">
        <v>427</v>
      </c>
      <c r="E3544" s="7">
        <v>70</v>
      </c>
      <c r="F3544" t="s">
        <v>20</v>
      </c>
      <c r="G3544" t="s">
        <v>21</v>
      </c>
      <c r="H3544" t="str">
        <f>"6/02/2018"</f>
        <v>6/02/2018</v>
      </c>
      <c r="I3544" t="str">
        <f>"Alexandria Rene Palacios"</f>
        <v>Alexandria Rene Palacios</v>
      </c>
    </row>
    <row r="3545" spans="1:9" x14ac:dyDescent="0.25">
      <c r="A3545" s="6">
        <v>43257</v>
      </c>
      <c r="B3545" t="s">
        <v>26</v>
      </c>
      <c r="C3545">
        <v>57830</v>
      </c>
      <c r="D3545" t="s">
        <v>51</v>
      </c>
      <c r="E3545" s="7">
        <v>309.37</v>
      </c>
      <c r="F3545" t="s">
        <v>20</v>
      </c>
      <c r="G3545" t="s">
        <v>21</v>
      </c>
      <c r="H3545" t="str">
        <f>"CLE201806068400"</f>
        <v>CLE201806068400</v>
      </c>
      <c r="I3545" t="str">
        <f>"CLEAT ONLY DUES"</f>
        <v>CLEAT ONLY DUES</v>
      </c>
    </row>
    <row r="3546" spans="1:9" x14ac:dyDescent="0.25">
      <c r="E3546" s="7"/>
      <c r="F3546" t="s">
        <v>20</v>
      </c>
      <c r="G3546" t="s">
        <v>21</v>
      </c>
      <c r="H3546" t="str">
        <f>"PDD201806068400"</f>
        <v>PDD201806068400</v>
      </c>
      <c r="I3546" t="str">
        <f>"POLICE OFFICERS ASSOC DUES"</f>
        <v>POLICE OFFICERS ASSOC DUES</v>
      </c>
    </row>
    <row r="3547" spans="1:9" x14ac:dyDescent="0.25">
      <c r="A3547" s="6">
        <v>43257</v>
      </c>
      <c r="B3547" t="s">
        <v>26</v>
      </c>
      <c r="C3547">
        <v>57831</v>
      </c>
      <c r="D3547" t="s">
        <v>90</v>
      </c>
      <c r="E3547" s="7">
        <v>114.96</v>
      </c>
      <c r="F3547" t="s">
        <v>20</v>
      </c>
      <c r="G3547" t="s">
        <v>21</v>
      </c>
      <c r="H3547" t="str">
        <f>"AFS201806068400"</f>
        <v>AFS201806068400</v>
      </c>
      <c r="I3547" t="str">
        <f>"AFLAC STD"</f>
        <v>AFLAC STD</v>
      </c>
    </row>
    <row r="3548" spans="1:9" x14ac:dyDescent="0.25">
      <c r="A3548" s="6">
        <v>43257</v>
      </c>
      <c r="B3548" t="s">
        <v>26</v>
      </c>
      <c r="C3548">
        <v>57832</v>
      </c>
      <c r="D3548" t="s">
        <v>52</v>
      </c>
      <c r="E3548" s="7">
        <v>1331.53</v>
      </c>
      <c r="F3548" t="s">
        <v>20</v>
      </c>
      <c r="G3548" t="s">
        <v>21</v>
      </c>
      <c r="H3548" t="str">
        <f>"CPS201806068400"</f>
        <v>CPS201806068400</v>
      </c>
      <c r="I3548" t="str">
        <f>"G MENDOZA 00123012032010EM5054"</f>
        <v>G MENDOZA 00123012032010EM5054</v>
      </c>
    </row>
    <row r="3549" spans="1:9" x14ac:dyDescent="0.25">
      <c r="E3549" s="7"/>
      <c r="F3549" t="s">
        <v>20</v>
      </c>
      <c r="G3549" t="s">
        <v>21</v>
      </c>
      <c r="H3549" t="str">
        <f>"CS 201806068400"</f>
        <v>CS 201806068400</v>
      </c>
      <c r="I3549" t="str">
        <f>"CAUSE#98EM504113 PEGGY RIVAS"</f>
        <v>CAUSE#98EM504113 PEGGY RIVAS</v>
      </c>
    </row>
    <row r="3550" spans="1:9" x14ac:dyDescent="0.25">
      <c r="E3550" s="7"/>
      <c r="F3550" t="s">
        <v>20</v>
      </c>
      <c r="G3550" t="s">
        <v>21</v>
      </c>
      <c r="H3550" t="str">
        <f>"CS1201806068400"</f>
        <v>CS1201806068400</v>
      </c>
      <c r="I3550" t="str">
        <f>"CAUSE# 10008CVW DEBRA ESQUEDA"</f>
        <v>CAUSE# 10008CVW DEBRA ESQUEDA</v>
      </c>
    </row>
    <row r="3551" spans="1:9" x14ac:dyDescent="0.25">
      <c r="E3551" s="7"/>
      <c r="F3551" t="s">
        <v>20</v>
      </c>
      <c r="G3551" t="s">
        <v>21</v>
      </c>
      <c r="H3551" t="str">
        <f>"CSJ201806068400"</f>
        <v>CSJ201806068400</v>
      </c>
      <c r="I3551" t="str">
        <f>"CAUSE# 0010185272 MARIANN GUTI"</f>
        <v>CAUSE# 0010185272 MARIANN GUTI</v>
      </c>
    </row>
    <row r="3552" spans="1:9" x14ac:dyDescent="0.25">
      <c r="E3552" s="7"/>
      <c r="F3552" t="s">
        <v>20</v>
      </c>
      <c r="G3552" t="s">
        <v>21</v>
      </c>
      <c r="H3552" t="str">
        <f>"CST201806068400"</f>
        <v>CST201806068400</v>
      </c>
      <c r="I3552" t="str">
        <f>"CAUSE #0009418917 SONIA PEREZ"</f>
        <v>CAUSE #0009418917 SONIA PEREZ</v>
      </c>
    </row>
    <row r="3553" spans="1:9" x14ac:dyDescent="0.25">
      <c r="A3553" s="6">
        <v>43257</v>
      </c>
      <c r="B3553" t="s">
        <v>26</v>
      </c>
      <c r="C3553">
        <v>57833</v>
      </c>
      <c r="D3553" t="s">
        <v>53</v>
      </c>
      <c r="E3553" s="7">
        <v>99.1</v>
      </c>
      <c r="F3553" t="s">
        <v>20</v>
      </c>
      <c r="G3553" t="s">
        <v>21</v>
      </c>
      <c r="H3553" t="str">
        <f>"MCO201806068400"</f>
        <v>MCO201806068400</v>
      </c>
      <c r="I3553" t="str">
        <f>"MONICA CORDOVA"</f>
        <v>MONICA CORDOVA</v>
      </c>
    </row>
    <row r="3554" spans="1:9" x14ac:dyDescent="0.25">
      <c r="A3554" s="6">
        <v>43257</v>
      </c>
      <c r="B3554" t="s">
        <v>26</v>
      </c>
      <c r="C3554">
        <v>57834</v>
      </c>
      <c r="D3554" t="s">
        <v>54</v>
      </c>
      <c r="E3554" s="7">
        <v>1236.74</v>
      </c>
      <c r="F3554" t="s">
        <v>20</v>
      </c>
      <c r="G3554" t="s">
        <v>21</v>
      </c>
      <c r="H3554" t="str">
        <f>"457201806068400"</f>
        <v>457201806068400</v>
      </c>
      <c r="I3554" t="str">
        <f>"CASE # 180-60751 457B DEDUCT"</f>
        <v>CASE # 180-60751 457B DEDUCT</v>
      </c>
    </row>
    <row r="3555" spans="1:9" x14ac:dyDescent="0.25">
      <c r="A3555" s="6">
        <v>43258</v>
      </c>
      <c r="B3555" t="s">
        <v>26</v>
      </c>
      <c r="C3555">
        <v>57836</v>
      </c>
      <c r="D3555" t="s">
        <v>59</v>
      </c>
      <c r="E3555" s="7">
        <v>4003.69</v>
      </c>
      <c r="F3555" t="s">
        <v>20</v>
      </c>
      <c r="G3555" t="s">
        <v>21</v>
      </c>
      <c r="H3555" t="str">
        <f>"0957788"</f>
        <v>0957788</v>
      </c>
      <c r="I3555" t="str">
        <f>"FERGUSON WATERWORKS - MUNICIPA"</f>
        <v>FERGUSON WATERWORKS - MUNICIPA</v>
      </c>
    </row>
    <row r="3556" spans="1:9" x14ac:dyDescent="0.25">
      <c r="A3556" s="6">
        <v>43258</v>
      </c>
      <c r="B3556" t="s">
        <v>26</v>
      </c>
      <c r="C3556">
        <v>57837</v>
      </c>
      <c r="D3556" t="s">
        <v>107</v>
      </c>
      <c r="E3556" s="7">
        <v>8.5299999999999994</v>
      </c>
      <c r="F3556" t="s">
        <v>20</v>
      </c>
      <c r="G3556" t="s">
        <v>21</v>
      </c>
      <c r="H3556" t="str">
        <f>"1166960-20180531"</f>
        <v>1166960-20180531</v>
      </c>
      <c r="I3556" t="str">
        <f>"LEXISNEXIS RISK SOLUTIONS"</f>
        <v>LEXISNEXIS RISK SOLUTIONS</v>
      </c>
    </row>
    <row r="3557" spans="1:9" x14ac:dyDescent="0.25">
      <c r="A3557" s="6">
        <v>43258</v>
      </c>
      <c r="B3557" t="s">
        <v>26</v>
      </c>
      <c r="C3557">
        <v>57838</v>
      </c>
      <c r="D3557" t="s">
        <v>71</v>
      </c>
      <c r="E3557" s="7">
        <v>1807.01</v>
      </c>
      <c r="F3557" t="s">
        <v>20</v>
      </c>
      <c r="G3557" t="s">
        <v>21</v>
      </c>
      <c r="H3557" t="str">
        <f>"087112907"</f>
        <v>087112907</v>
      </c>
      <c r="I3557" t="str">
        <f t="shared" ref="I3557:I3564" si="63">"CINTAS CORPORATION #087"</f>
        <v>CINTAS CORPORATION #087</v>
      </c>
    </row>
    <row r="3558" spans="1:9" x14ac:dyDescent="0.25">
      <c r="E3558" s="7"/>
      <c r="F3558" t="s">
        <v>20</v>
      </c>
      <c r="G3558" t="s">
        <v>21</v>
      </c>
      <c r="H3558" t="str">
        <f>"087116930"</f>
        <v>087116930</v>
      </c>
      <c r="I3558" t="str">
        <f t="shared" si="63"/>
        <v>CINTAS CORPORATION #087</v>
      </c>
    </row>
    <row r="3559" spans="1:9" x14ac:dyDescent="0.25">
      <c r="E3559" s="7"/>
      <c r="F3559" t="s">
        <v>20</v>
      </c>
      <c r="G3559" t="s">
        <v>21</v>
      </c>
      <c r="H3559" t="str">
        <f>"087124946"</f>
        <v>087124946</v>
      </c>
      <c r="I3559" t="str">
        <f t="shared" si="63"/>
        <v>CINTAS CORPORATION #087</v>
      </c>
    </row>
    <row r="3560" spans="1:9" x14ac:dyDescent="0.25">
      <c r="E3560" s="7"/>
      <c r="F3560" t="s">
        <v>20</v>
      </c>
      <c r="G3560" t="s">
        <v>21</v>
      </c>
      <c r="H3560" t="str">
        <f>"087128953"</f>
        <v>087128953</v>
      </c>
      <c r="I3560" t="str">
        <f t="shared" si="63"/>
        <v>CINTAS CORPORATION #087</v>
      </c>
    </row>
    <row r="3561" spans="1:9" x14ac:dyDescent="0.25">
      <c r="E3561" s="7"/>
      <c r="F3561" t="s">
        <v>20</v>
      </c>
      <c r="G3561" t="s">
        <v>21</v>
      </c>
      <c r="H3561" t="str">
        <f>"087136949"</f>
        <v>087136949</v>
      </c>
      <c r="I3561" t="str">
        <f t="shared" si="63"/>
        <v>CINTAS CORPORATION #087</v>
      </c>
    </row>
    <row r="3562" spans="1:9" x14ac:dyDescent="0.25">
      <c r="E3562" s="7"/>
      <c r="F3562" t="s">
        <v>20</v>
      </c>
      <c r="G3562" t="s">
        <v>21</v>
      </c>
      <c r="H3562" t="str">
        <f>"087143532"</f>
        <v>087143532</v>
      </c>
      <c r="I3562" t="str">
        <f t="shared" si="63"/>
        <v>CINTAS CORPORATION #087</v>
      </c>
    </row>
    <row r="3563" spans="1:9" x14ac:dyDescent="0.25">
      <c r="E3563" s="7"/>
      <c r="F3563" t="s">
        <v>20</v>
      </c>
      <c r="G3563" t="s">
        <v>21</v>
      </c>
      <c r="H3563" t="str">
        <f>"087144946"</f>
        <v>087144946</v>
      </c>
      <c r="I3563" t="str">
        <f t="shared" si="63"/>
        <v>CINTAS CORPORATION #087</v>
      </c>
    </row>
    <row r="3564" spans="1:9" x14ac:dyDescent="0.25">
      <c r="E3564" s="7"/>
      <c r="F3564" t="s">
        <v>20</v>
      </c>
      <c r="G3564" t="s">
        <v>21</v>
      </c>
      <c r="H3564" t="str">
        <f>"087147511"</f>
        <v>087147511</v>
      </c>
      <c r="I3564" t="str">
        <f t="shared" si="63"/>
        <v>CINTAS CORPORATION #087</v>
      </c>
    </row>
    <row r="3565" spans="1:9" x14ac:dyDescent="0.25">
      <c r="A3565" s="6">
        <v>43258</v>
      </c>
      <c r="B3565" t="s">
        <v>26</v>
      </c>
      <c r="C3565">
        <v>57842</v>
      </c>
      <c r="D3565" t="s">
        <v>386</v>
      </c>
      <c r="E3565" s="7">
        <v>96.6</v>
      </c>
      <c r="F3565" t="s">
        <v>20</v>
      </c>
      <c r="G3565" t="s">
        <v>21</v>
      </c>
      <c r="H3565" t="str">
        <f>"TRAVEL REIM"</f>
        <v>TRAVEL REIM</v>
      </c>
      <c r="I3565" t="str">
        <f>"HENRIETTA TURNER"</f>
        <v>HENRIETTA TURNER</v>
      </c>
    </row>
    <row r="3566" spans="1:9" x14ac:dyDescent="0.25">
      <c r="A3566" s="6">
        <v>43258</v>
      </c>
      <c r="B3566" t="s">
        <v>26</v>
      </c>
      <c r="C3566">
        <v>57843</v>
      </c>
      <c r="D3566" t="s">
        <v>81</v>
      </c>
      <c r="E3566" s="7">
        <v>176.13</v>
      </c>
      <c r="F3566" t="s">
        <v>20</v>
      </c>
      <c r="G3566" t="s">
        <v>21</v>
      </c>
      <c r="H3566" t="str">
        <f>"AM 6/6/18"</f>
        <v>AM 6/6/18</v>
      </c>
      <c r="I3566" t="str">
        <f>"CITY OF FLORESVILLE -PETTY CAS"</f>
        <v>CITY OF FLORESVILLE -PETTY CAS</v>
      </c>
    </row>
    <row r="3567" spans="1:9" x14ac:dyDescent="0.25">
      <c r="A3567" s="6">
        <v>43258</v>
      </c>
      <c r="B3567" t="s">
        <v>26</v>
      </c>
      <c r="C3567">
        <v>57844</v>
      </c>
      <c r="D3567" t="s">
        <v>308</v>
      </c>
      <c r="E3567" s="7">
        <v>40</v>
      </c>
      <c r="F3567" t="s">
        <v>20</v>
      </c>
      <c r="G3567" t="s">
        <v>21</v>
      </c>
      <c r="H3567" t="str">
        <f>"TRAINING REF"</f>
        <v>TRAINING REF</v>
      </c>
      <c r="I3567" t="str">
        <f>"JOHNNY VILLARREAL"</f>
        <v>JOHNNY VILLARREAL</v>
      </c>
    </row>
    <row r="3568" spans="1:9" x14ac:dyDescent="0.25">
      <c r="A3568" s="6">
        <v>43258</v>
      </c>
      <c r="B3568" t="s">
        <v>26</v>
      </c>
      <c r="C3568">
        <v>57845</v>
      </c>
      <c r="D3568" t="s">
        <v>257</v>
      </c>
      <c r="E3568" s="7">
        <v>3399.9</v>
      </c>
      <c r="F3568" t="s">
        <v>20</v>
      </c>
      <c r="G3568" t="s">
        <v>21</v>
      </c>
      <c r="H3568" t="str">
        <f>"1210213"</f>
        <v>1210213</v>
      </c>
      <c r="I3568" t="str">
        <f>"SEDIMENT BAG"</f>
        <v>SEDIMENT BAG</v>
      </c>
    </row>
    <row r="3569" spans="1:9" x14ac:dyDescent="0.25">
      <c r="A3569" s="6">
        <v>43258</v>
      </c>
      <c r="B3569" t="s">
        <v>26</v>
      </c>
      <c r="C3569">
        <v>57846</v>
      </c>
      <c r="D3569" t="s">
        <v>85</v>
      </c>
      <c r="E3569" s="7">
        <v>96.65</v>
      </c>
      <c r="F3569" t="s">
        <v>20</v>
      </c>
      <c r="G3569" t="s">
        <v>21</v>
      </c>
      <c r="H3569" t="str">
        <f>"201806068401"</f>
        <v>201806068401</v>
      </c>
      <c r="I3569" t="str">
        <f>"FRONTIER"</f>
        <v>FRONTIER</v>
      </c>
    </row>
    <row r="3570" spans="1:9" x14ac:dyDescent="0.25">
      <c r="A3570" s="6">
        <v>43258</v>
      </c>
      <c r="B3570" t="s">
        <v>26</v>
      </c>
      <c r="C3570">
        <v>57847</v>
      </c>
      <c r="D3570" t="s">
        <v>275</v>
      </c>
      <c r="E3570" s="7">
        <v>1035</v>
      </c>
      <c r="F3570" t="s">
        <v>20</v>
      </c>
      <c r="G3570" t="s">
        <v>21</v>
      </c>
      <c r="H3570" t="str">
        <f>"37298"</f>
        <v>37298</v>
      </c>
      <c r="I3570" t="str">
        <f>"CORTEZ LIQUID WASTE SERVICES"</f>
        <v>CORTEZ LIQUID WASTE SERVICES</v>
      </c>
    </row>
    <row r="3571" spans="1:9" x14ac:dyDescent="0.25">
      <c r="A3571" s="6">
        <v>43258</v>
      </c>
      <c r="B3571" t="s">
        <v>26</v>
      </c>
      <c r="C3571">
        <v>57848</v>
      </c>
      <c r="D3571" t="s">
        <v>48</v>
      </c>
      <c r="E3571" s="7">
        <v>852.38</v>
      </c>
      <c r="F3571" t="s">
        <v>20</v>
      </c>
      <c r="G3571" t="s">
        <v>21</v>
      </c>
      <c r="H3571" t="str">
        <f>"1591"</f>
        <v>1591</v>
      </c>
      <c r="I3571" t="str">
        <f>"RANDY HOLLAR  LLC"</f>
        <v>RANDY HOLLAR  LLC</v>
      </c>
    </row>
    <row r="3572" spans="1:9" x14ac:dyDescent="0.25">
      <c r="A3572" s="6">
        <v>43258</v>
      </c>
      <c r="B3572" t="s">
        <v>26</v>
      </c>
      <c r="C3572">
        <v>57849</v>
      </c>
      <c r="D3572" t="s">
        <v>90</v>
      </c>
      <c r="E3572" s="7">
        <v>2118.48</v>
      </c>
      <c r="F3572" t="s">
        <v>20</v>
      </c>
      <c r="G3572" t="s">
        <v>21</v>
      </c>
      <c r="H3572" t="str">
        <f>"540639"</f>
        <v>540639</v>
      </c>
      <c r="I3572" t="str">
        <f>"AFLAC"</f>
        <v>AFLAC</v>
      </c>
    </row>
    <row r="3573" spans="1:9" x14ac:dyDescent="0.25">
      <c r="E3573" s="7"/>
      <c r="F3573" t="s">
        <v>20</v>
      </c>
      <c r="G3573" t="s">
        <v>21</v>
      </c>
      <c r="H3573" t="str">
        <f>"ACA201805238388"</f>
        <v>ACA201805238388</v>
      </c>
      <c r="I3573" t="str">
        <f>"AFLAC INSURANCE"</f>
        <v>AFLAC INSURANCE</v>
      </c>
    </row>
    <row r="3574" spans="1:9" x14ac:dyDescent="0.25">
      <c r="E3574" s="7"/>
      <c r="F3574" t="s">
        <v>20</v>
      </c>
      <c r="G3574" t="s">
        <v>21</v>
      </c>
      <c r="H3574" t="str">
        <f>"ACA201806068400"</f>
        <v>ACA201806068400</v>
      </c>
      <c r="I3574" t="str">
        <f>"AFLAC INSURANCE"</f>
        <v>AFLAC INSURANCE</v>
      </c>
    </row>
    <row r="3575" spans="1:9" x14ac:dyDescent="0.25">
      <c r="E3575" s="7"/>
      <c r="F3575" t="s">
        <v>20</v>
      </c>
      <c r="G3575" t="s">
        <v>21</v>
      </c>
      <c r="H3575" t="str">
        <f>"AD2201805238388"</f>
        <v>AD2201805238388</v>
      </c>
      <c r="I3575" t="str">
        <f>"AFLAC INSURANCE"</f>
        <v>AFLAC INSURANCE</v>
      </c>
    </row>
    <row r="3576" spans="1:9" x14ac:dyDescent="0.25">
      <c r="E3576" s="7"/>
      <c r="F3576" t="s">
        <v>20</v>
      </c>
      <c r="G3576" t="s">
        <v>21</v>
      </c>
      <c r="H3576" t="str">
        <f>"AD2201806068400"</f>
        <v>AD2201806068400</v>
      </c>
      <c r="I3576" t="str">
        <f>"AFLAC INSURANCE"</f>
        <v>AFLAC INSURANCE</v>
      </c>
    </row>
    <row r="3577" spans="1:9" x14ac:dyDescent="0.25">
      <c r="E3577" s="7"/>
      <c r="F3577" t="s">
        <v>20</v>
      </c>
      <c r="G3577" t="s">
        <v>21</v>
      </c>
      <c r="H3577" t="str">
        <f>"ADR201805238388"</f>
        <v>ADR201805238388</v>
      </c>
      <c r="I3577" t="str">
        <f>"INSURANCE"</f>
        <v>INSURANCE</v>
      </c>
    </row>
    <row r="3578" spans="1:9" x14ac:dyDescent="0.25">
      <c r="E3578" s="7"/>
      <c r="F3578" t="s">
        <v>20</v>
      </c>
      <c r="G3578" t="s">
        <v>21</v>
      </c>
      <c r="H3578" t="str">
        <f>"ADR201806068400"</f>
        <v>ADR201806068400</v>
      </c>
      <c r="I3578" t="str">
        <f>"INSURANCE"</f>
        <v>INSURANCE</v>
      </c>
    </row>
    <row r="3579" spans="1:9" x14ac:dyDescent="0.25">
      <c r="E3579" s="7"/>
      <c r="F3579" t="s">
        <v>20</v>
      </c>
      <c r="G3579" t="s">
        <v>21</v>
      </c>
      <c r="H3579" t="str">
        <f>"AF1201805238388"</f>
        <v>AF1201805238388</v>
      </c>
      <c r="I3579" t="str">
        <f t="shared" ref="I3579:I3584" si="64">"AFLAC INSURANCE"</f>
        <v>AFLAC INSURANCE</v>
      </c>
    </row>
    <row r="3580" spans="1:9" x14ac:dyDescent="0.25">
      <c r="E3580" s="7"/>
      <c r="F3580" t="s">
        <v>20</v>
      </c>
      <c r="G3580" t="s">
        <v>21</v>
      </c>
      <c r="H3580" t="str">
        <f>"AF1201806068400"</f>
        <v>AF1201806068400</v>
      </c>
      <c r="I3580" t="str">
        <f t="shared" si="64"/>
        <v>AFLAC INSURANCE</v>
      </c>
    </row>
    <row r="3581" spans="1:9" x14ac:dyDescent="0.25">
      <c r="E3581" s="7"/>
      <c r="F3581" t="s">
        <v>20</v>
      </c>
      <c r="G3581" t="s">
        <v>21</v>
      </c>
      <c r="H3581" t="str">
        <f>"ASP201805238388"</f>
        <v>ASP201805238388</v>
      </c>
      <c r="I3581" t="str">
        <f t="shared" si="64"/>
        <v>AFLAC INSURANCE</v>
      </c>
    </row>
    <row r="3582" spans="1:9" x14ac:dyDescent="0.25">
      <c r="E3582" s="7"/>
      <c r="F3582" t="s">
        <v>20</v>
      </c>
      <c r="G3582" t="s">
        <v>21</v>
      </c>
      <c r="H3582" t="str">
        <f>"ASP201806068400"</f>
        <v>ASP201806068400</v>
      </c>
      <c r="I3582" t="str">
        <f t="shared" si="64"/>
        <v>AFLAC INSURANCE</v>
      </c>
    </row>
    <row r="3583" spans="1:9" x14ac:dyDescent="0.25">
      <c r="E3583" s="7"/>
      <c r="F3583" t="s">
        <v>20</v>
      </c>
      <c r="G3583" t="s">
        <v>21</v>
      </c>
      <c r="H3583" t="str">
        <f>"HCO201805238388"</f>
        <v>HCO201805238388</v>
      </c>
      <c r="I3583" t="str">
        <f t="shared" si="64"/>
        <v>AFLAC INSURANCE</v>
      </c>
    </row>
    <row r="3584" spans="1:9" x14ac:dyDescent="0.25">
      <c r="E3584" s="7"/>
      <c r="F3584" t="s">
        <v>20</v>
      </c>
      <c r="G3584" t="s">
        <v>21</v>
      </c>
      <c r="H3584" t="str">
        <f>"HCO201806068400"</f>
        <v>HCO201806068400</v>
      </c>
      <c r="I3584" t="str">
        <f t="shared" si="64"/>
        <v>AFLAC INSURANCE</v>
      </c>
    </row>
    <row r="3585" spans="1:9" x14ac:dyDescent="0.25">
      <c r="A3585" s="6">
        <v>43258</v>
      </c>
      <c r="B3585" t="s">
        <v>26</v>
      </c>
      <c r="C3585">
        <v>57854</v>
      </c>
      <c r="D3585" t="s">
        <v>92</v>
      </c>
      <c r="E3585" s="7">
        <v>19989.79</v>
      </c>
      <c r="F3585" t="s">
        <v>20</v>
      </c>
      <c r="G3585" t="s">
        <v>24</v>
      </c>
      <c r="H3585" t="str">
        <f>"5/2018"</f>
        <v>5/2018</v>
      </c>
      <c r="I3585" t="str">
        <f>"TEXAS MUNICIPAL RETIREMENT SYS"</f>
        <v>TEXAS MUNICIPAL RETIREMENT SYS</v>
      </c>
    </row>
    <row r="3586" spans="1:9" x14ac:dyDescent="0.25">
      <c r="E3586" s="7"/>
      <c r="F3586" t="s">
        <v>20</v>
      </c>
      <c r="G3586" t="s">
        <v>21</v>
      </c>
      <c r="H3586" t="str">
        <f>"RET201805238388"</f>
        <v>RET201805238388</v>
      </c>
      <c r="I3586" t="str">
        <f>"TMRS CITY OF FLORESVILLE"</f>
        <v>TMRS CITY OF FLORESVILLE</v>
      </c>
    </row>
    <row r="3587" spans="1:9" x14ac:dyDescent="0.25">
      <c r="E3587" s="7"/>
      <c r="F3587" t="s">
        <v>20</v>
      </c>
      <c r="G3587" t="s">
        <v>21</v>
      </c>
      <c r="H3587" t="str">
        <f>"RET201806068400"</f>
        <v>RET201806068400</v>
      </c>
      <c r="I3587" t="str">
        <f>"TMRS CITY OF FLORESVILLE"</f>
        <v>TMRS CITY OF FLORESVILLE</v>
      </c>
    </row>
    <row r="3588" spans="1:9" x14ac:dyDescent="0.25">
      <c r="A3588" s="6">
        <v>43258</v>
      </c>
      <c r="B3588" t="s">
        <v>26</v>
      </c>
      <c r="C3588">
        <v>57859</v>
      </c>
      <c r="D3588" t="s">
        <v>94</v>
      </c>
      <c r="E3588" s="7">
        <v>1972.98</v>
      </c>
      <c r="F3588" t="s">
        <v>20</v>
      </c>
      <c r="G3588" t="s">
        <v>24</v>
      </c>
      <c r="H3588" t="str">
        <f>"4335838"</f>
        <v>4335838</v>
      </c>
      <c r="I3588" t="str">
        <f>"DENTAL SELECT"</f>
        <v>DENTAL SELECT</v>
      </c>
    </row>
    <row r="3589" spans="1:9" x14ac:dyDescent="0.25">
      <c r="E3589" s="7"/>
      <c r="F3589" t="s">
        <v>20</v>
      </c>
      <c r="G3589" t="s">
        <v>21</v>
      </c>
      <c r="H3589" t="str">
        <f>"DEN201805238388"</f>
        <v>DEN201805238388</v>
      </c>
      <c r="I3589" t="str">
        <f>"DENTAL INSURANCE"</f>
        <v>DENTAL INSURANCE</v>
      </c>
    </row>
    <row r="3590" spans="1:9" x14ac:dyDescent="0.25">
      <c r="E3590" s="7"/>
      <c r="F3590" t="s">
        <v>20</v>
      </c>
      <c r="G3590" t="s">
        <v>21</v>
      </c>
      <c r="H3590" t="str">
        <f>"DEN201806068400"</f>
        <v>DEN201806068400</v>
      </c>
      <c r="I3590" t="str">
        <f>"DENTAL INSURANCE"</f>
        <v>DENTAL INSURANCE</v>
      </c>
    </row>
    <row r="3591" spans="1:9" x14ac:dyDescent="0.25">
      <c r="A3591" s="6">
        <v>43258</v>
      </c>
      <c r="B3591" t="s">
        <v>26</v>
      </c>
      <c r="C3591">
        <v>57861</v>
      </c>
      <c r="D3591" t="s">
        <v>95</v>
      </c>
      <c r="E3591" s="7">
        <v>64.959999999999994</v>
      </c>
      <c r="F3591" t="s">
        <v>20</v>
      </c>
      <c r="G3591" t="s">
        <v>21</v>
      </c>
      <c r="H3591" t="str">
        <f>"201805017"</f>
        <v>201805017</v>
      </c>
      <c r="I3591" t="str">
        <f>"LEGAL PLANS"</f>
        <v>LEGAL PLANS</v>
      </c>
    </row>
    <row r="3592" spans="1:9" x14ac:dyDescent="0.25">
      <c r="E3592" s="7"/>
      <c r="F3592" t="s">
        <v>20</v>
      </c>
      <c r="G3592" t="s">
        <v>21</v>
      </c>
      <c r="H3592" t="str">
        <f>"LEA201805238388"</f>
        <v>LEA201805238388</v>
      </c>
      <c r="I3592" t="str">
        <f>"INSURANCE"</f>
        <v>INSURANCE</v>
      </c>
    </row>
    <row r="3593" spans="1:9" x14ac:dyDescent="0.25">
      <c r="E3593" s="7"/>
      <c r="F3593" t="s">
        <v>20</v>
      </c>
      <c r="G3593" t="s">
        <v>21</v>
      </c>
      <c r="H3593" t="str">
        <f>"LEA201806068400"</f>
        <v>LEA201806068400</v>
      </c>
      <c r="I3593" t="str">
        <f>"INSURANCE"</f>
        <v>INSURANCE</v>
      </c>
    </row>
    <row r="3594" spans="1:9" x14ac:dyDescent="0.25">
      <c r="A3594" s="6">
        <v>43258</v>
      </c>
      <c r="B3594" t="s">
        <v>26</v>
      </c>
      <c r="C3594">
        <v>57862</v>
      </c>
      <c r="D3594" t="s">
        <v>96</v>
      </c>
      <c r="E3594" s="7">
        <v>587.79999999999995</v>
      </c>
      <c r="F3594" t="s">
        <v>20</v>
      </c>
      <c r="G3594" t="s">
        <v>21</v>
      </c>
      <c r="H3594" t="str">
        <f>"5/15/18"</f>
        <v>5/15/18</v>
      </c>
      <c r="I3594" t="str">
        <f>"LEGALSHIELD"</f>
        <v>LEGALSHIELD</v>
      </c>
    </row>
    <row r="3595" spans="1:9" x14ac:dyDescent="0.25">
      <c r="E3595" s="7"/>
      <c r="F3595" t="s">
        <v>20</v>
      </c>
      <c r="G3595" t="s">
        <v>21</v>
      </c>
      <c r="H3595" t="str">
        <f>"PPL201805238388"</f>
        <v>PPL201805238388</v>
      </c>
      <c r="I3595" t="str">
        <f>"INSURANCE"</f>
        <v>INSURANCE</v>
      </c>
    </row>
    <row r="3596" spans="1:9" x14ac:dyDescent="0.25">
      <c r="E3596" s="7"/>
      <c r="F3596" t="s">
        <v>20</v>
      </c>
      <c r="G3596" t="s">
        <v>21</v>
      </c>
      <c r="H3596" t="str">
        <f>"PPL201806068400"</f>
        <v>PPL201806068400</v>
      </c>
      <c r="I3596" t="str">
        <f>"INSURANCE"</f>
        <v>INSURANCE</v>
      </c>
    </row>
    <row r="3597" spans="1:9" x14ac:dyDescent="0.25">
      <c r="A3597" s="6">
        <v>43258</v>
      </c>
      <c r="B3597" t="s">
        <v>91</v>
      </c>
      <c r="C3597">
        <v>57863</v>
      </c>
      <c r="D3597" t="s">
        <v>97</v>
      </c>
      <c r="E3597" s="7">
        <v>1399.02</v>
      </c>
      <c r="F3597" t="s">
        <v>20</v>
      </c>
      <c r="G3597" t="s">
        <v>21</v>
      </c>
      <c r="H3597" t="str">
        <f>"BME201805238388"</f>
        <v>BME201805238388</v>
      </c>
      <c r="I3597" t="str">
        <f>"INSURANCE"</f>
        <v>INSURANCE</v>
      </c>
    </row>
    <row r="3598" spans="1:9" x14ac:dyDescent="0.25">
      <c r="E3598" s="7"/>
      <c r="F3598" t="s">
        <v>20</v>
      </c>
      <c r="G3598" t="s">
        <v>21</v>
      </c>
      <c r="H3598" t="str">
        <f>"BME201806068400"</f>
        <v>BME201806068400</v>
      </c>
      <c r="I3598" t="str">
        <f>"INSURANCE"</f>
        <v>INSURANCE</v>
      </c>
    </row>
    <row r="3599" spans="1:9" x14ac:dyDescent="0.25">
      <c r="A3599" s="6">
        <v>43258</v>
      </c>
      <c r="B3599" t="s">
        <v>91</v>
      </c>
      <c r="C3599">
        <v>57863</v>
      </c>
      <c r="D3599" t="s">
        <v>97</v>
      </c>
      <c r="E3599" s="7">
        <v>1399.02</v>
      </c>
      <c r="F3599" t="s">
        <v>20</v>
      </c>
      <c r="G3599" t="s">
        <v>93</v>
      </c>
      <c r="H3599" t="str">
        <f>"CHECK"</f>
        <v>CHECK</v>
      </c>
      <c r="I3599" t="str">
        <f>""</f>
        <v/>
      </c>
    </row>
    <row r="3600" spans="1:9" x14ac:dyDescent="0.25">
      <c r="A3600" s="6">
        <v>43258</v>
      </c>
      <c r="B3600" t="s">
        <v>26</v>
      </c>
      <c r="C3600">
        <v>57864</v>
      </c>
      <c r="D3600" t="s">
        <v>98</v>
      </c>
      <c r="E3600" s="7">
        <v>2814.95</v>
      </c>
      <c r="F3600" t="s">
        <v>20</v>
      </c>
      <c r="G3600" t="s">
        <v>24</v>
      </c>
      <c r="H3600" t="str">
        <f>"6/2018"</f>
        <v>6/2018</v>
      </c>
      <c r="I3600" t="str">
        <f>"DEARBORN NATIONAL"</f>
        <v>DEARBORN NATIONAL</v>
      </c>
    </row>
    <row r="3601" spans="1:9" x14ac:dyDescent="0.25">
      <c r="E3601" s="7"/>
      <c r="F3601" t="s">
        <v>20</v>
      </c>
      <c r="G3601" t="s">
        <v>21</v>
      </c>
      <c r="H3601" t="str">
        <f>"STD201805238388"</f>
        <v>STD201805238388</v>
      </c>
      <c r="I3601" t="str">
        <f>"SHORT TERM DISABILITY"</f>
        <v>SHORT TERM DISABILITY</v>
      </c>
    </row>
    <row r="3602" spans="1:9" x14ac:dyDescent="0.25">
      <c r="E3602" s="7"/>
      <c r="F3602" t="s">
        <v>20</v>
      </c>
      <c r="G3602" t="s">
        <v>21</v>
      </c>
      <c r="H3602" t="str">
        <f>"STD201806068400"</f>
        <v>STD201806068400</v>
      </c>
      <c r="I3602" t="str">
        <f>"SHORT TERM DISABILITY"</f>
        <v>SHORT TERM DISABILITY</v>
      </c>
    </row>
    <row r="3603" spans="1:9" x14ac:dyDescent="0.25">
      <c r="E3603" s="7"/>
      <c r="F3603" t="s">
        <v>20</v>
      </c>
      <c r="G3603" t="s">
        <v>21</v>
      </c>
      <c r="H3603" t="str">
        <f>"VLC201805238388"</f>
        <v>VLC201805238388</v>
      </c>
      <c r="I3603" t="str">
        <f>"CHILD LIFE INSURANCE"</f>
        <v>CHILD LIFE INSURANCE</v>
      </c>
    </row>
    <row r="3604" spans="1:9" x14ac:dyDescent="0.25">
      <c r="E3604" s="7"/>
      <c r="F3604" t="s">
        <v>20</v>
      </c>
      <c r="G3604" t="s">
        <v>21</v>
      </c>
      <c r="H3604" t="str">
        <f>"VLC201806068400"</f>
        <v>VLC201806068400</v>
      </c>
      <c r="I3604" t="str">
        <f>"CHILD LIFE INSURANCE"</f>
        <v>CHILD LIFE INSURANCE</v>
      </c>
    </row>
    <row r="3605" spans="1:9" x14ac:dyDescent="0.25">
      <c r="E3605" s="7"/>
      <c r="F3605" t="s">
        <v>20</v>
      </c>
      <c r="G3605" t="s">
        <v>21</v>
      </c>
      <c r="H3605" t="str">
        <f>"VLS201805238388"</f>
        <v>VLS201805238388</v>
      </c>
      <c r="I3605" t="str">
        <f>"SPOUSE LIFE"</f>
        <v>SPOUSE LIFE</v>
      </c>
    </row>
    <row r="3606" spans="1:9" x14ac:dyDescent="0.25">
      <c r="E3606" s="7"/>
      <c r="F3606" t="s">
        <v>20</v>
      </c>
      <c r="G3606" t="s">
        <v>21</v>
      </c>
      <c r="H3606" t="str">
        <f>"VLS201806068400"</f>
        <v>VLS201806068400</v>
      </c>
      <c r="I3606" t="str">
        <f>"SPOUSE LIFE"</f>
        <v>SPOUSE LIFE</v>
      </c>
    </row>
    <row r="3607" spans="1:9" x14ac:dyDescent="0.25">
      <c r="E3607" s="7"/>
      <c r="F3607" t="s">
        <v>20</v>
      </c>
      <c r="G3607" t="s">
        <v>21</v>
      </c>
      <c r="H3607" t="str">
        <f>"VOE201805238388"</f>
        <v>VOE201805238388</v>
      </c>
      <c r="I3607" t="str">
        <f>"EMPLOYEE LIFE"</f>
        <v>EMPLOYEE LIFE</v>
      </c>
    </row>
    <row r="3608" spans="1:9" x14ac:dyDescent="0.25">
      <c r="E3608" s="7"/>
      <c r="F3608" t="s">
        <v>20</v>
      </c>
      <c r="G3608" t="s">
        <v>21</v>
      </c>
      <c r="H3608" t="str">
        <f>"VOE201806068400"</f>
        <v>VOE201806068400</v>
      </c>
      <c r="I3608" t="str">
        <f>"EMPLOYEE LIFE"</f>
        <v>EMPLOYEE LIFE</v>
      </c>
    </row>
    <row r="3609" spans="1:9" x14ac:dyDescent="0.25">
      <c r="E3609" s="7"/>
      <c r="F3609" t="s">
        <v>20</v>
      </c>
      <c r="G3609" t="s">
        <v>21</v>
      </c>
      <c r="H3609" t="str">
        <f>"VOL201805238388"</f>
        <v>VOL201805238388</v>
      </c>
      <c r="I3609" t="str">
        <f>"LIFE"</f>
        <v>LIFE</v>
      </c>
    </row>
    <row r="3610" spans="1:9" x14ac:dyDescent="0.25">
      <c r="E3610" s="7"/>
      <c r="F3610" t="s">
        <v>20</v>
      </c>
      <c r="G3610" t="s">
        <v>21</v>
      </c>
      <c r="H3610" t="str">
        <f>"VOL201806068400"</f>
        <v>VOL201806068400</v>
      </c>
      <c r="I3610" t="str">
        <f>"LIFE"</f>
        <v>LIFE</v>
      </c>
    </row>
    <row r="3611" spans="1:9" x14ac:dyDescent="0.25">
      <c r="A3611" s="6">
        <v>43258</v>
      </c>
      <c r="B3611" t="s">
        <v>26</v>
      </c>
      <c r="C3611">
        <v>57872</v>
      </c>
      <c r="D3611" t="s">
        <v>99</v>
      </c>
      <c r="E3611" s="7">
        <v>679.3</v>
      </c>
      <c r="F3611" t="s">
        <v>20</v>
      </c>
      <c r="G3611" t="s">
        <v>21</v>
      </c>
      <c r="H3611" t="str">
        <f>"VIS201805238388"</f>
        <v>VIS201805238388</v>
      </c>
      <c r="I3611" t="str">
        <f>"VISION INSURANCE"</f>
        <v>VISION INSURANCE</v>
      </c>
    </row>
    <row r="3612" spans="1:9" x14ac:dyDescent="0.25">
      <c r="E3612" s="7"/>
      <c r="F3612" t="s">
        <v>20</v>
      </c>
      <c r="G3612" t="s">
        <v>21</v>
      </c>
      <c r="H3612" t="str">
        <f>"VIS201806068400"</f>
        <v>VIS201806068400</v>
      </c>
      <c r="I3612" t="str">
        <f>"VISION INSURANCE"</f>
        <v>VISION INSURANCE</v>
      </c>
    </row>
    <row r="3613" spans="1:9" x14ac:dyDescent="0.25">
      <c r="A3613" s="6">
        <v>43258</v>
      </c>
      <c r="B3613" t="s">
        <v>26</v>
      </c>
      <c r="C3613">
        <v>57873</v>
      </c>
      <c r="D3613" t="s">
        <v>221</v>
      </c>
      <c r="E3613" s="7">
        <v>40574.089999999997</v>
      </c>
      <c r="F3613" t="s">
        <v>20</v>
      </c>
      <c r="G3613" t="s">
        <v>24</v>
      </c>
      <c r="H3613" t="str">
        <f>"C471806A/R"</f>
        <v>C471806A/R</v>
      </c>
      <c r="I3613" t="str">
        <f>"TML MULTISTATE INTERGOVERNMENT"</f>
        <v>TML MULTISTATE INTERGOVERNMENT</v>
      </c>
    </row>
    <row r="3614" spans="1:9" x14ac:dyDescent="0.25">
      <c r="E3614" s="7"/>
      <c r="F3614" t="s">
        <v>20</v>
      </c>
      <c r="G3614" t="s">
        <v>21</v>
      </c>
      <c r="H3614" t="str">
        <f>"MED201805238388"</f>
        <v>MED201805238388</v>
      </c>
      <c r="I3614" t="str">
        <f>"INSURANCE"</f>
        <v>INSURANCE</v>
      </c>
    </row>
    <row r="3615" spans="1:9" x14ac:dyDescent="0.25">
      <c r="E3615" s="7"/>
      <c r="F3615" t="s">
        <v>20</v>
      </c>
      <c r="G3615" t="s">
        <v>21</v>
      </c>
      <c r="H3615" t="str">
        <f>"MED201806068400"</f>
        <v>MED201806068400</v>
      </c>
      <c r="I3615" t="str">
        <f>"INSURANCE"</f>
        <v>INSURANCE</v>
      </c>
    </row>
    <row r="3616" spans="1:9" x14ac:dyDescent="0.25">
      <c r="A3616" s="6">
        <v>43258</v>
      </c>
      <c r="B3616" t="s">
        <v>26</v>
      </c>
      <c r="C3616">
        <v>57878</v>
      </c>
      <c r="D3616" t="s">
        <v>157</v>
      </c>
      <c r="E3616" s="7">
        <v>414</v>
      </c>
      <c r="F3616" t="s">
        <v>20</v>
      </c>
      <c r="G3616" t="s">
        <v>21</v>
      </c>
      <c r="H3616" t="str">
        <f>"11068060"</f>
        <v>11068060</v>
      </c>
      <c r="I3616" t="str">
        <f>"GLAZIERS"</f>
        <v>GLAZIERS</v>
      </c>
    </row>
    <row r="3617" spans="1:9" x14ac:dyDescent="0.25">
      <c r="A3617" s="6">
        <v>43265</v>
      </c>
      <c r="B3617" t="s">
        <v>26</v>
      </c>
      <c r="C3617">
        <v>57879</v>
      </c>
      <c r="D3617" t="s">
        <v>57</v>
      </c>
      <c r="E3617" s="7">
        <v>8026.64</v>
      </c>
      <c r="F3617" t="s">
        <v>20</v>
      </c>
      <c r="G3617" t="s">
        <v>21</v>
      </c>
      <c r="H3617" t="str">
        <f>"201806138407"</f>
        <v>201806138407</v>
      </c>
      <c r="I3617" t="str">
        <f>"F.E.L.P.S."</f>
        <v>F.E.L.P.S.</v>
      </c>
    </row>
    <row r="3618" spans="1:9" x14ac:dyDescent="0.25">
      <c r="E3618" s="7"/>
      <c r="F3618" t="s">
        <v>20</v>
      </c>
      <c r="G3618" t="s">
        <v>21</v>
      </c>
      <c r="H3618" t="str">
        <f>"6/01/18"</f>
        <v>6/01/18</v>
      </c>
      <c r="I3618" t="str">
        <f>"F.E.L.P.S."</f>
        <v>F.E.L.P.S.</v>
      </c>
    </row>
    <row r="3619" spans="1:9" x14ac:dyDescent="0.25">
      <c r="A3619" s="6">
        <v>43265</v>
      </c>
      <c r="B3619" t="s">
        <v>26</v>
      </c>
      <c r="C3619">
        <v>57880</v>
      </c>
      <c r="D3619" t="s">
        <v>165</v>
      </c>
      <c r="E3619" s="7">
        <v>262.99</v>
      </c>
      <c r="F3619" t="s">
        <v>20</v>
      </c>
      <c r="G3619" t="s">
        <v>21</v>
      </c>
      <c r="H3619" t="str">
        <f>"5/16/18"</f>
        <v>5/16/18</v>
      </c>
      <c r="I3619" t="str">
        <f>"WAL-MART BUSINESS/SYNCB"</f>
        <v>WAL-MART BUSINESS/SYNCB</v>
      </c>
    </row>
    <row r="3620" spans="1:9" x14ac:dyDescent="0.25">
      <c r="A3620" s="6">
        <v>43265</v>
      </c>
      <c r="B3620" t="s">
        <v>26</v>
      </c>
      <c r="C3620">
        <v>57881</v>
      </c>
      <c r="D3620" t="s">
        <v>58</v>
      </c>
      <c r="E3620" s="7">
        <v>366.68</v>
      </c>
      <c r="F3620" t="s">
        <v>20</v>
      </c>
      <c r="G3620" t="s">
        <v>21</v>
      </c>
      <c r="H3620" t="str">
        <f>"5/2018"</f>
        <v>5/2018</v>
      </c>
      <c r="I3620" t="str">
        <f>"DEASON ANIMAL HOSPITAL"</f>
        <v>DEASON ANIMAL HOSPITAL</v>
      </c>
    </row>
    <row r="3621" spans="1:9" x14ac:dyDescent="0.25">
      <c r="A3621" s="6">
        <v>43265</v>
      </c>
      <c r="B3621" t="s">
        <v>26</v>
      </c>
      <c r="C3621">
        <v>57882</v>
      </c>
      <c r="D3621" t="s">
        <v>104</v>
      </c>
      <c r="E3621" s="7">
        <v>1615.04</v>
      </c>
      <c r="F3621" t="s">
        <v>20</v>
      </c>
      <c r="G3621" t="s">
        <v>21</v>
      </c>
      <c r="H3621" t="str">
        <f>"201806138403"</f>
        <v>201806138403</v>
      </c>
      <c r="I3621" t="str">
        <f>"WILSON COUNTY NEWS"</f>
        <v>WILSON COUNTY NEWS</v>
      </c>
    </row>
    <row r="3622" spans="1:9" x14ac:dyDescent="0.25">
      <c r="E3622" s="7"/>
      <c r="F3622" t="s">
        <v>20</v>
      </c>
      <c r="G3622" t="s">
        <v>21</v>
      </c>
      <c r="H3622" t="str">
        <f>"201806138404"</f>
        <v>201806138404</v>
      </c>
      <c r="I3622" t="str">
        <f>"WILSON COUNTY NEWS"</f>
        <v>WILSON COUNTY NEWS</v>
      </c>
    </row>
    <row r="3623" spans="1:9" x14ac:dyDescent="0.25">
      <c r="E3623" s="7"/>
      <c r="F3623" t="s">
        <v>20</v>
      </c>
      <c r="G3623" t="s">
        <v>21</v>
      </c>
      <c r="H3623" t="str">
        <f>"201806138405"</f>
        <v>201806138405</v>
      </c>
      <c r="I3623" t="str">
        <f>"WILSON COUNTY NEWS"</f>
        <v>WILSON COUNTY NEWS</v>
      </c>
    </row>
    <row r="3624" spans="1:9" x14ac:dyDescent="0.25">
      <c r="A3624" s="6">
        <v>43265</v>
      </c>
      <c r="B3624" t="s">
        <v>26</v>
      </c>
      <c r="C3624">
        <v>57883</v>
      </c>
      <c r="D3624" t="s">
        <v>59</v>
      </c>
      <c r="E3624" s="7">
        <v>1185.24</v>
      </c>
      <c r="F3624" t="s">
        <v>20</v>
      </c>
      <c r="G3624" t="s">
        <v>21</v>
      </c>
      <c r="H3624" t="str">
        <f>"0961522"</f>
        <v>0961522</v>
      </c>
      <c r="I3624" t="str">
        <f>"PIPES  CONNECTIONS  ETC"</f>
        <v>PIPES  CONNECTIONS  ETC</v>
      </c>
    </row>
    <row r="3625" spans="1:9" x14ac:dyDescent="0.25">
      <c r="A3625" s="6">
        <v>43265</v>
      </c>
      <c r="B3625" t="s">
        <v>26</v>
      </c>
      <c r="C3625">
        <v>57884</v>
      </c>
      <c r="D3625" t="s">
        <v>390</v>
      </c>
      <c r="E3625" s="7">
        <v>1837.01</v>
      </c>
      <c r="F3625" t="s">
        <v>20</v>
      </c>
      <c r="G3625" t="s">
        <v>21</v>
      </c>
      <c r="H3625" t="str">
        <f>"BC0603898"</f>
        <v>BC0603898</v>
      </c>
      <c r="I3625" t="str">
        <f>"GALLS  LLC."</f>
        <v>GALLS  LLC.</v>
      </c>
    </row>
    <row r="3626" spans="1:9" x14ac:dyDescent="0.25">
      <c r="A3626" s="6">
        <v>43265</v>
      </c>
      <c r="B3626" t="s">
        <v>26</v>
      </c>
      <c r="C3626">
        <v>57885</v>
      </c>
      <c r="D3626" t="s">
        <v>273</v>
      </c>
      <c r="E3626" s="7">
        <v>5128.91</v>
      </c>
      <c r="F3626" t="s">
        <v>20</v>
      </c>
      <c r="G3626" t="s">
        <v>21</v>
      </c>
      <c r="H3626" t="str">
        <f>"5119-000083547"</f>
        <v>5119-000083547</v>
      </c>
      <c r="I3626" t="str">
        <f>"REPUBLIC SERVICES TESSMAN ROAD"</f>
        <v>REPUBLIC SERVICES TESSMAN ROAD</v>
      </c>
    </row>
    <row r="3627" spans="1:9" x14ac:dyDescent="0.25">
      <c r="A3627" s="6">
        <v>43265</v>
      </c>
      <c r="B3627" t="s">
        <v>26</v>
      </c>
      <c r="C3627">
        <v>57886</v>
      </c>
      <c r="D3627" t="s">
        <v>428</v>
      </c>
      <c r="E3627" s="7">
        <v>50</v>
      </c>
      <c r="F3627" t="s">
        <v>20</v>
      </c>
      <c r="G3627" t="s">
        <v>21</v>
      </c>
      <c r="H3627" t="str">
        <f>"SM PAV REF 6/2/18"</f>
        <v>SM PAV REF 6/2/18</v>
      </c>
      <c r="I3627" t="str">
        <f>"PAV REF"</f>
        <v>PAV REF</v>
      </c>
    </row>
    <row r="3628" spans="1:9" x14ac:dyDescent="0.25">
      <c r="A3628" s="6">
        <v>43265</v>
      </c>
      <c r="B3628" t="s">
        <v>26</v>
      </c>
      <c r="C3628">
        <v>57887</v>
      </c>
      <c r="D3628" t="s">
        <v>429</v>
      </c>
      <c r="E3628" s="7">
        <v>50</v>
      </c>
      <c r="F3628" t="s">
        <v>20</v>
      </c>
      <c r="G3628" t="s">
        <v>21</v>
      </c>
      <c r="H3628" t="str">
        <f>"SM PAV REF 6/9/18"</f>
        <v>SM PAV REF 6/9/18</v>
      </c>
      <c r="I3628" t="str">
        <f>"SM PAV REF"</f>
        <v>SM PAV REF</v>
      </c>
    </row>
    <row r="3629" spans="1:9" x14ac:dyDescent="0.25">
      <c r="A3629" s="6">
        <v>43265</v>
      </c>
      <c r="B3629" t="s">
        <v>26</v>
      </c>
      <c r="C3629">
        <v>57888</v>
      </c>
      <c r="D3629" t="s">
        <v>62</v>
      </c>
      <c r="E3629" s="7">
        <v>186</v>
      </c>
      <c r="F3629" t="s">
        <v>20</v>
      </c>
      <c r="G3629" t="s">
        <v>21</v>
      </c>
      <c r="H3629" t="str">
        <f>"59307"</f>
        <v>59307</v>
      </c>
      <c r="I3629" t="str">
        <f>"SBS ADMINISTRATIVE SERVICES  L"</f>
        <v>SBS ADMINISTRATIVE SERVICES  L</v>
      </c>
    </row>
    <row r="3630" spans="1:9" x14ac:dyDescent="0.25">
      <c r="A3630" s="6">
        <v>43265</v>
      </c>
      <c r="B3630" t="s">
        <v>26</v>
      </c>
      <c r="C3630">
        <v>57889</v>
      </c>
      <c r="D3630" t="s">
        <v>63</v>
      </c>
      <c r="E3630" s="7">
        <v>297</v>
      </c>
      <c r="F3630" t="s">
        <v>20</v>
      </c>
      <c r="G3630" t="s">
        <v>21</v>
      </c>
      <c r="H3630" t="str">
        <f>"8403679857"</f>
        <v>8403679857</v>
      </c>
      <c r="I3630" t="str">
        <f>"CINTAS CORPORATION"</f>
        <v>CINTAS CORPORATION</v>
      </c>
    </row>
    <row r="3631" spans="1:9" x14ac:dyDescent="0.25">
      <c r="A3631" s="6">
        <v>43265</v>
      </c>
      <c r="B3631" t="s">
        <v>26</v>
      </c>
      <c r="C3631">
        <v>57890</v>
      </c>
      <c r="D3631" t="s">
        <v>65</v>
      </c>
      <c r="E3631" s="7">
        <v>309.16000000000003</v>
      </c>
      <c r="F3631" t="s">
        <v>20</v>
      </c>
      <c r="G3631" t="s">
        <v>21</v>
      </c>
      <c r="H3631" t="str">
        <f>"5/18/18"</f>
        <v>5/18/18</v>
      </c>
      <c r="I3631" t="str">
        <f>"SAM'S CLUB/SYNCHRONY BANK"</f>
        <v>SAM'S CLUB/SYNCHRONY BANK</v>
      </c>
    </row>
    <row r="3632" spans="1:9" x14ac:dyDescent="0.25">
      <c r="A3632" s="6">
        <v>43265</v>
      </c>
      <c r="B3632" t="s">
        <v>26</v>
      </c>
      <c r="C3632">
        <v>57891</v>
      </c>
      <c r="D3632" t="s">
        <v>66</v>
      </c>
      <c r="E3632" s="7">
        <v>2180</v>
      </c>
      <c r="F3632" t="s">
        <v>20</v>
      </c>
      <c r="G3632" t="s">
        <v>21</v>
      </c>
      <c r="H3632" t="str">
        <f>"52767"</f>
        <v>52767</v>
      </c>
      <c r="I3632" t="str">
        <f>"LOPEZ EXTERMINATING SERVICE  I"</f>
        <v>LOPEZ EXTERMINATING SERVICE  I</v>
      </c>
    </row>
    <row r="3633" spans="1:9" x14ac:dyDescent="0.25">
      <c r="E3633" s="7"/>
      <c r="F3633" t="s">
        <v>20</v>
      </c>
      <c r="G3633" t="s">
        <v>21</v>
      </c>
      <c r="H3633" t="str">
        <f>"52768"</f>
        <v>52768</v>
      </c>
      <c r="I3633" t="str">
        <f>"LOPEZ EXTERMINATING SERVICE  I"</f>
        <v>LOPEZ EXTERMINATING SERVICE  I</v>
      </c>
    </row>
    <row r="3634" spans="1:9" x14ac:dyDescent="0.25">
      <c r="A3634" s="6">
        <v>43265</v>
      </c>
      <c r="B3634" t="s">
        <v>26</v>
      </c>
      <c r="C3634">
        <v>57892</v>
      </c>
      <c r="D3634" t="s">
        <v>67</v>
      </c>
      <c r="E3634" s="7">
        <v>297.77</v>
      </c>
      <c r="F3634" t="s">
        <v>20</v>
      </c>
      <c r="G3634" t="s">
        <v>21</v>
      </c>
      <c r="H3634" t="str">
        <f>"201806138406"</f>
        <v>201806138406</v>
      </c>
      <c r="I3634" t="str">
        <f>"ANYTIME FITNESS"</f>
        <v>ANYTIME FITNESS</v>
      </c>
    </row>
    <row r="3635" spans="1:9" x14ac:dyDescent="0.25">
      <c r="A3635" s="6">
        <v>43265</v>
      </c>
      <c r="B3635" t="s">
        <v>26</v>
      </c>
      <c r="C3635">
        <v>57893</v>
      </c>
      <c r="D3635" t="s">
        <v>189</v>
      </c>
      <c r="E3635" s="7">
        <v>3393.52</v>
      </c>
      <c r="F3635" t="s">
        <v>20</v>
      </c>
      <c r="G3635" t="s">
        <v>21</v>
      </c>
      <c r="H3635" t="str">
        <f>"W91674"</f>
        <v>W91674</v>
      </c>
      <c r="I3635" t="str">
        <f>"ASCO"</f>
        <v>ASCO</v>
      </c>
    </row>
    <row r="3636" spans="1:9" x14ac:dyDescent="0.25">
      <c r="A3636" s="6">
        <v>43265</v>
      </c>
      <c r="B3636" t="s">
        <v>26</v>
      </c>
      <c r="C3636">
        <v>57894</v>
      </c>
      <c r="D3636" t="s">
        <v>69</v>
      </c>
      <c r="E3636" s="7">
        <v>200.83</v>
      </c>
      <c r="F3636" t="s">
        <v>20</v>
      </c>
      <c r="G3636" t="s">
        <v>21</v>
      </c>
      <c r="H3636" t="str">
        <f>"3389589"</f>
        <v>3389589</v>
      </c>
      <c r="I3636" t="str">
        <f>"EWALD TRACTOR SUPPLY"</f>
        <v>EWALD TRACTOR SUPPLY</v>
      </c>
    </row>
    <row r="3637" spans="1:9" x14ac:dyDescent="0.25">
      <c r="E3637" s="7"/>
      <c r="F3637" t="s">
        <v>20</v>
      </c>
      <c r="G3637" t="s">
        <v>21</v>
      </c>
      <c r="H3637" t="str">
        <f>"3389800"</f>
        <v>3389800</v>
      </c>
      <c r="I3637" t="str">
        <f>"EWALD TRACTOR SUPPLY"</f>
        <v>EWALD TRACTOR SUPPLY</v>
      </c>
    </row>
    <row r="3638" spans="1:9" x14ac:dyDescent="0.25">
      <c r="A3638" s="6">
        <v>43265</v>
      </c>
      <c r="B3638" t="s">
        <v>26</v>
      </c>
      <c r="C3638">
        <v>57895</v>
      </c>
      <c r="D3638" t="s">
        <v>70</v>
      </c>
      <c r="E3638" s="7">
        <v>72.95</v>
      </c>
      <c r="F3638" t="s">
        <v>20</v>
      </c>
      <c r="G3638" t="s">
        <v>21</v>
      </c>
      <c r="H3638" t="str">
        <f>"A983194"</f>
        <v>A983194</v>
      </c>
      <c r="I3638" t="str">
        <f>"TEXAS WIRED MUSIC  INC."</f>
        <v>TEXAS WIRED MUSIC  INC.</v>
      </c>
    </row>
    <row r="3639" spans="1:9" x14ac:dyDescent="0.25">
      <c r="A3639" s="6">
        <v>43265</v>
      </c>
      <c r="B3639" t="s">
        <v>26</v>
      </c>
      <c r="C3639">
        <v>57896</v>
      </c>
      <c r="D3639" t="s">
        <v>146</v>
      </c>
      <c r="E3639" s="7">
        <v>541.5</v>
      </c>
      <c r="F3639" t="s">
        <v>20</v>
      </c>
      <c r="G3639" t="s">
        <v>21</v>
      </c>
      <c r="H3639" t="str">
        <f>"557070"</f>
        <v>557070</v>
      </c>
      <c r="I3639" t="str">
        <f>"LARRY SRALLA ELECTRIC"</f>
        <v>LARRY SRALLA ELECTRIC</v>
      </c>
    </row>
    <row r="3640" spans="1:9" x14ac:dyDescent="0.25">
      <c r="E3640" s="7"/>
      <c r="F3640" t="s">
        <v>20</v>
      </c>
      <c r="G3640" t="s">
        <v>21</v>
      </c>
      <c r="H3640" t="str">
        <f>"557072"</f>
        <v>557072</v>
      </c>
      <c r="I3640" t="str">
        <f>"LARRY SRALLA ELECTRIC"</f>
        <v>LARRY SRALLA ELECTRIC</v>
      </c>
    </row>
    <row r="3641" spans="1:9" x14ac:dyDescent="0.25">
      <c r="E3641" s="7"/>
      <c r="F3641" t="s">
        <v>20</v>
      </c>
      <c r="G3641" t="s">
        <v>21</v>
      </c>
      <c r="H3641" t="str">
        <f>"557078"</f>
        <v>557078</v>
      </c>
      <c r="I3641" t="str">
        <f>"LARRY SRALLA ELECTRIC"</f>
        <v>LARRY SRALLA ELECTRIC</v>
      </c>
    </row>
    <row r="3642" spans="1:9" x14ac:dyDescent="0.25">
      <c r="E3642" s="7"/>
      <c r="F3642" t="s">
        <v>20</v>
      </c>
      <c r="G3642" t="s">
        <v>21</v>
      </c>
      <c r="H3642" t="str">
        <f>"557079"</f>
        <v>557079</v>
      </c>
      <c r="I3642" t="str">
        <f>"LARRY SRALLA ELECTRIC"</f>
        <v>LARRY SRALLA ELECTRIC</v>
      </c>
    </row>
    <row r="3643" spans="1:9" x14ac:dyDescent="0.25">
      <c r="E3643" s="7"/>
      <c r="F3643" t="s">
        <v>20</v>
      </c>
      <c r="G3643" t="s">
        <v>21</v>
      </c>
      <c r="H3643" t="str">
        <f>"557082"</f>
        <v>557082</v>
      </c>
      <c r="I3643" t="str">
        <f>"LARRY SRALLA ELECTRIC"</f>
        <v>LARRY SRALLA ELECTRIC</v>
      </c>
    </row>
    <row r="3644" spans="1:9" x14ac:dyDescent="0.25">
      <c r="A3644" s="6">
        <v>43265</v>
      </c>
      <c r="B3644" t="s">
        <v>26</v>
      </c>
      <c r="C3644">
        <v>57897</v>
      </c>
      <c r="D3644" t="s">
        <v>29</v>
      </c>
      <c r="E3644" s="7">
        <v>6835.22</v>
      </c>
      <c r="F3644" t="s">
        <v>20</v>
      </c>
      <c r="G3644" t="s">
        <v>21</v>
      </c>
      <c r="H3644" t="str">
        <f>"31374"</f>
        <v>31374</v>
      </c>
      <c r="I3644" t="str">
        <f>"M &amp; S ENGINEERING  LLC"</f>
        <v>M &amp; S ENGINEERING  LLC</v>
      </c>
    </row>
    <row r="3645" spans="1:9" x14ac:dyDescent="0.25">
      <c r="E3645" s="7"/>
      <c r="F3645" t="s">
        <v>20</v>
      </c>
      <c r="G3645" t="s">
        <v>21</v>
      </c>
      <c r="H3645" t="str">
        <f>"31399"</f>
        <v>31399</v>
      </c>
      <c r="I3645" t="str">
        <f>"M &amp; S ENGINEERING  LLC"</f>
        <v>M &amp; S ENGINEERING  LLC</v>
      </c>
    </row>
    <row r="3646" spans="1:9" x14ac:dyDescent="0.25">
      <c r="E3646" s="7"/>
      <c r="F3646" t="s">
        <v>20</v>
      </c>
      <c r="G3646" t="s">
        <v>21</v>
      </c>
      <c r="H3646" t="str">
        <f>"31400"</f>
        <v>31400</v>
      </c>
      <c r="I3646" t="str">
        <f>"M &amp; S ENGINEERING  LLC"</f>
        <v>M &amp; S ENGINEERING  LLC</v>
      </c>
    </row>
    <row r="3647" spans="1:9" x14ac:dyDescent="0.25">
      <c r="A3647" s="6">
        <v>43265</v>
      </c>
      <c r="B3647" t="s">
        <v>26</v>
      </c>
      <c r="C3647">
        <v>57898</v>
      </c>
      <c r="D3647" t="s">
        <v>71</v>
      </c>
      <c r="E3647" s="7">
        <v>2105.44</v>
      </c>
      <c r="F3647" t="s">
        <v>20</v>
      </c>
      <c r="G3647" t="s">
        <v>21</v>
      </c>
      <c r="H3647" t="str">
        <f>"087103233"</f>
        <v>087103233</v>
      </c>
      <c r="I3647" t="str">
        <f t="shared" ref="I3647:I3658" si="65">"CINTAS CORPORATION #087"</f>
        <v>CINTAS CORPORATION #087</v>
      </c>
    </row>
    <row r="3648" spans="1:9" x14ac:dyDescent="0.25">
      <c r="E3648" s="7"/>
      <c r="F3648" t="s">
        <v>20</v>
      </c>
      <c r="G3648" t="s">
        <v>21</v>
      </c>
      <c r="H3648" t="str">
        <f>"087107386"</f>
        <v>087107386</v>
      </c>
      <c r="I3648" t="str">
        <f t="shared" si="65"/>
        <v>CINTAS CORPORATION #087</v>
      </c>
    </row>
    <row r="3649" spans="1:9" x14ac:dyDescent="0.25">
      <c r="E3649" s="7"/>
      <c r="F3649" t="s">
        <v>20</v>
      </c>
      <c r="G3649" t="s">
        <v>21</v>
      </c>
      <c r="H3649" t="str">
        <f>"087111494"</f>
        <v>087111494</v>
      </c>
      <c r="I3649" t="str">
        <f t="shared" si="65"/>
        <v>CINTAS CORPORATION #087</v>
      </c>
    </row>
    <row r="3650" spans="1:9" x14ac:dyDescent="0.25">
      <c r="E3650" s="7"/>
      <c r="F3650" t="s">
        <v>20</v>
      </c>
      <c r="G3650" t="s">
        <v>21</v>
      </c>
      <c r="H3650" t="str">
        <f>"087123560"</f>
        <v>087123560</v>
      </c>
      <c r="I3650" t="str">
        <f t="shared" si="65"/>
        <v>CINTAS CORPORATION #087</v>
      </c>
    </row>
    <row r="3651" spans="1:9" x14ac:dyDescent="0.25">
      <c r="E3651" s="7"/>
      <c r="F3651" t="s">
        <v>20</v>
      </c>
      <c r="G3651" t="s">
        <v>21</v>
      </c>
      <c r="H3651" t="str">
        <f>"087127550"</f>
        <v>087127550</v>
      </c>
      <c r="I3651" t="str">
        <f t="shared" si="65"/>
        <v>CINTAS CORPORATION #087</v>
      </c>
    </row>
    <row r="3652" spans="1:9" x14ac:dyDescent="0.25">
      <c r="E3652" s="7"/>
      <c r="F3652" t="s">
        <v>20</v>
      </c>
      <c r="G3652" t="s">
        <v>21</v>
      </c>
      <c r="H3652" t="str">
        <f>"087131551"</f>
        <v>087131551</v>
      </c>
      <c r="I3652" t="str">
        <f t="shared" si="65"/>
        <v>CINTAS CORPORATION #087</v>
      </c>
    </row>
    <row r="3653" spans="1:9" x14ac:dyDescent="0.25">
      <c r="E3653" s="7"/>
      <c r="F3653" t="s">
        <v>20</v>
      </c>
      <c r="G3653" t="s">
        <v>21</v>
      </c>
      <c r="H3653" t="str">
        <f>"087135545"</f>
        <v>087135545</v>
      </c>
      <c r="I3653" t="str">
        <f t="shared" si="65"/>
        <v>CINTAS CORPORATION #087</v>
      </c>
    </row>
    <row r="3654" spans="1:9" x14ac:dyDescent="0.25">
      <c r="E3654" s="7"/>
      <c r="F3654" t="s">
        <v>20</v>
      </c>
      <c r="G3654" t="s">
        <v>21</v>
      </c>
      <c r="H3654" t="str">
        <f>"087139557"</f>
        <v>087139557</v>
      </c>
      <c r="I3654" t="str">
        <f t="shared" si="65"/>
        <v>CINTAS CORPORATION #087</v>
      </c>
    </row>
    <row r="3655" spans="1:9" x14ac:dyDescent="0.25">
      <c r="E3655" s="7"/>
      <c r="F3655" t="s">
        <v>20</v>
      </c>
      <c r="G3655" t="s">
        <v>21</v>
      </c>
      <c r="H3655" t="str">
        <f>"087143536"</f>
        <v>087143536</v>
      </c>
      <c r="I3655" t="str">
        <f t="shared" si="65"/>
        <v>CINTAS CORPORATION #087</v>
      </c>
    </row>
    <row r="3656" spans="1:9" x14ac:dyDescent="0.25">
      <c r="E3656" s="7"/>
      <c r="F3656" t="s">
        <v>20</v>
      </c>
      <c r="G3656" t="s">
        <v>21</v>
      </c>
      <c r="H3656" t="str">
        <f>"087143539"</f>
        <v>087143539</v>
      </c>
      <c r="I3656" t="str">
        <f t="shared" si="65"/>
        <v>CINTAS CORPORATION #087</v>
      </c>
    </row>
    <row r="3657" spans="1:9" x14ac:dyDescent="0.25">
      <c r="E3657" s="7"/>
      <c r="F3657" t="s">
        <v>20</v>
      </c>
      <c r="G3657" t="s">
        <v>21</v>
      </c>
      <c r="H3657" t="str">
        <f>"087148912"</f>
        <v>087148912</v>
      </c>
      <c r="I3657" t="str">
        <f t="shared" si="65"/>
        <v>CINTAS CORPORATION #087</v>
      </c>
    </row>
    <row r="3658" spans="1:9" x14ac:dyDescent="0.25">
      <c r="E3658" s="7"/>
      <c r="F3658" t="s">
        <v>20</v>
      </c>
      <c r="G3658" t="s">
        <v>21</v>
      </c>
      <c r="H3658" t="str">
        <f>"087828083"</f>
        <v>087828083</v>
      </c>
      <c r="I3658" t="str">
        <f t="shared" si="65"/>
        <v>CINTAS CORPORATION #087</v>
      </c>
    </row>
    <row r="3659" spans="1:9" x14ac:dyDescent="0.25">
      <c r="A3659" s="6">
        <v>43265</v>
      </c>
      <c r="B3659" t="s">
        <v>26</v>
      </c>
      <c r="C3659">
        <v>57901</v>
      </c>
      <c r="D3659" t="s">
        <v>122</v>
      </c>
      <c r="E3659" s="7">
        <v>10</v>
      </c>
      <c r="F3659" t="s">
        <v>20</v>
      </c>
      <c r="G3659" t="s">
        <v>21</v>
      </c>
      <c r="H3659" t="str">
        <f>"196571"</f>
        <v>196571</v>
      </c>
      <c r="I3659" t="str">
        <f>"VILLA TIRES"</f>
        <v>VILLA TIRES</v>
      </c>
    </row>
    <row r="3660" spans="1:9" x14ac:dyDescent="0.25">
      <c r="A3660" s="6">
        <v>43265</v>
      </c>
      <c r="B3660" t="s">
        <v>26</v>
      </c>
      <c r="C3660">
        <v>57902</v>
      </c>
      <c r="D3660" t="s">
        <v>74</v>
      </c>
      <c r="E3660" s="7">
        <v>3742</v>
      </c>
      <c r="F3660" t="s">
        <v>20</v>
      </c>
      <c r="G3660" t="s">
        <v>21</v>
      </c>
      <c r="H3660" t="str">
        <f>"9806793024"</f>
        <v>9806793024</v>
      </c>
      <c r="I3660" t="str">
        <f>"VERIZON WIRELESS"</f>
        <v>VERIZON WIRELESS</v>
      </c>
    </row>
    <row r="3661" spans="1:9" x14ac:dyDescent="0.25">
      <c r="E3661" s="7"/>
      <c r="F3661" t="s">
        <v>20</v>
      </c>
      <c r="G3661" t="s">
        <v>21</v>
      </c>
      <c r="H3661" t="str">
        <f>"9807840937"</f>
        <v>9807840937</v>
      </c>
      <c r="I3661" t="str">
        <f>"VERIZON WIRELESS"</f>
        <v>VERIZON WIRELESS</v>
      </c>
    </row>
    <row r="3662" spans="1:9" x14ac:dyDescent="0.25">
      <c r="E3662" s="7"/>
      <c r="F3662" t="s">
        <v>20</v>
      </c>
      <c r="G3662" t="s">
        <v>21</v>
      </c>
      <c r="H3662" t="str">
        <f>"9807840938"</f>
        <v>9807840938</v>
      </c>
      <c r="I3662" t="str">
        <f>"VERIZON WIRELESS"</f>
        <v>VERIZON WIRELESS</v>
      </c>
    </row>
    <row r="3663" spans="1:9" x14ac:dyDescent="0.25">
      <c r="A3663" s="6">
        <v>43265</v>
      </c>
      <c r="B3663" t="s">
        <v>26</v>
      </c>
      <c r="C3663">
        <v>57904</v>
      </c>
      <c r="D3663" t="s">
        <v>205</v>
      </c>
      <c r="E3663" s="7">
        <v>592.1</v>
      </c>
      <c r="F3663" t="s">
        <v>20</v>
      </c>
      <c r="G3663" t="s">
        <v>21</v>
      </c>
      <c r="H3663" t="str">
        <f>"6/13/18"</f>
        <v>6/13/18</v>
      </c>
      <c r="I3663" t="str">
        <f>"SILVER EAGLE DISTRIBUTORS"</f>
        <v>SILVER EAGLE DISTRIBUTORS</v>
      </c>
    </row>
    <row r="3664" spans="1:9" x14ac:dyDescent="0.25">
      <c r="A3664" s="6">
        <v>43265</v>
      </c>
      <c r="B3664" t="s">
        <v>26</v>
      </c>
      <c r="C3664">
        <v>57905</v>
      </c>
      <c r="D3664" t="s">
        <v>123</v>
      </c>
      <c r="E3664" s="7">
        <v>552.20000000000005</v>
      </c>
      <c r="F3664" t="s">
        <v>20</v>
      </c>
      <c r="G3664" t="s">
        <v>21</v>
      </c>
      <c r="H3664" t="str">
        <f>"137642339001"</f>
        <v>137642339001</v>
      </c>
      <c r="I3664" t="str">
        <f>"OFFICE DEPOT  INC."</f>
        <v>OFFICE DEPOT  INC.</v>
      </c>
    </row>
    <row r="3665" spans="1:9" x14ac:dyDescent="0.25">
      <c r="E3665" s="7"/>
      <c r="F3665" t="s">
        <v>20</v>
      </c>
      <c r="G3665" t="s">
        <v>21</v>
      </c>
      <c r="H3665" t="str">
        <f>"137656419001"</f>
        <v>137656419001</v>
      </c>
      <c r="I3665" t="str">
        <f>"OFFICE DEPOT  INC."</f>
        <v>OFFICE DEPOT  INC.</v>
      </c>
    </row>
    <row r="3666" spans="1:9" x14ac:dyDescent="0.25">
      <c r="E3666" s="7"/>
      <c r="F3666" t="s">
        <v>20</v>
      </c>
      <c r="G3666" t="s">
        <v>21</v>
      </c>
      <c r="H3666" t="str">
        <f>"145257553001"</f>
        <v>145257553001</v>
      </c>
      <c r="I3666" t="str">
        <f>"OFFICE SUPPLIES"</f>
        <v>OFFICE SUPPLIES</v>
      </c>
    </row>
    <row r="3667" spans="1:9" x14ac:dyDescent="0.25">
      <c r="E3667" s="7"/>
      <c r="F3667" t="s">
        <v>20</v>
      </c>
      <c r="G3667" t="s">
        <v>21</v>
      </c>
      <c r="H3667" t="str">
        <f>"145720654001"</f>
        <v>145720654001</v>
      </c>
      <c r="I3667" t="str">
        <f>"OFFICE SUPPLIES"</f>
        <v>OFFICE SUPPLIES</v>
      </c>
    </row>
    <row r="3668" spans="1:9" x14ac:dyDescent="0.25">
      <c r="A3668" s="6">
        <v>43265</v>
      </c>
      <c r="B3668" t="s">
        <v>26</v>
      </c>
      <c r="C3668">
        <v>57906</v>
      </c>
      <c r="D3668" t="s">
        <v>75</v>
      </c>
      <c r="E3668" s="7">
        <v>629.79</v>
      </c>
      <c r="F3668" t="s">
        <v>20</v>
      </c>
      <c r="G3668" t="s">
        <v>21</v>
      </c>
      <c r="H3668" t="str">
        <f>"6/01/18"</f>
        <v>6/01/18</v>
      </c>
      <c r="I3668" t="str">
        <f>"TRACTOR SUPPLY CREDIT PLAN"</f>
        <v>TRACTOR SUPPLY CREDIT PLAN</v>
      </c>
    </row>
    <row r="3669" spans="1:9" x14ac:dyDescent="0.25">
      <c r="A3669" s="6">
        <v>43265</v>
      </c>
      <c r="B3669" t="s">
        <v>26</v>
      </c>
      <c r="C3669">
        <v>57907</v>
      </c>
      <c r="D3669" t="s">
        <v>77</v>
      </c>
      <c r="E3669" s="7">
        <v>1340.64</v>
      </c>
      <c r="F3669" t="s">
        <v>20</v>
      </c>
      <c r="G3669" t="s">
        <v>21</v>
      </c>
      <c r="H3669" t="str">
        <f>"857000892-18"</f>
        <v>857000892-18</v>
      </c>
      <c r="I3669" t="str">
        <f>"DPC INDUSTRIES  INC."</f>
        <v>DPC INDUSTRIES  INC.</v>
      </c>
    </row>
    <row r="3670" spans="1:9" x14ac:dyDescent="0.25">
      <c r="E3670" s="7"/>
      <c r="F3670" t="s">
        <v>20</v>
      </c>
      <c r="G3670" t="s">
        <v>21</v>
      </c>
      <c r="H3670" t="str">
        <f>"857000926-18"</f>
        <v>857000926-18</v>
      </c>
      <c r="I3670" t="str">
        <f>"DPC INDUSTRIES  INC."</f>
        <v>DPC INDUSTRIES  INC.</v>
      </c>
    </row>
    <row r="3671" spans="1:9" x14ac:dyDescent="0.25">
      <c r="E3671" s="7"/>
      <c r="F3671" t="s">
        <v>20</v>
      </c>
      <c r="G3671" t="s">
        <v>21</v>
      </c>
      <c r="H3671" t="str">
        <f>"857000927-18"</f>
        <v>857000927-18</v>
      </c>
      <c r="I3671" t="str">
        <f>"DPC INDUSTRIES  INC."</f>
        <v>DPC INDUSTRIES  INC.</v>
      </c>
    </row>
    <row r="3672" spans="1:9" x14ac:dyDescent="0.25">
      <c r="A3672" s="6">
        <v>43265</v>
      </c>
      <c r="B3672" t="s">
        <v>26</v>
      </c>
      <c r="C3672">
        <v>57908</v>
      </c>
      <c r="D3672" t="s">
        <v>284</v>
      </c>
      <c r="E3672" s="7">
        <v>2925</v>
      </c>
      <c r="F3672" t="s">
        <v>20</v>
      </c>
      <c r="G3672" t="s">
        <v>21</v>
      </c>
      <c r="H3672" t="str">
        <f>"WARINV002353"</f>
        <v>WARINV002353</v>
      </c>
      <c r="I3672" t="str">
        <f>"WATCHGUARD VIDEO"</f>
        <v>WATCHGUARD VIDEO</v>
      </c>
    </row>
    <row r="3673" spans="1:9" x14ac:dyDescent="0.25">
      <c r="A3673" s="6">
        <v>43265</v>
      </c>
      <c r="B3673" t="s">
        <v>26</v>
      </c>
      <c r="C3673">
        <v>57909</v>
      </c>
      <c r="D3673" t="s">
        <v>126</v>
      </c>
      <c r="E3673" s="7">
        <v>76838.16</v>
      </c>
      <c r="F3673" t="s">
        <v>20</v>
      </c>
      <c r="G3673" t="s">
        <v>21</v>
      </c>
      <c r="H3673" t="str">
        <f>"0859-002064219"</f>
        <v>0859-002064219</v>
      </c>
      <c r="I3673" t="str">
        <f>"REPUBLIC SERVICES #859"</f>
        <v>REPUBLIC SERVICES #859</v>
      </c>
    </row>
    <row r="3674" spans="1:9" x14ac:dyDescent="0.25">
      <c r="A3674" s="6">
        <v>43265</v>
      </c>
      <c r="B3674" t="s">
        <v>26</v>
      </c>
      <c r="C3674">
        <v>57910</v>
      </c>
      <c r="D3674" t="s">
        <v>147</v>
      </c>
      <c r="E3674" s="7">
        <v>227.5</v>
      </c>
      <c r="F3674" t="s">
        <v>20</v>
      </c>
      <c r="G3674" t="s">
        <v>21</v>
      </c>
      <c r="H3674" t="str">
        <f>"720"</f>
        <v>720</v>
      </c>
      <c r="I3674" t="str">
        <f>"SRALLA ELECTRIC"</f>
        <v>SRALLA ELECTRIC</v>
      </c>
    </row>
    <row r="3675" spans="1:9" x14ac:dyDescent="0.25">
      <c r="E3675" s="7"/>
      <c r="F3675" t="s">
        <v>20</v>
      </c>
      <c r="G3675" t="s">
        <v>21</v>
      </c>
      <c r="H3675" t="str">
        <f>"746"</f>
        <v>746</v>
      </c>
      <c r="I3675" t="str">
        <f>"SRALLA ELECTRIC"</f>
        <v>SRALLA ELECTRIC</v>
      </c>
    </row>
    <row r="3676" spans="1:9" x14ac:dyDescent="0.25">
      <c r="A3676" s="6">
        <v>43265</v>
      </c>
      <c r="B3676" t="s">
        <v>26</v>
      </c>
      <c r="C3676">
        <v>57911</v>
      </c>
      <c r="D3676" t="s">
        <v>139</v>
      </c>
      <c r="E3676" s="7">
        <v>535</v>
      </c>
      <c r="F3676" t="s">
        <v>20</v>
      </c>
      <c r="G3676" t="s">
        <v>21</v>
      </c>
      <c r="H3676" t="str">
        <f>"23833"</f>
        <v>23833</v>
      </c>
      <c r="I3676" t="str">
        <f>"ANGEL FIRE &amp; SAFETY"</f>
        <v>ANGEL FIRE &amp; SAFETY</v>
      </c>
    </row>
    <row r="3677" spans="1:9" x14ac:dyDescent="0.25">
      <c r="A3677" s="6">
        <v>43265</v>
      </c>
      <c r="B3677" t="s">
        <v>26</v>
      </c>
      <c r="C3677">
        <v>57912</v>
      </c>
      <c r="D3677" t="s">
        <v>387</v>
      </c>
      <c r="E3677" s="7">
        <v>1430.55</v>
      </c>
      <c r="F3677" t="s">
        <v>20</v>
      </c>
      <c r="G3677" t="s">
        <v>21</v>
      </c>
      <c r="H3677" t="str">
        <f>"F02826-SA"</f>
        <v>F02826-SA</v>
      </c>
      <c r="I3677" t="str">
        <f>"BARCO PUMP"</f>
        <v>BARCO PUMP</v>
      </c>
    </row>
    <row r="3678" spans="1:9" x14ac:dyDescent="0.25">
      <c r="A3678" s="6">
        <v>43265</v>
      </c>
      <c r="B3678" t="s">
        <v>26</v>
      </c>
      <c r="C3678">
        <v>57913</v>
      </c>
      <c r="D3678" t="s">
        <v>430</v>
      </c>
      <c r="E3678" s="7">
        <v>92</v>
      </c>
      <c r="F3678" t="s">
        <v>20</v>
      </c>
      <c r="G3678" t="s">
        <v>21</v>
      </c>
      <c r="H3678" t="str">
        <f>"TRAINING 6/17-18"</f>
        <v>TRAINING 6/17-18</v>
      </c>
      <c r="I3678" t="str">
        <f>"GILBERT RODRIGUEZ"</f>
        <v>GILBERT RODRIGUEZ</v>
      </c>
    </row>
    <row r="3679" spans="1:9" x14ac:dyDescent="0.25">
      <c r="A3679" s="6">
        <v>43265</v>
      </c>
      <c r="B3679" t="s">
        <v>26</v>
      </c>
      <c r="C3679">
        <v>57914</v>
      </c>
      <c r="D3679" t="s">
        <v>431</v>
      </c>
      <c r="E3679" s="7">
        <v>61</v>
      </c>
      <c r="F3679" t="s">
        <v>20</v>
      </c>
      <c r="G3679" t="s">
        <v>21</v>
      </c>
      <c r="H3679" t="str">
        <f>"REFUND"</f>
        <v>REFUND</v>
      </c>
      <c r="I3679" t="str">
        <f>"ANDRES IBARRA"</f>
        <v>ANDRES IBARRA</v>
      </c>
    </row>
    <row r="3680" spans="1:9" x14ac:dyDescent="0.25">
      <c r="A3680" s="6">
        <v>43265</v>
      </c>
      <c r="B3680" t="s">
        <v>26</v>
      </c>
      <c r="C3680">
        <v>57915</v>
      </c>
      <c r="D3680" t="s">
        <v>85</v>
      </c>
      <c r="E3680" s="7">
        <v>606.89</v>
      </c>
      <c r="F3680" t="s">
        <v>20</v>
      </c>
      <c r="G3680" t="s">
        <v>21</v>
      </c>
      <c r="H3680" t="str">
        <f>"201806138408"</f>
        <v>201806138408</v>
      </c>
      <c r="I3680" t="str">
        <f>"FRONTIER"</f>
        <v>FRONTIER</v>
      </c>
    </row>
    <row r="3681" spans="1:9" x14ac:dyDescent="0.25">
      <c r="E3681" s="7"/>
      <c r="F3681" t="s">
        <v>20</v>
      </c>
      <c r="G3681" t="s">
        <v>21</v>
      </c>
      <c r="H3681" t="str">
        <f>"201806138409"</f>
        <v>201806138409</v>
      </c>
      <c r="I3681" t="str">
        <f>"FRONTIER"</f>
        <v>FRONTIER</v>
      </c>
    </row>
    <row r="3682" spans="1:9" x14ac:dyDescent="0.25">
      <c r="E3682" s="7"/>
      <c r="F3682" t="s">
        <v>20</v>
      </c>
      <c r="G3682" t="s">
        <v>21</v>
      </c>
      <c r="H3682" t="str">
        <f>"201806138410"</f>
        <v>201806138410</v>
      </c>
      <c r="I3682" t="str">
        <f>"FRONTIER"</f>
        <v>FRONTIER</v>
      </c>
    </row>
    <row r="3683" spans="1:9" x14ac:dyDescent="0.25">
      <c r="E3683" s="7"/>
      <c r="F3683" t="s">
        <v>20</v>
      </c>
      <c r="G3683" t="s">
        <v>21</v>
      </c>
      <c r="H3683" t="str">
        <f>"201806138411"</f>
        <v>201806138411</v>
      </c>
      <c r="I3683" t="str">
        <f>"FRONTIER"</f>
        <v>FRONTIER</v>
      </c>
    </row>
    <row r="3684" spans="1:9" x14ac:dyDescent="0.25">
      <c r="A3684" s="6">
        <v>43265</v>
      </c>
      <c r="B3684" t="s">
        <v>26</v>
      </c>
      <c r="C3684">
        <v>57916</v>
      </c>
      <c r="D3684" t="s">
        <v>310</v>
      </c>
      <c r="E3684" s="7">
        <v>2558.12</v>
      </c>
      <c r="F3684" t="s">
        <v>20</v>
      </c>
      <c r="G3684" t="s">
        <v>21</v>
      </c>
      <c r="H3684" t="str">
        <f>"MVN3149"</f>
        <v>MVN3149</v>
      </c>
      <c r="I3684" t="str">
        <f>"CDW GOVERNMENT"</f>
        <v>CDW GOVERNMENT</v>
      </c>
    </row>
    <row r="3685" spans="1:9" x14ac:dyDescent="0.25">
      <c r="A3685" s="6">
        <v>43265</v>
      </c>
      <c r="B3685" t="s">
        <v>26</v>
      </c>
      <c r="C3685">
        <v>57917</v>
      </c>
      <c r="D3685" t="s">
        <v>420</v>
      </c>
      <c r="E3685" s="7">
        <v>65</v>
      </c>
      <c r="F3685" t="s">
        <v>20</v>
      </c>
      <c r="G3685" t="s">
        <v>21</v>
      </c>
      <c r="H3685" t="str">
        <f>"6/9/18"</f>
        <v>6/9/18</v>
      </c>
      <c r="I3685" t="str">
        <f>"TERESA A. PENA-RODRIGUEZ"</f>
        <v>TERESA A. PENA-RODRIGUEZ</v>
      </c>
    </row>
    <row r="3686" spans="1:9" x14ac:dyDescent="0.25">
      <c r="A3686" s="6">
        <v>43265</v>
      </c>
      <c r="B3686" t="s">
        <v>26</v>
      </c>
      <c r="C3686">
        <v>57918</v>
      </c>
      <c r="D3686" t="s">
        <v>237</v>
      </c>
      <c r="E3686" s="7">
        <v>440.66</v>
      </c>
      <c r="F3686" t="s">
        <v>20</v>
      </c>
      <c r="G3686" t="s">
        <v>21</v>
      </c>
      <c r="H3686" t="str">
        <f>"157554838-001"</f>
        <v>157554838-001</v>
      </c>
      <c r="I3686" t="str">
        <f>"UNITED RENTALS (NORTH AMERICA)"</f>
        <v>UNITED RENTALS (NORTH AMERICA)</v>
      </c>
    </row>
    <row r="3687" spans="1:9" x14ac:dyDescent="0.25">
      <c r="A3687" s="6">
        <v>43265</v>
      </c>
      <c r="B3687" t="s">
        <v>26</v>
      </c>
      <c r="C3687">
        <v>57919</v>
      </c>
      <c r="D3687" t="s">
        <v>345</v>
      </c>
      <c r="E3687" s="7">
        <v>110</v>
      </c>
      <c r="F3687" t="s">
        <v>20</v>
      </c>
      <c r="G3687" t="s">
        <v>21</v>
      </c>
      <c r="H3687" t="str">
        <f>"5/6-5/8"</f>
        <v>5/6-5/8</v>
      </c>
      <c r="I3687" t="str">
        <f>"MICHAEL ISAAC MARTINEZ"</f>
        <v>MICHAEL ISAAC MARTINEZ</v>
      </c>
    </row>
    <row r="3688" spans="1:9" x14ac:dyDescent="0.25">
      <c r="A3688" s="6">
        <v>43265</v>
      </c>
      <c r="B3688" t="s">
        <v>26</v>
      </c>
      <c r="C3688">
        <v>57920</v>
      </c>
      <c r="D3688" t="s">
        <v>55</v>
      </c>
      <c r="E3688" s="7">
        <v>12565</v>
      </c>
      <c r="F3688" t="s">
        <v>20</v>
      </c>
      <c r="G3688" t="s">
        <v>21</v>
      </c>
      <c r="H3688" t="str">
        <f>"1111"</f>
        <v>1111</v>
      </c>
      <c r="I3688" t="str">
        <f>"LEVEL 4 CONSULTING"</f>
        <v>LEVEL 4 CONSULTING</v>
      </c>
    </row>
    <row r="3689" spans="1:9" x14ac:dyDescent="0.25">
      <c r="E3689" s="7"/>
      <c r="F3689" t="s">
        <v>20</v>
      </c>
      <c r="G3689" t="s">
        <v>21</v>
      </c>
      <c r="H3689" t="str">
        <f>"1112"</f>
        <v>1112</v>
      </c>
      <c r="I3689" t="str">
        <f>"LEVEL 4 CONSULTING"</f>
        <v>LEVEL 4 CONSULTING</v>
      </c>
    </row>
    <row r="3690" spans="1:9" x14ac:dyDescent="0.25">
      <c r="E3690" s="7"/>
      <c r="F3690" t="s">
        <v>20</v>
      </c>
      <c r="G3690" t="s">
        <v>21</v>
      </c>
      <c r="H3690" t="str">
        <f>"1115"</f>
        <v>1115</v>
      </c>
      <c r="I3690" t="str">
        <f>"LEVEL 4 CONSULTING"</f>
        <v>LEVEL 4 CONSULTING</v>
      </c>
    </row>
    <row r="3691" spans="1:9" x14ac:dyDescent="0.25">
      <c r="A3691" s="6">
        <v>43265</v>
      </c>
      <c r="B3691" t="s">
        <v>26</v>
      </c>
      <c r="C3691">
        <v>57921</v>
      </c>
      <c r="D3691" t="s">
        <v>100</v>
      </c>
      <c r="E3691" s="7">
        <v>1200</v>
      </c>
      <c r="F3691" t="s">
        <v>20</v>
      </c>
      <c r="G3691" t="s">
        <v>21</v>
      </c>
      <c r="H3691" t="str">
        <f>"2"</f>
        <v>2</v>
      </c>
      <c r="I3691" t="str">
        <f>"GAONA &amp; SONS"</f>
        <v>GAONA &amp; SONS</v>
      </c>
    </row>
    <row r="3692" spans="1:9" x14ac:dyDescent="0.25">
      <c r="A3692" s="6">
        <v>43265</v>
      </c>
      <c r="B3692" t="s">
        <v>26</v>
      </c>
      <c r="C3692">
        <v>57922</v>
      </c>
      <c r="D3692" t="s">
        <v>427</v>
      </c>
      <c r="E3692" s="7">
        <v>65</v>
      </c>
      <c r="F3692" t="s">
        <v>20</v>
      </c>
      <c r="G3692" t="s">
        <v>21</v>
      </c>
      <c r="H3692" t="str">
        <f>"6/9/18"</f>
        <v>6/9/18</v>
      </c>
      <c r="I3692" t="str">
        <f>"Alexandria Rene Palacios"</f>
        <v>Alexandria Rene Palacios</v>
      </c>
    </row>
    <row r="3693" spans="1:9" x14ac:dyDescent="0.25">
      <c r="A3693" s="6">
        <v>43265</v>
      </c>
      <c r="B3693" t="s">
        <v>26</v>
      </c>
      <c r="C3693">
        <v>57923</v>
      </c>
      <c r="D3693" t="s">
        <v>432</v>
      </c>
      <c r="E3693" s="7">
        <v>61</v>
      </c>
      <c r="F3693" t="s">
        <v>20</v>
      </c>
      <c r="G3693" t="s">
        <v>21</v>
      </c>
      <c r="H3693" t="str">
        <f>"REFUND"</f>
        <v>REFUND</v>
      </c>
      <c r="I3693" t="str">
        <f>"GERARDO MARTINEZ"</f>
        <v>GERARDO MARTINEZ</v>
      </c>
    </row>
    <row r="3694" spans="1:9" x14ac:dyDescent="0.25">
      <c r="A3694" s="6">
        <v>43265</v>
      </c>
      <c r="B3694" t="s">
        <v>26</v>
      </c>
      <c r="C3694">
        <v>57924</v>
      </c>
      <c r="D3694" t="s">
        <v>317</v>
      </c>
      <c r="E3694" s="7">
        <v>110</v>
      </c>
      <c r="F3694" t="s">
        <v>20</v>
      </c>
      <c r="G3694" t="s">
        <v>21</v>
      </c>
      <c r="H3694" t="str">
        <f>"2018 WCLS"</f>
        <v>2018 WCLS</v>
      </c>
      <c r="I3694" t="str">
        <f>"HUNTER SAENZ"</f>
        <v>HUNTER SAENZ</v>
      </c>
    </row>
    <row r="3695" spans="1:9" x14ac:dyDescent="0.25">
      <c r="A3695" s="6">
        <v>43271</v>
      </c>
      <c r="B3695" t="s">
        <v>26</v>
      </c>
      <c r="C3695">
        <v>57955</v>
      </c>
      <c r="D3695" t="s">
        <v>51</v>
      </c>
      <c r="E3695" s="7">
        <v>290.89999999999998</v>
      </c>
      <c r="F3695" t="s">
        <v>20</v>
      </c>
      <c r="G3695" t="s">
        <v>21</v>
      </c>
      <c r="H3695" t="str">
        <f>"CLE201806208412"</f>
        <v>CLE201806208412</v>
      </c>
      <c r="I3695" t="str">
        <f>"CLEAT ONLY DUES"</f>
        <v>CLEAT ONLY DUES</v>
      </c>
    </row>
    <row r="3696" spans="1:9" x14ac:dyDescent="0.25">
      <c r="E3696" s="7"/>
      <c r="F3696" t="s">
        <v>20</v>
      </c>
      <c r="G3696" t="s">
        <v>21</v>
      </c>
      <c r="H3696" t="str">
        <f>"PDD201806208412"</f>
        <v>PDD201806208412</v>
      </c>
      <c r="I3696" t="str">
        <f>"POLICE OFFICERS ASSOC DUES"</f>
        <v>POLICE OFFICERS ASSOC DUES</v>
      </c>
    </row>
    <row r="3697" spans="1:9" x14ac:dyDescent="0.25">
      <c r="A3697" s="6">
        <v>43271</v>
      </c>
      <c r="B3697" t="s">
        <v>26</v>
      </c>
      <c r="C3697">
        <v>57956</v>
      </c>
      <c r="D3697" t="s">
        <v>90</v>
      </c>
      <c r="E3697" s="7">
        <v>114.96</v>
      </c>
      <c r="F3697" t="s">
        <v>20</v>
      </c>
      <c r="G3697" t="s">
        <v>21</v>
      </c>
      <c r="H3697" t="str">
        <f>"AFS201806208412"</f>
        <v>AFS201806208412</v>
      </c>
      <c r="I3697" t="str">
        <f>"AFLAC STD"</f>
        <v>AFLAC STD</v>
      </c>
    </row>
    <row r="3698" spans="1:9" x14ac:dyDescent="0.25">
      <c r="A3698" s="6">
        <v>43271</v>
      </c>
      <c r="B3698" t="s">
        <v>26</v>
      </c>
      <c r="C3698">
        <v>57957</v>
      </c>
      <c r="D3698" t="s">
        <v>52</v>
      </c>
      <c r="E3698" s="7">
        <v>1331.53</v>
      </c>
      <c r="F3698" t="s">
        <v>20</v>
      </c>
      <c r="G3698" t="s">
        <v>21</v>
      </c>
      <c r="H3698" t="str">
        <f>"CPS201806208412"</f>
        <v>CPS201806208412</v>
      </c>
      <c r="I3698" t="str">
        <f>"G MENDOZA 00123012032010EM5054"</f>
        <v>G MENDOZA 00123012032010EM5054</v>
      </c>
    </row>
    <row r="3699" spans="1:9" x14ac:dyDescent="0.25">
      <c r="E3699" s="7"/>
      <c r="F3699" t="s">
        <v>20</v>
      </c>
      <c r="G3699" t="s">
        <v>21</v>
      </c>
      <c r="H3699" t="str">
        <f>"CS 201806208412"</f>
        <v>CS 201806208412</v>
      </c>
      <c r="I3699" t="str">
        <f>"CAUSE#98EM504113 PEGGY RIVAS"</f>
        <v>CAUSE#98EM504113 PEGGY RIVAS</v>
      </c>
    </row>
    <row r="3700" spans="1:9" x14ac:dyDescent="0.25">
      <c r="E3700" s="7"/>
      <c r="F3700" t="s">
        <v>20</v>
      </c>
      <c r="G3700" t="s">
        <v>21</v>
      </c>
      <c r="H3700" t="str">
        <f>"CS1201806208412"</f>
        <v>CS1201806208412</v>
      </c>
      <c r="I3700" t="str">
        <f>"CAUSE# 10008CVW DEBRA ESQUEDA"</f>
        <v>CAUSE# 10008CVW DEBRA ESQUEDA</v>
      </c>
    </row>
    <row r="3701" spans="1:9" x14ac:dyDescent="0.25">
      <c r="E3701" s="7"/>
      <c r="F3701" t="s">
        <v>20</v>
      </c>
      <c r="G3701" t="s">
        <v>21</v>
      </c>
      <c r="H3701" t="str">
        <f>"CSJ201806208412"</f>
        <v>CSJ201806208412</v>
      </c>
      <c r="I3701" t="str">
        <f>"CAUSE# 0010185272 MARIANN GUTI"</f>
        <v>CAUSE# 0010185272 MARIANN GUTI</v>
      </c>
    </row>
    <row r="3702" spans="1:9" x14ac:dyDescent="0.25">
      <c r="E3702" s="7"/>
      <c r="F3702" t="s">
        <v>20</v>
      </c>
      <c r="G3702" t="s">
        <v>21</v>
      </c>
      <c r="H3702" t="str">
        <f>"CST201806208412"</f>
        <v>CST201806208412</v>
      </c>
      <c r="I3702" t="str">
        <f>"CAUSE #0009418917 SONIA PEREZ"</f>
        <v>CAUSE #0009418917 SONIA PEREZ</v>
      </c>
    </row>
    <row r="3703" spans="1:9" x14ac:dyDescent="0.25">
      <c r="A3703" s="6">
        <v>43271</v>
      </c>
      <c r="B3703" t="s">
        <v>26</v>
      </c>
      <c r="C3703">
        <v>57958</v>
      </c>
      <c r="D3703" t="s">
        <v>53</v>
      </c>
      <c r="E3703" s="7">
        <v>99.1</v>
      </c>
      <c r="F3703" t="s">
        <v>20</v>
      </c>
      <c r="G3703" t="s">
        <v>21</v>
      </c>
      <c r="H3703" t="str">
        <f>"MCO201806208412"</f>
        <v>MCO201806208412</v>
      </c>
      <c r="I3703" t="str">
        <f>"MONICA CORDOVA"</f>
        <v>MONICA CORDOVA</v>
      </c>
    </row>
    <row r="3704" spans="1:9" x14ac:dyDescent="0.25">
      <c r="A3704" s="6">
        <v>43271</v>
      </c>
      <c r="B3704" t="s">
        <v>26</v>
      </c>
      <c r="C3704">
        <v>57959</v>
      </c>
      <c r="D3704" t="s">
        <v>54</v>
      </c>
      <c r="E3704" s="7">
        <v>1147.94</v>
      </c>
      <c r="F3704" t="s">
        <v>20</v>
      </c>
      <c r="G3704" t="s">
        <v>21</v>
      </c>
      <c r="H3704" t="str">
        <f>"457201806208412"</f>
        <v>457201806208412</v>
      </c>
      <c r="I3704" t="str">
        <f>"CASE # 180-60751 457B DEDUCT"</f>
        <v>CASE # 180-60751 457B DEDUCT</v>
      </c>
    </row>
    <row r="3705" spans="1:9" x14ac:dyDescent="0.25">
      <c r="A3705" s="6">
        <v>43272</v>
      </c>
      <c r="B3705" t="s">
        <v>26</v>
      </c>
      <c r="C3705">
        <v>57960</v>
      </c>
      <c r="D3705" t="s">
        <v>102</v>
      </c>
      <c r="E3705" s="7">
        <v>73.319999999999993</v>
      </c>
      <c r="F3705" t="s">
        <v>20</v>
      </c>
      <c r="G3705" t="s">
        <v>21</v>
      </c>
      <c r="H3705" t="str">
        <f>"201806218416"</f>
        <v>201806218416</v>
      </c>
      <c r="I3705" t="str">
        <f>"CENTERPOINT ENERGY ENTEX"</f>
        <v>CENTERPOINT ENERGY ENTEX</v>
      </c>
    </row>
    <row r="3706" spans="1:9" x14ac:dyDescent="0.25">
      <c r="E3706" s="7"/>
      <c r="F3706" t="s">
        <v>20</v>
      </c>
      <c r="G3706" t="s">
        <v>21</v>
      </c>
      <c r="H3706" t="str">
        <f>"201806218417"</f>
        <v>201806218417</v>
      </c>
      <c r="I3706" t="str">
        <f>"CENTERPOINT ENERGY ENTEX"</f>
        <v>CENTERPOINT ENERGY ENTEX</v>
      </c>
    </row>
    <row r="3707" spans="1:9" x14ac:dyDescent="0.25">
      <c r="E3707" s="7"/>
      <c r="F3707" t="s">
        <v>20</v>
      </c>
      <c r="G3707" t="s">
        <v>21</v>
      </c>
      <c r="H3707" t="str">
        <f>"201806218418"</f>
        <v>201806218418</v>
      </c>
      <c r="I3707" t="str">
        <f>"CENTERPOINT ENERGY ENTEX"</f>
        <v>CENTERPOINT ENERGY ENTEX</v>
      </c>
    </row>
    <row r="3708" spans="1:9" x14ac:dyDescent="0.25">
      <c r="E3708" s="7"/>
      <c r="F3708" t="s">
        <v>20</v>
      </c>
      <c r="G3708" t="s">
        <v>21</v>
      </c>
      <c r="H3708" t="str">
        <f>"201806218419"</f>
        <v>201806218419</v>
      </c>
      <c r="I3708" t="str">
        <f>"CENTERPOINT ENERGY ENTEX"</f>
        <v>CENTERPOINT ENERGY ENTEX</v>
      </c>
    </row>
    <row r="3709" spans="1:9" x14ac:dyDescent="0.25">
      <c r="A3709" s="6">
        <v>43272</v>
      </c>
      <c r="B3709" t="s">
        <v>26</v>
      </c>
      <c r="C3709">
        <v>57961</v>
      </c>
      <c r="D3709" t="s">
        <v>103</v>
      </c>
      <c r="E3709" s="7">
        <v>61397</v>
      </c>
      <c r="F3709" t="s">
        <v>20</v>
      </c>
      <c r="G3709" t="s">
        <v>21</v>
      </c>
      <c r="H3709" t="str">
        <f>"6/21/2018"</f>
        <v>6/21/2018</v>
      </c>
      <c r="I3709" t="str">
        <f>"F. E. D. C."</f>
        <v>F. E. D. C.</v>
      </c>
    </row>
    <row r="3710" spans="1:9" x14ac:dyDescent="0.25">
      <c r="A3710" s="6">
        <v>43272</v>
      </c>
      <c r="B3710" t="s">
        <v>26</v>
      </c>
      <c r="C3710">
        <v>57962</v>
      </c>
      <c r="D3710" t="s">
        <v>104</v>
      </c>
      <c r="E3710" s="7">
        <v>497.93</v>
      </c>
      <c r="F3710" t="s">
        <v>20</v>
      </c>
      <c r="G3710" t="s">
        <v>21</v>
      </c>
      <c r="H3710" t="str">
        <f>"MAY 2018/#1068"</f>
        <v>MAY 2018/#1068</v>
      </c>
      <c r="I3710" t="str">
        <f>"WILSON COUNTY NEWS"</f>
        <v>WILSON COUNTY NEWS</v>
      </c>
    </row>
    <row r="3711" spans="1:9" x14ac:dyDescent="0.25">
      <c r="A3711" s="6">
        <v>43272</v>
      </c>
      <c r="B3711" t="s">
        <v>26</v>
      </c>
      <c r="C3711">
        <v>57963</v>
      </c>
      <c r="D3711" t="s">
        <v>202</v>
      </c>
      <c r="E3711" s="7">
        <v>534.41999999999996</v>
      </c>
      <c r="F3711" t="s">
        <v>20</v>
      </c>
      <c r="G3711" t="s">
        <v>21</v>
      </c>
      <c r="H3711" t="str">
        <f>"61749532"</f>
        <v>61749532</v>
      </c>
      <c r="I3711" t="str">
        <f>"BASE"</f>
        <v>BASE</v>
      </c>
    </row>
    <row r="3712" spans="1:9" x14ac:dyDescent="0.25">
      <c r="A3712" s="6">
        <v>43272</v>
      </c>
      <c r="B3712" t="s">
        <v>26</v>
      </c>
      <c r="C3712">
        <v>57964</v>
      </c>
      <c r="D3712" t="s">
        <v>340</v>
      </c>
      <c r="E3712" s="7">
        <v>615.48</v>
      </c>
      <c r="F3712" t="s">
        <v>20</v>
      </c>
      <c r="G3712" t="s">
        <v>21</v>
      </c>
      <c r="H3712" t="str">
        <f>"1810-323360"</f>
        <v>1810-323360</v>
      </c>
      <c r="I3712" t="str">
        <f>"O'REILLY AUTOMOTIVE  INC."</f>
        <v>O'REILLY AUTOMOTIVE  INC.</v>
      </c>
    </row>
    <row r="3713" spans="1:9" x14ac:dyDescent="0.25">
      <c r="A3713" s="6">
        <v>43272</v>
      </c>
      <c r="B3713" t="s">
        <v>26</v>
      </c>
      <c r="C3713">
        <v>57965</v>
      </c>
      <c r="D3713" t="s">
        <v>433</v>
      </c>
      <c r="E3713" s="7">
        <v>350</v>
      </c>
      <c r="F3713" t="s">
        <v>20</v>
      </c>
      <c r="G3713" t="s">
        <v>21</v>
      </c>
      <c r="H3713" t="str">
        <f>"BW REF 6/2/18"</f>
        <v>BW REF 6/2/18</v>
      </c>
      <c r="I3713" t="str">
        <f>"BW REF"</f>
        <v>BW REF</v>
      </c>
    </row>
    <row r="3714" spans="1:9" x14ac:dyDescent="0.25">
      <c r="A3714" s="6">
        <v>43272</v>
      </c>
      <c r="B3714" t="s">
        <v>26</v>
      </c>
      <c r="C3714">
        <v>57966</v>
      </c>
      <c r="D3714" t="s">
        <v>434</v>
      </c>
      <c r="E3714" s="7">
        <v>800</v>
      </c>
      <c r="F3714" t="s">
        <v>20</v>
      </c>
      <c r="G3714" t="s">
        <v>21</v>
      </c>
      <c r="H3714" t="str">
        <f>"EC REF 6/29/19"</f>
        <v>EC REF 6/29/19</v>
      </c>
      <c r="I3714" t="str">
        <f>"EC REF 6/29/19"</f>
        <v>EC REF 6/29/19</v>
      </c>
    </row>
    <row r="3715" spans="1:9" x14ac:dyDescent="0.25">
      <c r="A3715" s="6">
        <v>43272</v>
      </c>
      <c r="B3715" t="s">
        <v>26</v>
      </c>
      <c r="C3715">
        <v>57967</v>
      </c>
      <c r="D3715" t="s">
        <v>435</v>
      </c>
      <c r="E3715" s="7">
        <v>50</v>
      </c>
      <c r="F3715" t="s">
        <v>20</v>
      </c>
      <c r="G3715" t="s">
        <v>21</v>
      </c>
      <c r="H3715" t="str">
        <f>"POOL REF 7/8/18"</f>
        <v>POOL REF 7/8/18</v>
      </c>
      <c r="I3715" t="str">
        <f>"POOL REF"</f>
        <v>POOL REF</v>
      </c>
    </row>
    <row r="3716" spans="1:9" x14ac:dyDescent="0.25">
      <c r="A3716" s="6">
        <v>43272</v>
      </c>
      <c r="B3716" t="s">
        <v>26</v>
      </c>
      <c r="C3716">
        <v>57968</v>
      </c>
      <c r="D3716" t="s">
        <v>61</v>
      </c>
      <c r="E3716" s="7">
        <v>188</v>
      </c>
      <c r="F3716" t="s">
        <v>20</v>
      </c>
      <c r="G3716" t="s">
        <v>21</v>
      </c>
      <c r="H3716" t="str">
        <f>"025-226803"</f>
        <v>025-226803</v>
      </c>
      <c r="I3716" t="str">
        <f>"TYLER TECHNOLOGIES  INC."</f>
        <v>TYLER TECHNOLOGIES  INC.</v>
      </c>
    </row>
    <row r="3717" spans="1:9" x14ac:dyDescent="0.25">
      <c r="A3717" s="6">
        <v>43272</v>
      </c>
      <c r="B3717" t="s">
        <v>26</v>
      </c>
      <c r="C3717">
        <v>57969</v>
      </c>
      <c r="D3717" t="s">
        <v>117</v>
      </c>
      <c r="E3717" s="7">
        <v>1774.78</v>
      </c>
      <c r="F3717" t="s">
        <v>20</v>
      </c>
      <c r="G3717" t="s">
        <v>21</v>
      </c>
      <c r="H3717" t="str">
        <f>"MAY 2018"</f>
        <v>MAY 2018</v>
      </c>
      <c r="I3717" t="str">
        <f>"LINEBARGER GOGGAN BLAIR &amp; SAMP"</f>
        <v>LINEBARGER GOGGAN BLAIR &amp; SAMP</v>
      </c>
    </row>
    <row r="3718" spans="1:9" x14ac:dyDescent="0.25">
      <c r="A3718" s="6">
        <v>43272</v>
      </c>
      <c r="B3718" t="s">
        <v>26</v>
      </c>
      <c r="C3718">
        <v>57970</v>
      </c>
      <c r="D3718" t="s">
        <v>213</v>
      </c>
      <c r="E3718" s="7">
        <v>1204.3800000000001</v>
      </c>
      <c r="F3718" t="s">
        <v>20</v>
      </c>
      <c r="G3718" t="s">
        <v>21</v>
      </c>
      <c r="H3718" t="str">
        <f>"MAY 2018"</f>
        <v>MAY 2018</v>
      </c>
      <c r="I3718" t="str">
        <f>"RIVER BEND COMMUNITY DEVELOPME"</f>
        <v>RIVER BEND COMMUNITY DEVELOPME</v>
      </c>
    </row>
    <row r="3719" spans="1:9" x14ac:dyDescent="0.25">
      <c r="A3719" s="6">
        <v>43272</v>
      </c>
      <c r="B3719" t="s">
        <v>26</v>
      </c>
      <c r="C3719">
        <v>57971</v>
      </c>
      <c r="D3719" t="s">
        <v>120</v>
      </c>
      <c r="E3719" s="7">
        <v>1782.29</v>
      </c>
      <c r="F3719" t="s">
        <v>20</v>
      </c>
      <c r="G3719" t="s">
        <v>21</v>
      </c>
      <c r="H3719" t="str">
        <f>"70812718"</f>
        <v>70812718</v>
      </c>
      <c r="I3719" t="str">
        <f>"VERIZON BUSINESS"</f>
        <v>VERIZON BUSINESS</v>
      </c>
    </row>
    <row r="3720" spans="1:9" x14ac:dyDescent="0.25">
      <c r="E3720" s="7"/>
      <c r="F3720" t="s">
        <v>20</v>
      </c>
      <c r="G3720" t="s">
        <v>21</v>
      </c>
      <c r="H3720" t="str">
        <f>"70814553"</f>
        <v>70814553</v>
      </c>
      <c r="I3720" t="str">
        <f>"VERIZON BUSINESS"</f>
        <v>VERIZON BUSINESS</v>
      </c>
    </row>
    <row r="3721" spans="1:9" x14ac:dyDescent="0.25">
      <c r="A3721" s="6">
        <v>43272</v>
      </c>
      <c r="B3721" t="s">
        <v>26</v>
      </c>
      <c r="C3721">
        <v>57972</v>
      </c>
      <c r="D3721" t="s">
        <v>255</v>
      </c>
      <c r="E3721" s="7">
        <v>150.97999999999999</v>
      </c>
      <c r="F3721" t="s">
        <v>20</v>
      </c>
      <c r="G3721" t="s">
        <v>21</v>
      </c>
      <c r="H3721" t="str">
        <f>"201806218414"</f>
        <v>201806218414</v>
      </c>
      <c r="I3721" t="str">
        <f>"ADT SECURITY SERVICES"</f>
        <v>ADT SECURITY SERVICES</v>
      </c>
    </row>
    <row r="3722" spans="1:9" x14ac:dyDescent="0.25">
      <c r="A3722" s="6">
        <v>43272</v>
      </c>
      <c r="B3722" t="s">
        <v>26</v>
      </c>
      <c r="C3722">
        <v>57973</v>
      </c>
      <c r="D3722" t="s">
        <v>248</v>
      </c>
      <c r="E3722" s="7">
        <v>180</v>
      </c>
      <c r="F3722" t="s">
        <v>20</v>
      </c>
      <c r="G3722" t="s">
        <v>21</v>
      </c>
      <c r="H3722" t="str">
        <f>"1007614521"</f>
        <v>1007614521</v>
      </c>
      <c r="I3722" t="str">
        <f>"PITNEY BOWES"</f>
        <v>PITNEY BOWES</v>
      </c>
    </row>
    <row r="3723" spans="1:9" x14ac:dyDescent="0.25">
      <c r="A3723" s="6">
        <v>43272</v>
      </c>
      <c r="B3723" t="s">
        <v>26</v>
      </c>
      <c r="C3723">
        <v>57974</v>
      </c>
      <c r="D3723" t="s">
        <v>145</v>
      </c>
      <c r="E3723" s="7">
        <v>9239.4599999999991</v>
      </c>
      <c r="F3723" t="s">
        <v>20</v>
      </c>
      <c r="G3723" t="s">
        <v>21</v>
      </c>
      <c r="H3723" t="str">
        <f>"IV180005249"</f>
        <v>IV180005249</v>
      </c>
      <c r="I3723" t="str">
        <f>"WW CHEMICAL MAINTENANCE"</f>
        <v>WW CHEMICAL MAINTENANCE</v>
      </c>
    </row>
    <row r="3724" spans="1:9" x14ac:dyDescent="0.25">
      <c r="E3724" s="7"/>
      <c r="F3724" t="s">
        <v>20</v>
      </c>
      <c r="G3724" t="s">
        <v>21</v>
      </c>
      <c r="H3724" t="str">
        <f>"IV180005250"</f>
        <v>IV180005250</v>
      </c>
      <c r="I3724" t="str">
        <f>"ROAD BOSS"</f>
        <v>ROAD BOSS</v>
      </c>
    </row>
    <row r="3725" spans="1:9" x14ac:dyDescent="0.25">
      <c r="A3725" s="6">
        <v>43272</v>
      </c>
      <c r="B3725" t="s">
        <v>26</v>
      </c>
      <c r="C3725">
        <v>57975</v>
      </c>
      <c r="D3725" t="s">
        <v>71</v>
      </c>
      <c r="E3725" s="7">
        <v>165.01</v>
      </c>
      <c r="F3725" t="s">
        <v>20</v>
      </c>
      <c r="G3725" t="s">
        <v>21</v>
      </c>
      <c r="H3725" t="str">
        <f>"087155459"</f>
        <v>087155459</v>
      </c>
      <c r="I3725" t="str">
        <f>"CINTAS CORPORATION #087"</f>
        <v>CINTAS CORPORATION #087</v>
      </c>
    </row>
    <row r="3726" spans="1:9" x14ac:dyDescent="0.25">
      <c r="A3726" s="6">
        <v>43272</v>
      </c>
      <c r="B3726" t="s">
        <v>26</v>
      </c>
      <c r="C3726">
        <v>57976</v>
      </c>
      <c r="D3726" t="s">
        <v>74</v>
      </c>
      <c r="E3726" s="7">
        <v>55.18</v>
      </c>
      <c r="F3726" t="s">
        <v>20</v>
      </c>
      <c r="G3726" t="s">
        <v>21</v>
      </c>
      <c r="H3726" t="str">
        <f>"9808647862"</f>
        <v>9808647862</v>
      </c>
      <c r="I3726" t="str">
        <f>"VERIZON WIRELESS"</f>
        <v>VERIZON WIRELESS</v>
      </c>
    </row>
    <row r="3727" spans="1:9" x14ac:dyDescent="0.25">
      <c r="A3727" s="6">
        <v>43272</v>
      </c>
      <c r="B3727" t="s">
        <v>26</v>
      </c>
      <c r="C3727">
        <v>57977</v>
      </c>
      <c r="D3727" t="s">
        <v>156</v>
      </c>
      <c r="E3727" s="7">
        <v>898.5</v>
      </c>
      <c r="F3727" t="s">
        <v>20</v>
      </c>
      <c r="G3727" t="s">
        <v>21</v>
      </c>
      <c r="H3727" t="str">
        <f>"6/21/18"</f>
        <v>6/21/18</v>
      </c>
      <c r="I3727" t="str">
        <f>"GLI DISTRIBUTING"</f>
        <v>GLI DISTRIBUTING</v>
      </c>
    </row>
    <row r="3728" spans="1:9" x14ac:dyDescent="0.25">
      <c r="A3728" s="6">
        <v>43272</v>
      </c>
      <c r="B3728" t="s">
        <v>26</v>
      </c>
      <c r="C3728">
        <v>57978</v>
      </c>
      <c r="D3728" t="s">
        <v>77</v>
      </c>
      <c r="E3728" s="7">
        <v>290</v>
      </c>
      <c r="F3728" t="s">
        <v>20</v>
      </c>
      <c r="G3728" t="s">
        <v>21</v>
      </c>
      <c r="H3728" t="str">
        <f>"DE85001149-18"</f>
        <v>DE85001149-18</v>
      </c>
      <c r="I3728" t="str">
        <f>"DPC INDUSTRIES  INC."</f>
        <v>DPC INDUSTRIES  INC.</v>
      </c>
    </row>
    <row r="3729" spans="1:9" x14ac:dyDescent="0.25">
      <c r="E3729" s="7"/>
      <c r="F3729" t="s">
        <v>20</v>
      </c>
      <c r="G3729" t="s">
        <v>21</v>
      </c>
      <c r="H3729" t="str">
        <f>"DE85001373-18"</f>
        <v>DE85001373-18</v>
      </c>
      <c r="I3729" t="str">
        <f>"DPC INDUSTRIES  INC."</f>
        <v>DPC INDUSTRIES  INC.</v>
      </c>
    </row>
    <row r="3730" spans="1:9" x14ac:dyDescent="0.25">
      <c r="A3730" s="6">
        <v>43272</v>
      </c>
      <c r="B3730" t="s">
        <v>91</v>
      </c>
      <c r="C3730">
        <v>57979</v>
      </c>
      <c r="D3730" t="s">
        <v>138</v>
      </c>
      <c r="E3730" s="7">
        <v>612.04</v>
      </c>
      <c r="F3730" t="s">
        <v>20</v>
      </c>
      <c r="G3730" t="s">
        <v>21</v>
      </c>
      <c r="H3730" t="str">
        <f>"6/20/18"</f>
        <v>6/20/18</v>
      </c>
      <c r="I3730" t="str">
        <f>"CITY OF FLORESVILLE-FLEX SPEND"</f>
        <v>CITY OF FLORESVILLE-FLEX SPEND</v>
      </c>
    </row>
    <row r="3731" spans="1:9" x14ac:dyDescent="0.25">
      <c r="A3731" s="6">
        <v>43272</v>
      </c>
      <c r="B3731" t="s">
        <v>26</v>
      </c>
      <c r="C3731">
        <v>57980</v>
      </c>
      <c r="D3731" t="s">
        <v>125</v>
      </c>
      <c r="E3731" s="7">
        <v>6005</v>
      </c>
      <c r="F3731" t="s">
        <v>20</v>
      </c>
      <c r="G3731" t="s">
        <v>21</v>
      </c>
      <c r="H3731" t="str">
        <f>"18-0201*"</f>
        <v>18-0201*</v>
      </c>
      <c r="I3731" t="str">
        <f>"INTREPID SURVEYING CORPORATION"</f>
        <v>INTREPID SURVEYING CORPORATION</v>
      </c>
    </row>
    <row r="3732" spans="1:9" x14ac:dyDescent="0.25">
      <c r="E3732" s="7"/>
      <c r="F3732" t="s">
        <v>20</v>
      </c>
      <c r="G3732" t="s">
        <v>21</v>
      </c>
      <c r="H3732" t="str">
        <f>"18-0555"</f>
        <v>18-0555</v>
      </c>
      <c r="I3732" t="str">
        <f>"INTREPID SURVEYING CORPORATION"</f>
        <v>INTREPID SURVEYING CORPORATION</v>
      </c>
    </row>
    <row r="3733" spans="1:9" x14ac:dyDescent="0.25">
      <c r="A3733" s="6">
        <v>43272</v>
      </c>
      <c r="B3733" t="s">
        <v>26</v>
      </c>
      <c r="C3733">
        <v>57981</v>
      </c>
      <c r="D3733" t="s">
        <v>126</v>
      </c>
      <c r="E3733" s="7">
        <v>9210.73</v>
      </c>
      <c r="F3733" t="s">
        <v>20</v>
      </c>
      <c r="G3733" t="s">
        <v>21</v>
      </c>
      <c r="H3733" t="str">
        <f>"5119-000083740"</f>
        <v>5119-000083740</v>
      </c>
      <c r="I3733" t="str">
        <f>"REPUBLIC SERVICES #859"</f>
        <v>REPUBLIC SERVICES #859</v>
      </c>
    </row>
    <row r="3734" spans="1:9" x14ac:dyDescent="0.25">
      <c r="A3734" s="6">
        <v>43272</v>
      </c>
      <c r="B3734" t="s">
        <v>26</v>
      </c>
      <c r="C3734">
        <v>57982</v>
      </c>
      <c r="D3734" t="s">
        <v>79</v>
      </c>
      <c r="E3734" s="7">
        <v>157.35</v>
      </c>
      <c r="F3734" t="s">
        <v>20</v>
      </c>
      <c r="G3734" t="s">
        <v>21</v>
      </c>
      <c r="H3734" t="str">
        <f>"6-199-29738"</f>
        <v>6-199-29738</v>
      </c>
      <c r="I3734" t="str">
        <f>"FEDEX"</f>
        <v>FEDEX</v>
      </c>
    </row>
    <row r="3735" spans="1:9" x14ac:dyDescent="0.25">
      <c r="E3735" s="7"/>
      <c r="F3735" t="s">
        <v>20</v>
      </c>
      <c r="G3735" t="s">
        <v>21</v>
      </c>
      <c r="H3735" t="str">
        <f>"6-206-43318"</f>
        <v>6-206-43318</v>
      </c>
      <c r="I3735" t="str">
        <f>"FEDEX"</f>
        <v>FEDEX</v>
      </c>
    </row>
    <row r="3736" spans="1:9" x14ac:dyDescent="0.25">
      <c r="E3736" s="7"/>
      <c r="F3736" t="s">
        <v>20</v>
      </c>
      <c r="G3736" t="s">
        <v>21</v>
      </c>
      <c r="H3736" t="str">
        <f>"6-213-23885"</f>
        <v>6-213-23885</v>
      </c>
      <c r="I3736" t="str">
        <f>"FEDEX"</f>
        <v>FEDEX</v>
      </c>
    </row>
    <row r="3737" spans="1:9" x14ac:dyDescent="0.25">
      <c r="A3737" s="6">
        <v>43272</v>
      </c>
      <c r="B3737" t="s">
        <v>26</v>
      </c>
      <c r="C3737">
        <v>57983</v>
      </c>
      <c r="D3737" t="s">
        <v>81</v>
      </c>
      <c r="E3737" s="7">
        <v>33.19</v>
      </c>
      <c r="F3737" t="s">
        <v>20</v>
      </c>
      <c r="G3737" t="s">
        <v>21</v>
      </c>
      <c r="H3737" t="str">
        <f>"AM 6/20/18"</f>
        <v>AM 6/20/18</v>
      </c>
      <c r="I3737" t="str">
        <f>"CITY OF FLORESVILLE -PETTY CAS"</f>
        <v>CITY OF FLORESVILLE -PETTY CAS</v>
      </c>
    </row>
    <row r="3738" spans="1:9" x14ac:dyDescent="0.25">
      <c r="A3738" s="6">
        <v>43272</v>
      </c>
      <c r="B3738" t="s">
        <v>26</v>
      </c>
      <c r="C3738">
        <v>57984</v>
      </c>
      <c r="D3738" t="s">
        <v>82</v>
      </c>
      <c r="E3738" s="7">
        <v>676.77</v>
      </c>
      <c r="F3738" t="s">
        <v>20</v>
      </c>
      <c r="G3738" t="s">
        <v>21</v>
      </c>
      <c r="H3738" t="str">
        <f>"SO-1068383"</f>
        <v>SO-1068383</v>
      </c>
      <c r="I3738" t="str">
        <f>"BASS COMPUTER  INC."</f>
        <v>BASS COMPUTER  INC.</v>
      </c>
    </row>
    <row r="3739" spans="1:9" x14ac:dyDescent="0.25">
      <c r="A3739" s="6">
        <v>43272</v>
      </c>
      <c r="B3739" t="s">
        <v>26</v>
      </c>
      <c r="C3739">
        <v>57985</v>
      </c>
      <c r="D3739" t="s">
        <v>85</v>
      </c>
      <c r="E3739" s="7">
        <v>241.55</v>
      </c>
      <c r="F3739" t="s">
        <v>20</v>
      </c>
      <c r="G3739" t="s">
        <v>21</v>
      </c>
      <c r="H3739" t="str">
        <f>"201806218413"</f>
        <v>201806218413</v>
      </c>
      <c r="I3739" t="str">
        <f>"FRONTIER"</f>
        <v>FRONTIER</v>
      </c>
    </row>
    <row r="3740" spans="1:9" x14ac:dyDescent="0.25">
      <c r="E3740" s="7"/>
      <c r="F3740" t="s">
        <v>20</v>
      </c>
      <c r="G3740" t="s">
        <v>21</v>
      </c>
      <c r="H3740" t="str">
        <f>"201806218415"</f>
        <v>201806218415</v>
      </c>
      <c r="I3740" t="str">
        <f>"FRONTIER"</f>
        <v>FRONTIER</v>
      </c>
    </row>
    <row r="3741" spans="1:9" x14ac:dyDescent="0.25">
      <c r="E3741" s="7"/>
      <c r="F3741" t="s">
        <v>20</v>
      </c>
      <c r="G3741" t="s">
        <v>21</v>
      </c>
      <c r="H3741" t="str">
        <f>"201806218420"</f>
        <v>201806218420</v>
      </c>
      <c r="I3741" t="str">
        <f>"FRONTIER"</f>
        <v>FRONTIER</v>
      </c>
    </row>
    <row r="3742" spans="1:9" x14ac:dyDescent="0.25">
      <c r="E3742" s="7"/>
      <c r="F3742" t="s">
        <v>20</v>
      </c>
      <c r="G3742" t="s">
        <v>21</v>
      </c>
      <c r="H3742" t="str">
        <f>"201806218421"</f>
        <v>201806218421</v>
      </c>
      <c r="I3742" t="str">
        <f>"FRONTIER"</f>
        <v>FRONTIER</v>
      </c>
    </row>
    <row r="3743" spans="1:9" x14ac:dyDescent="0.25">
      <c r="A3743" s="6">
        <v>43272</v>
      </c>
      <c r="B3743" t="s">
        <v>26</v>
      </c>
      <c r="C3743">
        <v>57986</v>
      </c>
      <c r="D3743" t="s">
        <v>420</v>
      </c>
      <c r="E3743" s="7">
        <v>70</v>
      </c>
      <c r="F3743" t="s">
        <v>20</v>
      </c>
      <c r="G3743" t="s">
        <v>21</v>
      </c>
      <c r="H3743" t="str">
        <f>"6/16/18"</f>
        <v>6/16/18</v>
      </c>
      <c r="I3743" t="str">
        <f>"TERESA A. PENA-RODRIGUEZ"</f>
        <v>TERESA A. PENA-RODRIGUEZ</v>
      </c>
    </row>
    <row r="3744" spans="1:9" x14ac:dyDescent="0.25">
      <c r="A3744" s="6">
        <v>43272</v>
      </c>
      <c r="B3744" t="s">
        <v>26</v>
      </c>
      <c r="C3744">
        <v>57987</v>
      </c>
      <c r="D3744" t="s">
        <v>436</v>
      </c>
      <c r="E3744" s="7">
        <v>3000</v>
      </c>
      <c r="F3744" t="s">
        <v>20</v>
      </c>
      <c r="G3744" t="s">
        <v>21</v>
      </c>
      <c r="H3744" t="str">
        <f>"FREEDOM FEST 18"</f>
        <v>FREEDOM FEST 18</v>
      </c>
      <c r="I3744" t="str">
        <f>"UNIVISION RECEIVABLES CO LLC"</f>
        <v>UNIVISION RECEIVABLES CO LLC</v>
      </c>
    </row>
    <row r="3745" spans="1:9" x14ac:dyDescent="0.25">
      <c r="A3745" s="6">
        <v>43272</v>
      </c>
      <c r="B3745" t="s">
        <v>26</v>
      </c>
      <c r="C3745">
        <v>57988</v>
      </c>
      <c r="D3745" t="s">
        <v>332</v>
      </c>
      <c r="E3745" s="7">
        <v>1700</v>
      </c>
      <c r="F3745" t="s">
        <v>20</v>
      </c>
      <c r="G3745" t="s">
        <v>21</v>
      </c>
      <c r="H3745" t="str">
        <f>"6/20/2018"</f>
        <v>6/20/2018</v>
      </c>
      <c r="I3745" t="str">
        <f>"JESSE CASTRO"</f>
        <v>JESSE CASTRO</v>
      </c>
    </row>
    <row r="3746" spans="1:9" x14ac:dyDescent="0.25">
      <c r="A3746" s="6">
        <v>43272</v>
      </c>
      <c r="B3746" t="s">
        <v>26</v>
      </c>
      <c r="C3746">
        <v>57989</v>
      </c>
      <c r="D3746" t="s">
        <v>326</v>
      </c>
      <c r="E3746" s="7">
        <v>23</v>
      </c>
      <c r="F3746" t="s">
        <v>20</v>
      </c>
      <c r="G3746" t="s">
        <v>21</v>
      </c>
      <c r="H3746" t="str">
        <f>"17681339"</f>
        <v>17681339</v>
      </c>
      <c r="I3746" t="str">
        <f>"MATHESON TRI-GAS INC"</f>
        <v>MATHESON TRI-GAS INC</v>
      </c>
    </row>
    <row r="3747" spans="1:9" x14ac:dyDescent="0.25">
      <c r="A3747" s="6">
        <v>43272</v>
      </c>
      <c r="B3747" t="s">
        <v>26</v>
      </c>
      <c r="C3747">
        <v>57990</v>
      </c>
      <c r="D3747" t="s">
        <v>195</v>
      </c>
      <c r="E3747" s="7">
        <v>5870.95</v>
      </c>
      <c r="F3747" t="s">
        <v>20</v>
      </c>
      <c r="G3747" t="s">
        <v>21</v>
      </c>
      <c r="H3747" t="str">
        <f>"1565201806"</f>
        <v>1565201806</v>
      </c>
      <c r="I3747" t="str">
        <f>"ARISTA INFORMATION SYSTEMS  IN"</f>
        <v>ARISTA INFORMATION SYSTEMS  IN</v>
      </c>
    </row>
    <row r="3748" spans="1:9" x14ac:dyDescent="0.25">
      <c r="E3748" s="7"/>
      <c r="F3748" t="s">
        <v>20</v>
      </c>
      <c r="G3748" t="s">
        <v>21</v>
      </c>
      <c r="H3748" t="str">
        <f>"25547"</f>
        <v>25547</v>
      </c>
      <c r="I3748" t="str">
        <f>"ARISTA INFORMATION SYSTEMS  IN"</f>
        <v>ARISTA INFORMATION SYSTEMS  IN</v>
      </c>
    </row>
    <row r="3749" spans="1:9" x14ac:dyDescent="0.25">
      <c r="A3749" s="6">
        <v>43272</v>
      </c>
      <c r="B3749" t="s">
        <v>26</v>
      </c>
      <c r="C3749">
        <v>57991</v>
      </c>
      <c r="D3749" t="s">
        <v>345</v>
      </c>
      <c r="E3749" s="7">
        <v>385</v>
      </c>
      <c r="F3749" t="s">
        <v>20</v>
      </c>
      <c r="G3749" t="s">
        <v>21</v>
      </c>
      <c r="H3749" t="str">
        <f>"6/11-6/16"</f>
        <v>6/11-6/16</v>
      </c>
      <c r="I3749" t="str">
        <f>"MICHAEL ISAAC MARTINEZ"</f>
        <v>MICHAEL ISAAC MARTINEZ</v>
      </c>
    </row>
    <row r="3750" spans="1:9" x14ac:dyDescent="0.25">
      <c r="A3750" s="6">
        <v>43272</v>
      </c>
      <c r="B3750" t="s">
        <v>26</v>
      </c>
      <c r="C3750">
        <v>57992</v>
      </c>
      <c r="D3750" t="s">
        <v>346</v>
      </c>
      <c r="E3750" s="7">
        <v>13750</v>
      </c>
      <c r="F3750" t="s">
        <v>20</v>
      </c>
      <c r="G3750" t="s">
        <v>21</v>
      </c>
      <c r="H3750" t="str">
        <f>"5/11-6/11/18"</f>
        <v>5/11-6/11/18</v>
      </c>
      <c r="I3750" t="str">
        <f>"SYLVIA RODRIGUEZ"</f>
        <v>SYLVIA RODRIGUEZ</v>
      </c>
    </row>
    <row r="3751" spans="1:9" x14ac:dyDescent="0.25">
      <c r="A3751" s="6">
        <v>43272</v>
      </c>
      <c r="B3751" t="s">
        <v>26</v>
      </c>
      <c r="C3751">
        <v>57993</v>
      </c>
      <c r="D3751" t="s">
        <v>421</v>
      </c>
      <c r="E3751" s="7">
        <v>8000</v>
      </c>
      <c r="F3751" t="s">
        <v>20</v>
      </c>
      <c r="G3751" t="s">
        <v>21</v>
      </c>
      <c r="H3751" t="str">
        <f>"FREEDOM FEST 18"</f>
        <v>FREEDOM FEST 18</v>
      </c>
      <c r="I3751" t="str">
        <f>"KAYLA PEARSON"</f>
        <v>KAYLA PEARSON</v>
      </c>
    </row>
    <row r="3752" spans="1:9" x14ac:dyDescent="0.25">
      <c r="A3752" s="6">
        <v>43272</v>
      </c>
      <c r="B3752" t="s">
        <v>26</v>
      </c>
      <c r="C3752">
        <v>57994</v>
      </c>
      <c r="D3752" t="s">
        <v>427</v>
      </c>
      <c r="E3752" s="7">
        <v>80</v>
      </c>
      <c r="F3752" t="s">
        <v>20</v>
      </c>
      <c r="G3752" t="s">
        <v>21</v>
      </c>
      <c r="H3752" t="str">
        <f>"6/16/18"</f>
        <v>6/16/18</v>
      </c>
      <c r="I3752" t="str">
        <f>"Alexandria Rene Palacios"</f>
        <v>Alexandria Rene Palacios</v>
      </c>
    </row>
    <row r="3753" spans="1:9" x14ac:dyDescent="0.25">
      <c r="A3753" s="6">
        <v>43272</v>
      </c>
      <c r="B3753" t="s">
        <v>26</v>
      </c>
      <c r="C3753">
        <v>57995</v>
      </c>
      <c r="D3753" t="s">
        <v>437</v>
      </c>
      <c r="E3753" s="7">
        <v>200</v>
      </c>
      <c r="F3753" t="s">
        <v>20</v>
      </c>
      <c r="G3753" t="s">
        <v>21</v>
      </c>
      <c r="H3753" t="str">
        <f>"DONOR RECOGNITION"</f>
        <v>DONOR RECOGNITION</v>
      </c>
      <c r="I3753" t="str">
        <f>"WILSON COUNTY EDUCATION FOUNDA"</f>
        <v>WILSON COUNTY EDUCATION FOUNDA</v>
      </c>
    </row>
    <row r="3754" spans="1:9" x14ac:dyDescent="0.25">
      <c r="A3754" s="6">
        <v>43272</v>
      </c>
      <c r="B3754" t="s">
        <v>26</v>
      </c>
      <c r="C3754">
        <v>57996</v>
      </c>
      <c r="D3754" t="s">
        <v>438</v>
      </c>
      <c r="E3754" s="7">
        <v>280</v>
      </c>
      <c r="F3754" t="s">
        <v>20</v>
      </c>
      <c r="G3754" t="s">
        <v>21</v>
      </c>
      <c r="H3754" t="str">
        <f>"FREEDOM FEST 18"</f>
        <v>FREEDOM FEST 18</v>
      </c>
      <c r="I3754" t="str">
        <f>"ON Y. Theus"</f>
        <v>ON Y. Theus</v>
      </c>
    </row>
    <row r="3755" spans="1:9" x14ac:dyDescent="0.25">
      <c r="A3755" s="6">
        <v>43278</v>
      </c>
      <c r="B3755" t="s">
        <v>26</v>
      </c>
      <c r="C3755">
        <v>57998</v>
      </c>
      <c r="D3755" t="s">
        <v>57</v>
      </c>
      <c r="E3755" s="7">
        <v>25468.639999999999</v>
      </c>
      <c r="F3755" t="s">
        <v>20</v>
      </c>
      <c r="G3755" t="s">
        <v>21</v>
      </c>
      <c r="H3755" t="str">
        <f>"6/15/18"</f>
        <v>6/15/18</v>
      </c>
      <c r="I3755" t="str">
        <f>"F.E.L.P.S."</f>
        <v>F.E.L.P.S.</v>
      </c>
    </row>
    <row r="3756" spans="1:9" x14ac:dyDescent="0.25">
      <c r="A3756" s="6">
        <v>43278</v>
      </c>
      <c r="B3756" t="s">
        <v>26</v>
      </c>
      <c r="C3756">
        <v>57999</v>
      </c>
      <c r="D3756" t="s">
        <v>59</v>
      </c>
      <c r="E3756" s="7">
        <v>733.9</v>
      </c>
      <c r="F3756" t="s">
        <v>20</v>
      </c>
      <c r="G3756" t="s">
        <v>21</v>
      </c>
      <c r="H3756" t="str">
        <f>"0963229"</f>
        <v>0963229</v>
      </c>
      <c r="I3756" t="str">
        <f>"FERGUSON WATERWORKS - MUNICIPA"</f>
        <v>FERGUSON WATERWORKS - MUNICIPA</v>
      </c>
    </row>
    <row r="3757" spans="1:9" x14ac:dyDescent="0.25">
      <c r="E3757" s="7"/>
      <c r="F3757" t="s">
        <v>20</v>
      </c>
      <c r="G3757" t="s">
        <v>21</v>
      </c>
      <c r="H3757" t="str">
        <f>"0963233"</f>
        <v>0963233</v>
      </c>
      <c r="I3757" t="str">
        <f>"FERGUSON WATERWORKS - MUNICIPA"</f>
        <v>FERGUSON WATERWORKS - MUNICIPA</v>
      </c>
    </row>
    <row r="3758" spans="1:9" x14ac:dyDescent="0.25">
      <c r="E3758" s="7"/>
      <c r="F3758" t="s">
        <v>20</v>
      </c>
      <c r="G3758" t="s">
        <v>21</v>
      </c>
      <c r="H3758" t="str">
        <f>"C112371"</f>
        <v>C112371</v>
      </c>
      <c r="I3758" t="str">
        <f>"FERGUSON WATERWORKS - MUNICIPA"</f>
        <v>FERGUSON WATERWORKS - MUNICIPA</v>
      </c>
    </row>
    <row r="3759" spans="1:9" x14ac:dyDescent="0.25">
      <c r="A3759" s="6">
        <v>43278</v>
      </c>
      <c r="B3759" t="s">
        <v>26</v>
      </c>
      <c r="C3759">
        <v>58000</v>
      </c>
      <c r="D3759" t="s">
        <v>273</v>
      </c>
      <c r="E3759" s="7">
        <v>6368.15</v>
      </c>
      <c r="F3759" t="s">
        <v>20</v>
      </c>
      <c r="G3759" t="s">
        <v>21</v>
      </c>
      <c r="H3759" t="str">
        <f>"5119-000083963"</f>
        <v>5119-000083963</v>
      </c>
      <c r="I3759" t="str">
        <f>"REPUBLIC SERVICES TESSMAN ROAD"</f>
        <v>REPUBLIC SERVICES TESSMAN ROAD</v>
      </c>
    </row>
    <row r="3760" spans="1:9" x14ac:dyDescent="0.25">
      <c r="A3760" s="6">
        <v>43278</v>
      </c>
      <c r="B3760" t="s">
        <v>26</v>
      </c>
      <c r="C3760">
        <v>58001</v>
      </c>
      <c r="D3760" t="s">
        <v>439</v>
      </c>
      <c r="E3760" s="7">
        <v>274</v>
      </c>
      <c r="F3760" t="s">
        <v>20</v>
      </c>
      <c r="G3760" t="s">
        <v>21</v>
      </c>
      <c r="H3760" t="str">
        <f>"FREED FEST 18"</f>
        <v>FREED FEST 18</v>
      </c>
      <c r="I3760" t="str">
        <f>"JOHNNIE R. GOMEZ"</f>
        <v>JOHNNIE R. GOMEZ</v>
      </c>
    </row>
    <row r="3761" spans="1:9" x14ac:dyDescent="0.25">
      <c r="A3761" s="6">
        <v>43278</v>
      </c>
      <c r="B3761" t="s">
        <v>26</v>
      </c>
      <c r="C3761">
        <v>58002</v>
      </c>
      <c r="D3761" t="s">
        <v>108</v>
      </c>
      <c r="E3761" s="7">
        <v>2366.38</v>
      </c>
      <c r="F3761" t="s">
        <v>20</v>
      </c>
      <c r="G3761" t="s">
        <v>21</v>
      </c>
      <c r="H3761" t="str">
        <f>"041295597296"</f>
        <v>041295597296</v>
      </c>
      <c r="I3761" t="str">
        <f>"POOLSURE"</f>
        <v>POOLSURE</v>
      </c>
    </row>
    <row r="3762" spans="1:9" x14ac:dyDescent="0.25">
      <c r="A3762" s="6">
        <v>43278</v>
      </c>
      <c r="B3762" t="s">
        <v>26</v>
      </c>
      <c r="C3762">
        <v>58003</v>
      </c>
      <c r="D3762" t="s">
        <v>181</v>
      </c>
      <c r="E3762" s="7">
        <v>41.59</v>
      </c>
      <c r="F3762" t="s">
        <v>20</v>
      </c>
      <c r="G3762" t="s">
        <v>21</v>
      </c>
      <c r="H3762" t="str">
        <f>"201806278423"</f>
        <v>201806278423</v>
      </c>
      <c r="I3762" t="str">
        <f>"AT&amp;T"</f>
        <v>AT&amp;T</v>
      </c>
    </row>
    <row r="3763" spans="1:9" x14ac:dyDescent="0.25">
      <c r="A3763" s="6">
        <v>43278</v>
      </c>
      <c r="B3763" t="s">
        <v>26</v>
      </c>
      <c r="C3763">
        <v>58004</v>
      </c>
      <c r="D3763" t="s">
        <v>184</v>
      </c>
      <c r="E3763" s="7">
        <v>1073</v>
      </c>
      <c r="F3763" t="s">
        <v>20</v>
      </c>
      <c r="G3763" t="s">
        <v>21</v>
      </c>
      <c r="H3763" t="str">
        <f>"1050-812"</f>
        <v>1050-812</v>
      </c>
      <c r="I3763" t="str">
        <f>"POLLUTION CONTROL SERVICES"</f>
        <v>POLLUTION CONTROL SERVICES</v>
      </c>
    </row>
    <row r="3764" spans="1:9" x14ac:dyDescent="0.25">
      <c r="E3764" s="7"/>
      <c r="F3764" t="s">
        <v>20</v>
      </c>
      <c r="G3764" t="s">
        <v>21</v>
      </c>
      <c r="H3764" t="str">
        <f>"1050-813"</f>
        <v>1050-813</v>
      </c>
      <c r="I3764" t="str">
        <f>"POLLUTION CONTROL SERVICES"</f>
        <v>POLLUTION CONTROL SERVICES</v>
      </c>
    </row>
    <row r="3765" spans="1:9" x14ac:dyDescent="0.25">
      <c r="A3765" s="6">
        <v>43278</v>
      </c>
      <c r="B3765" t="s">
        <v>26</v>
      </c>
      <c r="C3765">
        <v>58005</v>
      </c>
      <c r="D3765" t="s">
        <v>63</v>
      </c>
      <c r="E3765" s="7">
        <v>330.03</v>
      </c>
      <c r="F3765" t="s">
        <v>20</v>
      </c>
      <c r="G3765" t="s">
        <v>21</v>
      </c>
      <c r="H3765" t="str">
        <f>"8403699141"</f>
        <v>8403699141</v>
      </c>
      <c r="I3765" t="str">
        <f>"CINTAS CORPORATION"</f>
        <v>CINTAS CORPORATION</v>
      </c>
    </row>
    <row r="3766" spans="1:9" x14ac:dyDescent="0.25">
      <c r="A3766" s="6">
        <v>43278</v>
      </c>
      <c r="B3766" t="s">
        <v>26</v>
      </c>
      <c r="C3766">
        <v>58006</v>
      </c>
      <c r="D3766" t="s">
        <v>419</v>
      </c>
      <c r="E3766" s="7">
        <v>630</v>
      </c>
      <c r="F3766" t="s">
        <v>20</v>
      </c>
      <c r="G3766" t="s">
        <v>21</v>
      </c>
      <c r="H3766" t="str">
        <f>"FF SEC 2018"</f>
        <v>FF SEC 2018</v>
      </c>
      <c r="I3766" t="str">
        <f>"GEORGE ORTIZ"</f>
        <v>GEORGE ORTIZ</v>
      </c>
    </row>
    <row r="3767" spans="1:9" x14ac:dyDescent="0.25">
      <c r="A3767" s="6">
        <v>43278</v>
      </c>
      <c r="B3767" t="s">
        <v>26</v>
      </c>
      <c r="C3767">
        <v>58007</v>
      </c>
      <c r="D3767" t="s">
        <v>29</v>
      </c>
      <c r="E3767" s="7">
        <v>40756.57</v>
      </c>
      <c r="F3767" t="s">
        <v>20</v>
      </c>
      <c r="G3767" t="s">
        <v>21</v>
      </c>
      <c r="H3767" t="str">
        <f>"1361378"</f>
        <v>1361378</v>
      </c>
      <c r="I3767" t="str">
        <f>"M &amp; S ENGINEERING  LLC"</f>
        <v>M &amp; S ENGINEERING  LLC</v>
      </c>
    </row>
    <row r="3768" spans="1:9" x14ac:dyDescent="0.25">
      <c r="E3768" s="7"/>
      <c r="F3768" t="s">
        <v>20</v>
      </c>
      <c r="G3768" t="s">
        <v>21</v>
      </c>
      <c r="H3768" t="str">
        <f>"31933"</f>
        <v>31933</v>
      </c>
      <c r="I3768" t="str">
        <f>"M &amp; S ENGINEERING  LLC"</f>
        <v>M &amp; S ENGINEERING  LLC</v>
      </c>
    </row>
    <row r="3769" spans="1:9" x14ac:dyDescent="0.25">
      <c r="E3769" s="7"/>
      <c r="F3769" t="s">
        <v>20</v>
      </c>
      <c r="G3769" t="s">
        <v>21</v>
      </c>
      <c r="H3769" t="str">
        <f>"32159"</f>
        <v>32159</v>
      </c>
      <c r="I3769" t="str">
        <f>"M &amp; S ENGINEERING  LLC"</f>
        <v>M &amp; S ENGINEERING  LLC</v>
      </c>
    </row>
    <row r="3770" spans="1:9" x14ac:dyDescent="0.25">
      <c r="E3770" s="7"/>
      <c r="F3770" t="s">
        <v>20</v>
      </c>
      <c r="G3770" t="s">
        <v>21</v>
      </c>
      <c r="H3770" t="str">
        <f>"32191"</f>
        <v>32191</v>
      </c>
      <c r="I3770" t="str">
        <f>"M &amp; S ENGINEERING  LLC"</f>
        <v>M &amp; S ENGINEERING  LLC</v>
      </c>
    </row>
    <row r="3771" spans="1:9" x14ac:dyDescent="0.25">
      <c r="A3771" s="6">
        <v>43278</v>
      </c>
      <c r="B3771" t="s">
        <v>26</v>
      </c>
      <c r="C3771">
        <v>58008</v>
      </c>
      <c r="D3771" t="s">
        <v>71</v>
      </c>
      <c r="E3771" s="7">
        <v>733.13</v>
      </c>
      <c r="F3771" t="s">
        <v>20</v>
      </c>
      <c r="G3771" t="s">
        <v>21</v>
      </c>
      <c r="H3771" t="str">
        <f>"087147518"</f>
        <v>087147518</v>
      </c>
      <c r="I3771" t="str">
        <f>"CINTAS CORPORATION #087"</f>
        <v>CINTAS CORPORATION #087</v>
      </c>
    </row>
    <row r="3772" spans="1:9" x14ac:dyDescent="0.25">
      <c r="E3772" s="7"/>
      <c r="F3772" t="s">
        <v>20</v>
      </c>
      <c r="G3772" t="s">
        <v>21</v>
      </c>
      <c r="H3772" t="str">
        <f>"087152902"</f>
        <v>087152902</v>
      </c>
      <c r="I3772" t="str">
        <f>"CINTAS CORPORATION #087"</f>
        <v>CINTAS CORPORATION #087</v>
      </c>
    </row>
    <row r="3773" spans="1:9" x14ac:dyDescent="0.25">
      <c r="E3773" s="7"/>
      <c r="F3773" t="s">
        <v>20</v>
      </c>
      <c r="G3773" t="s">
        <v>21</v>
      </c>
      <c r="H3773" t="str">
        <f>"087156872"</f>
        <v>087156872</v>
      </c>
      <c r="I3773" t="str">
        <f>"CINTAS CORPORATION #087"</f>
        <v>CINTAS CORPORATION #087</v>
      </c>
    </row>
    <row r="3774" spans="1:9" x14ac:dyDescent="0.25">
      <c r="A3774" s="6">
        <v>43278</v>
      </c>
      <c r="B3774" t="s">
        <v>26</v>
      </c>
      <c r="C3774">
        <v>58010</v>
      </c>
      <c r="D3774" t="s">
        <v>205</v>
      </c>
      <c r="E3774" s="7">
        <v>696.5</v>
      </c>
      <c r="F3774" t="s">
        <v>20</v>
      </c>
      <c r="G3774" t="s">
        <v>21</v>
      </c>
      <c r="H3774" t="str">
        <f>"6/26/18"</f>
        <v>6/26/18</v>
      </c>
      <c r="I3774" t="str">
        <f>"SILVER EAGLE DISTRIBUTORS"</f>
        <v>SILVER EAGLE DISTRIBUTORS</v>
      </c>
    </row>
    <row r="3775" spans="1:9" x14ac:dyDescent="0.25">
      <c r="A3775" s="6">
        <v>43278</v>
      </c>
      <c r="B3775" t="s">
        <v>26</v>
      </c>
      <c r="C3775">
        <v>58011</v>
      </c>
      <c r="D3775" t="s">
        <v>123</v>
      </c>
      <c r="E3775" s="7">
        <v>359.99</v>
      </c>
      <c r="F3775" t="s">
        <v>20</v>
      </c>
      <c r="G3775" t="s">
        <v>24</v>
      </c>
      <c r="H3775" t="str">
        <f>"144260877001"</f>
        <v>144260877001</v>
      </c>
      <c r="I3775" t="str">
        <f>"OFFICE DEPOT  INC."</f>
        <v>OFFICE DEPOT  INC.</v>
      </c>
    </row>
    <row r="3776" spans="1:9" x14ac:dyDescent="0.25">
      <c r="E3776" s="7"/>
      <c r="F3776" t="s">
        <v>20</v>
      </c>
      <c r="G3776" t="s">
        <v>21</v>
      </c>
      <c r="H3776" t="str">
        <f>"145721078001"</f>
        <v>145721078001</v>
      </c>
      <c r="I3776" t="str">
        <f>"OFFICE DEPOT  INC."</f>
        <v>OFFICE DEPOT  INC.</v>
      </c>
    </row>
    <row r="3777" spans="1:9" x14ac:dyDescent="0.25">
      <c r="E3777" s="7"/>
      <c r="F3777" t="s">
        <v>20</v>
      </c>
      <c r="G3777" t="s">
        <v>21</v>
      </c>
      <c r="H3777" t="str">
        <f>"146980709001"</f>
        <v>146980709001</v>
      </c>
      <c r="I3777" t="str">
        <f>"OFFICE SUPPLIES"</f>
        <v>OFFICE SUPPLIES</v>
      </c>
    </row>
    <row r="3778" spans="1:9" x14ac:dyDescent="0.25">
      <c r="E3778" s="7"/>
      <c r="F3778" t="s">
        <v>20</v>
      </c>
      <c r="G3778" t="s">
        <v>21</v>
      </c>
      <c r="H3778" t="str">
        <f>"147674470001"</f>
        <v>147674470001</v>
      </c>
      <c r="I3778" t="str">
        <f>"CLEANING SUPPLIES"</f>
        <v>CLEANING SUPPLIES</v>
      </c>
    </row>
    <row r="3779" spans="1:9" x14ac:dyDescent="0.25">
      <c r="E3779" s="7"/>
      <c r="F3779" t="s">
        <v>20</v>
      </c>
      <c r="G3779" t="s">
        <v>21</v>
      </c>
      <c r="H3779" t="str">
        <f>"147674681001"</f>
        <v>147674681001</v>
      </c>
      <c r="I3779" t="str">
        <f>"CLEANING SUPPLIES"</f>
        <v>CLEANING SUPPLIES</v>
      </c>
    </row>
    <row r="3780" spans="1:9" x14ac:dyDescent="0.25">
      <c r="A3780" s="6">
        <v>43278</v>
      </c>
      <c r="B3780" t="s">
        <v>26</v>
      </c>
      <c r="C3780">
        <v>58013</v>
      </c>
      <c r="D3780" t="s">
        <v>77</v>
      </c>
      <c r="E3780" s="7">
        <v>446.88</v>
      </c>
      <c r="F3780" t="s">
        <v>20</v>
      </c>
      <c r="G3780" t="s">
        <v>21</v>
      </c>
      <c r="H3780" t="str">
        <f>"857001038-18"</f>
        <v>857001038-18</v>
      </c>
      <c r="I3780" t="str">
        <f>"DPC INDUSTRIES  INC."</f>
        <v>DPC INDUSTRIES  INC.</v>
      </c>
    </row>
    <row r="3781" spans="1:9" x14ac:dyDescent="0.25">
      <c r="A3781" s="6">
        <v>43278</v>
      </c>
      <c r="B3781" t="s">
        <v>26</v>
      </c>
      <c r="C3781">
        <v>58014</v>
      </c>
      <c r="D3781" t="s">
        <v>157</v>
      </c>
      <c r="E3781" s="7">
        <v>724.5</v>
      </c>
      <c r="F3781" t="s">
        <v>20</v>
      </c>
      <c r="G3781" t="s">
        <v>21</v>
      </c>
      <c r="H3781" t="str">
        <f>"6/26/18"</f>
        <v>6/26/18</v>
      </c>
      <c r="I3781" t="str">
        <f>"GLAZIERS"</f>
        <v>GLAZIERS</v>
      </c>
    </row>
    <row r="3782" spans="1:9" x14ac:dyDescent="0.25">
      <c r="A3782" s="6">
        <v>43278</v>
      </c>
      <c r="B3782" t="s">
        <v>26</v>
      </c>
      <c r="C3782">
        <v>58015</v>
      </c>
      <c r="D3782" t="s">
        <v>79</v>
      </c>
      <c r="E3782" s="7">
        <v>79.97</v>
      </c>
      <c r="F3782" t="s">
        <v>20</v>
      </c>
      <c r="G3782" t="s">
        <v>21</v>
      </c>
      <c r="H3782" t="str">
        <f>"6-220-05179"</f>
        <v>6-220-05179</v>
      </c>
      <c r="I3782" t="str">
        <f>"FEDEX"</f>
        <v>FEDEX</v>
      </c>
    </row>
    <row r="3783" spans="1:9" x14ac:dyDescent="0.25">
      <c r="A3783" s="6">
        <v>43278</v>
      </c>
      <c r="B3783" t="s">
        <v>26</v>
      </c>
      <c r="C3783">
        <v>58016</v>
      </c>
      <c r="D3783" t="s">
        <v>139</v>
      </c>
      <c r="E3783" s="7">
        <v>65</v>
      </c>
      <c r="F3783" t="s">
        <v>20</v>
      </c>
      <c r="G3783" t="s">
        <v>21</v>
      </c>
      <c r="H3783" t="str">
        <f>"23913"</f>
        <v>23913</v>
      </c>
      <c r="I3783" t="str">
        <f>"ANGEL FIRE &amp; SAFETY"</f>
        <v>ANGEL FIRE &amp; SAFETY</v>
      </c>
    </row>
    <row r="3784" spans="1:9" x14ac:dyDescent="0.25">
      <c r="A3784" s="6">
        <v>43278</v>
      </c>
      <c r="B3784" t="s">
        <v>26</v>
      </c>
      <c r="C3784">
        <v>58017</v>
      </c>
      <c r="D3784" t="s">
        <v>335</v>
      </c>
      <c r="E3784" s="7">
        <v>630</v>
      </c>
      <c r="F3784" t="s">
        <v>20</v>
      </c>
      <c r="G3784" t="s">
        <v>21</v>
      </c>
      <c r="H3784" t="str">
        <f>"FF SEC 2018"</f>
        <v>FF SEC 2018</v>
      </c>
      <c r="I3784" t="str">
        <f>"DEVIN KEEN"</f>
        <v>DEVIN KEEN</v>
      </c>
    </row>
    <row r="3785" spans="1:9" x14ac:dyDescent="0.25">
      <c r="A3785" s="6">
        <v>43278</v>
      </c>
      <c r="B3785" t="s">
        <v>26</v>
      </c>
      <c r="C3785">
        <v>58018</v>
      </c>
      <c r="D3785" t="s">
        <v>387</v>
      </c>
      <c r="E3785" s="7">
        <v>365</v>
      </c>
      <c r="F3785" t="s">
        <v>20</v>
      </c>
      <c r="G3785" t="s">
        <v>21</v>
      </c>
      <c r="H3785" t="str">
        <f>"FO2891-SA"</f>
        <v>FO2891-SA</v>
      </c>
      <c r="I3785" t="str">
        <f>"BARCO PUMP"</f>
        <v>BARCO PUMP</v>
      </c>
    </row>
    <row r="3786" spans="1:9" x14ac:dyDescent="0.25">
      <c r="A3786" s="6">
        <v>43278</v>
      </c>
      <c r="B3786" t="s">
        <v>26</v>
      </c>
      <c r="C3786">
        <v>58019</v>
      </c>
      <c r="D3786" t="s">
        <v>430</v>
      </c>
      <c r="E3786" s="7">
        <v>420</v>
      </c>
      <c r="F3786" t="s">
        <v>20</v>
      </c>
      <c r="G3786" t="s">
        <v>21</v>
      </c>
      <c r="H3786" t="str">
        <f>"FF SEC 2018"</f>
        <v>FF SEC 2018</v>
      </c>
      <c r="I3786" t="str">
        <f>"GILBERT RODRIGUEZ"</f>
        <v>GILBERT RODRIGUEZ</v>
      </c>
    </row>
    <row r="3787" spans="1:9" x14ac:dyDescent="0.25">
      <c r="A3787" s="6">
        <v>43278</v>
      </c>
      <c r="B3787" t="s">
        <v>26</v>
      </c>
      <c r="C3787">
        <v>58020</v>
      </c>
      <c r="D3787" t="s">
        <v>31</v>
      </c>
      <c r="E3787" s="7">
        <v>2000</v>
      </c>
      <c r="F3787" t="s">
        <v>20</v>
      </c>
      <c r="G3787" t="s">
        <v>21</v>
      </c>
      <c r="H3787" t="str">
        <f>"2018195"</f>
        <v>2018195</v>
      </c>
      <c r="I3787" t="str">
        <f>"THE LAW OFFICE OF TOM CALDWELL"</f>
        <v>THE LAW OFFICE OF TOM CALDWELL</v>
      </c>
    </row>
    <row r="3788" spans="1:9" x14ac:dyDescent="0.25">
      <c r="A3788" s="6">
        <v>43278</v>
      </c>
      <c r="B3788" t="s">
        <v>26</v>
      </c>
      <c r="C3788">
        <v>58021</v>
      </c>
      <c r="D3788" t="s">
        <v>81</v>
      </c>
      <c r="E3788" s="7">
        <v>6000</v>
      </c>
      <c r="F3788" t="s">
        <v>20</v>
      </c>
      <c r="G3788" t="s">
        <v>21</v>
      </c>
      <c r="H3788" t="str">
        <f>"FREEDOM FEST 18"</f>
        <v>FREEDOM FEST 18</v>
      </c>
      <c r="I3788" t="str">
        <f>"CITY OF FLORESVILLE -PETTY CAS"</f>
        <v>CITY OF FLORESVILLE -PETTY CAS</v>
      </c>
    </row>
    <row r="3789" spans="1:9" x14ac:dyDescent="0.25">
      <c r="A3789" s="6">
        <v>43278</v>
      </c>
      <c r="B3789" t="s">
        <v>26</v>
      </c>
      <c r="C3789">
        <v>58022</v>
      </c>
      <c r="D3789" t="s">
        <v>32</v>
      </c>
      <c r="E3789" s="7">
        <v>62.5</v>
      </c>
      <c r="F3789" t="s">
        <v>20</v>
      </c>
      <c r="G3789" t="s">
        <v>21</v>
      </c>
      <c r="H3789" t="str">
        <f>"6/23/18"</f>
        <v>6/23/18</v>
      </c>
      <c r="I3789" t="str">
        <f>"SHARON KERRIGAN"</f>
        <v>SHARON KERRIGAN</v>
      </c>
    </row>
    <row r="3790" spans="1:9" x14ac:dyDescent="0.25">
      <c r="A3790" s="6">
        <v>43278</v>
      </c>
      <c r="B3790" t="s">
        <v>26</v>
      </c>
      <c r="C3790">
        <v>58023</v>
      </c>
      <c r="D3790" t="s">
        <v>33</v>
      </c>
      <c r="E3790" s="7">
        <v>62.5</v>
      </c>
      <c r="F3790" t="s">
        <v>20</v>
      </c>
      <c r="G3790" t="s">
        <v>21</v>
      </c>
      <c r="H3790" t="str">
        <f>"6/23/18"</f>
        <v>6/23/18</v>
      </c>
      <c r="I3790" t="str">
        <f>"DEBORAH KORCZYK"</f>
        <v>DEBORAH KORCZYK</v>
      </c>
    </row>
    <row r="3791" spans="1:9" x14ac:dyDescent="0.25">
      <c r="A3791" s="6">
        <v>43278</v>
      </c>
      <c r="B3791" t="s">
        <v>26</v>
      </c>
      <c r="C3791">
        <v>58024</v>
      </c>
      <c r="D3791" t="s">
        <v>192</v>
      </c>
      <c r="E3791" s="7">
        <v>2409.62</v>
      </c>
      <c r="F3791" t="s">
        <v>20</v>
      </c>
      <c r="G3791" t="s">
        <v>21</v>
      </c>
      <c r="H3791" t="str">
        <f>"59244577"</f>
        <v>59244577</v>
      </c>
      <c r="I3791" t="str">
        <f>"DE LAGE LANDEN PUBLIC FINANCE"</f>
        <v>DE LAGE LANDEN PUBLIC FINANCE</v>
      </c>
    </row>
    <row r="3792" spans="1:9" x14ac:dyDescent="0.25">
      <c r="E3792" s="7"/>
      <c r="F3792" t="s">
        <v>20</v>
      </c>
      <c r="G3792" t="s">
        <v>21</v>
      </c>
      <c r="H3792" t="str">
        <f>"59244585"</f>
        <v>59244585</v>
      </c>
      <c r="I3792" t="str">
        <f>"DE LAGE LANDEN PUBLIC FINANCE"</f>
        <v>DE LAGE LANDEN PUBLIC FINANCE</v>
      </c>
    </row>
    <row r="3793" spans="1:9" x14ac:dyDescent="0.25">
      <c r="E3793" s="7"/>
      <c r="F3793" t="s">
        <v>20</v>
      </c>
      <c r="G3793" t="s">
        <v>21</v>
      </c>
      <c r="H3793" t="str">
        <f>"59244596"</f>
        <v>59244596</v>
      </c>
      <c r="I3793" t="str">
        <f>"DE LAGE LANDEN PUBLIC FINANCE"</f>
        <v>DE LAGE LANDEN PUBLIC FINANCE</v>
      </c>
    </row>
    <row r="3794" spans="1:9" x14ac:dyDescent="0.25">
      <c r="A3794" s="6">
        <v>43278</v>
      </c>
      <c r="B3794" t="s">
        <v>26</v>
      </c>
      <c r="C3794">
        <v>58026</v>
      </c>
      <c r="D3794" t="s">
        <v>158</v>
      </c>
      <c r="E3794" s="7">
        <v>550</v>
      </c>
      <c r="F3794" t="s">
        <v>20</v>
      </c>
      <c r="G3794" t="s">
        <v>21</v>
      </c>
      <c r="H3794" t="str">
        <f>"FREEDOM FEST 18"</f>
        <v>FREEDOM FEST 18</v>
      </c>
      <c r="I3794" t="str">
        <f>"GEORGE NICKLAS SILVA"</f>
        <v>GEORGE NICKLAS SILVA</v>
      </c>
    </row>
    <row r="3795" spans="1:9" x14ac:dyDescent="0.25">
      <c r="A3795" s="6">
        <v>43278</v>
      </c>
      <c r="B3795" t="s">
        <v>26</v>
      </c>
      <c r="C3795">
        <v>58027</v>
      </c>
      <c r="D3795" t="s">
        <v>85</v>
      </c>
      <c r="E3795" s="7">
        <v>160.97999999999999</v>
      </c>
      <c r="F3795" t="s">
        <v>20</v>
      </c>
      <c r="G3795" t="s">
        <v>21</v>
      </c>
      <c r="H3795" t="str">
        <f>"201806278424"</f>
        <v>201806278424</v>
      </c>
      <c r="I3795" t="str">
        <f>"FRONTIER"</f>
        <v>FRONTIER</v>
      </c>
    </row>
    <row r="3796" spans="1:9" x14ac:dyDescent="0.25">
      <c r="E3796" s="7"/>
      <c r="F3796" t="s">
        <v>20</v>
      </c>
      <c r="G3796" t="s">
        <v>21</v>
      </c>
      <c r="H3796" t="str">
        <f>"201806278425"</f>
        <v>201806278425</v>
      </c>
      <c r="I3796" t="str">
        <f>"FRONTIER"</f>
        <v>FRONTIER</v>
      </c>
    </row>
    <row r="3797" spans="1:9" x14ac:dyDescent="0.25">
      <c r="E3797" s="7"/>
      <c r="F3797" t="s">
        <v>20</v>
      </c>
      <c r="G3797" t="s">
        <v>21</v>
      </c>
      <c r="H3797" t="str">
        <f>"201806278426"</f>
        <v>201806278426</v>
      </c>
      <c r="I3797" t="str">
        <f>"FRONTIER"</f>
        <v>FRONTIER</v>
      </c>
    </row>
    <row r="3798" spans="1:9" x14ac:dyDescent="0.25">
      <c r="E3798" s="7"/>
      <c r="F3798" t="s">
        <v>20</v>
      </c>
      <c r="G3798" t="s">
        <v>21</v>
      </c>
      <c r="H3798" t="str">
        <f>"201806278427"</f>
        <v>201806278427</v>
      </c>
      <c r="I3798" t="str">
        <f>"FRONTIER"</f>
        <v>FRONTIER</v>
      </c>
    </row>
    <row r="3799" spans="1:9" x14ac:dyDescent="0.25">
      <c r="A3799" s="6">
        <v>43278</v>
      </c>
      <c r="B3799" t="s">
        <v>91</v>
      </c>
      <c r="C3799">
        <v>58028</v>
      </c>
      <c r="D3799" t="s">
        <v>294</v>
      </c>
      <c r="E3799" s="7">
        <v>2500</v>
      </c>
      <c r="F3799" t="s">
        <v>20</v>
      </c>
      <c r="G3799" t="s">
        <v>21</v>
      </c>
      <c r="H3799" t="str">
        <f>"FREEDOM FEST 18"</f>
        <v>FREEDOM FEST 18</v>
      </c>
      <c r="I3799" t="str">
        <f>"DAVID FARIAS"</f>
        <v>DAVID FARIAS</v>
      </c>
    </row>
    <row r="3800" spans="1:9" x14ac:dyDescent="0.25">
      <c r="A3800" s="6">
        <v>43278</v>
      </c>
      <c r="B3800" t="s">
        <v>91</v>
      </c>
      <c r="C3800">
        <v>58028</v>
      </c>
      <c r="D3800" t="s">
        <v>294</v>
      </c>
      <c r="E3800" s="7">
        <v>2500</v>
      </c>
      <c r="F3800" t="s">
        <v>20</v>
      </c>
      <c r="G3800" t="s">
        <v>93</v>
      </c>
      <c r="H3800" t="str">
        <f>"CHECK"</f>
        <v>CHECK</v>
      </c>
      <c r="I3800" t="str">
        <f>""</f>
        <v/>
      </c>
    </row>
    <row r="3801" spans="1:9" x14ac:dyDescent="0.25">
      <c r="A3801" s="6">
        <v>43278</v>
      </c>
      <c r="B3801" t="s">
        <v>26</v>
      </c>
      <c r="C3801">
        <v>58029</v>
      </c>
      <c r="D3801" t="s">
        <v>312</v>
      </c>
      <c r="E3801" s="7">
        <v>342.36</v>
      </c>
      <c r="F3801" t="s">
        <v>20</v>
      </c>
      <c r="G3801" t="s">
        <v>21</v>
      </c>
      <c r="H3801" t="str">
        <f>"18-998"</f>
        <v>18-998</v>
      </c>
      <c r="I3801" t="str">
        <f>"FULLER'S ALAMO SAFE AND LOCK"</f>
        <v>FULLER'S ALAMO SAFE AND LOCK</v>
      </c>
    </row>
    <row r="3802" spans="1:9" x14ac:dyDescent="0.25">
      <c r="A3802" s="6">
        <v>43278</v>
      </c>
      <c r="B3802" t="s">
        <v>26</v>
      </c>
      <c r="C3802">
        <v>58030</v>
      </c>
      <c r="D3802" t="s">
        <v>336</v>
      </c>
      <c r="E3802" s="7">
        <v>630</v>
      </c>
      <c r="F3802" t="s">
        <v>20</v>
      </c>
      <c r="G3802" t="s">
        <v>21</v>
      </c>
      <c r="H3802" t="str">
        <f>"FF SEC 2018"</f>
        <v>FF SEC 2018</v>
      </c>
      <c r="I3802" t="str">
        <f>"BILLY HERRERA"</f>
        <v>BILLY HERRERA</v>
      </c>
    </row>
    <row r="3803" spans="1:9" x14ac:dyDescent="0.25">
      <c r="A3803" s="6">
        <v>43278</v>
      </c>
      <c r="B3803" t="s">
        <v>26</v>
      </c>
      <c r="C3803">
        <v>58031</v>
      </c>
      <c r="D3803" t="s">
        <v>176</v>
      </c>
      <c r="E3803" s="7">
        <v>232385.97</v>
      </c>
      <c r="F3803" t="s">
        <v>20</v>
      </c>
      <c r="G3803" t="s">
        <v>21</v>
      </c>
      <c r="H3803" t="str">
        <f>"PAY APP#18"</f>
        <v>PAY APP#18</v>
      </c>
      <c r="I3803" t="str">
        <f>"PEPPER-LAWSON WATERWORKS"</f>
        <v>PEPPER-LAWSON WATERWORKS</v>
      </c>
    </row>
    <row r="3804" spans="1:9" x14ac:dyDescent="0.25">
      <c r="A3804" s="6">
        <v>43278</v>
      </c>
      <c r="B3804" t="s">
        <v>26</v>
      </c>
      <c r="C3804">
        <v>58032</v>
      </c>
      <c r="D3804" t="s">
        <v>440</v>
      </c>
      <c r="E3804" s="7">
        <v>200</v>
      </c>
      <c r="F3804" t="s">
        <v>20</v>
      </c>
      <c r="G3804" t="s">
        <v>21</v>
      </c>
      <c r="H3804" t="str">
        <f>"PLAZA WELL PERMIT"</f>
        <v>PLAZA WELL PERMIT</v>
      </c>
      <c r="I3804" t="str">
        <f>"EVERGREEN UNDERGROUND WATER CO"</f>
        <v>EVERGREEN UNDERGROUND WATER CO</v>
      </c>
    </row>
    <row r="3805" spans="1:9" x14ac:dyDescent="0.25">
      <c r="A3805" s="6">
        <v>43278</v>
      </c>
      <c r="B3805" t="s">
        <v>26</v>
      </c>
      <c r="C3805">
        <v>58033</v>
      </c>
      <c r="D3805" t="s">
        <v>345</v>
      </c>
      <c r="E3805" s="7">
        <v>280.5</v>
      </c>
      <c r="F3805" t="s">
        <v>20</v>
      </c>
      <c r="G3805" t="s">
        <v>21</v>
      </c>
      <c r="H3805" t="str">
        <f>"6/18-6/22"</f>
        <v>6/18-6/22</v>
      </c>
      <c r="I3805" t="str">
        <f>"MICHAEL ISAAC MARTINEZ"</f>
        <v>MICHAEL ISAAC MARTINEZ</v>
      </c>
    </row>
    <row r="3806" spans="1:9" x14ac:dyDescent="0.25">
      <c r="A3806" s="6">
        <v>43278</v>
      </c>
      <c r="B3806" t="s">
        <v>26</v>
      </c>
      <c r="C3806">
        <v>58034</v>
      </c>
      <c r="D3806" t="s">
        <v>441</v>
      </c>
      <c r="E3806" s="7">
        <v>1914.68</v>
      </c>
      <c r="F3806" t="s">
        <v>20</v>
      </c>
      <c r="G3806" t="s">
        <v>21</v>
      </c>
      <c r="H3806" t="str">
        <f>"FREEDOM FEST 18"</f>
        <v>FREEDOM FEST 18</v>
      </c>
      <c r="I3806" t="str">
        <f>"NATIONAL CONSTRUCTION RENTALS"</f>
        <v>NATIONAL CONSTRUCTION RENTALS</v>
      </c>
    </row>
    <row r="3807" spans="1:9" x14ac:dyDescent="0.25">
      <c r="A3807" s="6">
        <v>43278</v>
      </c>
      <c r="B3807" t="s">
        <v>26</v>
      </c>
      <c r="C3807">
        <v>58035</v>
      </c>
      <c r="D3807" t="s">
        <v>134</v>
      </c>
      <c r="E3807" s="7">
        <v>1357.51</v>
      </c>
      <c r="F3807" t="s">
        <v>20</v>
      </c>
      <c r="G3807" t="s">
        <v>21</v>
      </c>
      <c r="H3807" t="str">
        <f>"2017-118.09"</f>
        <v>2017-118.09</v>
      </c>
      <c r="I3807" t="str">
        <f>"MOODY ENGINEERING GROUP INC."</f>
        <v>MOODY ENGINEERING GROUP INC.</v>
      </c>
    </row>
    <row r="3808" spans="1:9" x14ac:dyDescent="0.25">
      <c r="A3808" s="6">
        <v>43278</v>
      </c>
      <c r="B3808" t="s">
        <v>91</v>
      </c>
      <c r="C3808">
        <v>58036</v>
      </c>
      <c r="D3808" t="s">
        <v>295</v>
      </c>
      <c r="E3808" s="7">
        <v>2000</v>
      </c>
      <c r="F3808" t="s">
        <v>20</v>
      </c>
      <c r="G3808" t="s">
        <v>21</v>
      </c>
      <c r="H3808" t="str">
        <f>"FREEDOM FEST 18"</f>
        <v>FREEDOM FEST 18</v>
      </c>
      <c r="I3808" t="str">
        <f>"VINCENT SERNA JR"</f>
        <v>VINCENT SERNA JR</v>
      </c>
    </row>
    <row r="3809" spans="1:9" x14ac:dyDescent="0.25">
      <c r="A3809" s="6">
        <v>43278</v>
      </c>
      <c r="B3809" t="s">
        <v>91</v>
      </c>
      <c r="C3809">
        <v>58036</v>
      </c>
      <c r="D3809" t="s">
        <v>295</v>
      </c>
      <c r="E3809" s="7">
        <v>2000</v>
      </c>
      <c r="F3809" t="s">
        <v>20</v>
      </c>
      <c r="G3809" t="s">
        <v>93</v>
      </c>
      <c r="H3809" t="str">
        <f>"CHECK"</f>
        <v>CHECK</v>
      </c>
      <c r="I3809" t="str">
        <f>""</f>
        <v/>
      </c>
    </row>
    <row r="3810" spans="1:9" x14ac:dyDescent="0.25">
      <c r="A3810" s="6">
        <v>43278</v>
      </c>
      <c r="B3810" t="s">
        <v>91</v>
      </c>
      <c r="C3810">
        <v>58037</v>
      </c>
      <c r="D3810" t="s">
        <v>296</v>
      </c>
      <c r="E3810" s="7">
        <v>2000</v>
      </c>
      <c r="F3810" t="s">
        <v>20</v>
      </c>
      <c r="G3810" t="s">
        <v>21</v>
      </c>
      <c r="H3810" t="str">
        <f>"FREEDOM FEST 18"</f>
        <v>FREEDOM FEST 18</v>
      </c>
      <c r="I3810" t="str">
        <f>"LA SOMBRA DE TONY GUERRERO"</f>
        <v>LA SOMBRA DE TONY GUERRERO</v>
      </c>
    </row>
    <row r="3811" spans="1:9" x14ac:dyDescent="0.25">
      <c r="A3811" s="6">
        <v>43278</v>
      </c>
      <c r="B3811" t="s">
        <v>91</v>
      </c>
      <c r="C3811">
        <v>58037</v>
      </c>
      <c r="D3811" t="s">
        <v>296</v>
      </c>
      <c r="E3811" s="7">
        <v>2000</v>
      </c>
      <c r="F3811" t="s">
        <v>20</v>
      </c>
      <c r="G3811" t="s">
        <v>93</v>
      </c>
      <c r="H3811" t="str">
        <f>"CHECK"</f>
        <v>CHECK</v>
      </c>
      <c r="I3811" t="str">
        <f>""</f>
        <v/>
      </c>
    </row>
    <row r="3812" spans="1:9" x14ac:dyDescent="0.25">
      <c r="A3812" s="6">
        <v>43278</v>
      </c>
      <c r="B3812" t="s">
        <v>91</v>
      </c>
      <c r="C3812">
        <v>58038</v>
      </c>
      <c r="D3812" t="s">
        <v>297</v>
      </c>
      <c r="E3812" s="7">
        <v>3250</v>
      </c>
      <c r="F3812" t="s">
        <v>20</v>
      </c>
      <c r="G3812" t="s">
        <v>21</v>
      </c>
      <c r="H3812" t="str">
        <f>"FREEDOM FEST 18"</f>
        <v>FREEDOM FEST 18</v>
      </c>
      <c r="I3812" t="str">
        <f>"TRUE GRIT TALENT AGENCY LLC"</f>
        <v>TRUE GRIT TALENT AGENCY LLC</v>
      </c>
    </row>
    <row r="3813" spans="1:9" x14ac:dyDescent="0.25">
      <c r="A3813" s="6">
        <v>43278</v>
      </c>
      <c r="B3813" t="s">
        <v>91</v>
      </c>
      <c r="C3813">
        <v>58038</v>
      </c>
      <c r="D3813" t="s">
        <v>297</v>
      </c>
      <c r="E3813" s="7">
        <v>3250</v>
      </c>
      <c r="F3813" t="s">
        <v>20</v>
      </c>
      <c r="G3813" t="s">
        <v>93</v>
      </c>
      <c r="H3813" t="str">
        <f>"CHECK"</f>
        <v>CHECK</v>
      </c>
      <c r="I3813" t="str">
        <f>""</f>
        <v/>
      </c>
    </row>
    <row r="3814" spans="1:9" x14ac:dyDescent="0.25">
      <c r="A3814" s="6">
        <v>43278</v>
      </c>
      <c r="B3814" t="s">
        <v>26</v>
      </c>
      <c r="C3814">
        <v>58039</v>
      </c>
      <c r="D3814" t="s">
        <v>334</v>
      </c>
      <c r="E3814" s="7">
        <v>1000</v>
      </c>
      <c r="F3814" t="s">
        <v>20</v>
      </c>
      <c r="G3814" t="s">
        <v>21</v>
      </c>
      <c r="H3814" t="str">
        <f>"FREEDOM FEST 18"</f>
        <v>FREEDOM FEST 18</v>
      </c>
      <c r="I3814" t="str">
        <f>"MARIO R ORTIZ"</f>
        <v>MARIO R ORTIZ</v>
      </c>
    </row>
    <row r="3815" spans="1:9" x14ac:dyDescent="0.25">
      <c r="A3815" s="6">
        <v>43278</v>
      </c>
      <c r="B3815" t="s">
        <v>26</v>
      </c>
      <c r="C3815">
        <v>58040</v>
      </c>
      <c r="D3815" t="s">
        <v>417</v>
      </c>
      <c r="E3815" s="7">
        <v>3475</v>
      </c>
      <c r="F3815" t="s">
        <v>20</v>
      </c>
      <c r="G3815" t="s">
        <v>21</v>
      </c>
      <c r="H3815" t="str">
        <f>"FINAL PAYMENT"</f>
        <v>FINAL PAYMENT</v>
      </c>
      <c r="I3815" t="str">
        <f>"REYES CUSTOM CABINETS &amp; ACCESS"</f>
        <v>REYES CUSTOM CABINETS &amp; ACCESS</v>
      </c>
    </row>
    <row r="3816" spans="1:9" x14ac:dyDescent="0.25">
      <c r="A3816" s="6">
        <v>43278</v>
      </c>
      <c r="B3816" t="s">
        <v>26</v>
      </c>
      <c r="C3816">
        <v>58041</v>
      </c>
      <c r="D3816" t="s">
        <v>427</v>
      </c>
      <c r="E3816" s="7">
        <v>62.5</v>
      </c>
      <c r="F3816" t="s">
        <v>20</v>
      </c>
      <c r="G3816" t="s">
        <v>21</v>
      </c>
      <c r="H3816" t="str">
        <f>"6/23/18"</f>
        <v>6/23/18</v>
      </c>
      <c r="I3816" t="str">
        <f>"Alexandria Rene Palacios"</f>
        <v>Alexandria Rene Palacios</v>
      </c>
    </row>
    <row r="3817" spans="1:9" x14ac:dyDescent="0.25">
      <c r="A3817" s="6">
        <v>43278</v>
      </c>
      <c r="B3817" t="s">
        <v>26</v>
      </c>
      <c r="C3817">
        <v>58042</v>
      </c>
      <c r="D3817" t="s">
        <v>442</v>
      </c>
      <c r="E3817" s="7">
        <v>4000</v>
      </c>
      <c r="F3817" t="s">
        <v>20</v>
      </c>
      <c r="G3817" t="s">
        <v>21</v>
      </c>
      <c r="H3817" t="str">
        <f>"YOLO /FREED FEST"</f>
        <v>YOLO /FREED FEST</v>
      </c>
      <c r="I3817" t="str">
        <f>"3 QUARTER MOON PRODUCTIONS  LL"</f>
        <v>3 QUARTER MOON PRODUCTIONS  LL</v>
      </c>
    </row>
    <row r="3818" spans="1:9" x14ac:dyDescent="0.25">
      <c r="A3818" s="6">
        <v>43278</v>
      </c>
      <c r="B3818" t="s">
        <v>26</v>
      </c>
      <c r="C3818">
        <v>58043</v>
      </c>
      <c r="D3818" t="s">
        <v>443</v>
      </c>
      <c r="E3818" s="7">
        <v>7900</v>
      </c>
      <c r="F3818" t="s">
        <v>20</v>
      </c>
      <c r="G3818" t="s">
        <v>21</v>
      </c>
      <c r="H3818" t="str">
        <f>"PARK"</f>
        <v>PARK</v>
      </c>
      <c r="I3818" t="str">
        <f>"FERTILIZER/WEED CONTROL"</f>
        <v>FERTILIZER/WEED CONTROL</v>
      </c>
    </row>
    <row r="3819" spans="1:9" x14ac:dyDescent="0.25">
      <c r="A3819" s="6">
        <v>43278</v>
      </c>
      <c r="B3819" t="s">
        <v>26</v>
      </c>
      <c r="C3819">
        <v>58044</v>
      </c>
      <c r="D3819" t="s">
        <v>444</v>
      </c>
      <c r="E3819" s="7">
        <v>4250</v>
      </c>
      <c r="F3819" t="s">
        <v>20</v>
      </c>
      <c r="G3819" t="s">
        <v>21</v>
      </c>
      <c r="H3819" t="str">
        <f>"FREEDOM FEST 18"</f>
        <v>FREEDOM FEST 18</v>
      </c>
      <c r="I3819" t="str">
        <f>"LA FAMILIA ENTERPRISES"</f>
        <v>LA FAMILIA ENTERPRISES</v>
      </c>
    </row>
    <row r="3820" spans="1:9" x14ac:dyDescent="0.25">
      <c r="A3820" s="6">
        <v>43278</v>
      </c>
      <c r="B3820" t="s">
        <v>26</v>
      </c>
      <c r="C3820">
        <v>58045</v>
      </c>
      <c r="D3820" t="s">
        <v>445</v>
      </c>
      <c r="E3820" s="7">
        <v>420</v>
      </c>
      <c r="F3820" t="s">
        <v>20</v>
      </c>
      <c r="G3820" t="s">
        <v>21</v>
      </c>
      <c r="H3820" t="str">
        <f>"FF SEC 2018"</f>
        <v>FF SEC 2018</v>
      </c>
      <c r="I3820" t="str">
        <f>"JASON MITCHELL"</f>
        <v>JASON MITCHELL</v>
      </c>
    </row>
    <row r="3821" spans="1:9" x14ac:dyDescent="0.25">
      <c r="A3821" s="6">
        <v>43278</v>
      </c>
      <c r="B3821" t="s">
        <v>26</v>
      </c>
      <c r="C3821">
        <v>58046</v>
      </c>
      <c r="D3821" t="s">
        <v>446</v>
      </c>
      <c r="E3821" s="7">
        <v>210</v>
      </c>
      <c r="F3821" t="s">
        <v>20</v>
      </c>
      <c r="G3821" t="s">
        <v>21</v>
      </c>
      <c r="H3821" t="str">
        <f>"FF SEC 2018"</f>
        <v>FF SEC 2018</v>
      </c>
      <c r="I3821" t="str">
        <f>"ISAIAH BARRIENTEZ"</f>
        <v>ISAIAH BARRIENTEZ</v>
      </c>
    </row>
    <row r="3822" spans="1:9" x14ac:dyDescent="0.25">
      <c r="A3822" s="6">
        <v>43278</v>
      </c>
      <c r="B3822" t="s">
        <v>26</v>
      </c>
      <c r="C3822">
        <v>58047</v>
      </c>
      <c r="D3822" t="s">
        <v>447</v>
      </c>
      <c r="E3822" s="7">
        <v>280</v>
      </c>
      <c r="F3822" t="s">
        <v>20</v>
      </c>
      <c r="G3822" t="s">
        <v>21</v>
      </c>
      <c r="H3822" t="str">
        <f>"FF SEC 2018"</f>
        <v>FF SEC 2018</v>
      </c>
      <c r="I3822" t="str">
        <f>"VICTOR FAVELLA"</f>
        <v>VICTOR FAVELLA</v>
      </c>
    </row>
    <row r="3823" spans="1:9" x14ac:dyDescent="0.25">
      <c r="A3823" s="6">
        <v>43278</v>
      </c>
      <c r="B3823" t="s">
        <v>26</v>
      </c>
      <c r="C3823">
        <v>58048</v>
      </c>
      <c r="D3823" t="s">
        <v>448</v>
      </c>
      <c r="E3823" s="7">
        <v>420</v>
      </c>
      <c r="F3823" t="s">
        <v>20</v>
      </c>
      <c r="G3823" t="s">
        <v>21</v>
      </c>
      <c r="H3823" t="str">
        <f>"FF SEC 2018"</f>
        <v>FF SEC 2018</v>
      </c>
      <c r="I3823" t="str">
        <f>"KEVIN SWINEHART"</f>
        <v>KEVIN SWINEHART</v>
      </c>
    </row>
    <row r="3824" spans="1:9" x14ac:dyDescent="0.25">
      <c r="A3824" s="6">
        <v>43278</v>
      </c>
      <c r="B3824" t="s">
        <v>26</v>
      </c>
      <c r="C3824">
        <v>58049</v>
      </c>
      <c r="D3824" t="s">
        <v>449</v>
      </c>
      <c r="E3824" s="7">
        <v>524.84</v>
      </c>
      <c r="F3824" t="s">
        <v>20</v>
      </c>
      <c r="G3824" t="s">
        <v>21</v>
      </c>
      <c r="H3824" t="str">
        <f>"31607430"</f>
        <v>31607430</v>
      </c>
      <c r="I3824" t="str">
        <f>"GOLDEN WEST PACKAGING"</f>
        <v>GOLDEN WEST PACKAGING</v>
      </c>
    </row>
    <row r="3825" spans="1:9" x14ac:dyDescent="0.25">
      <c r="E3825" s="7"/>
      <c r="F3825" t="s">
        <v>20</v>
      </c>
      <c r="G3825" t="s">
        <v>21</v>
      </c>
      <c r="H3825" t="str">
        <f>"31627855"</f>
        <v>31627855</v>
      </c>
      <c r="I3825" t="str">
        <f>"GOLDEN WEST PACKAGING"</f>
        <v>GOLDEN WEST PACKAGING</v>
      </c>
    </row>
    <row r="3826" spans="1:9" x14ac:dyDescent="0.25">
      <c r="A3826" s="6">
        <v>43278</v>
      </c>
      <c r="B3826" t="s">
        <v>26</v>
      </c>
      <c r="C3826">
        <v>58050</v>
      </c>
      <c r="D3826" t="s">
        <v>450</v>
      </c>
      <c r="E3826" s="7">
        <v>400</v>
      </c>
      <c r="F3826" t="s">
        <v>20</v>
      </c>
      <c r="G3826" t="s">
        <v>21</v>
      </c>
      <c r="H3826" t="str">
        <f>"FREEDOM FEST 18"</f>
        <v>FREEDOM FEST 18</v>
      </c>
      <c r="I3826" t="str">
        <f>"FOUR STAR ENTERTAINMENT"</f>
        <v>FOUR STAR ENTERTAINMENT</v>
      </c>
    </row>
    <row r="3827" spans="1:9" x14ac:dyDescent="0.25">
      <c r="A3827" s="6">
        <v>43283</v>
      </c>
      <c r="B3827" t="s">
        <v>26</v>
      </c>
      <c r="C3827">
        <v>58079</v>
      </c>
      <c r="D3827" t="s">
        <v>51</v>
      </c>
      <c r="E3827" s="7">
        <v>290.89999999999998</v>
      </c>
      <c r="F3827" t="s">
        <v>20</v>
      </c>
      <c r="G3827" t="s">
        <v>21</v>
      </c>
      <c r="H3827" t="str">
        <f>"CLE201807028428"</f>
        <v>CLE201807028428</v>
      </c>
      <c r="I3827" t="str">
        <f>"CLEAT ONLY DUES"</f>
        <v>CLEAT ONLY DUES</v>
      </c>
    </row>
    <row r="3828" spans="1:9" x14ac:dyDescent="0.25">
      <c r="E3828" s="7"/>
      <c r="F3828" t="s">
        <v>20</v>
      </c>
      <c r="G3828" t="s">
        <v>21</v>
      </c>
      <c r="H3828" t="str">
        <f>"PDD201807028428"</f>
        <v>PDD201807028428</v>
      </c>
      <c r="I3828" t="str">
        <f>"POLICE OFFICERS ASSOC DUES"</f>
        <v>POLICE OFFICERS ASSOC DUES</v>
      </c>
    </row>
    <row r="3829" spans="1:9" x14ac:dyDescent="0.25">
      <c r="A3829" s="6">
        <v>43283</v>
      </c>
      <c r="B3829" t="s">
        <v>26</v>
      </c>
      <c r="C3829">
        <v>58080</v>
      </c>
      <c r="D3829" t="s">
        <v>90</v>
      </c>
      <c r="E3829" s="7">
        <v>101.1</v>
      </c>
      <c r="F3829" t="s">
        <v>20</v>
      </c>
      <c r="G3829" t="s">
        <v>21</v>
      </c>
      <c r="H3829" t="str">
        <f>"AFS201807028428"</f>
        <v>AFS201807028428</v>
      </c>
      <c r="I3829" t="str">
        <f>"AFLAC STD"</f>
        <v>AFLAC STD</v>
      </c>
    </row>
    <row r="3830" spans="1:9" x14ac:dyDescent="0.25">
      <c r="A3830" s="6">
        <v>43283</v>
      </c>
      <c r="B3830" t="s">
        <v>26</v>
      </c>
      <c r="C3830">
        <v>58081</v>
      </c>
      <c r="D3830" t="s">
        <v>52</v>
      </c>
      <c r="E3830" s="7">
        <v>1331.53</v>
      </c>
      <c r="F3830" t="s">
        <v>20</v>
      </c>
      <c r="G3830" t="s">
        <v>21</v>
      </c>
      <c r="H3830" t="str">
        <f>"CPS201807028428"</f>
        <v>CPS201807028428</v>
      </c>
      <c r="I3830" t="str">
        <f>"G MENDOZA 00123012032010EM5054"</f>
        <v>G MENDOZA 00123012032010EM5054</v>
      </c>
    </row>
    <row r="3831" spans="1:9" x14ac:dyDescent="0.25">
      <c r="E3831" s="7"/>
      <c r="F3831" t="s">
        <v>20</v>
      </c>
      <c r="G3831" t="s">
        <v>21</v>
      </c>
      <c r="H3831" t="str">
        <f>"CS 201807028428"</f>
        <v>CS 201807028428</v>
      </c>
      <c r="I3831" t="str">
        <f>"CAUSE#98EM504113 PEGGY RIVAS"</f>
        <v>CAUSE#98EM504113 PEGGY RIVAS</v>
      </c>
    </row>
    <row r="3832" spans="1:9" x14ac:dyDescent="0.25">
      <c r="E3832" s="7"/>
      <c r="F3832" t="s">
        <v>20</v>
      </c>
      <c r="G3832" t="s">
        <v>21</v>
      </c>
      <c r="H3832" t="str">
        <f>"CS1201807028428"</f>
        <v>CS1201807028428</v>
      </c>
      <c r="I3832" t="str">
        <f>"CAUSE# 10008CVW DEBRA ESQUEDA"</f>
        <v>CAUSE# 10008CVW DEBRA ESQUEDA</v>
      </c>
    </row>
    <row r="3833" spans="1:9" x14ac:dyDescent="0.25">
      <c r="E3833" s="7"/>
      <c r="F3833" t="s">
        <v>20</v>
      </c>
      <c r="G3833" t="s">
        <v>21</v>
      </c>
      <c r="H3833" t="str">
        <f>"CSJ201807028428"</f>
        <v>CSJ201807028428</v>
      </c>
      <c r="I3833" t="str">
        <f>"CAUSE# 0010185272 MARIANN GUTI"</f>
        <v>CAUSE# 0010185272 MARIANN GUTI</v>
      </c>
    </row>
    <row r="3834" spans="1:9" x14ac:dyDescent="0.25">
      <c r="E3834" s="7"/>
      <c r="F3834" t="s">
        <v>20</v>
      </c>
      <c r="G3834" t="s">
        <v>21</v>
      </c>
      <c r="H3834" t="str">
        <f>"CST201807028428"</f>
        <v>CST201807028428</v>
      </c>
      <c r="I3834" t="str">
        <f>"CAUSE #0009418917 SONIA PEREZ"</f>
        <v>CAUSE #0009418917 SONIA PEREZ</v>
      </c>
    </row>
    <row r="3835" spans="1:9" x14ac:dyDescent="0.25">
      <c r="A3835" s="6">
        <v>43283</v>
      </c>
      <c r="B3835" t="s">
        <v>26</v>
      </c>
      <c r="C3835">
        <v>58082</v>
      </c>
      <c r="D3835" t="s">
        <v>53</v>
      </c>
      <c r="E3835" s="7">
        <v>99.1</v>
      </c>
      <c r="F3835" t="s">
        <v>20</v>
      </c>
      <c r="G3835" t="s">
        <v>21</v>
      </c>
      <c r="H3835" t="str">
        <f>"MCO201807028428"</f>
        <v>MCO201807028428</v>
      </c>
      <c r="I3835" t="str">
        <f>"MONICA CORDOVA"</f>
        <v>MONICA CORDOVA</v>
      </c>
    </row>
    <row r="3836" spans="1:9" x14ac:dyDescent="0.25">
      <c r="A3836" s="6">
        <v>43283</v>
      </c>
      <c r="B3836" t="s">
        <v>26</v>
      </c>
      <c r="C3836">
        <v>58083</v>
      </c>
      <c r="D3836" t="s">
        <v>54</v>
      </c>
      <c r="E3836" s="7">
        <v>1077.94</v>
      </c>
      <c r="F3836" t="s">
        <v>20</v>
      </c>
      <c r="G3836" t="s">
        <v>21</v>
      </c>
      <c r="H3836" t="str">
        <f>"457201807028428"</f>
        <v>457201807028428</v>
      </c>
      <c r="I3836" t="str">
        <f>"CASE # 180-60751 457B DEDUCT"</f>
        <v>CASE # 180-60751 457B DEDUCT</v>
      </c>
    </row>
    <row r="3837" spans="1:9" x14ac:dyDescent="0.25">
      <c r="A3837" s="6">
        <v>43283</v>
      </c>
      <c r="B3837" t="s">
        <v>26</v>
      </c>
      <c r="C3837">
        <v>58084</v>
      </c>
      <c r="D3837" t="s">
        <v>451</v>
      </c>
      <c r="E3837" s="7">
        <v>50</v>
      </c>
      <c r="F3837" t="s">
        <v>20</v>
      </c>
      <c r="G3837" t="s">
        <v>21</v>
      </c>
      <c r="H3837" t="str">
        <f>"6/30"</f>
        <v>6/30</v>
      </c>
      <c r="I3837" t="str">
        <f>"FREEDOM FEST"</f>
        <v>FREEDOM FEST</v>
      </c>
    </row>
    <row r="3838" spans="1:9" x14ac:dyDescent="0.25">
      <c r="A3838" s="6">
        <v>43283</v>
      </c>
      <c r="B3838" t="s">
        <v>26</v>
      </c>
      <c r="C3838">
        <v>58085</v>
      </c>
      <c r="D3838" t="s">
        <v>136</v>
      </c>
      <c r="E3838" s="7">
        <v>140</v>
      </c>
      <c r="F3838" t="s">
        <v>20</v>
      </c>
      <c r="G3838" t="s">
        <v>21</v>
      </c>
      <c r="H3838" t="str">
        <f>"6/29-6/30"</f>
        <v>6/29-6/30</v>
      </c>
      <c r="I3838" t="str">
        <f>"INEZ CLARICE TRINIDAD"</f>
        <v>INEZ CLARICE TRINIDAD</v>
      </c>
    </row>
    <row r="3839" spans="1:9" x14ac:dyDescent="0.25">
      <c r="A3839" s="6">
        <v>43283</v>
      </c>
      <c r="B3839" t="s">
        <v>26</v>
      </c>
      <c r="C3839">
        <v>58086</v>
      </c>
      <c r="D3839" t="s">
        <v>341</v>
      </c>
      <c r="E3839" s="7">
        <v>130</v>
      </c>
      <c r="F3839" t="s">
        <v>20</v>
      </c>
      <c r="G3839" t="s">
        <v>21</v>
      </c>
      <c r="H3839" t="str">
        <f>"6/29-6/30"</f>
        <v>6/29-6/30</v>
      </c>
      <c r="I3839" t="str">
        <f>"JUANITA MONTOYA"</f>
        <v>JUANITA MONTOYA</v>
      </c>
    </row>
    <row r="3840" spans="1:9" x14ac:dyDescent="0.25">
      <c r="A3840" s="6">
        <v>43283</v>
      </c>
      <c r="B3840" t="s">
        <v>26</v>
      </c>
      <c r="C3840">
        <v>58087</v>
      </c>
      <c r="D3840" t="s">
        <v>372</v>
      </c>
      <c r="E3840" s="7">
        <v>130</v>
      </c>
      <c r="F3840" t="s">
        <v>20</v>
      </c>
      <c r="G3840" t="s">
        <v>21</v>
      </c>
      <c r="H3840" t="str">
        <f>"6/29-6/30"</f>
        <v>6/29-6/30</v>
      </c>
      <c r="I3840" t="str">
        <f>"MICHELLE DOLBERRY"</f>
        <v>MICHELLE DOLBERRY</v>
      </c>
    </row>
    <row r="3841" spans="1:9" x14ac:dyDescent="0.25">
      <c r="A3841" s="6">
        <v>43283</v>
      </c>
      <c r="B3841" t="s">
        <v>26</v>
      </c>
      <c r="C3841">
        <v>58088</v>
      </c>
      <c r="D3841" t="s">
        <v>32</v>
      </c>
      <c r="E3841" s="7">
        <v>202.5</v>
      </c>
      <c r="F3841" t="s">
        <v>20</v>
      </c>
      <c r="G3841" t="s">
        <v>21</v>
      </c>
      <c r="H3841" t="str">
        <f>"6/29-6/30"</f>
        <v>6/29-6/30</v>
      </c>
      <c r="I3841" t="str">
        <f>"SHARON KERRIGAN"</f>
        <v>SHARON KERRIGAN</v>
      </c>
    </row>
    <row r="3842" spans="1:9" x14ac:dyDescent="0.25">
      <c r="A3842" s="6">
        <v>43283</v>
      </c>
      <c r="B3842" t="s">
        <v>26</v>
      </c>
      <c r="C3842">
        <v>58089</v>
      </c>
      <c r="D3842" t="s">
        <v>33</v>
      </c>
      <c r="E3842" s="7">
        <v>202.5</v>
      </c>
      <c r="F3842" t="s">
        <v>20</v>
      </c>
      <c r="G3842" t="s">
        <v>21</v>
      </c>
      <c r="H3842" t="str">
        <f>"6/29-6/30"</f>
        <v>6/29-6/30</v>
      </c>
      <c r="I3842" t="str">
        <f>"DEBORAH KORCZYK"</f>
        <v>DEBORAH KORCZYK</v>
      </c>
    </row>
    <row r="3843" spans="1:9" x14ac:dyDescent="0.25">
      <c r="A3843" s="6">
        <v>43283</v>
      </c>
      <c r="B3843" t="s">
        <v>26</v>
      </c>
      <c r="C3843">
        <v>58090</v>
      </c>
      <c r="D3843" t="s">
        <v>332</v>
      </c>
      <c r="E3843" s="7">
        <v>550</v>
      </c>
      <c r="F3843" t="s">
        <v>20</v>
      </c>
      <c r="G3843" t="s">
        <v>21</v>
      </c>
      <c r="H3843" t="str">
        <f>"7-2-2018"</f>
        <v>7-2-2018</v>
      </c>
      <c r="I3843" t="str">
        <f>"JESSE CASTRO"</f>
        <v>JESSE CASTRO</v>
      </c>
    </row>
    <row r="3844" spans="1:9" x14ac:dyDescent="0.25">
      <c r="A3844" s="6">
        <v>43283</v>
      </c>
      <c r="B3844" t="s">
        <v>26</v>
      </c>
      <c r="C3844">
        <v>58091</v>
      </c>
      <c r="D3844" t="s">
        <v>345</v>
      </c>
      <c r="E3844" s="7">
        <v>621.5</v>
      </c>
      <c r="F3844" t="s">
        <v>20</v>
      </c>
      <c r="G3844" t="s">
        <v>21</v>
      </c>
      <c r="H3844" t="str">
        <f>"5/25-5/30"</f>
        <v>5/25-5/30</v>
      </c>
      <c r="I3844" t="str">
        <f>"MICHAEL ISAAC MARTINEZ"</f>
        <v>MICHAEL ISAAC MARTINEZ</v>
      </c>
    </row>
    <row r="3845" spans="1:9" x14ac:dyDescent="0.25">
      <c r="A3845" s="6">
        <v>43283</v>
      </c>
      <c r="B3845" t="s">
        <v>26</v>
      </c>
      <c r="C3845">
        <v>58092</v>
      </c>
      <c r="D3845" t="s">
        <v>452</v>
      </c>
      <c r="E3845" s="7">
        <v>110</v>
      </c>
      <c r="F3845" t="s">
        <v>20</v>
      </c>
      <c r="G3845" t="s">
        <v>21</v>
      </c>
      <c r="H3845" t="str">
        <f>"6/30/18"</f>
        <v>6/30/18</v>
      </c>
      <c r="I3845" t="str">
        <f>"DESIREE PEREZ"</f>
        <v>DESIREE PEREZ</v>
      </c>
    </row>
    <row r="3846" spans="1:9" x14ac:dyDescent="0.25">
      <c r="A3846" s="6">
        <v>43283</v>
      </c>
      <c r="B3846" t="s">
        <v>26</v>
      </c>
      <c r="C3846">
        <v>58093</v>
      </c>
      <c r="D3846" t="s">
        <v>347</v>
      </c>
      <c r="E3846" s="7">
        <v>7250</v>
      </c>
      <c r="F3846" t="s">
        <v>20</v>
      </c>
      <c r="G3846" t="s">
        <v>21</v>
      </c>
      <c r="H3846" t="str">
        <f>"553690/FINAL"</f>
        <v>553690/FINAL</v>
      </c>
      <c r="I3846" t="str">
        <f>"JIMMY JOHN RAMIREZ"</f>
        <v>JIMMY JOHN RAMIREZ</v>
      </c>
    </row>
    <row r="3847" spans="1:9" x14ac:dyDescent="0.25">
      <c r="A3847" s="6">
        <v>43283</v>
      </c>
      <c r="B3847" t="s">
        <v>26</v>
      </c>
      <c r="C3847">
        <v>58094</v>
      </c>
      <c r="D3847" t="s">
        <v>427</v>
      </c>
      <c r="E3847" s="7">
        <v>170</v>
      </c>
      <c r="F3847" t="s">
        <v>20</v>
      </c>
      <c r="G3847" t="s">
        <v>21</v>
      </c>
      <c r="H3847" t="str">
        <f>"6/29-6/30"</f>
        <v>6/29-6/30</v>
      </c>
      <c r="I3847" t="str">
        <f>"Alexandria Rene Palacios"</f>
        <v>Alexandria Rene Palacios</v>
      </c>
    </row>
    <row r="3848" spans="1:9" x14ac:dyDescent="0.25">
      <c r="A3848" s="6">
        <v>43283</v>
      </c>
      <c r="B3848" t="s">
        <v>26</v>
      </c>
      <c r="C3848">
        <v>58095</v>
      </c>
      <c r="D3848" t="s">
        <v>450</v>
      </c>
      <c r="E3848" s="7">
        <v>500</v>
      </c>
      <c r="F3848" t="s">
        <v>20</v>
      </c>
      <c r="G3848" t="s">
        <v>21</v>
      </c>
      <c r="H3848" t="str">
        <f>"06272018"</f>
        <v>06272018</v>
      </c>
      <c r="I3848" t="str">
        <f>"FOUR STAR ENTERTAINMENT"</f>
        <v>FOUR STAR ENTERTAINMENT</v>
      </c>
    </row>
    <row r="3849" spans="1:9" x14ac:dyDescent="0.25">
      <c r="A3849" s="6">
        <v>43283</v>
      </c>
      <c r="B3849" t="s">
        <v>26</v>
      </c>
      <c r="C3849">
        <v>58096</v>
      </c>
      <c r="D3849" t="s">
        <v>453</v>
      </c>
      <c r="E3849" s="7">
        <v>110</v>
      </c>
      <c r="F3849" t="s">
        <v>20</v>
      </c>
      <c r="G3849" t="s">
        <v>21</v>
      </c>
      <c r="H3849" t="str">
        <f>"6/30/18"</f>
        <v>6/30/18</v>
      </c>
      <c r="I3849" t="str">
        <f>"LARRY HERNANDEZ"</f>
        <v>LARRY HERNANDEZ</v>
      </c>
    </row>
    <row r="3850" spans="1:9" x14ac:dyDescent="0.25">
      <c r="A3850" s="6">
        <v>43283</v>
      </c>
      <c r="B3850" t="s">
        <v>26</v>
      </c>
      <c r="C3850">
        <v>58097</v>
      </c>
      <c r="D3850" t="s">
        <v>454</v>
      </c>
      <c r="E3850" s="7">
        <v>100</v>
      </c>
      <c r="F3850" t="s">
        <v>20</v>
      </c>
      <c r="G3850" t="s">
        <v>21</v>
      </c>
      <c r="H3850" t="str">
        <f>"6/30"</f>
        <v>6/30</v>
      </c>
      <c r="I3850" t="str">
        <f>"IRIS VANESSA BARRERA"</f>
        <v>IRIS VANESSA BARRERA</v>
      </c>
    </row>
    <row r="3851" spans="1:9" x14ac:dyDescent="0.25">
      <c r="A3851" s="6">
        <v>43283</v>
      </c>
      <c r="B3851" t="s">
        <v>26</v>
      </c>
      <c r="C3851">
        <v>58098</v>
      </c>
      <c r="D3851" t="s">
        <v>455</v>
      </c>
      <c r="E3851" s="7">
        <v>100</v>
      </c>
      <c r="F3851" t="s">
        <v>20</v>
      </c>
      <c r="G3851" t="s">
        <v>21</v>
      </c>
      <c r="H3851" t="str">
        <f>"6/30/18"</f>
        <v>6/30/18</v>
      </c>
      <c r="I3851" t="str">
        <f>"GABRIELLE BARRERA"</f>
        <v>GABRIELLE BARRERA</v>
      </c>
    </row>
    <row r="3852" spans="1:9" x14ac:dyDescent="0.25">
      <c r="A3852" s="6">
        <v>43283</v>
      </c>
      <c r="B3852" t="s">
        <v>26</v>
      </c>
      <c r="C3852">
        <v>58099</v>
      </c>
      <c r="D3852" t="s">
        <v>456</v>
      </c>
      <c r="E3852" s="7">
        <v>100</v>
      </c>
      <c r="F3852" t="s">
        <v>20</v>
      </c>
      <c r="G3852" t="s">
        <v>21</v>
      </c>
      <c r="H3852" t="str">
        <f>"6/30/18"</f>
        <v>6/30/18</v>
      </c>
      <c r="I3852" t="str">
        <f>"JEREMY L PEREZ"</f>
        <v>JEREMY L PEREZ</v>
      </c>
    </row>
    <row r="3853" spans="1:9" x14ac:dyDescent="0.25">
      <c r="A3853" s="6">
        <v>43283</v>
      </c>
      <c r="B3853" t="s">
        <v>26</v>
      </c>
      <c r="C3853">
        <v>58100</v>
      </c>
      <c r="D3853" t="s">
        <v>457</v>
      </c>
      <c r="E3853" s="7">
        <v>160</v>
      </c>
      <c r="F3853" t="s">
        <v>20</v>
      </c>
      <c r="G3853" t="s">
        <v>21</v>
      </c>
      <c r="H3853" t="str">
        <f>"6/30/18"</f>
        <v>6/30/18</v>
      </c>
      <c r="I3853" t="str">
        <f>"MELISSA SENDEJO"</f>
        <v>MELISSA SENDEJO</v>
      </c>
    </row>
    <row r="3854" spans="1:9" x14ac:dyDescent="0.25">
      <c r="A3854" s="6">
        <v>43283</v>
      </c>
      <c r="B3854" t="s">
        <v>26</v>
      </c>
      <c r="C3854">
        <v>58101</v>
      </c>
      <c r="D3854" t="s">
        <v>458</v>
      </c>
      <c r="E3854" s="7">
        <v>100</v>
      </c>
      <c r="F3854" t="s">
        <v>20</v>
      </c>
      <c r="G3854" t="s">
        <v>21</v>
      </c>
      <c r="H3854" t="str">
        <f>"6/29-6/30"</f>
        <v>6/29-6/30</v>
      </c>
      <c r="I3854" t="str">
        <f>"CARMEN R. SALDANA"</f>
        <v>CARMEN R. SALDANA</v>
      </c>
    </row>
    <row r="3855" spans="1:9" x14ac:dyDescent="0.25">
      <c r="A3855" s="6">
        <v>43283</v>
      </c>
      <c r="B3855" t="s">
        <v>26</v>
      </c>
      <c r="C3855">
        <v>58102</v>
      </c>
      <c r="D3855" t="s">
        <v>459</v>
      </c>
      <c r="E3855" s="7">
        <v>160</v>
      </c>
      <c r="F3855" t="s">
        <v>20</v>
      </c>
      <c r="G3855" t="s">
        <v>21</v>
      </c>
      <c r="H3855" t="str">
        <f>"6/29-6/30"</f>
        <v>6/29-6/30</v>
      </c>
      <c r="I3855" t="str">
        <f>"KRISTIE GONZALES"</f>
        <v>KRISTIE GONZALES</v>
      </c>
    </row>
    <row r="3856" spans="1:9" x14ac:dyDescent="0.25">
      <c r="A3856" s="6">
        <v>43283</v>
      </c>
      <c r="B3856" t="s">
        <v>26</v>
      </c>
      <c r="C3856">
        <v>58103</v>
      </c>
      <c r="D3856" t="s">
        <v>460</v>
      </c>
      <c r="E3856" s="7">
        <v>60</v>
      </c>
      <c r="F3856" t="s">
        <v>20</v>
      </c>
      <c r="G3856" t="s">
        <v>21</v>
      </c>
      <c r="H3856" t="str">
        <f>"6/30/18"</f>
        <v>6/30/18</v>
      </c>
      <c r="I3856" t="str">
        <f>"BARBARA ANN CANTU"</f>
        <v>BARBARA ANN CANTU</v>
      </c>
    </row>
    <row r="3857" spans="1:9" x14ac:dyDescent="0.25">
      <c r="A3857" s="6">
        <v>43283</v>
      </c>
      <c r="B3857" t="s">
        <v>26</v>
      </c>
      <c r="C3857">
        <v>58104</v>
      </c>
      <c r="D3857" t="s">
        <v>461</v>
      </c>
      <c r="E3857" s="7">
        <v>105</v>
      </c>
      <c r="F3857" t="s">
        <v>20</v>
      </c>
      <c r="G3857" t="s">
        <v>21</v>
      </c>
      <c r="H3857" t="str">
        <f>"6/29-6/30"</f>
        <v>6/29-6/30</v>
      </c>
      <c r="I3857" t="str">
        <f>"CHRISTOPHER MICHAEL PEREZ"</f>
        <v>CHRISTOPHER MICHAEL PEREZ</v>
      </c>
    </row>
    <row r="3858" spans="1:9" x14ac:dyDescent="0.25">
      <c r="A3858" s="6">
        <v>43283</v>
      </c>
      <c r="B3858" t="s">
        <v>26</v>
      </c>
      <c r="C3858">
        <v>58105</v>
      </c>
      <c r="D3858" t="s">
        <v>462</v>
      </c>
      <c r="E3858" s="7">
        <v>140</v>
      </c>
      <c r="F3858" t="s">
        <v>20</v>
      </c>
      <c r="G3858" t="s">
        <v>21</v>
      </c>
      <c r="H3858" t="str">
        <f>"6/29-6/30"</f>
        <v>6/29-6/30</v>
      </c>
      <c r="I3858" t="str">
        <f>"BETTY VALADEZ"</f>
        <v>BETTY VALADEZ</v>
      </c>
    </row>
    <row r="3859" spans="1:9" x14ac:dyDescent="0.25">
      <c r="A3859" s="6">
        <v>43283</v>
      </c>
      <c r="B3859" t="s">
        <v>26</v>
      </c>
      <c r="C3859">
        <v>58106</v>
      </c>
      <c r="D3859" t="s">
        <v>463</v>
      </c>
      <c r="E3859" s="7">
        <v>140</v>
      </c>
      <c r="F3859" t="s">
        <v>20</v>
      </c>
      <c r="G3859" t="s">
        <v>21</v>
      </c>
      <c r="H3859" t="str">
        <f>"6/29-6/30"</f>
        <v>6/29-6/30</v>
      </c>
      <c r="I3859" t="str">
        <f>"THOMAS TRAVIESO"</f>
        <v>THOMAS TRAVIESO</v>
      </c>
    </row>
    <row r="3860" spans="1:9" x14ac:dyDescent="0.25">
      <c r="A3860" s="6">
        <v>43283</v>
      </c>
      <c r="B3860" t="s">
        <v>26</v>
      </c>
      <c r="C3860">
        <v>58107</v>
      </c>
      <c r="D3860" t="s">
        <v>464</v>
      </c>
      <c r="E3860" s="7">
        <v>45</v>
      </c>
      <c r="F3860" t="s">
        <v>20</v>
      </c>
      <c r="G3860" t="s">
        <v>21</v>
      </c>
      <c r="H3860" t="str">
        <f>"6/30/18"</f>
        <v>6/30/18</v>
      </c>
      <c r="I3860" t="str">
        <f>"LAUREL SOUTHERN"</f>
        <v>LAUREL SOUTHERN</v>
      </c>
    </row>
    <row r="3861" spans="1:9" x14ac:dyDescent="0.25">
      <c r="A3861" s="6">
        <v>43283</v>
      </c>
      <c r="B3861" t="s">
        <v>26</v>
      </c>
      <c r="C3861">
        <v>58108</v>
      </c>
      <c r="D3861" t="s">
        <v>465</v>
      </c>
      <c r="E3861" s="7">
        <v>105</v>
      </c>
      <c r="F3861" t="s">
        <v>20</v>
      </c>
      <c r="G3861" t="s">
        <v>21</v>
      </c>
      <c r="H3861" t="str">
        <f>"6/30"</f>
        <v>6/30</v>
      </c>
      <c r="I3861" t="str">
        <f>"ALEXIS RIOJAS"</f>
        <v>ALEXIS RIOJAS</v>
      </c>
    </row>
    <row r="3862" spans="1:9" x14ac:dyDescent="0.25">
      <c r="A3862" s="6">
        <v>43283</v>
      </c>
      <c r="B3862" t="s">
        <v>26</v>
      </c>
      <c r="C3862">
        <v>58109</v>
      </c>
      <c r="D3862" t="s">
        <v>466</v>
      </c>
      <c r="E3862" s="7">
        <v>105</v>
      </c>
      <c r="F3862" t="s">
        <v>20</v>
      </c>
      <c r="G3862" t="s">
        <v>21</v>
      </c>
      <c r="H3862" t="str">
        <f>"6/30/18"</f>
        <v>6/30/18</v>
      </c>
      <c r="I3862" t="str">
        <f>"CECELIA CASTILLO"</f>
        <v>CECELIA CASTILLO</v>
      </c>
    </row>
    <row r="3863" spans="1:9" x14ac:dyDescent="0.25">
      <c r="A3863" s="6">
        <v>43283</v>
      </c>
      <c r="B3863" t="s">
        <v>26</v>
      </c>
      <c r="C3863">
        <v>58110</v>
      </c>
      <c r="D3863" t="s">
        <v>467</v>
      </c>
      <c r="E3863" s="7">
        <v>875</v>
      </c>
      <c r="F3863" t="s">
        <v>20</v>
      </c>
      <c r="G3863" t="s">
        <v>21</v>
      </c>
      <c r="H3863" t="str">
        <f>"7-2-2018"</f>
        <v>7-2-2018</v>
      </c>
      <c r="I3863" t="str">
        <f>"AARON RIOS"</f>
        <v>AARON RIOS</v>
      </c>
    </row>
    <row r="3864" spans="1:9" x14ac:dyDescent="0.25">
      <c r="A3864" s="6">
        <v>43283</v>
      </c>
      <c r="B3864" t="s">
        <v>26</v>
      </c>
      <c r="C3864">
        <v>58111</v>
      </c>
      <c r="D3864" t="s">
        <v>468</v>
      </c>
      <c r="E3864" s="7">
        <v>5000</v>
      </c>
      <c r="F3864" t="s">
        <v>20</v>
      </c>
      <c r="G3864" t="s">
        <v>21</v>
      </c>
      <c r="H3864" t="str">
        <f>"MARIACHI EXTRAV"</f>
        <v>MARIACHI EXTRAV</v>
      </c>
      <c r="I3864" t="str">
        <f>"MPR"</f>
        <v>MPR</v>
      </c>
    </row>
    <row r="3865" spans="1:9" x14ac:dyDescent="0.25">
      <c r="A3865" s="6">
        <v>43291</v>
      </c>
      <c r="B3865" t="s">
        <v>26</v>
      </c>
      <c r="C3865">
        <v>58112</v>
      </c>
      <c r="D3865" t="s">
        <v>469</v>
      </c>
      <c r="E3865" s="7">
        <v>105</v>
      </c>
      <c r="F3865" t="s">
        <v>20</v>
      </c>
      <c r="G3865" t="s">
        <v>21</v>
      </c>
      <c r="H3865" t="str">
        <f>"MARIACHI EVENT"</f>
        <v>MARIACHI EVENT</v>
      </c>
      <c r="I3865" t="str">
        <f>"LORENZO HERRERA"</f>
        <v>LORENZO HERRERA</v>
      </c>
    </row>
    <row r="3866" spans="1:9" x14ac:dyDescent="0.25">
      <c r="A3866" s="6">
        <v>43291</v>
      </c>
      <c r="B3866" t="s">
        <v>26</v>
      </c>
      <c r="C3866">
        <v>58113</v>
      </c>
      <c r="D3866" t="s">
        <v>156</v>
      </c>
      <c r="E3866" s="7">
        <v>898.5</v>
      </c>
      <c r="F3866" t="s">
        <v>20</v>
      </c>
      <c r="G3866" t="s">
        <v>21</v>
      </c>
      <c r="H3866" t="str">
        <f>"7/9/18"</f>
        <v>7/9/18</v>
      </c>
      <c r="I3866" t="str">
        <f>"GLI DISTRIBUTING"</f>
        <v>GLI DISTRIBUTING</v>
      </c>
    </row>
    <row r="3867" spans="1:9" x14ac:dyDescent="0.25">
      <c r="A3867" s="6">
        <v>43291</v>
      </c>
      <c r="B3867" t="s">
        <v>26</v>
      </c>
      <c r="C3867">
        <v>58114</v>
      </c>
      <c r="D3867" t="s">
        <v>372</v>
      </c>
      <c r="E3867" s="7">
        <v>45</v>
      </c>
      <c r="F3867" t="s">
        <v>20</v>
      </c>
      <c r="G3867" t="s">
        <v>21</v>
      </c>
      <c r="H3867" t="str">
        <f>"7/8/18"</f>
        <v>7/8/18</v>
      </c>
      <c r="I3867" t="str">
        <f>"MICHELLE DOLBERRY"</f>
        <v>MICHELLE DOLBERRY</v>
      </c>
    </row>
    <row r="3868" spans="1:9" x14ac:dyDescent="0.25">
      <c r="A3868" s="6">
        <v>43291</v>
      </c>
      <c r="B3868" t="s">
        <v>26</v>
      </c>
      <c r="C3868">
        <v>58115</v>
      </c>
      <c r="D3868" t="s">
        <v>344</v>
      </c>
      <c r="E3868" s="7">
        <v>40</v>
      </c>
      <c r="F3868" t="s">
        <v>20</v>
      </c>
      <c r="G3868" t="s">
        <v>21</v>
      </c>
      <c r="H3868" t="str">
        <f>"7/8/18"</f>
        <v>7/8/18</v>
      </c>
      <c r="I3868" t="str">
        <f>"ALLISON RENAE LOPEZ"</f>
        <v>ALLISON RENAE LOPEZ</v>
      </c>
    </row>
    <row r="3869" spans="1:9" x14ac:dyDescent="0.25">
      <c r="A3869" s="6">
        <v>43291</v>
      </c>
      <c r="B3869" t="s">
        <v>26</v>
      </c>
      <c r="C3869">
        <v>58116</v>
      </c>
      <c r="D3869" t="s">
        <v>345</v>
      </c>
      <c r="E3869" s="7">
        <v>407</v>
      </c>
      <c r="F3869" t="s">
        <v>20</v>
      </c>
      <c r="G3869" t="s">
        <v>21</v>
      </c>
      <c r="H3869" t="str">
        <f>"7/2-7/7"</f>
        <v>7/2-7/7</v>
      </c>
      <c r="I3869" t="str">
        <f>"MICHAEL ISAAC MARTINEZ"</f>
        <v>MICHAEL ISAAC MARTINEZ</v>
      </c>
    </row>
    <row r="3870" spans="1:9" x14ac:dyDescent="0.25">
      <c r="A3870" s="6">
        <v>43291</v>
      </c>
      <c r="B3870" t="s">
        <v>26</v>
      </c>
      <c r="C3870">
        <v>58117</v>
      </c>
      <c r="D3870" t="s">
        <v>448</v>
      </c>
      <c r="E3870" s="7">
        <v>105</v>
      </c>
      <c r="F3870" t="s">
        <v>20</v>
      </c>
      <c r="G3870" t="s">
        <v>21</v>
      </c>
      <c r="H3870" t="str">
        <f>"MARIACHI EVENT"</f>
        <v>MARIACHI EVENT</v>
      </c>
      <c r="I3870" t="str">
        <f>"KEVIN SWINEHART"</f>
        <v>KEVIN SWINEHART</v>
      </c>
    </row>
    <row r="3871" spans="1:9" x14ac:dyDescent="0.25">
      <c r="A3871" s="6">
        <v>43291</v>
      </c>
      <c r="B3871" t="s">
        <v>26</v>
      </c>
      <c r="C3871">
        <v>58118</v>
      </c>
      <c r="D3871" t="s">
        <v>470</v>
      </c>
      <c r="E3871" s="7">
        <v>45</v>
      </c>
      <c r="F3871" t="s">
        <v>20</v>
      </c>
      <c r="G3871" t="s">
        <v>21</v>
      </c>
      <c r="H3871" t="str">
        <f>"7/8/18"</f>
        <v>7/8/18</v>
      </c>
      <c r="I3871" t="str">
        <f>"ALYSSA MONTOYA"</f>
        <v>ALYSSA MONTOYA</v>
      </c>
    </row>
    <row r="3872" spans="1:9" x14ac:dyDescent="0.25">
      <c r="A3872" s="6">
        <v>43292</v>
      </c>
      <c r="B3872" t="s">
        <v>26</v>
      </c>
      <c r="C3872">
        <v>58119</v>
      </c>
      <c r="D3872" t="s">
        <v>56</v>
      </c>
      <c r="E3872" s="7">
        <v>92.5</v>
      </c>
      <c r="F3872" t="s">
        <v>20</v>
      </c>
      <c r="G3872" t="s">
        <v>21</v>
      </c>
      <c r="H3872" t="str">
        <f>"167822"</f>
        <v>167822</v>
      </c>
      <c r="I3872" t="str">
        <f>"WEED KILLER"</f>
        <v>WEED KILLER</v>
      </c>
    </row>
    <row r="3873" spans="1:9" x14ac:dyDescent="0.25">
      <c r="A3873" s="6">
        <v>43292</v>
      </c>
      <c r="B3873" t="s">
        <v>26</v>
      </c>
      <c r="C3873">
        <v>58120</v>
      </c>
      <c r="D3873" t="s">
        <v>165</v>
      </c>
      <c r="E3873" s="7">
        <v>391.36</v>
      </c>
      <c r="F3873" t="s">
        <v>20</v>
      </c>
      <c r="G3873" t="s">
        <v>21</v>
      </c>
      <c r="H3873" t="str">
        <f>"5.31.18"</f>
        <v>5.31.18</v>
      </c>
      <c r="I3873" t="str">
        <f>"POOL EQUIPMENT"</f>
        <v>POOL EQUIPMENT</v>
      </c>
    </row>
    <row r="3874" spans="1:9" x14ac:dyDescent="0.25">
      <c r="E3874" s="7"/>
      <c r="F3874" t="s">
        <v>20</v>
      </c>
      <c r="G3874" t="s">
        <v>21</v>
      </c>
      <c r="H3874" t="str">
        <f>"5/31/18"</f>
        <v>5/31/18</v>
      </c>
      <c r="I3874" t="str">
        <f>"GIFT CARDS"</f>
        <v>GIFT CARDS</v>
      </c>
    </row>
    <row r="3875" spans="1:9" x14ac:dyDescent="0.25">
      <c r="E3875" s="7"/>
      <c r="F3875" t="s">
        <v>20</v>
      </c>
      <c r="G3875" t="s">
        <v>21</v>
      </c>
      <c r="H3875" t="str">
        <f>"6/7/18"</f>
        <v>6/7/18</v>
      </c>
      <c r="I3875" t="str">
        <f>"CLEANING SUPPLIES"</f>
        <v>CLEANING SUPPLIES</v>
      </c>
    </row>
    <row r="3876" spans="1:9" x14ac:dyDescent="0.25">
      <c r="A3876" s="6">
        <v>43292</v>
      </c>
      <c r="B3876" t="s">
        <v>26</v>
      </c>
      <c r="C3876">
        <v>58121</v>
      </c>
      <c r="D3876" t="s">
        <v>471</v>
      </c>
      <c r="E3876" s="7">
        <v>540</v>
      </c>
      <c r="F3876" t="s">
        <v>20</v>
      </c>
      <c r="G3876" t="s">
        <v>21</v>
      </c>
      <c r="H3876" t="str">
        <f>"5070"</f>
        <v>5070</v>
      </c>
      <c r="I3876" t="str">
        <f>"JOHNNY'S PAINT &amp; BODY"</f>
        <v>JOHNNY'S PAINT &amp; BODY</v>
      </c>
    </row>
    <row r="3877" spans="1:9" x14ac:dyDescent="0.25">
      <c r="A3877" s="6">
        <v>43292</v>
      </c>
      <c r="B3877" t="s">
        <v>26</v>
      </c>
      <c r="C3877">
        <v>58122</v>
      </c>
      <c r="D3877" t="s">
        <v>59</v>
      </c>
      <c r="E3877" s="7">
        <v>1150.25</v>
      </c>
      <c r="F3877" t="s">
        <v>20</v>
      </c>
      <c r="G3877" t="s">
        <v>24</v>
      </c>
      <c r="H3877" t="str">
        <f>"CM081836-1"</f>
        <v>CM081836-1</v>
      </c>
      <c r="I3877" t="str">
        <f>"FERGUSON WATERWORKS - MUNICIPA"</f>
        <v>FERGUSON WATERWORKS - MUNICIPA</v>
      </c>
    </row>
    <row r="3878" spans="1:9" x14ac:dyDescent="0.25">
      <c r="E3878" s="7"/>
      <c r="F3878" t="s">
        <v>20</v>
      </c>
      <c r="G3878" t="s">
        <v>21</v>
      </c>
      <c r="H3878" t="str">
        <f>"0965953"</f>
        <v>0965953</v>
      </c>
      <c r="I3878" t="str">
        <f>"PUMPS"</f>
        <v>PUMPS</v>
      </c>
    </row>
    <row r="3879" spans="1:9" x14ac:dyDescent="0.25">
      <c r="A3879" s="6">
        <v>43292</v>
      </c>
      <c r="B3879" t="s">
        <v>26</v>
      </c>
      <c r="C3879">
        <v>58123</v>
      </c>
      <c r="D3879" t="s">
        <v>472</v>
      </c>
      <c r="E3879" s="7">
        <v>121</v>
      </c>
      <c r="F3879" t="s">
        <v>20</v>
      </c>
      <c r="G3879" t="s">
        <v>21</v>
      </c>
      <c r="H3879" t="str">
        <f>"RECORD PLAT"</f>
        <v>RECORD PLAT</v>
      </c>
      <c r="I3879" t="str">
        <f>"WILSON COUNTY CLERK  EVA S. MA"</f>
        <v>WILSON COUNTY CLERK  EVA S. MA</v>
      </c>
    </row>
    <row r="3880" spans="1:9" x14ac:dyDescent="0.25">
      <c r="A3880" s="6">
        <v>43292</v>
      </c>
      <c r="B3880" t="s">
        <v>26</v>
      </c>
      <c r="C3880">
        <v>58124</v>
      </c>
      <c r="D3880" t="s">
        <v>366</v>
      </c>
      <c r="E3880" s="7">
        <v>15898.59</v>
      </c>
      <c r="F3880" t="s">
        <v>20</v>
      </c>
      <c r="G3880" t="s">
        <v>21</v>
      </c>
      <c r="H3880" t="str">
        <f>"QE 6.30.18"</f>
        <v>QE 6.30.18</v>
      </c>
      <c r="I3880" t="str">
        <f>"COMPTROLLER OF PUBLIC ACCOUNTS"</f>
        <v>COMPTROLLER OF PUBLIC ACCOUNTS</v>
      </c>
    </row>
    <row r="3881" spans="1:9" x14ac:dyDescent="0.25">
      <c r="A3881" s="6">
        <v>43292</v>
      </c>
      <c r="B3881" t="s">
        <v>26</v>
      </c>
      <c r="C3881">
        <v>58125</v>
      </c>
      <c r="D3881" t="s">
        <v>202</v>
      </c>
      <c r="E3881" s="7">
        <v>406.32</v>
      </c>
      <c r="F3881" t="s">
        <v>20</v>
      </c>
      <c r="G3881" t="s">
        <v>21</v>
      </c>
      <c r="H3881" t="str">
        <f>"61756183"</f>
        <v>61756183</v>
      </c>
      <c r="I3881" t="str">
        <f>"BASE"</f>
        <v>BASE</v>
      </c>
    </row>
    <row r="3882" spans="1:9" x14ac:dyDescent="0.25">
      <c r="A3882" s="6">
        <v>43292</v>
      </c>
      <c r="B3882" t="s">
        <v>26</v>
      </c>
      <c r="C3882">
        <v>58126</v>
      </c>
      <c r="D3882" t="s">
        <v>107</v>
      </c>
      <c r="E3882" s="7">
        <v>13.43</v>
      </c>
      <c r="F3882" t="s">
        <v>20</v>
      </c>
      <c r="G3882" t="s">
        <v>21</v>
      </c>
      <c r="H3882" t="str">
        <f>"1166960-20180630"</f>
        <v>1166960-20180630</v>
      </c>
      <c r="I3882" t="str">
        <f>"LEXISNEXIS RISK SOLUTIONS"</f>
        <v>LEXISNEXIS RISK SOLUTIONS</v>
      </c>
    </row>
    <row r="3883" spans="1:9" x14ac:dyDescent="0.25">
      <c r="A3883" s="6">
        <v>43292</v>
      </c>
      <c r="B3883" t="s">
        <v>26</v>
      </c>
      <c r="C3883">
        <v>58127</v>
      </c>
      <c r="D3883" t="s">
        <v>180</v>
      </c>
      <c r="E3883" s="7">
        <v>1095.53</v>
      </c>
      <c r="F3883" t="s">
        <v>20</v>
      </c>
      <c r="G3883" t="s">
        <v>24</v>
      </c>
      <c r="H3883" t="str">
        <f>"30126375"</f>
        <v>30126375</v>
      </c>
      <c r="I3883" t="str">
        <f>"DITTMAR LUMBER CO."</f>
        <v>DITTMAR LUMBER CO.</v>
      </c>
    </row>
    <row r="3884" spans="1:9" x14ac:dyDescent="0.25">
      <c r="E3884" s="7"/>
      <c r="F3884" t="s">
        <v>20</v>
      </c>
      <c r="G3884" t="s">
        <v>21</v>
      </c>
      <c r="H3884" t="str">
        <f>"30125763"</f>
        <v>30125763</v>
      </c>
      <c r="I3884" t="str">
        <f>"ELBOW CONNECTIONS"</f>
        <v>ELBOW CONNECTIONS</v>
      </c>
    </row>
    <row r="3885" spans="1:9" x14ac:dyDescent="0.25">
      <c r="E3885" s="7"/>
      <c r="F3885" t="s">
        <v>20</v>
      </c>
      <c r="G3885" t="s">
        <v>21</v>
      </c>
      <c r="H3885" t="str">
        <f>"30126158"</f>
        <v>30126158</v>
      </c>
      <c r="I3885" t="str">
        <f>"STRIPING PAINT"</f>
        <v>STRIPING PAINT</v>
      </c>
    </row>
    <row r="3886" spans="1:9" x14ac:dyDescent="0.25">
      <c r="E3886" s="7"/>
      <c r="F3886" t="s">
        <v>20</v>
      </c>
      <c r="G3886" t="s">
        <v>21</v>
      </c>
      <c r="H3886" t="str">
        <f>"30126161"</f>
        <v>30126161</v>
      </c>
      <c r="I3886" t="str">
        <f>"DITTMAR LUMBER CO."</f>
        <v>DITTMAR LUMBER CO.</v>
      </c>
    </row>
    <row r="3887" spans="1:9" x14ac:dyDescent="0.25">
      <c r="E3887" s="7"/>
      <c r="F3887" t="s">
        <v>20</v>
      </c>
      <c r="G3887" t="s">
        <v>21</v>
      </c>
      <c r="H3887" t="str">
        <f>"30126222"</f>
        <v>30126222</v>
      </c>
      <c r="I3887" t="str">
        <f>"PLEXI GLASS/PAINT"</f>
        <v>PLEXI GLASS/PAINT</v>
      </c>
    </row>
    <row r="3888" spans="1:9" x14ac:dyDescent="0.25">
      <c r="E3888" s="7"/>
      <c r="F3888" t="s">
        <v>20</v>
      </c>
      <c r="G3888" t="s">
        <v>21</v>
      </c>
      <c r="H3888" t="str">
        <f>"30126302"</f>
        <v>30126302</v>
      </c>
      <c r="I3888" t="str">
        <f>"DITTMAR LUMBER CO."</f>
        <v>DITTMAR LUMBER CO.</v>
      </c>
    </row>
    <row r="3889" spans="1:9" x14ac:dyDescent="0.25">
      <c r="E3889" s="7"/>
      <c r="F3889" t="s">
        <v>20</v>
      </c>
      <c r="G3889" t="s">
        <v>21</v>
      </c>
      <c r="H3889" t="str">
        <f>"30126341"</f>
        <v>30126341</v>
      </c>
      <c r="I3889" t="str">
        <f>"DITTMAR LUMBER CO."</f>
        <v>DITTMAR LUMBER CO.</v>
      </c>
    </row>
    <row r="3890" spans="1:9" x14ac:dyDescent="0.25">
      <c r="A3890" s="6">
        <v>43292</v>
      </c>
      <c r="B3890" t="s">
        <v>26</v>
      </c>
      <c r="C3890">
        <v>58129</v>
      </c>
      <c r="D3890" t="s">
        <v>203</v>
      </c>
      <c r="E3890" s="7">
        <v>621.61</v>
      </c>
      <c r="F3890" t="s">
        <v>20</v>
      </c>
      <c r="G3890" t="s">
        <v>21</v>
      </c>
      <c r="H3890" t="str">
        <f>"605935"</f>
        <v>605935</v>
      </c>
      <c r="I3890" t="str">
        <f>"TREATMENT SUPPLIES"</f>
        <v>TREATMENT SUPPLIES</v>
      </c>
    </row>
    <row r="3891" spans="1:9" x14ac:dyDescent="0.25">
      <c r="A3891" s="6">
        <v>43292</v>
      </c>
      <c r="B3891" t="s">
        <v>26</v>
      </c>
      <c r="C3891">
        <v>58130</v>
      </c>
      <c r="D3891" t="s">
        <v>61</v>
      </c>
      <c r="E3891" s="7">
        <v>1500</v>
      </c>
      <c r="F3891" t="s">
        <v>20</v>
      </c>
      <c r="G3891" t="s">
        <v>21</v>
      </c>
      <c r="H3891" t="str">
        <f>"045-229722"</f>
        <v>045-229722</v>
      </c>
      <c r="I3891" t="str">
        <f>"TYLER TECHNOLOGIES  INC."</f>
        <v>TYLER TECHNOLOGIES  INC.</v>
      </c>
    </row>
    <row r="3892" spans="1:9" x14ac:dyDescent="0.25">
      <c r="A3892" s="6">
        <v>43292</v>
      </c>
      <c r="B3892" t="s">
        <v>26</v>
      </c>
      <c r="C3892">
        <v>58131</v>
      </c>
      <c r="D3892" t="s">
        <v>0</v>
      </c>
      <c r="E3892" s="7">
        <v>2787.52</v>
      </c>
      <c r="F3892" t="s">
        <v>20</v>
      </c>
      <c r="G3892" t="s">
        <v>21</v>
      </c>
      <c r="H3892" t="str">
        <f>"7/10/18"</f>
        <v>7/10/18</v>
      </c>
      <c r="I3892" t="str">
        <f>"CITY OF FLORESVILLE"</f>
        <v>CITY OF FLORESVILLE</v>
      </c>
    </row>
    <row r="3893" spans="1:9" x14ac:dyDescent="0.25">
      <c r="A3893" s="6">
        <v>43292</v>
      </c>
      <c r="B3893" t="s">
        <v>26</v>
      </c>
      <c r="C3893">
        <v>58132</v>
      </c>
      <c r="D3893" t="s">
        <v>168</v>
      </c>
      <c r="E3893" s="7">
        <v>1982</v>
      </c>
      <c r="F3893" t="s">
        <v>20</v>
      </c>
      <c r="G3893" t="s">
        <v>21</v>
      </c>
      <c r="H3893" t="str">
        <f>"7/01/2018"</f>
        <v>7/01/2018</v>
      </c>
      <c r="I3893" t="str">
        <f>"BEXAR COUNTY AUDITOR/ATTN:CRIM"</f>
        <v>BEXAR COUNTY AUDITOR/ATTN:CRIM</v>
      </c>
    </row>
    <row r="3894" spans="1:9" x14ac:dyDescent="0.25">
      <c r="A3894" s="6">
        <v>43292</v>
      </c>
      <c r="B3894" t="s">
        <v>26</v>
      </c>
      <c r="C3894">
        <v>58133</v>
      </c>
      <c r="D3894" t="s">
        <v>66</v>
      </c>
      <c r="E3894" s="7">
        <v>3160</v>
      </c>
      <c r="F3894" t="s">
        <v>20</v>
      </c>
      <c r="G3894" t="s">
        <v>21</v>
      </c>
      <c r="H3894" t="str">
        <f>"52984"</f>
        <v>52984</v>
      </c>
      <c r="I3894" t="str">
        <f>"LOPEZ EXTERMINATING SERVICE  I"</f>
        <v>LOPEZ EXTERMINATING SERVICE  I</v>
      </c>
    </row>
    <row r="3895" spans="1:9" x14ac:dyDescent="0.25">
      <c r="E3895" s="7"/>
      <c r="F3895" t="s">
        <v>20</v>
      </c>
      <c r="G3895" t="s">
        <v>21</v>
      </c>
      <c r="H3895" t="str">
        <f>"53080"</f>
        <v>53080</v>
      </c>
      <c r="I3895" t="str">
        <f>"LOPEZ EXTERMINATING SERVICE  I"</f>
        <v>LOPEZ EXTERMINATING SERVICE  I</v>
      </c>
    </row>
    <row r="3896" spans="1:9" x14ac:dyDescent="0.25">
      <c r="A3896" s="6">
        <v>43292</v>
      </c>
      <c r="B3896" t="s">
        <v>26</v>
      </c>
      <c r="C3896">
        <v>58134</v>
      </c>
      <c r="D3896" t="s">
        <v>368</v>
      </c>
      <c r="E3896" s="7">
        <v>16000</v>
      </c>
      <c r="F3896" t="s">
        <v>20</v>
      </c>
      <c r="G3896" t="s">
        <v>21</v>
      </c>
      <c r="H3896" t="str">
        <f>"APRIL-JUNE"</f>
        <v>APRIL-JUNE</v>
      </c>
      <c r="I3896" t="str">
        <f>"FLORESVILLE FIRE DEPARTMENT"</f>
        <v>FLORESVILLE FIRE DEPARTMENT</v>
      </c>
    </row>
    <row r="3897" spans="1:9" x14ac:dyDescent="0.25">
      <c r="A3897" s="6">
        <v>43292</v>
      </c>
      <c r="B3897" t="s">
        <v>26</v>
      </c>
      <c r="C3897">
        <v>58135</v>
      </c>
      <c r="D3897" t="s">
        <v>473</v>
      </c>
      <c r="E3897" s="7">
        <v>4486.5</v>
      </c>
      <c r="F3897" t="s">
        <v>20</v>
      </c>
      <c r="G3897" t="s">
        <v>21</v>
      </c>
      <c r="H3897" t="str">
        <f>"600077844"</f>
        <v>600077844</v>
      </c>
      <c r="I3897" t="str">
        <f>"DIEBOLD"</f>
        <v>DIEBOLD</v>
      </c>
    </row>
    <row r="3898" spans="1:9" x14ac:dyDescent="0.25">
      <c r="A3898" s="6">
        <v>43292</v>
      </c>
      <c r="B3898" t="s">
        <v>26</v>
      </c>
      <c r="C3898">
        <v>58136</v>
      </c>
      <c r="D3898" t="s">
        <v>426</v>
      </c>
      <c r="E3898" s="7">
        <v>2920.8</v>
      </c>
      <c r="F3898" t="s">
        <v>20</v>
      </c>
      <c r="G3898" t="s">
        <v>21</v>
      </c>
      <c r="H3898" t="str">
        <f>"INV0664798"</f>
        <v>INV0664798</v>
      </c>
      <c r="I3898" t="str">
        <f>"GT DISTRIBUTORS  INC."</f>
        <v>GT DISTRIBUTORS  INC.</v>
      </c>
    </row>
    <row r="3899" spans="1:9" x14ac:dyDescent="0.25">
      <c r="E3899" s="7"/>
      <c r="F3899" t="s">
        <v>20</v>
      </c>
      <c r="G3899" t="s">
        <v>21</v>
      </c>
      <c r="H3899" t="str">
        <f>"INV0665031"</f>
        <v>INV0665031</v>
      </c>
      <c r="I3899" t="str">
        <f>"GT DISTRIBUTORS  INC."</f>
        <v>GT DISTRIBUTORS  INC.</v>
      </c>
    </row>
    <row r="3900" spans="1:9" x14ac:dyDescent="0.25">
      <c r="E3900" s="7"/>
      <c r="F3900" t="s">
        <v>20</v>
      </c>
      <c r="G3900" t="s">
        <v>21</v>
      </c>
      <c r="H3900" t="str">
        <f>"INV06656565"</f>
        <v>INV06656565</v>
      </c>
      <c r="I3900" t="str">
        <f>"GT DISTRIBUTORS  INC."</f>
        <v>GT DISTRIBUTORS  INC.</v>
      </c>
    </row>
    <row r="3901" spans="1:9" x14ac:dyDescent="0.25">
      <c r="A3901" s="6">
        <v>43292</v>
      </c>
      <c r="B3901" t="s">
        <v>26</v>
      </c>
      <c r="C3901">
        <v>58137</v>
      </c>
      <c r="D3901" t="s">
        <v>214</v>
      </c>
      <c r="E3901" s="7">
        <v>262.42</v>
      </c>
      <c r="F3901" t="s">
        <v>20</v>
      </c>
      <c r="G3901" t="s">
        <v>21</v>
      </c>
      <c r="H3901" t="str">
        <f>"0014606-IN"</f>
        <v>0014606-IN</v>
      </c>
      <c r="I3901" t="str">
        <f>"FLAGS"</f>
        <v>FLAGS</v>
      </c>
    </row>
    <row r="3902" spans="1:9" x14ac:dyDescent="0.25">
      <c r="A3902" s="6">
        <v>43292</v>
      </c>
      <c r="B3902" t="s">
        <v>26</v>
      </c>
      <c r="C3902">
        <v>58138</v>
      </c>
      <c r="D3902" t="s">
        <v>71</v>
      </c>
      <c r="E3902" s="7">
        <v>64.959999999999994</v>
      </c>
      <c r="F3902" t="s">
        <v>20</v>
      </c>
      <c r="G3902" t="s">
        <v>21</v>
      </c>
      <c r="H3902" t="str">
        <f>"087151487"</f>
        <v>087151487</v>
      </c>
      <c r="I3902" t="str">
        <f>"CINTAS CORPORATION #087"</f>
        <v>CINTAS CORPORATION #087</v>
      </c>
    </row>
    <row r="3903" spans="1:9" x14ac:dyDescent="0.25">
      <c r="A3903" s="6">
        <v>43292</v>
      </c>
      <c r="B3903" t="s">
        <v>26</v>
      </c>
      <c r="C3903">
        <v>58139</v>
      </c>
      <c r="D3903" t="s">
        <v>474</v>
      </c>
      <c r="E3903" s="7">
        <v>2231.13</v>
      </c>
      <c r="F3903" t="s">
        <v>20</v>
      </c>
      <c r="G3903" t="s">
        <v>21</v>
      </c>
      <c r="H3903" t="str">
        <f>"12138"</f>
        <v>12138</v>
      </c>
      <c r="I3903" t="str">
        <f>"STOP SIGNS"</f>
        <v>STOP SIGNS</v>
      </c>
    </row>
    <row r="3904" spans="1:9" x14ac:dyDescent="0.25">
      <c r="A3904" s="6">
        <v>43292</v>
      </c>
      <c r="B3904" t="s">
        <v>26</v>
      </c>
      <c r="C3904">
        <v>58140</v>
      </c>
      <c r="D3904" t="s">
        <v>73</v>
      </c>
      <c r="E3904" s="7">
        <v>39189.75</v>
      </c>
      <c r="F3904" t="s">
        <v>20</v>
      </c>
      <c r="G3904" t="s">
        <v>21</v>
      </c>
      <c r="H3904" t="str">
        <f>"7/01/18"</f>
        <v>7/01/18</v>
      </c>
      <c r="I3904" t="str">
        <f>"TML INTERGOVERNMENTAL RISK POO"</f>
        <v>TML INTERGOVERNMENTAL RISK POO</v>
      </c>
    </row>
    <row r="3905" spans="1:9" x14ac:dyDescent="0.25">
      <c r="A3905" s="6">
        <v>43292</v>
      </c>
      <c r="B3905" t="s">
        <v>26</v>
      </c>
      <c r="C3905">
        <v>58141</v>
      </c>
      <c r="D3905" t="s">
        <v>74</v>
      </c>
      <c r="E3905" s="7">
        <v>3503.91</v>
      </c>
      <c r="F3905" t="s">
        <v>20</v>
      </c>
      <c r="G3905" t="s">
        <v>21</v>
      </c>
      <c r="H3905" t="str">
        <f>"9809689646"</f>
        <v>9809689646</v>
      </c>
      <c r="I3905" t="str">
        <f>"VERIZON WIRELESS"</f>
        <v>VERIZON WIRELESS</v>
      </c>
    </row>
    <row r="3906" spans="1:9" x14ac:dyDescent="0.25">
      <c r="A3906" s="6">
        <v>43292</v>
      </c>
      <c r="B3906" t="s">
        <v>26</v>
      </c>
      <c r="C3906">
        <v>58143</v>
      </c>
      <c r="D3906" t="s">
        <v>123</v>
      </c>
      <c r="E3906" s="7">
        <v>301.58</v>
      </c>
      <c r="F3906" t="s">
        <v>20</v>
      </c>
      <c r="G3906" t="s">
        <v>21</v>
      </c>
      <c r="H3906" t="str">
        <f>"150425041001"</f>
        <v>150425041001</v>
      </c>
      <c r="I3906" t="str">
        <f>"OFFICE SUPPLIES"</f>
        <v>OFFICE SUPPLIES</v>
      </c>
    </row>
    <row r="3907" spans="1:9" x14ac:dyDescent="0.25">
      <c r="E3907" s="7"/>
      <c r="F3907" t="s">
        <v>20</v>
      </c>
      <c r="G3907" t="s">
        <v>21</v>
      </c>
      <c r="H3907" t="str">
        <f>"154276286001"</f>
        <v>154276286001</v>
      </c>
      <c r="I3907" t="str">
        <f>"OFFICE SUPPLIES"</f>
        <v>OFFICE SUPPLIES</v>
      </c>
    </row>
    <row r="3908" spans="1:9" x14ac:dyDescent="0.25">
      <c r="E3908" s="7"/>
      <c r="F3908" t="s">
        <v>20</v>
      </c>
      <c r="G3908" t="s">
        <v>21</v>
      </c>
      <c r="H3908" t="str">
        <f>"154947466001"</f>
        <v>154947466001</v>
      </c>
      <c r="I3908" t="str">
        <f>"OFFICE SUPPLIES"</f>
        <v>OFFICE SUPPLIES</v>
      </c>
    </row>
    <row r="3909" spans="1:9" x14ac:dyDescent="0.25">
      <c r="A3909" s="6">
        <v>43292</v>
      </c>
      <c r="B3909" t="s">
        <v>26</v>
      </c>
      <c r="C3909">
        <v>58144</v>
      </c>
      <c r="D3909" t="s">
        <v>77</v>
      </c>
      <c r="E3909" s="7">
        <v>227.44</v>
      </c>
      <c r="F3909" t="s">
        <v>20</v>
      </c>
      <c r="G3909" t="s">
        <v>21</v>
      </c>
      <c r="H3909" t="str">
        <f>"857001059-18"</f>
        <v>857001059-18</v>
      </c>
      <c r="I3909" t="str">
        <f>"DPC INDUSTRIES  INC."</f>
        <v>DPC INDUSTRIES  INC.</v>
      </c>
    </row>
    <row r="3910" spans="1:9" x14ac:dyDescent="0.25">
      <c r="A3910" s="6">
        <v>43292</v>
      </c>
      <c r="B3910" t="s">
        <v>26</v>
      </c>
      <c r="C3910">
        <v>58145</v>
      </c>
      <c r="D3910" t="s">
        <v>124</v>
      </c>
      <c r="E3910" s="7">
        <v>89.61</v>
      </c>
      <c r="F3910" t="s">
        <v>20</v>
      </c>
      <c r="G3910" t="s">
        <v>21</v>
      </c>
      <c r="H3910" t="str">
        <f>"11161528"</f>
        <v>11161528</v>
      </c>
      <c r="I3910" t="str">
        <f>"CONDUIT/FITTINGS"</f>
        <v>CONDUIT/FITTINGS</v>
      </c>
    </row>
    <row r="3911" spans="1:9" x14ac:dyDescent="0.25">
      <c r="E3911" s="7"/>
      <c r="F3911" t="s">
        <v>20</v>
      </c>
      <c r="G3911" t="s">
        <v>21</v>
      </c>
      <c r="H3911" t="str">
        <f>"11161629"</f>
        <v>11161629</v>
      </c>
      <c r="I3911" t="str">
        <f>"KEYS"</f>
        <v>KEYS</v>
      </c>
    </row>
    <row r="3912" spans="1:9" x14ac:dyDescent="0.25">
      <c r="A3912" s="6">
        <v>43292</v>
      </c>
      <c r="B3912" t="s">
        <v>26</v>
      </c>
      <c r="C3912">
        <v>58146</v>
      </c>
      <c r="D3912" t="s">
        <v>79</v>
      </c>
      <c r="E3912" s="7">
        <v>73.44</v>
      </c>
      <c r="F3912" t="s">
        <v>20</v>
      </c>
      <c r="G3912" t="s">
        <v>21</v>
      </c>
      <c r="H3912" t="str">
        <f>"6-228-05838"</f>
        <v>6-228-05838</v>
      </c>
      <c r="I3912" t="str">
        <f>"FEDEX"</f>
        <v>FEDEX</v>
      </c>
    </row>
    <row r="3913" spans="1:9" x14ac:dyDescent="0.25">
      <c r="A3913" s="6">
        <v>43292</v>
      </c>
      <c r="B3913" t="s">
        <v>26</v>
      </c>
      <c r="C3913">
        <v>58147</v>
      </c>
      <c r="D3913" t="s">
        <v>80</v>
      </c>
      <c r="E3913" s="7">
        <v>1776.91</v>
      </c>
      <c r="F3913" t="s">
        <v>20</v>
      </c>
      <c r="G3913" t="s">
        <v>21</v>
      </c>
      <c r="H3913" t="str">
        <f>"1648-20180701-1"</f>
        <v>1648-20180701-1</v>
      </c>
      <c r="I3913" t="str">
        <f>"LVWIFI.COM"</f>
        <v>LVWIFI.COM</v>
      </c>
    </row>
    <row r="3914" spans="1:9" x14ac:dyDescent="0.25">
      <c r="E3914" s="7"/>
      <c r="F3914" t="s">
        <v>20</v>
      </c>
      <c r="G3914" t="s">
        <v>21</v>
      </c>
      <c r="H3914" t="str">
        <f>"2313-20180701-1"</f>
        <v>2313-20180701-1</v>
      </c>
      <c r="I3914" t="str">
        <f>"LVWIFI.COM"</f>
        <v>LVWIFI.COM</v>
      </c>
    </row>
    <row r="3915" spans="1:9" x14ac:dyDescent="0.25">
      <c r="E3915" s="7"/>
      <c r="F3915" t="s">
        <v>20</v>
      </c>
      <c r="G3915" t="s">
        <v>21</v>
      </c>
      <c r="H3915" t="str">
        <f>"2314-20180701-1"</f>
        <v>2314-20180701-1</v>
      </c>
      <c r="I3915" t="str">
        <f>"LVWIFI.COM"</f>
        <v>LVWIFI.COM</v>
      </c>
    </row>
    <row r="3916" spans="1:9" x14ac:dyDescent="0.25">
      <c r="E3916" s="7"/>
      <c r="F3916" t="s">
        <v>20</v>
      </c>
      <c r="G3916" t="s">
        <v>21</v>
      </c>
      <c r="H3916" t="str">
        <f>"2478-20180701-1"</f>
        <v>2478-20180701-1</v>
      </c>
      <c r="I3916" t="str">
        <f>"LVWIFI.COM"</f>
        <v>LVWIFI.COM</v>
      </c>
    </row>
    <row r="3917" spans="1:9" x14ac:dyDescent="0.25">
      <c r="A3917" s="6">
        <v>43292</v>
      </c>
      <c r="B3917" t="s">
        <v>91</v>
      </c>
      <c r="C3917">
        <v>58148</v>
      </c>
      <c r="D3917" t="s">
        <v>387</v>
      </c>
      <c r="E3917" s="7">
        <v>26105.47</v>
      </c>
      <c r="F3917" t="s">
        <v>20</v>
      </c>
      <c r="G3917" t="s">
        <v>21</v>
      </c>
      <c r="H3917" t="str">
        <f>"F02913-SA"</f>
        <v>F02913-SA</v>
      </c>
      <c r="I3917" t="str">
        <f>"BR9E 9E ELEMENT"</f>
        <v>BR9E 9E ELEMENT</v>
      </c>
    </row>
    <row r="3918" spans="1:9" x14ac:dyDescent="0.25">
      <c r="E3918" s="7"/>
      <c r="F3918" t="s">
        <v>20</v>
      </c>
      <c r="G3918" t="s">
        <v>21</v>
      </c>
      <c r="H3918" t="str">
        <f>"F02921-SA"</f>
        <v>F02921-SA</v>
      </c>
      <c r="I3918" t="str">
        <f>"TRAILER MOUNTED PUMP"</f>
        <v>TRAILER MOUNTED PUMP</v>
      </c>
    </row>
    <row r="3919" spans="1:9" x14ac:dyDescent="0.25">
      <c r="A3919" s="6">
        <v>43292</v>
      </c>
      <c r="B3919" t="s">
        <v>91</v>
      </c>
      <c r="C3919">
        <v>58148</v>
      </c>
      <c r="D3919" t="s">
        <v>387</v>
      </c>
      <c r="E3919" s="7">
        <v>26105.47</v>
      </c>
      <c r="F3919" t="s">
        <v>20</v>
      </c>
      <c r="G3919" t="s">
        <v>93</v>
      </c>
      <c r="H3919" t="str">
        <f>"CHECK"</f>
        <v>CHECK</v>
      </c>
      <c r="I3919" t="str">
        <f>""</f>
        <v/>
      </c>
    </row>
    <row r="3920" spans="1:9" x14ac:dyDescent="0.25">
      <c r="A3920" s="6">
        <v>43292</v>
      </c>
      <c r="B3920" t="s">
        <v>26</v>
      </c>
      <c r="C3920">
        <v>58149</v>
      </c>
      <c r="D3920" t="s">
        <v>31</v>
      </c>
      <c r="E3920" s="7">
        <v>2000</v>
      </c>
      <c r="F3920" t="s">
        <v>20</v>
      </c>
      <c r="G3920" t="s">
        <v>21</v>
      </c>
      <c r="H3920" t="str">
        <f>"2018197"</f>
        <v>2018197</v>
      </c>
      <c r="I3920" t="str">
        <f>"THE LAW OFFICE OF TOM CALDWELL"</f>
        <v>THE LAW OFFICE OF TOM CALDWELL</v>
      </c>
    </row>
    <row r="3921" spans="1:9" x14ac:dyDescent="0.25">
      <c r="A3921" s="6">
        <v>43292</v>
      </c>
      <c r="B3921" t="s">
        <v>26</v>
      </c>
      <c r="C3921">
        <v>58150</v>
      </c>
      <c r="D3921" t="s">
        <v>81</v>
      </c>
      <c r="E3921" s="7">
        <v>142.30000000000001</v>
      </c>
      <c r="F3921" t="s">
        <v>20</v>
      </c>
      <c r="G3921" t="s">
        <v>21</v>
      </c>
      <c r="H3921" t="str">
        <f>"AM 7/9/18"</f>
        <v>AM 7/9/18</v>
      </c>
      <c r="I3921" t="str">
        <f>"CITY OF FLORESVILLE -PETTY CAS"</f>
        <v>CITY OF FLORESVILLE -PETTY CAS</v>
      </c>
    </row>
    <row r="3922" spans="1:9" x14ac:dyDescent="0.25">
      <c r="A3922" s="6">
        <v>43292</v>
      </c>
      <c r="B3922" t="s">
        <v>26</v>
      </c>
      <c r="C3922">
        <v>58151</v>
      </c>
      <c r="D3922" t="s">
        <v>83</v>
      </c>
      <c r="E3922" s="7">
        <v>936</v>
      </c>
      <c r="F3922" t="s">
        <v>20</v>
      </c>
      <c r="G3922" t="s">
        <v>21</v>
      </c>
      <c r="H3922" t="str">
        <f>"408715"</f>
        <v>408715</v>
      </c>
      <c r="I3922" t="str">
        <f>"APPRIVER"</f>
        <v>APPRIVER</v>
      </c>
    </row>
    <row r="3923" spans="1:9" x14ac:dyDescent="0.25">
      <c r="A3923" s="6">
        <v>43292</v>
      </c>
      <c r="B3923" t="s">
        <v>26</v>
      </c>
      <c r="C3923">
        <v>58152</v>
      </c>
      <c r="D3923" t="s">
        <v>85</v>
      </c>
      <c r="E3923" s="7">
        <v>276.85000000000002</v>
      </c>
      <c r="F3923" t="s">
        <v>20</v>
      </c>
      <c r="G3923" t="s">
        <v>21</v>
      </c>
      <c r="H3923" t="str">
        <f>"830.216.2745"</f>
        <v>830.216.2745</v>
      </c>
      <c r="I3923" t="str">
        <f>"FRONTIER"</f>
        <v>FRONTIER</v>
      </c>
    </row>
    <row r="3924" spans="1:9" x14ac:dyDescent="0.25">
      <c r="E3924" s="7"/>
      <c r="F3924" t="s">
        <v>20</v>
      </c>
      <c r="G3924" t="s">
        <v>21</v>
      </c>
      <c r="H3924" t="str">
        <f>"830.393.3718"</f>
        <v>830.393.3718</v>
      </c>
      <c r="I3924" t="str">
        <f>"FRONTIER"</f>
        <v>FRONTIER</v>
      </c>
    </row>
    <row r="3925" spans="1:9" x14ac:dyDescent="0.25">
      <c r="E3925" s="7"/>
      <c r="F3925" t="s">
        <v>20</v>
      </c>
      <c r="G3925" t="s">
        <v>21</v>
      </c>
      <c r="H3925" t="str">
        <f>"830.393.8193"</f>
        <v>830.393.8193</v>
      </c>
      <c r="I3925" t="str">
        <f>"FRONTIER"</f>
        <v>FRONTIER</v>
      </c>
    </row>
    <row r="3926" spans="1:9" x14ac:dyDescent="0.25">
      <c r="A3926" s="6">
        <v>43292</v>
      </c>
      <c r="B3926" t="s">
        <v>26</v>
      </c>
      <c r="C3926">
        <v>58153</v>
      </c>
      <c r="D3926" t="s">
        <v>194</v>
      </c>
      <c r="E3926" s="7">
        <v>50</v>
      </c>
      <c r="F3926" t="s">
        <v>20</v>
      </c>
      <c r="G3926" t="s">
        <v>21</v>
      </c>
      <c r="H3926" t="str">
        <f>"010030232"</f>
        <v>010030232</v>
      </c>
      <c r="I3926" t="str">
        <f>"BIKE PATROL UNIFORM"</f>
        <v>BIKE PATROL UNIFORM</v>
      </c>
    </row>
    <row r="3927" spans="1:9" x14ac:dyDescent="0.25">
      <c r="A3927" s="6">
        <v>43292</v>
      </c>
      <c r="B3927" t="s">
        <v>26</v>
      </c>
      <c r="C3927">
        <v>58154</v>
      </c>
      <c r="D3927" t="s">
        <v>475</v>
      </c>
      <c r="E3927" s="7">
        <v>1750</v>
      </c>
      <c r="F3927" t="s">
        <v>20</v>
      </c>
      <c r="G3927" t="s">
        <v>21</v>
      </c>
      <c r="H3927" t="str">
        <f>"30603"</f>
        <v>30603</v>
      </c>
      <c r="I3927" t="str">
        <f>"HAULING"</f>
        <v>HAULING</v>
      </c>
    </row>
    <row r="3928" spans="1:9" x14ac:dyDescent="0.25">
      <c r="A3928" s="6">
        <v>43292</v>
      </c>
      <c r="B3928" t="s">
        <v>26</v>
      </c>
      <c r="C3928">
        <v>58155</v>
      </c>
      <c r="D3928" t="s">
        <v>175</v>
      </c>
      <c r="E3928" s="7">
        <v>1500</v>
      </c>
      <c r="F3928" t="s">
        <v>20</v>
      </c>
      <c r="G3928" t="s">
        <v>21</v>
      </c>
      <c r="H3928" t="str">
        <f>"151195"</f>
        <v>151195</v>
      </c>
      <c r="I3928" t="str">
        <f>"AMER TECHNOLOGY  INC."</f>
        <v>AMER TECHNOLOGY  INC.</v>
      </c>
    </row>
    <row r="3929" spans="1:9" x14ac:dyDescent="0.25">
      <c r="E3929" s="7"/>
      <c r="F3929" t="s">
        <v>20</v>
      </c>
      <c r="G3929" t="s">
        <v>21</v>
      </c>
      <c r="H3929" t="str">
        <f>"151239"</f>
        <v>151239</v>
      </c>
      <c r="I3929" t="str">
        <f>"AMER TECHNOLOGY  INC."</f>
        <v>AMER TECHNOLOGY  INC.</v>
      </c>
    </row>
    <row r="3930" spans="1:9" x14ac:dyDescent="0.25">
      <c r="E3930" s="7"/>
      <c r="F3930" t="s">
        <v>20</v>
      </c>
      <c r="G3930" t="s">
        <v>21</v>
      </c>
      <c r="H3930" t="str">
        <f>"151253"</f>
        <v>151253</v>
      </c>
      <c r="I3930" t="str">
        <f>"AMER TECHNOLOGY  INC."</f>
        <v>AMER TECHNOLOGY  INC.</v>
      </c>
    </row>
    <row r="3931" spans="1:9" x14ac:dyDescent="0.25">
      <c r="A3931" s="6">
        <v>43292</v>
      </c>
      <c r="B3931" t="s">
        <v>26</v>
      </c>
      <c r="C3931">
        <v>58156</v>
      </c>
      <c r="D3931" t="s">
        <v>132</v>
      </c>
      <c r="E3931" s="7">
        <v>40.36</v>
      </c>
      <c r="F3931" t="s">
        <v>20</v>
      </c>
      <c r="G3931" t="s">
        <v>21</v>
      </c>
      <c r="H3931" t="str">
        <f>"16008854062018"</f>
        <v>16008854062018</v>
      </c>
      <c r="I3931" t="str">
        <f>"SPARKLETTS &amp; SIERRA SPRINGS"</f>
        <v>SPARKLETTS &amp; SIERRA SPRINGS</v>
      </c>
    </row>
    <row r="3932" spans="1:9" x14ac:dyDescent="0.25">
      <c r="A3932" s="6">
        <v>43292</v>
      </c>
      <c r="B3932" t="s">
        <v>26</v>
      </c>
      <c r="C3932">
        <v>58157</v>
      </c>
      <c r="D3932" t="s">
        <v>476</v>
      </c>
      <c r="E3932" s="7">
        <v>469.3</v>
      </c>
      <c r="F3932" t="s">
        <v>20</v>
      </c>
      <c r="G3932" t="s">
        <v>21</v>
      </c>
      <c r="H3932" t="str">
        <f>"2018205"</f>
        <v>2018205</v>
      </c>
      <c r="I3932" t="str">
        <f>"Future Electric"</f>
        <v>Future Electric</v>
      </c>
    </row>
    <row r="3933" spans="1:9" x14ac:dyDescent="0.25">
      <c r="A3933" s="6">
        <v>43292</v>
      </c>
      <c r="B3933" t="s">
        <v>26</v>
      </c>
      <c r="C3933">
        <v>58158</v>
      </c>
      <c r="D3933" t="s">
        <v>197</v>
      </c>
      <c r="E3933" s="7">
        <v>2700</v>
      </c>
      <c r="F3933" t="s">
        <v>20</v>
      </c>
      <c r="G3933" t="s">
        <v>21</v>
      </c>
      <c r="H3933" t="str">
        <f>"182526"</f>
        <v>182526</v>
      </c>
      <c r="I3933" t="str">
        <f>"DRUMS"</f>
        <v>DRUMS</v>
      </c>
    </row>
    <row r="3934" spans="1:9" x14ac:dyDescent="0.25">
      <c r="A3934" s="6">
        <v>43292</v>
      </c>
      <c r="B3934" t="s">
        <v>26</v>
      </c>
      <c r="C3934">
        <v>58159</v>
      </c>
      <c r="D3934" t="s">
        <v>477</v>
      </c>
      <c r="E3934" s="7">
        <v>139</v>
      </c>
      <c r="F3934" t="s">
        <v>20</v>
      </c>
      <c r="G3934" t="s">
        <v>21</v>
      </c>
      <c r="H3934" t="str">
        <f>"1810-323360"</f>
        <v>1810-323360</v>
      </c>
      <c r="I3934" t="str">
        <f>"VEHICLE PRINTER"</f>
        <v>VEHICLE PRINTER</v>
      </c>
    </row>
    <row r="3935" spans="1:9" x14ac:dyDescent="0.25">
      <c r="A3935" s="6">
        <v>43292</v>
      </c>
      <c r="B3935" t="s">
        <v>26</v>
      </c>
      <c r="C3935">
        <v>58160</v>
      </c>
      <c r="D3935" t="s">
        <v>478</v>
      </c>
      <c r="E3935" s="7">
        <v>500</v>
      </c>
      <c r="F3935" t="s">
        <v>20</v>
      </c>
      <c r="G3935" t="s">
        <v>21</v>
      </c>
      <c r="H3935" t="str">
        <f>"3553"</f>
        <v>3553</v>
      </c>
      <c r="I3935" t="str">
        <f>"QUALITY SERVICES TOWING &amp; RECO"</f>
        <v>QUALITY SERVICES TOWING &amp; RECO</v>
      </c>
    </row>
    <row r="3936" spans="1:9" x14ac:dyDescent="0.25">
      <c r="A3936" s="6">
        <v>43293</v>
      </c>
      <c r="B3936" t="s">
        <v>26</v>
      </c>
      <c r="C3936">
        <v>58161</v>
      </c>
      <c r="D3936" t="s">
        <v>90</v>
      </c>
      <c r="E3936" s="7">
        <v>3306.54</v>
      </c>
      <c r="F3936" t="s">
        <v>20</v>
      </c>
      <c r="G3936" t="s">
        <v>21</v>
      </c>
      <c r="H3936" t="str">
        <f>"959093"</f>
        <v>959093</v>
      </c>
      <c r="I3936" t="str">
        <f>"AFLAC"</f>
        <v>AFLAC</v>
      </c>
    </row>
    <row r="3937" spans="1:9" x14ac:dyDescent="0.25">
      <c r="E3937" s="7"/>
      <c r="F3937" t="s">
        <v>20</v>
      </c>
      <c r="G3937" t="s">
        <v>21</v>
      </c>
      <c r="H3937" t="str">
        <f>"ACA201806208412"</f>
        <v>ACA201806208412</v>
      </c>
      <c r="I3937" t="str">
        <f>"AFLAC INSURANCE"</f>
        <v>AFLAC INSURANCE</v>
      </c>
    </row>
    <row r="3938" spans="1:9" x14ac:dyDescent="0.25">
      <c r="E3938" s="7"/>
      <c r="F3938" t="s">
        <v>20</v>
      </c>
      <c r="G3938" t="s">
        <v>21</v>
      </c>
      <c r="H3938" t="str">
        <f>"ACA201807028428"</f>
        <v>ACA201807028428</v>
      </c>
      <c r="I3938" t="str">
        <f>"AFLAC INSURANCE"</f>
        <v>AFLAC INSURANCE</v>
      </c>
    </row>
    <row r="3939" spans="1:9" x14ac:dyDescent="0.25">
      <c r="E3939" s="7"/>
      <c r="F3939" t="s">
        <v>20</v>
      </c>
      <c r="G3939" t="s">
        <v>21</v>
      </c>
      <c r="H3939" t="str">
        <f>"AD2201806208412"</f>
        <v>AD2201806208412</v>
      </c>
      <c r="I3939" t="str">
        <f>"AFLAC INSURANCE"</f>
        <v>AFLAC INSURANCE</v>
      </c>
    </row>
    <row r="3940" spans="1:9" x14ac:dyDescent="0.25">
      <c r="E3940" s="7"/>
      <c r="F3940" t="s">
        <v>20</v>
      </c>
      <c r="G3940" t="s">
        <v>21</v>
      </c>
      <c r="H3940" t="str">
        <f>"AD2201807028428"</f>
        <v>AD2201807028428</v>
      </c>
      <c r="I3940" t="str">
        <f>"AFLAC INSURANCE"</f>
        <v>AFLAC INSURANCE</v>
      </c>
    </row>
    <row r="3941" spans="1:9" x14ac:dyDescent="0.25">
      <c r="E3941" s="7"/>
      <c r="F3941" t="s">
        <v>20</v>
      </c>
      <c r="G3941" t="s">
        <v>21</v>
      </c>
      <c r="H3941" t="str">
        <f>"ADR201806208412"</f>
        <v>ADR201806208412</v>
      </c>
      <c r="I3941" t="str">
        <f>"INSURANCE"</f>
        <v>INSURANCE</v>
      </c>
    </row>
    <row r="3942" spans="1:9" x14ac:dyDescent="0.25">
      <c r="E3942" s="7"/>
      <c r="F3942" t="s">
        <v>20</v>
      </c>
      <c r="G3942" t="s">
        <v>21</v>
      </c>
      <c r="H3942" t="str">
        <f>"ADR201807028428"</f>
        <v>ADR201807028428</v>
      </c>
      <c r="I3942" t="str">
        <f>"INSURANCE"</f>
        <v>INSURANCE</v>
      </c>
    </row>
    <row r="3943" spans="1:9" x14ac:dyDescent="0.25">
      <c r="E3943" s="7"/>
      <c r="F3943" t="s">
        <v>20</v>
      </c>
      <c r="G3943" t="s">
        <v>21</v>
      </c>
      <c r="H3943" t="str">
        <f>"AF1201806208412"</f>
        <v>AF1201806208412</v>
      </c>
      <c r="I3943" t="str">
        <f t="shared" ref="I3943:I3948" si="66">"AFLAC INSURANCE"</f>
        <v>AFLAC INSURANCE</v>
      </c>
    </row>
    <row r="3944" spans="1:9" x14ac:dyDescent="0.25">
      <c r="E3944" s="7"/>
      <c r="F3944" t="s">
        <v>20</v>
      </c>
      <c r="G3944" t="s">
        <v>21</v>
      </c>
      <c r="H3944" t="str">
        <f>"AF1201807028428"</f>
        <v>AF1201807028428</v>
      </c>
      <c r="I3944" t="str">
        <f t="shared" si="66"/>
        <v>AFLAC INSURANCE</v>
      </c>
    </row>
    <row r="3945" spans="1:9" x14ac:dyDescent="0.25">
      <c r="E3945" s="7"/>
      <c r="F3945" t="s">
        <v>20</v>
      </c>
      <c r="G3945" t="s">
        <v>21</v>
      </c>
      <c r="H3945" t="str">
        <f>"ASP201806208412"</f>
        <v>ASP201806208412</v>
      </c>
      <c r="I3945" t="str">
        <f t="shared" si="66"/>
        <v>AFLAC INSURANCE</v>
      </c>
    </row>
    <row r="3946" spans="1:9" x14ac:dyDescent="0.25">
      <c r="E3946" s="7"/>
      <c r="F3946" t="s">
        <v>20</v>
      </c>
      <c r="G3946" t="s">
        <v>21</v>
      </c>
      <c r="H3946" t="str">
        <f>"ASP201807028428"</f>
        <v>ASP201807028428</v>
      </c>
      <c r="I3946" t="str">
        <f t="shared" si="66"/>
        <v>AFLAC INSURANCE</v>
      </c>
    </row>
    <row r="3947" spans="1:9" x14ac:dyDescent="0.25">
      <c r="E3947" s="7"/>
      <c r="F3947" t="s">
        <v>20</v>
      </c>
      <c r="G3947" t="s">
        <v>21</v>
      </c>
      <c r="H3947" t="str">
        <f>"HCO201806208412"</f>
        <v>HCO201806208412</v>
      </c>
      <c r="I3947" t="str">
        <f t="shared" si="66"/>
        <v>AFLAC INSURANCE</v>
      </c>
    </row>
    <row r="3948" spans="1:9" x14ac:dyDescent="0.25">
      <c r="E3948" s="7"/>
      <c r="F3948" t="s">
        <v>20</v>
      </c>
      <c r="G3948" t="s">
        <v>21</v>
      </c>
      <c r="H3948" t="str">
        <f>"HCO201807028428"</f>
        <v>HCO201807028428</v>
      </c>
      <c r="I3948" t="str">
        <f t="shared" si="66"/>
        <v>AFLAC INSURANCE</v>
      </c>
    </row>
    <row r="3949" spans="1:9" x14ac:dyDescent="0.25">
      <c r="A3949" s="6">
        <v>43293</v>
      </c>
      <c r="B3949" t="s">
        <v>26</v>
      </c>
      <c r="C3949">
        <v>58166</v>
      </c>
      <c r="D3949" t="s">
        <v>479</v>
      </c>
      <c r="E3949" s="7">
        <v>25</v>
      </c>
      <c r="F3949" t="s">
        <v>20</v>
      </c>
      <c r="G3949" t="s">
        <v>21</v>
      </c>
      <c r="H3949" t="str">
        <f>"POOL REF 6/16"</f>
        <v>POOL REF 6/16</v>
      </c>
      <c r="I3949" t="str">
        <f>"POOL REF"</f>
        <v>POOL REF</v>
      </c>
    </row>
    <row r="3950" spans="1:9" x14ac:dyDescent="0.25">
      <c r="A3950" s="6">
        <v>43293</v>
      </c>
      <c r="B3950" t="s">
        <v>26</v>
      </c>
      <c r="C3950">
        <v>58167</v>
      </c>
      <c r="D3950" t="s">
        <v>92</v>
      </c>
      <c r="E3950" s="7">
        <v>44588.800000000003</v>
      </c>
      <c r="F3950" t="s">
        <v>20</v>
      </c>
      <c r="G3950" t="s">
        <v>21</v>
      </c>
      <c r="H3950" t="str">
        <f>"6/2018"</f>
        <v>6/2018</v>
      </c>
      <c r="I3950" t="str">
        <f>"TEXAS MUNICIPAL RETIREMENT SYS"</f>
        <v>TEXAS MUNICIPAL RETIREMENT SYS</v>
      </c>
    </row>
    <row r="3951" spans="1:9" x14ac:dyDescent="0.25">
      <c r="E3951" s="7"/>
      <c r="F3951" t="s">
        <v>20</v>
      </c>
      <c r="G3951" t="s">
        <v>21</v>
      </c>
      <c r="H3951" t="str">
        <f>"RET201806208412"</f>
        <v>RET201806208412</v>
      </c>
      <c r="I3951" t="str">
        <f>"TMRS CITY OF FLORESVILLE"</f>
        <v>TMRS CITY OF FLORESVILLE</v>
      </c>
    </row>
    <row r="3952" spans="1:9" x14ac:dyDescent="0.25">
      <c r="E3952" s="7"/>
      <c r="F3952" t="s">
        <v>20</v>
      </c>
      <c r="G3952" t="s">
        <v>21</v>
      </c>
      <c r="H3952" t="str">
        <f>"RET201807028428"</f>
        <v>RET201807028428</v>
      </c>
      <c r="I3952" t="str">
        <f>"TMRS CITY OF FLORESVILLE"</f>
        <v>TMRS CITY OF FLORESVILLE</v>
      </c>
    </row>
    <row r="3953" spans="1:9" x14ac:dyDescent="0.25">
      <c r="A3953" s="6">
        <v>43293</v>
      </c>
      <c r="B3953" t="s">
        <v>26</v>
      </c>
      <c r="C3953">
        <v>58171</v>
      </c>
      <c r="D3953" t="s">
        <v>62</v>
      </c>
      <c r="E3953" s="7">
        <v>325.31</v>
      </c>
      <c r="F3953" t="s">
        <v>20</v>
      </c>
      <c r="G3953" t="s">
        <v>21</v>
      </c>
      <c r="H3953" t="str">
        <f>"HMARTINEZ"</f>
        <v>HMARTINEZ</v>
      </c>
      <c r="I3953" t="str">
        <f>"SBS ADMINISTRATIVE SERVICES  L"</f>
        <v>SBS ADMINISTRATIVE SERVICES  L</v>
      </c>
    </row>
    <row r="3954" spans="1:9" x14ac:dyDescent="0.25">
      <c r="A3954" s="6">
        <v>43293</v>
      </c>
      <c r="B3954" t="s">
        <v>26</v>
      </c>
      <c r="C3954">
        <v>58172</v>
      </c>
      <c r="D3954" t="s">
        <v>94</v>
      </c>
      <c r="E3954" s="7">
        <v>32.68</v>
      </c>
      <c r="F3954" t="s">
        <v>20</v>
      </c>
      <c r="G3954" t="s">
        <v>24</v>
      </c>
      <c r="H3954" t="str">
        <f>"6/18"</f>
        <v>6/18</v>
      </c>
      <c r="I3954" t="str">
        <f>"DENTAL SELECT"</f>
        <v>DENTAL SELECT</v>
      </c>
    </row>
    <row r="3955" spans="1:9" x14ac:dyDescent="0.25">
      <c r="E3955" s="7"/>
      <c r="F3955" t="s">
        <v>20</v>
      </c>
      <c r="G3955" t="s">
        <v>21</v>
      </c>
      <c r="H3955" t="str">
        <f>"DEN201806208412"</f>
        <v>DEN201806208412</v>
      </c>
      <c r="I3955" t="str">
        <f>"DENTAL INSURANCE"</f>
        <v>DENTAL INSURANCE</v>
      </c>
    </row>
    <row r="3956" spans="1:9" x14ac:dyDescent="0.25">
      <c r="E3956" s="7"/>
      <c r="F3956" t="s">
        <v>20</v>
      </c>
      <c r="G3956" t="s">
        <v>21</v>
      </c>
      <c r="H3956" t="str">
        <f>"DEN201807028428"</f>
        <v>DEN201807028428</v>
      </c>
      <c r="I3956" t="str">
        <f>"DENTAL INSURANCE"</f>
        <v>DENTAL INSURANCE</v>
      </c>
    </row>
    <row r="3957" spans="1:9" x14ac:dyDescent="0.25">
      <c r="A3957" s="6">
        <v>43293</v>
      </c>
      <c r="B3957" t="s">
        <v>26</v>
      </c>
      <c r="C3957">
        <v>58174</v>
      </c>
      <c r="D3957" t="s">
        <v>95</v>
      </c>
      <c r="E3957" s="7">
        <v>64.959999999999994</v>
      </c>
      <c r="F3957" t="s">
        <v>20</v>
      </c>
      <c r="G3957" t="s">
        <v>21</v>
      </c>
      <c r="H3957" t="str">
        <f>"6/18"</f>
        <v>6/18</v>
      </c>
      <c r="I3957" t="str">
        <f>"LEGAL PLANS"</f>
        <v>LEGAL PLANS</v>
      </c>
    </row>
    <row r="3958" spans="1:9" x14ac:dyDescent="0.25">
      <c r="E3958" s="7"/>
      <c r="F3958" t="s">
        <v>20</v>
      </c>
      <c r="G3958" t="s">
        <v>21</v>
      </c>
      <c r="H3958" t="str">
        <f>"LEA201806208412"</f>
        <v>LEA201806208412</v>
      </c>
      <c r="I3958" t="str">
        <f>"INSURANCE"</f>
        <v>INSURANCE</v>
      </c>
    </row>
    <row r="3959" spans="1:9" x14ac:dyDescent="0.25">
      <c r="E3959" s="7"/>
      <c r="F3959" t="s">
        <v>20</v>
      </c>
      <c r="G3959" t="s">
        <v>21</v>
      </c>
      <c r="H3959" t="str">
        <f>"LEA201807028428"</f>
        <v>LEA201807028428</v>
      </c>
      <c r="I3959" t="str">
        <f>"INSURANCE"</f>
        <v>INSURANCE</v>
      </c>
    </row>
    <row r="3960" spans="1:9" x14ac:dyDescent="0.25">
      <c r="A3960" s="6">
        <v>43293</v>
      </c>
      <c r="B3960" t="s">
        <v>26</v>
      </c>
      <c r="C3960">
        <v>58175</v>
      </c>
      <c r="D3960" t="s">
        <v>29</v>
      </c>
      <c r="E3960" s="7">
        <v>11650</v>
      </c>
      <c r="F3960" t="s">
        <v>20</v>
      </c>
      <c r="G3960" t="s">
        <v>21</v>
      </c>
      <c r="H3960" t="str">
        <f>"32195"</f>
        <v>32195</v>
      </c>
      <c r="I3960" t="str">
        <f>"M &amp; S ENGINEERING  LLC"</f>
        <v>M &amp; S ENGINEERING  LLC</v>
      </c>
    </row>
    <row r="3961" spans="1:9" x14ac:dyDescent="0.25">
      <c r="A3961" s="6">
        <v>43293</v>
      </c>
      <c r="B3961" t="s">
        <v>26</v>
      </c>
      <c r="C3961">
        <v>58176</v>
      </c>
      <c r="D3961" t="s">
        <v>96</v>
      </c>
      <c r="E3961" s="7">
        <v>265.33</v>
      </c>
      <c r="F3961" t="s">
        <v>20</v>
      </c>
      <c r="G3961" t="s">
        <v>21</v>
      </c>
      <c r="H3961" t="str">
        <f>"6/18"</f>
        <v>6/18</v>
      </c>
      <c r="I3961" t="str">
        <f>"LEGALSHIELD"</f>
        <v>LEGALSHIELD</v>
      </c>
    </row>
    <row r="3962" spans="1:9" x14ac:dyDescent="0.25">
      <c r="E3962" s="7"/>
      <c r="F3962" t="s">
        <v>20</v>
      </c>
      <c r="G3962" t="s">
        <v>21</v>
      </c>
      <c r="H3962" t="str">
        <f>"PPL201806208412"</f>
        <v>PPL201806208412</v>
      </c>
      <c r="I3962" t="str">
        <f>"INSURANCE"</f>
        <v>INSURANCE</v>
      </c>
    </row>
    <row r="3963" spans="1:9" x14ac:dyDescent="0.25">
      <c r="E3963" s="7"/>
      <c r="F3963" t="s">
        <v>20</v>
      </c>
      <c r="G3963" t="s">
        <v>21</v>
      </c>
      <c r="H3963" t="str">
        <f>"PPL201807028428"</f>
        <v>PPL201807028428</v>
      </c>
      <c r="I3963" t="str">
        <f>"INSURANCE"</f>
        <v>INSURANCE</v>
      </c>
    </row>
    <row r="3964" spans="1:9" x14ac:dyDescent="0.25">
      <c r="A3964" s="6">
        <v>43293</v>
      </c>
      <c r="B3964" t="s">
        <v>26</v>
      </c>
      <c r="C3964">
        <v>58177</v>
      </c>
      <c r="D3964" t="s">
        <v>205</v>
      </c>
      <c r="E3964" s="7">
        <v>713.5</v>
      </c>
      <c r="F3964" t="s">
        <v>20</v>
      </c>
      <c r="G3964" t="s">
        <v>21</v>
      </c>
      <c r="H3964" t="str">
        <f>"7.12.18"</f>
        <v>7.12.18</v>
      </c>
      <c r="I3964" t="str">
        <f>"SILVER EAGLE DISTRIBUTORS"</f>
        <v>SILVER EAGLE DISTRIBUTORS</v>
      </c>
    </row>
    <row r="3965" spans="1:9" x14ac:dyDescent="0.25">
      <c r="A3965" s="6">
        <v>43293</v>
      </c>
      <c r="B3965" t="s">
        <v>91</v>
      </c>
      <c r="C3965">
        <v>58178</v>
      </c>
      <c r="D3965" t="s">
        <v>97</v>
      </c>
      <c r="E3965" s="7">
        <v>1399.02</v>
      </c>
      <c r="F3965" t="s">
        <v>20</v>
      </c>
      <c r="G3965" t="s">
        <v>21</v>
      </c>
      <c r="H3965" t="str">
        <f>"BME201806208412"</f>
        <v>BME201806208412</v>
      </c>
      <c r="I3965" t="str">
        <f>"INSURANCE"</f>
        <v>INSURANCE</v>
      </c>
    </row>
    <row r="3966" spans="1:9" x14ac:dyDescent="0.25">
      <c r="E3966" s="7"/>
      <c r="F3966" t="s">
        <v>20</v>
      </c>
      <c r="G3966" t="s">
        <v>21</v>
      </c>
      <c r="H3966" t="str">
        <f>"BME201807028428"</f>
        <v>BME201807028428</v>
      </c>
      <c r="I3966" t="str">
        <f>"INSURANCE"</f>
        <v>INSURANCE</v>
      </c>
    </row>
    <row r="3967" spans="1:9" x14ac:dyDescent="0.25">
      <c r="A3967" s="6">
        <v>43293</v>
      </c>
      <c r="B3967" t="s">
        <v>91</v>
      </c>
      <c r="C3967">
        <v>58178</v>
      </c>
      <c r="D3967" t="s">
        <v>97</v>
      </c>
      <c r="E3967" s="7">
        <v>1399.02</v>
      </c>
      <c r="F3967" t="s">
        <v>20</v>
      </c>
      <c r="G3967" t="s">
        <v>93</v>
      </c>
      <c r="H3967" t="str">
        <f>"CHECK"</f>
        <v>CHECK</v>
      </c>
      <c r="I3967" t="str">
        <f>""</f>
        <v/>
      </c>
    </row>
    <row r="3968" spans="1:9" x14ac:dyDescent="0.25">
      <c r="A3968" s="6">
        <v>43293</v>
      </c>
      <c r="B3968" t="s">
        <v>26</v>
      </c>
      <c r="C3968">
        <v>58179</v>
      </c>
      <c r="D3968" t="s">
        <v>98</v>
      </c>
      <c r="E3968" s="7">
        <v>2811.43</v>
      </c>
      <c r="F3968" t="s">
        <v>20</v>
      </c>
      <c r="G3968" t="s">
        <v>24</v>
      </c>
      <c r="H3968" t="str">
        <f>"6/18"</f>
        <v>6/18</v>
      </c>
      <c r="I3968" t="str">
        <f>"DEARBORN NATIONAL"</f>
        <v>DEARBORN NATIONAL</v>
      </c>
    </row>
    <row r="3969" spans="1:9" x14ac:dyDescent="0.25">
      <c r="E3969" s="7"/>
      <c r="F3969" t="s">
        <v>20</v>
      </c>
      <c r="G3969" t="s">
        <v>21</v>
      </c>
      <c r="H3969" t="str">
        <f>"STD201806208412"</f>
        <v>STD201806208412</v>
      </c>
      <c r="I3969" t="str">
        <f>"SHORT TERM DISABILITY"</f>
        <v>SHORT TERM DISABILITY</v>
      </c>
    </row>
    <row r="3970" spans="1:9" x14ac:dyDescent="0.25">
      <c r="E3970" s="7"/>
      <c r="F3970" t="s">
        <v>20</v>
      </c>
      <c r="G3970" t="s">
        <v>21</v>
      </c>
      <c r="H3970" t="str">
        <f>"STD201807028428"</f>
        <v>STD201807028428</v>
      </c>
      <c r="I3970" t="str">
        <f>"SHORT TERM DISABILITY"</f>
        <v>SHORT TERM DISABILITY</v>
      </c>
    </row>
    <row r="3971" spans="1:9" x14ac:dyDescent="0.25">
      <c r="E3971" s="7"/>
      <c r="F3971" t="s">
        <v>20</v>
      </c>
      <c r="G3971" t="s">
        <v>21</v>
      </c>
      <c r="H3971" t="str">
        <f>"VLC201806208412"</f>
        <v>VLC201806208412</v>
      </c>
      <c r="I3971" t="str">
        <f>"CHILD LIFE INSURANCE"</f>
        <v>CHILD LIFE INSURANCE</v>
      </c>
    </row>
    <row r="3972" spans="1:9" x14ac:dyDescent="0.25">
      <c r="E3972" s="7"/>
      <c r="F3972" t="s">
        <v>20</v>
      </c>
      <c r="G3972" t="s">
        <v>21</v>
      </c>
      <c r="H3972" t="str">
        <f>"VLC201807028428"</f>
        <v>VLC201807028428</v>
      </c>
      <c r="I3972" t="str">
        <f>"CHILD LIFE INSURANCE"</f>
        <v>CHILD LIFE INSURANCE</v>
      </c>
    </row>
    <row r="3973" spans="1:9" x14ac:dyDescent="0.25">
      <c r="E3973" s="7"/>
      <c r="F3973" t="s">
        <v>20</v>
      </c>
      <c r="G3973" t="s">
        <v>21</v>
      </c>
      <c r="H3973" t="str">
        <f>"VLS201806208412"</f>
        <v>VLS201806208412</v>
      </c>
      <c r="I3973" t="str">
        <f>"SPOUSE LIFE"</f>
        <v>SPOUSE LIFE</v>
      </c>
    </row>
    <row r="3974" spans="1:9" x14ac:dyDescent="0.25">
      <c r="E3974" s="7"/>
      <c r="F3974" t="s">
        <v>20</v>
      </c>
      <c r="G3974" t="s">
        <v>21</v>
      </c>
      <c r="H3974" t="str">
        <f>"VLS201807028428"</f>
        <v>VLS201807028428</v>
      </c>
      <c r="I3974" t="str">
        <f>"SPOUSE LIFE"</f>
        <v>SPOUSE LIFE</v>
      </c>
    </row>
    <row r="3975" spans="1:9" x14ac:dyDescent="0.25">
      <c r="E3975" s="7"/>
      <c r="F3975" t="s">
        <v>20</v>
      </c>
      <c r="G3975" t="s">
        <v>21</v>
      </c>
      <c r="H3975" t="str">
        <f>"VOE201806208412"</f>
        <v>VOE201806208412</v>
      </c>
      <c r="I3975" t="str">
        <f>"EMPLOYEE LIFE"</f>
        <v>EMPLOYEE LIFE</v>
      </c>
    </row>
    <row r="3976" spans="1:9" x14ac:dyDescent="0.25">
      <c r="E3976" s="7"/>
      <c r="F3976" t="s">
        <v>20</v>
      </c>
      <c r="G3976" t="s">
        <v>21</v>
      </c>
      <c r="H3976" t="str">
        <f>"VOE201807028428"</f>
        <v>VOE201807028428</v>
      </c>
      <c r="I3976" t="str">
        <f>"EMPLOYEE LIFE"</f>
        <v>EMPLOYEE LIFE</v>
      </c>
    </row>
    <row r="3977" spans="1:9" x14ac:dyDescent="0.25">
      <c r="E3977" s="7"/>
      <c r="F3977" t="s">
        <v>20</v>
      </c>
      <c r="G3977" t="s">
        <v>21</v>
      </c>
      <c r="H3977" t="str">
        <f>"VOL201806208412"</f>
        <v>VOL201806208412</v>
      </c>
      <c r="I3977" t="str">
        <f>"LIFE"</f>
        <v>LIFE</v>
      </c>
    </row>
    <row r="3978" spans="1:9" x14ac:dyDescent="0.25">
      <c r="E3978" s="7"/>
      <c r="F3978" t="s">
        <v>20</v>
      </c>
      <c r="G3978" t="s">
        <v>21</v>
      </c>
      <c r="H3978" t="str">
        <f>"VOL201807028428"</f>
        <v>VOL201807028428</v>
      </c>
      <c r="I3978" t="str">
        <f>"LIFE"</f>
        <v>LIFE</v>
      </c>
    </row>
    <row r="3979" spans="1:9" x14ac:dyDescent="0.25">
      <c r="A3979" s="6">
        <v>43293</v>
      </c>
      <c r="B3979" t="s">
        <v>26</v>
      </c>
      <c r="C3979">
        <v>58187</v>
      </c>
      <c r="D3979" t="s">
        <v>99</v>
      </c>
      <c r="E3979" s="7">
        <v>710.99</v>
      </c>
      <c r="F3979" t="s">
        <v>20</v>
      </c>
      <c r="G3979" t="s">
        <v>21</v>
      </c>
      <c r="H3979" t="str">
        <f>"6/18"</f>
        <v>6/18</v>
      </c>
      <c r="I3979" t="str">
        <f>"VISION SERVICE PLAN"</f>
        <v>VISION SERVICE PLAN</v>
      </c>
    </row>
    <row r="3980" spans="1:9" x14ac:dyDescent="0.25">
      <c r="E3980" s="7"/>
      <c r="F3980" t="s">
        <v>20</v>
      </c>
      <c r="G3980" t="s">
        <v>21</v>
      </c>
      <c r="H3980" t="str">
        <f>"VIS201806208412"</f>
        <v>VIS201806208412</v>
      </c>
      <c r="I3980" t="str">
        <f>"VISION INSURANCE"</f>
        <v>VISION INSURANCE</v>
      </c>
    </row>
    <row r="3981" spans="1:9" x14ac:dyDescent="0.25">
      <c r="E3981" s="7"/>
      <c r="F3981" t="s">
        <v>20</v>
      </c>
      <c r="G3981" t="s">
        <v>21</v>
      </c>
      <c r="H3981" t="str">
        <f>"VIS201807028428"</f>
        <v>VIS201807028428</v>
      </c>
      <c r="I3981" t="str">
        <f>"VISION INSURANCE"</f>
        <v>VISION INSURANCE</v>
      </c>
    </row>
    <row r="3982" spans="1:9" x14ac:dyDescent="0.25">
      <c r="A3982" s="6">
        <v>43293</v>
      </c>
      <c r="B3982" t="s">
        <v>26</v>
      </c>
      <c r="C3982">
        <v>58188</v>
      </c>
      <c r="D3982" t="s">
        <v>221</v>
      </c>
      <c r="E3982" s="7">
        <v>37046.51</v>
      </c>
      <c r="F3982" t="s">
        <v>20</v>
      </c>
      <c r="G3982" t="s">
        <v>24</v>
      </c>
      <c r="H3982" t="str">
        <f>"6/2018"</f>
        <v>6/2018</v>
      </c>
      <c r="I3982" t="str">
        <f>"TML MULTISTATE INTERGOVERNMENT"</f>
        <v>TML MULTISTATE INTERGOVERNMENT</v>
      </c>
    </row>
    <row r="3983" spans="1:9" x14ac:dyDescent="0.25">
      <c r="E3983" s="7"/>
      <c r="F3983" t="s">
        <v>20</v>
      </c>
      <c r="G3983" t="s">
        <v>21</v>
      </c>
      <c r="H3983" t="str">
        <f>"MED201806208412"</f>
        <v>MED201806208412</v>
      </c>
      <c r="I3983" t="str">
        <f>"INSURANCE"</f>
        <v>INSURANCE</v>
      </c>
    </row>
    <row r="3984" spans="1:9" x14ac:dyDescent="0.25">
      <c r="E3984" s="7"/>
      <c r="F3984" t="s">
        <v>20</v>
      </c>
      <c r="G3984" t="s">
        <v>21</v>
      </c>
      <c r="H3984" t="str">
        <f>"MED201807028428"</f>
        <v>MED201807028428</v>
      </c>
      <c r="I3984" t="str">
        <f>"INSURANCE"</f>
        <v>INSURANCE</v>
      </c>
    </row>
    <row r="3985" spans="1:9" x14ac:dyDescent="0.25">
      <c r="A3985" s="6">
        <v>43293</v>
      </c>
      <c r="B3985" t="s">
        <v>26</v>
      </c>
      <c r="C3985">
        <v>58193</v>
      </c>
      <c r="D3985" t="s">
        <v>223</v>
      </c>
      <c r="E3985" s="7">
        <v>75</v>
      </c>
      <c r="F3985" t="s">
        <v>20</v>
      </c>
      <c r="G3985" t="s">
        <v>21</v>
      </c>
      <c r="H3985" t="str">
        <f>"72018-COUNCIL"</f>
        <v>72018-COUNCIL</v>
      </c>
      <c r="I3985" t="str">
        <f>""</f>
        <v/>
      </c>
    </row>
    <row r="3986" spans="1:9" x14ac:dyDescent="0.25">
      <c r="A3986" s="6">
        <v>43293</v>
      </c>
      <c r="B3986" t="s">
        <v>26</v>
      </c>
      <c r="C3986">
        <v>58194</v>
      </c>
      <c r="D3986" t="s">
        <v>36</v>
      </c>
      <c r="E3986" s="7">
        <v>75</v>
      </c>
      <c r="F3986" t="s">
        <v>20</v>
      </c>
      <c r="G3986" t="s">
        <v>21</v>
      </c>
      <c r="H3986" t="str">
        <f>"72018-COUNCIL"</f>
        <v>72018-COUNCIL</v>
      </c>
      <c r="I3986" t="str">
        <f>""</f>
        <v/>
      </c>
    </row>
    <row r="3987" spans="1:9" x14ac:dyDescent="0.25">
      <c r="A3987" s="6">
        <v>43293</v>
      </c>
      <c r="B3987" t="s">
        <v>26</v>
      </c>
      <c r="C3987">
        <v>58195</v>
      </c>
      <c r="D3987" t="s">
        <v>37</v>
      </c>
      <c r="E3987" s="7">
        <v>75</v>
      </c>
      <c r="F3987" t="s">
        <v>20</v>
      </c>
      <c r="G3987" t="s">
        <v>21</v>
      </c>
      <c r="H3987" t="str">
        <f>"72018-COUNCIL"</f>
        <v>72018-COUNCIL</v>
      </c>
      <c r="I3987" t="str">
        <f>""</f>
        <v/>
      </c>
    </row>
    <row r="3988" spans="1:9" x14ac:dyDescent="0.25">
      <c r="A3988" s="6">
        <v>43293</v>
      </c>
      <c r="B3988" t="s">
        <v>26</v>
      </c>
      <c r="C3988">
        <v>58196</v>
      </c>
      <c r="D3988" t="s">
        <v>38</v>
      </c>
      <c r="E3988" s="7">
        <v>100</v>
      </c>
      <c r="F3988" t="s">
        <v>20</v>
      </c>
      <c r="G3988" t="s">
        <v>21</v>
      </c>
      <c r="H3988" t="str">
        <f>"72018-MAYOR"</f>
        <v>72018-MAYOR</v>
      </c>
      <c r="I3988" t="str">
        <f>""</f>
        <v/>
      </c>
    </row>
    <row r="3989" spans="1:9" x14ac:dyDescent="0.25">
      <c r="A3989" s="6">
        <v>43293</v>
      </c>
      <c r="B3989" t="s">
        <v>26</v>
      </c>
      <c r="C3989">
        <v>58197</v>
      </c>
      <c r="D3989" t="s">
        <v>39</v>
      </c>
      <c r="E3989" s="7">
        <v>75</v>
      </c>
      <c r="F3989" t="s">
        <v>20</v>
      </c>
      <c r="G3989" t="s">
        <v>21</v>
      </c>
      <c r="H3989" t="str">
        <f>"72018-COUNCIL"</f>
        <v>72018-COUNCIL</v>
      </c>
      <c r="I3989" t="str">
        <f>""</f>
        <v/>
      </c>
    </row>
    <row r="3990" spans="1:9" x14ac:dyDescent="0.25">
      <c r="A3990" s="6">
        <v>43293</v>
      </c>
      <c r="B3990" t="s">
        <v>26</v>
      </c>
      <c r="C3990">
        <v>58198</v>
      </c>
      <c r="D3990" t="s">
        <v>40</v>
      </c>
      <c r="E3990" s="7">
        <v>75</v>
      </c>
      <c r="F3990" t="s">
        <v>20</v>
      </c>
      <c r="G3990" t="s">
        <v>21</v>
      </c>
      <c r="H3990" t="str">
        <f>"72018-COUNCIL"</f>
        <v>72018-COUNCIL</v>
      </c>
      <c r="I3990" t="str">
        <f>""</f>
        <v/>
      </c>
    </row>
    <row r="3991" spans="1:9" x14ac:dyDescent="0.25">
      <c r="A3991" s="6">
        <v>43299</v>
      </c>
      <c r="B3991" t="s">
        <v>26</v>
      </c>
      <c r="C3991">
        <v>58228</v>
      </c>
      <c r="D3991" t="s">
        <v>51</v>
      </c>
      <c r="E3991" s="7">
        <v>290.89999999999998</v>
      </c>
      <c r="F3991" t="s">
        <v>20</v>
      </c>
      <c r="G3991" t="s">
        <v>21</v>
      </c>
      <c r="H3991" t="str">
        <f>"CLE201807188432"</f>
        <v>CLE201807188432</v>
      </c>
      <c r="I3991" t="str">
        <f>"CLEAT ONLY DUES"</f>
        <v>CLEAT ONLY DUES</v>
      </c>
    </row>
    <row r="3992" spans="1:9" x14ac:dyDescent="0.25">
      <c r="E3992" s="7"/>
      <c r="F3992" t="s">
        <v>20</v>
      </c>
      <c r="G3992" t="s">
        <v>21</v>
      </c>
      <c r="H3992" t="str">
        <f>"PDD201807188432"</f>
        <v>PDD201807188432</v>
      </c>
      <c r="I3992" t="str">
        <f>"POLICE OFFICERS ASSOC DUES"</f>
        <v>POLICE OFFICERS ASSOC DUES</v>
      </c>
    </row>
    <row r="3993" spans="1:9" x14ac:dyDescent="0.25">
      <c r="A3993" s="6">
        <v>43299</v>
      </c>
      <c r="B3993" t="s">
        <v>26</v>
      </c>
      <c r="C3993">
        <v>58229</v>
      </c>
      <c r="D3993" t="s">
        <v>90</v>
      </c>
      <c r="E3993" s="7">
        <v>101.1</v>
      </c>
      <c r="F3993" t="s">
        <v>20</v>
      </c>
      <c r="G3993" t="s">
        <v>21</v>
      </c>
      <c r="H3993" t="str">
        <f>"AFS201807188432"</f>
        <v>AFS201807188432</v>
      </c>
      <c r="I3993" t="str">
        <f>"AFLAC STD"</f>
        <v>AFLAC STD</v>
      </c>
    </row>
    <row r="3994" spans="1:9" x14ac:dyDescent="0.25">
      <c r="A3994" s="6">
        <v>43299</v>
      </c>
      <c r="B3994" t="s">
        <v>26</v>
      </c>
      <c r="C3994">
        <v>58230</v>
      </c>
      <c r="D3994" t="s">
        <v>52</v>
      </c>
      <c r="E3994" s="7">
        <v>1294.68</v>
      </c>
      <c r="F3994" t="s">
        <v>20</v>
      </c>
      <c r="G3994" t="s">
        <v>21</v>
      </c>
      <c r="H3994" t="str">
        <f>"CPS201807188432"</f>
        <v>CPS201807188432</v>
      </c>
      <c r="I3994" t="str">
        <f>"G MENDOZA 00123012032010EM5054"</f>
        <v>G MENDOZA 00123012032010EM5054</v>
      </c>
    </row>
    <row r="3995" spans="1:9" x14ac:dyDescent="0.25">
      <c r="E3995" s="7"/>
      <c r="F3995" t="s">
        <v>20</v>
      </c>
      <c r="G3995" t="s">
        <v>21</v>
      </c>
      <c r="H3995" t="str">
        <f>"CS 201807188432"</f>
        <v>CS 201807188432</v>
      </c>
      <c r="I3995" t="str">
        <f>"CAUSE#98EM504113 PEGGY RIVAS"</f>
        <v>CAUSE#98EM504113 PEGGY RIVAS</v>
      </c>
    </row>
    <row r="3996" spans="1:9" x14ac:dyDescent="0.25">
      <c r="E3996" s="7"/>
      <c r="F3996" t="s">
        <v>20</v>
      </c>
      <c r="G3996" t="s">
        <v>21</v>
      </c>
      <c r="H3996" t="str">
        <f>"CSJ201807188432"</f>
        <v>CSJ201807188432</v>
      </c>
      <c r="I3996" t="str">
        <f>"CAUSE# 0010185272 MARIANN GUTI"</f>
        <v>CAUSE# 0010185272 MARIANN GUTI</v>
      </c>
    </row>
    <row r="3997" spans="1:9" x14ac:dyDescent="0.25">
      <c r="E3997" s="7"/>
      <c r="F3997" t="s">
        <v>20</v>
      </c>
      <c r="G3997" t="s">
        <v>21</v>
      </c>
      <c r="H3997" t="str">
        <f>"CST201807188432"</f>
        <v>CST201807188432</v>
      </c>
      <c r="I3997" t="str">
        <f>"CAUSE #0009418917 SONIA PEREZ"</f>
        <v>CAUSE #0009418917 SONIA PEREZ</v>
      </c>
    </row>
    <row r="3998" spans="1:9" x14ac:dyDescent="0.25">
      <c r="A3998" s="6">
        <v>43299</v>
      </c>
      <c r="B3998" t="s">
        <v>26</v>
      </c>
      <c r="C3998">
        <v>58231</v>
      </c>
      <c r="D3998" t="s">
        <v>53</v>
      </c>
      <c r="E3998" s="7">
        <v>99.1</v>
      </c>
      <c r="F3998" t="s">
        <v>20</v>
      </c>
      <c r="G3998" t="s">
        <v>21</v>
      </c>
      <c r="H3998" t="str">
        <f>"MCO201807188432"</f>
        <v>MCO201807188432</v>
      </c>
      <c r="I3998" t="str">
        <f>"MONICA CORDOVA"</f>
        <v>MONICA CORDOVA</v>
      </c>
    </row>
    <row r="3999" spans="1:9" x14ac:dyDescent="0.25">
      <c r="A3999" s="6">
        <v>43299</v>
      </c>
      <c r="B3999" t="s">
        <v>26</v>
      </c>
      <c r="C3999">
        <v>58232</v>
      </c>
      <c r="D3999" t="s">
        <v>54</v>
      </c>
      <c r="E3999" s="7">
        <v>1077.94</v>
      </c>
      <c r="F3999" t="s">
        <v>20</v>
      </c>
      <c r="G3999" t="s">
        <v>21</v>
      </c>
      <c r="H3999" t="str">
        <f>"457201807188432"</f>
        <v>457201807188432</v>
      </c>
      <c r="I3999" t="str">
        <f>"CASE # 180-60751 457B DEDUCT"</f>
        <v>CASE # 180-60751 457B DEDUCT</v>
      </c>
    </row>
    <row r="4000" spans="1:9" x14ac:dyDescent="0.25">
      <c r="A4000" s="6">
        <v>43299</v>
      </c>
      <c r="B4000" t="s">
        <v>26</v>
      </c>
      <c r="C4000">
        <v>58233</v>
      </c>
      <c r="D4000" t="s">
        <v>102</v>
      </c>
      <c r="E4000" s="7">
        <v>107.36</v>
      </c>
      <c r="F4000" t="s">
        <v>20</v>
      </c>
      <c r="G4000" t="s">
        <v>21</v>
      </c>
      <c r="H4000" t="str">
        <f>"201807188433"</f>
        <v>201807188433</v>
      </c>
      <c r="I4000" t="str">
        <f>"CENTERPOINT ENERGY ENTEX"</f>
        <v>CENTERPOINT ENERGY ENTEX</v>
      </c>
    </row>
    <row r="4001" spans="1:9" x14ac:dyDescent="0.25">
      <c r="E4001" s="7"/>
      <c r="F4001" t="s">
        <v>20</v>
      </c>
      <c r="G4001" t="s">
        <v>21</v>
      </c>
      <c r="H4001" t="str">
        <f>"201807188434"</f>
        <v>201807188434</v>
      </c>
      <c r="I4001" t="str">
        <f>"CENTERPOINT ENERGY ENTEX"</f>
        <v>CENTERPOINT ENERGY ENTEX</v>
      </c>
    </row>
    <row r="4002" spans="1:9" x14ac:dyDescent="0.25">
      <c r="E4002" s="7"/>
      <c r="F4002" t="s">
        <v>20</v>
      </c>
      <c r="G4002" t="s">
        <v>21</v>
      </c>
      <c r="H4002" t="str">
        <f>"201807188436"</f>
        <v>201807188436</v>
      </c>
      <c r="I4002" t="str">
        <f>"CENTERPOINT ENERGY ENTEX"</f>
        <v>CENTERPOINT ENERGY ENTEX</v>
      </c>
    </row>
    <row r="4003" spans="1:9" x14ac:dyDescent="0.25">
      <c r="E4003" s="7"/>
      <c r="F4003" t="s">
        <v>20</v>
      </c>
      <c r="G4003" t="s">
        <v>21</v>
      </c>
      <c r="H4003" t="str">
        <f>"201807188437"</f>
        <v>201807188437</v>
      </c>
      <c r="I4003" t="str">
        <f>"CENTERPOINT ENERGY ENTEX"</f>
        <v>CENTERPOINT ENERGY ENTEX</v>
      </c>
    </row>
    <row r="4004" spans="1:9" x14ac:dyDescent="0.25">
      <c r="A4004" s="6">
        <v>43299</v>
      </c>
      <c r="B4004" t="s">
        <v>26</v>
      </c>
      <c r="C4004">
        <v>58234</v>
      </c>
      <c r="D4004" t="s">
        <v>57</v>
      </c>
      <c r="E4004" s="7">
        <v>9229.52</v>
      </c>
      <c r="F4004" t="s">
        <v>20</v>
      </c>
      <c r="G4004" t="s">
        <v>21</v>
      </c>
      <c r="H4004" t="str">
        <f>"7/02/18"</f>
        <v>7/02/18</v>
      </c>
      <c r="I4004" t="str">
        <f>"F.E.L.P.S."</f>
        <v>F.E.L.P.S.</v>
      </c>
    </row>
    <row r="4005" spans="1:9" x14ac:dyDescent="0.25">
      <c r="A4005" s="6">
        <v>43299</v>
      </c>
      <c r="B4005" t="s">
        <v>26</v>
      </c>
      <c r="C4005">
        <v>58235</v>
      </c>
      <c r="D4005" t="s">
        <v>103</v>
      </c>
      <c r="E4005" s="7">
        <v>70842.55</v>
      </c>
      <c r="F4005" t="s">
        <v>20</v>
      </c>
      <c r="G4005" t="s">
        <v>21</v>
      </c>
      <c r="H4005" t="str">
        <f>"5243"</f>
        <v>5243</v>
      </c>
      <c r="I4005" t="str">
        <f>"F. E. D. C."</f>
        <v>F. E. D. C.</v>
      </c>
    </row>
    <row r="4006" spans="1:9" x14ac:dyDescent="0.25">
      <c r="A4006" s="6">
        <v>43299</v>
      </c>
      <c r="B4006" t="s">
        <v>26</v>
      </c>
      <c r="C4006">
        <v>58236</v>
      </c>
      <c r="D4006" t="s">
        <v>104</v>
      </c>
      <c r="E4006" s="7">
        <v>148.72</v>
      </c>
      <c r="F4006" t="s">
        <v>20</v>
      </c>
      <c r="G4006" t="s">
        <v>21</v>
      </c>
      <c r="H4006" t="str">
        <f>"201807188442"</f>
        <v>201807188442</v>
      </c>
      <c r="I4006" t="str">
        <f>"WILSON COUNTY NEWS"</f>
        <v>WILSON COUNTY NEWS</v>
      </c>
    </row>
    <row r="4007" spans="1:9" x14ac:dyDescent="0.25">
      <c r="A4007" s="6">
        <v>43299</v>
      </c>
      <c r="B4007" t="s">
        <v>26</v>
      </c>
      <c r="C4007">
        <v>58237</v>
      </c>
      <c r="D4007" t="s">
        <v>59</v>
      </c>
      <c r="E4007" s="7">
        <v>1540.48</v>
      </c>
      <c r="F4007" t="s">
        <v>20</v>
      </c>
      <c r="G4007" t="s">
        <v>21</v>
      </c>
      <c r="H4007" t="str">
        <f>"0957788-1"</f>
        <v>0957788-1</v>
      </c>
      <c r="I4007" t="str">
        <f>"FERGUSON WATERWORKS - MUNICIPA"</f>
        <v>FERGUSON WATERWORKS - MUNICIPA</v>
      </c>
    </row>
    <row r="4008" spans="1:9" x14ac:dyDescent="0.25">
      <c r="E4008" s="7"/>
      <c r="F4008" t="s">
        <v>20</v>
      </c>
      <c r="G4008" t="s">
        <v>21</v>
      </c>
      <c r="H4008" t="str">
        <f>"0961621"</f>
        <v>0961621</v>
      </c>
      <c r="I4008" t="str">
        <f>"FERGUSON WATERWORKS - MUNICIPA"</f>
        <v>FERGUSON WATERWORKS - MUNICIPA</v>
      </c>
    </row>
    <row r="4009" spans="1:9" x14ac:dyDescent="0.25">
      <c r="A4009" s="6">
        <v>43299</v>
      </c>
      <c r="B4009" t="s">
        <v>26</v>
      </c>
      <c r="C4009">
        <v>58238</v>
      </c>
      <c r="D4009" t="s">
        <v>273</v>
      </c>
      <c r="E4009" s="7">
        <v>7735.78</v>
      </c>
      <c r="F4009" t="s">
        <v>20</v>
      </c>
      <c r="G4009" t="s">
        <v>21</v>
      </c>
      <c r="H4009" t="str">
        <f>"5119-000084154"</f>
        <v>5119-000084154</v>
      </c>
      <c r="I4009" t="str">
        <f>"REPUBLIC SERVICES TESSMAN ROAD"</f>
        <v>REPUBLIC SERVICES TESSMAN ROAD</v>
      </c>
    </row>
    <row r="4010" spans="1:9" x14ac:dyDescent="0.25">
      <c r="A4010" s="6">
        <v>43299</v>
      </c>
      <c r="B4010" t="s">
        <v>26</v>
      </c>
      <c r="C4010">
        <v>58239</v>
      </c>
      <c r="D4010" t="s">
        <v>180</v>
      </c>
      <c r="E4010" s="7">
        <v>304.58999999999997</v>
      </c>
      <c r="F4010" t="s">
        <v>20</v>
      </c>
      <c r="G4010" t="s">
        <v>21</v>
      </c>
      <c r="H4010" t="str">
        <f>"30125753"</f>
        <v>30125753</v>
      </c>
      <c r="I4010" t="str">
        <f>"DITTMAR LUMBER CO."</f>
        <v>DITTMAR LUMBER CO.</v>
      </c>
    </row>
    <row r="4011" spans="1:9" x14ac:dyDescent="0.25">
      <c r="A4011" s="6">
        <v>43299</v>
      </c>
      <c r="B4011" t="s">
        <v>26</v>
      </c>
      <c r="C4011">
        <v>58240</v>
      </c>
      <c r="D4011" t="s">
        <v>114</v>
      </c>
      <c r="E4011" s="7">
        <v>100</v>
      </c>
      <c r="F4011" t="s">
        <v>20</v>
      </c>
      <c r="G4011" t="s">
        <v>21</v>
      </c>
      <c r="H4011" t="str">
        <f>"201807188443"</f>
        <v>201807188443</v>
      </c>
      <c r="I4011" t="str">
        <f>"STATE COMPTROLLER"</f>
        <v>STATE COMPTROLLER</v>
      </c>
    </row>
    <row r="4012" spans="1:9" x14ac:dyDescent="0.25">
      <c r="A4012" s="6">
        <v>43299</v>
      </c>
      <c r="B4012" t="s">
        <v>26</v>
      </c>
      <c r="C4012">
        <v>58241</v>
      </c>
      <c r="D4012" t="s">
        <v>184</v>
      </c>
      <c r="E4012" s="7">
        <v>923</v>
      </c>
      <c r="F4012" t="s">
        <v>20</v>
      </c>
      <c r="G4012" t="s">
        <v>21</v>
      </c>
      <c r="H4012" t="str">
        <f>"1051-177"</f>
        <v>1051-177</v>
      </c>
      <c r="I4012" t="str">
        <f>"POLLUTION CONTROL SERVICES"</f>
        <v>POLLUTION CONTROL SERVICES</v>
      </c>
    </row>
    <row r="4013" spans="1:9" x14ac:dyDescent="0.25">
      <c r="E4013" s="7"/>
      <c r="F4013" t="s">
        <v>20</v>
      </c>
      <c r="G4013" t="s">
        <v>21</v>
      </c>
      <c r="H4013" t="str">
        <f>"1051-178"</f>
        <v>1051-178</v>
      </c>
      <c r="I4013" t="str">
        <f>"POLLUTION CONTROL SERVICES"</f>
        <v>POLLUTION CONTROL SERVICES</v>
      </c>
    </row>
    <row r="4014" spans="1:9" x14ac:dyDescent="0.25">
      <c r="A4014" s="6">
        <v>43299</v>
      </c>
      <c r="B4014" t="s">
        <v>26</v>
      </c>
      <c r="C4014">
        <v>58242</v>
      </c>
      <c r="D4014" t="s">
        <v>325</v>
      </c>
      <c r="E4014" s="7">
        <v>50.13</v>
      </c>
      <c r="F4014" t="s">
        <v>20</v>
      </c>
      <c r="G4014" t="s">
        <v>21</v>
      </c>
      <c r="H4014" t="str">
        <f>"201807188440"</f>
        <v>201807188440</v>
      </c>
      <c r="I4014" t="str">
        <f>"DSHS CENTRAL LAB MC2004"</f>
        <v>DSHS CENTRAL LAB MC2004</v>
      </c>
    </row>
    <row r="4015" spans="1:9" x14ac:dyDescent="0.25">
      <c r="A4015" s="6">
        <v>43299</v>
      </c>
      <c r="B4015" t="s">
        <v>26</v>
      </c>
      <c r="C4015">
        <v>58243</v>
      </c>
      <c r="D4015" t="s">
        <v>63</v>
      </c>
      <c r="E4015" s="7">
        <v>297</v>
      </c>
      <c r="F4015" t="s">
        <v>20</v>
      </c>
      <c r="G4015" t="s">
        <v>21</v>
      </c>
      <c r="H4015" t="str">
        <f>"8403728308"</f>
        <v>8403728308</v>
      </c>
      <c r="I4015" t="str">
        <f>"CINTAS CORPORATION"</f>
        <v>CINTAS CORPORATION</v>
      </c>
    </row>
    <row r="4016" spans="1:9" x14ac:dyDescent="0.25">
      <c r="A4016" s="6">
        <v>43299</v>
      </c>
      <c r="B4016" t="s">
        <v>26</v>
      </c>
      <c r="C4016">
        <v>58244</v>
      </c>
      <c r="D4016" t="s">
        <v>117</v>
      </c>
      <c r="E4016" s="7">
        <v>1029.75</v>
      </c>
      <c r="F4016" t="s">
        <v>20</v>
      </c>
      <c r="G4016" t="s">
        <v>21</v>
      </c>
      <c r="H4016" t="str">
        <f>"JUNE 2018"</f>
        <v>JUNE 2018</v>
      </c>
      <c r="I4016" t="str">
        <f>"LINEBARGER GOGGAN BLAIR &amp; SAMP"</f>
        <v>LINEBARGER GOGGAN BLAIR &amp; SAMP</v>
      </c>
    </row>
    <row r="4017" spans="1:9" x14ac:dyDescent="0.25">
      <c r="A4017" s="6">
        <v>43299</v>
      </c>
      <c r="B4017" t="s">
        <v>26</v>
      </c>
      <c r="C4017">
        <v>58245</v>
      </c>
      <c r="D4017" t="s">
        <v>480</v>
      </c>
      <c r="E4017" s="7">
        <v>713.2</v>
      </c>
      <c r="F4017" t="s">
        <v>20</v>
      </c>
      <c r="G4017" t="s">
        <v>21</v>
      </c>
      <c r="H4017" t="str">
        <f>"REIMBURSEMENT"</f>
        <v>REIMBURSEMENT</v>
      </c>
      <c r="I4017" t="str">
        <f>"JESSE EVINS"</f>
        <v>JESSE EVINS</v>
      </c>
    </row>
    <row r="4018" spans="1:9" x14ac:dyDescent="0.25">
      <c r="A4018" s="6">
        <v>43299</v>
      </c>
      <c r="B4018" t="s">
        <v>26</v>
      </c>
      <c r="C4018">
        <v>58246</v>
      </c>
      <c r="D4018" t="s">
        <v>120</v>
      </c>
      <c r="E4018" s="7">
        <v>1786.06</v>
      </c>
      <c r="F4018" t="s">
        <v>20</v>
      </c>
      <c r="G4018" t="s">
        <v>21</v>
      </c>
      <c r="H4018" t="str">
        <f>"70845787"</f>
        <v>70845787</v>
      </c>
      <c r="I4018" t="str">
        <f>"VERIZON BUSINESS"</f>
        <v>VERIZON BUSINESS</v>
      </c>
    </row>
    <row r="4019" spans="1:9" x14ac:dyDescent="0.25">
      <c r="E4019" s="7"/>
      <c r="F4019" t="s">
        <v>20</v>
      </c>
      <c r="G4019" t="s">
        <v>21</v>
      </c>
      <c r="H4019" t="str">
        <f>"70851301"</f>
        <v>70851301</v>
      </c>
      <c r="I4019" t="str">
        <f>"VERIZON BUSINESS"</f>
        <v>VERIZON BUSINESS</v>
      </c>
    </row>
    <row r="4020" spans="1:9" x14ac:dyDescent="0.25">
      <c r="A4020" s="6">
        <v>43299</v>
      </c>
      <c r="B4020" t="s">
        <v>26</v>
      </c>
      <c r="C4020">
        <v>58247</v>
      </c>
      <c r="D4020" t="s">
        <v>426</v>
      </c>
      <c r="E4020" s="7">
        <v>663.95</v>
      </c>
      <c r="F4020" t="s">
        <v>20</v>
      </c>
      <c r="G4020" t="s">
        <v>21</v>
      </c>
      <c r="H4020" t="str">
        <f>"INV0665176"</f>
        <v>INV0665176</v>
      </c>
      <c r="I4020" t="str">
        <f>"GT DISTRIBUTORS  INC."</f>
        <v>GT DISTRIBUTORS  INC.</v>
      </c>
    </row>
    <row r="4021" spans="1:9" x14ac:dyDescent="0.25">
      <c r="A4021" s="6">
        <v>43299</v>
      </c>
      <c r="B4021" t="s">
        <v>26</v>
      </c>
      <c r="C4021">
        <v>58248</v>
      </c>
      <c r="D4021" t="s">
        <v>70</v>
      </c>
      <c r="E4021" s="7">
        <v>72.95</v>
      </c>
      <c r="F4021" t="s">
        <v>20</v>
      </c>
      <c r="G4021" t="s">
        <v>21</v>
      </c>
      <c r="H4021" t="str">
        <f>"A987137"</f>
        <v>A987137</v>
      </c>
      <c r="I4021" t="str">
        <f>"TEXAS WIRED MUSIC  INC."</f>
        <v>TEXAS WIRED MUSIC  INC.</v>
      </c>
    </row>
    <row r="4022" spans="1:9" x14ac:dyDescent="0.25">
      <c r="A4022" s="6">
        <v>43299</v>
      </c>
      <c r="B4022" t="s">
        <v>26</v>
      </c>
      <c r="C4022">
        <v>58249</v>
      </c>
      <c r="D4022" t="s">
        <v>146</v>
      </c>
      <c r="E4022" s="7">
        <v>150</v>
      </c>
      <c r="F4022" t="s">
        <v>20</v>
      </c>
      <c r="G4022" t="s">
        <v>21</v>
      </c>
      <c r="H4022" t="str">
        <f>"557100"</f>
        <v>557100</v>
      </c>
      <c r="I4022" t="str">
        <f>"LARRY SRALLA ELECTRIC"</f>
        <v>LARRY SRALLA ELECTRIC</v>
      </c>
    </row>
    <row r="4023" spans="1:9" x14ac:dyDescent="0.25">
      <c r="A4023" s="6">
        <v>43299</v>
      </c>
      <c r="B4023" t="s">
        <v>26</v>
      </c>
      <c r="C4023">
        <v>58250</v>
      </c>
      <c r="D4023" t="s">
        <v>71</v>
      </c>
      <c r="E4023" s="7">
        <v>300.52999999999997</v>
      </c>
      <c r="F4023" t="s">
        <v>20</v>
      </c>
      <c r="G4023" t="s">
        <v>21</v>
      </c>
      <c r="H4023" t="str">
        <f>"087159429"</f>
        <v>087159429</v>
      </c>
      <c r="I4023" t="str">
        <f>"CINTAS CORPORATION #087"</f>
        <v>CINTAS CORPORATION #087</v>
      </c>
    </row>
    <row r="4024" spans="1:9" x14ac:dyDescent="0.25">
      <c r="E4024" s="7"/>
      <c r="F4024" t="s">
        <v>20</v>
      </c>
      <c r="G4024" t="s">
        <v>21</v>
      </c>
      <c r="H4024" t="str">
        <f>"087160822"</f>
        <v>087160822</v>
      </c>
      <c r="I4024" t="str">
        <f>"CINTAS CORPORATION #087"</f>
        <v>CINTAS CORPORATION #087</v>
      </c>
    </row>
    <row r="4025" spans="1:9" x14ac:dyDescent="0.25">
      <c r="A4025" s="6">
        <v>43299</v>
      </c>
      <c r="B4025" t="s">
        <v>26</v>
      </c>
      <c r="C4025">
        <v>58251</v>
      </c>
      <c r="D4025" t="s">
        <v>74</v>
      </c>
      <c r="E4025" s="7">
        <v>92.44</v>
      </c>
      <c r="F4025" t="s">
        <v>20</v>
      </c>
      <c r="G4025" t="s">
        <v>21</v>
      </c>
      <c r="H4025" t="str">
        <f>"9809689647"</f>
        <v>9809689647</v>
      </c>
      <c r="I4025" t="str">
        <f>"VERIZON WIRELESS"</f>
        <v>VERIZON WIRELESS</v>
      </c>
    </row>
    <row r="4026" spans="1:9" x14ac:dyDescent="0.25">
      <c r="A4026" s="6">
        <v>43299</v>
      </c>
      <c r="B4026" t="s">
        <v>26</v>
      </c>
      <c r="C4026">
        <v>58252</v>
      </c>
      <c r="D4026" t="s">
        <v>341</v>
      </c>
      <c r="E4026" s="7">
        <v>55</v>
      </c>
      <c r="F4026" t="s">
        <v>20</v>
      </c>
      <c r="G4026" t="s">
        <v>21</v>
      </c>
      <c r="H4026" t="str">
        <f>"7/14/18"</f>
        <v>7/14/18</v>
      </c>
      <c r="I4026" t="str">
        <f>"JUANITA MONTOYA"</f>
        <v>JUANITA MONTOYA</v>
      </c>
    </row>
    <row r="4027" spans="1:9" x14ac:dyDescent="0.25">
      <c r="A4027" s="6">
        <v>43299</v>
      </c>
      <c r="B4027" t="s">
        <v>26</v>
      </c>
      <c r="C4027">
        <v>58253</v>
      </c>
      <c r="D4027" t="s">
        <v>77</v>
      </c>
      <c r="E4027" s="7">
        <v>1608.64</v>
      </c>
      <c r="F4027" t="s">
        <v>20</v>
      </c>
      <c r="G4027" t="s">
        <v>21</v>
      </c>
      <c r="H4027" t="str">
        <f>"857001144-18"</f>
        <v>857001144-18</v>
      </c>
      <c r="I4027" t="str">
        <f t="shared" ref="I4027:I4032" si="67">"DPC INDUSTRIES  INC."</f>
        <v>DPC INDUSTRIES  INC.</v>
      </c>
    </row>
    <row r="4028" spans="1:9" x14ac:dyDescent="0.25">
      <c r="E4028" s="7"/>
      <c r="F4028" t="s">
        <v>20</v>
      </c>
      <c r="G4028" t="s">
        <v>21</v>
      </c>
      <c r="H4028" t="str">
        <f>"857001145-18"</f>
        <v>857001145-18</v>
      </c>
      <c r="I4028" t="str">
        <f t="shared" si="67"/>
        <v>DPC INDUSTRIES  INC.</v>
      </c>
    </row>
    <row r="4029" spans="1:9" x14ac:dyDescent="0.25">
      <c r="E4029" s="7"/>
      <c r="F4029" t="s">
        <v>20</v>
      </c>
      <c r="G4029" t="s">
        <v>21</v>
      </c>
      <c r="H4029" t="str">
        <f>"857001227-18"</f>
        <v>857001227-18</v>
      </c>
      <c r="I4029" t="str">
        <f t="shared" si="67"/>
        <v>DPC INDUSTRIES  INC.</v>
      </c>
    </row>
    <row r="4030" spans="1:9" x14ac:dyDescent="0.25">
      <c r="E4030" s="7"/>
      <c r="F4030" t="s">
        <v>20</v>
      </c>
      <c r="G4030" t="s">
        <v>21</v>
      </c>
      <c r="H4030" t="str">
        <f>"857001228-18"</f>
        <v>857001228-18</v>
      </c>
      <c r="I4030" t="str">
        <f t="shared" si="67"/>
        <v>DPC INDUSTRIES  INC.</v>
      </c>
    </row>
    <row r="4031" spans="1:9" x14ac:dyDescent="0.25">
      <c r="E4031" s="7"/>
      <c r="F4031" t="s">
        <v>20</v>
      </c>
      <c r="G4031" t="s">
        <v>21</v>
      </c>
      <c r="H4031" t="str">
        <f>"DE85001423-18"</f>
        <v>DE85001423-18</v>
      </c>
      <c r="I4031" t="str">
        <f t="shared" si="67"/>
        <v>DPC INDUSTRIES  INC.</v>
      </c>
    </row>
    <row r="4032" spans="1:9" x14ac:dyDescent="0.25">
      <c r="E4032" s="7"/>
      <c r="F4032" t="s">
        <v>20</v>
      </c>
      <c r="G4032" t="s">
        <v>21</v>
      </c>
      <c r="H4032" t="str">
        <f>"DE85001642-18"</f>
        <v>DE85001642-18</v>
      </c>
      <c r="I4032" t="str">
        <f t="shared" si="67"/>
        <v>DPC INDUSTRIES  INC.</v>
      </c>
    </row>
    <row r="4033" spans="1:9" x14ac:dyDescent="0.25">
      <c r="A4033" s="6">
        <v>43299</v>
      </c>
      <c r="B4033" t="s">
        <v>26</v>
      </c>
      <c r="C4033">
        <v>58254</v>
      </c>
      <c r="D4033" t="s">
        <v>125</v>
      </c>
      <c r="E4033" s="7">
        <v>2127.5</v>
      </c>
      <c r="F4033" t="s">
        <v>20</v>
      </c>
      <c r="G4033" t="s">
        <v>21</v>
      </c>
      <c r="H4033" t="str">
        <f>"18-0202*"</f>
        <v>18-0202*</v>
      </c>
      <c r="I4033" t="str">
        <f>"INTREPID SURVEYING CORPORATION"</f>
        <v>INTREPID SURVEYING CORPORATION</v>
      </c>
    </row>
    <row r="4034" spans="1:9" x14ac:dyDescent="0.25">
      <c r="E4034" s="7"/>
      <c r="F4034" t="s">
        <v>20</v>
      </c>
      <c r="G4034" t="s">
        <v>21</v>
      </c>
      <c r="H4034" t="str">
        <f>"18-0555*"</f>
        <v>18-0555*</v>
      </c>
      <c r="I4034" t="str">
        <f>"INTREPID SURVEYING CORPORATION"</f>
        <v>INTREPID SURVEYING CORPORATION</v>
      </c>
    </row>
    <row r="4035" spans="1:9" x14ac:dyDescent="0.25">
      <c r="A4035" s="6">
        <v>43299</v>
      </c>
      <c r="B4035" t="s">
        <v>26</v>
      </c>
      <c r="C4035">
        <v>58255</v>
      </c>
      <c r="D4035" t="s">
        <v>372</v>
      </c>
      <c r="E4035" s="7">
        <v>60</v>
      </c>
      <c r="F4035" t="s">
        <v>20</v>
      </c>
      <c r="G4035" t="s">
        <v>21</v>
      </c>
      <c r="H4035" t="str">
        <f>"7/14/18"</f>
        <v>7/14/18</v>
      </c>
      <c r="I4035" t="str">
        <f>"MICHELLE DOLBERRY"</f>
        <v>MICHELLE DOLBERRY</v>
      </c>
    </row>
    <row r="4036" spans="1:9" x14ac:dyDescent="0.25">
      <c r="A4036" s="6">
        <v>43299</v>
      </c>
      <c r="B4036" t="s">
        <v>26</v>
      </c>
      <c r="C4036">
        <v>58256</v>
      </c>
      <c r="D4036" t="s">
        <v>147</v>
      </c>
      <c r="E4036" s="7">
        <v>137.38</v>
      </c>
      <c r="F4036" t="s">
        <v>20</v>
      </c>
      <c r="G4036" t="s">
        <v>21</v>
      </c>
      <c r="H4036" t="str">
        <f>"793"</f>
        <v>793</v>
      </c>
      <c r="I4036" t="str">
        <f>"SRALLA ELECTRIC"</f>
        <v>SRALLA ELECTRIC</v>
      </c>
    </row>
    <row r="4037" spans="1:9" x14ac:dyDescent="0.25">
      <c r="A4037" s="6">
        <v>43299</v>
      </c>
      <c r="B4037" t="s">
        <v>26</v>
      </c>
      <c r="C4037">
        <v>58257</v>
      </c>
      <c r="D4037" t="s">
        <v>79</v>
      </c>
      <c r="E4037" s="7">
        <v>85.13</v>
      </c>
      <c r="F4037" t="s">
        <v>20</v>
      </c>
      <c r="G4037" t="s">
        <v>21</v>
      </c>
      <c r="H4037" t="str">
        <f>"6-236-15458"</f>
        <v>6-236-15458</v>
      </c>
      <c r="I4037" t="str">
        <f>"FEDEX"</f>
        <v>FEDEX</v>
      </c>
    </row>
    <row r="4038" spans="1:9" x14ac:dyDescent="0.25">
      <c r="A4038" s="6">
        <v>43299</v>
      </c>
      <c r="B4038" t="s">
        <v>26</v>
      </c>
      <c r="C4038">
        <v>58258</v>
      </c>
      <c r="D4038" t="s">
        <v>191</v>
      </c>
      <c r="E4038" s="7">
        <v>1558.35</v>
      </c>
      <c r="F4038" t="s">
        <v>20</v>
      </c>
      <c r="G4038" t="s">
        <v>21</v>
      </c>
      <c r="H4038" t="str">
        <f>"INV06-003078"</f>
        <v>INV06-003078</v>
      </c>
      <c r="I4038" t="str">
        <f>"MUNISERVICES  LLC"</f>
        <v>MUNISERVICES  LLC</v>
      </c>
    </row>
    <row r="4039" spans="1:9" x14ac:dyDescent="0.25">
      <c r="A4039" s="6">
        <v>43299</v>
      </c>
      <c r="B4039" t="s">
        <v>26</v>
      </c>
      <c r="C4039">
        <v>58259</v>
      </c>
      <c r="D4039" t="s">
        <v>192</v>
      </c>
      <c r="E4039" s="7">
        <v>2409.62</v>
      </c>
      <c r="F4039" t="s">
        <v>20</v>
      </c>
      <c r="G4039" t="s">
        <v>21</v>
      </c>
      <c r="H4039" t="str">
        <f>"59601842"</f>
        <v>59601842</v>
      </c>
      <c r="I4039" t="str">
        <f>"DE LAGE LANDEN PUBLIC FINANCE"</f>
        <v>DE LAGE LANDEN PUBLIC FINANCE</v>
      </c>
    </row>
    <row r="4040" spans="1:9" x14ac:dyDescent="0.25">
      <c r="E4040" s="7"/>
      <c r="F4040" t="s">
        <v>20</v>
      </c>
      <c r="G4040" t="s">
        <v>21</v>
      </c>
      <c r="H4040" t="str">
        <f>"59601845"</f>
        <v>59601845</v>
      </c>
      <c r="I4040" t="str">
        <f>"DE LAGE LANDEN PUBLIC FINANCE"</f>
        <v>DE LAGE LANDEN PUBLIC FINANCE</v>
      </c>
    </row>
    <row r="4041" spans="1:9" x14ac:dyDescent="0.25">
      <c r="E4041" s="7"/>
      <c r="F4041" t="s">
        <v>20</v>
      </c>
      <c r="G4041" t="s">
        <v>21</v>
      </c>
      <c r="H4041" t="str">
        <f>"59601858"</f>
        <v>59601858</v>
      </c>
      <c r="I4041" t="str">
        <f>"DE LAGE LANDEN PUBLIC FINANCE"</f>
        <v>DE LAGE LANDEN PUBLIC FINANCE</v>
      </c>
    </row>
    <row r="4042" spans="1:9" x14ac:dyDescent="0.25">
      <c r="A4042" s="6">
        <v>43299</v>
      </c>
      <c r="B4042" t="s">
        <v>26</v>
      </c>
      <c r="C4042">
        <v>58261</v>
      </c>
      <c r="D4042" t="s">
        <v>84</v>
      </c>
      <c r="E4042" s="7">
        <v>20866.66</v>
      </c>
      <c r="F4042" t="s">
        <v>20</v>
      </c>
      <c r="G4042" t="s">
        <v>21</v>
      </c>
      <c r="H4042" t="str">
        <f>"137886"</f>
        <v>137886</v>
      </c>
      <c r="I4042" t="str">
        <f>"STANTEC CONSULTING SERVICES IN"</f>
        <v>STANTEC CONSULTING SERVICES IN</v>
      </c>
    </row>
    <row r="4043" spans="1:9" x14ac:dyDescent="0.25">
      <c r="A4043" s="6">
        <v>43299</v>
      </c>
      <c r="B4043" t="s">
        <v>26</v>
      </c>
      <c r="C4043">
        <v>58262</v>
      </c>
      <c r="D4043" t="s">
        <v>85</v>
      </c>
      <c r="E4043" s="7">
        <v>1081.67</v>
      </c>
      <c r="F4043" t="s">
        <v>20</v>
      </c>
      <c r="G4043" t="s">
        <v>21</v>
      </c>
      <c r="H4043" t="str">
        <f>"201807188430"</f>
        <v>201807188430</v>
      </c>
      <c r="I4043" t="str">
        <f t="shared" ref="I4043:I4052" si="68">"FRONTIER"</f>
        <v>FRONTIER</v>
      </c>
    </row>
    <row r="4044" spans="1:9" x14ac:dyDescent="0.25">
      <c r="E4044" s="7"/>
      <c r="F4044" t="s">
        <v>20</v>
      </c>
      <c r="G4044" t="s">
        <v>21</v>
      </c>
      <c r="H4044" t="str">
        <f>"201807188431"</f>
        <v>201807188431</v>
      </c>
      <c r="I4044" t="str">
        <f t="shared" si="68"/>
        <v>FRONTIER</v>
      </c>
    </row>
    <row r="4045" spans="1:9" x14ac:dyDescent="0.25">
      <c r="E4045" s="7"/>
      <c r="F4045" t="s">
        <v>20</v>
      </c>
      <c r="G4045" t="s">
        <v>21</v>
      </c>
      <c r="H4045" t="str">
        <f>"201807188435"</f>
        <v>201807188435</v>
      </c>
      <c r="I4045" t="str">
        <f t="shared" si="68"/>
        <v>FRONTIER</v>
      </c>
    </row>
    <row r="4046" spans="1:9" x14ac:dyDescent="0.25">
      <c r="E4046" s="7"/>
      <c r="F4046" t="s">
        <v>20</v>
      </c>
      <c r="G4046" t="s">
        <v>21</v>
      </c>
      <c r="H4046" t="str">
        <f>"201807188438"</f>
        <v>201807188438</v>
      </c>
      <c r="I4046" t="str">
        <f t="shared" si="68"/>
        <v>FRONTIER</v>
      </c>
    </row>
    <row r="4047" spans="1:9" x14ac:dyDescent="0.25">
      <c r="E4047" s="7"/>
      <c r="F4047" t="s">
        <v>20</v>
      </c>
      <c r="G4047" t="s">
        <v>21</v>
      </c>
      <c r="H4047" t="str">
        <f>"201807188439"</f>
        <v>201807188439</v>
      </c>
      <c r="I4047" t="str">
        <f t="shared" si="68"/>
        <v>FRONTIER</v>
      </c>
    </row>
    <row r="4048" spans="1:9" x14ac:dyDescent="0.25">
      <c r="E4048" s="7"/>
      <c r="F4048" t="s">
        <v>20</v>
      </c>
      <c r="G4048" t="s">
        <v>21</v>
      </c>
      <c r="H4048" t="str">
        <f>"201807188444"</f>
        <v>201807188444</v>
      </c>
      <c r="I4048" t="str">
        <f t="shared" si="68"/>
        <v>FRONTIER</v>
      </c>
    </row>
    <row r="4049" spans="1:9" x14ac:dyDescent="0.25">
      <c r="E4049" s="7"/>
      <c r="F4049" t="s">
        <v>20</v>
      </c>
      <c r="G4049" t="s">
        <v>21</v>
      </c>
      <c r="H4049" t="str">
        <f>"201807188445"</f>
        <v>201807188445</v>
      </c>
      <c r="I4049" t="str">
        <f t="shared" si="68"/>
        <v>FRONTIER</v>
      </c>
    </row>
    <row r="4050" spans="1:9" x14ac:dyDescent="0.25">
      <c r="E4050" s="7"/>
      <c r="F4050" t="s">
        <v>20</v>
      </c>
      <c r="G4050" t="s">
        <v>21</v>
      </c>
      <c r="H4050" t="str">
        <f>"201807188446"</f>
        <v>201807188446</v>
      </c>
      <c r="I4050" t="str">
        <f t="shared" si="68"/>
        <v>FRONTIER</v>
      </c>
    </row>
    <row r="4051" spans="1:9" x14ac:dyDescent="0.25">
      <c r="E4051" s="7"/>
      <c r="F4051" t="s">
        <v>20</v>
      </c>
      <c r="G4051" t="s">
        <v>21</v>
      </c>
      <c r="H4051" t="str">
        <f>"201807188447"</f>
        <v>201807188447</v>
      </c>
      <c r="I4051" t="str">
        <f t="shared" si="68"/>
        <v>FRONTIER</v>
      </c>
    </row>
    <row r="4052" spans="1:9" x14ac:dyDescent="0.25">
      <c r="E4052" s="7"/>
      <c r="F4052" t="s">
        <v>20</v>
      </c>
      <c r="G4052" t="s">
        <v>21</v>
      </c>
      <c r="H4052" t="str">
        <f>"201807188448"</f>
        <v>201807188448</v>
      </c>
      <c r="I4052" t="str">
        <f t="shared" si="68"/>
        <v>FRONTIER</v>
      </c>
    </row>
    <row r="4053" spans="1:9" x14ac:dyDescent="0.25">
      <c r="A4053" s="6">
        <v>43299</v>
      </c>
      <c r="B4053" t="s">
        <v>26</v>
      </c>
      <c r="C4053">
        <v>58264</v>
      </c>
      <c r="D4053" t="s">
        <v>194</v>
      </c>
      <c r="E4053" s="7">
        <v>151.97999999999999</v>
      </c>
      <c r="F4053" t="s">
        <v>20</v>
      </c>
      <c r="G4053" t="s">
        <v>21</v>
      </c>
      <c r="H4053" t="str">
        <f>"010058626"</f>
        <v>010058626</v>
      </c>
      <c r="I4053" t="str">
        <f>"GALLS  LLC-D.B.A. STERLING'S U"</f>
        <v>GALLS  LLC-D.B.A. STERLING'S U</v>
      </c>
    </row>
    <row r="4054" spans="1:9" x14ac:dyDescent="0.25">
      <c r="A4054" s="6">
        <v>43299</v>
      </c>
      <c r="B4054" t="s">
        <v>26</v>
      </c>
      <c r="C4054">
        <v>58265</v>
      </c>
      <c r="D4054" t="s">
        <v>275</v>
      </c>
      <c r="E4054" s="7">
        <v>1035</v>
      </c>
      <c r="F4054" t="s">
        <v>20</v>
      </c>
      <c r="G4054" t="s">
        <v>21</v>
      </c>
      <c r="H4054" t="str">
        <f>"37983"</f>
        <v>37983</v>
      </c>
      <c r="I4054" t="str">
        <f>"CORTEZ LIQUID WASTE SERVICES"</f>
        <v>CORTEZ LIQUID WASTE SERVICES</v>
      </c>
    </row>
    <row r="4055" spans="1:9" x14ac:dyDescent="0.25">
      <c r="A4055" s="6">
        <v>43299</v>
      </c>
      <c r="B4055" t="s">
        <v>26</v>
      </c>
      <c r="C4055">
        <v>58266</v>
      </c>
      <c r="D4055" t="s">
        <v>326</v>
      </c>
      <c r="E4055" s="7">
        <v>26</v>
      </c>
      <c r="F4055" t="s">
        <v>20</v>
      </c>
      <c r="G4055" t="s">
        <v>21</v>
      </c>
      <c r="H4055" t="str">
        <f>"17865545"</f>
        <v>17865545</v>
      </c>
      <c r="I4055" t="str">
        <f>"MATHESON TRI-GAS INC"</f>
        <v>MATHESON TRI-GAS INC</v>
      </c>
    </row>
    <row r="4056" spans="1:9" x14ac:dyDescent="0.25">
      <c r="A4056" s="6">
        <v>43299</v>
      </c>
      <c r="B4056" t="s">
        <v>26</v>
      </c>
      <c r="C4056">
        <v>58267</v>
      </c>
      <c r="D4056" t="s">
        <v>38</v>
      </c>
      <c r="E4056" s="7">
        <v>42.9</v>
      </c>
      <c r="F4056" t="s">
        <v>20</v>
      </c>
      <c r="G4056" t="s">
        <v>21</v>
      </c>
      <c r="H4056" t="str">
        <f>"TRAINING 7/20"</f>
        <v>TRAINING 7/20</v>
      </c>
      <c r="I4056" t="str">
        <f>"CECELIA GONZALEZ-DIPPEL"</f>
        <v>CECELIA GONZALEZ-DIPPEL</v>
      </c>
    </row>
    <row r="4057" spans="1:9" x14ac:dyDescent="0.25">
      <c r="A4057" s="6">
        <v>43299</v>
      </c>
      <c r="B4057" t="s">
        <v>26</v>
      </c>
      <c r="C4057">
        <v>58268</v>
      </c>
      <c r="D4057" t="s">
        <v>176</v>
      </c>
      <c r="E4057" s="7">
        <v>131897.82999999999</v>
      </c>
      <c r="F4057" t="s">
        <v>20</v>
      </c>
      <c r="G4057" t="s">
        <v>21</v>
      </c>
      <c r="H4057" t="str">
        <f>"PAY APP#19"</f>
        <v>PAY APP#19</v>
      </c>
      <c r="I4057" t="str">
        <f>"PEPPER-LAWSON WATERWORKS"</f>
        <v>PEPPER-LAWSON WATERWORKS</v>
      </c>
    </row>
    <row r="4058" spans="1:9" x14ac:dyDescent="0.25">
      <c r="A4058" s="6">
        <v>43299</v>
      </c>
      <c r="B4058" t="s">
        <v>26</v>
      </c>
      <c r="C4058">
        <v>58269</v>
      </c>
      <c r="D4058" t="s">
        <v>345</v>
      </c>
      <c r="E4058" s="7">
        <v>330</v>
      </c>
      <c r="F4058" t="s">
        <v>20</v>
      </c>
      <c r="G4058" t="s">
        <v>21</v>
      </c>
      <c r="H4058" t="str">
        <f>"7/9-7/13"</f>
        <v>7/9-7/13</v>
      </c>
      <c r="I4058" t="str">
        <f>"MICHAEL ISAAC MARTINEZ"</f>
        <v>MICHAEL ISAAC MARTINEZ</v>
      </c>
    </row>
    <row r="4059" spans="1:9" x14ac:dyDescent="0.25">
      <c r="A4059" s="6">
        <v>43299</v>
      </c>
      <c r="B4059" t="s">
        <v>26</v>
      </c>
      <c r="C4059">
        <v>58270</v>
      </c>
      <c r="D4059" t="s">
        <v>134</v>
      </c>
      <c r="E4059" s="7">
        <v>2470</v>
      </c>
      <c r="F4059" t="s">
        <v>20</v>
      </c>
      <c r="G4059" t="s">
        <v>21</v>
      </c>
      <c r="H4059" t="str">
        <f>"2017-118.10"</f>
        <v>2017-118.10</v>
      </c>
      <c r="I4059" t="str">
        <f>"MOODY ENGINEERING GROUP INC."</f>
        <v>MOODY ENGINEERING GROUP INC.</v>
      </c>
    </row>
    <row r="4060" spans="1:9" x14ac:dyDescent="0.25">
      <c r="A4060" s="6">
        <v>43299</v>
      </c>
      <c r="B4060" t="s">
        <v>26</v>
      </c>
      <c r="C4060">
        <v>58271</v>
      </c>
      <c r="D4060" t="s">
        <v>135</v>
      </c>
      <c r="E4060" s="7">
        <v>50189.48</v>
      </c>
      <c r="F4060" t="s">
        <v>20</v>
      </c>
      <c r="G4060" t="s">
        <v>21</v>
      </c>
      <c r="H4060" t="str">
        <f>"PAY APP#10"</f>
        <v>PAY APP#10</v>
      </c>
      <c r="I4060" t="str">
        <f>"HENOCK CONSTRUCTION  LLC"</f>
        <v>HENOCK CONSTRUCTION  LLC</v>
      </c>
    </row>
    <row r="4061" spans="1:9" x14ac:dyDescent="0.25">
      <c r="E4061" s="7"/>
      <c r="F4061" t="s">
        <v>20</v>
      </c>
      <c r="G4061" t="s">
        <v>21</v>
      </c>
      <c r="H4061" t="str">
        <f>"PAYAPP#9"</f>
        <v>PAYAPP#9</v>
      </c>
      <c r="I4061" t="str">
        <f>"HENOCK CONSTRUCTION  LLC"</f>
        <v>HENOCK CONSTRUCTION  LLC</v>
      </c>
    </row>
    <row r="4062" spans="1:9" x14ac:dyDescent="0.25">
      <c r="A4062" s="6">
        <v>43299</v>
      </c>
      <c r="B4062" t="s">
        <v>26</v>
      </c>
      <c r="C4062">
        <v>58272</v>
      </c>
      <c r="D4062" t="s">
        <v>452</v>
      </c>
      <c r="E4062" s="7">
        <v>60</v>
      </c>
      <c r="F4062" t="s">
        <v>20</v>
      </c>
      <c r="G4062" t="s">
        <v>21</v>
      </c>
      <c r="H4062" t="str">
        <f>"6/29/18"</f>
        <v>6/29/18</v>
      </c>
      <c r="I4062" t="str">
        <f>"DESIREE PEREZ"</f>
        <v>DESIREE PEREZ</v>
      </c>
    </row>
    <row r="4063" spans="1:9" x14ac:dyDescent="0.25">
      <c r="A4063" s="6">
        <v>43299</v>
      </c>
      <c r="B4063" t="s">
        <v>26</v>
      </c>
      <c r="C4063">
        <v>58273</v>
      </c>
      <c r="D4063" t="s">
        <v>346</v>
      </c>
      <c r="E4063" s="7">
        <v>13750</v>
      </c>
      <c r="F4063" t="s">
        <v>20</v>
      </c>
      <c r="G4063" t="s">
        <v>21</v>
      </c>
      <c r="H4063" t="str">
        <f>"6/11-7/11/2018"</f>
        <v>6/11-7/11/2018</v>
      </c>
      <c r="I4063" t="str">
        <f>"SYLVIA RODRIGUEZ"</f>
        <v>SYLVIA RODRIGUEZ</v>
      </c>
    </row>
    <row r="4064" spans="1:9" x14ac:dyDescent="0.25">
      <c r="A4064" s="6">
        <v>43299</v>
      </c>
      <c r="B4064" t="s">
        <v>26</v>
      </c>
      <c r="C4064">
        <v>58274</v>
      </c>
      <c r="D4064" t="s">
        <v>328</v>
      </c>
      <c r="E4064" s="7">
        <v>3542.39</v>
      </c>
      <c r="F4064" t="s">
        <v>20</v>
      </c>
      <c r="G4064" t="s">
        <v>21</v>
      </c>
      <c r="H4064" t="str">
        <f>"7016504"</f>
        <v>7016504</v>
      </c>
      <c r="I4064" t="str">
        <f>"KOLOGIK"</f>
        <v>KOLOGIK</v>
      </c>
    </row>
    <row r="4065" spans="1:9" x14ac:dyDescent="0.25">
      <c r="A4065" s="6">
        <v>43299</v>
      </c>
      <c r="B4065" t="s">
        <v>26</v>
      </c>
      <c r="C4065">
        <v>58275</v>
      </c>
      <c r="D4065" t="s">
        <v>427</v>
      </c>
      <c r="E4065" s="7">
        <v>60</v>
      </c>
      <c r="F4065" t="s">
        <v>20</v>
      </c>
      <c r="G4065" t="s">
        <v>21</v>
      </c>
      <c r="H4065" t="str">
        <f>"7/14/18"</f>
        <v>7/14/18</v>
      </c>
      <c r="I4065" t="str">
        <f>"Alexandria Rene Palacios"</f>
        <v>Alexandria Rene Palacios</v>
      </c>
    </row>
    <row r="4066" spans="1:9" x14ac:dyDescent="0.25">
      <c r="A4066" s="6">
        <v>43299</v>
      </c>
      <c r="B4066" t="s">
        <v>26</v>
      </c>
      <c r="C4066">
        <v>58276</v>
      </c>
      <c r="D4066" t="s">
        <v>227</v>
      </c>
      <c r="E4066" s="7">
        <v>254.03</v>
      </c>
      <c r="F4066" t="s">
        <v>20</v>
      </c>
      <c r="G4066" t="s">
        <v>21</v>
      </c>
      <c r="H4066" t="str">
        <f>"TRNG 7/16-7/20"</f>
        <v>TRNG 7/16-7/20</v>
      </c>
      <c r="I4066" t="str">
        <f>"GAVINO CANTU"</f>
        <v>GAVINO CANTU</v>
      </c>
    </row>
    <row r="4067" spans="1:9" x14ac:dyDescent="0.25">
      <c r="A4067" s="6">
        <v>43299</v>
      </c>
      <c r="B4067" t="s">
        <v>26</v>
      </c>
      <c r="C4067">
        <v>58277</v>
      </c>
      <c r="D4067" t="s">
        <v>59</v>
      </c>
      <c r="E4067" s="7">
        <v>6439.52</v>
      </c>
      <c r="F4067" t="s">
        <v>20</v>
      </c>
      <c r="G4067" t="s">
        <v>21</v>
      </c>
      <c r="H4067" t="str">
        <f>"0961522-1"</f>
        <v>0961522-1</v>
      </c>
      <c r="I4067" t="str">
        <f>"PIPES  CONNECTIONS  ETC"</f>
        <v>PIPES  CONNECTIONS  ETC</v>
      </c>
    </row>
    <row r="4068" spans="1:9" x14ac:dyDescent="0.25">
      <c r="E4068" s="7"/>
      <c r="F4068" t="s">
        <v>20</v>
      </c>
      <c r="G4068" t="s">
        <v>21</v>
      </c>
      <c r="H4068" t="str">
        <f>"0961557"</f>
        <v>0961557</v>
      </c>
      <c r="I4068" t="str">
        <f>"PIPES  CONNECTIONS  ETC"</f>
        <v>PIPES  CONNECTIONS  ETC</v>
      </c>
    </row>
    <row r="4069" spans="1:9" x14ac:dyDescent="0.25">
      <c r="E4069" s="7"/>
      <c r="F4069" t="s">
        <v>20</v>
      </c>
      <c r="G4069" t="s">
        <v>21</v>
      </c>
      <c r="H4069" t="str">
        <f>"0964409"</f>
        <v>0964409</v>
      </c>
      <c r="I4069" t="str">
        <f>"PIPES  CONNECTIONS  ETC."</f>
        <v>PIPES  CONNECTIONS  ETC.</v>
      </c>
    </row>
    <row r="4070" spans="1:9" x14ac:dyDescent="0.25">
      <c r="E4070" s="7"/>
      <c r="F4070" t="s">
        <v>20</v>
      </c>
      <c r="G4070" t="s">
        <v>21</v>
      </c>
      <c r="H4070" t="str">
        <f>"0966028"</f>
        <v>0966028</v>
      </c>
      <c r="I4070" t="str">
        <f>"16' PIPE"</f>
        <v>16' PIPE</v>
      </c>
    </row>
    <row r="4071" spans="1:9" x14ac:dyDescent="0.25">
      <c r="A4071" s="6">
        <v>43299</v>
      </c>
      <c r="B4071" t="s">
        <v>26</v>
      </c>
      <c r="C4071">
        <v>58279</v>
      </c>
      <c r="D4071" t="s">
        <v>202</v>
      </c>
      <c r="E4071" s="7">
        <v>957.9</v>
      </c>
      <c r="F4071" t="s">
        <v>20</v>
      </c>
      <c r="G4071" t="s">
        <v>21</v>
      </c>
      <c r="H4071" t="str">
        <f>"61758733"</f>
        <v>61758733</v>
      </c>
      <c r="I4071" t="str">
        <f>"BASE"</f>
        <v>BASE</v>
      </c>
    </row>
    <row r="4072" spans="1:9" x14ac:dyDescent="0.25">
      <c r="A4072" s="6">
        <v>43299</v>
      </c>
      <c r="B4072" t="s">
        <v>26</v>
      </c>
      <c r="C4072">
        <v>58280</v>
      </c>
      <c r="D4072" t="s">
        <v>203</v>
      </c>
      <c r="E4072" s="7">
        <v>75.73</v>
      </c>
      <c r="F4072" t="s">
        <v>20</v>
      </c>
      <c r="G4072" t="s">
        <v>21</v>
      </c>
      <c r="H4072" t="str">
        <f>"615782"</f>
        <v>615782</v>
      </c>
      <c r="I4072" t="str">
        <f>"TREATMENT SUPPLIES"</f>
        <v>TREATMENT SUPPLIES</v>
      </c>
    </row>
    <row r="4073" spans="1:9" x14ac:dyDescent="0.25">
      <c r="A4073" s="6">
        <v>43299</v>
      </c>
      <c r="B4073" t="s">
        <v>26</v>
      </c>
      <c r="C4073">
        <v>58281</v>
      </c>
      <c r="D4073" t="s">
        <v>481</v>
      </c>
      <c r="E4073" s="7">
        <v>263.95</v>
      </c>
      <c r="F4073" t="s">
        <v>20</v>
      </c>
      <c r="G4073" t="s">
        <v>21</v>
      </c>
      <c r="H4073" t="str">
        <f>"053118124611050"</f>
        <v>053118124611050</v>
      </c>
      <c r="I4073" t="str">
        <f>"UNIFORM  BIKE REPAIRS"</f>
        <v>UNIFORM  BIKE REPAIRS</v>
      </c>
    </row>
    <row r="4074" spans="1:9" x14ac:dyDescent="0.25">
      <c r="A4074" s="6">
        <v>43299</v>
      </c>
      <c r="B4074" t="s">
        <v>26</v>
      </c>
      <c r="C4074">
        <v>58282</v>
      </c>
      <c r="D4074" t="s">
        <v>473</v>
      </c>
      <c r="E4074" s="7">
        <v>498.5</v>
      </c>
      <c r="F4074" t="s">
        <v>20</v>
      </c>
      <c r="G4074" t="s">
        <v>21</v>
      </c>
      <c r="H4074" t="str">
        <f>"600080827"</f>
        <v>600080827</v>
      </c>
      <c r="I4074" t="str">
        <f>"DIEBOLD"</f>
        <v>DIEBOLD</v>
      </c>
    </row>
    <row r="4075" spans="1:9" x14ac:dyDescent="0.25">
      <c r="A4075" s="6">
        <v>43299</v>
      </c>
      <c r="B4075" t="s">
        <v>26</v>
      </c>
      <c r="C4075">
        <v>58283</v>
      </c>
      <c r="D4075" t="s">
        <v>189</v>
      </c>
      <c r="E4075" s="7">
        <v>1389.89</v>
      </c>
      <c r="F4075" t="s">
        <v>20</v>
      </c>
      <c r="G4075" t="s">
        <v>21</v>
      </c>
      <c r="H4075" t="str">
        <f>"PSO007093-1"</f>
        <v>PSO007093-1</v>
      </c>
      <c r="I4075" t="str">
        <f>"GAS CAP"</f>
        <v>GAS CAP</v>
      </c>
    </row>
    <row r="4076" spans="1:9" x14ac:dyDescent="0.25">
      <c r="E4076" s="7"/>
      <c r="F4076" t="s">
        <v>20</v>
      </c>
      <c r="G4076" t="s">
        <v>21</v>
      </c>
      <c r="H4076" t="str">
        <f>"PSO009138-1"</f>
        <v>PSO009138-1</v>
      </c>
      <c r="I4076" t="str">
        <f>"BRUSHES FOR SWEEPERS"</f>
        <v>BRUSHES FOR SWEEPERS</v>
      </c>
    </row>
    <row r="4077" spans="1:9" x14ac:dyDescent="0.25">
      <c r="E4077" s="7"/>
      <c r="F4077" t="s">
        <v>20</v>
      </c>
      <c r="G4077" t="s">
        <v>21</v>
      </c>
      <c r="H4077" t="str">
        <f>"PSO009138-2"</f>
        <v>PSO009138-2</v>
      </c>
      <c r="I4077" t="str">
        <f>"BRUSHES FOR SWEEPERS"</f>
        <v>BRUSHES FOR SWEEPERS</v>
      </c>
    </row>
    <row r="4078" spans="1:9" x14ac:dyDescent="0.25">
      <c r="E4078" s="7"/>
      <c r="F4078" t="s">
        <v>20</v>
      </c>
      <c r="G4078" t="s">
        <v>21</v>
      </c>
      <c r="H4078" t="str">
        <f>"PSO010292-1"</f>
        <v>PSO010292-1</v>
      </c>
      <c r="I4078" t="str">
        <f>"BRUSHES FOR SWEEPERS"</f>
        <v>BRUSHES FOR SWEEPERS</v>
      </c>
    </row>
    <row r="4079" spans="1:9" x14ac:dyDescent="0.25">
      <c r="A4079" s="6">
        <v>43299</v>
      </c>
      <c r="B4079" t="s">
        <v>26</v>
      </c>
      <c r="C4079">
        <v>58284</v>
      </c>
      <c r="D4079" t="s">
        <v>265</v>
      </c>
      <c r="E4079" s="7">
        <v>225.02</v>
      </c>
      <c r="F4079" t="s">
        <v>20</v>
      </c>
      <c r="G4079" t="s">
        <v>21</v>
      </c>
      <c r="H4079" t="str">
        <f>"201807188441"</f>
        <v>201807188441</v>
      </c>
      <c r="I4079" t="str">
        <f>"THE GOODYEAR TIRE &amp; RUBBER COM"</f>
        <v>THE GOODYEAR TIRE &amp; RUBBER COM</v>
      </c>
    </row>
    <row r="4080" spans="1:9" x14ac:dyDescent="0.25">
      <c r="A4080" s="6">
        <v>43299</v>
      </c>
      <c r="B4080" t="s">
        <v>26</v>
      </c>
      <c r="C4080">
        <v>58285</v>
      </c>
      <c r="D4080" t="s">
        <v>371</v>
      </c>
      <c r="E4080" s="7">
        <v>295</v>
      </c>
      <c r="F4080" t="s">
        <v>20</v>
      </c>
      <c r="G4080" t="s">
        <v>21</v>
      </c>
      <c r="H4080" t="str">
        <f>"6896"</f>
        <v>6896</v>
      </c>
      <c r="I4080" t="str">
        <f>"RE-FURBISH MOTOR"</f>
        <v>RE-FURBISH MOTOR</v>
      </c>
    </row>
    <row r="4081" spans="1:9" x14ac:dyDescent="0.25">
      <c r="A4081" s="6">
        <v>43299</v>
      </c>
      <c r="B4081" t="s">
        <v>26</v>
      </c>
      <c r="C4081">
        <v>58286</v>
      </c>
      <c r="D4081" t="s">
        <v>123</v>
      </c>
      <c r="E4081" s="7">
        <v>624.83000000000004</v>
      </c>
      <c r="F4081" t="s">
        <v>20</v>
      </c>
      <c r="G4081" t="s">
        <v>21</v>
      </c>
      <c r="H4081" t="str">
        <f>"155213422001"</f>
        <v>155213422001</v>
      </c>
      <c r="I4081" t="str">
        <f>"OFFICE SUPPLIES"</f>
        <v>OFFICE SUPPLIES</v>
      </c>
    </row>
    <row r="4082" spans="1:9" x14ac:dyDescent="0.25">
      <c r="E4082" s="7"/>
      <c r="F4082" t="s">
        <v>20</v>
      </c>
      <c r="G4082" t="s">
        <v>21</v>
      </c>
      <c r="H4082" t="str">
        <f>"155463238001"</f>
        <v>155463238001</v>
      </c>
      <c r="I4082" t="str">
        <f>"TOWELS"</f>
        <v>TOWELS</v>
      </c>
    </row>
    <row r="4083" spans="1:9" x14ac:dyDescent="0.25">
      <c r="E4083" s="7"/>
      <c r="F4083" t="s">
        <v>20</v>
      </c>
      <c r="G4083" t="s">
        <v>21</v>
      </c>
      <c r="H4083" t="str">
        <f>"156363507001"</f>
        <v>156363507001</v>
      </c>
      <c r="I4083" t="str">
        <f>"OFFICE SUPPLIES"</f>
        <v>OFFICE SUPPLIES</v>
      </c>
    </row>
    <row r="4084" spans="1:9" x14ac:dyDescent="0.25">
      <c r="E4084" s="7"/>
      <c r="F4084" t="s">
        <v>20</v>
      </c>
      <c r="G4084" t="s">
        <v>21</v>
      </c>
      <c r="H4084" t="str">
        <f>"157176998001"</f>
        <v>157176998001</v>
      </c>
      <c r="I4084" t="str">
        <f>"OFFICE SUPPLIES"</f>
        <v>OFFICE SUPPLIES</v>
      </c>
    </row>
    <row r="4085" spans="1:9" x14ac:dyDescent="0.25">
      <c r="E4085" s="7"/>
      <c r="F4085" t="s">
        <v>20</v>
      </c>
      <c r="G4085" t="s">
        <v>21</v>
      </c>
      <c r="H4085" t="str">
        <f>"157177465001"</f>
        <v>157177465001</v>
      </c>
      <c r="I4085" t="str">
        <f>"OFFICE SUPPLIES"</f>
        <v>OFFICE SUPPLIES</v>
      </c>
    </row>
    <row r="4086" spans="1:9" x14ac:dyDescent="0.25">
      <c r="A4086" s="6">
        <v>43299</v>
      </c>
      <c r="B4086" t="s">
        <v>26</v>
      </c>
      <c r="C4086">
        <v>58288</v>
      </c>
      <c r="D4086" t="s">
        <v>77</v>
      </c>
      <c r="E4086" s="7">
        <v>1297.5999999999999</v>
      </c>
      <c r="F4086" t="s">
        <v>20</v>
      </c>
      <c r="G4086" t="s">
        <v>21</v>
      </c>
      <c r="H4086" t="str">
        <f>"857001191-18"</f>
        <v>857001191-18</v>
      </c>
      <c r="I4086" t="str">
        <f>"CHLORINE"</f>
        <v>CHLORINE</v>
      </c>
    </row>
    <row r="4087" spans="1:9" x14ac:dyDescent="0.25">
      <c r="A4087" s="6">
        <v>43299</v>
      </c>
      <c r="B4087" t="s">
        <v>26</v>
      </c>
      <c r="C4087">
        <v>58289</v>
      </c>
      <c r="D4087" t="s">
        <v>482</v>
      </c>
      <c r="E4087" s="7">
        <v>229.92</v>
      </c>
      <c r="F4087" t="s">
        <v>20</v>
      </c>
      <c r="G4087" t="s">
        <v>21</v>
      </c>
      <c r="H4087" t="str">
        <f>"168"</f>
        <v>168</v>
      </c>
      <c r="I4087" t="str">
        <f>"CLEAN SWIMMING POOL SERVICES"</f>
        <v>CLEAN SWIMMING POOL SERVICES</v>
      </c>
    </row>
    <row r="4088" spans="1:9" x14ac:dyDescent="0.25">
      <c r="A4088" s="6">
        <v>43299</v>
      </c>
      <c r="B4088" t="s">
        <v>26</v>
      </c>
      <c r="C4088">
        <v>58290</v>
      </c>
      <c r="D4088" t="s">
        <v>483</v>
      </c>
      <c r="E4088" s="7">
        <v>1074.32</v>
      </c>
      <c r="F4088" t="s">
        <v>20</v>
      </c>
      <c r="G4088" t="s">
        <v>21</v>
      </c>
      <c r="H4088" t="str">
        <f>"5344236"</f>
        <v>5344236</v>
      </c>
      <c r="I4088" t="str">
        <f>"HOSES"</f>
        <v>HOSES</v>
      </c>
    </row>
    <row r="4089" spans="1:9" x14ac:dyDescent="0.25">
      <c r="A4089" s="6">
        <v>43299</v>
      </c>
      <c r="B4089" t="s">
        <v>26</v>
      </c>
      <c r="C4089">
        <v>58291</v>
      </c>
      <c r="D4089" t="s">
        <v>0</v>
      </c>
      <c r="E4089" s="7">
        <v>9750</v>
      </c>
      <c r="F4089" t="s">
        <v>20</v>
      </c>
      <c r="G4089" t="s">
        <v>21</v>
      </c>
      <c r="H4089" t="str">
        <f>"FRDM FEST 18"</f>
        <v>FRDM FEST 18</v>
      </c>
      <c r="I4089" t="str">
        <f>"CITY OF FLORESVILLE"</f>
        <v>CITY OF FLORESVILLE</v>
      </c>
    </row>
    <row r="4090" spans="1:9" x14ac:dyDescent="0.25">
      <c r="A4090" s="6">
        <v>43304</v>
      </c>
      <c r="B4090" t="s">
        <v>26</v>
      </c>
      <c r="C4090">
        <v>58292</v>
      </c>
      <c r="D4090" t="s">
        <v>57</v>
      </c>
      <c r="E4090" s="7">
        <v>1868.48</v>
      </c>
      <c r="F4090" t="s">
        <v>20</v>
      </c>
      <c r="G4090" t="s">
        <v>21</v>
      </c>
      <c r="H4090" t="str">
        <f>"11617-041"</f>
        <v>11617-041</v>
      </c>
      <c r="I4090" t="str">
        <f>"F.E.L.P.S."</f>
        <v>F.E.L.P.S.</v>
      </c>
    </row>
    <row r="4091" spans="1:9" x14ac:dyDescent="0.25">
      <c r="A4091" s="6">
        <v>43304</v>
      </c>
      <c r="B4091" t="s">
        <v>26</v>
      </c>
      <c r="C4091">
        <v>58293</v>
      </c>
      <c r="D4091" t="s">
        <v>58</v>
      </c>
      <c r="E4091" s="7">
        <v>456.52</v>
      </c>
      <c r="F4091" t="s">
        <v>20</v>
      </c>
      <c r="G4091" t="s">
        <v>21</v>
      </c>
      <c r="H4091" t="str">
        <f>"6/2018"</f>
        <v>6/2018</v>
      </c>
      <c r="I4091" t="str">
        <f>"DEASON ANIMAL HOSPITAL"</f>
        <v>DEASON ANIMAL HOSPITAL</v>
      </c>
    </row>
    <row r="4092" spans="1:9" x14ac:dyDescent="0.25">
      <c r="A4092" s="6">
        <v>43304</v>
      </c>
      <c r="B4092" t="s">
        <v>26</v>
      </c>
      <c r="C4092">
        <v>58294</v>
      </c>
      <c r="D4092" t="s">
        <v>104</v>
      </c>
      <c r="E4092" s="7">
        <v>9509.5300000000007</v>
      </c>
      <c r="F4092" t="s">
        <v>20</v>
      </c>
      <c r="G4092" t="s">
        <v>21</v>
      </c>
      <c r="H4092" t="str">
        <f>"201807238449"</f>
        <v>201807238449</v>
      </c>
      <c r="I4092" t="str">
        <f>"WILSON COUNTY NEWS"</f>
        <v>WILSON COUNTY NEWS</v>
      </c>
    </row>
    <row r="4093" spans="1:9" x14ac:dyDescent="0.25">
      <c r="E4093" s="7"/>
      <c r="F4093" t="s">
        <v>20</v>
      </c>
      <c r="G4093" t="s">
        <v>21</v>
      </c>
      <c r="H4093" t="str">
        <f>"201807238450"</f>
        <v>201807238450</v>
      </c>
      <c r="I4093" t="str">
        <f>"WILSON COUNTY NEWS"</f>
        <v>WILSON COUNTY NEWS</v>
      </c>
    </row>
    <row r="4094" spans="1:9" x14ac:dyDescent="0.25">
      <c r="E4094" s="7"/>
      <c r="F4094" t="s">
        <v>20</v>
      </c>
      <c r="G4094" t="s">
        <v>21</v>
      </c>
      <c r="H4094" t="str">
        <f>"201807238451"</f>
        <v>201807238451</v>
      </c>
      <c r="I4094" t="str">
        <f>"WILSON COUNTY NEWS"</f>
        <v>WILSON COUNTY NEWS</v>
      </c>
    </row>
    <row r="4095" spans="1:9" x14ac:dyDescent="0.25">
      <c r="A4095" s="6">
        <v>43304</v>
      </c>
      <c r="B4095" t="s">
        <v>26</v>
      </c>
      <c r="C4095">
        <v>58295</v>
      </c>
      <c r="D4095" t="s">
        <v>61</v>
      </c>
      <c r="E4095" s="7">
        <v>1748.15</v>
      </c>
      <c r="F4095" t="s">
        <v>20</v>
      </c>
      <c r="G4095" t="s">
        <v>21</v>
      </c>
      <c r="H4095" t="str">
        <f>"025-228781"</f>
        <v>025-228781</v>
      </c>
      <c r="I4095" t="str">
        <f>"TYLER TECHNOLOGIES  INC."</f>
        <v>TYLER TECHNOLOGIES  INC.</v>
      </c>
    </row>
    <row r="4096" spans="1:9" x14ac:dyDescent="0.25">
      <c r="E4096" s="7"/>
      <c r="F4096" t="s">
        <v>20</v>
      </c>
      <c r="G4096" t="s">
        <v>21</v>
      </c>
      <c r="H4096" t="str">
        <f>"025-228871"</f>
        <v>025-228871</v>
      </c>
      <c r="I4096" t="str">
        <f>"TYLER TECHNOLOGIES  INC."</f>
        <v>TYLER TECHNOLOGIES  INC.</v>
      </c>
    </row>
    <row r="4097" spans="1:9" x14ac:dyDescent="0.25">
      <c r="E4097" s="7"/>
      <c r="F4097" t="s">
        <v>20</v>
      </c>
      <c r="G4097" t="s">
        <v>21</v>
      </c>
      <c r="H4097" t="str">
        <f>"045-230782"</f>
        <v>045-230782</v>
      </c>
      <c r="I4097" t="str">
        <f>"TYLER TECHNOLOGIES  INC."</f>
        <v>TYLER TECHNOLOGIES  INC.</v>
      </c>
    </row>
    <row r="4098" spans="1:9" x14ac:dyDescent="0.25">
      <c r="A4098" s="6">
        <v>43304</v>
      </c>
      <c r="B4098" t="s">
        <v>26</v>
      </c>
      <c r="C4098">
        <v>58296</v>
      </c>
      <c r="D4098" t="s">
        <v>62</v>
      </c>
      <c r="E4098" s="7">
        <v>186</v>
      </c>
      <c r="F4098" t="s">
        <v>20</v>
      </c>
      <c r="G4098" t="s">
        <v>21</v>
      </c>
      <c r="H4098" t="str">
        <f>"59689"</f>
        <v>59689</v>
      </c>
      <c r="I4098" t="str">
        <f>"SBS ADMINISTRATIVE SERVICES  L"</f>
        <v>SBS ADMINISTRATIVE SERVICES  L</v>
      </c>
    </row>
    <row r="4099" spans="1:9" x14ac:dyDescent="0.25">
      <c r="A4099" s="6">
        <v>43304</v>
      </c>
      <c r="B4099" t="s">
        <v>26</v>
      </c>
      <c r="C4099">
        <v>58297</v>
      </c>
      <c r="D4099" t="s">
        <v>63</v>
      </c>
      <c r="E4099" s="7">
        <v>107.17</v>
      </c>
      <c r="F4099" t="s">
        <v>20</v>
      </c>
      <c r="G4099" t="s">
        <v>21</v>
      </c>
      <c r="H4099" t="str">
        <f>"8403719869"</f>
        <v>8403719869</v>
      </c>
      <c r="I4099" t="str">
        <f>"CINTAS CORPORATION"</f>
        <v>CINTAS CORPORATION</v>
      </c>
    </row>
    <row r="4100" spans="1:9" x14ac:dyDescent="0.25">
      <c r="A4100" s="6">
        <v>43304</v>
      </c>
      <c r="B4100" t="s">
        <v>26</v>
      </c>
      <c r="C4100">
        <v>58298</v>
      </c>
      <c r="D4100" t="s">
        <v>64</v>
      </c>
      <c r="E4100" s="7">
        <v>4987.28</v>
      </c>
      <c r="F4100" t="s">
        <v>20</v>
      </c>
      <c r="G4100" t="s">
        <v>21</v>
      </c>
      <c r="H4100" t="str">
        <f>"7571"</f>
        <v>7571</v>
      </c>
      <c r="I4100" t="str">
        <f>"DREWA DESIGNS  INC."</f>
        <v>DREWA DESIGNS  INC.</v>
      </c>
    </row>
    <row r="4101" spans="1:9" x14ac:dyDescent="0.25">
      <c r="A4101" s="6">
        <v>43304</v>
      </c>
      <c r="B4101" t="s">
        <v>91</v>
      </c>
      <c r="C4101">
        <v>58299</v>
      </c>
      <c r="D4101" t="s">
        <v>29</v>
      </c>
      <c r="E4101" s="7">
        <v>616.25</v>
      </c>
      <c r="F4101" t="s">
        <v>20</v>
      </c>
      <c r="G4101" t="s">
        <v>21</v>
      </c>
      <c r="H4101" t="str">
        <f>"32409"</f>
        <v>32409</v>
      </c>
      <c r="I4101" t="str">
        <f>"M &amp; S ENGINEERING  LLC"</f>
        <v>M &amp; S ENGINEERING  LLC</v>
      </c>
    </row>
    <row r="4102" spans="1:9" x14ac:dyDescent="0.25">
      <c r="A4102" s="6">
        <v>43304</v>
      </c>
      <c r="B4102" t="s">
        <v>26</v>
      </c>
      <c r="C4102">
        <v>58300</v>
      </c>
      <c r="D4102" t="s">
        <v>71</v>
      </c>
      <c r="E4102" s="7">
        <v>712.41</v>
      </c>
      <c r="F4102" t="s">
        <v>20</v>
      </c>
      <c r="G4102" t="s">
        <v>21</v>
      </c>
      <c r="H4102" t="str">
        <f>"087151484"</f>
        <v>087151484</v>
      </c>
      <c r="I4102" t="str">
        <f>"CINTAS CORPORATION #087"</f>
        <v>CINTAS CORPORATION #087</v>
      </c>
    </row>
    <row r="4103" spans="1:9" x14ac:dyDescent="0.25">
      <c r="E4103" s="7"/>
      <c r="F4103" t="s">
        <v>20</v>
      </c>
      <c r="G4103" t="s">
        <v>21</v>
      </c>
      <c r="H4103" t="str">
        <f>"087159424"</f>
        <v>087159424</v>
      </c>
      <c r="I4103" t="str">
        <f>"CINTAS CORPORATION #087"</f>
        <v>CINTAS CORPORATION #087</v>
      </c>
    </row>
    <row r="4104" spans="1:9" x14ac:dyDescent="0.25">
      <c r="E4104" s="7"/>
      <c r="F4104" t="s">
        <v>20</v>
      </c>
      <c r="G4104" t="s">
        <v>21</v>
      </c>
      <c r="H4104" t="str">
        <f>"087159426"</f>
        <v>087159426</v>
      </c>
      <c r="I4104" t="str">
        <f>"CINTAS CORPORATION #087"</f>
        <v>CINTAS CORPORATION #087</v>
      </c>
    </row>
    <row r="4105" spans="1:9" x14ac:dyDescent="0.25">
      <c r="E4105" s="7"/>
      <c r="F4105" t="s">
        <v>20</v>
      </c>
      <c r="G4105" t="s">
        <v>21</v>
      </c>
      <c r="H4105" t="str">
        <f>"087163374"</f>
        <v>087163374</v>
      </c>
      <c r="I4105" t="str">
        <f>"CINTAS CORPORATION #087"</f>
        <v>CINTAS CORPORATION #087</v>
      </c>
    </row>
    <row r="4106" spans="1:9" x14ac:dyDescent="0.25">
      <c r="A4106" s="6">
        <v>43304</v>
      </c>
      <c r="B4106" t="s">
        <v>26</v>
      </c>
      <c r="C4106">
        <v>58301</v>
      </c>
      <c r="D4106" t="s">
        <v>170</v>
      </c>
      <c r="E4106" s="7">
        <v>2488</v>
      </c>
      <c r="F4106" t="s">
        <v>20</v>
      </c>
      <c r="G4106" t="s">
        <v>21</v>
      </c>
      <c r="H4106" t="str">
        <f>"29703"</f>
        <v>29703</v>
      </c>
      <c r="I4106" t="str">
        <f>"BARRETT &amp; SONS  INC."</f>
        <v>BARRETT &amp; SONS  INC.</v>
      </c>
    </row>
    <row r="4107" spans="1:9" x14ac:dyDescent="0.25">
      <c r="E4107" s="7"/>
      <c r="F4107" t="s">
        <v>20</v>
      </c>
      <c r="G4107" t="s">
        <v>21</v>
      </c>
      <c r="H4107" t="str">
        <f>"29723"</f>
        <v>29723</v>
      </c>
      <c r="I4107" t="str">
        <f>"BARRETT &amp; SONS  INC."</f>
        <v>BARRETT &amp; SONS  INC.</v>
      </c>
    </row>
    <row r="4108" spans="1:9" x14ac:dyDescent="0.25">
      <c r="A4108" s="6">
        <v>43304</v>
      </c>
      <c r="B4108" t="s">
        <v>26</v>
      </c>
      <c r="C4108">
        <v>58302</v>
      </c>
      <c r="D4108" t="s">
        <v>123</v>
      </c>
      <c r="E4108" s="7">
        <v>295.64999999999998</v>
      </c>
      <c r="F4108" t="s">
        <v>20</v>
      </c>
      <c r="G4108" t="s">
        <v>21</v>
      </c>
      <c r="H4108" t="str">
        <f>"154445743001"</f>
        <v>154445743001</v>
      </c>
      <c r="I4108" t="str">
        <f>"EVENT CENTER SUPPLIES"</f>
        <v>EVENT CENTER SUPPLIES</v>
      </c>
    </row>
    <row r="4109" spans="1:9" x14ac:dyDescent="0.25">
      <c r="E4109" s="7"/>
      <c r="F4109" t="s">
        <v>20</v>
      </c>
      <c r="G4109" t="s">
        <v>21</v>
      </c>
      <c r="H4109" t="str">
        <f>"154446272001"</f>
        <v>154446272001</v>
      </c>
      <c r="I4109" t="str">
        <f>"EVENT CENTER SUPPLIES"</f>
        <v>EVENT CENTER SUPPLIES</v>
      </c>
    </row>
    <row r="4110" spans="1:9" x14ac:dyDescent="0.25">
      <c r="A4110" s="6">
        <v>43304</v>
      </c>
      <c r="B4110" t="s">
        <v>26</v>
      </c>
      <c r="C4110">
        <v>58303</v>
      </c>
      <c r="D4110" t="s">
        <v>137</v>
      </c>
      <c r="E4110" s="7">
        <v>69.95</v>
      </c>
      <c r="F4110" t="s">
        <v>20</v>
      </c>
      <c r="G4110" t="s">
        <v>21</v>
      </c>
      <c r="H4110" t="str">
        <f>"1450266"</f>
        <v>1450266</v>
      </c>
      <c r="I4110" t="str">
        <f>"OMNIBUS-M  INC.D.B.A."</f>
        <v>OMNIBUS-M  INC.D.B.A.</v>
      </c>
    </row>
    <row r="4111" spans="1:9" x14ac:dyDescent="0.25">
      <c r="A4111" s="6">
        <v>43304</v>
      </c>
      <c r="B4111" t="s">
        <v>26</v>
      </c>
      <c r="C4111">
        <v>58304</v>
      </c>
      <c r="D4111" t="s">
        <v>126</v>
      </c>
      <c r="E4111" s="7">
        <v>77451.91</v>
      </c>
      <c r="F4111" t="s">
        <v>20</v>
      </c>
      <c r="G4111" t="s">
        <v>21</v>
      </c>
      <c r="H4111" t="str">
        <f>"0859-002084370"</f>
        <v>0859-002084370</v>
      </c>
      <c r="I4111" t="str">
        <f>"REPUBLIC SERVICES #859"</f>
        <v>REPUBLIC SERVICES #859</v>
      </c>
    </row>
    <row r="4112" spans="1:9" x14ac:dyDescent="0.25">
      <c r="E4112" s="7"/>
      <c r="F4112" t="s">
        <v>20</v>
      </c>
      <c r="G4112" t="s">
        <v>21</v>
      </c>
      <c r="H4112" t="str">
        <f>"0859-002088621"</f>
        <v>0859-002088621</v>
      </c>
      <c r="I4112" t="str">
        <f>"REPUBLIC SERVICES #859"</f>
        <v>REPUBLIC SERVICES #859</v>
      </c>
    </row>
    <row r="4113" spans="1:9" x14ac:dyDescent="0.25">
      <c r="A4113" s="6">
        <v>43304</v>
      </c>
      <c r="B4113" t="s">
        <v>26</v>
      </c>
      <c r="C4113">
        <v>58305</v>
      </c>
      <c r="D4113" t="s">
        <v>147</v>
      </c>
      <c r="E4113" s="7">
        <v>480</v>
      </c>
      <c r="F4113" t="s">
        <v>20</v>
      </c>
      <c r="G4113" t="s">
        <v>21</v>
      </c>
      <c r="H4113" t="str">
        <f>"763"</f>
        <v>763</v>
      </c>
      <c r="I4113" t="str">
        <f>"SRALLA ELECTRIC"</f>
        <v>SRALLA ELECTRIC</v>
      </c>
    </row>
    <row r="4114" spans="1:9" x14ac:dyDescent="0.25">
      <c r="A4114" s="6">
        <v>43304</v>
      </c>
      <c r="B4114" t="s">
        <v>26</v>
      </c>
      <c r="C4114">
        <v>58306</v>
      </c>
      <c r="D4114" t="s">
        <v>139</v>
      </c>
      <c r="E4114" s="7">
        <v>65</v>
      </c>
      <c r="F4114" t="s">
        <v>20</v>
      </c>
      <c r="G4114" t="s">
        <v>21</v>
      </c>
      <c r="H4114" t="str">
        <f>"24085"</f>
        <v>24085</v>
      </c>
      <c r="I4114" t="str">
        <f>"ANGEL FIRE &amp; SAFETY"</f>
        <v>ANGEL FIRE &amp; SAFETY</v>
      </c>
    </row>
    <row r="4115" spans="1:9" x14ac:dyDescent="0.25">
      <c r="A4115" s="6">
        <v>43304</v>
      </c>
      <c r="B4115" t="s">
        <v>91</v>
      </c>
      <c r="C4115">
        <v>58307</v>
      </c>
      <c r="D4115" t="s">
        <v>47</v>
      </c>
      <c r="E4115" s="7">
        <v>155236.21</v>
      </c>
      <c r="F4115" t="s">
        <v>20</v>
      </c>
      <c r="G4115" t="s">
        <v>21</v>
      </c>
      <c r="H4115" t="str">
        <f>"DRAW#16"</f>
        <v>DRAW#16</v>
      </c>
      <c r="I4115" t="str">
        <f>"HEARTLAND PARK &amp; RECREATION  L"</f>
        <v>HEARTLAND PARK &amp; RECREATION  L</v>
      </c>
    </row>
    <row r="4116" spans="1:9" x14ac:dyDescent="0.25">
      <c r="A4116" s="6">
        <v>43304</v>
      </c>
      <c r="B4116" t="s">
        <v>91</v>
      </c>
      <c r="C4116">
        <v>58307</v>
      </c>
      <c r="D4116" t="s">
        <v>47</v>
      </c>
      <c r="E4116" s="7">
        <v>155236.21</v>
      </c>
      <c r="F4116" t="s">
        <v>20</v>
      </c>
      <c r="G4116" t="s">
        <v>93</v>
      </c>
      <c r="H4116" t="str">
        <f>"CHECK"</f>
        <v>CHECK</v>
      </c>
      <c r="I4116" t="str">
        <f>""</f>
        <v/>
      </c>
    </row>
    <row r="4117" spans="1:9" x14ac:dyDescent="0.25">
      <c r="A4117" s="6">
        <v>43304</v>
      </c>
      <c r="B4117" t="s">
        <v>26</v>
      </c>
      <c r="C4117">
        <v>58308</v>
      </c>
      <c r="D4117" t="s">
        <v>237</v>
      </c>
      <c r="E4117" s="7">
        <v>749.32</v>
      </c>
      <c r="F4117" t="s">
        <v>20</v>
      </c>
      <c r="G4117" t="s">
        <v>21</v>
      </c>
      <c r="H4117" t="str">
        <f>"158756609-001"</f>
        <v>158756609-001</v>
      </c>
      <c r="I4117" t="str">
        <f>"UNITED RENTALS (NORTH AMERICA)"</f>
        <v>UNITED RENTALS (NORTH AMERICA)</v>
      </c>
    </row>
    <row r="4118" spans="1:9" x14ac:dyDescent="0.25">
      <c r="A4118" s="6">
        <v>43304</v>
      </c>
      <c r="B4118" t="s">
        <v>26</v>
      </c>
      <c r="C4118">
        <v>58309</v>
      </c>
      <c r="D4118" t="s">
        <v>315</v>
      </c>
      <c r="E4118" s="7">
        <v>454.99</v>
      </c>
      <c r="F4118" t="s">
        <v>20</v>
      </c>
      <c r="G4118" t="s">
        <v>21</v>
      </c>
      <c r="H4118" t="str">
        <f>"781640"</f>
        <v>781640</v>
      </c>
      <c r="I4118" t="str">
        <f>"PRIME TIME ADVERTISING"</f>
        <v>PRIME TIME ADVERTISING</v>
      </c>
    </row>
    <row r="4119" spans="1:9" x14ac:dyDescent="0.25">
      <c r="A4119" s="6">
        <v>43304</v>
      </c>
      <c r="B4119" t="s">
        <v>26</v>
      </c>
      <c r="C4119">
        <v>58310</v>
      </c>
      <c r="D4119" t="s">
        <v>443</v>
      </c>
      <c r="E4119" s="7">
        <v>5500</v>
      </c>
      <c r="F4119" t="s">
        <v>20</v>
      </c>
      <c r="G4119" t="s">
        <v>21</v>
      </c>
      <c r="H4119" t="str">
        <f>"10459"</f>
        <v>10459</v>
      </c>
      <c r="I4119" t="str">
        <f>"RIOJAS TURF CARE  LLC"</f>
        <v>RIOJAS TURF CARE  LLC</v>
      </c>
    </row>
    <row r="4120" spans="1:9" x14ac:dyDescent="0.25">
      <c r="A4120" s="6">
        <v>43304</v>
      </c>
      <c r="B4120" t="s">
        <v>26</v>
      </c>
      <c r="C4120">
        <v>58311</v>
      </c>
      <c r="D4120" t="s">
        <v>47</v>
      </c>
      <c r="E4120" s="7">
        <v>139712.59</v>
      </c>
      <c r="F4120" t="s">
        <v>20</v>
      </c>
      <c r="G4120" t="s">
        <v>21</v>
      </c>
      <c r="H4120" t="str">
        <f>"DRAW# 16"</f>
        <v>DRAW# 16</v>
      </c>
      <c r="I4120" t="str">
        <f>"HEARTLAND PARK &amp; RECREATION  L"</f>
        <v>HEARTLAND PARK &amp; RECREATION  L</v>
      </c>
    </row>
    <row r="4121" spans="1:9" x14ac:dyDescent="0.25">
      <c r="A4121" s="6">
        <v>43306</v>
      </c>
      <c r="B4121" t="s">
        <v>26</v>
      </c>
      <c r="C4121">
        <v>58312</v>
      </c>
      <c r="D4121" t="s">
        <v>56</v>
      </c>
      <c r="E4121" s="7">
        <v>55</v>
      </c>
      <c r="F4121" t="s">
        <v>20</v>
      </c>
      <c r="G4121" t="s">
        <v>21</v>
      </c>
      <c r="H4121" t="str">
        <f>"168318"</f>
        <v>168318</v>
      </c>
      <c r="I4121" t="str">
        <f>"DOG FOOD"</f>
        <v>DOG FOOD</v>
      </c>
    </row>
    <row r="4122" spans="1:9" x14ac:dyDescent="0.25">
      <c r="E4122" s="7"/>
      <c r="F4122" t="s">
        <v>20</v>
      </c>
      <c r="G4122" t="s">
        <v>21</v>
      </c>
      <c r="H4122" t="str">
        <f>"168339"</f>
        <v>168339</v>
      </c>
      <c r="I4122" t="str">
        <f>"GERALD LUBIANSKI ENTERPRISES"</f>
        <v>GERALD LUBIANSKI ENTERPRISES</v>
      </c>
    </row>
    <row r="4123" spans="1:9" x14ac:dyDescent="0.25">
      <c r="A4123" s="6">
        <v>43306</v>
      </c>
      <c r="B4123" t="s">
        <v>26</v>
      </c>
      <c r="C4123">
        <v>58313</v>
      </c>
      <c r="D4123" t="s">
        <v>57</v>
      </c>
      <c r="E4123" s="7">
        <v>25685.4</v>
      </c>
      <c r="F4123" t="s">
        <v>20</v>
      </c>
      <c r="G4123" t="s">
        <v>21</v>
      </c>
      <c r="H4123" t="str">
        <f>"8/10/18"</f>
        <v>8/10/18</v>
      </c>
      <c r="I4123" t="str">
        <f>"F.E.L.P.S."</f>
        <v>F.E.L.P.S.</v>
      </c>
    </row>
    <row r="4124" spans="1:9" x14ac:dyDescent="0.25">
      <c r="A4124" s="6">
        <v>43306</v>
      </c>
      <c r="B4124" t="s">
        <v>26</v>
      </c>
      <c r="C4124">
        <v>58314</v>
      </c>
      <c r="D4124" t="s">
        <v>143</v>
      </c>
      <c r="E4124" s="7">
        <v>515.59</v>
      </c>
      <c r="F4124" t="s">
        <v>20</v>
      </c>
      <c r="G4124" t="s">
        <v>21</v>
      </c>
      <c r="H4124" t="str">
        <f>"9401880209"</f>
        <v>9401880209</v>
      </c>
      <c r="I4124" t="str">
        <f>"CRS- 2"</f>
        <v>CRS- 2</v>
      </c>
    </row>
    <row r="4125" spans="1:9" x14ac:dyDescent="0.25">
      <c r="A4125" s="6">
        <v>43306</v>
      </c>
      <c r="B4125" t="s">
        <v>26</v>
      </c>
      <c r="C4125">
        <v>58315</v>
      </c>
      <c r="D4125" t="s">
        <v>165</v>
      </c>
      <c r="E4125" s="7">
        <v>9.27</v>
      </c>
      <c r="F4125" t="s">
        <v>20</v>
      </c>
      <c r="G4125" t="s">
        <v>21</v>
      </c>
      <c r="H4125" t="str">
        <f>"201807258456"</f>
        <v>201807258456</v>
      </c>
      <c r="I4125" t="str">
        <f>"WAL-MART BUSINESS/SYNCB"</f>
        <v>WAL-MART BUSINESS/SYNCB</v>
      </c>
    </row>
    <row r="4126" spans="1:9" x14ac:dyDescent="0.25">
      <c r="A4126" s="6">
        <v>43306</v>
      </c>
      <c r="B4126" t="s">
        <v>26</v>
      </c>
      <c r="C4126">
        <v>58316</v>
      </c>
      <c r="D4126" t="s">
        <v>104</v>
      </c>
      <c r="E4126" s="7">
        <v>2830.95</v>
      </c>
      <c r="F4126" t="s">
        <v>20</v>
      </c>
      <c r="G4126" t="s">
        <v>21</v>
      </c>
      <c r="H4126" t="str">
        <f>"201807258459"</f>
        <v>201807258459</v>
      </c>
      <c r="I4126" t="str">
        <f>"WILSON COUNTY NEWS"</f>
        <v>WILSON COUNTY NEWS</v>
      </c>
    </row>
    <row r="4127" spans="1:9" x14ac:dyDescent="0.25">
      <c r="A4127" s="6">
        <v>43306</v>
      </c>
      <c r="B4127" t="s">
        <v>26</v>
      </c>
      <c r="C4127">
        <v>58317</v>
      </c>
      <c r="D4127" t="s">
        <v>59</v>
      </c>
      <c r="E4127" s="7">
        <v>4308.38</v>
      </c>
      <c r="F4127" t="s">
        <v>20</v>
      </c>
      <c r="G4127" t="s">
        <v>21</v>
      </c>
      <c r="H4127" t="str">
        <f>"0970237"</f>
        <v>0970237</v>
      </c>
      <c r="I4127" t="str">
        <f>"PIPES  CONNECTORS ETC"</f>
        <v>PIPES  CONNECTORS ETC</v>
      </c>
    </row>
    <row r="4128" spans="1:9" x14ac:dyDescent="0.25">
      <c r="E4128" s="7"/>
      <c r="F4128" t="s">
        <v>20</v>
      </c>
      <c r="G4128" t="s">
        <v>21</v>
      </c>
      <c r="H4128" t="str">
        <f>"0970237-1"</f>
        <v>0970237-1</v>
      </c>
      <c r="I4128" t="str">
        <f>"PIPES  CONNECTORS ETC"</f>
        <v>PIPES  CONNECTORS ETC</v>
      </c>
    </row>
    <row r="4129" spans="1:9" x14ac:dyDescent="0.25">
      <c r="E4129" s="7"/>
      <c r="F4129" t="s">
        <v>20</v>
      </c>
      <c r="G4129" t="s">
        <v>21</v>
      </c>
      <c r="H4129" t="str">
        <f>"0970610"</f>
        <v>0970610</v>
      </c>
      <c r="I4129" t="str">
        <f>"FERGUSON WATERWORKS - MUNICIPA"</f>
        <v>FERGUSON WATERWORKS - MUNICIPA</v>
      </c>
    </row>
    <row r="4130" spans="1:9" x14ac:dyDescent="0.25">
      <c r="A4130" s="6">
        <v>43306</v>
      </c>
      <c r="B4130" t="s">
        <v>26</v>
      </c>
      <c r="C4130">
        <v>58318</v>
      </c>
      <c r="D4130" t="s">
        <v>106</v>
      </c>
      <c r="E4130" s="7">
        <v>54</v>
      </c>
      <c r="F4130" t="s">
        <v>20</v>
      </c>
      <c r="G4130" t="s">
        <v>21</v>
      </c>
      <c r="H4130" t="str">
        <f>"218-101247"</f>
        <v>218-101247</v>
      </c>
      <c r="I4130" t="str">
        <f>"OMNIBASE SERVICES OF TEXAS"</f>
        <v>OMNIBASE SERVICES OF TEXAS</v>
      </c>
    </row>
    <row r="4131" spans="1:9" x14ac:dyDescent="0.25">
      <c r="A4131" s="6">
        <v>43306</v>
      </c>
      <c r="B4131" t="s">
        <v>26</v>
      </c>
      <c r="C4131">
        <v>58319</v>
      </c>
      <c r="D4131" t="s">
        <v>202</v>
      </c>
      <c r="E4131" s="7">
        <v>4656.6000000000004</v>
      </c>
      <c r="F4131" t="s">
        <v>20</v>
      </c>
      <c r="G4131" t="s">
        <v>21</v>
      </c>
      <c r="H4131" t="str">
        <f>"61765511"</f>
        <v>61765511</v>
      </c>
      <c r="I4131" t="str">
        <f>"COLD MIX"</f>
        <v>COLD MIX</v>
      </c>
    </row>
    <row r="4132" spans="1:9" x14ac:dyDescent="0.25">
      <c r="E4132" s="7"/>
      <c r="F4132" t="s">
        <v>20</v>
      </c>
      <c r="G4132" t="s">
        <v>21</v>
      </c>
      <c r="H4132" t="str">
        <f>"61765512"</f>
        <v>61765512</v>
      </c>
      <c r="I4132" t="str">
        <f>"COLD MIX"</f>
        <v>COLD MIX</v>
      </c>
    </row>
    <row r="4133" spans="1:9" x14ac:dyDescent="0.25">
      <c r="A4133" s="6">
        <v>43306</v>
      </c>
      <c r="B4133" t="s">
        <v>26</v>
      </c>
      <c r="C4133">
        <v>58320</v>
      </c>
      <c r="D4133" t="s">
        <v>108</v>
      </c>
      <c r="E4133" s="7">
        <v>2366.38</v>
      </c>
      <c r="F4133" t="s">
        <v>20</v>
      </c>
      <c r="G4133" t="s">
        <v>21</v>
      </c>
      <c r="H4133" t="str">
        <f>"041295600204"</f>
        <v>041295600204</v>
      </c>
      <c r="I4133" t="str">
        <f>"POOLSURE"</f>
        <v>POOLSURE</v>
      </c>
    </row>
    <row r="4134" spans="1:9" x14ac:dyDescent="0.25">
      <c r="A4134" s="6">
        <v>43306</v>
      </c>
      <c r="B4134" t="s">
        <v>26</v>
      </c>
      <c r="C4134">
        <v>58321</v>
      </c>
      <c r="D4134" t="s">
        <v>203</v>
      </c>
      <c r="E4134" s="7">
        <v>329.38</v>
      </c>
      <c r="F4134" t="s">
        <v>20</v>
      </c>
      <c r="G4134" t="s">
        <v>21</v>
      </c>
      <c r="H4134" t="str">
        <f>"620950"</f>
        <v>620950</v>
      </c>
      <c r="I4134" t="str">
        <f>"WW TREATMENT"</f>
        <v>WW TREATMENT</v>
      </c>
    </row>
    <row r="4135" spans="1:9" x14ac:dyDescent="0.25">
      <c r="E4135" s="7"/>
      <c r="F4135" t="s">
        <v>20</v>
      </c>
      <c r="G4135" t="s">
        <v>21</v>
      </c>
      <c r="H4135" t="str">
        <f>"622220"</f>
        <v>622220</v>
      </c>
      <c r="I4135" t="str">
        <f>"TREATMENT SUPPLIES"</f>
        <v>TREATMENT SUPPLIES</v>
      </c>
    </row>
    <row r="4136" spans="1:9" x14ac:dyDescent="0.25">
      <c r="A4136" s="6">
        <v>43306</v>
      </c>
      <c r="B4136" t="s">
        <v>26</v>
      </c>
      <c r="C4136">
        <v>58322</v>
      </c>
      <c r="D4136" t="s">
        <v>181</v>
      </c>
      <c r="E4136" s="7">
        <v>41.42</v>
      </c>
      <c r="F4136" t="s">
        <v>20</v>
      </c>
      <c r="G4136" t="s">
        <v>21</v>
      </c>
      <c r="H4136" t="str">
        <f>"201807258457"</f>
        <v>201807258457</v>
      </c>
      <c r="I4136" t="str">
        <f>"AT&amp;T"</f>
        <v>AT&amp;T</v>
      </c>
    </row>
    <row r="4137" spans="1:9" x14ac:dyDescent="0.25">
      <c r="A4137" s="6">
        <v>43306</v>
      </c>
      <c r="B4137" t="s">
        <v>26</v>
      </c>
      <c r="C4137">
        <v>58323</v>
      </c>
      <c r="D4137" t="s">
        <v>484</v>
      </c>
      <c r="E4137" s="7">
        <v>50</v>
      </c>
      <c r="F4137" t="s">
        <v>20</v>
      </c>
      <c r="G4137" t="s">
        <v>21</v>
      </c>
      <c r="H4137" t="str">
        <f>"PAV DEP REF7/7"</f>
        <v>PAV DEP REF7/7</v>
      </c>
      <c r="I4137" t="str">
        <f>"PAV DEP REF"</f>
        <v>PAV DEP REF</v>
      </c>
    </row>
    <row r="4138" spans="1:9" x14ac:dyDescent="0.25">
      <c r="A4138" s="6">
        <v>43306</v>
      </c>
      <c r="B4138" t="s">
        <v>26</v>
      </c>
      <c r="C4138">
        <v>58324</v>
      </c>
      <c r="D4138" t="s">
        <v>485</v>
      </c>
      <c r="E4138" s="7">
        <v>50</v>
      </c>
      <c r="F4138" t="s">
        <v>20</v>
      </c>
      <c r="G4138" t="s">
        <v>21</v>
      </c>
      <c r="H4138" t="str">
        <f>"PAV REF 7/21"</f>
        <v>PAV REF 7/21</v>
      </c>
      <c r="I4138" t="str">
        <f>"PAV REF"</f>
        <v>PAV REF</v>
      </c>
    </row>
    <row r="4139" spans="1:9" x14ac:dyDescent="0.25">
      <c r="A4139" s="6">
        <v>43306</v>
      </c>
      <c r="B4139" t="s">
        <v>26</v>
      </c>
      <c r="C4139">
        <v>58325</v>
      </c>
      <c r="D4139" t="s">
        <v>61</v>
      </c>
      <c r="E4139" s="7">
        <v>10895.16</v>
      </c>
      <c r="F4139" t="s">
        <v>20</v>
      </c>
      <c r="G4139" t="s">
        <v>21</v>
      </c>
      <c r="H4139" t="str">
        <f>"025-230320"</f>
        <v>025-230320</v>
      </c>
      <c r="I4139" t="str">
        <f>"TYLER TECHNOLOGIES  INC."</f>
        <v>TYLER TECHNOLOGIES  INC.</v>
      </c>
    </row>
    <row r="4140" spans="1:9" x14ac:dyDescent="0.25">
      <c r="E4140" s="7"/>
      <c r="F4140" t="s">
        <v>20</v>
      </c>
      <c r="G4140" t="s">
        <v>21</v>
      </c>
      <c r="H4140" t="str">
        <f>"025-230321"</f>
        <v>025-230321</v>
      </c>
      <c r="I4140" t="str">
        <f>"TYLER TECHNOLOGIES  INC."</f>
        <v>TYLER TECHNOLOGIES  INC.</v>
      </c>
    </row>
    <row r="4141" spans="1:9" x14ac:dyDescent="0.25">
      <c r="E4141" s="7"/>
      <c r="F4141" t="s">
        <v>20</v>
      </c>
      <c r="G4141" t="s">
        <v>21</v>
      </c>
      <c r="H4141" t="str">
        <f>"025-230846"</f>
        <v>025-230846</v>
      </c>
      <c r="I4141" t="str">
        <f>"TYLER TECHNOLOGIES  INC."</f>
        <v>TYLER TECHNOLOGIES  INC.</v>
      </c>
    </row>
    <row r="4142" spans="1:9" x14ac:dyDescent="0.25">
      <c r="A4142" s="6">
        <v>43306</v>
      </c>
      <c r="B4142" t="s">
        <v>26</v>
      </c>
      <c r="C4142">
        <v>58326</v>
      </c>
      <c r="D4142" t="s">
        <v>62</v>
      </c>
      <c r="E4142" s="7">
        <v>2000</v>
      </c>
      <c r="F4142" t="s">
        <v>20</v>
      </c>
      <c r="G4142" t="s">
        <v>21</v>
      </c>
      <c r="H4142" t="str">
        <f>"E. CHAPA"</f>
        <v>E. CHAPA</v>
      </c>
      <c r="I4142" t="str">
        <f>"SBS ADMINISTRATIVE SERVICES  L"</f>
        <v>SBS ADMINISTRATIVE SERVICES  L</v>
      </c>
    </row>
    <row r="4143" spans="1:9" x14ac:dyDescent="0.25">
      <c r="A4143" s="6">
        <v>43306</v>
      </c>
      <c r="B4143" t="s">
        <v>26</v>
      </c>
      <c r="C4143">
        <v>58327</v>
      </c>
      <c r="D4143" t="s">
        <v>63</v>
      </c>
      <c r="E4143" s="7">
        <v>484.35</v>
      </c>
      <c r="F4143" t="s">
        <v>20</v>
      </c>
      <c r="G4143" t="s">
        <v>21</v>
      </c>
      <c r="H4143" t="str">
        <f>"8403736202"</f>
        <v>8403736202</v>
      </c>
      <c r="I4143" t="str">
        <f>"CINTAS CORPORATION"</f>
        <v>CINTAS CORPORATION</v>
      </c>
    </row>
    <row r="4144" spans="1:9" x14ac:dyDescent="0.25">
      <c r="A4144" s="6">
        <v>43306</v>
      </c>
      <c r="B4144" t="s">
        <v>26</v>
      </c>
      <c r="C4144">
        <v>58328</v>
      </c>
      <c r="D4144" t="s">
        <v>116</v>
      </c>
      <c r="E4144" s="7">
        <v>30.55</v>
      </c>
      <c r="F4144" t="s">
        <v>20</v>
      </c>
      <c r="G4144" t="s">
        <v>21</v>
      </c>
      <c r="H4144" t="str">
        <f>"INV729960"</f>
        <v>INV729960</v>
      </c>
      <c r="I4144" t="str">
        <f>"POOL SUPPLIES"</f>
        <v>POOL SUPPLIES</v>
      </c>
    </row>
    <row r="4145" spans="1:9" x14ac:dyDescent="0.25">
      <c r="A4145" s="6">
        <v>43306</v>
      </c>
      <c r="B4145" t="s">
        <v>26</v>
      </c>
      <c r="C4145">
        <v>58329</v>
      </c>
      <c r="D4145" t="s">
        <v>486</v>
      </c>
      <c r="E4145" s="7">
        <v>58.5</v>
      </c>
      <c r="F4145" t="s">
        <v>20</v>
      </c>
      <c r="G4145" t="s">
        <v>21</v>
      </c>
      <c r="H4145" t="str">
        <f>"UI 435014"</f>
        <v>UI 435014</v>
      </c>
      <c r="I4145" t="str">
        <f>"TEXAS DEPARTMENT OF CRIMINAL J"</f>
        <v>TEXAS DEPARTMENT OF CRIMINAL J</v>
      </c>
    </row>
    <row r="4146" spans="1:9" x14ac:dyDescent="0.25">
      <c r="A4146" s="6">
        <v>43306</v>
      </c>
      <c r="B4146" t="s">
        <v>26</v>
      </c>
      <c r="C4146">
        <v>58330</v>
      </c>
      <c r="D4146" t="s">
        <v>65</v>
      </c>
      <c r="E4146" s="7">
        <v>463</v>
      </c>
      <c r="F4146" t="s">
        <v>20</v>
      </c>
      <c r="G4146" t="s">
        <v>21</v>
      </c>
      <c r="H4146" t="str">
        <f>"6/27/18"</f>
        <v>6/27/18</v>
      </c>
      <c r="I4146" t="str">
        <f>"SAM'S CLUB/SYNCHRONY BANK"</f>
        <v>SAM'S CLUB/SYNCHRONY BANK</v>
      </c>
    </row>
    <row r="4147" spans="1:9" x14ac:dyDescent="0.25">
      <c r="A4147" s="6">
        <v>43306</v>
      </c>
      <c r="B4147" t="s">
        <v>26</v>
      </c>
      <c r="C4147">
        <v>58331</v>
      </c>
      <c r="D4147" t="s">
        <v>66</v>
      </c>
      <c r="E4147" s="7">
        <v>340</v>
      </c>
      <c r="F4147" t="s">
        <v>20</v>
      </c>
      <c r="G4147" t="s">
        <v>21</v>
      </c>
      <c r="H4147" t="str">
        <f>"52810"</f>
        <v>52810</v>
      </c>
      <c r="I4147" t="str">
        <f>"LOPEZ EXTERMINATING SERVICE  I"</f>
        <v>LOPEZ EXTERMINATING SERVICE  I</v>
      </c>
    </row>
    <row r="4148" spans="1:9" x14ac:dyDescent="0.25">
      <c r="A4148" s="6">
        <v>43306</v>
      </c>
      <c r="B4148" t="s">
        <v>26</v>
      </c>
      <c r="C4148">
        <v>58332</v>
      </c>
      <c r="D4148" t="s">
        <v>121</v>
      </c>
      <c r="E4148" s="7">
        <v>100</v>
      </c>
      <c r="F4148" t="s">
        <v>20</v>
      </c>
      <c r="G4148" t="s">
        <v>21</v>
      </c>
      <c r="H4148" t="str">
        <f>"DEP REFUND"</f>
        <v>DEP REFUND</v>
      </c>
      <c r="I4148" t="str">
        <f>"FLORESVILLE ISD"</f>
        <v>FLORESVILLE ISD</v>
      </c>
    </row>
    <row r="4149" spans="1:9" x14ac:dyDescent="0.25">
      <c r="A4149" s="6">
        <v>43306</v>
      </c>
      <c r="B4149" t="s">
        <v>26</v>
      </c>
      <c r="C4149">
        <v>58333</v>
      </c>
      <c r="D4149" t="s">
        <v>71</v>
      </c>
      <c r="E4149" s="7">
        <v>96.15</v>
      </c>
      <c r="F4149" t="s">
        <v>20</v>
      </c>
      <c r="G4149" t="s">
        <v>21</v>
      </c>
      <c r="H4149" t="str">
        <f>"087175141"</f>
        <v>087175141</v>
      </c>
      <c r="I4149" t="str">
        <f>"CINTAS CORPORATION #087"</f>
        <v>CINTAS CORPORATION #087</v>
      </c>
    </row>
    <row r="4150" spans="1:9" x14ac:dyDescent="0.25">
      <c r="A4150" s="6">
        <v>43306</v>
      </c>
      <c r="B4150" t="s">
        <v>26</v>
      </c>
      <c r="C4150">
        <v>58334</v>
      </c>
      <c r="D4150" t="s">
        <v>235</v>
      </c>
      <c r="E4150" s="7">
        <v>2393.2199999999998</v>
      </c>
      <c r="F4150" t="s">
        <v>20</v>
      </c>
      <c r="G4150" t="s">
        <v>21</v>
      </c>
      <c r="H4150" t="str">
        <f>"116"</f>
        <v>116</v>
      </c>
      <c r="I4150" t="str">
        <f>"WILSON COUNTY"</f>
        <v>WILSON COUNTY</v>
      </c>
    </row>
    <row r="4151" spans="1:9" x14ac:dyDescent="0.25">
      <c r="A4151" s="6">
        <v>43306</v>
      </c>
      <c r="B4151" t="s">
        <v>26</v>
      </c>
      <c r="C4151">
        <v>58335</v>
      </c>
      <c r="D4151" t="s">
        <v>341</v>
      </c>
      <c r="E4151" s="7">
        <v>50</v>
      </c>
      <c r="F4151" t="s">
        <v>20</v>
      </c>
      <c r="G4151" t="s">
        <v>21</v>
      </c>
      <c r="H4151" t="str">
        <f>"7/21/18"</f>
        <v>7/21/18</v>
      </c>
      <c r="I4151" t="str">
        <f>"JUANITA MONTOYA"</f>
        <v>JUANITA MONTOYA</v>
      </c>
    </row>
    <row r="4152" spans="1:9" x14ac:dyDescent="0.25">
      <c r="A4152" s="6">
        <v>43306</v>
      </c>
      <c r="B4152" t="s">
        <v>26</v>
      </c>
      <c r="C4152">
        <v>58336</v>
      </c>
      <c r="D4152" t="s">
        <v>137</v>
      </c>
      <c r="E4152" s="7">
        <v>121.9</v>
      </c>
      <c r="F4152" t="s">
        <v>20</v>
      </c>
      <c r="G4152" t="s">
        <v>21</v>
      </c>
      <c r="H4152" t="str">
        <f>"316"</f>
        <v>316</v>
      </c>
      <c r="I4152" t="str">
        <f>"OMNIBUS-M  INC.D.B.A."</f>
        <v>OMNIBUS-M  INC.D.B.A.</v>
      </c>
    </row>
    <row r="4153" spans="1:9" x14ac:dyDescent="0.25">
      <c r="E4153" s="7"/>
      <c r="F4153" t="s">
        <v>20</v>
      </c>
      <c r="G4153" t="s">
        <v>21</v>
      </c>
      <c r="H4153" t="str">
        <f>"317"</f>
        <v>317</v>
      </c>
      <c r="I4153" t="str">
        <f>"OMNIBUS-M  INC.D.B.A."</f>
        <v>OMNIBUS-M  INC.D.B.A.</v>
      </c>
    </row>
    <row r="4154" spans="1:9" x14ac:dyDescent="0.25">
      <c r="A4154" s="6">
        <v>43306</v>
      </c>
      <c r="B4154" t="s">
        <v>26</v>
      </c>
      <c r="C4154">
        <v>58337</v>
      </c>
      <c r="D4154" t="s">
        <v>124</v>
      </c>
      <c r="E4154" s="7">
        <v>582.72</v>
      </c>
      <c r="F4154" t="s">
        <v>20</v>
      </c>
      <c r="G4154" t="s">
        <v>21</v>
      </c>
      <c r="H4154" t="str">
        <f>"11162216"</f>
        <v>11162216</v>
      </c>
      <c r="I4154" t="str">
        <f>"CONCRETE SAW BLADES"</f>
        <v>CONCRETE SAW BLADES</v>
      </c>
    </row>
    <row r="4155" spans="1:9" x14ac:dyDescent="0.25">
      <c r="E4155" s="7"/>
      <c r="F4155" t="s">
        <v>20</v>
      </c>
      <c r="G4155" t="s">
        <v>21</v>
      </c>
      <c r="H4155" t="str">
        <f>"11162368"</f>
        <v>11162368</v>
      </c>
      <c r="I4155" t="str">
        <f>"PAINT/ROLLERS"</f>
        <v>PAINT/ROLLERS</v>
      </c>
    </row>
    <row r="4156" spans="1:9" x14ac:dyDescent="0.25">
      <c r="E4156" s="7"/>
      <c r="F4156" t="s">
        <v>20</v>
      </c>
      <c r="G4156" t="s">
        <v>21</v>
      </c>
      <c r="H4156" t="str">
        <f>"11162375"</f>
        <v>11162375</v>
      </c>
      <c r="I4156" t="str">
        <f>"BUILDING MAINTENANCE"</f>
        <v>BUILDING MAINTENANCE</v>
      </c>
    </row>
    <row r="4157" spans="1:9" x14ac:dyDescent="0.25">
      <c r="A4157" s="6">
        <v>43306</v>
      </c>
      <c r="B4157" t="s">
        <v>26</v>
      </c>
      <c r="C4157">
        <v>58338</v>
      </c>
      <c r="D4157" t="s">
        <v>372</v>
      </c>
      <c r="E4157" s="7">
        <v>50</v>
      </c>
      <c r="F4157" t="s">
        <v>20</v>
      </c>
      <c r="G4157" t="s">
        <v>21</v>
      </c>
      <c r="H4157" t="str">
        <f>"7/21/18"</f>
        <v>7/21/18</v>
      </c>
      <c r="I4157" t="str">
        <f>"MICHELLE DOLBERRY"</f>
        <v>MICHELLE DOLBERRY</v>
      </c>
    </row>
    <row r="4158" spans="1:9" x14ac:dyDescent="0.25">
      <c r="A4158" s="6">
        <v>43306</v>
      </c>
      <c r="B4158" t="s">
        <v>26</v>
      </c>
      <c r="C4158">
        <v>58339</v>
      </c>
      <c r="D4158" t="s">
        <v>79</v>
      </c>
      <c r="E4158" s="7">
        <v>5.82</v>
      </c>
      <c r="F4158" t="s">
        <v>20</v>
      </c>
      <c r="G4158" t="s">
        <v>21</v>
      </c>
      <c r="H4158" t="str">
        <f>"6-249-57302"</f>
        <v>6-249-57302</v>
      </c>
      <c r="I4158" t="str">
        <f>"FEDEX"</f>
        <v>FEDEX</v>
      </c>
    </row>
    <row r="4159" spans="1:9" x14ac:dyDescent="0.25">
      <c r="A4159" s="6">
        <v>43306</v>
      </c>
      <c r="B4159" t="s">
        <v>26</v>
      </c>
      <c r="C4159">
        <v>58340</v>
      </c>
      <c r="D4159" t="s">
        <v>128</v>
      </c>
      <c r="E4159" s="7">
        <v>57.04</v>
      </c>
      <c r="F4159" t="s">
        <v>20</v>
      </c>
      <c r="G4159" t="s">
        <v>21</v>
      </c>
      <c r="H4159" t="str">
        <f>"7/23/18"</f>
        <v>7/23/18</v>
      </c>
      <c r="I4159" t="str">
        <f>"HELEN S. MARTINEZ"</f>
        <v>HELEN S. MARTINEZ</v>
      </c>
    </row>
    <row r="4160" spans="1:9" x14ac:dyDescent="0.25">
      <c r="A4160" s="6">
        <v>43306</v>
      </c>
      <c r="B4160" t="s">
        <v>26</v>
      </c>
      <c r="C4160">
        <v>58341</v>
      </c>
      <c r="D4160" t="s">
        <v>81</v>
      </c>
      <c r="E4160" s="7">
        <v>184.15</v>
      </c>
      <c r="F4160" t="s">
        <v>20</v>
      </c>
      <c r="G4160" t="s">
        <v>21</v>
      </c>
      <c r="H4160" t="str">
        <f>"B.C. 7/24/18"</f>
        <v>B.C. 7/24/18</v>
      </c>
      <c r="I4160" t="str">
        <f>"CITY OF FLORESVILLE -PETTY CAS"</f>
        <v>CITY OF FLORESVILLE -PETTY CAS</v>
      </c>
    </row>
    <row r="4161" spans="1:9" x14ac:dyDescent="0.25">
      <c r="A4161" s="6">
        <v>43306</v>
      </c>
      <c r="B4161" t="s">
        <v>26</v>
      </c>
      <c r="C4161">
        <v>58342</v>
      </c>
      <c r="D4161" t="s">
        <v>192</v>
      </c>
      <c r="E4161" s="7">
        <v>2409.62</v>
      </c>
      <c r="F4161" t="s">
        <v>20</v>
      </c>
      <c r="G4161" t="s">
        <v>21</v>
      </c>
      <c r="H4161" t="str">
        <f>"59948333"</f>
        <v>59948333</v>
      </c>
      <c r="I4161" t="str">
        <f>"DE LAGE LANDEN PUBLIC FINANCE"</f>
        <v>DE LAGE LANDEN PUBLIC FINANCE</v>
      </c>
    </row>
    <row r="4162" spans="1:9" x14ac:dyDescent="0.25">
      <c r="E4162" s="7"/>
      <c r="F4162" t="s">
        <v>20</v>
      </c>
      <c r="G4162" t="s">
        <v>21</v>
      </c>
      <c r="H4162" t="str">
        <f>"59948338"</f>
        <v>59948338</v>
      </c>
      <c r="I4162" t="str">
        <f>"DE LAGE LANDEN PUBLIC FINANCE"</f>
        <v>DE LAGE LANDEN PUBLIC FINANCE</v>
      </c>
    </row>
    <row r="4163" spans="1:9" x14ac:dyDescent="0.25">
      <c r="E4163" s="7"/>
      <c r="F4163" t="s">
        <v>20</v>
      </c>
      <c r="G4163" t="s">
        <v>21</v>
      </c>
      <c r="H4163" t="str">
        <f>"59948353"</f>
        <v>59948353</v>
      </c>
      <c r="I4163" t="str">
        <f>"DE LAGE LANDEN PUBLIC FINANCE"</f>
        <v>DE LAGE LANDEN PUBLIC FINANCE</v>
      </c>
    </row>
    <row r="4164" spans="1:9" x14ac:dyDescent="0.25">
      <c r="A4164" s="6">
        <v>43306</v>
      </c>
      <c r="B4164" t="s">
        <v>26</v>
      </c>
      <c r="C4164">
        <v>58344</v>
      </c>
      <c r="D4164" t="s">
        <v>131</v>
      </c>
      <c r="E4164" s="7">
        <v>322.86</v>
      </c>
      <c r="F4164" t="s">
        <v>20</v>
      </c>
      <c r="G4164" t="s">
        <v>21</v>
      </c>
      <c r="H4164" t="str">
        <f>"022124"</f>
        <v>022124</v>
      </c>
      <c r="I4164" t="str">
        <f>"R &amp; S TEXAS PARTS CO"</f>
        <v>R &amp; S TEXAS PARTS CO</v>
      </c>
    </row>
    <row r="4165" spans="1:9" x14ac:dyDescent="0.25">
      <c r="E4165" s="7"/>
      <c r="F4165" t="s">
        <v>20</v>
      </c>
      <c r="G4165" t="s">
        <v>21</v>
      </c>
      <c r="H4165" t="str">
        <f>"025129"</f>
        <v>025129</v>
      </c>
      <c r="I4165" t="str">
        <f>"R &amp; S TEXAS PARTS CO"</f>
        <v>R &amp; S TEXAS PARTS CO</v>
      </c>
    </row>
    <row r="4166" spans="1:9" x14ac:dyDescent="0.25">
      <c r="E4166" s="7"/>
      <c r="F4166" t="s">
        <v>20</v>
      </c>
      <c r="G4166" t="s">
        <v>21</v>
      </c>
      <c r="H4166" t="str">
        <f>"025498"</f>
        <v>025498</v>
      </c>
      <c r="I4166" t="str">
        <f>"R &amp; S TEXAS PARTS CO"</f>
        <v>R &amp; S TEXAS PARTS CO</v>
      </c>
    </row>
    <row r="4167" spans="1:9" x14ac:dyDescent="0.25">
      <c r="E4167" s="7"/>
      <c r="F4167" t="s">
        <v>20</v>
      </c>
      <c r="G4167" t="s">
        <v>21</v>
      </c>
      <c r="H4167" t="str">
        <f>"026308"</f>
        <v>026308</v>
      </c>
      <c r="I4167" t="str">
        <f>"R &amp; S TEXAS PARTS CO"</f>
        <v>R &amp; S TEXAS PARTS CO</v>
      </c>
    </row>
    <row r="4168" spans="1:9" x14ac:dyDescent="0.25">
      <c r="E4168" s="7"/>
      <c r="F4168" t="s">
        <v>20</v>
      </c>
      <c r="G4168" t="s">
        <v>21</v>
      </c>
      <c r="H4168" t="str">
        <f>"029803"</f>
        <v>029803</v>
      </c>
      <c r="I4168" t="str">
        <f>"R &amp; S TEXAS PARTS CO"</f>
        <v>R &amp; S TEXAS PARTS CO</v>
      </c>
    </row>
    <row r="4169" spans="1:9" x14ac:dyDescent="0.25">
      <c r="A4169" s="6">
        <v>43306</v>
      </c>
      <c r="B4169" t="s">
        <v>26</v>
      </c>
      <c r="C4169">
        <v>58345</v>
      </c>
      <c r="D4169" t="s">
        <v>85</v>
      </c>
      <c r="E4169" s="7">
        <v>254.76</v>
      </c>
      <c r="F4169" t="s">
        <v>20</v>
      </c>
      <c r="G4169" t="s">
        <v>21</v>
      </c>
      <c r="H4169" t="str">
        <f>"201807258452"</f>
        <v>201807258452</v>
      </c>
      <c r="I4169" t="str">
        <f>"FRONTIER"</f>
        <v>FRONTIER</v>
      </c>
    </row>
    <row r="4170" spans="1:9" x14ac:dyDescent="0.25">
      <c r="E4170" s="7"/>
      <c r="F4170" t="s">
        <v>20</v>
      </c>
      <c r="G4170" t="s">
        <v>21</v>
      </c>
      <c r="H4170" t="str">
        <f>"201807258453"</f>
        <v>201807258453</v>
      </c>
      <c r="I4170" t="str">
        <f>"FRONTIER"</f>
        <v>FRONTIER</v>
      </c>
    </row>
    <row r="4171" spans="1:9" x14ac:dyDescent="0.25">
      <c r="E4171" s="7"/>
      <c r="F4171" t="s">
        <v>20</v>
      </c>
      <c r="G4171" t="s">
        <v>21</v>
      </c>
      <c r="H4171" t="str">
        <f>"201807258454"</f>
        <v>201807258454</v>
      </c>
      <c r="I4171" t="str">
        <f>"FRONTIER"</f>
        <v>FRONTIER</v>
      </c>
    </row>
    <row r="4172" spans="1:9" x14ac:dyDescent="0.25">
      <c r="E4172" s="7"/>
      <c r="F4172" t="s">
        <v>20</v>
      </c>
      <c r="G4172" t="s">
        <v>21</v>
      </c>
      <c r="H4172" t="str">
        <f>"201807258455"</f>
        <v>201807258455</v>
      </c>
      <c r="I4172" t="str">
        <f>"FRONTIER"</f>
        <v>FRONTIER</v>
      </c>
    </row>
    <row r="4173" spans="1:9" x14ac:dyDescent="0.25">
      <c r="E4173" s="7"/>
      <c r="F4173" t="s">
        <v>20</v>
      </c>
      <c r="G4173" t="s">
        <v>21</v>
      </c>
      <c r="H4173" t="str">
        <f>"201807258458"</f>
        <v>201807258458</v>
      </c>
      <c r="I4173" t="str">
        <f>"FRONTIER"</f>
        <v>FRONTIER</v>
      </c>
    </row>
    <row r="4174" spans="1:9" x14ac:dyDescent="0.25">
      <c r="A4174" s="6">
        <v>43306</v>
      </c>
      <c r="B4174" t="s">
        <v>26</v>
      </c>
      <c r="C4174">
        <v>58346</v>
      </c>
      <c r="D4174" t="s">
        <v>195</v>
      </c>
      <c r="E4174" s="7">
        <v>1069.55</v>
      </c>
      <c r="F4174" t="s">
        <v>20</v>
      </c>
      <c r="G4174" t="s">
        <v>21</v>
      </c>
      <c r="H4174" t="str">
        <f>"1565201807"</f>
        <v>1565201807</v>
      </c>
      <c r="I4174" t="str">
        <f>"ARISTA INFORMATION SYSTEMS  IN"</f>
        <v>ARISTA INFORMATION SYSTEMS  IN</v>
      </c>
    </row>
    <row r="4175" spans="1:9" x14ac:dyDescent="0.25">
      <c r="E4175" s="7"/>
      <c r="F4175" t="s">
        <v>20</v>
      </c>
      <c r="G4175" t="s">
        <v>21</v>
      </c>
      <c r="H4175" t="str">
        <f>"25724"</f>
        <v>25724</v>
      </c>
      <c r="I4175" t="str">
        <f>"ARISTA INFORMATION SYSTEMS  IN"</f>
        <v>ARISTA INFORMATION SYSTEMS  IN</v>
      </c>
    </row>
    <row r="4176" spans="1:9" x14ac:dyDescent="0.25">
      <c r="A4176" s="6">
        <v>43306</v>
      </c>
      <c r="B4176" t="s">
        <v>26</v>
      </c>
      <c r="C4176">
        <v>58347</v>
      </c>
      <c r="D4176" t="s">
        <v>345</v>
      </c>
      <c r="E4176" s="7">
        <v>418</v>
      </c>
      <c r="F4176" t="s">
        <v>20</v>
      </c>
      <c r="G4176" t="s">
        <v>21</v>
      </c>
      <c r="H4176" t="str">
        <f>"7/16-7/21"</f>
        <v>7/16-7/21</v>
      </c>
      <c r="I4176" t="str">
        <f>"MICHAEL ISAAC MARTINEZ"</f>
        <v>MICHAEL ISAAC MARTINEZ</v>
      </c>
    </row>
    <row r="4177" spans="1:9" x14ac:dyDescent="0.25">
      <c r="A4177" s="6">
        <v>43306</v>
      </c>
      <c r="B4177" t="s">
        <v>91</v>
      </c>
      <c r="C4177">
        <v>58348</v>
      </c>
      <c r="D4177" t="s">
        <v>487</v>
      </c>
      <c r="E4177" s="7">
        <v>917.98</v>
      </c>
      <c r="F4177" t="s">
        <v>20</v>
      </c>
      <c r="G4177" t="s">
        <v>21</v>
      </c>
      <c r="H4177" t="str">
        <f>"KB00007566"</f>
        <v>KB00007566</v>
      </c>
      <c r="I4177" t="str">
        <f>"MEMORIAL BENCH"</f>
        <v>MEMORIAL BENCH</v>
      </c>
    </row>
    <row r="4178" spans="1:9" x14ac:dyDescent="0.25">
      <c r="A4178" s="6">
        <v>43306</v>
      </c>
      <c r="B4178" t="s">
        <v>91</v>
      </c>
      <c r="C4178">
        <v>58348</v>
      </c>
      <c r="D4178" t="s">
        <v>487</v>
      </c>
      <c r="E4178" s="7">
        <v>917.98</v>
      </c>
      <c r="F4178" t="s">
        <v>20</v>
      </c>
      <c r="G4178" t="s">
        <v>93</v>
      </c>
      <c r="H4178" t="str">
        <f>"CHECK"</f>
        <v>CHECK</v>
      </c>
      <c r="I4178" t="str">
        <f>""</f>
        <v/>
      </c>
    </row>
    <row r="4179" spans="1:9" x14ac:dyDescent="0.25">
      <c r="A4179" s="6">
        <v>43306</v>
      </c>
      <c r="B4179" t="s">
        <v>26</v>
      </c>
      <c r="C4179">
        <v>58349</v>
      </c>
      <c r="D4179" t="s">
        <v>427</v>
      </c>
      <c r="E4179" s="7">
        <v>50</v>
      </c>
      <c r="F4179" t="s">
        <v>20</v>
      </c>
      <c r="G4179" t="s">
        <v>21</v>
      </c>
      <c r="H4179" t="str">
        <f>"7/21/18"</f>
        <v>7/21/18</v>
      </c>
      <c r="I4179" t="str">
        <f>"Alexandria Rene Palacios"</f>
        <v>Alexandria Rene Palacios</v>
      </c>
    </row>
    <row r="4180" spans="1:9" x14ac:dyDescent="0.25">
      <c r="A4180" s="6">
        <v>43306</v>
      </c>
      <c r="B4180" t="s">
        <v>26</v>
      </c>
      <c r="C4180">
        <v>58350</v>
      </c>
      <c r="D4180" t="s">
        <v>483</v>
      </c>
      <c r="E4180" s="7">
        <v>63.53</v>
      </c>
      <c r="F4180" t="s">
        <v>20</v>
      </c>
      <c r="G4180" t="s">
        <v>21</v>
      </c>
      <c r="H4180" t="str">
        <f>"5345106"</f>
        <v>5345106</v>
      </c>
      <c r="I4180" t="str">
        <f>"CAMLOCL ASSEMBLY"</f>
        <v>CAMLOCL ASSEMBLY</v>
      </c>
    </row>
    <row r="4181" spans="1:9" x14ac:dyDescent="0.25">
      <c r="A4181" s="6">
        <v>43306</v>
      </c>
      <c r="B4181" t="s">
        <v>26</v>
      </c>
      <c r="C4181">
        <v>58351</v>
      </c>
      <c r="D4181" t="s">
        <v>488</v>
      </c>
      <c r="E4181" s="7">
        <v>133582.35</v>
      </c>
      <c r="F4181" t="s">
        <v>20</v>
      </c>
      <c r="G4181" t="s">
        <v>21</v>
      </c>
      <c r="H4181" t="str">
        <f>"PAY APP#1"</f>
        <v>PAY APP#1</v>
      </c>
      <c r="I4181" t="str">
        <f>"M &amp; C Fonseca Construction Co."</f>
        <v>M &amp; C Fonseca Construction Co.</v>
      </c>
    </row>
    <row r="4182" spans="1:9" x14ac:dyDescent="0.25">
      <c r="E4182" s="7"/>
      <c r="F4182" t="s">
        <v>20</v>
      </c>
      <c r="G4182" t="s">
        <v>21</v>
      </c>
      <c r="H4182" t="str">
        <f>"PAY APP#2"</f>
        <v>PAY APP#2</v>
      </c>
      <c r="I4182" t="str">
        <f>"M &amp; C Fonseca Construction Co."</f>
        <v>M &amp; C Fonseca Construction Co.</v>
      </c>
    </row>
    <row r="4183" spans="1:9" x14ac:dyDescent="0.25">
      <c r="A4183" s="6">
        <v>43306</v>
      </c>
      <c r="B4183" t="s">
        <v>26</v>
      </c>
      <c r="C4183">
        <v>58352</v>
      </c>
      <c r="D4183" t="s">
        <v>489</v>
      </c>
      <c r="E4183" s="7">
        <v>952.6</v>
      </c>
      <c r="F4183" t="s">
        <v>20</v>
      </c>
      <c r="G4183" t="s">
        <v>21</v>
      </c>
      <c r="H4183" t="str">
        <f>"6498"</f>
        <v>6498</v>
      </c>
      <c r="I4183" t="str">
        <f>"SOUTHPOINT RENTALS  LLC"</f>
        <v>SOUTHPOINT RENTALS  LLC</v>
      </c>
    </row>
    <row r="4184" spans="1:9" x14ac:dyDescent="0.25">
      <c r="A4184" s="6">
        <v>43306</v>
      </c>
      <c r="B4184" t="s">
        <v>26</v>
      </c>
      <c r="C4184">
        <v>58353</v>
      </c>
      <c r="D4184" t="s">
        <v>81</v>
      </c>
      <c r="E4184" s="7">
        <v>52.36</v>
      </c>
      <c r="F4184" t="s">
        <v>20</v>
      </c>
      <c r="G4184" t="s">
        <v>21</v>
      </c>
      <c r="H4184" t="str">
        <f>"A.M 7/23/18"</f>
        <v>A.M 7/23/18</v>
      </c>
      <c r="I4184" t="str">
        <f>"CITY OF FLORESVILLE -PETTY CAS"</f>
        <v>CITY OF FLORESVILLE -PETTY CAS</v>
      </c>
    </row>
    <row r="4185" spans="1:9" x14ac:dyDescent="0.25">
      <c r="A4185" s="6">
        <v>43306</v>
      </c>
      <c r="B4185" t="s">
        <v>26</v>
      </c>
      <c r="C4185">
        <v>58354</v>
      </c>
      <c r="D4185" t="s">
        <v>490</v>
      </c>
      <c r="E4185" s="7">
        <v>917.98</v>
      </c>
      <c r="F4185" t="s">
        <v>20</v>
      </c>
      <c r="G4185" t="s">
        <v>21</v>
      </c>
      <c r="H4185" t="str">
        <f>"KB00007566"</f>
        <v>KB00007566</v>
      </c>
      <c r="I4185" t="str">
        <f>"KIRBY BUILT QUALITY PRODUCTS"</f>
        <v>KIRBY BUILT QUALITY PRODUCTS</v>
      </c>
    </row>
    <row r="4186" spans="1:9" x14ac:dyDescent="0.25">
      <c r="A4186" s="6">
        <v>43306</v>
      </c>
      <c r="B4186" t="s">
        <v>26</v>
      </c>
      <c r="C4186">
        <v>58355</v>
      </c>
      <c r="D4186" t="s">
        <v>491</v>
      </c>
      <c r="E4186" s="7">
        <v>398.8</v>
      </c>
      <c r="F4186" t="s">
        <v>20</v>
      </c>
      <c r="G4186" t="s">
        <v>21</v>
      </c>
      <c r="H4186" t="str">
        <f>"TRAINING"</f>
        <v>TRAINING</v>
      </c>
      <c r="I4186" t="str">
        <f>"GREGORY MERKERT"</f>
        <v>GREGORY MERKERT</v>
      </c>
    </row>
    <row r="4187" spans="1:9" x14ac:dyDescent="0.25">
      <c r="A4187" s="6">
        <v>43306</v>
      </c>
      <c r="B4187" t="s">
        <v>26</v>
      </c>
      <c r="C4187">
        <v>58356</v>
      </c>
      <c r="D4187" t="s">
        <v>492</v>
      </c>
      <c r="E4187" s="7">
        <v>352.88</v>
      </c>
      <c r="F4187" t="s">
        <v>20</v>
      </c>
      <c r="G4187" t="s">
        <v>21</v>
      </c>
      <c r="H4187" t="str">
        <f>"TRAINING"</f>
        <v>TRAINING</v>
      </c>
      <c r="I4187" t="str">
        <f>"MANOLO VALENTE"</f>
        <v>MANOLO VALENTE</v>
      </c>
    </row>
    <row r="4188" spans="1:9" x14ac:dyDescent="0.25">
      <c r="A4188" s="6">
        <v>43312</v>
      </c>
      <c r="B4188" t="s">
        <v>26</v>
      </c>
      <c r="C4188">
        <v>58385</v>
      </c>
      <c r="D4188" t="s">
        <v>51</v>
      </c>
      <c r="E4188" s="7">
        <v>290.89999999999998</v>
      </c>
      <c r="F4188" t="s">
        <v>20</v>
      </c>
      <c r="G4188" t="s">
        <v>21</v>
      </c>
      <c r="H4188" t="str">
        <f>"CLE201807318460"</f>
        <v>CLE201807318460</v>
      </c>
      <c r="I4188" t="str">
        <f>"CLEAT ONLY DUES"</f>
        <v>CLEAT ONLY DUES</v>
      </c>
    </row>
    <row r="4189" spans="1:9" x14ac:dyDescent="0.25">
      <c r="E4189" s="7"/>
      <c r="F4189" t="s">
        <v>20</v>
      </c>
      <c r="G4189" t="s">
        <v>21</v>
      </c>
      <c r="H4189" t="str">
        <f>"PDD201807318460"</f>
        <v>PDD201807318460</v>
      </c>
      <c r="I4189" t="str">
        <f>"POLICE OFFICERS ASSOC DUES"</f>
        <v>POLICE OFFICERS ASSOC DUES</v>
      </c>
    </row>
    <row r="4190" spans="1:9" x14ac:dyDescent="0.25">
      <c r="A4190" s="6">
        <v>43312</v>
      </c>
      <c r="B4190" t="s">
        <v>26</v>
      </c>
      <c r="C4190">
        <v>58386</v>
      </c>
      <c r="D4190" t="s">
        <v>90</v>
      </c>
      <c r="E4190" s="7">
        <v>101.1</v>
      </c>
      <c r="F4190" t="s">
        <v>20</v>
      </c>
      <c r="G4190" t="s">
        <v>21</v>
      </c>
      <c r="H4190" t="str">
        <f>"AFS201807318460"</f>
        <v>AFS201807318460</v>
      </c>
      <c r="I4190" t="str">
        <f>"AFLAC STD"</f>
        <v>AFLAC STD</v>
      </c>
    </row>
    <row r="4191" spans="1:9" x14ac:dyDescent="0.25">
      <c r="A4191" s="6">
        <v>43312</v>
      </c>
      <c r="B4191" t="s">
        <v>26</v>
      </c>
      <c r="C4191">
        <v>58387</v>
      </c>
      <c r="D4191" t="s">
        <v>52</v>
      </c>
      <c r="E4191" s="7">
        <v>1294.68</v>
      </c>
      <c r="F4191" t="s">
        <v>20</v>
      </c>
      <c r="G4191" t="s">
        <v>21</v>
      </c>
      <c r="H4191" t="str">
        <f>"CPS201807318460"</f>
        <v>CPS201807318460</v>
      </c>
      <c r="I4191" t="str">
        <f>"G MENDOZA 00123012032010EM5054"</f>
        <v>G MENDOZA 00123012032010EM5054</v>
      </c>
    </row>
    <row r="4192" spans="1:9" x14ac:dyDescent="0.25">
      <c r="E4192" s="7"/>
      <c r="F4192" t="s">
        <v>20</v>
      </c>
      <c r="G4192" t="s">
        <v>21</v>
      </c>
      <c r="H4192" t="str">
        <f>"CS 201807318460"</f>
        <v>CS 201807318460</v>
      </c>
      <c r="I4192" t="str">
        <f>"CAUSE#98EM504113 PEGGY RIVAS"</f>
        <v>CAUSE#98EM504113 PEGGY RIVAS</v>
      </c>
    </row>
    <row r="4193" spans="1:9" x14ac:dyDescent="0.25">
      <c r="E4193" s="7"/>
      <c r="F4193" t="s">
        <v>20</v>
      </c>
      <c r="G4193" t="s">
        <v>21</v>
      </c>
      <c r="H4193" t="str">
        <f>"CSJ201807318460"</f>
        <v>CSJ201807318460</v>
      </c>
      <c r="I4193" t="str">
        <f>"CAUSE# 0010185272 MARIANN GUTI"</f>
        <v>CAUSE# 0010185272 MARIANN GUTI</v>
      </c>
    </row>
    <row r="4194" spans="1:9" x14ac:dyDescent="0.25">
      <c r="E4194" s="7"/>
      <c r="F4194" t="s">
        <v>20</v>
      </c>
      <c r="G4194" t="s">
        <v>21</v>
      </c>
      <c r="H4194" t="str">
        <f>"CST201807318460"</f>
        <v>CST201807318460</v>
      </c>
      <c r="I4194" t="str">
        <f>"CAUSE #0009418917 SONIA PEREZ"</f>
        <v>CAUSE #0009418917 SONIA PEREZ</v>
      </c>
    </row>
    <row r="4195" spans="1:9" x14ac:dyDescent="0.25">
      <c r="A4195" s="6">
        <v>43312</v>
      </c>
      <c r="B4195" t="s">
        <v>26</v>
      </c>
      <c r="C4195">
        <v>58388</v>
      </c>
      <c r="D4195" t="s">
        <v>53</v>
      </c>
      <c r="E4195" s="7">
        <v>99.1</v>
      </c>
      <c r="F4195" t="s">
        <v>20</v>
      </c>
      <c r="G4195" t="s">
        <v>21</v>
      </c>
      <c r="H4195" t="str">
        <f>"MCO201807318460"</f>
        <v>MCO201807318460</v>
      </c>
      <c r="I4195" t="str">
        <f>"MONICA CORDOVA"</f>
        <v>MONICA CORDOVA</v>
      </c>
    </row>
    <row r="4196" spans="1:9" x14ac:dyDescent="0.25">
      <c r="A4196" s="6">
        <v>43312</v>
      </c>
      <c r="B4196" t="s">
        <v>26</v>
      </c>
      <c r="C4196">
        <v>58389</v>
      </c>
      <c r="D4196" t="s">
        <v>54</v>
      </c>
      <c r="E4196" s="7">
        <v>1077.94</v>
      </c>
      <c r="F4196" t="s">
        <v>20</v>
      </c>
      <c r="G4196" t="s">
        <v>21</v>
      </c>
      <c r="H4196" t="str">
        <f>"457201807318460"</f>
        <v>457201807318460</v>
      </c>
      <c r="I4196" t="str">
        <f>"CASE # 180-60751 457B DEDUCT"</f>
        <v>CASE # 180-60751 457B DEDUCT</v>
      </c>
    </row>
    <row r="4197" spans="1:9" x14ac:dyDescent="0.25">
      <c r="A4197" s="6">
        <v>43312</v>
      </c>
      <c r="B4197" t="s">
        <v>26</v>
      </c>
      <c r="C4197">
        <v>58390</v>
      </c>
      <c r="D4197" t="s">
        <v>493</v>
      </c>
      <c r="E4197" s="7">
        <v>450</v>
      </c>
      <c r="F4197" t="s">
        <v>20</v>
      </c>
      <c r="G4197" t="s">
        <v>21</v>
      </c>
      <c r="H4197" t="str">
        <f>"DD 2018"</f>
        <v>DD 2018</v>
      </c>
      <c r="I4197" t="str">
        <f>"CONSOLATA HEALTHCARE FOUNDATIO"</f>
        <v>CONSOLATA HEALTHCARE FOUNDATIO</v>
      </c>
    </row>
    <row r="4198" spans="1:9" x14ac:dyDescent="0.25">
      <c r="A4198" s="6">
        <v>43314</v>
      </c>
      <c r="B4198" t="s">
        <v>26</v>
      </c>
      <c r="C4198">
        <v>58391</v>
      </c>
      <c r="D4198" t="s">
        <v>404</v>
      </c>
      <c r="E4198" s="7">
        <v>2500</v>
      </c>
      <c r="F4198" t="s">
        <v>20</v>
      </c>
      <c r="G4198" t="s">
        <v>21</v>
      </c>
      <c r="H4198" t="str">
        <f>"AGENDA ITEM 4G"</f>
        <v>AGENDA ITEM 4G</v>
      </c>
      <c r="I4198" t="str">
        <f>"WILSON COUNTY ELITE BALLERZ"</f>
        <v>WILSON COUNTY ELITE BALLERZ</v>
      </c>
    </row>
    <row r="4199" spans="1:9" x14ac:dyDescent="0.25">
      <c r="A4199" s="6">
        <v>43314</v>
      </c>
      <c r="B4199" t="s">
        <v>26</v>
      </c>
      <c r="C4199">
        <v>58392</v>
      </c>
      <c r="D4199" t="s">
        <v>494</v>
      </c>
      <c r="E4199" s="7">
        <v>1500</v>
      </c>
      <c r="F4199" t="s">
        <v>20</v>
      </c>
      <c r="G4199" t="s">
        <v>21</v>
      </c>
      <c r="H4199" t="str">
        <f>"AGENDA ITEM 4F"</f>
        <v>AGENDA ITEM 4F</v>
      </c>
      <c r="I4199" t="str">
        <f>"FLORESVILLE CHAPTER #271"</f>
        <v>FLORESVILLE CHAPTER #271</v>
      </c>
    </row>
    <row r="4200" spans="1:9" x14ac:dyDescent="0.25">
      <c r="A4200" s="6">
        <v>43315</v>
      </c>
      <c r="B4200" t="s">
        <v>26</v>
      </c>
      <c r="C4200">
        <v>58393</v>
      </c>
      <c r="D4200" t="s">
        <v>345</v>
      </c>
      <c r="E4200" s="7">
        <v>297</v>
      </c>
      <c r="F4200" t="s">
        <v>20</v>
      </c>
      <c r="G4200" t="s">
        <v>21</v>
      </c>
      <c r="H4200" t="str">
        <f>"7/23-7/27"</f>
        <v>7/23-7/27</v>
      </c>
      <c r="I4200" t="str">
        <f>"MICHAEL ISAAC MARTINEZ"</f>
        <v>MICHAEL ISAAC MARTINEZ</v>
      </c>
    </row>
    <row r="4201" spans="1:9" x14ac:dyDescent="0.25">
      <c r="A4201" s="6">
        <v>43320</v>
      </c>
      <c r="B4201" t="s">
        <v>26</v>
      </c>
      <c r="C4201">
        <v>58394</v>
      </c>
      <c r="D4201" t="s">
        <v>90</v>
      </c>
      <c r="E4201" s="7">
        <v>1980.24</v>
      </c>
      <c r="F4201" t="s">
        <v>20</v>
      </c>
      <c r="G4201" t="s">
        <v>21</v>
      </c>
      <c r="H4201" t="str">
        <f>"8/18"</f>
        <v>8/18</v>
      </c>
      <c r="I4201" t="str">
        <f>"AFLAC"</f>
        <v>AFLAC</v>
      </c>
    </row>
    <row r="4202" spans="1:9" x14ac:dyDescent="0.25">
      <c r="E4202" s="7"/>
      <c r="F4202" t="s">
        <v>20</v>
      </c>
      <c r="G4202" t="s">
        <v>21</v>
      </c>
      <c r="H4202" t="str">
        <f>"ACA201807188432"</f>
        <v>ACA201807188432</v>
      </c>
      <c r="I4202" t="str">
        <f>"AFLAC INSURANCE"</f>
        <v>AFLAC INSURANCE</v>
      </c>
    </row>
    <row r="4203" spans="1:9" x14ac:dyDescent="0.25">
      <c r="E4203" s="7"/>
      <c r="F4203" t="s">
        <v>20</v>
      </c>
      <c r="G4203" t="s">
        <v>21</v>
      </c>
      <c r="H4203" t="str">
        <f>"ACA201807318460"</f>
        <v>ACA201807318460</v>
      </c>
      <c r="I4203" t="str">
        <f>"AFLAC INSURANCE"</f>
        <v>AFLAC INSURANCE</v>
      </c>
    </row>
    <row r="4204" spans="1:9" x14ac:dyDescent="0.25">
      <c r="E4204" s="7"/>
      <c r="F4204" t="s">
        <v>20</v>
      </c>
      <c r="G4204" t="s">
        <v>21</v>
      </c>
      <c r="H4204" t="str">
        <f>"AD2201807188432"</f>
        <v>AD2201807188432</v>
      </c>
      <c r="I4204" t="str">
        <f>"AFLAC INSURANCE"</f>
        <v>AFLAC INSURANCE</v>
      </c>
    </row>
    <row r="4205" spans="1:9" x14ac:dyDescent="0.25">
      <c r="E4205" s="7"/>
      <c r="F4205" t="s">
        <v>20</v>
      </c>
      <c r="G4205" t="s">
        <v>21</v>
      </c>
      <c r="H4205" t="str">
        <f>"AD2201807318460"</f>
        <v>AD2201807318460</v>
      </c>
      <c r="I4205" t="str">
        <f>"AFLAC INSURANCE"</f>
        <v>AFLAC INSURANCE</v>
      </c>
    </row>
    <row r="4206" spans="1:9" x14ac:dyDescent="0.25">
      <c r="E4206" s="7"/>
      <c r="F4206" t="s">
        <v>20</v>
      </c>
      <c r="G4206" t="s">
        <v>21</v>
      </c>
      <c r="H4206" t="str">
        <f>"ADR201807188432"</f>
        <v>ADR201807188432</v>
      </c>
      <c r="I4206" t="str">
        <f>"INSURANCE"</f>
        <v>INSURANCE</v>
      </c>
    </row>
    <row r="4207" spans="1:9" x14ac:dyDescent="0.25">
      <c r="E4207" s="7"/>
      <c r="F4207" t="s">
        <v>20</v>
      </c>
      <c r="G4207" t="s">
        <v>21</v>
      </c>
      <c r="H4207" t="str">
        <f>"ADR201807318460"</f>
        <v>ADR201807318460</v>
      </c>
      <c r="I4207" t="str">
        <f>"INSURANCE"</f>
        <v>INSURANCE</v>
      </c>
    </row>
    <row r="4208" spans="1:9" x14ac:dyDescent="0.25">
      <c r="E4208" s="7"/>
      <c r="F4208" t="s">
        <v>20</v>
      </c>
      <c r="G4208" t="s">
        <v>21</v>
      </c>
      <c r="H4208" t="str">
        <f>"AF1201807188432"</f>
        <v>AF1201807188432</v>
      </c>
      <c r="I4208" t="str">
        <f t="shared" ref="I4208:I4213" si="69">"AFLAC INSURANCE"</f>
        <v>AFLAC INSURANCE</v>
      </c>
    </row>
    <row r="4209" spans="1:9" x14ac:dyDescent="0.25">
      <c r="E4209" s="7"/>
      <c r="F4209" t="s">
        <v>20</v>
      </c>
      <c r="G4209" t="s">
        <v>21</v>
      </c>
      <c r="H4209" t="str">
        <f>"AF1201807318460"</f>
        <v>AF1201807318460</v>
      </c>
      <c r="I4209" t="str">
        <f t="shared" si="69"/>
        <v>AFLAC INSURANCE</v>
      </c>
    </row>
    <row r="4210" spans="1:9" x14ac:dyDescent="0.25">
      <c r="E4210" s="7"/>
      <c r="F4210" t="s">
        <v>20</v>
      </c>
      <c r="G4210" t="s">
        <v>21</v>
      </c>
      <c r="H4210" t="str">
        <f>"ASP201807188432"</f>
        <v>ASP201807188432</v>
      </c>
      <c r="I4210" t="str">
        <f t="shared" si="69"/>
        <v>AFLAC INSURANCE</v>
      </c>
    </row>
    <row r="4211" spans="1:9" x14ac:dyDescent="0.25">
      <c r="E4211" s="7"/>
      <c r="F4211" t="s">
        <v>20</v>
      </c>
      <c r="G4211" t="s">
        <v>21</v>
      </c>
      <c r="H4211" t="str">
        <f>"ASP201807318460"</f>
        <v>ASP201807318460</v>
      </c>
      <c r="I4211" t="str">
        <f t="shared" si="69"/>
        <v>AFLAC INSURANCE</v>
      </c>
    </row>
    <row r="4212" spans="1:9" x14ac:dyDescent="0.25">
      <c r="E4212" s="7"/>
      <c r="F4212" t="s">
        <v>20</v>
      </c>
      <c r="G4212" t="s">
        <v>21</v>
      </c>
      <c r="H4212" t="str">
        <f>"HCO201807188432"</f>
        <v>HCO201807188432</v>
      </c>
      <c r="I4212" t="str">
        <f t="shared" si="69"/>
        <v>AFLAC INSURANCE</v>
      </c>
    </row>
    <row r="4213" spans="1:9" x14ac:dyDescent="0.25">
      <c r="E4213" s="7"/>
      <c r="F4213" t="s">
        <v>20</v>
      </c>
      <c r="G4213" t="s">
        <v>21</v>
      </c>
      <c r="H4213" t="str">
        <f>"HCO201807318460"</f>
        <v>HCO201807318460</v>
      </c>
      <c r="I4213" t="str">
        <f t="shared" si="69"/>
        <v>AFLAC INSURANCE</v>
      </c>
    </row>
    <row r="4214" spans="1:9" x14ac:dyDescent="0.25">
      <c r="A4214" s="6">
        <v>43320</v>
      </c>
      <c r="B4214" t="s">
        <v>26</v>
      </c>
      <c r="C4214">
        <v>58399</v>
      </c>
      <c r="D4214" t="s">
        <v>92</v>
      </c>
      <c r="E4214" s="7">
        <v>59470.89</v>
      </c>
      <c r="F4214" t="s">
        <v>20</v>
      </c>
      <c r="G4214" t="s">
        <v>21</v>
      </c>
      <c r="H4214" t="str">
        <f>"7/18"</f>
        <v>7/18</v>
      </c>
      <c r="I4214" t="str">
        <f>"TEXAS MUNICIPAL RETIREMENT SYS"</f>
        <v>TEXAS MUNICIPAL RETIREMENT SYS</v>
      </c>
    </row>
    <row r="4215" spans="1:9" x14ac:dyDescent="0.25">
      <c r="E4215" s="7"/>
      <c r="F4215" t="s">
        <v>20</v>
      </c>
      <c r="G4215" t="s">
        <v>21</v>
      </c>
      <c r="H4215" t="str">
        <f>"RET201807188432"</f>
        <v>RET201807188432</v>
      </c>
      <c r="I4215" t="str">
        <f>"TMRS CITY OF FLORESVILLE"</f>
        <v>TMRS CITY OF FLORESVILLE</v>
      </c>
    </row>
    <row r="4216" spans="1:9" x14ac:dyDescent="0.25">
      <c r="E4216" s="7"/>
      <c r="F4216" t="s">
        <v>20</v>
      </c>
      <c r="G4216" t="s">
        <v>21</v>
      </c>
      <c r="H4216" t="str">
        <f>"RET201807318460"</f>
        <v>RET201807318460</v>
      </c>
      <c r="I4216" t="str">
        <f>"TMRS CITY OF FLORESVILLE"</f>
        <v>TMRS CITY OF FLORESVILLE</v>
      </c>
    </row>
    <row r="4217" spans="1:9" x14ac:dyDescent="0.25">
      <c r="A4217" s="6">
        <v>43320</v>
      </c>
      <c r="B4217" t="s">
        <v>26</v>
      </c>
      <c r="C4217">
        <v>58404</v>
      </c>
      <c r="D4217" t="s">
        <v>94</v>
      </c>
      <c r="E4217" s="7">
        <v>2552.1</v>
      </c>
      <c r="F4217" t="s">
        <v>20</v>
      </c>
      <c r="G4217" t="s">
        <v>21</v>
      </c>
      <c r="H4217" t="str">
        <f>"201808088463"</f>
        <v>201808088463</v>
      </c>
      <c r="I4217" t="str">
        <f>"DENTAL SELECT"</f>
        <v>DENTAL SELECT</v>
      </c>
    </row>
    <row r="4218" spans="1:9" x14ac:dyDescent="0.25">
      <c r="E4218" s="7"/>
      <c r="F4218" t="s">
        <v>20</v>
      </c>
      <c r="G4218" t="s">
        <v>21</v>
      </c>
      <c r="H4218" t="str">
        <f>"DEN201807188432"</f>
        <v>DEN201807188432</v>
      </c>
      <c r="I4218" t="str">
        <f>"DENTAL INSURANCE"</f>
        <v>DENTAL INSURANCE</v>
      </c>
    </row>
    <row r="4219" spans="1:9" x14ac:dyDescent="0.25">
      <c r="E4219" s="7"/>
      <c r="F4219" t="s">
        <v>20</v>
      </c>
      <c r="G4219" t="s">
        <v>21</v>
      </c>
      <c r="H4219" t="str">
        <f>"DEN201807318460"</f>
        <v>DEN201807318460</v>
      </c>
      <c r="I4219" t="str">
        <f>"DENTAL INSURANCE"</f>
        <v>DENTAL INSURANCE</v>
      </c>
    </row>
    <row r="4220" spans="1:9" x14ac:dyDescent="0.25">
      <c r="A4220" s="6">
        <v>43320</v>
      </c>
      <c r="B4220" t="s">
        <v>26</v>
      </c>
      <c r="C4220">
        <v>58406</v>
      </c>
      <c r="D4220" t="s">
        <v>95</v>
      </c>
      <c r="E4220" s="7">
        <v>64.959999999999994</v>
      </c>
      <c r="F4220" t="s">
        <v>20</v>
      </c>
      <c r="G4220" t="s">
        <v>21</v>
      </c>
      <c r="H4220" t="str">
        <f>"8/18"</f>
        <v>8/18</v>
      </c>
      <c r="I4220" t="str">
        <f>"LEGAL PLANS"</f>
        <v>LEGAL PLANS</v>
      </c>
    </row>
    <row r="4221" spans="1:9" x14ac:dyDescent="0.25">
      <c r="E4221" s="7"/>
      <c r="F4221" t="s">
        <v>20</v>
      </c>
      <c r="G4221" t="s">
        <v>21</v>
      </c>
      <c r="H4221" t="str">
        <f>"LEA201807188432"</f>
        <v>LEA201807188432</v>
      </c>
      <c r="I4221" t="str">
        <f>"INSURANCE"</f>
        <v>INSURANCE</v>
      </c>
    </row>
    <row r="4222" spans="1:9" x14ac:dyDescent="0.25">
      <c r="E4222" s="7"/>
      <c r="F4222" t="s">
        <v>20</v>
      </c>
      <c r="G4222" t="s">
        <v>21</v>
      </c>
      <c r="H4222" t="str">
        <f>"LEA201807318460"</f>
        <v>LEA201807318460</v>
      </c>
      <c r="I4222" t="str">
        <f>"INSURANCE"</f>
        <v>INSURANCE</v>
      </c>
    </row>
    <row r="4223" spans="1:9" x14ac:dyDescent="0.25">
      <c r="A4223" s="6">
        <v>43320</v>
      </c>
      <c r="B4223" t="s">
        <v>26</v>
      </c>
      <c r="C4223">
        <v>58407</v>
      </c>
      <c r="D4223" t="s">
        <v>96</v>
      </c>
      <c r="E4223" s="7">
        <v>587.79999999999995</v>
      </c>
      <c r="F4223" t="s">
        <v>20</v>
      </c>
      <c r="G4223" t="s">
        <v>21</v>
      </c>
      <c r="H4223" t="str">
        <f>"8/18"</f>
        <v>8/18</v>
      </c>
      <c r="I4223" t="str">
        <f>"LEGALSHIELD"</f>
        <v>LEGALSHIELD</v>
      </c>
    </row>
    <row r="4224" spans="1:9" x14ac:dyDescent="0.25">
      <c r="E4224" s="7"/>
      <c r="F4224" t="s">
        <v>20</v>
      </c>
      <c r="G4224" t="s">
        <v>21</v>
      </c>
      <c r="H4224" t="str">
        <f>"PPL201807188432"</f>
        <v>PPL201807188432</v>
      </c>
      <c r="I4224" t="str">
        <f>"INSURANCE"</f>
        <v>INSURANCE</v>
      </c>
    </row>
    <row r="4225" spans="1:9" x14ac:dyDescent="0.25">
      <c r="E4225" s="7"/>
      <c r="F4225" t="s">
        <v>20</v>
      </c>
      <c r="G4225" t="s">
        <v>21</v>
      </c>
      <c r="H4225" t="str">
        <f>"PPL201807318460"</f>
        <v>PPL201807318460</v>
      </c>
      <c r="I4225" t="str">
        <f>"INSURANCE"</f>
        <v>INSURANCE</v>
      </c>
    </row>
    <row r="4226" spans="1:9" x14ac:dyDescent="0.25">
      <c r="A4226" s="6">
        <v>43320</v>
      </c>
      <c r="B4226" t="s">
        <v>91</v>
      </c>
      <c r="C4226">
        <v>58409</v>
      </c>
      <c r="D4226" t="s">
        <v>97</v>
      </c>
      <c r="E4226" s="7">
        <v>1399.02</v>
      </c>
      <c r="F4226" t="s">
        <v>20</v>
      </c>
      <c r="G4226" t="s">
        <v>21</v>
      </c>
      <c r="H4226" t="str">
        <f>"BME201807188432"</f>
        <v>BME201807188432</v>
      </c>
      <c r="I4226" t="str">
        <f>"INSURANCE"</f>
        <v>INSURANCE</v>
      </c>
    </row>
    <row r="4227" spans="1:9" x14ac:dyDescent="0.25">
      <c r="E4227" s="7"/>
      <c r="F4227" t="s">
        <v>20</v>
      </c>
      <c r="G4227" t="s">
        <v>21</v>
      </c>
      <c r="H4227" t="str">
        <f>"BME201807318460"</f>
        <v>BME201807318460</v>
      </c>
      <c r="I4227" t="str">
        <f>"INSURANCE"</f>
        <v>INSURANCE</v>
      </c>
    </row>
    <row r="4228" spans="1:9" x14ac:dyDescent="0.25">
      <c r="A4228" s="6">
        <v>43320</v>
      </c>
      <c r="B4228" t="s">
        <v>91</v>
      </c>
      <c r="C4228">
        <v>58409</v>
      </c>
      <c r="D4228" t="s">
        <v>97</v>
      </c>
      <c r="E4228" s="7">
        <v>1399.02</v>
      </c>
      <c r="F4228" t="s">
        <v>20</v>
      </c>
      <c r="G4228" t="s">
        <v>93</v>
      </c>
      <c r="H4228" t="str">
        <f>"CHECK"</f>
        <v>CHECK</v>
      </c>
      <c r="I4228" t="str">
        <f>""</f>
        <v/>
      </c>
    </row>
    <row r="4229" spans="1:9" x14ac:dyDescent="0.25">
      <c r="A4229" s="6">
        <v>43320</v>
      </c>
      <c r="B4229" t="s">
        <v>26</v>
      </c>
      <c r="C4229">
        <v>58410</v>
      </c>
      <c r="D4229" t="s">
        <v>98</v>
      </c>
      <c r="E4229" s="7">
        <v>2662.62</v>
      </c>
      <c r="F4229" t="s">
        <v>20</v>
      </c>
      <c r="G4229" t="s">
        <v>24</v>
      </c>
      <c r="H4229" t="str">
        <f>"201808088461"</f>
        <v>201808088461</v>
      </c>
      <c r="I4229" t="str">
        <f>"DEARBORN NATIONAL"</f>
        <v>DEARBORN NATIONAL</v>
      </c>
    </row>
    <row r="4230" spans="1:9" x14ac:dyDescent="0.25">
      <c r="E4230" s="7"/>
      <c r="F4230" t="s">
        <v>20</v>
      </c>
      <c r="G4230" t="s">
        <v>21</v>
      </c>
      <c r="H4230" t="str">
        <f>"8/18"</f>
        <v>8/18</v>
      </c>
      <c r="I4230" t="str">
        <f>"DEARBORN NATIONAL"</f>
        <v>DEARBORN NATIONAL</v>
      </c>
    </row>
    <row r="4231" spans="1:9" x14ac:dyDescent="0.25">
      <c r="E4231" s="7"/>
      <c r="F4231" t="s">
        <v>20</v>
      </c>
      <c r="G4231" t="s">
        <v>21</v>
      </c>
      <c r="H4231" t="str">
        <f>"STD201807188432"</f>
        <v>STD201807188432</v>
      </c>
      <c r="I4231" t="str">
        <f>"SHORT TERM DISABILITY"</f>
        <v>SHORT TERM DISABILITY</v>
      </c>
    </row>
    <row r="4232" spans="1:9" x14ac:dyDescent="0.25">
      <c r="E4232" s="7"/>
      <c r="F4232" t="s">
        <v>20</v>
      </c>
      <c r="G4232" t="s">
        <v>21</v>
      </c>
      <c r="H4232" t="str">
        <f>"STD201807318460"</f>
        <v>STD201807318460</v>
      </c>
      <c r="I4232" t="str">
        <f>"SHORT TERM DISABILITY"</f>
        <v>SHORT TERM DISABILITY</v>
      </c>
    </row>
    <row r="4233" spans="1:9" x14ac:dyDescent="0.25">
      <c r="E4233" s="7"/>
      <c r="F4233" t="s">
        <v>20</v>
      </c>
      <c r="G4233" t="s">
        <v>21</v>
      </c>
      <c r="H4233" t="str">
        <f>"VLC201807188432"</f>
        <v>VLC201807188432</v>
      </c>
      <c r="I4233" t="str">
        <f>"CHILD LIFE INSURANCE"</f>
        <v>CHILD LIFE INSURANCE</v>
      </c>
    </row>
    <row r="4234" spans="1:9" x14ac:dyDescent="0.25">
      <c r="E4234" s="7"/>
      <c r="F4234" t="s">
        <v>20</v>
      </c>
      <c r="G4234" t="s">
        <v>21</v>
      </c>
      <c r="H4234" t="str">
        <f>"VLC201807318460"</f>
        <v>VLC201807318460</v>
      </c>
      <c r="I4234" t="str">
        <f>"CHILD LIFE INSURANCE"</f>
        <v>CHILD LIFE INSURANCE</v>
      </c>
    </row>
    <row r="4235" spans="1:9" x14ac:dyDescent="0.25">
      <c r="E4235" s="7"/>
      <c r="F4235" t="s">
        <v>20</v>
      </c>
      <c r="G4235" t="s">
        <v>21</v>
      </c>
      <c r="H4235" t="str">
        <f>"VLS201807188432"</f>
        <v>VLS201807188432</v>
      </c>
      <c r="I4235" t="str">
        <f>"SPOUSE LIFE"</f>
        <v>SPOUSE LIFE</v>
      </c>
    </row>
    <row r="4236" spans="1:9" x14ac:dyDescent="0.25">
      <c r="E4236" s="7"/>
      <c r="F4236" t="s">
        <v>20</v>
      </c>
      <c r="G4236" t="s">
        <v>21</v>
      </c>
      <c r="H4236" t="str">
        <f>"VLS201807318460"</f>
        <v>VLS201807318460</v>
      </c>
      <c r="I4236" t="str">
        <f>"SPOUSE LIFE"</f>
        <v>SPOUSE LIFE</v>
      </c>
    </row>
    <row r="4237" spans="1:9" x14ac:dyDescent="0.25">
      <c r="E4237" s="7"/>
      <c r="F4237" t="s">
        <v>20</v>
      </c>
      <c r="G4237" t="s">
        <v>21</v>
      </c>
      <c r="H4237" t="str">
        <f>"VOE201807188432"</f>
        <v>VOE201807188432</v>
      </c>
      <c r="I4237" t="str">
        <f>"EMPLOYEE LIFE"</f>
        <v>EMPLOYEE LIFE</v>
      </c>
    </row>
    <row r="4238" spans="1:9" x14ac:dyDescent="0.25">
      <c r="E4238" s="7"/>
      <c r="F4238" t="s">
        <v>20</v>
      </c>
      <c r="G4238" t="s">
        <v>21</v>
      </c>
      <c r="H4238" t="str">
        <f>"VOE201807318460"</f>
        <v>VOE201807318460</v>
      </c>
      <c r="I4238" t="str">
        <f>"EMPLOYEE LIFE"</f>
        <v>EMPLOYEE LIFE</v>
      </c>
    </row>
    <row r="4239" spans="1:9" x14ac:dyDescent="0.25">
      <c r="E4239" s="7"/>
      <c r="F4239" t="s">
        <v>20</v>
      </c>
      <c r="G4239" t="s">
        <v>21</v>
      </c>
      <c r="H4239" t="str">
        <f>"VOL201807188432"</f>
        <v>VOL201807188432</v>
      </c>
      <c r="I4239" t="str">
        <f>"LIFE"</f>
        <v>LIFE</v>
      </c>
    </row>
    <row r="4240" spans="1:9" x14ac:dyDescent="0.25">
      <c r="E4240" s="7"/>
      <c r="F4240" t="s">
        <v>20</v>
      </c>
      <c r="G4240" t="s">
        <v>21</v>
      </c>
      <c r="H4240" t="str">
        <f>"VOL201807318460"</f>
        <v>VOL201807318460</v>
      </c>
      <c r="I4240" t="str">
        <f>"LIFE"</f>
        <v>LIFE</v>
      </c>
    </row>
    <row r="4241" spans="1:9" x14ac:dyDescent="0.25">
      <c r="A4241" s="6">
        <v>43320</v>
      </c>
      <c r="B4241" t="s">
        <v>26</v>
      </c>
      <c r="C4241">
        <v>58418</v>
      </c>
      <c r="D4241" t="s">
        <v>99</v>
      </c>
      <c r="E4241" s="7">
        <v>657.84</v>
      </c>
      <c r="F4241" t="s">
        <v>20</v>
      </c>
      <c r="G4241" t="s">
        <v>21</v>
      </c>
      <c r="H4241" t="str">
        <f>"201808088462"</f>
        <v>201808088462</v>
      </c>
      <c r="I4241" t="str">
        <f>"VISION SERVICE PLAN"</f>
        <v>VISION SERVICE PLAN</v>
      </c>
    </row>
    <row r="4242" spans="1:9" x14ac:dyDescent="0.25">
      <c r="E4242" s="7"/>
      <c r="F4242" t="s">
        <v>20</v>
      </c>
      <c r="G4242" t="s">
        <v>21</v>
      </c>
      <c r="H4242" t="str">
        <f>"VIS201807188432"</f>
        <v>VIS201807188432</v>
      </c>
      <c r="I4242" t="str">
        <f>"VISION INSURANCE"</f>
        <v>VISION INSURANCE</v>
      </c>
    </row>
    <row r="4243" spans="1:9" x14ac:dyDescent="0.25">
      <c r="E4243" s="7"/>
      <c r="F4243" t="s">
        <v>20</v>
      </c>
      <c r="G4243" t="s">
        <v>21</v>
      </c>
      <c r="H4243" t="str">
        <f>"VIS201807318460"</f>
        <v>VIS201807318460</v>
      </c>
      <c r="I4243" t="str">
        <f>"VISION INSURANCE"</f>
        <v>VISION INSURANCE</v>
      </c>
    </row>
    <row r="4244" spans="1:9" x14ac:dyDescent="0.25">
      <c r="A4244" s="6">
        <v>43320</v>
      </c>
      <c r="B4244" t="s">
        <v>26</v>
      </c>
      <c r="C4244">
        <v>58419</v>
      </c>
      <c r="D4244" t="s">
        <v>221</v>
      </c>
      <c r="E4244" s="7">
        <v>38558.33</v>
      </c>
      <c r="F4244" t="s">
        <v>20</v>
      </c>
      <c r="G4244" t="s">
        <v>24</v>
      </c>
      <c r="H4244" t="str">
        <f>"8/18"</f>
        <v>8/18</v>
      </c>
      <c r="I4244" t="str">
        <f>"TML MULTISTATE INTERGOVERNMENT"</f>
        <v>TML MULTISTATE INTERGOVERNMENT</v>
      </c>
    </row>
    <row r="4245" spans="1:9" x14ac:dyDescent="0.25">
      <c r="E4245" s="7"/>
      <c r="F4245" t="s">
        <v>20</v>
      </c>
      <c r="G4245" t="s">
        <v>21</v>
      </c>
      <c r="H4245" t="str">
        <f>"MED201807188432"</f>
        <v>MED201807188432</v>
      </c>
      <c r="I4245" t="str">
        <f>"INSURANCE"</f>
        <v>INSURANCE</v>
      </c>
    </row>
    <row r="4246" spans="1:9" x14ac:dyDescent="0.25">
      <c r="E4246" s="7"/>
      <c r="F4246" t="s">
        <v>20</v>
      </c>
      <c r="G4246" t="s">
        <v>21</v>
      </c>
      <c r="H4246" t="str">
        <f>"MED201807318460"</f>
        <v>MED201807318460</v>
      </c>
      <c r="I4246" t="str">
        <f>"INSURANCE"</f>
        <v>INSURANCE</v>
      </c>
    </row>
    <row r="4247" spans="1:9" x14ac:dyDescent="0.25">
      <c r="A4247" s="6">
        <v>43320</v>
      </c>
      <c r="B4247" t="s">
        <v>26</v>
      </c>
      <c r="C4247">
        <v>58424</v>
      </c>
      <c r="D4247" t="s">
        <v>56</v>
      </c>
      <c r="E4247" s="7">
        <v>185</v>
      </c>
      <c r="F4247" t="s">
        <v>20</v>
      </c>
      <c r="G4247" t="s">
        <v>21</v>
      </c>
      <c r="H4247" t="str">
        <f>"168196"</f>
        <v>168196</v>
      </c>
      <c r="I4247" t="str">
        <f>"GERALD LUBIANSKI ENTERPRISES"</f>
        <v>GERALD LUBIANSKI ENTERPRISES</v>
      </c>
    </row>
    <row r="4248" spans="1:9" x14ac:dyDescent="0.25">
      <c r="A4248" s="6">
        <v>43320</v>
      </c>
      <c r="B4248" t="s">
        <v>26</v>
      </c>
      <c r="C4248">
        <v>58425</v>
      </c>
      <c r="D4248" t="s">
        <v>57</v>
      </c>
      <c r="E4248" s="7">
        <v>2153.4899999999998</v>
      </c>
      <c r="F4248" t="s">
        <v>20</v>
      </c>
      <c r="G4248" t="s">
        <v>21</v>
      </c>
      <c r="H4248" t="str">
        <f>"8/24/18"</f>
        <v>8/24/18</v>
      </c>
      <c r="I4248" t="str">
        <f>"F.E.L.P.S."</f>
        <v>F.E.L.P.S.</v>
      </c>
    </row>
    <row r="4249" spans="1:9" x14ac:dyDescent="0.25">
      <c r="E4249" s="7"/>
      <c r="F4249" t="s">
        <v>20</v>
      </c>
      <c r="G4249" t="s">
        <v>21</v>
      </c>
      <c r="H4249" t="str">
        <f>"LINE PROPOSAL"</f>
        <v>LINE PROPOSAL</v>
      </c>
      <c r="I4249" t="str">
        <f>"F.E.L.P.S."</f>
        <v>F.E.L.P.S.</v>
      </c>
    </row>
    <row r="4250" spans="1:9" x14ac:dyDescent="0.25">
      <c r="A4250" s="6">
        <v>43320</v>
      </c>
      <c r="B4250" t="s">
        <v>26</v>
      </c>
      <c r="C4250">
        <v>58426</v>
      </c>
      <c r="D4250" t="s">
        <v>58</v>
      </c>
      <c r="E4250" s="7">
        <v>176.34</v>
      </c>
      <c r="F4250" t="s">
        <v>20</v>
      </c>
      <c r="G4250" t="s">
        <v>21</v>
      </c>
      <c r="H4250" t="str">
        <f>"7/2018"</f>
        <v>7/2018</v>
      </c>
      <c r="I4250" t="str">
        <f>"DEASON ANIMAL HOSPITAL"</f>
        <v>DEASON ANIMAL HOSPITAL</v>
      </c>
    </row>
    <row r="4251" spans="1:9" x14ac:dyDescent="0.25">
      <c r="A4251" s="6">
        <v>43320</v>
      </c>
      <c r="B4251" t="s">
        <v>26</v>
      </c>
      <c r="C4251">
        <v>58427</v>
      </c>
      <c r="D4251" t="s">
        <v>104</v>
      </c>
      <c r="E4251" s="7">
        <v>952.86</v>
      </c>
      <c r="F4251" t="s">
        <v>20</v>
      </c>
      <c r="G4251" t="s">
        <v>21</v>
      </c>
      <c r="H4251" t="str">
        <f>"CUST #1068"</f>
        <v>CUST #1068</v>
      </c>
      <c r="I4251" t="str">
        <f>"WILSON COUNTY NEWS"</f>
        <v>WILSON COUNTY NEWS</v>
      </c>
    </row>
    <row r="4252" spans="1:9" x14ac:dyDescent="0.25">
      <c r="E4252" s="7"/>
      <c r="F4252" t="s">
        <v>20</v>
      </c>
      <c r="G4252" t="s">
        <v>21</v>
      </c>
      <c r="H4252" t="str">
        <f>"CUST #23259"</f>
        <v>CUST #23259</v>
      </c>
      <c r="I4252" t="str">
        <f>"WILSON COUNTY NEWS"</f>
        <v>WILSON COUNTY NEWS</v>
      </c>
    </row>
    <row r="4253" spans="1:9" x14ac:dyDescent="0.25">
      <c r="A4253" s="6">
        <v>43320</v>
      </c>
      <c r="B4253" t="s">
        <v>26</v>
      </c>
      <c r="C4253">
        <v>58428</v>
      </c>
      <c r="D4253" t="s">
        <v>59</v>
      </c>
      <c r="E4253" s="7">
        <v>1281</v>
      </c>
      <c r="F4253" t="s">
        <v>20</v>
      </c>
      <c r="G4253" t="s">
        <v>21</v>
      </c>
      <c r="H4253" t="str">
        <f>"0973949"</f>
        <v>0973949</v>
      </c>
      <c r="I4253" t="str">
        <f>"FERGUSON WATERWORKS - MUNICIPA"</f>
        <v>FERGUSON WATERWORKS - MUNICIPA</v>
      </c>
    </row>
    <row r="4254" spans="1:9" x14ac:dyDescent="0.25">
      <c r="A4254" s="6">
        <v>43320</v>
      </c>
      <c r="B4254" t="s">
        <v>26</v>
      </c>
      <c r="C4254">
        <v>58429</v>
      </c>
      <c r="D4254" t="s">
        <v>105</v>
      </c>
      <c r="E4254" s="7">
        <v>7</v>
      </c>
      <c r="F4254" t="s">
        <v>20</v>
      </c>
      <c r="G4254" t="s">
        <v>21</v>
      </c>
      <c r="H4254" t="str">
        <f>"295886"</f>
        <v>295886</v>
      </c>
      <c r="I4254" t="str">
        <f>"LUBE WORKS"</f>
        <v>LUBE WORKS</v>
      </c>
    </row>
    <row r="4255" spans="1:9" x14ac:dyDescent="0.25">
      <c r="A4255" s="6">
        <v>43320</v>
      </c>
      <c r="B4255" t="s">
        <v>26</v>
      </c>
      <c r="C4255">
        <v>58430</v>
      </c>
      <c r="D4255" t="s">
        <v>273</v>
      </c>
      <c r="E4255" s="7">
        <v>2395.33</v>
      </c>
      <c r="F4255" t="s">
        <v>20</v>
      </c>
      <c r="G4255" t="s">
        <v>21</v>
      </c>
      <c r="H4255" t="str">
        <f>"5119-000084396"</f>
        <v>5119-000084396</v>
      </c>
      <c r="I4255" t="str">
        <f>"REPUBLIC SERVICES TESSMAN ROAD"</f>
        <v>REPUBLIC SERVICES TESSMAN ROAD</v>
      </c>
    </row>
    <row r="4256" spans="1:9" x14ac:dyDescent="0.25">
      <c r="A4256" s="6">
        <v>43320</v>
      </c>
      <c r="B4256" t="s">
        <v>26</v>
      </c>
      <c r="C4256">
        <v>58431</v>
      </c>
      <c r="D4256" t="s">
        <v>107</v>
      </c>
      <c r="E4256" s="7">
        <v>15.19</v>
      </c>
      <c r="F4256" t="s">
        <v>20</v>
      </c>
      <c r="G4256" t="s">
        <v>21</v>
      </c>
      <c r="H4256" t="str">
        <f>"1166960-20180731"</f>
        <v>1166960-20180731</v>
      </c>
      <c r="I4256" t="str">
        <f>"LEXISNEXIS RISK SOLUTIONS"</f>
        <v>LEXISNEXIS RISK SOLUTIONS</v>
      </c>
    </row>
    <row r="4257" spans="1:9" x14ac:dyDescent="0.25">
      <c r="A4257" s="6">
        <v>43320</v>
      </c>
      <c r="B4257" t="s">
        <v>26</v>
      </c>
      <c r="C4257">
        <v>58432</v>
      </c>
      <c r="D4257" t="s">
        <v>180</v>
      </c>
      <c r="E4257" s="7">
        <v>636.36</v>
      </c>
      <c r="F4257" t="s">
        <v>20</v>
      </c>
      <c r="G4257" t="s">
        <v>21</v>
      </c>
      <c r="H4257" t="str">
        <f>"30126532"</f>
        <v>30126532</v>
      </c>
      <c r="I4257" t="str">
        <f>"DITTMAR LUMBER CO."</f>
        <v>DITTMAR LUMBER CO.</v>
      </c>
    </row>
    <row r="4258" spans="1:9" x14ac:dyDescent="0.25">
      <c r="E4258" s="7"/>
      <c r="F4258" t="s">
        <v>20</v>
      </c>
      <c r="G4258" t="s">
        <v>21</v>
      </c>
      <c r="H4258" t="str">
        <f>"30126739"</f>
        <v>30126739</v>
      </c>
      <c r="I4258" t="str">
        <f>"DITTMAR LUMBER CO."</f>
        <v>DITTMAR LUMBER CO.</v>
      </c>
    </row>
    <row r="4259" spans="1:9" x14ac:dyDescent="0.25">
      <c r="E4259" s="7"/>
      <c r="F4259" t="s">
        <v>20</v>
      </c>
      <c r="G4259" t="s">
        <v>21</v>
      </c>
      <c r="H4259" t="str">
        <f>"30126949"</f>
        <v>30126949</v>
      </c>
      <c r="I4259" t="str">
        <f>"DITTMAR LUMBER CO."</f>
        <v>DITTMAR LUMBER CO.</v>
      </c>
    </row>
    <row r="4260" spans="1:9" x14ac:dyDescent="0.25">
      <c r="E4260" s="7"/>
      <c r="F4260" t="s">
        <v>20</v>
      </c>
      <c r="G4260" t="s">
        <v>21</v>
      </c>
      <c r="H4260" t="str">
        <f>"30127024"</f>
        <v>30127024</v>
      </c>
      <c r="I4260" t="str">
        <f>"DITTMAR LUMBER CO."</f>
        <v>DITTMAR LUMBER CO.</v>
      </c>
    </row>
    <row r="4261" spans="1:9" x14ac:dyDescent="0.25">
      <c r="E4261" s="7"/>
      <c r="F4261" t="s">
        <v>20</v>
      </c>
      <c r="G4261" t="s">
        <v>21</v>
      </c>
      <c r="H4261" t="str">
        <f>"30127058"</f>
        <v>30127058</v>
      </c>
      <c r="I4261" t="str">
        <f>"DITTMAR LUMBER CO."</f>
        <v>DITTMAR LUMBER CO.</v>
      </c>
    </row>
    <row r="4262" spans="1:9" x14ac:dyDescent="0.25">
      <c r="A4262" s="6">
        <v>43320</v>
      </c>
      <c r="B4262" t="s">
        <v>26</v>
      </c>
      <c r="C4262">
        <v>58433</v>
      </c>
      <c r="D4262" t="s">
        <v>203</v>
      </c>
      <c r="E4262" s="7">
        <v>1196.8399999999999</v>
      </c>
      <c r="F4262" t="s">
        <v>20</v>
      </c>
      <c r="G4262" t="s">
        <v>21</v>
      </c>
      <c r="H4262" t="str">
        <f>"641133"</f>
        <v>641133</v>
      </c>
      <c r="I4262" t="str">
        <f>"USA BLUEBOOK"</f>
        <v>USA BLUEBOOK</v>
      </c>
    </row>
    <row r="4263" spans="1:9" x14ac:dyDescent="0.25">
      <c r="A4263" s="6">
        <v>43320</v>
      </c>
      <c r="B4263" t="s">
        <v>26</v>
      </c>
      <c r="C4263">
        <v>58434</v>
      </c>
      <c r="D4263" t="s">
        <v>240</v>
      </c>
      <c r="E4263" s="7">
        <v>1504.83</v>
      </c>
      <c r="F4263" t="s">
        <v>20</v>
      </c>
      <c r="G4263" t="s">
        <v>21</v>
      </c>
      <c r="H4263" t="str">
        <f>"0147824-IN"</f>
        <v>0147824-IN</v>
      </c>
      <c r="I4263" t="str">
        <f>"NARDIS PUBLIC SAFETY"</f>
        <v>NARDIS PUBLIC SAFETY</v>
      </c>
    </row>
    <row r="4264" spans="1:9" x14ac:dyDescent="0.25">
      <c r="E4264" s="7"/>
      <c r="F4264" t="s">
        <v>20</v>
      </c>
      <c r="G4264" t="s">
        <v>21</v>
      </c>
      <c r="H4264" t="str">
        <f>"147952-IN"</f>
        <v>147952-IN</v>
      </c>
      <c r="I4264" t="str">
        <f>"NARDIS PUBLIC SAFETY"</f>
        <v>NARDIS PUBLIC SAFETY</v>
      </c>
    </row>
    <row r="4265" spans="1:9" x14ac:dyDescent="0.25">
      <c r="A4265" s="6">
        <v>43320</v>
      </c>
      <c r="B4265" t="s">
        <v>26</v>
      </c>
      <c r="C4265">
        <v>58435</v>
      </c>
      <c r="D4265" t="s">
        <v>0</v>
      </c>
      <c r="E4265" s="7">
        <v>3135.42</v>
      </c>
      <c r="F4265" t="s">
        <v>20</v>
      </c>
      <c r="G4265" t="s">
        <v>21</v>
      </c>
      <c r="H4265" t="str">
        <f>"8/10/18"</f>
        <v>8/10/18</v>
      </c>
      <c r="I4265" t="str">
        <f>"CITY OF FLORESVILLE"</f>
        <v>CITY OF FLORESVILLE</v>
      </c>
    </row>
    <row r="4266" spans="1:9" x14ac:dyDescent="0.25">
      <c r="A4266" s="6">
        <v>43320</v>
      </c>
      <c r="B4266" t="s">
        <v>26</v>
      </c>
      <c r="C4266">
        <v>58436</v>
      </c>
      <c r="D4266" t="s">
        <v>184</v>
      </c>
      <c r="E4266" s="7">
        <v>927</v>
      </c>
      <c r="F4266" t="s">
        <v>20</v>
      </c>
      <c r="G4266" t="s">
        <v>21</v>
      </c>
      <c r="H4266" t="str">
        <f>"1045-590"</f>
        <v>1045-590</v>
      </c>
      <c r="I4266" t="str">
        <f>"POLLUTION CONTROL SERVICES"</f>
        <v>POLLUTION CONTROL SERVICES</v>
      </c>
    </row>
    <row r="4267" spans="1:9" x14ac:dyDescent="0.25">
      <c r="E4267" s="7"/>
      <c r="F4267" t="s">
        <v>20</v>
      </c>
      <c r="G4267" t="s">
        <v>21</v>
      </c>
      <c r="H4267" t="str">
        <f>"1047-969"</f>
        <v>1047-969</v>
      </c>
      <c r="I4267" t="str">
        <f>"POLLUTION CONTROL SERVICES"</f>
        <v>POLLUTION CONTROL SERVICES</v>
      </c>
    </row>
    <row r="4268" spans="1:9" x14ac:dyDescent="0.25">
      <c r="E4268" s="7"/>
      <c r="F4268" t="s">
        <v>20</v>
      </c>
      <c r="G4268" t="s">
        <v>21</v>
      </c>
      <c r="H4268" t="str">
        <f>"1048-684"</f>
        <v>1048-684</v>
      </c>
      <c r="I4268" t="str">
        <f>"POLLUTION CONTROL SERVICES"</f>
        <v>POLLUTION CONTROL SERVICES</v>
      </c>
    </row>
    <row r="4269" spans="1:9" x14ac:dyDescent="0.25">
      <c r="E4269" s="7"/>
      <c r="F4269" t="s">
        <v>20</v>
      </c>
      <c r="G4269" t="s">
        <v>21</v>
      </c>
      <c r="H4269" t="str">
        <f>"1049-055"</f>
        <v>1049-055</v>
      </c>
      <c r="I4269" t="str">
        <f>"POLLUTION CONTROL SERVICES"</f>
        <v>POLLUTION CONTROL SERVICES</v>
      </c>
    </row>
    <row r="4270" spans="1:9" x14ac:dyDescent="0.25">
      <c r="A4270" s="6">
        <v>43320</v>
      </c>
      <c r="B4270" t="s">
        <v>26</v>
      </c>
      <c r="C4270">
        <v>58437</v>
      </c>
      <c r="D4270" t="s">
        <v>168</v>
      </c>
      <c r="E4270" s="7">
        <v>277</v>
      </c>
      <c r="F4270" t="s">
        <v>20</v>
      </c>
      <c r="G4270" t="s">
        <v>21</v>
      </c>
      <c r="H4270" t="str">
        <f>"7/2018"</f>
        <v>7/2018</v>
      </c>
      <c r="I4270" t="str">
        <f>"BEXAR COUNTY AUDITOR/ATTN:CRIM"</f>
        <v>BEXAR COUNTY AUDITOR/ATTN:CRIM</v>
      </c>
    </row>
    <row r="4271" spans="1:9" x14ac:dyDescent="0.25">
      <c r="A4271" s="6">
        <v>43320</v>
      </c>
      <c r="B4271" t="s">
        <v>26</v>
      </c>
      <c r="C4271">
        <v>58438</v>
      </c>
      <c r="D4271" t="s">
        <v>62</v>
      </c>
      <c r="E4271" s="7">
        <v>186</v>
      </c>
      <c r="F4271" t="s">
        <v>20</v>
      </c>
      <c r="G4271" t="s">
        <v>21</v>
      </c>
      <c r="H4271" t="str">
        <f>"60091"</f>
        <v>60091</v>
      </c>
      <c r="I4271" t="str">
        <f>"SBS ADMINISTRATIVE SERVICES  L"</f>
        <v>SBS ADMINISTRATIVE SERVICES  L</v>
      </c>
    </row>
    <row r="4272" spans="1:9" x14ac:dyDescent="0.25">
      <c r="A4272" s="6">
        <v>43320</v>
      </c>
      <c r="B4272" t="s">
        <v>26</v>
      </c>
      <c r="C4272">
        <v>58439</v>
      </c>
      <c r="D4272" t="s">
        <v>115</v>
      </c>
      <c r="E4272" s="7">
        <v>461.16</v>
      </c>
      <c r="F4272" t="s">
        <v>20</v>
      </c>
      <c r="G4272" t="s">
        <v>21</v>
      </c>
      <c r="H4272" t="str">
        <f>"3547175525"</f>
        <v>3547175525</v>
      </c>
      <c r="I4272" t="str">
        <f>"AUTOZONE"</f>
        <v>AUTOZONE</v>
      </c>
    </row>
    <row r="4273" spans="1:9" x14ac:dyDescent="0.25">
      <c r="E4273" s="7"/>
      <c r="F4273" t="s">
        <v>20</v>
      </c>
      <c r="G4273" t="s">
        <v>21</v>
      </c>
      <c r="H4273" t="str">
        <f>"3547200490"</f>
        <v>3547200490</v>
      </c>
      <c r="I4273" t="str">
        <f>"AUTOZONE"</f>
        <v>AUTOZONE</v>
      </c>
    </row>
    <row r="4274" spans="1:9" x14ac:dyDescent="0.25">
      <c r="E4274" s="7"/>
      <c r="F4274" t="s">
        <v>20</v>
      </c>
      <c r="G4274" t="s">
        <v>21</v>
      </c>
      <c r="H4274" t="str">
        <f>"3547210560"</f>
        <v>3547210560</v>
      </c>
      <c r="I4274" t="str">
        <f>"AUTOZONE"</f>
        <v>AUTOZONE</v>
      </c>
    </row>
    <row r="4275" spans="1:9" x14ac:dyDescent="0.25">
      <c r="A4275" s="6">
        <v>43320</v>
      </c>
      <c r="B4275" t="s">
        <v>91</v>
      </c>
      <c r="C4275">
        <v>58440</v>
      </c>
      <c r="D4275" t="s">
        <v>63</v>
      </c>
      <c r="E4275" s="7">
        <v>10717</v>
      </c>
      <c r="F4275" t="s">
        <v>20</v>
      </c>
      <c r="G4275" t="s">
        <v>21</v>
      </c>
      <c r="H4275" t="str">
        <f>"8403756953"</f>
        <v>8403756953</v>
      </c>
      <c r="I4275" t="str">
        <f>"CINTAS CORPORATION"</f>
        <v>CINTAS CORPORATION</v>
      </c>
    </row>
    <row r="4276" spans="1:9" x14ac:dyDescent="0.25">
      <c r="A4276" s="6">
        <v>43320</v>
      </c>
      <c r="B4276" t="s">
        <v>91</v>
      </c>
      <c r="C4276">
        <v>58440</v>
      </c>
      <c r="D4276" t="s">
        <v>63</v>
      </c>
      <c r="E4276" s="7">
        <v>10717</v>
      </c>
      <c r="F4276" t="s">
        <v>20</v>
      </c>
      <c r="G4276" t="s">
        <v>93</v>
      </c>
      <c r="H4276" t="str">
        <f>"CHECK"</f>
        <v>CHECK</v>
      </c>
      <c r="I4276" t="str">
        <f>""</f>
        <v/>
      </c>
    </row>
    <row r="4277" spans="1:9" x14ac:dyDescent="0.25">
      <c r="A4277" s="6">
        <v>43320</v>
      </c>
      <c r="B4277" t="s">
        <v>26</v>
      </c>
      <c r="C4277">
        <v>58441</v>
      </c>
      <c r="D4277" t="s">
        <v>64</v>
      </c>
      <c r="E4277" s="7">
        <v>3896</v>
      </c>
      <c r="F4277" t="s">
        <v>20</v>
      </c>
      <c r="G4277" t="s">
        <v>21</v>
      </c>
      <c r="H4277" t="str">
        <f>"7588"</f>
        <v>7588</v>
      </c>
      <c r="I4277" t="str">
        <f>"DREWA DESIGNS  INC."</f>
        <v>DREWA DESIGNS  INC.</v>
      </c>
    </row>
    <row r="4278" spans="1:9" x14ac:dyDescent="0.25">
      <c r="A4278" s="6">
        <v>43320</v>
      </c>
      <c r="B4278" t="s">
        <v>26</v>
      </c>
      <c r="C4278">
        <v>58442</v>
      </c>
      <c r="D4278" t="s">
        <v>116</v>
      </c>
      <c r="E4278" s="7">
        <v>819.15</v>
      </c>
      <c r="F4278" t="s">
        <v>20</v>
      </c>
      <c r="G4278" t="s">
        <v>21</v>
      </c>
      <c r="H4278" t="str">
        <f>"INV696483"</f>
        <v>INV696483</v>
      </c>
      <c r="I4278" t="str">
        <f>"THE LIFEGUARD STORE  INC."</f>
        <v>THE LIFEGUARD STORE  INC.</v>
      </c>
    </row>
    <row r="4279" spans="1:9" x14ac:dyDescent="0.25">
      <c r="A4279" s="6">
        <v>43320</v>
      </c>
      <c r="B4279" t="s">
        <v>26</v>
      </c>
      <c r="C4279">
        <v>58443</v>
      </c>
      <c r="D4279" t="s">
        <v>65</v>
      </c>
      <c r="E4279" s="7">
        <v>51.74</v>
      </c>
      <c r="F4279" t="s">
        <v>20</v>
      </c>
      <c r="G4279" t="s">
        <v>21</v>
      </c>
      <c r="H4279" t="str">
        <f>"INTEREST CHARGE"</f>
        <v>INTEREST CHARGE</v>
      </c>
      <c r="I4279" t="str">
        <f>"SAM'S CLUB/SYNCHRONY BANK"</f>
        <v>SAM'S CLUB/SYNCHRONY BANK</v>
      </c>
    </row>
    <row r="4280" spans="1:9" x14ac:dyDescent="0.25">
      <c r="A4280" s="6">
        <v>43320</v>
      </c>
      <c r="B4280" t="s">
        <v>26</v>
      </c>
      <c r="C4280">
        <v>58444</v>
      </c>
      <c r="D4280" t="s">
        <v>66</v>
      </c>
      <c r="E4280" s="7">
        <v>1102.8800000000001</v>
      </c>
      <c r="F4280" t="s">
        <v>20</v>
      </c>
      <c r="G4280" t="s">
        <v>21</v>
      </c>
      <c r="H4280" t="str">
        <f>"53331"</f>
        <v>53331</v>
      </c>
      <c r="I4280" t="str">
        <f>"LOPEZ EXTERMINATING SERVICE  I"</f>
        <v>LOPEZ EXTERMINATING SERVICE  I</v>
      </c>
    </row>
    <row r="4281" spans="1:9" x14ac:dyDescent="0.25">
      <c r="E4281" s="7"/>
      <c r="F4281" t="s">
        <v>20</v>
      </c>
      <c r="G4281" t="s">
        <v>21</v>
      </c>
      <c r="H4281" t="str">
        <f>"53332"</f>
        <v>53332</v>
      </c>
      <c r="I4281" t="str">
        <f>"LOPEZ EXTERMINATING SERVICE  I"</f>
        <v>LOPEZ EXTERMINATING SERVICE  I</v>
      </c>
    </row>
    <row r="4282" spans="1:9" x14ac:dyDescent="0.25">
      <c r="A4282" s="6">
        <v>43320</v>
      </c>
      <c r="B4282" t="s">
        <v>26</v>
      </c>
      <c r="C4282">
        <v>58445</v>
      </c>
      <c r="D4282" t="s">
        <v>495</v>
      </c>
      <c r="E4282" s="7">
        <v>261.25</v>
      </c>
      <c r="F4282" t="s">
        <v>20</v>
      </c>
      <c r="G4282" t="s">
        <v>21</v>
      </c>
      <c r="H4282" t="str">
        <f>"0355302-IN"</f>
        <v>0355302-IN</v>
      </c>
      <c r="I4282" t="str">
        <f>"SIRCHIE"</f>
        <v>SIRCHIE</v>
      </c>
    </row>
    <row r="4283" spans="1:9" x14ac:dyDescent="0.25">
      <c r="A4283" s="6">
        <v>43320</v>
      </c>
      <c r="B4283" t="s">
        <v>26</v>
      </c>
      <c r="C4283">
        <v>58446</v>
      </c>
      <c r="D4283" t="s">
        <v>301</v>
      </c>
      <c r="E4283" s="7">
        <v>472.05</v>
      </c>
      <c r="F4283" t="s">
        <v>20</v>
      </c>
      <c r="G4283" t="s">
        <v>21</v>
      </c>
      <c r="H4283" t="str">
        <f>"183626"</f>
        <v>183626</v>
      </c>
      <c r="I4283" t="str">
        <f>"GRANDE TRUCK CENTER"</f>
        <v>GRANDE TRUCK CENTER</v>
      </c>
    </row>
    <row r="4284" spans="1:9" x14ac:dyDescent="0.25">
      <c r="A4284" s="6">
        <v>43320</v>
      </c>
      <c r="B4284" t="s">
        <v>26</v>
      </c>
      <c r="C4284">
        <v>58447</v>
      </c>
      <c r="D4284" t="s">
        <v>119</v>
      </c>
      <c r="E4284" s="7">
        <v>90</v>
      </c>
      <c r="F4284" t="s">
        <v>20</v>
      </c>
      <c r="G4284" t="s">
        <v>21</v>
      </c>
      <c r="H4284" t="str">
        <f>"42061"</f>
        <v>42061</v>
      </c>
      <c r="I4284" t="str">
        <f>"PRUSKI'S TIRE SHOP  L.L.C."</f>
        <v>PRUSKI'S TIRE SHOP  L.L.C.</v>
      </c>
    </row>
    <row r="4285" spans="1:9" x14ac:dyDescent="0.25">
      <c r="A4285" s="6">
        <v>43320</v>
      </c>
      <c r="B4285" t="s">
        <v>26</v>
      </c>
      <c r="C4285">
        <v>58448</v>
      </c>
      <c r="D4285" t="s">
        <v>426</v>
      </c>
      <c r="E4285" s="7">
        <v>475.6</v>
      </c>
      <c r="F4285" t="s">
        <v>20</v>
      </c>
      <c r="G4285" t="s">
        <v>21</v>
      </c>
      <c r="H4285" t="str">
        <f>"INV0668819"</f>
        <v>INV0668819</v>
      </c>
      <c r="I4285" t="str">
        <f>"GT DISTRIBUTORS  INC."</f>
        <v>GT DISTRIBUTORS  INC.</v>
      </c>
    </row>
    <row r="4286" spans="1:9" x14ac:dyDescent="0.25">
      <c r="A4286" s="6">
        <v>43320</v>
      </c>
      <c r="B4286" t="s">
        <v>26</v>
      </c>
      <c r="C4286">
        <v>58449</v>
      </c>
      <c r="D4286" t="s">
        <v>69</v>
      </c>
      <c r="E4286" s="7">
        <v>252.33</v>
      </c>
      <c r="F4286" t="s">
        <v>20</v>
      </c>
      <c r="G4286" t="s">
        <v>21</v>
      </c>
      <c r="H4286" t="str">
        <f>"3390878"</f>
        <v>3390878</v>
      </c>
      <c r="I4286" t="str">
        <f>"EWALD TRACTOR SUPPLY"</f>
        <v>EWALD TRACTOR SUPPLY</v>
      </c>
    </row>
    <row r="4287" spans="1:9" x14ac:dyDescent="0.25">
      <c r="E4287" s="7"/>
      <c r="F4287" t="s">
        <v>20</v>
      </c>
      <c r="G4287" t="s">
        <v>21</v>
      </c>
      <c r="H4287" t="str">
        <f>"3391351"</f>
        <v>3391351</v>
      </c>
      <c r="I4287" t="str">
        <f>"EWALD TRACTOR SUPPLY"</f>
        <v>EWALD TRACTOR SUPPLY</v>
      </c>
    </row>
    <row r="4288" spans="1:9" x14ac:dyDescent="0.25">
      <c r="E4288" s="7"/>
      <c r="F4288" t="s">
        <v>20</v>
      </c>
      <c r="G4288" t="s">
        <v>21</v>
      </c>
      <c r="H4288" t="str">
        <f>"339846"</f>
        <v>339846</v>
      </c>
      <c r="I4288" t="str">
        <f>"EWALD TRACTOR SUPPLY"</f>
        <v>EWALD TRACTOR SUPPLY</v>
      </c>
    </row>
    <row r="4289" spans="1:9" x14ac:dyDescent="0.25">
      <c r="A4289" s="6">
        <v>43320</v>
      </c>
      <c r="B4289" t="s">
        <v>26</v>
      </c>
      <c r="C4289">
        <v>58450</v>
      </c>
      <c r="D4289" t="s">
        <v>29</v>
      </c>
      <c r="E4289" s="7">
        <v>29675</v>
      </c>
      <c r="F4289" t="s">
        <v>20</v>
      </c>
      <c r="G4289" t="s">
        <v>21</v>
      </c>
      <c r="H4289" t="str">
        <f>"32649"</f>
        <v>32649</v>
      </c>
      <c r="I4289" t="str">
        <f>"M &amp; S ENGINEERING  LLC"</f>
        <v>M &amp; S ENGINEERING  LLC</v>
      </c>
    </row>
    <row r="4290" spans="1:9" x14ac:dyDescent="0.25">
      <c r="E4290" s="7"/>
      <c r="F4290" t="s">
        <v>20</v>
      </c>
      <c r="G4290" t="s">
        <v>21</v>
      </c>
      <c r="H4290" t="str">
        <f>"32657"</f>
        <v>32657</v>
      </c>
      <c r="I4290" t="str">
        <f>"M &amp; S ENGINEERING  LLC"</f>
        <v>M &amp; S ENGINEERING  LLC</v>
      </c>
    </row>
    <row r="4291" spans="1:9" x14ac:dyDescent="0.25">
      <c r="A4291" s="6">
        <v>43320</v>
      </c>
      <c r="B4291" t="s">
        <v>26</v>
      </c>
      <c r="C4291">
        <v>58451</v>
      </c>
      <c r="D4291" t="s">
        <v>71</v>
      </c>
      <c r="E4291" s="7">
        <v>64.959999999999994</v>
      </c>
      <c r="F4291" t="s">
        <v>20</v>
      </c>
      <c r="G4291" t="s">
        <v>21</v>
      </c>
      <c r="H4291" t="str">
        <f>"087167305"</f>
        <v>087167305</v>
      </c>
      <c r="I4291" t="str">
        <f>"CINTAS CORPORATION #087"</f>
        <v>CINTAS CORPORATION #087</v>
      </c>
    </row>
    <row r="4292" spans="1:9" x14ac:dyDescent="0.25">
      <c r="A4292" s="6">
        <v>43320</v>
      </c>
      <c r="B4292" t="s">
        <v>26</v>
      </c>
      <c r="C4292">
        <v>58452</v>
      </c>
      <c r="D4292" t="s">
        <v>122</v>
      </c>
      <c r="E4292" s="7">
        <v>213</v>
      </c>
      <c r="F4292" t="s">
        <v>20</v>
      </c>
      <c r="G4292" t="s">
        <v>21</v>
      </c>
      <c r="H4292" t="str">
        <f>"196579"</f>
        <v>196579</v>
      </c>
      <c r="I4292" t="str">
        <f t="shared" ref="I4292:I4301" si="70">"VILLA TIRES"</f>
        <v>VILLA TIRES</v>
      </c>
    </row>
    <row r="4293" spans="1:9" x14ac:dyDescent="0.25">
      <c r="E4293" s="7"/>
      <c r="F4293" t="s">
        <v>20</v>
      </c>
      <c r="G4293" t="s">
        <v>21</v>
      </c>
      <c r="H4293" t="str">
        <f>"196588"</f>
        <v>196588</v>
      </c>
      <c r="I4293" t="str">
        <f t="shared" si="70"/>
        <v>VILLA TIRES</v>
      </c>
    </row>
    <row r="4294" spans="1:9" x14ac:dyDescent="0.25">
      <c r="E4294" s="7"/>
      <c r="F4294" t="s">
        <v>20</v>
      </c>
      <c r="G4294" t="s">
        <v>21</v>
      </c>
      <c r="H4294" t="str">
        <f>"196590"</f>
        <v>196590</v>
      </c>
      <c r="I4294" t="str">
        <f t="shared" si="70"/>
        <v>VILLA TIRES</v>
      </c>
    </row>
    <row r="4295" spans="1:9" x14ac:dyDescent="0.25">
      <c r="E4295" s="7"/>
      <c r="F4295" t="s">
        <v>20</v>
      </c>
      <c r="G4295" t="s">
        <v>21</v>
      </c>
      <c r="H4295" t="str">
        <f>"196591"</f>
        <v>196591</v>
      </c>
      <c r="I4295" t="str">
        <f t="shared" si="70"/>
        <v>VILLA TIRES</v>
      </c>
    </row>
    <row r="4296" spans="1:9" x14ac:dyDescent="0.25">
      <c r="E4296" s="7"/>
      <c r="F4296" t="s">
        <v>20</v>
      </c>
      <c r="G4296" t="s">
        <v>21</v>
      </c>
      <c r="H4296" t="str">
        <f>"196594"</f>
        <v>196594</v>
      </c>
      <c r="I4296" t="str">
        <f t="shared" si="70"/>
        <v>VILLA TIRES</v>
      </c>
    </row>
    <row r="4297" spans="1:9" x14ac:dyDescent="0.25">
      <c r="E4297" s="7"/>
      <c r="F4297" t="s">
        <v>20</v>
      </c>
      <c r="G4297" t="s">
        <v>21</v>
      </c>
      <c r="H4297" t="str">
        <f>"222809"</f>
        <v>222809</v>
      </c>
      <c r="I4297" t="str">
        <f t="shared" si="70"/>
        <v>VILLA TIRES</v>
      </c>
    </row>
    <row r="4298" spans="1:9" x14ac:dyDescent="0.25">
      <c r="E4298" s="7"/>
      <c r="F4298" t="s">
        <v>20</v>
      </c>
      <c r="G4298" t="s">
        <v>21</v>
      </c>
      <c r="H4298" t="str">
        <f>"222811"</f>
        <v>222811</v>
      </c>
      <c r="I4298" t="str">
        <f t="shared" si="70"/>
        <v>VILLA TIRES</v>
      </c>
    </row>
    <row r="4299" spans="1:9" x14ac:dyDescent="0.25">
      <c r="E4299" s="7"/>
      <c r="F4299" t="s">
        <v>20</v>
      </c>
      <c r="G4299" t="s">
        <v>21</v>
      </c>
      <c r="H4299" t="str">
        <f>"222816"</f>
        <v>222816</v>
      </c>
      <c r="I4299" t="str">
        <f t="shared" si="70"/>
        <v>VILLA TIRES</v>
      </c>
    </row>
    <row r="4300" spans="1:9" x14ac:dyDescent="0.25">
      <c r="E4300" s="7"/>
      <c r="F4300" t="s">
        <v>20</v>
      </c>
      <c r="G4300" t="s">
        <v>21</v>
      </c>
      <c r="H4300" t="str">
        <f>"222818"</f>
        <v>222818</v>
      </c>
      <c r="I4300" t="str">
        <f t="shared" si="70"/>
        <v>VILLA TIRES</v>
      </c>
    </row>
    <row r="4301" spans="1:9" x14ac:dyDescent="0.25">
      <c r="E4301" s="7"/>
      <c r="F4301" t="s">
        <v>20</v>
      </c>
      <c r="G4301" t="s">
        <v>21</v>
      </c>
      <c r="H4301" t="str">
        <f>"222820"</f>
        <v>222820</v>
      </c>
      <c r="I4301" t="str">
        <f t="shared" si="70"/>
        <v>VILLA TIRES</v>
      </c>
    </row>
    <row r="4302" spans="1:9" x14ac:dyDescent="0.25">
      <c r="A4302" s="6">
        <v>43320</v>
      </c>
      <c r="B4302" t="s">
        <v>26</v>
      </c>
      <c r="C4302">
        <v>58454</v>
      </c>
      <c r="D4302" t="s">
        <v>74</v>
      </c>
      <c r="E4302" s="7">
        <v>3699.53</v>
      </c>
      <c r="F4302" t="s">
        <v>20</v>
      </c>
      <c r="G4302" t="s">
        <v>21</v>
      </c>
      <c r="H4302" t="str">
        <f>"9811547311"</f>
        <v>9811547311</v>
      </c>
      <c r="I4302" t="str">
        <f>"VERIZON WIRELESS"</f>
        <v>VERIZON WIRELESS</v>
      </c>
    </row>
    <row r="4303" spans="1:9" x14ac:dyDescent="0.25">
      <c r="E4303" s="7"/>
      <c r="F4303" t="s">
        <v>20</v>
      </c>
      <c r="G4303" t="s">
        <v>21</v>
      </c>
      <c r="H4303" t="str">
        <f>"9811547312"</f>
        <v>9811547312</v>
      </c>
      <c r="I4303" t="str">
        <f>"VERIZON WIRELESS"</f>
        <v>VERIZON WIRELESS</v>
      </c>
    </row>
    <row r="4304" spans="1:9" x14ac:dyDescent="0.25">
      <c r="A4304" s="6">
        <v>43320</v>
      </c>
      <c r="B4304" t="s">
        <v>26</v>
      </c>
      <c r="C4304">
        <v>58456</v>
      </c>
      <c r="D4304" t="s">
        <v>170</v>
      </c>
      <c r="E4304" s="7">
        <v>7982.37</v>
      </c>
      <c r="F4304" t="s">
        <v>20</v>
      </c>
      <c r="G4304" t="s">
        <v>21</v>
      </c>
      <c r="H4304" t="str">
        <f>"29740"</f>
        <v>29740</v>
      </c>
      <c r="I4304" t="str">
        <f t="shared" ref="I4304:I4310" si="71">"BARRETT &amp; SONS  INC."</f>
        <v>BARRETT &amp; SONS  INC.</v>
      </c>
    </row>
    <row r="4305" spans="1:9" x14ac:dyDescent="0.25">
      <c r="E4305" s="7"/>
      <c r="F4305" t="s">
        <v>20</v>
      </c>
      <c r="G4305" t="s">
        <v>21</v>
      </c>
      <c r="H4305" t="str">
        <f>"29764"</f>
        <v>29764</v>
      </c>
      <c r="I4305" t="str">
        <f t="shared" si="71"/>
        <v>BARRETT &amp; SONS  INC.</v>
      </c>
    </row>
    <row r="4306" spans="1:9" x14ac:dyDescent="0.25">
      <c r="E4306" s="7"/>
      <c r="F4306" t="s">
        <v>20</v>
      </c>
      <c r="G4306" t="s">
        <v>21</v>
      </c>
      <c r="H4306" t="str">
        <f>"29833"</f>
        <v>29833</v>
      </c>
      <c r="I4306" t="str">
        <f t="shared" si="71"/>
        <v>BARRETT &amp; SONS  INC.</v>
      </c>
    </row>
    <row r="4307" spans="1:9" x14ac:dyDescent="0.25">
      <c r="E4307" s="7"/>
      <c r="F4307" t="s">
        <v>20</v>
      </c>
      <c r="G4307" t="s">
        <v>21</v>
      </c>
      <c r="H4307" t="str">
        <f>"29834"</f>
        <v>29834</v>
      </c>
      <c r="I4307" t="str">
        <f t="shared" si="71"/>
        <v>BARRETT &amp; SONS  INC.</v>
      </c>
    </row>
    <row r="4308" spans="1:9" x14ac:dyDescent="0.25">
      <c r="E4308" s="7"/>
      <c r="F4308" t="s">
        <v>20</v>
      </c>
      <c r="G4308" t="s">
        <v>21</v>
      </c>
      <c r="H4308" t="str">
        <f>"29835"</f>
        <v>29835</v>
      </c>
      <c r="I4308" t="str">
        <f t="shared" si="71"/>
        <v>BARRETT &amp; SONS  INC.</v>
      </c>
    </row>
    <row r="4309" spans="1:9" x14ac:dyDescent="0.25">
      <c r="E4309" s="7"/>
      <c r="F4309" t="s">
        <v>20</v>
      </c>
      <c r="G4309" t="s">
        <v>21</v>
      </c>
      <c r="H4309" t="str">
        <f>"29836"</f>
        <v>29836</v>
      </c>
      <c r="I4309" t="str">
        <f t="shared" si="71"/>
        <v>BARRETT &amp; SONS  INC.</v>
      </c>
    </row>
    <row r="4310" spans="1:9" x14ac:dyDescent="0.25">
      <c r="E4310" s="7"/>
      <c r="F4310" t="s">
        <v>20</v>
      </c>
      <c r="G4310" t="s">
        <v>21</v>
      </c>
      <c r="H4310" t="str">
        <f>"29837"</f>
        <v>29837</v>
      </c>
      <c r="I4310" t="str">
        <f t="shared" si="71"/>
        <v>BARRETT &amp; SONS  INC.</v>
      </c>
    </row>
    <row r="4311" spans="1:9" x14ac:dyDescent="0.25">
      <c r="A4311" s="6">
        <v>43320</v>
      </c>
      <c r="B4311" t="s">
        <v>26</v>
      </c>
      <c r="C4311">
        <v>58458</v>
      </c>
      <c r="D4311" t="s">
        <v>341</v>
      </c>
      <c r="E4311" s="7">
        <v>80</v>
      </c>
      <c r="F4311" t="s">
        <v>20</v>
      </c>
      <c r="G4311" t="s">
        <v>21</v>
      </c>
      <c r="H4311" t="str">
        <f>"8/4/18"</f>
        <v>8/4/18</v>
      </c>
      <c r="I4311" t="str">
        <f>"JUANITA MONTOYA"</f>
        <v>JUANITA MONTOYA</v>
      </c>
    </row>
    <row r="4312" spans="1:9" x14ac:dyDescent="0.25">
      <c r="A4312" s="6">
        <v>43320</v>
      </c>
      <c r="B4312" t="s">
        <v>26</v>
      </c>
      <c r="C4312">
        <v>58459</v>
      </c>
      <c r="D4312" t="s">
        <v>123</v>
      </c>
      <c r="E4312" s="7">
        <v>664.87</v>
      </c>
      <c r="F4312" t="s">
        <v>20</v>
      </c>
      <c r="G4312" t="s">
        <v>21</v>
      </c>
      <c r="H4312" t="str">
        <f>"164133264001"</f>
        <v>164133264001</v>
      </c>
      <c r="I4312" t="str">
        <f>"OFFICE DEPOT  INC."</f>
        <v>OFFICE DEPOT  INC.</v>
      </c>
    </row>
    <row r="4313" spans="1:9" x14ac:dyDescent="0.25">
      <c r="E4313" s="7"/>
      <c r="F4313" t="s">
        <v>20</v>
      </c>
      <c r="G4313" t="s">
        <v>21</v>
      </c>
      <c r="H4313" t="str">
        <f>"165729499001"</f>
        <v>165729499001</v>
      </c>
      <c r="I4313" t="str">
        <f>"OFFICE DEPOT  INC."</f>
        <v>OFFICE DEPOT  INC.</v>
      </c>
    </row>
    <row r="4314" spans="1:9" x14ac:dyDescent="0.25">
      <c r="A4314" s="6">
        <v>43320</v>
      </c>
      <c r="B4314" t="s">
        <v>26</v>
      </c>
      <c r="C4314">
        <v>58460</v>
      </c>
      <c r="D4314" t="s">
        <v>137</v>
      </c>
      <c r="E4314" s="7">
        <v>51.95</v>
      </c>
      <c r="F4314" t="s">
        <v>20</v>
      </c>
      <c r="G4314" t="s">
        <v>21</v>
      </c>
      <c r="H4314" t="str">
        <f>"1450265"</f>
        <v>1450265</v>
      </c>
      <c r="I4314" t="str">
        <f>"OMNIBUS-M  INC.D.B.A."</f>
        <v>OMNIBUS-M  INC.D.B.A.</v>
      </c>
    </row>
    <row r="4315" spans="1:9" x14ac:dyDescent="0.25">
      <c r="A4315" s="6">
        <v>43320</v>
      </c>
      <c r="B4315" t="s">
        <v>26</v>
      </c>
      <c r="C4315">
        <v>58461</v>
      </c>
      <c r="D4315" t="s">
        <v>77</v>
      </c>
      <c r="E4315" s="7">
        <v>1003.48</v>
      </c>
      <c r="F4315" t="s">
        <v>20</v>
      </c>
      <c r="G4315" t="s">
        <v>21</v>
      </c>
      <c r="H4315" t="str">
        <f>"857001337-18"</f>
        <v>857001337-18</v>
      </c>
      <c r="I4315" t="str">
        <f>"DPC INDUSTRIES  INC."</f>
        <v>DPC INDUSTRIES  INC.</v>
      </c>
    </row>
    <row r="4316" spans="1:9" x14ac:dyDescent="0.25">
      <c r="E4316" s="7"/>
      <c r="F4316" t="s">
        <v>20</v>
      </c>
      <c r="G4316" t="s">
        <v>21</v>
      </c>
      <c r="H4316" t="str">
        <f>"857001338-18"</f>
        <v>857001338-18</v>
      </c>
      <c r="I4316" t="str">
        <f>"DPC INDUSTRIES  INC."</f>
        <v>DPC INDUSTRIES  INC.</v>
      </c>
    </row>
    <row r="4317" spans="1:9" x14ac:dyDescent="0.25">
      <c r="A4317" s="6">
        <v>43320</v>
      </c>
      <c r="B4317" t="s">
        <v>26</v>
      </c>
      <c r="C4317">
        <v>58462</v>
      </c>
      <c r="D4317" t="s">
        <v>138</v>
      </c>
      <c r="E4317" s="7">
        <v>1041.5</v>
      </c>
      <c r="F4317" t="s">
        <v>20</v>
      </c>
      <c r="G4317" t="s">
        <v>21</v>
      </c>
      <c r="H4317" t="str">
        <f>"FLEX SPENDING TRF"</f>
        <v>FLEX SPENDING TRF</v>
      </c>
      <c r="I4317" t="str">
        <f>"CITY OF FLORESVILLE-FLEX SPEND"</f>
        <v>CITY OF FLORESVILLE-FLEX SPEND</v>
      </c>
    </row>
    <row r="4318" spans="1:9" x14ac:dyDescent="0.25">
      <c r="A4318" s="6">
        <v>43320</v>
      </c>
      <c r="B4318" t="s">
        <v>26</v>
      </c>
      <c r="C4318">
        <v>58463</v>
      </c>
      <c r="D4318" t="s">
        <v>124</v>
      </c>
      <c r="E4318" s="7">
        <v>99.99</v>
      </c>
      <c r="F4318" t="s">
        <v>20</v>
      </c>
      <c r="G4318" t="s">
        <v>21</v>
      </c>
      <c r="H4318" t="str">
        <f>"11162515"</f>
        <v>11162515</v>
      </c>
      <c r="I4318" t="str">
        <f>"MCCOY'S CORPORATION"</f>
        <v>MCCOY'S CORPORATION</v>
      </c>
    </row>
    <row r="4319" spans="1:9" x14ac:dyDescent="0.25">
      <c r="A4319" s="6">
        <v>43320</v>
      </c>
      <c r="B4319" t="s">
        <v>26</v>
      </c>
      <c r="C4319">
        <v>58464</v>
      </c>
      <c r="D4319" t="s">
        <v>372</v>
      </c>
      <c r="E4319" s="7">
        <v>70</v>
      </c>
      <c r="F4319" t="s">
        <v>20</v>
      </c>
      <c r="G4319" t="s">
        <v>21</v>
      </c>
      <c r="H4319" t="str">
        <f>"8/4/18"</f>
        <v>8/4/18</v>
      </c>
      <c r="I4319" t="str">
        <f>"MICHELLE DOLBERRY"</f>
        <v>MICHELLE DOLBERRY</v>
      </c>
    </row>
    <row r="4320" spans="1:9" x14ac:dyDescent="0.25">
      <c r="A4320" s="6">
        <v>43320</v>
      </c>
      <c r="B4320" t="s">
        <v>91</v>
      </c>
      <c r="C4320">
        <v>58465</v>
      </c>
      <c r="D4320" t="s">
        <v>147</v>
      </c>
      <c r="E4320" s="7">
        <v>3245.85</v>
      </c>
      <c r="F4320" t="s">
        <v>20</v>
      </c>
      <c r="G4320" t="s">
        <v>21</v>
      </c>
      <c r="H4320" t="str">
        <f>"557110"</f>
        <v>557110</v>
      </c>
      <c r="I4320" t="str">
        <f t="shared" ref="I4320:I4327" si="72">"SRALLA ELECTRIC"</f>
        <v>SRALLA ELECTRIC</v>
      </c>
    </row>
    <row r="4321" spans="1:9" x14ac:dyDescent="0.25">
      <c r="E4321" s="7"/>
      <c r="F4321" t="s">
        <v>20</v>
      </c>
      <c r="G4321" t="s">
        <v>21</v>
      </c>
      <c r="H4321" t="str">
        <f>"557111"</f>
        <v>557111</v>
      </c>
      <c r="I4321" t="str">
        <f t="shared" si="72"/>
        <v>SRALLA ELECTRIC</v>
      </c>
    </row>
    <row r="4322" spans="1:9" x14ac:dyDescent="0.25">
      <c r="E4322" s="7"/>
      <c r="F4322" t="s">
        <v>20</v>
      </c>
      <c r="G4322" t="s">
        <v>21</v>
      </c>
      <c r="H4322" t="str">
        <f>"557112"</f>
        <v>557112</v>
      </c>
      <c r="I4322" t="str">
        <f t="shared" si="72"/>
        <v>SRALLA ELECTRIC</v>
      </c>
    </row>
    <row r="4323" spans="1:9" x14ac:dyDescent="0.25">
      <c r="E4323" s="7"/>
      <c r="F4323" t="s">
        <v>20</v>
      </c>
      <c r="G4323" t="s">
        <v>21</v>
      </c>
      <c r="H4323" t="str">
        <f>"557113"</f>
        <v>557113</v>
      </c>
      <c r="I4323" t="str">
        <f t="shared" si="72"/>
        <v>SRALLA ELECTRIC</v>
      </c>
    </row>
    <row r="4324" spans="1:9" x14ac:dyDescent="0.25">
      <c r="E4324" s="7"/>
      <c r="F4324" t="s">
        <v>20</v>
      </c>
      <c r="G4324" t="s">
        <v>21</v>
      </c>
      <c r="H4324" t="str">
        <f>"557114"</f>
        <v>557114</v>
      </c>
      <c r="I4324" t="str">
        <f t="shared" si="72"/>
        <v>SRALLA ELECTRIC</v>
      </c>
    </row>
    <row r="4325" spans="1:9" x14ac:dyDescent="0.25">
      <c r="E4325" s="7"/>
      <c r="F4325" t="s">
        <v>20</v>
      </c>
      <c r="G4325" t="s">
        <v>21</v>
      </c>
      <c r="H4325" t="str">
        <f>"557115"</f>
        <v>557115</v>
      </c>
      <c r="I4325" t="str">
        <f t="shared" si="72"/>
        <v>SRALLA ELECTRIC</v>
      </c>
    </row>
    <row r="4326" spans="1:9" x14ac:dyDescent="0.25">
      <c r="E4326" s="7"/>
      <c r="F4326" t="s">
        <v>20</v>
      </c>
      <c r="G4326" t="s">
        <v>21</v>
      </c>
      <c r="H4326" t="str">
        <f>"557116"</f>
        <v>557116</v>
      </c>
      <c r="I4326" t="str">
        <f t="shared" si="72"/>
        <v>SRALLA ELECTRIC</v>
      </c>
    </row>
    <row r="4327" spans="1:9" x14ac:dyDescent="0.25">
      <c r="E4327" s="7"/>
      <c r="F4327" t="s">
        <v>20</v>
      </c>
      <c r="G4327" t="s">
        <v>21</v>
      </c>
      <c r="H4327" t="str">
        <f>"813"</f>
        <v>813</v>
      </c>
      <c r="I4327" t="str">
        <f t="shared" si="72"/>
        <v>SRALLA ELECTRIC</v>
      </c>
    </row>
    <row r="4328" spans="1:9" x14ac:dyDescent="0.25">
      <c r="A4328" s="6">
        <v>43320</v>
      </c>
      <c r="B4328" t="s">
        <v>91</v>
      </c>
      <c r="C4328">
        <v>58465</v>
      </c>
      <c r="D4328" t="s">
        <v>147</v>
      </c>
      <c r="E4328" s="7">
        <v>3245.85</v>
      </c>
      <c r="F4328" t="s">
        <v>20</v>
      </c>
      <c r="G4328" t="s">
        <v>93</v>
      </c>
      <c r="H4328" t="str">
        <f>"CHECK"</f>
        <v>CHECK</v>
      </c>
      <c r="I4328" t="str">
        <f>""</f>
        <v/>
      </c>
    </row>
    <row r="4329" spans="1:9" x14ac:dyDescent="0.25">
      <c r="A4329" s="6">
        <v>43320</v>
      </c>
      <c r="B4329" t="s">
        <v>26</v>
      </c>
      <c r="C4329">
        <v>58467</v>
      </c>
      <c r="D4329" t="s">
        <v>79</v>
      </c>
      <c r="E4329" s="7">
        <v>16.600000000000001</v>
      </c>
      <c r="F4329" t="s">
        <v>20</v>
      </c>
      <c r="G4329" t="s">
        <v>21</v>
      </c>
      <c r="H4329" t="str">
        <f>"6-263-58857"</f>
        <v>6-263-58857</v>
      </c>
      <c r="I4329" t="str">
        <f>"FEDEX"</f>
        <v>FEDEX</v>
      </c>
    </row>
    <row r="4330" spans="1:9" x14ac:dyDescent="0.25">
      <c r="A4330" s="6">
        <v>43320</v>
      </c>
      <c r="B4330" t="s">
        <v>26</v>
      </c>
      <c r="C4330">
        <v>58468</v>
      </c>
      <c r="D4330" t="s">
        <v>80</v>
      </c>
      <c r="E4330" s="7">
        <v>1776.91</v>
      </c>
      <c r="F4330" t="s">
        <v>20</v>
      </c>
      <c r="G4330" t="s">
        <v>21</v>
      </c>
      <c r="H4330" t="str">
        <f>"1648-20180801-1"</f>
        <v>1648-20180801-1</v>
      </c>
      <c r="I4330" t="str">
        <f>"LVWIFI.COM"</f>
        <v>LVWIFI.COM</v>
      </c>
    </row>
    <row r="4331" spans="1:9" x14ac:dyDescent="0.25">
      <c r="E4331" s="7"/>
      <c r="F4331" t="s">
        <v>20</v>
      </c>
      <c r="G4331" t="s">
        <v>21</v>
      </c>
      <c r="H4331" t="str">
        <f>"2313-20180801-1"</f>
        <v>2313-20180801-1</v>
      </c>
      <c r="I4331" t="str">
        <f>"LVWIFI.COM"</f>
        <v>LVWIFI.COM</v>
      </c>
    </row>
    <row r="4332" spans="1:9" x14ac:dyDescent="0.25">
      <c r="E4332" s="7"/>
      <c r="F4332" t="s">
        <v>20</v>
      </c>
      <c r="G4332" t="s">
        <v>21</v>
      </c>
      <c r="H4332" t="str">
        <f>"2314-20180801-1"</f>
        <v>2314-20180801-1</v>
      </c>
      <c r="I4332" t="str">
        <f>"LVWIFI.COM"</f>
        <v>LVWIFI.COM</v>
      </c>
    </row>
    <row r="4333" spans="1:9" x14ac:dyDescent="0.25">
      <c r="E4333" s="7"/>
      <c r="F4333" t="s">
        <v>20</v>
      </c>
      <c r="G4333" t="s">
        <v>21</v>
      </c>
      <c r="H4333" t="str">
        <f>"2478-20180801-1"</f>
        <v>2478-20180801-1</v>
      </c>
      <c r="I4333" t="str">
        <f>"LVWIFI.COM"</f>
        <v>LVWIFI.COM</v>
      </c>
    </row>
    <row r="4334" spans="1:9" x14ac:dyDescent="0.25">
      <c r="A4334" s="6">
        <v>43320</v>
      </c>
      <c r="B4334" t="s">
        <v>26</v>
      </c>
      <c r="C4334">
        <v>58469</v>
      </c>
      <c r="D4334" t="s">
        <v>139</v>
      </c>
      <c r="E4334" s="7">
        <v>65</v>
      </c>
      <c r="F4334" t="s">
        <v>20</v>
      </c>
      <c r="G4334" t="s">
        <v>21</v>
      </c>
      <c r="H4334" t="str">
        <f>"24233"</f>
        <v>24233</v>
      </c>
      <c r="I4334" t="str">
        <f>"ANGEL FIRE &amp; SAFETY"</f>
        <v>ANGEL FIRE &amp; SAFETY</v>
      </c>
    </row>
    <row r="4335" spans="1:9" x14ac:dyDescent="0.25">
      <c r="A4335" s="6">
        <v>43320</v>
      </c>
      <c r="B4335" t="s">
        <v>26</v>
      </c>
      <c r="C4335">
        <v>58470</v>
      </c>
      <c r="D4335" t="s">
        <v>81</v>
      </c>
      <c r="E4335" s="7">
        <v>320.37</v>
      </c>
      <c r="F4335" t="s">
        <v>20</v>
      </c>
      <c r="G4335" t="s">
        <v>21</v>
      </c>
      <c r="H4335" t="str">
        <f>"A.M. 8/6/18"</f>
        <v>A.M. 8/6/18</v>
      </c>
      <c r="I4335" t="str">
        <f>"CITY OF FLORESVILLE -PETTY CAS"</f>
        <v>CITY OF FLORESVILLE -PETTY CAS</v>
      </c>
    </row>
    <row r="4336" spans="1:9" x14ac:dyDescent="0.25">
      <c r="E4336" s="7"/>
      <c r="F4336" t="s">
        <v>20</v>
      </c>
      <c r="G4336" t="s">
        <v>21</v>
      </c>
      <c r="H4336" t="str">
        <f>"B.C. 8/6/18"</f>
        <v>B.C. 8/6/18</v>
      </c>
      <c r="I4336" t="str">
        <f>"CITY OF FLORESVILLE -PETTY CAS"</f>
        <v>CITY OF FLORESVILLE -PETTY CAS</v>
      </c>
    </row>
    <row r="4337" spans="1:9" x14ac:dyDescent="0.25">
      <c r="A4337" s="6">
        <v>43320</v>
      </c>
      <c r="B4337" t="s">
        <v>26</v>
      </c>
      <c r="C4337">
        <v>58471</v>
      </c>
      <c r="D4337" t="s">
        <v>129</v>
      </c>
      <c r="E4337" s="7">
        <v>118.2</v>
      </c>
      <c r="F4337" t="s">
        <v>20</v>
      </c>
      <c r="G4337" t="s">
        <v>21</v>
      </c>
      <c r="H4337" t="str">
        <f>"937722"</f>
        <v>937722</v>
      </c>
      <c r="I4337" t="str">
        <f>"AG-PRO COMPANIES"</f>
        <v>AG-PRO COMPANIES</v>
      </c>
    </row>
    <row r="4338" spans="1:9" x14ac:dyDescent="0.25">
      <c r="A4338" s="6">
        <v>43320</v>
      </c>
      <c r="B4338" t="s">
        <v>26</v>
      </c>
      <c r="C4338">
        <v>58472</v>
      </c>
      <c r="D4338" t="s">
        <v>130</v>
      </c>
      <c r="E4338" s="7">
        <v>976.56</v>
      </c>
      <c r="F4338" t="s">
        <v>20</v>
      </c>
      <c r="G4338" t="s">
        <v>21</v>
      </c>
      <c r="H4338" t="str">
        <f>"INV580060"</f>
        <v>INV580060</v>
      </c>
      <c r="I4338" t="str">
        <f>"DOCUMATION"</f>
        <v>DOCUMATION</v>
      </c>
    </row>
    <row r="4339" spans="1:9" x14ac:dyDescent="0.25">
      <c r="A4339" s="6">
        <v>43320</v>
      </c>
      <c r="B4339" t="s">
        <v>26</v>
      </c>
      <c r="C4339">
        <v>58473</v>
      </c>
      <c r="D4339" t="s">
        <v>307</v>
      </c>
      <c r="E4339" s="7">
        <v>757.99</v>
      </c>
      <c r="F4339" t="s">
        <v>20</v>
      </c>
      <c r="G4339" t="s">
        <v>21</v>
      </c>
      <c r="H4339" t="str">
        <f>"S130460"</f>
        <v>S130460</v>
      </c>
      <c r="I4339" t="str">
        <f>"LOFTIN EQUIPMENT CO."</f>
        <v>LOFTIN EQUIPMENT CO.</v>
      </c>
    </row>
    <row r="4340" spans="1:9" x14ac:dyDescent="0.25">
      <c r="A4340" s="6">
        <v>43320</v>
      </c>
      <c r="B4340" t="s">
        <v>26</v>
      </c>
      <c r="C4340">
        <v>58474</v>
      </c>
      <c r="D4340" t="s">
        <v>496</v>
      </c>
      <c r="E4340" s="7">
        <v>60</v>
      </c>
      <c r="F4340" t="s">
        <v>20</v>
      </c>
      <c r="G4340" t="s">
        <v>21</v>
      </c>
      <c r="H4340" t="str">
        <f>"MEMBERSHIP"</f>
        <v>MEMBERSHIP</v>
      </c>
      <c r="I4340" t="str">
        <f>"GFOAT"</f>
        <v>GFOAT</v>
      </c>
    </row>
    <row r="4341" spans="1:9" x14ac:dyDescent="0.25">
      <c r="A4341" s="6">
        <v>43320</v>
      </c>
      <c r="B4341" t="s">
        <v>26</v>
      </c>
      <c r="C4341">
        <v>58475</v>
      </c>
      <c r="D4341" t="s">
        <v>131</v>
      </c>
      <c r="E4341" s="7">
        <v>66.97</v>
      </c>
      <c r="F4341" t="s">
        <v>20</v>
      </c>
      <c r="G4341" t="s">
        <v>21</v>
      </c>
      <c r="H4341" t="str">
        <f>"030677"</f>
        <v>030677</v>
      </c>
      <c r="I4341" t="str">
        <f>"R &amp; S TEXAS PARTS CO"</f>
        <v>R &amp; S TEXAS PARTS CO</v>
      </c>
    </row>
    <row r="4342" spans="1:9" x14ac:dyDescent="0.25">
      <c r="E4342" s="7"/>
      <c r="F4342" t="s">
        <v>20</v>
      </c>
      <c r="G4342" t="s">
        <v>21</v>
      </c>
      <c r="H4342" t="str">
        <f>"030990"</f>
        <v>030990</v>
      </c>
      <c r="I4342" t="str">
        <f>"R &amp; S TEXAS PARTS CO"</f>
        <v>R &amp; S TEXAS PARTS CO</v>
      </c>
    </row>
    <row r="4343" spans="1:9" x14ac:dyDescent="0.25">
      <c r="A4343" s="6">
        <v>43320</v>
      </c>
      <c r="B4343" t="s">
        <v>26</v>
      </c>
      <c r="C4343">
        <v>58476</v>
      </c>
      <c r="D4343" t="s">
        <v>83</v>
      </c>
      <c r="E4343" s="7">
        <v>936</v>
      </c>
      <c r="F4343" t="s">
        <v>20</v>
      </c>
      <c r="G4343" t="s">
        <v>21</v>
      </c>
      <c r="H4343" t="str">
        <f>"438404"</f>
        <v>438404</v>
      </c>
      <c r="I4343" t="str">
        <f>"APPRIVER"</f>
        <v>APPRIVER</v>
      </c>
    </row>
    <row r="4344" spans="1:9" x14ac:dyDescent="0.25">
      <c r="A4344" s="6">
        <v>43320</v>
      </c>
      <c r="B4344" t="s">
        <v>26</v>
      </c>
      <c r="C4344">
        <v>58477</v>
      </c>
      <c r="D4344" t="s">
        <v>84</v>
      </c>
      <c r="E4344" s="7">
        <v>18990.77</v>
      </c>
      <c r="F4344" t="s">
        <v>20</v>
      </c>
      <c r="G4344" t="s">
        <v>21</v>
      </c>
      <c r="H4344" t="str">
        <f>"1361378"</f>
        <v>1361378</v>
      </c>
      <c r="I4344" t="str">
        <f>"STANTEC CONSULTING SERVICES IN"</f>
        <v>STANTEC CONSULTING SERVICES IN</v>
      </c>
    </row>
    <row r="4345" spans="1:9" x14ac:dyDescent="0.25">
      <c r="E4345" s="7"/>
      <c r="F4345" t="s">
        <v>20</v>
      </c>
      <c r="G4345" t="s">
        <v>21</v>
      </c>
      <c r="H4345" t="str">
        <f>"1387752"</f>
        <v>1387752</v>
      </c>
      <c r="I4345" t="str">
        <f>"STANTEC CONSULTING SERVICES IN"</f>
        <v>STANTEC CONSULTING SERVICES IN</v>
      </c>
    </row>
    <row r="4346" spans="1:9" x14ac:dyDescent="0.25">
      <c r="A4346" s="6">
        <v>43320</v>
      </c>
      <c r="B4346" t="s">
        <v>26</v>
      </c>
      <c r="C4346">
        <v>58478</v>
      </c>
      <c r="D4346" t="s">
        <v>85</v>
      </c>
      <c r="E4346" s="7">
        <v>723.88</v>
      </c>
      <c r="F4346" t="s">
        <v>20</v>
      </c>
      <c r="G4346" t="s">
        <v>21</v>
      </c>
      <c r="H4346" t="str">
        <f>"8302162745"</f>
        <v>8302162745</v>
      </c>
      <c r="I4346" t="str">
        <f t="shared" ref="I4346:I4351" si="73">"FRONTIER"</f>
        <v>FRONTIER</v>
      </c>
    </row>
    <row r="4347" spans="1:9" x14ac:dyDescent="0.25">
      <c r="E4347" s="7"/>
      <c r="F4347" t="s">
        <v>20</v>
      </c>
      <c r="G4347" t="s">
        <v>21</v>
      </c>
      <c r="H4347" t="str">
        <f>"8303930579"</f>
        <v>8303930579</v>
      </c>
      <c r="I4347" t="str">
        <f t="shared" si="73"/>
        <v>FRONTIER</v>
      </c>
    </row>
    <row r="4348" spans="1:9" x14ac:dyDescent="0.25">
      <c r="E4348" s="7"/>
      <c r="F4348" t="s">
        <v>20</v>
      </c>
      <c r="G4348" t="s">
        <v>21</v>
      </c>
      <c r="H4348" t="str">
        <f>"8303933108"</f>
        <v>8303933108</v>
      </c>
      <c r="I4348" t="str">
        <f t="shared" si="73"/>
        <v>FRONTIER</v>
      </c>
    </row>
    <row r="4349" spans="1:9" x14ac:dyDescent="0.25">
      <c r="E4349" s="7"/>
      <c r="F4349" t="s">
        <v>20</v>
      </c>
      <c r="G4349" t="s">
        <v>21</v>
      </c>
      <c r="H4349" t="str">
        <f>"8303933718"</f>
        <v>8303933718</v>
      </c>
      <c r="I4349" t="str">
        <f t="shared" si="73"/>
        <v>FRONTIER</v>
      </c>
    </row>
    <row r="4350" spans="1:9" x14ac:dyDescent="0.25">
      <c r="E4350" s="7"/>
      <c r="F4350" t="s">
        <v>20</v>
      </c>
      <c r="G4350" t="s">
        <v>21</v>
      </c>
      <c r="H4350" t="str">
        <f>"8303937070"</f>
        <v>8303937070</v>
      </c>
      <c r="I4350" t="str">
        <f t="shared" si="73"/>
        <v>FRONTIER</v>
      </c>
    </row>
    <row r="4351" spans="1:9" x14ac:dyDescent="0.25">
      <c r="E4351" s="7"/>
      <c r="F4351" t="s">
        <v>20</v>
      </c>
      <c r="G4351" t="s">
        <v>21</v>
      </c>
      <c r="H4351" t="str">
        <f>"8303939791"</f>
        <v>8303939791</v>
      </c>
      <c r="I4351" t="str">
        <f t="shared" si="73"/>
        <v>FRONTIER</v>
      </c>
    </row>
    <row r="4352" spans="1:9" x14ac:dyDescent="0.25">
      <c r="A4352" s="6">
        <v>43320</v>
      </c>
      <c r="B4352" t="s">
        <v>26</v>
      </c>
      <c r="C4352">
        <v>58479</v>
      </c>
      <c r="D4352" t="s">
        <v>194</v>
      </c>
      <c r="E4352" s="7">
        <v>226.93</v>
      </c>
      <c r="F4352" t="s">
        <v>20</v>
      </c>
      <c r="G4352" t="s">
        <v>21</v>
      </c>
      <c r="H4352" t="str">
        <f>"BC0619434"</f>
        <v>BC0619434</v>
      </c>
      <c r="I4352" t="str">
        <f>"GALLS  LLC-D.B.A. STERLING'S U"</f>
        <v>GALLS  LLC-D.B.A. STERLING'S U</v>
      </c>
    </row>
    <row r="4353" spans="1:9" x14ac:dyDescent="0.25">
      <c r="A4353" s="6">
        <v>43320</v>
      </c>
      <c r="B4353" t="s">
        <v>26</v>
      </c>
      <c r="C4353">
        <v>58480</v>
      </c>
      <c r="D4353" t="s">
        <v>275</v>
      </c>
      <c r="E4353" s="7">
        <v>1035</v>
      </c>
      <c r="F4353" t="s">
        <v>20</v>
      </c>
      <c r="G4353" t="s">
        <v>21</v>
      </c>
      <c r="H4353" t="str">
        <f>"38523"</f>
        <v>38523</v>
      </c>
      <c r="I4353" t="str">
        <f>"CORTEZ LIQUID WASTE SERVICES"</f>
        <v>CORTEZ LIQUID WASTE SERVICES</v>
      </c>
    </row>
    <row r="4354" spans="1:9" x14ac:dyDescent="0.25">
      <c r="A4354" s="6">
        <v>43320</v>
      </c>
      <c r="B4354" t="s">
        <v>26</v>
      </c>
      <c r="C4354">
        <v>58481</v>
      </c>
      <c r="D4354" t="s">
        <v>86</v>
      </c>
      <c r="E4354" s="7">
        <v>1500</v>
      </c>
      <c r="F4354" t="s">
        <v>20</v>
      </c>
      <c r="G4354" t="s">
        <v>21</v>
      </c>
      <c r="H4354" t="str">
        <f>"781640"</f>
        <v>781640</v>
      </c>
      <c r="I4354" t="str">
        <f>"FROST BANK"</f>
        <v>FROST BANK</v>
      </c>
    </row>
    <row r="4355" spans="1:9" x14ac:dyDescent="0.25">
      <c r="A4355" s="6">
        <v>43320</v>
      </c>
      <c r="B4355" t="s">
        <v>26</v>
      </c>
      <c r="C4355">
        <v>58482</v>
      </c>
      <c r="D4355" t="s">
        <v>132</v>
      </c>
      <c r="E4355" s="7">
        <v>90.76</v>
      </c>
      <c r="F4355" t="s">
        <v>20</v>
      </c>
      <c r="G4355" t="s">
        <v>21</v>
      </c>
      <c r="H4355" t="str">
        <f>"16008854071818"</f>
        <v>16008854071818</v>
      </c>
      <c r="I4355" t="str">
        <f>"SPARKLETTS &amp; SIERRA SPRINGS"</f>
        <v>SPARKLETTS &amp; SIERRA SPRINGS</v>
      </c>
    </row>
    <row r="4356" spans="1:9" x14ac:dyDescent="0.25">
      <c r="A4356" s="6">
        <v>43320</v>
      </c>
      <c r="B4356" t="s">
        <v>26</v>
      </c>
      <c r="C4356">
        <v>58483</v>
      </c>
      <c r="D4356" t="s">
        <v>176</v>
      </c>
      <c r="E4356" s="7">
        <v>180104.79</v>
      </c>
      <c r="F4356" t="s">
        <v>20</v>
      </c>
      <c r="G4356" t="s">
        <v>21</v>
      </c>
      <c r="H4356" t="str">
        <f>"PAY APP #20"</f>
        <v>PAY APP #20</v>
      </c>
      <c r="I4356" t="str">
        <f>"PEPPER-LAWSON WATERWORKS"</f>
        <v>PEPPER-LAWSON WATERWORKS</v>
      </c>
    </row>
    <row r="4357" spans="1:9" x14ac:dyDescent="0.25">
      <c r="A4357" s="6">
        <v>43320</v>
      </c>
      <c r="B4357" t="s">
        <v>26</v>
      </c>
      <c r="C4357">
        <v>58484</v>
      </c>
      <c r="D4357" t="s">
        <v>345</v>
      </c>
      <c r="E4357" s="7">
        <v>368.5</v>
      </c>
      <c r="F4357" t="s">
        <v>20</v>
      </c>
      <c r="G4357" t="s">
        <v>21</v>
      </c>
      <c r="H4357" t="str">
        <f>"7/30/18-8/4/18"</f>
        <v>7/30/18-8/4/18</v>
      </c>
      <c r="I4357" t="str">
        <f>"MICHAEL ISAAC MARTINEZ"</f>
        <v>MICHAEL ISAAC MARTINEZ</v>
      </c>
    </row>
    <row r="4358" spans="1:9" x14ac:dyDescent="0.25">
      <c r="A4358" s="6">
        <v>43320</v>
      </c>
      <c r="B4358" t="s">
        <v>26</v>
      </c>
      <c r="C4358">
        <v>58485</v>
      </c>
      <c r="D4358" t="s">
        <v>452</v>
      </c>
      <c r="E4358" s="7">
        <v>60</v>
      </c>
      <c r="F4358" t="s">
        <v>20</v>
      </c>
      <c r="G4358" t="s">
        <v>21</v>
      </c>
      <c r="H4358" t="str">
        <f>"8/4/18"</f>
        <v>8/4/18</v>
      </c>
      <c r="I4358" t="str">
        <f>"DESIREE PEREZ"</f>
        <v>DESIREE PEREZ</v>
      </c>
    </row>
    <row r="4359" spans="1:9" x14ac:dyDescent="0.25">
      <c r="A4359" s="6">
        <v>43320</v>
      </c>
      <c r="B4359" t="s">
        <v>26</v>
      </c>
      <c r="C4359">
        <v>58486</v>
      </c>
      <c r="D4359" t="s">
        <v>27</v>
      </c>
      <c r="E4359" s="7">
        <v>168.63</v>
      </c>
      <c r="F4359" t="s">
        <v>20</v>
      </c>
      <c r="G4359" t="s">
        <v>21</v>
      </c>
      <c r="H4359" t="str">
        <f>"TRNG 8/14-16"</f>
        <v>TRNG 8/14-16</v>
      </c>
      <c r="I4359" t="str">
        <f>"RICARDO CARRASCO"</f>
        <v>RICARDO CARRASCO</v>
      </c>
    </row>
    <row r="4360" spans="1:9" x14ac:dyDescent="0.25">
      <c r="A4360" s="6">
        <v>43320</v>
      </c>
      <c r="B4360" t="s">
        <v>26</v>
      </c>
      <c r="C4360">
        <v>58487</v>
      </c>
      <c r="D4360" t="s">
        <v>55</v>
      </c>
      <c r="E4360" s="7">
        <v>1750</v>
      </c>
      <c r="F4360" t="s">
        <v>20</v>
      </c>
      <c r="G4360" t="s">
        <v>21</v>
      </c>
      <c r="H4360" t="str">
        <f>"1128"</f>
        <v>1128</v>
      </c>
      <c r="I4360" t="str">
        <f>"LEVEL 4 CONSULTING"</f>
        <v>LEVEL 4 CONSULTING</v>
      </c>
    </row>
    <row r="4361" spans="1:9" x14ac:dyDescent="0.25">
      <c r="A4361" s="6">
        <v>43320</v>
      </c>
      <c r="B4361" t="s">
        <v>26</v>
      </c>
      <c r="C4361">
        <v>58488</v>
      </c>
      <c r="D4361" t="s">
        <v>497</v>
      </c>
      <c r="E4361" s="7">
        <v>25514</v>
      </c>
      <c r="F4361" t="s">
        <v>20</v>
      </c>
      <c r="G4361" t="s">
        <v>21</v>
      </c>
      <c r="H4361" t="str">
        <f>"FR"</f>
        <v>FR</v>
      </c>
      <c r="I4361" t="str">
        <f>"CAMINO REAL COMMUNITYMHMR CENT"</f>
        <v>CAMINO REAL COMMUNITYMHMR CENT</v>
      </c>
    </row>
    <row r="4362" spans="1:9" x14ac:dyDescent="0.25">
      <c r="A4362" s="6">
        <v>43320</v>
      </c>
      <c r="B4362" t="s">
        <v>26</v>
      </c>
      <c r="C4362">
        <v>58489</v>
      </c>
      <c r="D4362" t="s">
        <v>427</v>
      </c>
      <c r="E4362" s="7">
        <v>70</v>
      </c>
      <c r="F4362" t="s">
        <v>20</v>
      </c>
      <c r="G4362" t="s">
        <v>21</v>
      </c>
      <c r="H4362" t="str">
        <f>"8/4/18"</f>
        <v>8/4/18</v>
      </c>
      <c r="I4362" t="str">
        <f>"Alexandria Rene Palacios"</f>
        <v>Alexandria Rene Palacios</v>
      </c>
    </row>
    <row r="4363" spans="1:9" x14ac:dyDescent="0.25">
      <c r="A4363" s="6">
        <v>43320</v>
      </c>
      <c r="B4363" t="s">
        <v>26</v>
      </c>
      <c r="C4363">
        <v>58490</v>
      </c>
      <c r="D4363" t="s">
        <v>457</v>
      </c>
      <c r="E4363" s="7">
        <v>75</v>
      </c>
      <c r="F4363" t="s">
        <v>20</v>
      </c>
      <c r="G4363" t="s">
        <v>21</v>
      </c>
      <c r="H4363" t="str">
        <f>"8/4/18"</f>
        <v>8/4/18</v>
      </c>
      <c r="I4363" t="str">
        <f>"MELISSA SENDEJO"</f>
        <v>MELISSA SENDEJO</v>
      </c>
    </row>
    <row r="4364" spans="1:9" x14ac:dyDescent="0.25">
      <c r="A4364" s="6">
        <v>43320</v>
      </c>
      <c r="B4364" t="s">
        <v>26</v>
      </c>
      <c r="C4364">
        <v>58491</v>
      </c>
      <c r="D4364" t="s">
        <v>461</v>
      </c>
      <c r="E4364" s="7">
        <v>75</v>
      </c>
      <c r="F4364" t="s">
        <v>20</v>
      </c>
      <c r="G4364" t="s">
        <v>21</v>
      </c>
      <c r="H4364" t="str">
        <f>"8/4/18"</f>
        <v>8/4/18</v>
      </c>
      <c r="I4364" t="str">
        <f>"CHRISTOPHER MICHAEL PEREZ"</f>
        <v>CHRISTOPHER MICHAEL PEREZ</v>
      </c>
    </row>
    <row r="4365" spans="1:9" x14ac:dyDescent="0.25">
      <c r="A4365" s="6">
        <v>43320</v>
      </c>
      <c r="B4365" t="s">
        <v>26</v>
      </c>
      <c r="C4365">
        <v>58492</v>
      </c>
      <c r="D4365" t="s">
        <v>470</v>
      </c>
      <c r="E4365" s="7">
        <v>80</v>
      </c>
      <c r="F4365" t="s">
        <v>20</v>
      </c>
      <c r="G4365" t="s">
        <v>21</v>
      </c>
      <c r="H4365" t="str">
        <f>"8/4/18"</f>
        <v>8/4/18</v>
      </c>
      <c r="I4365" t="str">
        <f>"ALYSSA MONTOYA"</f>
        <v>ALYSSA MONTOYA</v>
      </c>
    </row>
    <row r="4366" spans="1:9" x14ac:dyDescent="0.25">
      <c r="A4366" s="6">
        <v>43321</v>
      </c>
      <c r="B4366" t="s">
        <v>26</v>
      </c>
      <c r="C4366">
        <v>58493</v>
      </c>
      <c r="D4366" t="s">
        <v>223</v>
      </c>
      <c r="E4366" s="7">
        <v>75</v>
      </c>
      <c r="F4366" t="s">
        <v>20</v>
      </c>
      <c r="G4366" t="s">
        <v>21</v>
      </c>
      <c r="H4366" t="str">
        <f>"82018-COUNCIL"</f>
        <v>82018-COUNCIL</v>
      </c>
      <c r="I4366" t="str">
        <f>""</f>
        <v/>
      </c>
    </row>
    <row r="4367" spans="1:9" x14ac:dyDescent="0.25">
      <c r="A4367" s="6">
        <v>43321</v>
      </c>
      <c r="B4367" t="s">
        <v>26</v>
      </c>
      <c r="C4367">
        <v>58494</v>
      </c>
      <c r="D4367" t="s">
        <v>36</v>
      </c>
      <c r="E4367" s="7">
        <v>75</v>
      </c>
      <c r="F4367" t="s">
        <v>20</v>
      </c>
      <c r="G4367" t="s">
        <v>21</v>
      </c>
      <c r="H4367" t="str">
        <f>"82018-COUNCIL"</f>
        <v>82018-COUNCIL</v>
      </c>
      <c r="I4367" t="str">
        <f>""</f>
        <v/>
      </c>
    </row>
    <row r="4368" spans="1:9" x14ac:dyDescent="0.25">
      <c r="A4368" s="6">
        <v>43321</v>
      </c>
      <c r="B4368" t="s">
        <v>26</v>
      </c>
      <c r="C4368">
        <v>58495</v>
      </c>
      <c r="D4368" t="s">
        <v>37</v>
      </c>
      <c r="E4368" s="7">
        <v>75</v>
      </c>
      <c r="F4368" t="s">
        <v>20</v>
      </c>
      <c r="G4368" t="s">
        <v>21</v>
      </c>
      <c r="H4368" t="str">
        <f>"82018-COUNCIL"</f>
        <v>82018-COUNCIL</v>
      </c>
      <c r="I4368" t="str">
        <f>""</f>
        <v/>
      </c>
    </row>
    <row r="4369" spans="1:9" x14ac:dyDescent="0.25">
      <c r="A4369" s="6">
        <v>43321</v>
      </c>
      <c r="B4369" t="s">
        <v>26</v>
      </c>
      <c r="C4369">
        <v>58496</v>
      </c>
      <c r="D4369" t="s">
        <v>38</v>
      </c>
      <c r="E4369" s="7">
        <v>100</v>
      </c>
      <c r="F4369" t="s">
        <v>20</v>
      </c>
      <c r="G4369" t="s">
        <v>21</v>
      </c>
      <c r="H4369" t="str">
        <f>"82018-MAYOR"</f>
        <v>82018-MAYOR</v>
      </c>
      <c r="I4369" t="str">
        <f>""</f>
        <v/>
      </c>
    </row>
    <row r="4370" spans="1:9" x14ac:dyDescent="0.25">
      <c r="A4370" s="6">
        <v>43321</v>
      </c>
      <c r="B4370" t="s">
        <v>26</v>
      </c>
      <c r="C4370">
        <v>58497</v>
      </c>
      <c r="D4370" t="s">
        <v>39</v>
      </c>
      <c r="E4370" s="7">
        <v>75</v>
      </c>
      <c r="F4370" t="s">
        <v>20</v>
      </c>
      <c r="G4370" t="s">
        <v>21</v>
      </c>
      <c r="H4370" t="str">
        <f>"82018-COUNCIL"</f>
        <v>82018-COUNCIL</v>
      </c>
      <c r="I4370" t="str">
        <f>""</f>
        <v/>
      </c>
    </row>
    <row r="4371" spans="1:9" x14ac:dyDescent="0.25">
      <c r="A4371" s="6">
        <v>43321</v>
      </c>
      <c r="B4371" t="s">
        <v>26</v>
      </c>
      <c r="C4371">
        <v>58498</v>
      </c>
      <c r="D4371" t="s">
        <v>40</v>
      </c>
      <c r="E4371" s="7">
        <v>75</v>
      </c>
      <c r="F4371" t="s">
        <v>20</v>
      </c>
      <c r="G4371" t="s">
        <v>21</v>
      </c>
      <c r="H4371" t="str">
        <f>"82018-COUNCIL"</f>
        <v>82018-COUNCIL</v>
      </c>
      <c r="I4371" t="str">
        <f>""</f>
        <v/>
      </c>
    </row>
    <row r="4372" spans="1:9" x14ac:dyDescent="0.25">
      <c r="A4372" s="6">
        <v>43321</v>
      </c>
      <c r="B4372" t="s">
        <v>26</v>
      </c>
      <c r="C4372">
        <v>58499</v>
      </c>
      <c r="D4372" t="s">
        <v>57</v>
      </c>
      <c r="E4372" s="7">
        <v>9213.11</v>
      </c>
      <c r="F4372" t="s">
        <v>20</v>
      </c>
      <c r="G4372" t="s">
        <v>21</v>
      </c>
      <c r="H4372" t="str">
        <f>"8.24.18"</f>
        <v>8.24.18</v>
      </c>
      <c r="I4372" t="str">
        <f>"F.E.L.P.S."</f>
        <v>F.E.L.P.S.</v>
      </c>
    </row>
    <row r="4373" spans="1:9" x14ac:dyDescent="0.25">
      <c r="A4373" s="6">
        <v>43321</v>
      </c>
      <c r="B4373" t="s">
        <v>26</v>
      </c>
      <c r="C4373">
        <v>58500</v>
      </c>
      <c r="D4373" t="s">
        <v>169</v>
      </c>
      <c r="E4373" s="7">
        <v>17.489999999999998</v>
      </c>
      <c r="F4373" t="s">
        <v>20</v>
      </c>
      <c r="G4373" t="s">
        <v>21</v>
      </c>
      <c r="H4373" t="str">
        <f>"108579"</f>
        <v>108579</v>
      </c>
      <c r="I4373" t="str">
        <f>"THE POLICE AND SHERIFFS PRESS"</f>
        <v>THE POLICE AND SHERIFFS PRESS</v>
      </c>
    </row>
    <row r="4374" spans="1:9" x14ac:dyDescent="0.25">
      <c r="A4374" s="6">
        <v>43321</v>
      </c>
      <c r="B4374" t="s">
        <v>26</v>
      </c>
      <c r="C4374">
        <v>58501</v>
      </c>
      <c r="D4374" t="s">
        <v>63</v>
      </c>
      <c r="E4374" s="7">
        <v>107.17</v>
      </c>
      <c r="F4374" t="s">
        <v>20</v>
      </c>
      <c r="G4374" t="s">
        <v>21</v>
      </c>
      <c r="H4374" t="str">
        <f>"*8403756953"</f>
        <v>*8403756953</v>
      </c>
      <c r="I4374" t="str">
        <f>"CINTAS CORPORATION"</f>
        <v>CINTAS CORPORATION</v>
      </c>
    </row>
    <row r="4375" spans="1:9" x14ac:dyDescent="0.25">
      <c r="A4375" s="6">
        <v>43321</v>
      </c>
      <c r="B4375" t="s">
        <v>26</v>
      </c>
      <c r="C4375">
        <v>58502</v>
      </c>
      <c r="D4375" t="s">
        <v>67</v>
      </c>
      <c r="E4375" s="7">
        <v>595.54</v>
      </c>
      <c r="F4375" t="s">
        <v>20</v>
      </c>
      <c r="G4375" t="s">
        <v>21</v>
      </c>
      <c r="H4375" t="str">
        <f>"JUNE/JULY"</f>
        <v>JUNE/JULY</v>
      </c>
      <c r="I4375" t="str">
        <f>"ANYTIME FITNESS"</f>
        <v>ANYTIME FITNESS</v>
      </c>
    </row>
    <row r="4376" spans="1:9" x14ac:dyDescent="0.25">
      <c r="A4376" s="6">
        <v>43321</v>
      </c>
      <c r="B4376" t="s">
        <v>26</v>
      </c>
      <c r="C4376">
        <v>58503</v>
      </c>
      <c r="D4376" t="s">
        <v>70</v>
      </c>
      <c r="E4376" s="7">
        <v>72.95</v>
      </c>
      <c r="F4376" t="s">
        <v>20</v>
      </c>
      <c r="G4376" t="s">
        <v>21</v>
      </c>
      <c r="H4376" t="str">
        <f>"A991159"</f>
        <v>A991159</v>
      </c>
      <c r="I4376" t="str">
        <f>"TEXAS WIRED MUSIC  INC."</f>
        <v>TEXAS WIRED MUSIC  INC.</v>
      </c>
    </row>
    <row r="4377" spans="1:9" x14ac:dyDescent="0.25">
      <c r="A4377" s="6">
        <v>43321</v>
      </c>
      <c r="B4377" t="s">
        <v>26</v>
      </c>
      <c r="C4377">
        <v>58504</v>
      </c>
      <c r="D4377" t="s">
        <v>29</v>
      </c>
      <c r="E4377" s="7">
        <v>14724.76</v>
      </c>
      <c r="F4377" t="s">
        <v>20</v>
      </c>
      <c r="G4377" t="s">
        <v>21</v>
      </c>
      <c r="H4377" t="str">
        <f>"32494"</f>
        <v>32494</v>
      </c>
      <c r="I4377" t="str">
        <f>"M &amp; S ENGINEERING  LLC"</f>
        <v>M &amp; S ENGINEERING  LLC</v>
      </c>
    </row>
    <row r="4378" spans="1:9" x14ac:dyDescent="0.25">
      <c r="A4378" s="6">
        <v>43321</v>
      </c>
      <c r="B4378" t="s">
        <v>26</v>
      </c>
      <c r="C4378">
        <v>58505</v>
      </c>
      <c r="D4378" t="s">
        <v>71</v>
      </c>
      <c r="E4378" s="7">
        <v>923.37</v>
      </c>
      <c r="F4378" t="s">
        <v>20</v>
      </c>
      <c r="G4378" t="s">
        <v>21</v>
      </c>
      <c r="H4378" t="str">
        <f>"07168681"</f>
        <v>07168681</v>
      </c>
      <c r="I4378" t="str">
        <f>"CINTAS CORPORATION #087"</f>
        <v>CINTAS CORPORATION #087</v>
      </c>
    </row>
    <row r="4379" spans="1:9" x14ac:dyDescent="0.25">
      <c r="E4379" s="7"/>
      <c r="F4379" t="s">
        <v>20</v>
      </c>
      <c r="G4379" t="s">
        <v>21</v>
      </c>
      <c r="H4379" t="str">
        <f>"087167302"</f>
        <v>087167302</v>
      </c>
      <c r="I4379" t="str">
        <f>"CINTAS CORPORATION #087"</f>
        <v>CINTAS CORPORATION #087</v>
      </c>
    </row>
    <row r="4380" spans="1:9" x14ac:dyDescent="0.25">
      <c r="E4380" s="7"/>
      <c r="F4380" t="s">
        <v>20</v>
      </c>
      <c r="G4380" t="s">
        <v>21</v>
      </c>
      <c r="H4380" t="str">
        <f>"087171245"</f>
        <v>087171245</v>
      </c>
      <c r="I4380" t="str">
        <f>"CINTAS CORPORATION #087"</f>
        <v>CINTAS CORPORATION #087</v>
      </c>
    </row>
    <row r="4381" spans="1:9" x14ac:dyDescent="0.25">
      <c r="E4381" s="7"/>
      <c r="F4381" t="s">
        <v>20</v>
      </c>
      <c r="G4381" t="s">
        <v>21</v>
      </c>
      <c r="H4381" t="str">
        <f>"087175144"</f>
        <v>087175144</v>
      </c>
      <c r="I4381" t="str">
        <f>"CINTAS CORPORATION #087"</f>
        <v>CINTAS CORPORATION #087</v>
      </c>
    </row>
    <row r="4382" spans="1:9" x14ac:dyDescent="0.25">
      <c r="E4382" s="7"/>
      <c r="F4382" t="s">
        <v>20</v>
      </c>
      <c r="G4382" t="s">
        <v>21</v>
      </c>
      <c r="H4382" t="str">
        <f>"087179041"</f>
        <v>087179041</v>
      </c>
      <c r="I4382" t="str">
        <f>"CINTAS CORPORATION #087"</f>
        <v>CINTAS CORPORATION #087</v>
      </c>
    </row>
    <row r="4383" spans="1:9" x14ac:dyDescent="0.25">
      <c r="A4383" s="6">
        <v>43321</v>
      </c>
      <c r="B4383" t="s">
        <v>26</v>
      </c>
      <c r="C4383">
        <v>58507</v>
      </c>
      <c r="D4383" t="s">
        <v>122</v>
      </c>
      <c r="E4383" s="7">
        <v>80</v>
      </c>
      <c r="F4383" t="s">
        <v>20</v>
      </c>
      <c r="G4383" t="s">
        <v>21</v>
      </c>
      <c r="H4383" t="str">
        <f>"222825"</f>
        <v>222825</v>
      </c>
      <c r="I4383" t="str">
        <f>"VILLA TIRES"</f>
        <v>VILLA TIRES</v>
      </c>
    </row>
    <row r="4384" spans="1:9" x14ac:dyDescent="0.25">
      <c r="A4384" s="6">
        <v>43321</v>
      </c>
      <c r="B4384" t="s">
        <v>26</v>
      </c>
      <c r="C4384">
        <v>58508</v>
      </c>
      <c r="D4384" t="s">
        <v>205</v>
      </c>
      <c r="E4384" s="7">
        <v>487.5</v>
      </c>
      <c r="F4384" t="s">
        <v>20</v>
      </c>
      <c r="G4384" t="s">
        <v>21</v>
      </c>
      <c r="H4384" t="str">
        <f>"8/9/18"</f>
        <v>8/9/18</v>
      </c>
      <c r="I4384" t="str">
        <f>"SILVER EAGLE DISTRIBUTORS"</f>
        <v>SILVER EAGLE DISTRIBUTORS</v>
      </c>
    </row>
    <row r="4385" spans="1:9" x14ac:dyDescent="0.25">
      <c r="A4385" s="6">
        <v>43321</v>
      </c>
      <c r="B4385" t="s">
        <v>26</v>
      </c>
      <c r="C4385">
        <v>58509</v>
      </c>
      <c r="D4385" t="s">
        <v>77</v>
      </c>
      <c r="E4385" s="7">
        <v>680.65</v>
      </c>
      <c r="F4385" t="s">
        <v>20</v>
      </c>
      <c r="G4385" t="s">
        <v>21</v>
      </c>
      <c r="H4385" t="str">
        <f>"857001445-18"</f>
        <v>857001445-18</v>
      </c>
      <c r="I4385" t="str">
        <f>"DPC INDUSTRIES  INC."</f>
        <v>DPC INDUSTRIES  INC.</v>
      </c>
    </row>
    <row r="4386" spans="1:9" x14ac:dyDescent="0.25">
      <c r="E4386" s="7"/>
      <c r="F4386" t="s">
        <v>20</v>
      </c>
      <c r="G4386" t="s">
        <v>21</v>
      </c>
      <c r="H4386" t="str">
        <f>"857001446-18"</f>
        <v>857001446-18</v>
      </c>
      <c r="I4386" t="str">
        <f>"DPC INDUSTRIES  INC."</f>
        <v>DPC INDUSTRIES  INC.</v>
      </c>
    </row>
    <row r="4387" spans="1:9" x14ac:dyDescent="0.25">
      <c r="A4387" s="6">
        <v>43321</v>
      </c>
      <c r="B4387" t="s">
        <v>26</v>
      </c>
      <c r="C4387">
        <v>58510</v>
      </c>
      <c r="D4387" t="s">
        <v>125</v>
      </c>
      <c r="E4387" s="7">
        <v>600</v>
      </c>
      <c r="F4387" t="s">
        <v>20</v>
      </c>
      <c r="G4387" t="s">
        <v>21</v>
      </c>
      <c r="H4387" t="str">
        <f>"*18-0202"</f>
        <v>*18-0202</v>
      </c>
      <c r="I4387" t="str">
        <f>"INTREPID SURVEYING CORPORATION"</f>
        <v>INTREPID SURVEYING CORPORATION</v>
      </c>
    </row>
    <row r="4388" spans="1:9" x14ac:dyDescent="0.25">
      <c r="A4388" s="6">
        <v>43321</v>
      </c>
      <c r="B4388" t="s">
        <v>26</v>
      </c>
      <c r="C4388">
        <v>58511</v>
      </c>
      <c r="D4388" t="s">
        <v>157</v>
      </c>
      <c r="E4388" s="7">
        <v>331.2</v>
      </c>
      <c r="F4388" t="s">
        <v>20</v>
      </c>
      <c r="G4388" t="s">
        <v>21</v>
      </c>
      <c r="H4388" t="str">
        <f>"8/9/18"</f>
        <v>8/9/18</v>
      </c>
      <c r="I4388" t="str">
        <f>"GLAZIERS"</f>
        <v>GLAZIERS</v>
      </c>
    </row>
    <row r="4389" spans="1:9" x14ac:dyDescent="0.25">
      <c r="A4389" s="6">
        <v>43321</v>
      </c>
      <c r="B4389" t="s">
        <v>26</v>
      </c>
      <c r="C4389">
        <v>58512</v>
      </c>
      <c r="D4389" t="s">
        <v>127</v>
      </c>
      <c r="E4389" s="7">
        <v>67.5</v>
      </c>
      <c r="F4389" t="s">
        <v>20</v>
      </c>
      <c r="G4389" t="s">
        <v>21</v>
      </c>
      <c r="H4389" t="str">
        <f>"73276"</f>
        <v>73276</v>
      </c>
      <c r="I4389" t="str">
        <f>"A &amp; B COMMUNICATIONS"</f>
        <v>A &amp; B COMMUNICATIONS</v>
      </c>
    </row>
    <row r="4390" spans="1:9" x14ac:dyDescent="0.25">
      <c r="A4390" s="6">
        <v>43321</v>
      </c>
      <c r="B4390" t="s">
        <v>26</v>
      </c>
      <c r="C4390">
        <v>58513</v>
      </c>
      <c r="D4390" t="s">
        <v>266</v>
      </c>
      <c r="E4390" s="7">
        <v>413600</v>
      </c>
      <c r="F4390" t="s">
        <v>20</v>
      </c>
      <c r="G4390" t="s">
        <v>21</v>
      </c>
      <c r="H4390" t="str">
        <f>"201808098464"</f>
        <v>201808098464</v>
      </c>
      <c r="I4390" t="s">
        <v>498</v>
      </c>
    </row>
    <row r="4391" spans="1:9" x14ac:dyDescent="0.25">
      <c r="A4391" s="6">
        <v>43321</v>
      </c>
      <c r="B4391" t="s">
        <v>26</v>
      </c>
      <c r="C4391">
        <v>58514</v>
      </c>
      <c r="D4391" t="s">
        <v>499</v>
      </c>
      <c r="E4391" s="7">
        <v>299</v>
      </c>
      <c r="F4391" t="s">
        <v>20</v>
      </c>
      <c r="G4391" t="s">
        <v>21</v>
      </c>
      <c r="H4391" t="str">
        <f>"8/8/2018"</f>
        <v>8/8/2018</v>
      </c>
      <c r="I4391" t="str">
        <f>"RUTKOWSKI ENTERPRISE  LLC BLUE"</f>
        <v>RUTKOWSKI ENTERPRISE  LLC BLUE</v>
      </c>
    </row>
    <row r="4392" spans="1:9" x14ac:dyDescent="0.25">
      <c r="A4392" s="6">
        <v>43321</v>
      </c>
      <c r="B4392" t="s">
        <v>26</v>
      </c>
      <c r="C4392">
        <v>58515</v>
      </c>
      <c r="D4392" t="s">
        <v>123</v>
      </c>
      <c r="E4392" s="7">
        <v>2199.59</v>
      </c>
      <c r="F4392" t="s">
        <v>20</v>
      </c>
      <c r="G4392" t="s">
        <v>21</v>
      </c>
      <c r="H4392" t="str">
        <f>"167951891001"</f>
        <v>167951891001</v>
      </c>
      <c r="I4392" t="str">
        <f t="shared" ref="I4392:I4401" si="74">"OFFICE SUPPLIES"</f>
        <v>OFFICE SUPPLIES</v>
      </c>
    </row>
    <row r="4393" spans="1:9" x14ac:dyDescent="0.25">
      <c r="E4393" s="7"/>
      <c r="F4393" t="s">
        <v>20</v>
      </c>
      <c r="G4393" t="s">
        <v>21</v>
      </c>
      <c r="H4393" t="str">
        <f>"167951891002"</f>
        <v>167951891002</v>
      </c>
      <c r="I4393" t="str">
        <f t="shared" si="74"/>
        <v>OFFICE SUPPLIES</v>
      </c>
    </row>
    <row r="4394" spans="1:9" x14ac:dyDescent="0.25">
      <c r="E4394" s="7"/>
      <c r="F4394" t="s">
        <v>20</v>
      </c>
      <c r="G4394" t="s">
        <v>21</v>
      </c>
      <c r="H4394" t="str">
        <f>"167954273001"</f>
        <v>167954273001</v>
      </c>
      <c r="I4394" t="str">
        <f t="shared" si="74"/>
        <v>OFFICE SUPPLIES</v>
      </c>
    </row>
    <row r="4395" spans="1:9" x14ac:dyDescent="0.25">
      <c r="E4395" s="7"/>
      <c r="F4395" t="s">
        <v>20</v>
      </c>
      <c r="G4395" t="s">
        <v>21</v>
      </c>
      <c r="H4395" t="str">
        <f>"167954276001"</f>
        <v>167954276001</v>
      </c>
      <c r="I4395" t="str">
        <f t="shared" si="74"/>
        <v>OFFICE SUPPLIES</v>
      </c>
    </row>
    <row r="4396" spans="1:9" x14ac:dyDescent="0.25">
      <c r="E4396" s="7"/>
      <c r="F4396" t="s">
        <v>20</v>
      </c>
      <c r="G4396" t="s">
        <v>21</v>
      </c>
      <c r="H4396" t="str">
        <f>"167954277001"</f>
        <v>167954277001</v>
      </c>
      <c r="I4396" t="str">
        <f t="shared" si="74"/>
        <v>OFFICE SUPPLIES</v>
      </c>
    </row>
    <row r="4397" spans="1:9" x14ac:dyDescent="0.25">
      <c r="E4397" s="7"/>
      <c r="F4397" t="s">
        <v>20</v>
      </c>
      <c r="G4397" t="s">
        <v>21</v>
      </c>
      <c r="H4397" t="str">
        <f>"167954278001"</f>
        <v>167954278001</v>
      </c>
      <c r="I4397" t="str">
        <f t="shared" si="74"/>
        <v>OFFICE SUPPLIES</v>
      </c>
    </row>
    <row r="4398" spans="1:9" x14ac:dyDescent="0.25">
      <c r="E4398" s="7"/>
      <c r="F4398" t="s">
        <v>20</v>
      </c>
      <c r="G4398" t="s">
        <v>21</v>
      </c>
      <c r="H4398" t="str">
        <f>"167954279001"</f>
        <v>167954279001</v>
      </c>
      <c r="I4398" t="str">
        <f t="shared" si="74"/>
        <v>OFFICE SUPPLIES</v>
      </c>
    </row>
    <row r="4399" spans="1:9" x14ac:dyDescent="0.25">
      <c r="E4399" s="7"/>
      <c r="F4399" t="s">
        <v>20</v>
      </c>
      <c r="G4399" t="s">
        <v>21</v>
      </c>
      <c r="H4399" t="str">
        <f>"167954281001"</f>
        <v>167954281001</v>
      </c>
      <c r="I4399" t="str">
        <f t="shared" si="74"/>
        <v>OFFICE SUPPLIES</v>
      </c>
    </row>
    <row r="4400" spans="1:9" x14ac:dyDescent="0.25">
      <c r="E4400" s="7"/>
      <c r="F4400" t="s">
        <v>20</v>
      </c>
      <c r="G4400" t="s">
        <v>21</v>
      </c>
      <c r="H4400" t="str">
        <f>"167954282001"</f>
        <v>167954282001</v>
      </c>
      <c r="I4400" t="str">
        <f t="shared" si="74"/>
        <v>OFFICE SUPPLIES</v>
      </c>
    </row>
    <row r="4401" spans="1:9" x14ac:dyDescent="0.25">
      <c r="E4401" s="7"/>
      <c r="F4401" t="s">
        <v>20</v>
      </c>
      <c r="G4401" t="s">
        <v>21</v>
      </c>
      <c r="H4401" t="str">
        <f>"167954283001"</f>
        <v>167954283001</v>
      </c>
      <c r="I4401" t="str">
        <f t="shared" si="74"/>
        <v>OFFICE SUPPLIES</v>
      </c>
    </row>
    <row r="4402" spans="1:9" x14ac:dyDescent="0.25">
      <c r="A4402" s="6">
        <v>43321</v>
      </c>
      <c r="B4402" t="s">
        <v>26</v>
      </c>
      <c r="C4402">
        <v>58520</v>
      </c>
      <c r="D4402" t="s">
        <v>500</v>
      </c>
      <c r="E4402" s="7">
        <v>203.99</v>
      </c>
      <c r="F4402" t="s">
        <v>20</v>
      </c>
      <c r="G4402" t="s">
        <v>21</v>
      </c>
      <c r="H4402" t="str">
        <f>"105504599"</f>
        <v>105504599</v>
      </c>
      <c r="I4402" t="str">
        <f>"TABLECLOTH"</f>
        <v>TABLECLOTH</v>
      </c>
    </row>
    <row r="4403" spans="1:9" x14ac:dyDescent="0.25">
      <c r="A4403" s="6">
        <v>43327</v>
      </c>
      <c r="B4403" t="s">
        <v>26</v>
      </c>
      <c r="C4403">
        <v>58550</v>
      </c>
      <c r="D4403" t="s">
        <v>51</v>
      </c>
      <c r="E4403" s="7">
        <v>290.89999999999998</v>
      </c>
      <c r="F4403" t="s">
        <v>20</v>
      </c>
      <c r="G4403" t="s">
        <v>21</v>
      </c>
      <c r="H4403" t="str">
        <f>"CLE201808158466"</f>
        <v>CLE201808158466</v>
      </c>
      <c r="I4403" t="str">
        <f>"CLEAT ONLY DUES"</f>
        <v>CLEAT ONLY DUES</v>
      </c>
    </row>
    <row r="4404" spans="1:9" x14ac:dyDescent="0.25">
      <c r="E4404" s="7"/>
      <c r="F4404" t="s">
        <v>20</v>
      </c>
      <c r="G4404" t="s">
        <v>21</v>
      </c>
      <c r="H4404" t="str">
        <f>"PDD201808158466"</f>
        <v>PDD201808158466</v>
      </c>
      <c r="I4404" t="str">
        <f>"POLICE OFFICERS ASSOC DUES"</f>
        <v>POLICE OFFICERS ASSOC DUES</v>
      </c>
    </row>
    <row r="4405" spans="1:9" x14ac:dyDescent="0.25">
      <c r="A4405" s="6">
        <v>43327</v>
      </c>
      <c r="B4405" t="s">
        <v>91</v>
      </c>
      <c r="C4405">
        <v>58551</v>
      </c>
      <c r="D4405" t="s">
        <v>90</v>
      </c>
      <c r="E4405" s="7">
        <v>101.1</v>
      </c>
      <c r="F4405" t="s">
        <v>20</v>
      </c>
      <c r="G4405" t="s">
        <v>21</v>
      </c>
      <c r="H4405" t="str">
        <f>"AFS201808158466"</f>
        <v>AFS201808158466</v>
      </c>
      <c r="I4405" t="str">
        <f>"AFLAC STD"</f>
        <v>AFLAC STD</v>
      </c>
    </row>
    <row r="4406" spans="1:9" x14ac:dyDescent="0.25">
      <c r="A4406" s="6">
        <v>43327</v>
      </c>
      <c r="B4406" t="s">
        <v>26</v>
      </c>
      <c r="C4406">
        <v>58552</v>
      </c>
      <c r="D4406" t="s">
        <v>52</v>
      </c>
      <c r="E4406" s="7">
        <v>1294.68</v>
      </c>
      <c r="F4406" t="s">
        <v>20</v>
      </c>
      <c r="G4406" t="s">
        <v>21</v>
      </c>
      <c r="H4406" t="str">
        <f>"CPS201808158466"</f>
        <v>CPS201808158466</v>
      </c>
      <c r="I4406" t="str">
        <f>"G MENDOZA 00123012032010EM5054"</f>
        <v>G MENDOZA 00123012032010EM5054</v>
      </c>
    </row>
    <row r="4407" spans="1:9" x14ac:dyDescent="0.25">
      <c r="E4407" s="7"/>
      <c r="F4407" t="s">
        <v>20</v>
      </c>
      <c r="G4407" t="s">
        <v>21</v>
      </c>
      <c r="H4407" t="str">
        <f>"CS 201808158466"</f>
        <v>CS 201808158466</v>
      </c>
      <c r="I4407" t="str">
        <f>"CAUSE#98EM504113 PEGGY RIVAS"</f>
        <v>CAUSE#98EM504113 PEGGY RIVAS</v>
      </c>
    </row>
    <row r="4408" spans="1:9" x14ac:dyDescent="0.25">
      <c r="E4408" s="7"/>
      <c r="F4408" t="s">
        <v>20</v>
      </c>
      <c r="G4408" t="s">
        <v>21</v>
      </c>
      <c r="H4408" t="str">
        <f>"CSJ201808158466"</f>
        <v>CSJ201808158466</v>
      </c>
      <c r="I4408" t="str">
        <f>"CAUSE# 0010185272 MARIANN GUTI"</f>
        <v>CAUSE# 0010185272 MARIANN GUTI</v>
      </c>
    </row>
    <row r="4409" spans="1:9" x14ac:dyDescent="0.25">
      <c r="E4409" s="7"/>
      <c r="F4409" t="s">
        <v>20</v>
      </c>
      <c r="G4409" t="s">
        <v>21</v>
      </c>
      <c r="H4409" t="str">
        <f>"CST201808158466"</f>
        <v>CST201808158466</v>
      </c>
      <c r="I4409" t="str">
        <f>"CAUSE #0009418917 SONIA PEREZ"</f>
        <v>CAUSE #0009418917 SONIA PEREZ</v>
      </c>
    </row>
    <row r="4410" spans="1:9" x14ac:dyDescent="0.25">
      <c r="A4410" s="6">
        <v>43327</v>
      </c>
      <c r="B4410" t="s">
        <v>26</v>
      </c>
      <c r="C4410">
        <v>58553</v>
      </c>
      <c r="D4410" t="s">
        <v>53</v>
      </c>
      <c r="E4410" s="7">
        <v>99.1</v>
      </c>
      <c r="F4410" t="s">
        <v>20</v>
      </c>
      <c r="G4410" t="s">
        <v>21</v>
      </c>
      <c r="H4410" t="str">
        <f>"MCO201808158466"</f>
        <v>MCO201808158466</v>
      </c>
      <c r="I4410" t="str">
        <f>"MONICA CORDOVA"</f>
        <v>MONICA CORDOVA</v>
      </c>
    </row>
    <row r="4411" spans="1:9" x14ac:dyDescent="0.25">
      <c r="A4411" s="6">
        <v>43327</v>
      </c>
      <c r="B4411" t="s">
        <v>26</v>
      </c>
      <c r="C4411">
        <v>58554</v>
      </c>
      <c r="D4411" t="s">
        <v>54</v>
      </c>
      <c r="E4411" s="7">
        <v>977.1</v>
      </c>
      <c r="F4411" t="s">
        <v>20</v>
      </c>
      <c r="G4411" t="s">
        <v>21</v>
      </c>
      <c r="H4411" t="str">
        <f>"457201808158466"</f>
        <v>457201808158466</v>
      </c>
      <c r="I4411" t="str">
        <f>"CASE # 180-60751 457B DEDUCT"</f>
        <v>CASE # 180-60751 457B DEDUCT</v>
      </c>
    </row>
    <row r="4412" spans="1:9" x14ac:dyDescent="0.25">
      <c r="A4412" s="6">
        <v>43328</v>
      </c>
      <c r="B4412" t="s">
        <v>26</v>
      </c>
      <c r="C4412">
        <v>58555</v>
      </c>
      <c r="D4412" t="s">
        <v>341</v>
      </c>
      <c r="E4412" s="7">
        <v>70</v>
      </c>
      <c r="F4412" t="s">
        <v>20</v>
      </c>
      <c r="G4412" t="s">
        <v>21</v>
      </c>
      <c r="H4412" t="str">
        <f>"8/16/18"</f>
        <v>8/16/18</v>
      </c>
      <c r="I4412" t="str">
        <f>"JUANITA MONTOYA"</f>
        <v>JUANITA MONTOYA</v>
      </c>
    </row>
    <row r="4413" spans="1:9" x14ac:dyDescent="0.25">
      <c r="A4413" s="6">
        <v>43328</v>
      </c>
      <c r="B4413" t="s">
        <v>26</v>
      </c>
      <c r="C4413">
        <v>58556</v>
      </c>
      <c r="D4413" t="s">
        <v>372</v>
      </c>
      <c r="E4413" s="7">
        <v>70</v>
      </c>
      <c r="F4413" t="s">
        <v>20</v>
      </c>
      <c r="G4413" t="s">
        <v>21</v>
      </c>
      <c r="H4413" t="str">
        <f>"8/16/18"</f>
        <v>8/16/18</v>
      </c>
      <c r="I4413" t="str">
        <f>"MICHELLE DOLBERRY"</f>
        <v>MICHELLE DOLBERRY</v>
      </c>
    </row>
    <row r="4414" spans="1:9" x14ac:dyDescent="0.25">
      <c r="A4414" s="6">
        <v>43328</v>
      </c>
      <c r="B4414" t="s">
        <v>26</v>
      </c>
      <c r="C4414">
        <v>58557</v>
      </c>
      <c r="D4414" t="s">
        <v>207</v>
      </c>
      <c r="E4414" s="7">
        <v>252</v>
      </c>
      <c r="F4414" t="s">
        <v>20</v>
      </c>
      <c r="G4414" t="s">
        <v>21</v>
      </c>
      <c r="H4414" t="str">
        <f>"4930"</f>
        <v>4930</v>
      </c>
      <c r="I4414" t="str">
        <f>"MAD DESIGNS"</f>
        <v>MAD DESIGNS</v>
      </c>
    </row>
    <row r="4415" spans="1:9" x14ac:dyDescent="0.25">
      <c r="A4415" s="6">
        <v>43328</v>
      </c>
      <c r="B4415" t="s">
        <v>26</v>
      </c>
      <c r="C4415">
        <v>58558</v>
      </c>
      <c r="D4415" t="s">
        <v>345</v>
      </c>
      <c r="E4415" s="7">
        <v>429</v>
      </c>
      <c r="F4415" t="s">
        <v>20</v>
      </c>
      <c r="G4415" t="s">
        <v>21</v>
      </c>
      <c r="H4415" t="str">
        <f>"8/16/18"</f>
        <v>8/16/18</v>
      </c>
      <c r="I4415" t="str">
        <f>""</f>
        <v/>
      </c>
    </row>
    <row r="4416" spans="1:9" x14ac:dyDescent="0.25">
      <c r="A4416" s="6">
        <v>43328</v>
      </c>
      <c r="B4416" t="s">
        <v>26</v>
      </c>
      <c r="C4416">
        <v>58559</v>
      </c>
      <c r="D4416" t="s">
        <v>142</v>
      </c>
      <c r="E4416" s="7">
        <v>310</v>
      </c>
      <c r="F4416" t="s">
        <v>20</v>
      </c>
      <c r="G4416" t="s">
        <v>21</v>
      </c>
      <c r="H4416" t="str">
        <f>"4618116002"</f>
        <v>4618116002</v>
      </c>
      <c r="I4416" t="str">
        <f>"SPORTS MEDIA"</f>
        <v>SPORTS MEDIA</v>
      </c>
    </row>
    <row r="4417" spans="1:9" x14ac:dyDescent="0.25">
      <c r="A4417" s="6">
        <v>43328</v>
      </c>
      <c r="B4417" t="s">
        <v>26</v>
      </c>
      <c r="C4417">
        <v>58560</v>
      </c>
      <c r="D4417" t="s">
        <v>452</v>
      </c>
      <c r="E4417" s="7">
        <v>140</v>
      </c>
      <c r="F4417" t="s">
        <v>20</v>
      </c>
      <c r="G4417" t="s">
        <v>21</v>
      </c>
      <c r="H4417" t="str">
        <f>"8/16/18"</f>
        <v>8/16/18</v>
      </c>
      <c r="I4417" t="str">
        <f>"DESIREE PEREZ"</f>
        <v>DESIREE PEREZ</v>
      </c>
    </row>
    <row r="4418" spans="1:9" x14ac:dyDescent="0.25">
      <c r="E4418" s="7"/>
      <c r="F4418" t="s">
        <v>20</v>
      </c>
      <c r="G4418" t="s">
        <v>21</v>
      </c>
      <c r="H4418" t="str">
        <f>"8/16/18-AM"</f>
        <v>8/16/18-AM</v>
      </c>
      <c r="I4418" t="str">
        <f>"DESIREE PEREZ"</f>
        <v>DESIREE PEREZ</v>
      </c>
    </row>
    <row r="4419" spans="1:9" x14ac:dyDescent="0.25">
      <c r="A4419" s="6">
        <v>43328</v>
      </c>
      <c r="B4419" t="s">
        <v>26</v>
      </c>
      <c r="C4419">
        <v>58561</v>
      </c>
      <c r="D4419" t="s">
        <v>427</v>
      </c>
      <c r="E4419" s="7">
        <v>62.5</v>
      </c>
      <c r="F4419" t="s">
        <v>20</v>
      </c>
      <c r="G4419" t="s">
        <v>21</v>
      </c>
      <c r="H4419" t="str">
        <f>"8/16/18"</f>
        <v>8/16/18</v>
      </c>
      <c r="I4419" t="str">
        <f>"Alexandria Rene Palacios"</f>
        <v>Alexandria Rene Palacios</v>
      </c>
    </row>
    <row r="4420" spans="1:9" x14ac:dyDescent="0.25">
      <c r="A4420" s="6">
        <v>43328</v>
      </c>
      <c r="B4420" t="s">
        <v>91</v>
      </c>
      <c r="C4420">
        <v>58562</v>
      </c>
      <c r="D4420" t="s">
        <v>501</v>
      </c>
      <c r="E4420" s="7">
        <v>763</v>
      </c>
      <c r="F4420" t="s">
        <v>20</v>
      </c>
      <c r="G4420" t="s">
        <v>21</v>
      </c>
      <c r="H4420" t="str">
        <f>"39219611"</f>
        <v>39219611</v>
      </c>
      <c r="I4420" t="str">
        <f>"TRANE U.S. INC."</f>
        <v>TRANE U.S. INC.</v>
      </c>
    </row>
    <row r="4421" spans="1:9" x14ac:dyDescent="0.25">
      <c r="A4421" s="6">
        <v>43333</v>
      </c>
      <c r="B4421" t="s">
        <v>26</v>
      </c>
      <c r="C4421">
        <v>58563</v>
      </c>
      <c r="D4421" t="s">
        <v>102</v>
      </c>
      <c r="E4421" s="7">
        <v>111.8</v>
      </c>
      <c r="F4421" t="s">
        <v>20</v>
      </c>
      <c r="G4421" t="s">
        <v>21</v>
      </c>
      <c r="H4421" t="str">
        <f>"1/18/18-3"</f>
        <v>1/18/18-3</v>
      </c>
      <c r="I4421" t="str">
        <f>"CENTERPOINT ENERGY ENTEX"</f>
        <v>CENTERPOINT ENERGY ENTEX</v>
      </c>
    </row>
    <row r="4422" spans="1:9" x14ac:dyDescent="0.25">
      <c r="E4422" s="7"/>
      <c r="F4422" t="s">
        <v>20</v>
      </c>
      <c r="G4422" t="s">
        <v>21</v>
      </c>
      <c r="H4422" t="str">
        <f>"8/14/18"</f>
        <v>8/14/18</v>
      </c>
      <c r="I4422" t="str">
        <f>"CENTERPOINT ENERGY ENTEX"</f>
        <v>CENTERPOINT ENERGY ENTEX</v>
      </c>
    </row>
    <row r="4423" spans="1:9" x14ac:dyDescent="0.25">
      <c r="E4423" s="7"/>
      <c r="F4423" t="s">
        <v>20</v>
      </c>
      <c r="G4423" t="s">
        <v>21</v>
      </c>
      <c r="H4423" t="str">
        <f>"8/14/18-2"</f>
        <v>8/14/18-2</v>
      </c>
      <c r="I4423" t="str">
        <f>"CENTERPOINT ENERGY ENTEX"</f>
        <v>CENTERPOINT ENERGY ENTEX</v>
      </c>
    </row>
    <row r="4424" spans="1:9" x14ac:dyDescent="0.25">
      <c r="E4424" s="7"/>
      <c r="F4424" t="s">
        <v>20</v>
      </c>
      <c r="G4424" t="s">
        <v>21</v>
      </c>
      <c r="H4424" t="str">
        <f>"8/20/18"</f>
        <v>8/20/18</v>
      </c>
      <c r="I4424" t="str">
        <f>"CENTERPOINT ENERGY ENTEX"</f>
        <v>CENTERPOINT ENERGY ENTEX</v>
      </c>
    </row>
    <row r="4425" spans="1:9" x14ac:dyDescent="0.25">
      <c r="A4425" s="6">
        <v>43333</v>
      </c>
      <c r="B4425" t="s">
        <v>91</v>
      </c>
      <c r="C4425">
        <v>58564</v>
      </c>
      <c r="D4425" t="s">
        <v>57</v>
      </c>
      <c r="E4425" s="7">
        <v>421.69</v>
      </c>
      <c r="F4425" t="s">
        <v>20</v>
      </c>
      <c r="G4425" t="s">
        <v>21</v>
      </c>
      <c r="H4425" t="str">
        <f>"2126-1"</f>
        <v>2126-1</v>
      </c>
      <c r="I4425" t="str">
        <f>"F.E.L.P.S."</f>
        <v>F.E.L.P.S.</v>
      </c>
    </row>
    <row r="4426" spans="1:9" x14ac:dyDescent="0.25">
      <c r="E4426" s="7"/>
      <c r="F4426" t="s">
        <v>20</v>
      </c>
      <c r="G4426" t="s">
        <v>21</v>
      </c>
      <c r="H4426" t="str">
        <f>"2126-2"</f>
        <v>2126-2</v>
      </c>
      <c r="I4426" t="str">
        <f>"F.E.L.P.S."</f>
        <v>F.E.L.P.S.</v>
      </c>
    </row>
    <row r="4427" spans="1:9" x14ac:dyDescent="0.25">
      <c r="A4427" s="6">
        <v>43333</v>
      </c>
      <c r="B4427" t="s">
        <v>91</v>
      </c>
      <c r="C4427">
        <v>58564</v>
      </c>
      <c r="D4427" t="s">
        <v>57</v>
      </c>
      <c r="E4427" s="7">
        <v>421.69</v>
      </c>
      <c r="F4427" t="s">
        <v>20</v>
      </c>
      <c r="G4427" t="s">
        <v>93</v>
      </c>
      <c r="H4427" t="str">
        <f>"CHECK"</f>
        <v>CHECK</v>
      </c>
      <c r="I4427" t="str">
        <f>""</f>
        <v/>
      </c>
    </row>
    <row r="4428" spans="1:9" x14ac:dyDescent="0.25">
      <c r="A4428" s="6">
        <v>43333</v>
      </c>
      <c r="B4428" t="s">
        <v>26</v>
      </c>
      <c r="C4428">
        <v>58565</v>
      </c>
      <c r="D4428" t="s">
        <v>59</v>
      </c>
      <c r="E4428" s="7">
        <v>4101.9399999999996</v>
      </c>
      <c r="F4428" t="s">
        <v>20</v>
      </c>
      <c r="G4428" t="s">
        <v>21</v>
      </c>
      <c r="H4428" t="str">
        <f>"0948401"</f>
        <v>0948401</v>
      </c>
      <c r="I4428" t="str">
        <f>"FERGUSON WATERWORKS - MUNICIPA"</f>
        <v>FERGUSON WATERWORKS - MUNICIPA</v>
      </c>
    </row>
    <row r="4429" spans="1:9" x14ac:dyDescent="0.25">
      <c r="A4429" s="6">
        <v>43333</v>
      </c>
      <c r="B4429" t="s">
        <v>26</v>
      </c>
      <c r="C4429">
        <v>58566</v>
      </c>
      <c r="D4429" t="s">
        <v>250</v>
      </c>
      <c r="E4429" s="7">
        <v>176.04</v>
      </c>
      <c r="F4429" t="s">
        <v>20</v>
      </c>
      <c r="G4429" t="s">
        <v>21</v>
      </c>
      <c r="H4429" t="str">
        <f>"C112371"</f>
        <v>C112371</v>
      </c>
      <c r="I4429" t="str">
        <f>"MATERA PAPER CO  LTD."</f>
        <v>MATERA PAPER CO  LTD.</v>
      </c>
    </row>
    <row r="4430" spans="1:9" x14ac:dyDescent="0.25">
      <c r="A4430" s="6">
        <v>43333</v>
      </c>
      <c r="B4430" t="s">
        <v>26</v>
      </c>
      <c r="C4430">
        <v>58567</v>
      </c>
      <c r="D4430" t="s">
        <v>202</v>
      </c>
      <c r="E4430" s="7">
        <v>1456.38</v>
      </c>
      <c r="F4430" t="s">
        <v>20</v>
      </c>
      <c r="G4430" t="s">
        <v>21</v>
      </c>
      <c r="H4430" t="str">
        <f>"279647"</f>
        <v>279647</v>
      </c>
      <c r="I4430" t="str">
        <f>"VULCAN CONSTRUCTION MATERIALS"</f>
        <v>VULCAN CONSTRUCTION MATERIALS</v>
      </c>
    </row>
    <row r="4431" spans="1:9" x14ac:dyDescent="0.25">
      <c r="E4431" s="7"/>
      <c r="F4431" t="s">
        <v>20</v>
      </c>
      <c r="G4431" t="s">
        <v>21</v>
      </c>
      <c r="H4431" t="str">
        <f>"279650"</f>
        <v>279650</v>
      </c>
      <c r="I4431" t="str">
        <f>"VULCAN CONSTRUCTION MATERIALS"</f>
        <v>VULCAN CONSTRUCTION MATERIALS</v>
      </c>
    </row>
    <row r="4432" spans="1:9" x14ac:dyDescent="0.25">
      <c r="A4432" s="6">
        <v>43333</v>
      </c>
      <c r="B4432" t="s">
        <v>26</v>
      </c>
      <c r="C4432">
        <v>58568</v>
      </c>
      <c r="D4432" t="s">
        <v>180</v>
      </c>
      <c r="E4432" s="7">
        <v>41.94</v>
      </c>
      <c r="F4432" t="s">
        <v>20</v>
      </c>
      <c r="G4432" t="s">
        <v>21</v>
      </c>
      <c r="H4432" t="str">
        <f>"118442"</f>
        <v>118442</v>
      </c>
      <c r="I4432" t="str">
        <f>"DITTMAR LUMBER CO."</f>
        <v>DITTMAR LUMBER CO.</v>
      </c>
    </row>
    <row r="4433" spans="1:9" x14ac:dyDescent="0.25">
      <c r="A4433" s="6">
        <v>43333</v>
      </c>
      <c r="B4433" t="s">
        <v>26</v>
      </c>
      <c r="C4433">
        <v>58569</v>
      </c>
      <c r="D4433" t="s">
        <v>110</v>
      </c>
      <c r="E4433" s="7">
        <v>9105.9599999999991</v>
      </c>
      <c r="F4433" t="s">
        <v>20</v>
      </c>
      <c r="G4433" t="s">
        <v>21</v>
      </c>
      <c r="H4433" t="str">
        <f>"1426952"</f>
        <v>1426952</v>
      </c>
      <c r="I4433" t="str">
        <f t="shared" ref="I4433:I4447" si="75">"BUREAU VERITAS NORTH AMERICA"</f>
        <v>BUREAU VERITAS NORTH AMERICA</v>
      </c>
    </row>
    <row r="4434" spans="1:9" x14ac:dyDescent="0.25">
      <c r="E4434" s="7"/>
      <c r="F4434" t="s">
        <v>20</v>
      </c>
      <c r="G4434" t="s">
        <v>21</v>
      </c>
      <c r="H4434" t="str">
        <f>"1426953"</f>
        <v>1426953</v>
      </c>
      <c r="I4434" t="str">
        <f t="shared" si="75"/>
        <v>BUREAU VERITAS NORTH AMERICA</v>
      </c>
    </row>
    <row r="4435" spans="1:9" x14ac:dyDescent="0.25">
      <c r="E4435" s="7"/>
      <c r="F4435" t="s">
        <v>20</v>
      </c>
      <c r="G4435" t="s">
        <v>21</v>
      </c>
      <c r="H4435" t="str">
        <f>"1426955"</f>
        <v>1426955</v>
      </c>
      <c r="I4435" t="str">
        <f t="shared" si="75"/>
        <v>BUREAU VERITAS NORTH AMERICA</v>
      </c>
    </row>
    <row r="4436" spans="1:9" x14ac:dyDescent="0.25">
      <c r="E4436" s="7"/>
      <c r="F4436" t="s">
        <v>20</v>
      </c>
      <c r="G4436" t="s">
        <v>21</v>
      </c>
      <c r="H4436" t="str">
        <f>"1426956"</f>
        <v>1426956</v>
      </c>
      <c r="I4436" t="str">
        <f t="shared" si="75"/>
        <v>BUREAU VERITAS NORTH AMERICA</v>
      </c>
    </row>
    <row r="4437" spans="1:9" x14ac:dyDescent="0.25">
      <c r="E4437" s="7"/>
      <c r="F4437" t="s">
        <v>20</v>
      </c>
      <c r="G4437" t="s">
        <v>21</v>
      </c>
      <c r="H4437" t="str">
        <f>"1426957"</f>
        <v>1426957</v>
      </c>
      <c r="I4437" t="str">
        <f t="shared" si="75"/>
        <v>BUREAU VERITAS NORTH AMERICA</v>
      </c>
    </row>
    <row r="4438" spans="1:9" x14ac:dyDescent="0.25">
      <c r="E4438" s="7"/>
      <c r="F4438" t="s">
        <v>20</v>
      </c>
      <c r="G4438" t="s">
        <v>21</v>
      </c>
      <c r="H4438" t="str">
        <f>"1426958"</f>
        <v>1426958</v>
      </c>
      <c r="I4438" t="str">
        <f t="shared" si="75"/>
        <v>BUREAU VERITAS NORTH AMERICA</v>
      </c>
    </row>
    <row r="4439" spans="1:9" x14ac:dyDescent="0.25">
      <c r="E4439" s="7"/>
      <c r="F4439" t="s">
        <v>20</v>
      </c>
      <c r="G4439" t="s">
        <v>21</v>
      </c>
      <c r="H4439" t="str">
        <f>"1426959"</f>
        <v>1426959</v>
      </c>
      <c r="I4439" t="str">
        <f t="shared" si="75"/>
        <v>BUREAU VERITAS NORTH AMERICA</v>
      </c>
    </row>
    <row r="4440" spans="1:9" x14ac:dyDescent="0.25">
      <c r="E4440" s="7"/>
      <c r="F4440" t="s">
        <v>20</v>
      </c>
      <c r="G4440" t="s">
        <v>21</v>
      </c>
      <c r="H4440" t="str">
        <f>"1426960"</f>
        <v>1426960</v>
      </c>
      <c r="I4440" t="str">
        <f t="shared" si="75"/>
        <v>BUREAU VERITAS NORTH AMERICA</v>
      </c>
    </row>
    <row r="4441" spans="1:9" x14ac:dyDescent="0.25">
      <c r="E4441" s="7"/>
      <c r="F4441" t="s">
        <v>20</v>
      </c>
      <c r="G4441" t="s">
        <v>21</v>
      </c>
      <c r="H4441" t="str">
        <f>"1426961"</f>
        <v>1426961</v>
      </c>
      <c r="I4441" t="str">
        <f t="shared" si="75"/>
        <v>BUREAU VERITAS NORTH AMERICA</v>
      </c>
    </row>
    <row r="4442" spans="1:9" x14ac:dyDescent="0.25">
      <c r="E4442" s="7"/>
      <c r="F4442" t="s">
        <v>20</v>
      </c>
      <c r="G4442" t="s">
        <v>21</v>
      </c>
      <c r="H4442" t="str">
        <f>"1426962"</f>
        <v>1426962</v>
      </c>
      <c r="I4442" t="str">
        <f t="shared" si="75"/>
        <v>BUREAU VERITAS NORTH AMERICA</v>
      </c>
    </row>
    <row r="4443" spans="1:9" x14ac:dyDescent="0.25">
      <c r="E4443" s="7"/>
      <c r="F4443" t="s">
        <v>20</v>
      </c>
      <c r="G4443" t="s">
        <v>21</v>
      </c>
      <c r="H4443" t="str">
        <f>"1426963"</f>
        <v>1426963</v>
      </c>
      <c r="I4443" t="str">
        <f t="shared" si="75"/>
        <v>BUREAU VERITAS NORTH AMERICA</v>
      </c>
    </row>
    <row r="4444" spans="1:9" x14ac:dyDescent="0.25">
      <c r="E4444" s="7"/>
      <c r="F4444" t="s">
        <v>20</v>
      </c>
      <c r="G4444" t="s">
        <v>21</v>
      </c>
      <c r="H4444" t="str">
        <f>"1426964"</f>
        <v>1426964</v>
      </c>
      <c r="I4444" t="str">
        <f t="shared" si="75"/>
        <v>BUREAU VERITAS NORTH AMERICA</v>
      </c>
    </row>
    <row r="4445" spans="1:9" x14ac:dyDescent="0.25">
      <c r="E4445" s="7"/>
      <c r="F4445" t="s">
        <v>20</v>
      </c>
      <c r="G4445" t="s">
        <v>21</v>
      </c>
      <c r="H4445" t="str">
        <f>"1426966"</f>
        <v>1426966</v>
      </c>
      <c r="I4445" t="str">
        <f t="shared" si="75"/>
        <v>BUREAU VERITAS NORTH AMERICA</v>
      </c>
    </row>
    <row r="4446" spans="1:9" x14ac:dyDescent="0.25">
      <c r="E4446" s="7"/>
      <c r="F4446" t="s">
        <v>20</v>
      </c>
      <c r="G4446" t="s">
        <v>21</v>
      </c>
      <c r="H4446" t="str">
        <f>"1426969"</f>
        <v>1426969</v>
      </c>
      <c r="I4446" t="str">
        <f t="shared" si="75"/>
        <v>BUREAU VERITAS NORTH AMERICA</v>
      </c>
    </row>
    <row r="4447" spans="1:9" x14ac:dyDescent="0.25">
      <c r="E4447" s="7"/>
      <c r="F4447" t="s">
        <v>20</v>
      </c>
      <c r="G4447" t="s">
        <v>21</v>
      </c>
      <c r="H4447" t="str">
        <f>"1426970"</f>
        <v>1426970</v>
      </c>
      <c r="I4447" t="str">
        <f t="shared" si="75"/>
        <v>BUREAU VERITAS NORTH AMERICA</v>
      </c>
    </row>
    <row r="4448" spans="1:9" x14ac:dyDescent="0.25">
      <c r="A4448" s="6">
        <v>43333</v>
      </c>
      <c r="B4448" t="s">
        <v>26</v>
      </c>
      <c r="C4448">
        <v>58572</v>
      </c>
      <c r="D4448" t="s">
        <v>340</v>
      </c>
      <c r="E4448" s="7">
        <v>588.79999999999995</v>
      </c>
      <c r="F4448" t="s">
        <v>20</v>
      </c>
      <c r="G4448" t="s">
        <v>21</v>
      </c>
      <c r="H4448" t="str">
        <f>"201808208468"</f>
        <v>201808208468</v>
      </c>
      <c r="I4448" t="str">
        <f>"O'REILLY AUTOMOTIVE  INC."</f>
        <v>O'REILLY AUTOMOTIVE  INC.</v>
      </c>
    </row>
    <row r="4449" spans="1:9" x14ac:dyDescent="0.25">
      <c r="E4449" s="7"/>
      <c r="F4449" t="s">
        <v>20</v>
      </c>
      <c r="G4449" t="s">
        <v>21</v>
      </c>
      <c r="H4449" t="str">
        <f>"201808208469"</f>
        <v>201808208469</v>
      </c>
      <c r="I4449" t="str">
        <f>"STARTER -PARKS"</f>
        <v>STARTER -PARKS</v>
      </c>
    </row>
    <row r="4450" spans="1:9" x14ac:dyDescent="0.25">
      <c r="E4450" s="7"/>
      <c r="F4450" t="s">
        <v>20</v>
      </c>
      <c r="G4450" t="s">
        <v>21</v>
      </c>
      <c r="H4450" t="str">
        <f>"201808208470"</f>
        <v>201808208470</v>
      </c>
      <c r="I4450" t="str">
        <f>"WW UNIT 104"</f>
        <v>WW UNIT 104</v>
      </c>
    </row>
    <row r="4451" spans="1:9" x14ac:dyDescent="0.25">
      <c r="E4451" s="7"/>
      <c r="F4451" t="s">
        <v>20</v>
      </c>
      <c r="G4451" t="s">
        <v>21</v>
      </c>
      <c r="H4451" t="str">
        <f>"201808208471"</f>
        <v>201808208471</v>
      </c>
      <c r="I4451" t="str">
        <f>"A/C HOSE"</f>
        <v>A/C HOSE</v>
      </c>
    </row>
    <row r="4452" spans="1:9" x14ac:dyDescent="0.25">
      <c r="A4452" s="6">
        <v>43333</v>
      </c>
      <c r="B4452" t="s">
        <v>91</v>
      </c>
      <c r="C4452">
        <v>58573</v>
      </c>
      <c r="D4452" t="s">
        <v>502</v>
      </c>
      <c r="E4452" s="7">
        <v>50</v>
      </c>
      <c r="F4452" t="s">
        <v>20</v>
      </c>
      <c r="G4452" t="s">
        <v>21</v>
      </c>
      <c r="H4452" t="str">
        <f>"REF PAV.8/4/18"</f>
        <v>REF PAV.8/4/18</v>
      </c>
      <c r="I4452" t="str">
        <f>"PAV REFUND"</f>
        <v>PAV REFUND</v>
      </c>
    </row>
    <row r="4453" spans="1:9" x14ac:dyDescent="0.25">
      <c r="A4453" s="6">
        <v>43333</v>
      </c>
      <c r="B4453" t="s">
        <v>26</v>
      </c>
      <c r="C4453">
        <v>58574</v>
      </c>
      <c r="D4453" t="s">
        <v>61</v>
      </c>
      <c r="E4453" s="7">
        <v>2500</v>
      </c>
      <c r="F4453" t="s">
        <v>20</v>
      </c>
      <c r="G4453" t="s">
        <v>21</v>
      </c>
      <c r="H4453" t="str">
        <f>"045-233966"</f>
        <v>045-233966</v>
      </c>
      <c r="I4453" t="str">
        <f>"TYLER TECHNOLOGIES  INC."</f>
        <v>TYLER TECHNOLOGIES  INC.</v>
      </c>
    </row>
    <row r="4454" spans="1:9" x14ac:dyDescent="0.25">
      <c r="A4454" s="6">
        <v>43333</v>
      </c>
      <c r="B4454" t="s">
        <v>26</v>
      </c>
      <c r="C4454">
        <v>58575</v>
      </c>
      <c r="D4454" t="s">
        <v>325</v>
      </c>
      <c r="E4454" s="7">
        <v>53.72</v>
      </c>
      <c r="F4454" t="s">
        <v>20</v>
      </c>
      <c r="G4454" t="s">
        <v>21</v>
      </c>
      <c r="H4454" t="str">
        <f>"2470001"</f>
        <v>2470001</v>
      </c>
      <c r="I4454" t="str">
        <f>"DSHS CENTRAL LAB MC2004"</f>
        <v>DSHS CENTRAL LAB MC2004</v>
      </c>
    </row>
    <row r="4455" spans="1:9" x14ac:dyDescent="0.25">
      <c r="A4455" s="6">
        <v>43333</v>
      </c>
      <c r="B4455" t="s">
        <v>26</v>
      </c>
      <c r="C4455">
        <v>58576</v>
      </c>
      <c r="D4455" t="s">
        <v>186</v>
      </c>
      <c r="E4455" s="7">
        <v>5957.83</v>
      </c>
      <c r="F4455" t="s">
        <v>20</v>
      </c>
      <c r="G4455" t="s">
        <v>21</v>
      </c>
      <c r="H4455" t="str">
        <f>"4TH QRT"</f>
        <v>4TH QRT</v>
      </c>
      <c r="I4455" t="str">
        <f>"WILSON COUNTY APPRAISAL DISTRI"</f>
        <v>WILSON COUNTY APPRAISAL DISTRI</v>
      </c>
    </row>
    <row r="4456" spans="1:9" x14ac:dyDescent="0.25">
      <c r="A4456" s="6">
        <v>43333</v>
      </c>
      <c r="B4456" t="s">
        <v>91</v>
      </c>
      <c r="C4456">
        <v>58577</v>
      </c>
      <c r="D4456" t="s">
        <v>486</v>
      </c>
      <c r="E4456" s="7">
        <v>38638.5</v>
      </c>
      <c r="F4456" t="s">
        <v>20</v>
      </c>
      <c r="G4456" t="s">
        <v>21</v>
      </c>
      <c r="H4456" t="str">
        <f>"UI434233"</f>
        <v>UI434233</v>
      </c>
      <c r="I4456" t="str">
        <f>"TEXAS DEPARTMENT OF CRIMINAL J"</f>
        <v>TEXAS DEPARTMENT OF CRIMINAL J</v>
      </c>
    </row>
    <row r="4457" spans="1:9" x14ac:dyDescent="0.25">
      <c r="E4457" s="7"/>
      <c r="F4457" t="s">
        <v>20</v>
      </c>
      <c r="G4457" t="s">
        <v>21</v>
      </c>
      <c r="H4457" t="str">
        <f>"UI434686"</f>
        <v>UI434686</v>
      </c>
      <c r="I4457" t="str">
        <f>"TEXAS DEPARTMENT OF CRIMINAL J"</f>
        <v>TEXAS DEPARTMENT OF CRIMINAL J</v>
      </c>
    </row>
    <row r="4458" spans="1:9" x14ac:dyDescent="0.25">
      <c r="E4458" s="7"/>
      <c r="F4458" t="s">
        <v>20</v>
      </c>
      <c r="G4458" t="s">
        <v>21</v>
      </c>
      <c r="H4458" t="str">
        <f>"UI435014"</f>
        <v>UI435014</v>
      </c>
      <c r="I4458" t="str">
        <f>"TEXAS DEPARTMENT OF CRIMINAL J"</f>
        <v>TEXAS DEPARTMENT OF CRIMINAL J</v>
      </c>
    </row>
    <row r="4459" spans="1:9" x14ac:dyDescent="0.25">
      <c r="E4459" s="7"/>
      <c r="F4459" t="s">
        <v>20</v>
      </c>
      <c r="G4459" t="s">
        <v>21</v>
      </c>
      <c r="H4459" t="str">
        <f>"UI435707"</f>
        <v>UI435707</v>
      </c>
      <c r="I4459" t="str">
        <f>"TEXAS DEPARTMENT OF CRIMINAL J"</f>
        <v>TEXAS DEPARTMENT OF CRIMINAL J</v>
      </c>
    </row>
    <row r="4460" spans="1:9" x14ac:dyDescent="0.25">
      <c r="E4460" s="7"/>
      <c r="F4460" t="s">
        <v>20</v>
      </c>
      <c r="G4460" t="s">
        <v>21</v>
      </c>
      <c r="H4460" t="str">
        <f>"UI436268"</f>
        <v>UI436268</v>
      </c>
      <c r="I4460" t="str">
        <f>"TEXAS DEPARTMENT OF CRIMINAL J"</f>
        <v>TEXAS DEPARTMENT OF CRIMINAL J</v>
      </c>
    </row>
    <row r="4461" spans="1:9" x14ac:dyDescent="0.25">
      <c r="A4461" s="6">
        <v>43333</v>
      </c>
      <c r="B4461" t="s">
        <v>91</v>
      </c>
      <c r="C4461">
        <v>58577</v>
      </c>
      <c r="D4461" t="s">
        <v>486</v>
      </c>
      <c r="E4461" s="7">
        <v>38638.5</v>
      </c>
      <c r="F4461" t="s">
        <v>20</v>
      </c>
      <c r="G4461" t="s">
        <v>93</v>
      </c>
      <c r="H4461" t="str">
        <f>"CHECK"</f>
        <v>CHECK</v>
      </c>
      <c r="I4461" t="str">
        <f>""</f>
        <v/>
      </c>
    </row>
    <row r="4462" spans="1:9" x14ac:dyDescent="0.25">
      <c r="A4462" s="6">
        <v>43333</v>
      </c>
      <c r="B4462" t="s">
        <v>26</v>
      </c>
      <c r="C4462">
        <v>58578</v>
      </c>
      <c r="D4462" t="s">
        <v>301</v>
      </c>
      <c r="E4462" s="7">
        <v>3469.04</v>
      </c>
      <c r="F4462" t="s">
        <v>20</v>
      </c>
      <c r="G4462" t="s">
        <v>21</v>
      </c>
      <c r="H4462" t="str">
        <f>"06JUL18"</f>
        <v>06JUL18</v>
      </c>
      <c r="I4462" t="str">
        <f>"TRUCK PARTS"</f>
        <v>TRUCK PARTS</v>
      </c>
    </row>
    <row r="4463" spans="1:9" x14ac:dyDescent="0.25">
      <c r="E4463" s="7"/>
      <c r="F4463" t="s">
        <v>20</v>
      </c>
      <c r="G4463" t="s">
        <v>21</v>
      </c>
      <c r="H4463" t="str">
        <f>"24JUL18"</f>
        <v>24JUL18</v>
      </c>
      <c r="I4463" t="str">
        <f>"REPROGRAM COMPUTER"</f>
        <v>REPROGRAM COMPUTER</v>
      </c>
    </row>
    <row r="4464" spans="1:9" x14ac:dyDescent="0.25">
      <c r="E4464" s="7"/>
      <c r="F4464" t="s">
        <v>20</v>
      </c>
      <c r="G4464" t="s">
        <v>21</v>
      </c>
      <c r="H4464" t="str">
        <f>"24JUL18-2"</f>
        <v>24JUL18-2</v>
      </c>
      <c r="I4464" t="str">
        <f>"AC CONTROL SWITCH"</f>
        <v>AC CONTROL SWITCH</v>
      </c>
    </row>
    <row r="4465" spans="1:9" x14ac:dyDescent="0.25">
      <c r="E4465" s="7"/>
      <c r="F4465" t="s">
        <v>20</v>
      </c>
      <c r="G4465" t="s">
        <v>21</v>
      </c>
      <c r="H4465" t="str">
        <f>"26JUN18"</f>
        <v>26JUN18</v>
      </c>
      <c r="I4465" t="str">
        <f>"COMPRESSOR ACCUMULATOR"</f>
        <v>COMPRESSOR ACCUMULATOR</v>
      </c>
    </row>
    <row r="4466" spans="1:9" x14ac:dyDescent="0.25">
      <c r="A4466" s="6">
        <v>43333</v>
      </c>
      <c r="B4466" t="s">
        <v>26</v>
      </c>
      <c r="C4466">
        <v>58579</v>
      </c>
      <c r="D4466" t="s">
        <v>120</v>
      </c>
      <c r="E4466" s="7">
        <v>1799.72</v>
      </c>
      <c r="F4466" t="s">
        <v>20</v>
      </c>
      <c r="G4466" t="s">
        <v>21</v>
      </c>
      <c r="H4466" t="str">
        <f>"70884985"</f>
        <v>70884985</v>
      </c>
      <c r="I4466" t="str">
        <f>"VERIZON BUSINESS"</f>
        <v>VERIZON BUSINESS</v>
      </c>
    </row>
    <row r="4467" spans="1:9" x14ac:dyDescent="0.25">
      <c r="E4467" s="7"/>
      <c r="F4467" t="s">
        <v>20</v>
      </c>
      <c r="G4467" t="s">
        <v>21</v>
      </c>
      <c r="H4467" t="str">
        <f>"70885398"</f>
        <v>70885398</v>
      </c>
      <c r="I4467" t="str">
        <f>"VERIZON BUSINESS"</f>
        <v>VERIZON BUSINESS</v>
      </c>
    </row>
    <row r="4468" spans="1:9" x14ac:dyDescent="0.25">
      <c r="A4468" s="6">
        <v>43333</v>
      </c>
      <c r="B4468" t="s">
        <v>91</v>
      </c>
      <c r="C4468">
        <v>58580</v>
      </c>
      <c r="D4468" t="s">
        <v>69</v>
      </c>
      <c r="E4468" s="7">
        <v>486.24</v>
      </c>
      <c r="F4468" t="s">
        <v>20</v>
      </c>
      <c r="G4468" t="s">
        <v>21</v>
      </c>
      <c r="H4468" t="str">
        <f>"FOCS233032"</f>
        <v>FOCS233032</v>
      </c>
      <c r="I4468" t="str">
        <f>"EWALD TRACTOR SUPPLY"</f>
        <v>EWALD TRACTOR SUPPLY</v>
      </c>
    </row>
    <row r="4469" spans="1:9" x14ac:dyDescent="0.25">
      <c r="E4469" s="7"/>
      <c r="F4469" t="s">
        <v>20</v>
      </c>
      <c r="G4469" t="s">
        <v>21</v>
      </c>
      <c r="H4469" t="str">
        <f>"FOW53067F"</f>
        <v>FOW53067F</v>
      </c>
      <c r="I4469" t="str">
        <f>"SHREDDER"</f>
        <v>SHREDDER</v>
      </c>
    </row>
    <row r="4470" spans="1:9" x14ac:dyDescent="0.25">
      <c r="A4470" s="6">
        <v>43333</v>
      </c>
      <c r="B4470" t="s">
        <v>91</v>
      </c>
      <c r="C4470">
        <v>58580</v>
      </c>
      <c r="D4470" t="s">
        <v>69</v>
      </c>
      <c r="E4470" s="7">
        <v>486.24</v>
      </c>
      <c r="F4470" t="s">
        <v>20</v>
      </c>
      <c r="G4470" t="s">
        <v>93</v>
      </c>
      <c r="H4470" t="str">
        <f>"CHECK"</f>
        <v>CHECK</v>
      </c>
      <c r="I4470" t="str">
        <f>""</f>
        <v/>
      </c>
    </row>
    <row r="4471" spans="1:9" x14ac:dyDescent="0.25">
      <c r="A4471" s="6">
        <v>43333</v>
      </c>
      <c r="B4471" t="s">
        <v>26</v>
      </c>
      <c r="C4471">
        <v>58581</v>
      </c>
      <c r="D4471" t="s">
        <v>265</v>
      </c>
      <c r="E4471" s="7">
        <v>1105.8399999999999</v>
      </c>
      <c r="F4471" t="s">
        <v>20</v>
      </c>
      <c r="G4471" t="s">
        <v>21</v>
      </c>
      <c r="H4471" t="str">
        <f>"8/20/18"</f>
        <v>8/20/18</v>
      </c>
      <c r="I4471" t="str">
        <f>"TIRES"</f>
        <v>TIRES</v>
      </c>
    </row>
    <row r="4472" spans="1:9" x14ac:dyDescent="0.25">
      <c r="A4472" s="6">
        <v>43333</v>
      </c>
      <c r="B4472" t="s">
        <v>26</v>
      </c>
      <c r="C4472">
        <v>58582</v>
      </c>
      <c r="D4472" t="s">
        <v>146</v>
      </c>
      <c r="E4472" s="7">
        <v>3160.85</v>
      </c>
      <c r="F4472" t="s">
        <v>20</v>
      </c>
      <c r="G4472" t="s">
        <v>21</v>
      </c>
      <c r="H4472" t="str">
        <f>"557110"</f>
        <v>557110</v>
      </c>
      <c r="I4472" t="str">
        <f t="shared" ref="I4472:I4478" si="76">"LARRY SRALLA ELECTRIC"</f>
        <v>LARRY SRALLA ELECTRIC</v>
      </c>
    </row>
    <row r="4473" spans="1:9" x14ac:dyDescent="0.25">
      <c r="E4473" s="7"/>
      <c r="F4473" t="s">
        <v>20</v>
      </c>
      <c r="G4473" t="s">
        <v>21</v>
      </c>
      <c r="H4473" t="str">
        <f>"557111"</f>
        <v>557111</v>
      </c>
      <c r="I4473" t="str">
        <f t="shared" si="76"/>
        <v>LARRY SRALLA ELECTRIC</v>
      </c>
    </row>
    <row r="4474" spans="1:9" x14ac:dyDescent="0.25">
      <c r="E4474" s="7"/>
      <c r="F4474" t="s">
        <v>20</v>
      </c>
      <c r="G4474" t="s">
        <v>21</v>
      </c>
      <c r="H4474" t="str">
        <f>"557112"</f>
        <v>557112</v>
      </c>
      <c r="I4474" t="str">
        <f t="shared" si="76"/>
        <v>LARRY SRALLA ELECTRIC</v>
      </c>
    </row>
    <row r="4475" spans="1:9" x14ac:dyDescent="0.25">
      <c r="E4475" s="7"/>
      <c r="F4475" t="s">
        <v>20</v>
      </c>
      <c r="G4475" t="s">
        <v>21</v>
      </c>
      <c r="H4475" t="str">
        <f>"557113"</f>
        <v>557113</v>
      </c>
      <c r="I4475" t="str">
        <f t="shared" si="76"/>
        <v>LARRY SRALLA ELECTRIC</v>
      </c>
    </row>
    <row r="4476" spans="1:9" x14ac:dyDescent="0.25">
      <c r="E4476" s="7"/>
      <c r="F4476" t="s">
        <v>20</v>
      </c>
      <c r="G4476" t="s">
        <v>21</v>
      </c>
      <c r="H4476" t="str">
        <f>"557114"</f>
        <v>557114</v>
      </c>
      <c r="I4476" t="str">
        <f t="shared" si="76"/>
        <v>LARRY SRALLA ELECTRIC</v>
      </c>
    </row>
    <row r="4477" spans="1:9" x14ac:dyDescent="0.25">
      <c r="E4477" s="7"/>
      <c r="F4477" t="s">
        <v>20</v>
      </c>
      <c r="G4477" t="s">
        <v>21</v>
      </c>
      <c r="H4477" t="str">
        <f>"557115"</f>
        <v>557115</v>
      </c>
      <c r="I4477" t="str">
        <f t="shared" si="76"/>
        <v>LARRY SRALLA ELECTRIC</v>
      </c>
    </row>
    <row r="4478" spans="1:9" x14ac:dyDescent="0.25">
      <c r="E4478" s="7"/>
      <c r="F4478" t="s">
        <v>20</v>
      </c>
      <c r="G4478" t="s">
        <v>21</v>
      </c>
      <c r="H4478" t="str">
        <f>"557116"</f>
        <v>557116</v>
      </c>
      <c r="I4478" t="str">
        <f t="shared" si="76"/>
        <v>LARRY SRALLA ELECTRIC</v>
      </c>
    </row>
    <row r="4479" spans="1:9" x14ac:dyDescent="0.25">
      <c r="A4479" s="6">
        <v>43333</v>
      </c>
      <c r="B4479" t="s">
        <v>26</v>
      </c>
      <c r="C4479">
        <v>58584</v>
      </c>
      <c r="D4479" t="s">
        <v>71</v>
      </c>
      <c r="E4479" s="7">
        <v>2003.95</v>
      </c>
      <c r="F4479" t="s">
        <v>20</v>
      </c>
      <c r="G4479" t="s">
        <v>21</v>
      </c>
      <c r="H4479" t="str">
        <f>"08715671-8/17/18"</f>
        <v>08715671-8/17/18</v>
      </c>
      <c r="I4479" t="str">
        <f t="shared" ref="I4479:I4484" si="77">"CINTAS CORPORATION #087"</f>
        <v>CINTAS CORPORATION #087</v>
      </c>
    </row>
    <row r="4480" spans="1:9" x14ac:dyDescent="0.25">
      <c r="E4480" s="7"/>
      <c r="F4480" t="s">
        <v>20</v>
      </c>
      <c r="G4480" t="s">
        <v>21</v>
      </c>
      <c r="H4480" t="str">
        <f>"087171238"</f>
        <v>087171238</v>
      </c>
      <c r="I4480" t="str">
        <f t="shared" si="77"/>
        <v>CINTAS CORPORATION #087</v>
      </c>
    </row>
    <row r="4481" spans="1:9" x14ac:dyDescent="0.25">
      <c r="E4481" s="7"/>
      <c r="F4481" t="s">
        <v>20</v>
      </c>
      <c r="G4481" t="s">
        <v>21</v>
      </c>
      <c r="H4481" t="str">
        <f>"087182964"</f>
        <v>087182964</v>
      </c>
      <c r="I4481" t="str">
        <f t="shared" si="77"/>
        <v>CINTAS CORPORATION #087</v>
      </c>
    </row>
    <row r="4482" spans="1:9" x14ac:dyDescent="0.25">
      <c r="E4482" s="7"/>
      <c r="F4482" t="s">
        <v>20</v>
      </c>
      <c r="G4482" t="s">
        <v>21</v>
      </c>
      <c r="H4482" t="str">
        <f>"8/17/18 BEER"</f>
        <v>8/17/18 BEER</v>
      </c>
      <c r="I4482" t="str">
        <f t="shared" si="77"/>
        <v>CINTAS CORPORATION #087</v>
      </c>
    </row>
    <row r="4483" spans="1:9" x14ac:dyDescent="0.25">
      <c r="E4483" s="7"/>
      <c r="F4483" t="s">
        <v>20</v>
      </c>
      <c r="G4483" t="s">
        <v>21</v>
      </c>
      <c r="H4483" t="str">
        <f>"8/17/18-ADMIN"</f>
        <v>8/17/18-ADMIN</v>
      </c>
      <c r="I4483" t="str">
        <f t="shared" si="77"/>
        <v>CINTAS CORPORATION #087</v>
      </c>
    </row>
    <row r="4484" spans="1:9" x14ac:dyDescent="0.25">
      <c r="E4484" s="7"/>
      <c r="F4484" t="s">
        <v>20</v>
      </c>
      <c r="G4484" t="s">
        <v>21</v>
      </c>
      <c r="H4484" t="str">
        <f>"8/17/18-EC"</f>
        <v>8/17/18-EC</v>
      </c>
      <c r="I4484" t="str">
        <f t="shared" si="77"/>
        <v>CINTAS CORPORATION #087</v>
      </c>
    </row>
    <row r="4485" spans="1:9" x14ac:dyDescent="0.25">
      <c r="A4485" s="6">
        <v>43333</v>
      </c>
      <c r="B4485" t="s">
        <v>26</v>
      </c>
      <c r="C4485">
        <v>58585</v>
      </c>
      <c r="D4485" t="s">
        <v>77</v>
      </c>
      <c r="E4485" s="7">
        <v>540</v>
      </c>
      <c r="F4485" t="s">
        <v>20</v>
      </c>
      <c r="G4485" t="s">
        <v>21</v>
      </c>
      <c r="H4485" t="str">
        <f>"DE8500100-18"</f>
        <v>DE8500100-18</v>
      </c>
      <c r="I4485" t="str">
        <f>"DPC INDUSTRIES  INC."</f>
        <v>DPC INDUSTRIES  INC.</v>
      </c>
    </row>
    <row r="4486" spans="1:9" x14ac:dyDescent="0.25">
      <c r="E4486" s="7"/>
      <c r="F4486" t="s">
        <v>20</v>
      </c>
      <c r="G4486" t="s">
        <v>21</v>
      </c>
      <c r="H4486" t="str">
        <f>"DE85001692-18"</f>
        <v>DE85001692-18</v>
      </c>
      <c r="I4486" t="str">
        <f>"DPC INDUSTRIES  INC."</f>
        <v>DPC INDUSTRIES  INC.</v>
      </c>
    </row>
    <row r="4487" spans="1:9" x14ac:dyDescent="0.25">
      <c r="E4487" s="7"/>
      <c r="F4487" t="s">
        <v>20</v>
      </c>
      <c r="G4487" t="s">
        <v>21</v>
      </c>
      <c r="H4487" t="str">
        <f>"DE85001906-18"</f>
        <v>DE85001906-18</v>
      </c>
      <c r="I4487" t="str">
        <f>"DPC INDUSTRIES  INC."</f>
        <v>DPC INDUSTRIES  INC.</v>
      </c>
    </row>
    <row r="4488" spans="1:9" x14ac:dyDescent="0.25">
      <c r="E4488" s="7"/>
      <c r="F4488" t="s">
        <v>20</v>
      </c>
      <c r="G4488" t="s">
        <v>21</v>
      </c>
      <c r="H4488" t="str">
        <f>"DE8500876-18"</f>
        <v>DE8500876-18</v>
      </c>
      <c r="I4488" t="str">
        <f>"DPC INDUSTRIES  INC."</f>
        <v>DPC INDUSTRIES  INC.</v>
      </c>
    </row>
    <row r="4489" spans="1:9" x14ac:dyDescent="0.25">
      <c r="A4489" s="6">
        <v>43333</v>
      </c>
      <c r="B4489" t="s">
        <v>26</v>
      </c>
      <c r="C4489">
        <v>58586</v>
      </c>
      <c r="D4489" t="s">
        <v>124</v>
      </c>
      <c r="E4489" s="7">
        <v>150</v>
      </c>
      <c r="F4489" t="s">
        <v>20</v>
      </c>
      <c r="G4489" t="s">
        <v>21</v>
      </c>
      <c r="H4489" t="str">
        <f>"11163114"</f>
        <v>11163114</v>
      </c>
      <c r="I4489" t="str">
        <f>"MCCOY'S CORPORATION"</f>
        <v>MCCOY'S CORPORATION</v>
      </c>
    </row>
    <row r="4490" spans="1:9" x14ac:dyDescent="0.25">
      <c r="A4490" s="6">
        <v>43333</v>
      </c>
      <c r="B4490" t="s">
        <v>26</v>
      </c>
      <c r="C4490">
        <v>58587</v>
      </c>
      <c r="D4490" t="s">
        <v>126</v>
      </c>
      <c r="E4490" s="7">
        <v>89440.88</v>
      </c>
      <c r="F4490" t="s">
        <v>20</v>
      </c>
      <c r="G4490" t="s">
        <v>21</v>
      </c>
      <c r="H4490" t="str">
        <f>"0859-002100637"</f>
        <v>0859-002100637</v>
      </c>
      <c r="I4490" t="str">
        <f>"REPUBLIC SERVICES #859"</f>
        <v>REPUBLIC SERVICES #859</v>
      </c>
    </row>
    <row r="4491" spans="1:9" x14ac:dyDescent="0.25">
      <c r="E4491" s="7"/>
      <c r="F4491" t="s">
        <v>20</v>
      </c>
      <c r="G4491" t="s">
        <v>21</v>
      </c>
      <c r="H4491" t="str">
        <f>"0859-002104574"</f>
        <v>0859-002104574</v>
      </c>
      <c r="I4491" t="str">
        <f>"REPUBLIC SERVICES #859"</f>
        <v>REPUBLIC SERVICES #859</v>
      </c>
    </row>
    <row r="4492" spans="1:9" x14ac:dyDescent="0.25">
      <c r="A4492" s="6">
        <v>43333</v>
      </c>
      <c r="B4492" t="s">
        <v>26</v>
      </c>
      <c r="C4492">
        <v>58588</v>
      </c>
      <c r="D4492" t="s">
        <v>79</v>
      </c>
      <c r="E4492" s="7">
        <v>5.5</v>
      </c>
      <c r="F4492" t="s">
        <v>20</v>
      </c>
      <c r="G4492" t="s">
        <v>21</v>
      </c>
      <c r="H4492" t="str">
        <f>"6-270-79789"</f>
        <v>6-270-79789</v>
      </c>
      <c r="I4492" t="str">
        <f>"FEDEX"</f>
        <v>FEDEX</v>
      </c>
    </row>
    <row r="4493" spans="1:9" x14ac:dyDescent="0.25">
      <c r="A4493" s="6">
        <v>43333</v>
      </c>
      <c r="B4493" t="s">
        <v>26</v>
      </c>
      <c r="C4493">
        <v>58589</v>
      </c>
      <c r="D4493" t="s">
        <v>139</v>
      </c>
      <c r="E4493" s="7">
        <v>106.5</v>
      </c>
      <c r="F4493" t="s">
        <v>20</v>
      </c>
      <c r="G4493" t="s">
        <v>21</v>
      </c>
      <c r="H4493" t="str">
        <f>"24301"</f>
        <v>24301</v>
      </c>
      <c r="I4493" t="str">
        <f>"ANGEL FIRE &amp; SAFETY"</f>
        <v>ANGEL FIRE &amp; SAFETY</v>
      </c>
    </row>
    <row r="4494" spans="1:9" x14ac:dyDescent="0.25">
      <c r="A4494" s="6">
        <v>43333</v>
      </c>
      <c r="B4494" t="s">
        <v>26</v>
      </c>
      <c r="C4494">
        <v>58590</v>
      </c>
      <c r="D4494" t="s">
        <v>387</v>
      </c>
      <c r="E4494" s="7">
        <v>1430.55</v>
      </c>
      <c r="F4494" t="s">
        <v>20</v>
      </c>
      <c r="G4494" t="s">
        <v>21</v>
      </c>
      <c r="H4494" t="str">
        <f>"F02962-SA"</f>
        <v>F02962-SA</v>
      </c>
      <c r="I4494" t="str">
        <f>"BARCO PUMP"</f>
        <v>BARCO PUMP</v>
      </c>
    </row>
    <row r="4495" spans="1:9" x14ac:dyDescent="0.25">
      <c r="A4495" s="6">
        <v>43333</v>
      </c>
      <c r="B4495" t="s">
        <v>26</v>
      </c>
      <c r="C4495">
        <v>58591</v>
      </c>
      <c r="D4495" t="s">
        <v>85</v>
      </c>
      <c r="E4495" s="7">
        <v>16438.11</v>
      </c>
      <c r="F4495" t="s">
        <v>20</v>
      </c>
      <c r="G4495" t="s">
        <v>21</v>
      </c>
      <c r="H4495" t="str">
        <f>"8/14/18"</f>
        <v>8/14/18</v>
      </c>
      <c r="I4495" t="str">
        <f>"FRONTIER"</f>
        <v>FRONTIER</v>
      </c>
    </row>
    <row r="4496" spans="1:9" x14ac:dyDescent="0.25">
      <c r="E4496" s="7"/>
      <c r="F4496" t="s">
        <v>20</v>
      </c>
      <c r="G4496" t="s">
        <v>21</v>
      </c>
      <c r="H4496" t="str">
        <f>"8/17/18 ADMIN"</f>
        <v>8/17/18 ADMIN</v>
      </c>
      <c r="I4496" t="str">
        <f>"FRONTIER"</f>
        <v>FRONTIER</v>
      </c>
    </row>
    <row r="4497" spans="1:9" x14ac:dyDescent="0.25">
      <c r="A4497" s="6">
        <v>43333</v>
      </c>
      <c r="B4497" t="s">
        <v>26</v>
      </c>
      <c r="C4497">
        <v>58592</v>
      </c>
      <c r="D4497" t="s">
        <v>310</v>
      </c>
      <c r="E4497" s="7">
        <v>3390</v>
      </c>
      <c r="F4497" t="s">
        <v>20</v>
      </c>
      <c r="G4497" t="s">
        <v>21</v>
      </c>
      <c r="H4497" t="str">
        <f>"NRV3291"</f>
        <v>NRV3291</v>
      </c>
      <c r="I4497" t="str">
        <f>"CDW GOVERNMENT"</f>
        <v>CDW GOVERNMENT</v>
      </c>
    </row>
    <row r="4498" spans="1:9" x14ac:dyDescent="0.25">
      <c r="A4498" s="6">
        <v>43333</v>
      </c>
      <c r="B4498" t="s">
        <v>26</v>
      </c>
      <c r="C4498">
        <v>58593</v>
      </c>
      <c r="D4498" t="s">
        <v>175</v>
      </c>
      <c r="E4498" s="7">
        <v>500</v>
      </c>
      <c r="F4498" t="s">
        <v>20</v>
      </c>
      <c r="G4498" t="s">
        <v>21</v>
      </c>
      <c r="H4498" t="str">
        <f>"151283"</f>
        <v>151283</v>
      </c>
      <c r="I4498" t="str">
        <f>"AMER TECHNOLOGY  INC."</f>
        <v>AMER TECHNOLOGY  INC.</v>
      </c>
    </row>
    <row r="4499" spans="1:9" x14ac:dyDescent="0.25">
      <c r="A4499" s="6">
        <v>43333</v>
      </c>
      <c r="B4499" t="s">
        <v>26</v>
      </c>
      <c r="C4499">
        <v>58594</v>
      </c>
      <c r="D4499" t="s">
        <v>46</v>
      </c>
      <c r="E4499" s="7">
        <v>2250</v>
      </c>
      <c r="F4499" t="s">
        <v>20</v>
      </c>
      <c r="G4499" t="s">
        <v>21</v>
      </c>
      <c r="H4499" t="str">
        <f>"9415"</f>
        <v>9415</v>
      </c>
      <c r="I4499" t="str">
        <f>"HAYES ENGINEERING  INC"</f>
        <v>HAYES ENGINEERING  INC</v>
      </c>
    </row>
    <row r="4500" spans="1:9" x14ac:dyDescent="0.25">
      <c r="A4500" s="6">
        <v>43333</v>
      </c>
      <c r="B4500" t="s">
        <v>26</v>
      </c>
      <c r="C4500">
        <v>58595</v>
      </c>
      <c r="D4500" t="s">
        <v>326</v>
      </c>
      <c r="E4500" s="7">
        <v>26</v>
      </c>
      <c r="F4500" t="s">
        <v>20</v>
      </c>
      <c r="G4500" t="s">
        <v>21</v>
      </c>
      <c r="H4500" t="str">
        <f>"18036706"</f>
        <v>18036706</v>
      </c>
      <c r="I4500" t="str">
        <f>"MATHESON TRI-GAS INC"</f>
        <v>MATHESON TRI-GAS INC</v>
      </c>
    </row>
    <row r="4501" spans="1:9" x14ac:dyDescent="0.25">
      <c r="A4501" s="6">
        <v>43333</v>
      </c>
      <c r="B4501" t="s">
        <v>26</v>
      </c>
      <c r="C4501">
        <v>58596</v>
      </c>
      <c r="D4501" t="s">
        <v>503</v>
      </c>
      <c r="E4501" s="7">
        <v>797</v>
      </c>
      <c r="F4501" t="s">
        <v>20</v>
      </c>
      <c r="G4501" t="s">
        <v>21</v>
      </c>
      <c r="H4501" t="str">
        <f>"72505299"</f>
        <v>72505299</v>
      </c>
      <c r="I4501" t="str">
        <f>"LIGHT BULB DEPOT 14 LLC"</f>
        <v>LIGHT BULB DEPOT 14 LLC</v>
      </c>
    </row>
    <row r="4502" spans="1:9" x14ac:dyDescent="0.25">
      <c r="E4502" s="7"/>
      <c r="F4502" t="s">
        <v>20</v>
      </c>
      <c r="G4502" t="s">
        <v>21</v>
      </c>
      <c r="H4502" t="str">
        <f>"81530055"</f>
        <v>81530055</v>
      </c>
      <c r="I4502" t="str">
        <f>"LIGHT BULB DEPOT 14 LLC"</f>
        <v>LIGHT BULB DEPOT 14 LLC</v>
      </c>
    </row>
    <row r="4503" spans="1:9" x14ac:dyDescent="0.25">
      <c r="A4503" s="6">
        <v>43333</v>
      </c>
      <c r="B4503" t="s">
        <v>26</v>
      </c>
      <c r="C4503">
        <v>58597</v>
      </c>
      <c r="D4503" t="s">
        <v>313</v>
      </c>
      <c r="E4503" s="7">
        <v>420165.25</v>
      </c>
      <c r="F4503" t="s">
        <v>20</v>
      </c>
      <c r="G4503" t="s">
        <v>21</v>
      </c>
      <c r="H4503" t="str">
        <f>"201808208467"</f>
        <v>201808208467</v>
      </c>
      <c r="I4503" t="s">
        <v>498</v>
      </c>
    </row>
    <row r="4504" spans="1:9" x14ac:dyDescent="0.25">
      <c r="A4504" s="6">
        <v>43333</v>
      </c>
      <c r="B4504" t="s">
        <v>26</v>
      </c>
      <c r="C4504">
        <v>58598</v>
      </c>
      <c r="D4504" t="s">
        <v>417</v>
      </c>
      <c r="E4504" s="7">
        <v>3500</v>
      </c>
      <c r="F4504" t="s">
        <v>20</v>
      </c>
      <c r="G4504" t="s">
        <v>21</v>
      </c>
      <c r="H4504" t="str">
        <f>"8/16/18"</f>
        <v>8/16/18</v>
      </c>
      <c r="I4504" t="str">
        <f>"REYES CUSTOM CABINETS &amp; ACCESS"</f>
        <v>REYES CUSTOM CABINETS &amp; ACCESS</v>
      </c>
    </row>
    <row r="4505" spans="1:9" x14ac:dyDescent="0.25">
      <c r="A4505" s="6">
        <v>43333</v>
      </c>
      <c r="B4505" t="s">
        <v>26</v>
      </c>
      <c r="C4505">
        <v>58599</v>
      </c>
      <c r="D4505" t="s">
        <v>491</v>
      </c>
      <c r="E4505" s="7">
        <v>124.3</v>
      </c>
      <c r="F4505" t="s">
        <v>20</v>
      </c>
      <c r="G4505" t="s">
        <v>21</v>
      </c>
      <c r="H4505" t="str">
        <f>"8/17/18"</f>
        <v>8/17/18</v>
      </c>
      <c r="I4505" t="str">
        <f>"GREGORY MERKERT"</f>
        <v>GREGORY MERKERT</v>
      </c>
    </row>
    <row r="4506" spans="1:9" x14ac:dyDescent="0.25">
      <c r="A4506" s="6">
        <v>43333</v>
      </c>
      <c r="B4506" t="s">
        <v>26</v>
      </c>
      <c r="C4506">
        <v>58600</v>
      </c>
      <c r="D4506" t="s">
        <v>504</v>
      </c>
      <c r="E4506" s="7">
        <v>2000</v>
      </c>
      <c r="F4506" t="s">
        <v>20</v>
      </c>
      <c r="G4506" t="s">
        <v>21</v>
      </c>
      <c r="H4506" t="str">
        <f>"HOLIDAY EXTRAV"</f>
        <v>HOLIDAY EXTRAV</v>
      </c>
      <c r="I4506" t="str">
        <f>"LAS FENIX MUSIC GROUP LLC"</f>
        <v>LAS FENIX MUSIC GROUP LLC</v>
      </c>
    </row>
    <row r="4507" spans="1:9" x14ac:dyDescent="0.25">
      <c r="A4507" s="6">
        <v>43333</v>
      </c>
      <c r="B4507" t="s">
        <v>26</v>
      </c>
      <c r="C4507">
        <v>58601</v>
      </c>
      <c r="D4507" t="s">
        <v>505</v>
      </c>
      <c r="E4507" s="7">
        <v>451.1</v>
      </c>
      <c r="F4507" t="s">
        <v>20</v>
      </c>
      <c r="G4507" t="s">
        <v>21</v>
      </c>
      <c r="H4507" t="str">
        <f>"118"</f>
        <v>118</v>
      </c>
      <c r="I4507" t="str">
        <f>"REALITY DEFENSE INC"</f>
        <v>REALITY DEFENSE INC</v>
      </c>
    </row>
    <row r="4508" spans="1:9" x14ac:dyDescent="0.25">
      <c r="A4508" s="6">
        <v>43335</v>
      </c>
      <c r="B4508" t="s">
        <v>26</v>
      </c>
      <c r="C4508">
        <v>58602</v>
      </c>
      <c r="D4508" t="s">
        <v>201</v>
      </c>
      <c r="E4508" s="7">
        <v>579.24</v>
      </c>
      <c r="F4508" t="s">
        <v>20</v>
      </c>
      <c r="G4508" t="s">
        <v>21</v>
      </c>
      <c r="H4508" t="str">
        <f>"8/22/18"</f>
        <v>8/22/18</v>
      </c>
      <c r="I4508" t="str">
        <f>"WILSON COUNTY HARDWARE"</f>
        <v>WILSON COUNTY HARDWARE</v>
      </c>
    </row>
    <row r="4509" spans="1:9" x14ac:dyDescent="0.25">
      <c r="A4509" s="6">
        <v>43335</v>
      </c>
      <c r="B4509" t="s">
        <v>26</v>
      </c>
      <c r="C4509">
        <v>58603</v>
      </c>
      <c r="D4509" t="s">
        <v>103</v>
      </c>
      <c r="E4509" s="7">
        <v>78136.81</v>
      </c>
      <c r="F4509" t="s">
        <v>20</v>
      </c>
      <c r="G4509" t="s">
        <v>21</v>
      </c>
      <c r="H4509" t="str">
        <f>"5270"</f>
        <v>5270</v>
      </c>
      <c r="I4509" t="str">
        <f>"F. E. D. C."</f>
        <v>F. E. D. C.</v>
      </c>
    </row>
    <row r="4510" spans="1:9" x14ac:dyDescent="0.25">
      <c r="A4510" s="6">
        <v>43335</v>
      </c>
      <c r="B4510" t="s">
        <v>26</v>
      </c>
      <c r="C4510">
        <v>58604</v>
      </c>
      <c r="D4510" t="s">
        <v>273</v>
      </c>
      <c r="E4510" s="7">
        <v>3443.78</v>
      </c>
      <c r="F4510" t="s">
        <v>20</v>
      </c>
      <c r="G4510" t="s">
        <v>21</v>
      </c>
      <c r="H4510" t="str">
        <f>"5119-000084552"</f>
        <v>5119-000084552</v>
      </c>
      <c r="I4510" t="str">
        <f>"REPUBLIC SERVICES TESSMAN ROAD"</f>
        <v>REPUBLIC SERVICES TESSMAN ROAD</v>
      </c>
    </row>
    <row r="4511" spans="1:9" x14ac:dyDescent="0.25">
      <c r="A4511" s="6">
        <v>43335</v>
      </c>
      <c r="B4511" t="s">
        <v>26</v>
      </c>
      <c r="C4511">
        <v>58605</v>
      </c>
      <c r="D4511" t="s">
        <v>240</v>
      </c>
      <c r="E4511" s="7">
        <v>2718.53</v>
      </c>
      <c r="F4511" t="s">
        <v>20</v>
      </c>
      <c r="G4511" t="s">
        <v>21</v>
      </c>
      <c r="H4511" t="str">
        <f>"0148595-IN"</f>
        <v>0148595-IN</v>
      </c>
      <c r="I4511" t="str">
        <f>"UNIFORM"</f>
        <v>UNIFORM</v>
      </c>
    </row>
    <row r="4512" spans="1:9" x14ac:dyDescent="0.25">
      <c r="E4512" s="7"/>
      <c r="F4512" t="s">
        <v>20</v>
      </c>
      <c r="G4512" t="s">
        <v>21</v>
      </c>
      <c r="H4512" t="str">
        <f>"0148994-IN"</f>
        <v>0148994-IN</v>
      </c>
      <c r="I4512" t="str">
        <f>"NARDIS PUBLIC SAFETY"</f>
        <v>NARDIS PUBLIC SAFETY</v>
      </c>
    </row>
    <row r="4513" spans="1:9" x14ac:dyDescent="0.25">
      <c r="E4513" s="7"/>
      <c r="F4513" t="s">
        <v>20</v>
      </c>
      <c r="G4513" t="s">
        <v>21</v>
      </c>
      <c r="H4513" t="str">
        <f>"0149174-IN"</f>
        <v>0149174-IN</v>
      </c>
      <c r="I4513" t="str">
        <f>"UNIFORMS"</f>
        <v>UNIFORMS</v>
      </c>
    </row>
    <row r="4514" spans="1:9" x14ac:dyDescent="0.25">
      <c r="E4514" s="7"/>
      <c r="F4514" t="s">
        <v>20</v>
      </c>
      <c r="G4514" t="s">
        <v>21</v>
      </c>
      <c r="H4514" t="str">
        <f>"0149175-IN"</f>
        <v>0149175-IN</v>
      </c>
      <c r="I4514" t="str">
        <f>"NARDIS PUBLIC SAFETY"</f>
        <v>NARDIS PUBLIC SAFETY</v>
      </c>
    </row>
    <row r="4515" spans="1:9" x14ac:dyDescent="0.25">
      <c r="E4515" s="7"/>
      <c r="F4515" t="s">
        <v>20</v>
      </c>
      <c r="G4515" t="s">
        <v>21</v>
      </c>
      <c r="H4515" t="str">
        <f>"0149181-IN"</f>
        <v>0149181-IN</v>
      </c>
      <c r="I4515" t="str">
        <f>"NARDIS PUBLIC SAFETY"</f>
        <v>NARDIS PUBLIC SAFETY</v>
      </c>
    </row>
    <row r="4516" spans="1:9" x14ac:dyDescent="0.25">
      <c r="E4516" s="7"/>
      <c r="F4516" t="s">
        <v>20</v>
      </c>
      <c r="G4516" t="s">
        <v>21</v>
      </c>
      <c r="H4516" t="str">
        <f>"110131697"</f>
        <v>110131697</v>
      </c>
      <c r="I4516" t="str">
        <f>"NARDIS PUBLIC SAFETY"</f>
        <v>NARDIS PUBLIC SAFETY</v>
      </c>
    </row>
    <row r="4517" spans="1:9" x14ac:dyDescent="0.25">
      <c r="E4517" s="7"/>
      <c r="F4517" t="s">
        <v>20</v>
      </c>
      <c r="G4517" t="s">
        <v>21</v>
      </c>
      <c r="H4517" t="str">
        <f>"148905M-IN"</f>
        <v>148905M-IN</v>
      </c>
      <c r="I4517" t="str">
        <f>"NARDIS PUBLIC SAFETY"</f>
        <v>NARDIS PUBLIC SAFETY</v>
      </c>
    </row>
    <row r="4518" spans="1:9" x14ac:dyDescent="0.25">
      <c r="E4518" s="7"/>
      <c r="F4518" t="s">
        <v>20</v>
      </c>
      <c r="G4518" t="s">
        <v>21</v>
      </c>
      <c r="H4518" t="str">
        <f>"148907M-IN"</f>
        <v>148907M-IN</v>
      </c>
      <c r="I4518" t="str">
        <f>"NARDIS PUBLIC SAFETY"</f>
        <v>NARDIS PUBLIC SAFETY</v>
      </c>
    </row>
    <row r="4519" spans="1:9" x14ac:dyDescent="0.25">
      <c r="A4519" s="6">
        <v>43335</v>
      </c>
      <c r="B4519" t="s">
        <v>26</v>
      </c>
      <c r="C4519">
        <v>58607</v>
      </c>
      <c r="D4519" t="s">
        <v>181</v>
      </c>
      <c r="E4519" s="7">
        <v>41.8</v>
      </c>
      <c r="F4519" t="s">
        <v>20</v>
      </c>
      <c r="G4519" t="s">
        <v>21</v>
      </c>
      <c r="H4519" t="str">
        <f>"8303933186"</f>
        <v>8303933186</v>
      </c>
      <c r="I4519" t="str">
        <f>"AT&amp;T"</f>
        <v>AT&amp;T</v>
      </c>
    </row>
    <row r="4520" spans="1:9" x14ac:dyDescent="0.25">
      <c r="A4520" s="6">
        <v>43335</v>
      </c>
      <c r="B4520" t="s">
        <v>26</v>
      </c>
      <c r="C4520">
        <v>58608</v>
      </c>
      <c r="D4520" t="s">
        <v>506</v>
      </c>
      <c r="E4520" s="7">
        <v>50</v>
      </c>
      <c r="F4520" t="s">
        <v>20</v>
      </c>
      <c r="G4520" t="s">
        <v>21</v>
      </c>
      <c r="H4520" t="str">
        <f>"REF. PAV 8/18/18"</f>
        <v>REF. PAV 8/18/18</v>
      </c>
      <c r="I4520" t="str">
        <f>"REFUND"</f>
        <v>REFUND</v>
      </c>
    </row>
    <row r="4521" spans="1:9" x14ac:dyDescent="0.25">
      <c r="A4521" s="6">
        <v>43335</v>
      </c>
      <c r="B4521" t="s">
        <v>26</v>
      </c>
      <c r="C4521">
        <v>58609</v>
      </c>
      <c r="D4521" t="s">
        <v>507</v>
      </c>
      <c r="E4521" s="7">
        <v>50</v>
      </c>
      <c r="F4521" t="s">
        <v>20</v>
      </c>
      <c r="G4521" t="s">
        <v>21</v>
      </c>
      <c r="H4521" t="str">
        <f>"REFD. PAV. 8/18/18"</f>
        <v>REFD. PAV. 8/18/18</v>
      </c>
      <c r="I4521" t="str">
        <f>"REFUND"</f>
        <v>REFUND</v>
      </c>
    </row>
    <row r="4522" spans="1:9" x14ac:dyDescent="0.25">
      <c r="A4522" s="6">
        <v>43335</v>
      </c>
      <c r="B4522" t="s">
        <v>26</v>
      </c>
      <c r="C4522">
        <v>58610</v>
      </c>
      <c r="D4522" t="s">
        <v>508</v>
      </c>
      <c r="E4522" s="7">
        <v>378.28</v>
      </c>
      <c r="F4522" t="s">
        <v>20</v>
      </c>
      <c r="G4522" t="s">
        <v>21</v>
      </c>
      <c r="H4522" t="str">
        <f>"0154658-IN"</f>
        <v>0154658-IN</v>
      </c>
      <c r="I4522" t="str">
        <f>"THE WILSON BOHANNAN PADLOCK CO"</f>
        <v>THE WILSON BOHANNAN PADLOCK CO</v>
      </c>
    </row>
    <row r="4523" spans="1:9" x14ac:dyDescent="0.25">
      <c r="A4523" s="6">
        <v>43335</v>
      </c>
      <c r="B4523" t="s">
        <v>26</v>
      </c>
      <c r="C4523">
        <v>58611</v>
      </c>
      <c r="D4523" t="s">
        <v>115</v>
      </c>
      <c r="E4523" s="7">
        <v>93.99</v>
      </c>
      <c r="F4523" t="s">
        <v>20</v>
      </c>
      <c r="G4523" t="s">
        <v>21</v>
      </c>
      <c r="H4523" t="str">
        <f>"3547217008"</f>
        <v>3547217008</v>
      </c>
      <c r="I4523" t="str">
        <f>"BATTERY"</f>
        <v>BATTERY</v>
      </c>
    </row>
    <row r="4524" spans="1:9" x14ac:dyDescent="0.25">
      <c r="A4524" s="6">
        <v>43335</v>
      </c>
      <c r="B4524" t="s">
        <v>26</v>
      </c>
      <c r="C4524">
        <v>58612</v>
      </c>
      <c r="D4524" t="s">
        <v>63</v>
      </c>
      <c r="E4524" s="7">
        <v>781.9</v>
      </c>
      <c r="F4524" t="s">
        <v>20</v>
      </c>
      <c r="G4524" t="s">
        <v>21</v>
      </c>
      <c r="H4524" t="str">
        <f>"8403765763"</f>
        <v>8403765763</v>
      </c>
      <c r="I4524" t="str">
        <f>"CINTAS CORPORATION"</f>
        <v>CINTAS CORPORATION</v>
      </c>
    </row>
    <row r="4525" spans="1:9" x14ac:dyDescent="0.25">
      <c r="E4525" s="7"/>
      <c r="F4525" t="s">
        <v>20</v>
      </c>
      <c r="G4525" t="s">
        <v>21</v>
      </c>
      <c r="H4525" t="str">
        <f>"8403773998"</f>
        <v>8403773998</v>
      </c>
      <c r="I4525" t="str">
        <f>"CINTAS CORPORATION"</f>
        <v>CINTAS CORPORATION</v>
      </c>
    </row>
    <row r="4526" spans="1:9" x14ac:dyDescent="0.25">
      <c r="A4526" s="6">
        <v>43335</v>
      </c>
      <c r="B4526" t="s">
        <v>26</v>
      </c>
      <c r="C4526">
        <v>58613</v>
      </c>
      <c r="D4526" t="s">
        <v>410</v>
      </c>
      <c r="E4526" s="7">
        <v>110.5</v>
      </c>
      <c r="F4526" t="s">
        <v>20</v>
      </c>
      <c r="G4526" t="s">
        <v>21</v>
      </c>
      <c r="H4526" t="str">
        <f>"18-13663"</f>
        <v>18-13663</v>
      </c>
      <c r="I4526" t="str">
        <f>"HEAT SAFETY EQUIPMENT"</f>
        <v>HEAT SAFETY EQUIPMENT</v>
      </c>
    </row>
    <row r="4527" spans="1:9" x14ac:dyDescent="0.25">
      <c r="A4527" s="6">
        <v>43335</v>
      </c>
      <c r="B4527" t="s">
        <v>26</v>
      </c>
      <c r="C4527">
        <v>58614</v>
      </c>
      <c r="D4527" t="s">
        <v>66</v>
      </c>
      <c r="E4527" s="7">
        <v>157.5</v>
      </c>
      <c r="F4527" t="s">
        <v>20</v>
      </c>
      <c r="G4527" t="s">
        <v>21</v>
      </c>
      <c r="H4527" t="str">
        <f>"53330"</f>
        <v>53330</v>
      </c>
      <c r="I4527" t="str">
        <f>"LOPEZ EXTERMINATING SERVICE  I"</f>
        <v>LOPEZ EXTERMINATING SERVICE  I</v>
      </c>
    </row>
    <row r="4528" spans="1:9" x14ac:dyDescent="0.25">
      <c r="E4528" s="7"/>
      <c r="F4528" t="s">
        <v>20</v>
      </c>
      <c r="G4528" t="s">
        <v>21</v>
      </c>
      <c r="H4528" t="str">
        <f>"53344"</f>
        <v>53344</v>
      </c>
      <c r="I4528" t="str">
        <f>"LOPEZ EXTERMINATING SERVICE  I"</f>
        <v>LOPEZ EXTERMINATING SERVICE  I</v>
      </c>
    </row>
    <row r="4529" spans="1:9" x14ac:dyDescent="0.25">
      <c r="A4529" s="6">
        <v>43335</v>
      </c>
      <c r="B4529" t="s">
        <v>26</v>
      </c>
      <c r="C4529">
        <v>58615</v>
      </c>
      <c r="D4529" t="s">
        <v>67</v>
      </c>
      <c r="E4529" s="7">
        <v>297.77</v>
      </c>
      <c r="F4529" t="s">
        <v>20</v>
      </c>
      <c r="G4529" t="s">
        <v>21</v>
      </c>
      <c r="H4529" t="str">
        <f>"8/14/18"</f>
        <v>8/14/18</v>
      </c>
      <c r="I4529" t="str">
        <f>"ANYTIME FITNESS"</f>
        <v>ANYTIME FITNESS</v>
      </c>
    </row>
    <row r="4530" spans="1:9" x14ac:dyDescent="0.25">
      <c r="A4530" s="6">
        <v>43335</v>
      </c>
      <c r="B4530" t="s">
        <v>26</v>
      </c>
      <c r="C4530">
        <v>58616</v>
      </c>
      <c r="D4530" t="s">
        <v>69</v>
      </c>
      <c r="E4530" s="7">
        <v>939.98</v>
      </c>
      <c r="F4530" t="s">
        <v>20</v>
      </c>
      <c r="G4530" t="s">
        <v>21</v>
      </c>
      <c r="H4530" t="str">
        <f>"3391365"</f>
        <v>3391365</v>
      </c>
      <c r="I4530" t="str">
        <f>"HAND HELD UNITS"</f>
        <v>HAND HELD UNITS</v>
      </c>
    </row>
    <row r="4531" spans="1:9" x14ac:dyDescent="0.25">
      <c r="A4531" s="6">
        <v>43335</v>
      </c>
      <c r="B4531" t="s">
        <v>26</v>
      </c>
      <c r="C4531">
        <v>58617</v>
      </c>
      <c r="D4531" t="s">
        <v>146</v>
      </c>
      <c r="E4531" s="7">
        <v>75</v>
      </c>
      <c r="F4531" t="s">
        <v>20</v>
      </c>
      <c r="G4531" t="s">
        <v>21</v>
      </c>
      <c r="H4531" t="str">
        <f>"557131"</f>
        <v>557131</v>
      </c>
      <c r="I4531" t="str">
        <f>"LARRY SRALLA ELECTRIC"</f>
        <v>LARRY SRALLA ELECTRIC</v>
      </c>
    </row>
    <row r="4532" spans="1:9" x14ac:dyDescent="0.25">
      <c r="A4532" s="6">
        <v>43335</v>
      </c>
      <c r="B4532" t="s">
        <v>26</v>
      </c>
      <c r="C4532">
        <v>58618</v>
      </c>
      <c r="D4532" t="s">
        <v>509</v>
      </c>
      <c r="E4532" s="7">
        <v>1535.75</v>
      </c>
      <c r="F4532" t="s">
        <v>20</v>
      </c>
      <c r="G4532" t="s">
        <v>21</v>
      </c>
      <c r="H4532" t="str">
        <f>"193704"</f>
        <v>193704</v>
      </c>
      <c r="I4532" t="str">
        <f>"SERVICE CALL TO PREMISES"</f>
        <v>SERVICE CALL TO PREMISES</v>
      </c>
    </row>
    <row r="4533" spans="1:9" x14ac:dyDescent="0.25">
      <c r="A4533" s="6">
        <v>43335</v>
      </c>
      <c r="B4533" t="s">
        <v>26</v>
      </c>
      <c r="C4533">
        <v>58619</v>
      </c>
      <c r="D4533" t="s">
        <v>71</v>
      </c>
      <c r="E4533" s="7">
        <v>617.86</v>
      </c>
      <c r="F4533" t="s">
        <v>20</v>
      </c>
      <c r="G4533" t="s">
        <v>21</v>
      </c>
      <c r="H4533" t="str">
        <f>"087176505"</f>
        <v>087176505</v>
      </c>
      <c r="I4533" t="str">
        <f>"CINTAS CORPORATION #087"</f>
        <v>CINTAS CORPORATION #087</v>
      </c>
    </row>
    <row r="4534" spans="1:9" x14ac:dyDescent="0.25">
      <c r="E4534" s="7"/>
      <c r="F4534" t="s">
        <v>20</v>
      </c>
      <c r="G4534" t="s">
        <v>21</v>
      </c>
      <c r="H4534" t="str">
        <f>"087182961"</f>
        <v>087182961</v>
      </c>
      <c r="I4534" t="str">
        <f>"CINTAS CORPORATION #087"</f>
        <v>CINTAS CORPORATION #087</v>
      </c>
    </row>
    <row r="4535" spans="1:9" x14ac:dyDescent="0.25">
      <c r="E4535" s="7"/>
      <c r="F4535" t="s">
        <v>20</v>
      </c>
      <c r="G4535" t="s">
        <v>21</v>
      </c>
      <c r="H4535" t="str">
        <f>"SA0029028"</f>
        <v>SA0029028</v>
      </c>
      <c r="I4535" t="str">
        <f>"CINTAS CORPORATION #087"</f>
        <v>CINTAS CORPORATION #087</v>
      </c>
    </row>
    <row r="4536" spans="1:9" x14ac:dyDescent="0.25">
      <c r="A4536" s="6">
        <v>43335</v>
      </c>
      <c r="B4536" t="s">
        <v>26</v>
      </c>
      <c r="C4536">
        <v>58620</v>
      </c>
      <c r="D4536" t="s">
        <v>74</v>
      </c>
      <c r="E4536" s="7">
        <v>49.88</v>
      </c>
      <c r="F4536" t="s">
        <v>20</v>
      </c>
      <c r="G4536" t="s">
        <v>21</v>
      </c>
      <c r="H4536" t="str">
        <f>"9812354082"</f>
        <v>9812354082</v>
      </c>
      <c r="I4536" t="str">
        <f>"VERIZON WIRELESS"</f>
        <v>VERIZON WIRELESS</v>
      </c>
    </row>
    <row r="4537" spans="1:9" x14ac:dyDescent="0.25">
      <c r="A4537" s="6">
        <v>43335</v>
      </c>
      <c r="B4537" t="s">
        <v>26</v>
      </c>
      <c r="C4537">
        <v>58621</v>
      </c>
      <c r="D4537" t="s">
        <v>123</v>
      </c>
      <c r="E4537" s="7">
        <v>523.20000000000005</v>
      </c>
      <c r="F4537" t="s">
        <v>20</v>
      </c>
      <c r="G4537" t="s">
        <v>21</v>
      </c>
      <c r="H4537" t="str">
        <f>"176927937001"</f>
        <v>176927937001</v>
      </c>
      <c r="I4537" t="str">
        <f>"OFFICE SUPPLIES"</f>
        <v>OFFICE SUPPLIES</v>
      </c>
    </row>
    <row r="4538" spans="1:9" x14ac:dyDescent="0.25">
      <c r="A4538" s="6">
        <v>43335</v>
      </c>
      <c r="B4538" t="s">
        <v>26</v>
      </c>
      <c r="C4538">
        <v>58622</v>
      </c>
      <c r="D4538" t="s">
        <v>124</v>
      </c>
      <c r="E4538" s="7">
        <v>93.42</v>
      </c>
      <c r="F4538" t="s">
        <v>20</v>
      </c>
      <c r="G4538" t="s">
        <v>21</v>
      </c>
      <c r="H4538" t="str">
        <f>"11163564"</f>
        <v>11163564</v>
      </c>
      <c r="I4538" t="str">
        <f>"OFFICE SUPPLIES"</f>
        <v>OFFICE SUPPLIES</v>
      </c>
    </row>
    <row r="4539" spans="1:9" x14ac:dyDescent="0.25">
      <c r="A4539" s="6">
        <v>43335</v>
      </c>
      <c r="B4539" t="s">
        <v>26</v>
      </c>
      <c r="C4539">
        <v>58623</v>
      </c>
      <c r="D4539" t="s">
        <v>372</v>
      </c>
      <c r="E4539" s="7">
        <v>47.5</v>
      </c>
      <c r="F4539" t="s">
        <v>20</v>
      </c>
      <c r="G4539" t="s">
        <v>21</v>
      </c>
      <c r="H4539" t="str">
        <f>"8/21/18"</f>
        <v>8/21/18</v>
      </c>
      <c r="I4539" t="str">
        <f>"MICHELLE DOLBERRY"</f>
        <v>MICHELLE DOLBERRY</v>
      </c>
    </row>
    <row r="4540" spans="1:9" x14ac:dyDescent="0.25">
      <c r="A4540" s="6">
        <v>43335</v>
      </c>
      <c r="B4540" t="s">
        <v>26</v>
      </c>
      <c r="C4540">
        <v>58624</v>
      </c>
      <c r="D4540" t="s">
        <v>510</v>
      </c>
      <c r="E4540" s="7">
        <v>247.95</v>
      </c>
      <c r="F4540" t="s">
        <v>20</v>
      </c>
      <c r="G4540" t="s">
        <v>21</v>
      </c>
      <c r="H4540" t="str">
        <f>"06076247"</f>
        <v>06076247</v>
      </c>
      <c r="I4540" t="str">
        <f>"POSITIVE PROMOTIONS  INC."</f>
        <v>POSITIVE PROMOTIONS  INC.</v>
      </c>
    </row>
    <row r="4541" spans="1:9" x14ac:dyDescent="0.25">
      <c r="A4541" s="6">
        <v>43335</v>
      </c>
      <c r="B4541" t="s">
        <v>26</v>
      </c>
      <c r="C4541">
        <v>58625</v>
      </c>
      <c r="D4541" t="s">
        <v>147</v>
      </c>
      <c r="E4541" s="7">
        <v>186.34</v>
      </c>
      <c r="F4541" t="s">
        <v>20</v>
      </c>
      <c r="G4541" t="s">
        <v>21</v>
      </c>
      <c r="H4541" t="str">
        <f>"211"</f>
        <v>211</v>
      </c>
      <c r="I4541" t="str">
        <f>"SRALLA ELECTRIC"</f>
        <v>SRALLA ELECTRIC</v>
      </c>
    </row>
    <row r="4542" spans="1:9" x14ac:dyDescent="0.25">
      <c r="A4542" s="6">
        <v>43335</v>
      </c>
      <c r="B4542" t="s">
        <v>26</v>
      </c>
      <c r="C4542">
        <v>58626</v>
      </c>
      <c r="D4542" t="s">
        <v>511</v>
      </c>
      <c r="E4542" s="7">
        <v>592</v>
      </c>
      <c r="F4542" t="s">
        <v>20</v>
      </c>
      <c r="G4542" t="s">
        <v>21</v>
      </c>
      <c r="H4542" t="str">
        <f>"9008135366"</f>
        <v>9008135366</v>
      </c>
      <c r="I4542" t="str">
        <f>"ANIMAL HEALTH INTERNATIONAL  I"</f>
        <v>ANIMAL HEALTH INTERNATIONAL  I</v>
      </c>
    </row>
    <row r="4543" spans="1:9" x14ac:dyDescent="0.25">
      <c r="A4543" s="6">
        <v>43335</v>
      </c>
      <c r="B4543" t="s">
        <v>26</v>
      </c>
      <c r="C4543">
        <v>58627</v>
      </c>
      <c r="D4543" t="s">
        <v>192</v>
      </c>
      <c r="E4543" s="7">
        <v>2409.62</v>
      </c>
      <c r="F4543" t="s">
        <v>20</v>
      </c>
      <c r="G4543" t="s">
        <v>21</v>
      </c>
      <c r="H4543" t="str">
        <f>"60298469"</f>
        <v>60298469</v>
      </c>
      <c r="I4543" t="str">
        <f>"DE LAGE LANDEN PUBLIC FINANCE"</f>
        <v>DE LAGE LANDEN PUBLIC FINANCE</v>
      </c>
    </row>
    <row r="4544" spans="1:9" x14ac:dyDescent="0.25">
      <c r="E4544" s="7"/>
      <c r="F4544" t="s">
        <v>20</v>
      </c>
      <c r="G4544" t="s">
        <v>21</v>
      </c>
      <c r="H4544" t="str">
        <f>"60298478"</f>
        <v>60298478</v>
      </c>
      <c r="I4544" t="str">
        <f>"DE LAGE LANDEN PUBLIC FINANCE"</f>
        <v>DE LAGE LANDEN PUBLIC FINANCE</v>
      </c>
    </row>
    <row r="4545" spans="1:9" x14ac:dyDescent="0.25">
      <c r="E4545" s="7"/>
      <c r="F4545" t="s">
        <v>20</v>
      </c>
      <c r="G4545" t="s">
        <v>21</v>
      </c>
      <c r="H4545" t="str">
        <f>"60298498"</f>
        <v>60298498</v>
      </c>
      <c r="I4545" t="str">
        <f>"DE LAGE LANDEN PUBLIC FINANCE"</f>
        <v>DE LAGE LANDEN PUBLIC FINANCE</v>
      </c>
    </row>
    <row r="4546" spans="1:9" x14ac:dyDescent="0.25">
      <c r="A4546" s="6">
        <v>43335</v>
      </c>
      <c r="B4546" t="s">
        <v>26</v>
      </c>
      <c r="C4546">
        <v>58629</v>
      </c>
      <c r="D4546" t="s">
        <v>512</v>
      </c>
      <c r="E4546" s="7">
        <v>634.26</v>
      </c>
      <c r="F4546" t="s">
        <v>20</v>
      </c>
      <c r="G4546" t="s">
        <v>21</v>
      </c>
      <c r="H4546" t="str">
        <f>"1101285256"</f>
        <v>1101285256</v>
      </c>
      <c r="I4546" t="str">
        <f>"NATIONAL PEN CO. LLC"</f>
        <v>NATIONAL PEN CO. LLC</v>
      </c>
    </row>
    <row r="4547" spans="1:9" x14ac:dyDescent="0.25">
      <c r="E4547" s="7"/>
      <c r="F4547" t="s">
        <v>20</v>
      </c>
      <c r="G4547" t="s">
        <v>21</v>
      </c>
      <c r="H4547" t="str">
        <f>"110131697"</f>
        <v>110131697</v>
      </c>
      <c r="I4547" t="str">
        <f>"PENS"</f>
        <v>PENS</v>
      </c>
    </row>
    <row r="4548" spans="1:9" x14ac:dyDescent="0.25">
      <c r="E4548" s="7"/>
      <c r="F4548" t="s">
        <v>20</v>
      </c>
      <c r="G4548" t="s">
        <v>21</v>
      </c>
      <c r="H4548" t="str">
        <f>"110131698"</f>
        <v>110131698</v>
      </c>
      <c r="I4548" t="str">
        <f>"NATIONAL PEN CO. LLC"</f>
        <v>NATIONAL PEN CO. LLC</v>
      </c>
    </row>
    <row r="4549" spans="1:9" x14ac:dyDescent="0.25">
      <c r="A4549" s="6">
        <v>43335</v>
      </c>
      <c r="B4549" t="s">
        <v>26</v>
      </c>
      <c r="C4549">
        <v>58630</v>
      </c>
      <c r="D4549" t="s">
        <v>85</v>
      </c>
      <c r="E4549" s="7">
        <v>1101.92</v>
      </c>
      <c r="F4549" t="s">
        <v>20</v>
      </c>
      <c r="G4549" t="s">
        <v>21</v>
      </c>
      <c r="H4549" t="str">
        <f>"8/17/18"</f>
        <v>8/17/18</v>
      </c>
      <c r="I4549" t="str">
        <f>"FRONTIER"</f>
        <v>FRONTIER</v>
      </c>
    </row>
    <row r="4550" spans="1:9" x14ac:dyDescent="0.25">
      <c r="E4550" s="7"/>
      <c r="F4550" t="s">
        <v>20</v>
      </c>
      <c r="G4550" t="s">
        <v>21</v>
      </c>
      <c r="H4550" t="str">
        <f>"8/20/14-4"</f>
        <v>8/20/14-4</v>
      </c>
      <c r="I4550" t="str">
        <f>"FRONTIER"</f>
        <v>FRONTIER</v>
      </c>
    </row>
    <row r="4551" spans="1:9" x14ac:dyDescent="0.25">
      <c r="E4551" s="7"/>
      <c r="F4551" t="s">
        <v>20</v>
      </c>
      <c r="G4551" t="s">
        <v>21</v>
      </c>
      <c r="H4551" t="str">
        <f>"8/20/18-3"</f>
        <v>8/20/18-3</v>
      </c>
      <c r="I4551" t="str">
        <f>"FRONTIER"</f>
        <v>FRONTIER</v>
      </c>
    </row>
    <row r="4552" spans="1:9" x14ac:dyDescent="0.25">
      <c r="E4552" s="7"/>
      <c r="F4552" t="s">
        <v>20</v>
      </c>
      <c r="G4552" t="s">
        <v>21</v>
      </c>
      <c r="H4552" t="str">
        <f>"8/22/18"</f>
        <v>8/22/18</v>
      </c>
      <c r="I4552" t="str">
        <f>"FRONTIER"</f>
        <v>FRONTIER</v>
      </c>
    </row>
    <row r="4553" spans="1:9" x14ac:dyDescent="0.25">
      <c r="A4553" s="6">
        <v>43335</v>
      </c>
      <c r="B4553" t="s">
        <v>26</v>
      </c>
      <c r="C4553">
        <v>58631</v>
      </c>
      <c r="D4553" t="s">
        <v>194</v>
      </c>
      <c r="E4553" s="7">
        <v>1903.9</v>
      </c>
      <c r="F4553" t="s">
        <v>20</v>
      </c>
      <c r="G4553" t="s">
        <v>21</v>
      </c>
      <c r="H4553" t="str">
        <f>"BC0648172"</f>
        <v>BC0648172</v>
      </c>
      <c r="I4553" t="str">
        <f>"PD EQUIPMENT"</f>
        <v>PD EQUIPMENT</v>
      </c>
    </row>
    <row r="4554" spans="1:9" x14ac:dyDescent="0.25">
      <c r="A4554" s="6">
        <v>43335</v>
      </c>
      <c r="B4554" t="s">
        <v>26</v>
      </c>
      <c r="C4554">
        <v>58632</v>
      </c>
      <c r="D4554" t="s">
        <v>195</v>
      </c>
      <c r="E4554" s="7">
        <v>2240.3200000000002</v>
      </c>
      <c r="F4554" t="s">
        <v>20</v>
      </c>
      <c r="G4554" t="s">
        <v>21</v>
      </c>
      <c r="H4554" t="str">
        <f>"1565201808"</f>
        <v>1565201808</v>
      </c>
      <c r="I4554" t="str">
        <f>"ARISTA INFORMATION SYSTEMS  IN"</f>
        <v>ARISTA INFORMATION SYSTEMS  IN</v>
      </c>
    </row>
    <row r="4555" spans="1:9" x14ac:dyDescent="0.25">
      <c r="E4555" s="7"/>
      <c r="F4555" t="s">
        <v>20</v>
      </c>
      <c r="G4555" t="s">
        <v>21</v>
      </c>
      <c r="H4555" t="str">
        <f>"25900"</f>
        <v>25900</v>
      </c>
      <c r="I4555" t="str">
        <f>"ARISTA INFORMATION SYSTEMS  IN"</f>
        <v>ARISTA INFORMATION SYSTEMS  IN</v>
      </c>
    </row>
    <row r="4556" spans="1:9" x14ac:dyDescent="0.25">
      <c r="A4556" s="6">
        <v>43335</v>
      </c>
      <c r="B4556" t="s">
        <v>26</v>
      </c>
      <c r="C4556">
        <v>58633</v>
      </c>
      <c r="D4556" t="s">
        <v>513</v>
      </c>
      <c r="E4556" s="7">
        <v>697.71</v>
      </c>
      <c r="F4556" t="s">
        <v>20</v>
      </c>
      <c r="G4556" t="s">
        <v>21</v>
      </c>
      <c r="H4556" t="str">
        <f>"14831"</f>
        <v>14831</v>
      </c>
      <c r="I4556" t="str">
        <f>"MASTERS ELECTRICAL SERVICES  L"</f>
        <v>MASTERS ELECTRICAL SERVICES  L</v>
      </c>
    </row>
    <row r="4557" spans="1:9" x14ac:dyDescent="0.25">
      <c r="A4557" s="6">
        <v>43335</v>
      </c>
      <c r="B4557" t="s">
        <v>26</v>
      </c>
      <c r="C4557">
        <v>58634</v>
      </c>
      <c r="D4557" t="s">
        <v>345</v>
      </c>
      <c r="E4557" s="7">
        <v>247.5</v>
      </c>
      <c r="F4557" t="s">
        <v>20</v>
      </c>
      <c r="G4557" t="s">
        <v>21</v>
      </c>
      <c r="H4557" t="str">
        <f>"8/20/18"</f>
        <v>8/20/18</v>
      </c>
      <c r="I4557" t="str">
        <f>"MICHAEL ISAAC MARTINEZ"</f>
        <v>MICHAEL ISAAC MARTINEZ</v>
      </c>
    </row>
    <row r="4558" spans="1:9" x14ac:dyDescent="0.25">
      <c r="A4558" s="6">
        <v>43335</v>
      </c>
      <c r="B4558" t="s">
        <v>91</v>
      </c>
      <c r="C4558">
        <v>58635</v>
      </c>
      <c r="D4558" t="s">
        <v>514</v>
      </c>
      <c r="E4558" s="7">
        <v>238.56</v>
      </c>
      <c r="F4558" t="s">
        <v>20</v>
      </c>
      <c r="G4558" t="s">
        <v>21</v>
      </c>
      <c r="H4558" t="str">
        <f>"20306"</f>
        <v>20306</v>
      </c>
      <c r="I4558" t="str">
        <f>"DANGER SIGNS"</f>
        <v>DANGER SIGNS</v>
      </c>
    </row>
    <row r="4559" spans="1:9" x14ac:dyDescent="0.25">
      <c r="A4559" s="6">
        <v>43335</v>
      </c>
      <c r="B4559" t="s">
        <v>91</v>
      </c>
      <c r="C4559">
        <v>58635</v>
      </c>
      <c r="D4559" t="s">
        <v>514</v>
      </c>
      <c r="E4559" s="7">
        <v>238.56</v>
      </c>
      <c r="F4559" t="s">
        <v>20</v>
      </c>
      <c r="G4559" t="s">
        <v>93</v>
      </c>
      <c r="H4559" t="str">
        <f>"CHECK"</f>
        <v>CHECK</v>
      </c>
      <c r="I4559" t="str">
        <f>""</f>
        <v/>
      </c>
    </row>
    <row r="4560" spans="1:9" x14ac:dyDescent="0.25">
      <c r="A4560" s="6">
        <v>43335</v>
      </c>
      <c r="B4560" t="s">
        <v>26</v>
      </c>
      <c r="C4560">
        <v>58636</v>
      </c>
      <c r="D4560" t="s">
        <v>50</v>
      </c>
      <c r="E4560" s="7">
        <v>461.23</v>
      </c>
      <c r="F4560" t="s">
        <v>20</v>
      </c>
      <c r="G4560" t="s">
        <v>21</v>
      </c>
      <c r="H4560" t="str">
        <f>"GFAOT 8/22/18"</f>
        <v>GFAOT 8/22/18</v>
      </c>
      <c r="I4560" t="str">
        <f>"CHRISTINA CANTU"</f>
        <v>CHRISTINA CANTU</v>
      </c>
    </row>
    <row r="4561" spans="1:9" x14ac:dyDescent="0.25">
      <c r="A4561" s="6">
        <v>43335</v>
      </c>
      <c r="B4561" t="s">
        <v>26</v>
      </c>
      <c r="C4561">
        <v>58637</v>
      </c>
      <c r="D4561" t="s">
        <v>100</v>
      </c>
      <c r="E4561" s="7">
        <v>1300</v>
      </c>
      <c r="F4561" t="s">
        <v>20</v>
      </c>
      <c r="G4561" t="s">
        <v>21</v>
      </c>
      <c r="H4561" t="str">
        <f>"4"</f>
        <v>4</v>
      </c>
      <c r="I4561" t="str">
        <f>"GAONA &amp; SONS"</f>
        <v>GAONA &amp; SONS</v>
      </c>
    </row>
    <row r="4562" spans="1:9" x14ac:dyDescent="0.25">
      <c r="A4562" s="6">
        <v>43335</v>
      </c>
      <c r="B4562" t="s">
        <v>26</v>
      </c>
      <c r="C4562">
        <v>58638</v>
      </c>
      <c r="D4562" t="s">
        <v>288</v>
      </c>
      <c r="E4562" s="7">
        <v>225</v>
      </c>
      <c r="F4562" t="s">
        <v>20</v>
      </c>
      <c r="G4562" t="s">
        <v>21</v>
      </c>
      <c r="H4562" t="str">
        <f>"8/20/18"</f>
        <v>8/20/18</v>
      </c>
      <c r="I4562" t="str">
        <f>"AXON ENTERPRISES INC"</f>
        <v>AXON ENTERPRISES INC</v>
      </c>
    </row>
    <row r="4563" spans="1:9" x14ac:dyDescent="0.25">
      <c r="A4563" s="6">
        <v>43335</v>
      </c>
      <c r="B4563" t="s">
        <v>26</v>
      </c>
      <c r="C4563">
        <v>58639</v>
      </c>
      <c r="D4563" t="s">
        <v>346</v>
      </c>
      <c r="E4563" s="7">
        <v>13750</v>
      </c>
      <c r="F4563" t="s">
        <v>20</v>
      </c>
      <c r="G4563" t="s">
        <v>21</v>
      </c>
      <c r="H4563" t="str">
        <f>"7/11-8/11 2018"</f>
        <v>7/11-8/11 2018</v>
      </c>
      <c r="I4563" t="str">
        <f>"SYLVIA RODRIGUEZ"</f>
        <v>SYLVIA RODRIGUEZ</v>
      </c>
    </row>
    <row r="4564" spans="1:9" x14ac:dyDescent="0.25">
      <c r="A4564" s="6">
        <v>43335</v>
      </c>
      <c r="B4564" t="s">
        <v>26</v>
      </c>
      <c r="C4564">
        <v>58640</v>
      </c>
      <c r="D4564" t="s">
        <v>398</v>
      </c>
      <c r="E4564" s="7">
        <v>9590.08</v>
      </c>
      <c r="F4564" t="s">
        <v>20</v>
      </c>
      <c r="G4564" t="s">
        <v>21</v>
      </c>
      <c r="H4564" t="str">
        <f>"570"</f>
        <v>570</v>
      </c>
      <c r="I4564" t="str">
        <f>"INTERCEPTOR TECHNOLOGY GROUP L"</f>
        <v>INTERCEPTOR TECHNOLOGY GROUP L</v>
      </c>
    </row>
    <row r="4565" spans="1:9" x14ac:dyDescent="0.25">
      <c r="A4565" s="6">
        <v>43335</v>
      </c>
      <c r="B4565" t="s">
        <v>91</v>
      </c>
      <c r="C4565">
        <v>58641</v>
      </c>
      <c r="D4565" t="s">
        <v>515</v>
      </c>
      <c r="E4565" s="7">
        <v>1785</v>
      </c>
      <c r="F4565" t="s">
        <v>20</v>
      </c>
      <c r="G4565" t="s">
        <v>21</v>
      </c>
      <c r="H4565" t="str">
        <f>"14040"</f>
        <v>14040</v>
      </c>
      <c r="I4565" t="str">
        <f>"S.O.L Gun Works  LLC"</f>
        <v>S.O.L Gun Works  LLC</v>
      </c>
    </row>
    <row r="4566" spans="1:9" x14ac:dyDescent="0.25">
      <c r="A4566" s="6">
        <v>43335</v>
      </c>
      <c r="B4566" t="s">
        <v>91</v>
      </c>
      <c r="C4566">
        <v>58641</v>
      </c>
      <c r="D4566" t="s">
        <v>515</v>
      </c>
      <c r="E4566" s="7">
        <v>1785</v>
      </c>
      <c r="F4566" t="s">
        <v>20</v>
      </c>
      <c r="G4566" t="s">
        <v>93</v>
      </c>
      <c r="H4566" t="str">
        <f>"CHECK"</f>
        <v>CHECK</v>
      </c>
      <c r="I4566" t="str">
        <f>""</f>
        <v/>
      </c>
    </row>
    <row r="4567" spans="1:9" x14ac:dyDescent="0.25">
      <c r="A4567" s="6">
        <v>43335</v>
      </c>
      <c r="B4567" t="s">
        <v>26</v>
      </c>
      <c r="C4567">
        <v>58642</v>
      </c>
      <c r="D4567" t="s">
        <v>446</v>
      </c>
      <c r="E4567" s="7">
        <v>140</v>
      </c>
      <c r="F4567" t="s">
        <v>20</v>
      </c>
      <c r="G4567" t="s">
        <v>21</v>
      </c>
      <c r="H4567" t="str">
        <f>"001"</f>
        <v>001</v>
      </c>
      <c r="I4567" t="str">
        <f>"ISAIAH BARRIENTEZ"</f>
        <v>ISAIAH BARRIENTEZ</v>
      </c>
    </row>
    <row r="4568" spans="1:9" x14ac:dyDescent="0.25">
      <c r="A4568" s="6">
        <v>43335</v>
      </c>
      <c r="B4568" t="s">
        <v>26</v>
      </c>
      <c r="C4568">
        <v>58643</v>
      </c>
      <c r="D4568" t="s">
        <v>447</v>
      </c>
      <c r="E4568" s="7">
        <v>140</v>
      </c>
      <c r="F4568" t="s">
        <v>20</v>
      </c>
      <c r="G4568" t="s">
        <v>21</v>
      </c>
      <c r="H4568" t="str">
        <f>"001"</f>
        <v>001</v>
      </c>
      <c r="I4568" t="str">
        <f>"VICTOR FAVELLA"</f>
        <v>VICTOR FAVELLA</v>
      </c>
    </row>
    <row r="4569" spans="1:9" x14ac:dyDescent="0.25">
      <c r="A4569" s="6">
        <v>43335</v>
      </c>
      <c r="B4569" t="s">
        <v>26</v>
      </c>
      <c r="C4569">
        <v>58644</v>
      </c>
      <c r="D4569" t="s">
        <v>461</v>
      </c>
      <c r="E4569" s="7">
        <v>45</v>
      </c>
      <c r="F4569" t="s">
        <v>20</v>
      </c>
      <c r="G4569" t="s">
        <v>21</v>
      </c>
      <c r="H4569" t="str">
        <f>"8/21/18"</f>
        <v>8/21/18</v>
      </c>
      <c r="I4569" t="str">
        <f>"CHRISTOPHER MICHAEL PEREZ"</f>
        <v>CHRISTOPHER MICHAEL PEREZ</v>
      </c>
    </row>
    <row r="4570" spans="1:9" x14ac:dyDescent="0.25">
      <c r="A4570" s="6">
        <v>43335</v>
      </c>
      <c r="B4570" t="s">
        <v>26</v>
      </c>
      <c r="C4570">
        <v>58645</v>
      </c>
      <c r="D4570" t="s">
        <v>516</v>
      </c>
      <c r="E4570" s="7">
        <v>2342.4899999999998</v>
      </c>
      <c r="F4570" t="s">
        <v>20</v>
      </c>
      <c r="G4570" t="s">
        <v>21</v>
      </c>
      <c r="H4570" t="str">
        <f>"SAN08180683"</f>
        <v>SAN08180683</v>
      </c>
      <c r="I4570" t="str">
        <f>"CBT PARTNERS LTD-JANI KING"</f>
        <v>CBT PARTNERS LTD-JANI KING</v>
      </c>
    </row>
    <row r="4571" spans="1:9" x14ac:dyDescent="0.25">
      <c r="A4571" s="6">
        <v>43335</v>
      </c>
      <c r="B4571" t="s">
        <v>26</v>
      </c>
      <c r="C4571">
        <v>58646</v>
      </c>
      <c r="D4571" t="s">
        <v>517</v>
      </c>
      <c r="E4571" s="7">
        <v>500</v>
      </c>
      <c r="F4571" t="s">
        <v>20</v>
      </c>
      <c r="G4571" t="s">
        <v>21</v>
      </c>
      <c r="H4571" t="str">
        <f>"TRNG 10/1/18"</f>
        <v>TRNG 10/1/18</v>
      </c>
      <c r="I4571" t="str">
        <f>"CRAIG ALLEN KRAUSE"</f>
        <v>CRAIG ALLEN KRAUSE</v>
      </c>
    </row>
    <row r="4572" spans="1:9" x14ac:dyDescent="0.25">
      <c r="A4572" s="6">
        <v>43340</v>
      </c>
      <c r="B4572" t="s">
        <v>26</v>
      </c>
      <c r="C4572">
        <v>58647</v>
      </c>
      <c r="D4572" t="s">
        <v>59</v>
      </c>
      <c r="E4572" s="7">
        <v>91.13</v>
      </c>
      <c r="F4572" t="s">
        <v>20</v>
      </c>
      <c r="G4572" t="s">
        <v>21</v>
      </c>
      <c r="H4572" t="str">
        <f>"0980571"</f>
        <v>0980571</v>
      </c>
      <c r="I4572" t="str">
        <f>"WATER FILTER"</f>
        <v>WATER FILTER</v>
      </c>
    </row>
    <row r="4573" spans="1:9" x14ac:dyDescent="0.25">
      <c r="A4573" s="6">
        <v>43340</v>
      </c>
      <c r="B4573" t="s">
        <v>26</v>
      </c>
      <c r="C4573">
        <v>58648</v>
      </c>
      <c r="D4573" t="s">
        <v>179</v>
      </c>
      <c r="E4573" s="7">
        <v>1421.85</v>
      </c>
      <c r="F4573" t="s">
        <v>20</v>
      </c>
      <c r="G4573" t="s">
        <v>21</v>
      </c>
      <c r="H4573" t="str">
        <f>"FOCS233220"</f>
        <v>FOCS233220</v>
      </c>
      <c r="I4573" t="str">
        <f>"ANCIRA FORD-MERCURY"</f>
        <v>ANCIRA FORD-MERCURY</v>
      </c>
    </row>
    <row r="4574" spans="1:9" x14ac:dyDescent="0.25">
      <c r="E4574" s="7"/>
      <c r="F4574" t="s">
        <v>20</v>
      </c>
      <c r="G4574" t="s">
        <v>21</v>
      </c>
      <c r="H4574" t="str">
        <f>"FOW53067F"</f>
        <v>FOW53067F</v>
      </c>
      <c r="I4574" t="str">
        <f>"RIGHT REAR WINDOW REPLMT"</f>
        <v>RIGHT REAR WINDOW REPLMT</v>
      </c>
    </row>
    <row r="4575" spans="1:9" x14ac:dyDescent="0.25">
      <c r="E4575" s="7"/>
      <c r="F4575" t="s">
        <v>20</v>
      </c>
      <c r="G4575" t="s">
        <v>21</v>
      </c>
      <c r="H4575" t="str">
        <f>"FOW53693"</f>
        <v>FOW53693</v>
      </c>
      <c r="I4575" t="str">
        <f>"VEHICLE REPAIRS"</f>
        <v>VEHICLE REPAIRS</v>
      </c>
    </row>
    <row r="4576" spans="1:9" x14ac:dyDescent="0.25">
      <c r="E4576" s="7"/>
      <c r="F4576" t="s">
        <v>20</v>
      </c>
      <c r="G4576" t="s">
        <v>21</v>
      </c>
      <c r="H4576" t="str">
        <f>"FOWS233032"</f>
        <v>FOWS233032</v>
      </c>
      <c r="I4576" t="str">
        <f>"VEHICLE REPAIRS"</f>
        <v>VEHICLE REPAIRS</v>
      </c>
    </row>
    <row r="4577" spans="1:9" x14ac:dyDescent="0.25">
      <c r="A4577" s="6">
        <v>43340</v>
      </c>
      <c r="B4577" t="s">
        <v>26</v>
      </c>
      <c r="C4577">
        <v>58649</v>
      </c>
      <c r="D4577" t="s">
        <v>340</v>
      </c>
      <c r="E4577" s="7">
        <v>644.82000000000005</v>
      </c>
      <c r="F4577" t="s">
        <v>20</v>
      </c>
      <c r="G4577" t="s">
        <v>21</v>
      </c>
      <c r="H4577" t="str">
        <f>"1810314396"</f>
        <v>1810314396</v>
      </c>
      <c r="I4577" t="str">
        <f>"O'REILLY AUTOMOTIVE  INC."</f>
        <v>O'REILLY AUTOMOTIVE  INC.</v>
      </c>
    </row>
    <row r="4578" spans="1:9" x14ac:dyDescent="0.25">
      <c r="E4578" s="7"/>
      <c r="F4578" t="s">
        <v>20</v>
      </c>
      <c r="G4578" t="s">
        <v>21</v>
      </c>
      <c r="H4578" t="str">
        <f>"1810326268"</f>
        <v>1810326268</v>
      </c>
      <c r="I4578" t="str">
        <f>"MOTOR MOUNT"</f>
        <v>MOTOR MOUNT</v>
      </c>
    </row>
    <row r="4579" spans="1:9" x14ac:dyDescent="0.25">
      <c r="E4579" s="7"/>
      <c r="F4579" t="s">
        <v>20</v>
      </c>
      <c r="G4579" t="s">
        <v>21</v>
      </c>
      <c r="H4579" t="str">
        <f>"1810327231"</f>
        <v>1810327231</v>
      </c>
      <c r="I4579" t="str">
        <f>"COMPRESSOR ACCUMULATOR"</f>
        <v>COMPRESSOR ACCUMULATOR</v>
      </c>
    </row>
    <row r="4580" spans="1:9" x14ac:dyDescent="0.25">
      <c r="A4580" s="6">
        <v>43340</v>
      </c>
      <c r="B4580" t="s">
        <v>26</v>
      </c>
      <c r="C4580">
        <v>58650</v>
      </c>
      <c r="D4580" t="s">
        <v>61</v>
      </c>
      <c r="E4580" s="7">
        <v>300</v>
      </c>
      <c r="F4580" t="s">
        <v>20</v>
      </c>
      <c r="G4580" t="s">
        <v>21</v>
      </c>
      <c r="H4580" t="str">
        <f>"025-233580"</f>
        <v>025-233580</v>
      </c>
      <c r="I4580" t="str">
        <f>"TYLER TECHNOLOGIES  INC."</f>
        <v>TYLER TECHNOLOGIES  INC.</v>
      </c>
    </row>
    <row r="4581" spans="1:9" x14ac:dyDescent="0.25">
      <c r="A4581" s="6">
        <v>43340</v>
      </c>
      <c r="B4581" t="s">
        <v>26</v>
      </c>
      <c r="C4581">
        <v>58651</v>
      </c>
      <c r="D4581" t="s">
        <v>115</v>
      </c>
      <c r="E4581" s="7">
        <v>114.97</v>
      </c>
      <c r="F4581" t="s">
        <v>20</v>
      </c>
      <c r="G4581" t="s">
        <v>21</v>
      </c>
      <c r="H4581" t="str">
        <f>"3547226410"</f>
        <v>3547226410</v>
      </c>
      <c r="I4581" t="str">
        <f>"BATTERY"</f>
        <v>BATTERY</v>
      </c>
    </row>
    <row r="4582" spans="1:9" x14ac:dyDescent="0.25">
      <c r="A4582" s="6">
        <v>43340</v>
      </c>
      <c r="B4582" t="s">
        <v>91</v>
      </c>
      <c r="C4582">
        <v>58652</v>
      </c>
      <c r="D4582" t="s">
        <v>117</v>
      </c>
      <c r="E4582" s="7">
        <v>2255.54</v>
      </c>
      <c r="F4582" t="s">
        <v>20</v>
      </c>
      <c r="G4582" t="s">
        <v>21</v>
      </c>
      <c r="H4582" t="str">
        <f>"7/2018"</f>
        <v>7/2018</v>
      </c>
      <c r="I4582" t="str">
        <f>"LINEBARGER GOGGAN BLAIR &amp; SAMP"</f>
        <v>LINEBARGER GOGGAN BLAIR &amp; SAMP</v>
      </c>
    </row>
    <row r="4583" spans="1:9" x14ac:dyDescent="0.25">
      <c r="A4583" s="6">
        <v>43340</v>
      </c>
      <c r="B4583" t="s">
        <v>91</v>
      </c>
      <c r="C4583">
        <v>58652</v>
      </c>
      <c r="D4583" t="s">
        <v>117</v>
      </c>
      <c r="E4583" s="7">
        <v>2255.54</v>
      </c>
      <c r="F4583" t="s">
        <v>20</v>
      </c>
      <c r="G4583" t="s">
        <v>93</v>
      </c>
      <c r="H4583" t="str">
        <f>"CHECK"</f>
        <v>CHECK</v>
      </c>
      <c r="I4583" t="str">
        <f>""</f>
        <v/>
      </c>
    </row>
    <row r="4584" spans="1:9" x14ac:dyDescent="0.25">
      <c r="A4584" s="6">
        <v>43340</v>
      </c>
      <c r="B4584" t="s">
        <v>26</v>
      </c>
      <c r="C4584">
        <v>58653</v>
      </c>
      <c r="D4584" t="s">
        <v>119</v>
      </c>
      <c r="E4584" s="7">
        <v>24</v>
      </c>
      <c r="F4584" t="s">
        <v>20</v>
      </c>
      <c r="G4584" t="s">
        <v>21</v>
      </c>
      <c r="H4584" t="str">
        <f>"43457"</f>
        <v>43457</v>
      </c>
      <c r="I4584" t="str">
        <f>"TIRE REPAIR"</f>
        <v>TIRE REPAIR</v>
      </c>
    </row>
    <row r="4585" spans="1:9" x14ac:dyDescent="0.25">
      <c r="A4585" s="6">
        <v>43340</v>
      </c>
      <c r="B4585" t="s">
        <v>26</v>
      </c>
      <c r="C4585">
        <v>58654</v>
      </c>
      <c r="D4585" t="s">
        <v>69</v>
      </c>
      <c r="E4585" s="7">
        <v>102.92</v>
      </c>
      <c r="F4585" t="s">
        <v>20</v>
      </c>
      <c r="G4585" t="s">
        <v>21</v>
      </c>
      <c r="H4585" t="str">
        <f>"3391534"</f>
        <v>3391534</v>
      </c>
      <c r="I4585" t="str">
        <f>"EWALD TRACTOR SUPPLY"</f>
        <v>EWALD TRACTOR SUPPLY</v>
      </c>
    </row>
    <row r="4586" spans="1:9" x14ac:dyDescent="0.25">
      <c r="E4586" s="7"/>
      <c r="F4586" t="s">
        <v>20</v>
      </c>
      <c r="G4586" t="s">
        <v>21</v>
      </c>
      <c r="H4586" t="str">
        <f>"3391856"</f>
        <v>3391856</v>
      </c>
      <c r="I4586" t="str">
        <f>"EWALD TRACTOR SUPPLY"</f>
        <v>EWALD TRACTOR SUPPLY</v>
      </c>
    </row>
    <row r="4587" spans="1:9" x14ac:dyDescent="0.25">
      <c r="A4587" s="6">
        <v>43340</v>
      </c>
      <c r="B4587" t="s">
        <v>26</v>
      </c>
      <c r="C4587">
        <v>58655</v>
      </c>
      <c r="D4587" t="s">
        <v>159</v>
      </c>
      <c r="E4587" s="7">
        <v>845.89</v>
      </c>
      <c r="F4587" t="s">
        <v>20</v>
      </c>
      <c r="G4587" t="s">
        <v>21</v>
      </c>
      <c r="H4587" t="str">
        <f>"37774"</f>
        <v>37774</v>
      </c>
      <c r="I4587" t="str">
        <f>"PHOTOGRAPHS BY JIM"</f>
        <v>PHOTOGRAPHS BY JIM</v>
      </c>
    </row>
    <row r="4588" spans="1:9" x14ac:dyDescent="0.25">
      <c r="E4588" s="7"/>
      <c r="F4588" t="s">
        <v>20</v>
      </c>
      <c r="G4588" t="s">
        <v>21</v>
      </c>
      <c r="H4588" t="str">
        <f>"37784"</f>
        <v>37784</v>
      </c>
      <c r="I4588" t="str">
        <f>"PHOTOGRAPHS BY JIM"</f>
        <v>PHOTOGRAPHS BY JIM</v>
      </c>
    </row>
    <row r="4589" spans="1:9" x14ac:dyDescent="0.25">
      <c r="A4589" s="6">
        <v>43340</v>
      </c>
      <c r="B4589" t="s">
        <v>26</v>
      </c>
      <c r="C4589">
        <v>58656</v>
      </c>
      <c r="D4589" t="s">
        <v>146</v>
      </c>
      <c r="E4589" s="7">
        <v>1230</v>
      </c>
      <c r="F4589" t="s">
        <v>20</v>
      </c>
      <c r="G4589" t="s">
        <v>21</v>
      </c>
      <c r="H4589" t="str">
        <f>"557133"</f>
        <v>557133</v>
      </c>
      <c r="I4589" t="str">
        <f>"LARRY SRALLA ELECTRIC"</f>
        <v>LARRY SRALLA ELECTRIC</v>
      </c>
    </row>
    <row r="4590" spans="1:9" x14ac:dyDescent="0.25">
      <c r="E4590" s="7"/>
      <c r="F4590" t="s">
        <v>20</v>
      </c>
      <c r="G4590" t="s">
        <v>21</v>
      </c>
      <c r="H4590" t="str">
        <f>"557134"</f>
        <v>557134</v>
      </c>
      <c r="I4590" t="str">
        <f>"LARRY SRALLA ELECTRIC"</f>
        <v>LARRY SRALLA ELECTRIC</v>
      </c>
    </row>
    <row r="4591" spans="1:9" x14ac:dyDescent="0.25">
      <c r="E4591" s="7"/>
      <c r="F4591" t="s">
        <v>20</v>
      </c>
      <c r="G4591" t="s">
        <v>21</v>
      </c>
      <c r="H4591" t="str">
        <f>"557135"</f>
        <v>557135</v>
      </c>
      <c r="I4591" t="str">
        <f>"LARRY SRALLA ELECTRIC"</f>
        <v>LARRY SRALLA ELECTRIC</v>
      </c>
    </row>
    <row r="4592" spans="1:9" x14ac:dyDescent="0.25">
      <c r="A4592" s="6">
        <v>43340</v>
      </c>
      <c r="B4592" t="s">
        <v>26</v>
      </c>
      <c r="C4592">
        <v>58657</v>
      </c>
      <c r="D4592" t="s">
        <v>29</v>
      </c>
      <c r="E4592" s="7">
        <v>17014.3</v>
      </c>
      <c r="F4592" t="s">
        <v>20</v>
      </c>
      <c r="G4592" t="s">
        <v>21</v>
      </c>
      <c r="H4592" t="str">
        <f>"32928"</f>
        <v>32928</v>
      </c>
      <c r="I4592" t="str">
        <f>"M &amp; S ENGINEERING  LLC"</f>
        <v>M &amp; S ENGINEERING  LLC</v>
      </c>
    </row>
    <row r="4593" spans="1:9" x14ac:dyDescent="0.25">
      <c r="E4593" s="7"/>
      <c r="F4593" t="s">
        <v>20</v>
      </c>
      <c r="G4593" t="s">
        <v>21</v>
      </c>
      <c r="H4593" t="str">
        <f>"33118"</f>
        <v>33118</v>
      </c>
      <c r="I4593" t="str">
        <f>"M &amp; S ENGINEERING  LLC"</f>
        <v>M &amp; S ENGINEERING  LLC</v>
      </c>
    </row>
    <row r="4594" spans="1:9" x14ac:dyDescent="0.25">
      <c r="A4594" s="6">
        <v>43340</v>
      </c>
      <c r="B4594" t="s">
        <v>26</v>
      </c>
      <c r="C4594">
        <v>58658</v>
      </c>
      <c r="D4594" t="s">
        <v>122</v>
      </c>
      <c r="E4594" s="7">
        <v>520</v>
      </c>
      <c r="F4594" t="s">
        <v>20</v>
      </c>
      <c r="G4594" t="s">
        <v>21</v>
      </c>
      <c r="H4594" t="str">
        <f>"222835"</f>
        <v>222835</v>
      </c>
      <c r="I4594" t="str">
        <f>"NEW TIRES"</f>
        <v>NEW TIRES</v>
      </c>
    </row>
    <row r="4595" spans="1:9" x14ac:dyDescent="0.25">
      <c r="A4595" s="6">
        <v>43340</v>
      </c>
      <c r="B4595" t="s">
        <v>26</v>
      </c>
      <c r="C4595">
        <v>58659</v>
      </c>
      <c r="D4595" t="s">
        <v>123</v>
      </c>
      <c r="E4595" s="7">
        <v>400.38</v>
      </c>
      <c r="F4595" t="s">
        <v>20</v>
      </c>
      <c r="G4595" t="s">
        <v>21</v>
      </c>
      <c r="H4595" t="str">
        <f>"167951891003"</f>
        <v>167951891003</v>
      </c>
      <c r="I4595" t="str">
        <f>"OFFICE SUPPLIES"</f>
        <v>OFFICE SUPPLIES</v>
      </c>
    </row>
    <row r="4596" spans="1:9" x14ac:dyDescent="0.25">
      <c r="E4596" s="7"/>
      <c r="F4596" t="s">
        <v>20</v>
      </c>
      <c r="G4596" t="s">
        <v>21</v>
      </c>
      <c r="H4596" t="str">
        <f>"167954280001"</f>
        <v>167954280001</v>
      </c>
      <c r="I4596" t="str">
        <f>"OFFICE SUPPLIES"</f>
        <v>OFFICE SUPPLIES</v>
      </c>
    </row>
    <row r="4597" spans="1:9" x14ac:dyDescent="0.25">
      <c r="A4597" s="6">
        <v>43340</v>
      </c>
      <c r="B4597" t="s">
        <v>26</v>
      </c>
      <c r="C4597">
        <v>58660</v>
      </c>
      <c r="D4597" t="s">
        <v>137</v>
      </c>
      <c r="E4597" s="7">
        <v>69.95</v>
      </c>
      <c r="F4597" t="s">
        <v>20</v>
      </c>
      <c r="G4597" t="s">
        <v>21</v>
      </c>
      <c r="H4597" t="str">
        <f>"1493"</f>
        <v>1493</v>
      </c>
      <c r="I4597" t="str">
        <f>"OMNIBUS-M  INC.D.B.A."</f>
        <v>OMNIBUS-M  INC.D.B.A.</v>
      </c>
    </row>
    <row r="4598" spans="1:9" x14ac:dyDescent="0.25">
      <c r="A4598" s="6">
        <v>43340</v>
      </c>
      <c r="B4598" t="s">
        <v>26</v>
      </c>
      <c r="C4598">
        <v>58661</v>
      </c>
      <c r="D4598" t="s">
        <v>518</v>
      </c>
      <c r="E4598" s="7">
        <v>150</v>
      </c>
      <c r="F4598" t="s">
        <v>20</v>
      </c>
      <c r="G4598" t="s">
        <v>21</v>
      </c>
      <c r="H4598" t="str">
        <f>"1249"</f>
        <v>1249</v>
      </c>
      <c r="I4598" t="str">
        <f>"OZ MONUMENTS"</f>
        <v>OZ MONUMENTS</v>
      </c>
    </row>
    <row r="4599" spans="1:9" x14ac:dyDescent="0.25">
      <c r="A4599" s="6">
        <v>43340</v>
      </c>
      <c r="B4599" t="s">
        <v>26</v>
      </c>
      <c r="C4599">
        <v>58662</v>
      </c>
      <c r="D4599" t="s">
        <v>387</v>
      </c>
      <c r="E4599" s="7">
        <v>1589.5</v>
      </c>
      <c r="F4599" t="s">
        <v>20</v>
      </c>
      <c r="G4599" t="s">
        <v>21</v>
      </c>
      <c r="H4599" t="str">
        <f>"F02899-SA"</f>
        <v>F02899-SA</v>
      </c>
      <c r="I4599" t="str">
        <f>"BARCO PUMP"</f>
        <v>BARCO PUMP</v>
      </c>
    </row>
    <row r="4600" spans="1:9" x14ac:dyDescent="0.25">
      <c r="E4600" s="7"/>
      <c r="F4600" t="s">
        <v>20</v>
      </c>
      <c r="G4600" t="s">
        <v>21</v>
      </c>
      <c r="H4600" t="str">
        <f>"F03003-SA"</f>
        <v>F03003-SA</v>
      </c>
      <c r="I4600" t="str">
        <f>"BARCO PUMP"</f>
        <v>BARCO PUMP</v>
      </c>
    </row>
    <row r="4601" spans="1:9" x14ac:dyDescent="0.25">
      <c r="A4601" s="6">
        <v>43340</v>
      </c>
      <c r="B4601" t="s">
        <v>26</v>
      </c>
      <c r="C4601">
        <v>58663</v>
      </c>
      <c r="D4601" t="s">
        <v>153</v>
      </c>
      <c r="E4601" s="7">
        <v>1100</v>
      </c>
      <c r="F4601" t="s">
        <v>20</v>
      </c>
      <c r="G4601" t="s">
        <v>21</v>
      </c>
      <c r="H4601" t="str">
        <f>"PEANUT FEST"</f>
        <v>PEANUT FEST</v>
      </c>
      <c r="I4601" t="str">
        <f>"FULLER COMPANY"</f>
        <v>FULLER COMPANY</v>
      </c>
    </row>
    <row r="4602" spans="1:9" x14ac:dyDescent="0.25">
      <c r="A4602" s="6">
        <v>43340</v>
      </c>
      <c r="B4602" t="s">
        <v>26</v>
      </c>
      <c r="C4602">
        <v>58664</v>
      </c>
      <c r="D4602" t="s">
        <v>85</v>
      </c>
      <c r="E4602" s="7">
        <v>344.8</v>
      </c>
      <c r="F4602" t="s">
        <v>20</v>
      </c>
      <c r="G4602" t="s">
        <v>21</v>
      </c>
      <c r="H4602" t="str">
        <f>"201808288472"</f>
        <v>201808288472</v>
      </c>
      <c r="I4602" t="str">
        <f>"FRONTIER"</f>
        <v>FRONTIER</v>
      </c>
    </row>
    <row r="4603" spans="1:9" x14ac:dyDescent="0.25">
      <c r="E4603" s="7"/>
      <c r="F4603" t="s">
        <v>20</v>
      </c>
      <c r="G4603" t="s">
        <v>21</v>
      </c>
      <c r="H4603" t="str">
        <f>"201808288473"</f>
        <v>201808288473</v>
      </c>
      <c r="I4603" t="str">
        <f>"FRONTIER"</f>
        <v>FRONTIER</v>
      </c>
    </row>
    <row r="4604" spans="1:9" x14ac:dyDescent="0.25">
      <c r="E4604" s="7"/>
      <c r="F4604" t="s">
        <v>20</v>
      </c>
      <c r="G4604" t="s">
        <v>21</v>
      </c>
      <c r="H4604" t="str">
        <f>"201808288474"</f>
        <v>201808288474</v>
      </c>
      <c r="I4604" t="str">
        <f>"FRONTIER"</f>
        <v>FRONTIER</v>
      </c>
    </row>
    <row r="4605" spans="1:9" x14ac:dyDescent="0.25">
      <c r="E4605" s="7"/>
      <c r="F4605" t="s">
        <v>20</v>
      </c>
      <c r="G4605" t="s">
        <v>21</v>
      </c>
      <c r="H4605" t="str">
        <f>"201808288475"</f>
        <v>201808288475</v>
      </c>
      <c r="I4605" t="str">
        <f>"FRONTIER"</f>
        <v>FRONTIER</v>
      </c>
    </row>
    <row r="4606" spans="1:9" x14ac:dyDescent="0.25">
      <c r="E4606" s="7"/>
      <c r="F4606" t="s">
        <v>20</v>
      </c>
      <c r="G4606" t="s">
        <v>21</v>
      </c>
      <c r="H4606" t="str">
        <f>"201808288476"</f>
        <v>201808288476</v>
      </c>
      <c r="I4606" t="str">
        <f>"FRONTIER"</f>
        <v>FRONTIER</v>
      </c>
    </row>
    <row r="4607" spans="1:9" x14ac:dyDescent="0.25">
      <c r="A4607" s="6">
        <v>43340</v>
      </c>
      <c r="B4607" t="s">
        <v>26</v>
      </c>
      <c r="C4607">
        <v>58665</v>
      </c>
      <c r="D4607" t="s">
        <v>132</v>
      </c>
      <c r="E4607" s="7">
        <v>66.91</v>
      </c>
      <c r="F4607" t="s">
        <v>20</v>
      </c>
      <c r="G4607" t="s">
        <v>21</v>
      </c>
      <c r="H4607" t="str">
        <f>"16008854081518"</f>
        <v>16008854081518</v>
      </c>
      <c r="I4607" t="str">
        <f>"SPARKLETTS &amp; SIERRA SPRINGS"</f>
        <v>SPARKLETTS &amp; SIERRA SPRINGS</v>
      </c>
    </row>
    <row r="4608" spans="1:9" x14ac:dyDescent="0.25">
      <c r="A4608" s="6">
        <v>43341</v>
      </c>
      <c r="B4608" t="s">
        <v>26</v>
      </c>
      <c r="C4608">
        <v>58692</v>
      </c>
      <c r="D4608" t="s">
        <v>51</v>
      </c>
      <c r="E4608" s="7">
        <v>309.37</v>
      </c>
      <c r="F4608" t="s">
        <v>20</v>
      </c>
      <c r="G4608" t="s">
        <v>21</v>
      </c>
      <c r="H4608" t="str">
        <f>"CLE201808298477"</f>
        <v>CLE201808298477</v>
      </c>
      <c r="I4608" t="str">
        <f>"CLEAT ONLY DUES"</f>
        <v>CLEAT ONLY DUES</v>
      </c>
    </row>
    <row r="4609" spans="1:9" x14ac:dyDescent="0.25">
      <c r="E4609" s="7"/>
      <c r="F4609" t="s">
        <v>20</v>
      </c>
      <c r="G4609" t="s">
        <v>21</v>
      </c>
      <c r="H4609" t="str">
        <f>"PDD201808298477"</f>
        <v>PDD201808298477</v>
      </c>
      <c r="I4609" t="str">
        <f>"POLICE OFFICERS ASSOC DUES"</f>
        <v>POLICE OFFICERS ASSOC DUES</v>
      </c>
    </row>
    <row r="4610" spans="1:9" x14ac:dyDescent="0.25">
      <c r="A4610" s="6">
        <v>43341</v>
      </c>
      <c r="B4610" t="s">
        <v>91</v>
      </c>
      <c r="C4610">
        <v>58693</v>
      </c>
      <c r="D4610" t="s">
        <v>90</v>
      </c>
      <c r="E4610" s="7">
        <v>101.1</v>
      </c>
      <c r="F4610" t="s">
        <v>20</v>
      </c>
      <c r="G4610" t="s">
        <v>21</v>
      </c>
      <c r="H4610" t="str">
        <f>"AFS201808298477"</f>
        <v>AFS201808298477</v>
      </c>
      <c r="I4610" t="str">
        <f>"AFLAC STD"</f>
        <v>AFLAC STD</v>
      </c>
    </row>
    <row r="4611" spans="1:9" x14ac:dyDescent="0.25">
      <c r="A4611" s="6">
        <v>43341</v>
      </c>
      <c r="B4611" t="s">
        <v>26</v>
      </c>
      <c r="C4611">
        <v>58694</v>
      </c>
      <c r="D4611" t="s">
        <v>52</v>
      </c>
      <c r="E4611" s="7">
        <v>1123.9100000000001</v>
      </c>
      <c r="F4611" t="s">
        <v>20</v>
      </c>
      <c r="G4611" t="s">
        <v>21</v>
      </c>
      <c r="H4611" t="str">
        <f>"CPS201808298477"</f>
        <v>CPS201808298477</v>
      </c>
      <c r="I4611" t="str">
        <f>"G MENDOZA 00123012032010EM5054"</f>
        <v>G MENDOZA 00123012032010EM5054</v>
      </c>
    </row>
    <row r="4612" spans="1:9" x14ac:dyDescent="0.25">
      <c r="E4612" s="7"/>
      <c r="F4612" t="s">
        <v>20</v>
      </c>
      <c r="G4612" t="s">
        <v>21</v>
      </c>
      <c r="H4612" t="str">
        <f>"CS 201808298477"</f>
        <v>CS 201808298477</v>
      </c>
      <c r="I4612" t="str">
        <f>"CAUSE#98EM504113 PEGGY RIVAS"</f>
        <v>CAUSE#98EM504113 PEGGY RIVAS</v>
      </c>
    </row>
    <row r="4613" spans="1:9" x14ac:dyDescent="0.25">
      <c r="E4613" s="7"/>
      <c r="F4613" t="s">
        <v>20</v>
      </c>
      <c r="G4613" t="s">
        <v>21</v>
      </c>
      <c r="H4613" t="str">
        <f>"CSJ201808298477"</f>
        <v>CSJ201808298477</v>
      </c>
      <c r="I4613" t="str">
        <f>"CAUSE# 0010185272 MARIANN GUTI"</f>
        <v>CAUSE# 0010185272 MARIANN GUTI</v>
      </c>
    </row>
    <row r="4614" spans="1:9" x14ac:dyDescent="0.25">
      <c r="A4614" s="6">
        <v>43341</v>
      </c>
      <c r="B4614" t="s">
        <v>26</v>
      </c>
      <c r="C4614">
        <v>58695</v>
      </c>
      <c r="D4614" t="s">
        <v>53</v>
      </c>
      <c r="E4614" s="7">
        <v>99.1</v>
      </c>
      <c r="F4614" t="s">
        <v>20</v>
      </c>
      <c r="G4614" t="s">
        <v>21</v>
      </c>
      <c r="H4614" t="str">
        <f>"MCO201808298477"</f>
        <v>MCO201808298477</v>
      </c>
      <c r="I4614" t="str">
        <f>"MONICA CORDOVA"</f>
        <v>MONICA CORDOVA</v>
      </c>
    </row>
    <row r="4615" spans="1:9" x14ac:dyDescent="0.25">
      <c r="A4615" s="6">
        <v>43341</v>
      </c>
      <c r="B4615" t="s">
        <v>91</v>
      </c>
      <c r="C4615">
        <v>58696</v>
      </c>
      <c r="D4615" t="s">
        <v>54</v>
      </c>
      <c r="E4615" s="7">
        <v>977.1</v>
      </c>
      <c r="F4615" t="s">
        <v>20</v>
      </c>
      <c r="G4615" t="s">
        <v>21</v>
      </c>
      <c r="H4615" t="str">
        <f>"457201808298477"</f>
        <v>457201808298477</v>
      </c>
      <c r="I4615" t="str">
        <f>"CASE # 180-60751 457B DEDUCT"</f>
        <v>CASE # 180-60751 457B DEDUCT</v>
      </c>
    </row>
    <row r="4616" spans="1:9" x14ac:dyDescent="0.25">
      <c r="A4616" s="6">
        <v>43341</v>
      </c>
      <c r="B4616" t="s">
        <v>26</v>
      </c>
      <c r="C4616">
        <v>58697</v>
      </c>
      <c r="D4616" t="s">
        <v>57</v>
      </c>
      <c r="E4616" s="7">
        <v>27129.82</v>
      </c>
      <c r="F4616" t="s">
        <v>20</v>
      </c>
      <c r="G4616" t="s">
        <v>21</v>
      </c>
      <c r="H4616" t="str">
        <f>"201808298481"</f>
        <v>201808298481</v>
      </c>
      <c r="I4616" t="str">
        <f>"F.E.L.P.S."</f>
        <v>F.E.L.P.S.</v>
      </c>
    </row>
    <row r="4617" spans="1:9" x14ac:dyDescent="0.25">
      <c r="A4617" s="6">
        <v>43341</v>
      </c>
      <c r="B4617" t="s">
        <v>26</v>
      </c>
      <c r="C4617">
        <v>58698</v>
      </c>
      <c r="D4617" t="s">
        <v>250</v>
      </c>
      <c r="E4617" s="7">
        <v>132.03</v>
      </c>
      <c r="F4617" t="s">
        <v>20</v>
      </c>
      <c r="G4617" t="s">
        <v>21</v>
      </c>
      <c r="H4617" t="str">
        <f>"C115319"</f>
        <v>C115319</v>
      </c>
      <c r="I4617" t="str">
        <f>"JANITORIAL SUPPLIES"</f>
        <v>JANITORIAL SUPPLIES</v>
      </c>
    </row>
    <row r="4618" spans="1:9" x14ac:dyDescent="0.25">
      <c r="A4618" s="6">
        <v>43341</v>
      </c>
      <c r="B4618" t="s">
        <v>26</v>
      </c>
      <c r="C4618">
        <v>58699</v>
      </c>
      <c r="D4618" t="s">
        <v>180</v>
      </c>
      <c r="E4618" s="7">
        <v>134.16999999999999</v>
      </c>
      <c r="F4618" t="s">
        <v>20</v>
      </c>
      <c r="G4618" t="s">
        <v>21</v>
      </c>
      <c r="H4618" t="str">
        <f>"30127311"</f>
        <v>30127311</v>
      </c>
      <c r="I4618" t="str">
        <f>"TOILET PARTS"</f>
        <v>TOILET PARTS</v>
      </c>
    </row>
    <row r="4619" spans="1:9" x14ac:dyDescent="0.25">
      <c r="E4619" s="7"/>
      <c r="F4619" t="s">
        <v>20</v>
      </c>
      <c r="G4619" t="s">
        <v>21</v>
      </c>
      <c r="H4619" t="str">
        <f>"30127450"</f>
        <v>30127450</v>
      </c>
      <c r="I4619" t="str">
        <f>"BLANK COVER PLATES"</f>
        <v>BLANK COVER PLATES</v>
      </c>
    </row>
    <row r="4620" spans="1:9" x14ac:dyDescent="0.25">
      <c r="E4620" s="7"/>
      <c r="F4620" t="s">
        <v>20</v>
      </c>
      <c r="G4620" t="s">
        <v>21</v>
      </c>
      <c r="H4620" t="str">
        <f>"30127458"</f>
        <v>30127458</v>
      </c>
      <c r="I4620" t="str">
        <f>"DITTMAR LUMBER CO."</f>
        <v>DITTMAR LUMBER CO.</v>
      </c>
    </row>
    <row r="4621" spans="1:9" x14ac:dyDescent="0.25">
      <c r="E4621" s="7"/>
      <c r="F4621" t="s">
        <v>20</v>
      </c>
      <c r="G4621" t="s">
        <v>21</v>
      </c>
      <c r="H4621" t="str">
        <f>"30127489"</f>
        <v>30127489</v>
      </c>
      <c r="I4621" t="str">
        <f>"SPRAY PAINT"</f>
        <v>SPRAY PAINT</v>
      </c>
    </row>
    <row r="4622" spans="1:9" x14ac:dyDescent="0.25">
      <c r="A4622" s="6">
        <v>43341</v>
      </c>
      <c r="B4622" t="s">
        <v>26</v>
      </c>
      <c r="C4622">
        <v>58700</v>
      </c>
      <c r="D4622" t="s">
        <v>240</v>
      </c>
      <c r="E4622" s="7">
        <v>220</v>
      </c>
      <c r="F4622" t="s">
        <v>20</v>
      </c>
      <c r="G4622" t="s">
        <v>21</v>
      </c>
      <c r="H4622" t="str">
        <f>"0148940-IN"</f>
        <v>0148940-IN</v>
      </c>
      <c r="I4622" t="str">
        <f>"NARDIS PUBLIC SAFETY"</f>
        <v>NARDIS PUBLIC SAFETY</v>
      </c>
    </row>
    <row r="4623" spans="1:9" x14ac:dyDescent="0.25">
      <c r="A4623" s="6">
        <v>43341</v>
      </c>
      <c r="B4623" t="s">
        <v>26</v>
      </c>
      <c r="C4623">
        <v>58701</v>
      </c>
      <c r="D4623" t="s">
        <v>519</v>
      </c>
      <c r="E4623" s="7">
        <v>600</v>
      </c>
      <c r="F4623" t="s">
        <v>20</v>
      </c>
      <c r="G4623" t="s">
        <v>21</v>
      </c>
      <c r="H4623" t="str">
        <f>"SLP REFUND"</f>
        <v>SLP REFUND</v>
      </c>
      <c r="I4623" t="str">
        <f>"REFUND"</f>
        <v>REFUND</v>
      </c>
    </row>
    <row r="4624" spans="1:9" x14ac:dyDescent="0.25">
      <c r="A4624" s="6">
        <v>43341</v>
      </c>
      <c r="B4624" t="s">
        <v>26</v>
      </c>
      <c r="C4624">
        <v>58702</v>
      </c>
      <c r="D4624" t="s">
        <v>184</v>
      </c>
      <c r="E4624" s="7">
        <v>984</v>
      </c>
      <c r="F4624" t="s">
        <v>20</v>
      </c>
      <c r="G4624" t="s">
        <v>21</v>
      </c>
      <c r="H4624" t="str">
        <f>"1051-558"</f>
        <v>1051-558</v>
      </c>
      <c r="I4624" t="str">
        <f>"POLLUTION CONTROL SERVICES"</f>
        <v>POLLUTION CONTROL SERVICES</v>
      </c>
    </row>
    <row r="4625" spans="1:9" x14ac:dyDescent="0.25">
      <c r="E4625" s="7"/>
      <c r="F4625" t="s">
        <v>20</v>
      </c>
      <c r="G4625" t="s">
        <v>21</v>
      </c>
      <c r="H4625" t="str">
        <f>"1051-559"</f>
        <v>1051-559</v>
      </c>
      <c r="I4625" t="str">
        <f>"POLLUTION CONTROL SERVICES"</f>
        <v>POLLUTION CONTROL SERVICES</v>
      </c>
    </row>
    <row r="4626" spans="1:9" x14ac:dyDescent="0.25">
      <c r="A4626" s="6">
        <v>43341</v>
      </c>
      <c r="B4626" t="s">
        <v>26</v>
      </c>
      <c r="C4626">
        <v>58703</v>
      </c>
      <c r="D4626" t="s">
        <v>66</v>
      </c>
      <c r="E4626" s="7">
        <v>110</v>
      </c>
      <c r="F4626" t="s">
        <v>20</v>
      </c>
      <c r="G4626" t="s">
        <v>21</v>
      </c>
      <c r="H4626" t="str">
        <f>"53528"</f>
        <v>53528</v>
      </c>
      <c r="I4626" t="str">
        <f>"LOPEZ EXTERMINATING SERVICE  I"</f>
        <v>LOPEZ EXTERMINATING SERVICE  I</v>
      </c>
    </row>
    <row r="4627" spans="1:9" x14ac:dyDescent="0.25">
      <c r="A4627" s="6">
        <v>43341</v>
      </c>
      <c r="B4627" t="s">
        <v>26</v>
      </c>
      <c r="C4627">
        <v>58704</v>
      </c>
      <c r="D4627" t="s">
        <v>118</v>
      </c>
      <c r="E4627" s="7">
        <v>3117</v>
      </c>
      <c r="F4627" t="s">
        <v>20</v>
      </c>
      <c r="G4627" t="s">
        <v>21</v>
      </c>
      <c r="H4627" t="str">
        <f>"11055"</f>
        <v>11055</v>
      </c>
      <c r="I4627" t="str">
        <f>"BRYAN AIR CONDITIONING &amp; HEATI"</f>
        <v>BRYAN AIR CONDITIONING &amp; HEATI</v>
      </c>
    </row>
    <row r="4628" spans="1:9" x14ac:dyDescent="0.25">
      <c r="A4628" s="6">
        <v>43341</v>
      </c>
      <c r="B4628" t="s">
        <v>26</v>
      </c>
      <c r="C4628">
        <v>58705</v>
      </c>
      <c r="D4628" t="s">
        <v>69</v>
      </c>
      <c r="E4628" s="7">
        <v>67.58</v>
      </c>
      <c r="F4628" t="s">
        <v>20</v>
      </c>
      <c r="G4628" t="s">
        <v>21</v>
      </c>
      <c r="H4628" t="str">
        <f>"3391842"</f>
        <v>3391842</v>
      </c>
      <c r="I4628" t="str">
        <f>"OIL FILTER"</f>
        <v>OIL FILTER</v>
      </c>
    </row>
    <row r="4629" spans="1:9" x14ac:dyDescent="0.25">
      <c r="A4629" s="6">
        <v>43341</v>
      </c>
      <c r="B4629" t="s">
        <v>26</v>
      </c>
      <c r="C4629">
        <v>58706</v>
      </c>
      <c r="D4629" t="s">
        <v>122</v>
      </c>
      <c r="E4629" s="7">
        <v>10</v>
      </c>
      <c r="F4629" t="s">
        <v>20</v>
      </c>
      <c r="G4629" t="s">
        <v>21</v>
      </c>
      <c r="H4629" t="str">
        <f>"222840"</f>
        <v>222840</v>
      </c>
      <c r="I4629" t="str">
        <f>"VILLA TIRES"</f>
        <v>VILLA TIRES</v>
      </c>
    </row>
    <row r="4630" spans="1:9" x14ac:dyDescent="0.25">
      <c r="A4630" s="6">
        <v>43341</v>
      </c>
      <c r="B4630" t="s">
        <v>26</v>
      </c>
      <c r="C4630">
        <v>58707</v>
      </c>
      <c r="D4630" t="s">
        <v>74</v>
      </c>
      <c r="E4630" s="7">
        <v>3607.09</v>
      </c>
      <c r="F4630" t="s">
        <v>20</v>
      </c>
      <c r="G4630" t="s">
        <v>21</v>
      </c>
      <c r="H4630" t="str">
        <f>"981154731"</f>
        <v>981154731</v>
      </c>
      <c r="I4630" t="str">
        <f>"VERIZON WIRELESS"</f>
        <v>VERIZON WIRELESS</v>
      </c>
    </row>
    <row r="4631" spans="1:9" x14ac:dyDescent="0.25">
      <c r="A4631" s="6">
        <v>43341</v>
      </c>
      <c r="B4631" t="s">
        <v>26</v>
      </c>
      <c r="C4631">
        <v>58709</v>
      </c>
      <c r="D4631" t="s">
        <v>156</v>
      </c>
      <c r="E4631" s="7">
        <v>594.6</v>
      </c>
      <c r="F4631" t="s">
        <v>20</v>
      </c>
      <c r="G4631" t="s">
        <v>21</v>
      </c>
      <c r="H4631" t="str">
        <f>"8/28/18"</f>
        <v>8/28/18</v>
      </c>
      <c r="I4631" t="str">
        <f>"GLI DISTRIBUTING"</f>
        <v>GLI DISTRIBUTING</v>
      </c>
    </row>
    <row r="4632" spans="1:9" x14ac:dyDescent="0.25">
      <c r="A4632" s="6">
        <v>43341</v>
      </c>
      <c r="B4632" t="s">
        <v>26</v>
      </c>
      <c r="C4632">
        <v>58710</v>
      </c>
      <c r="D4632" t="s">
        <v>123</v>
      </c>
      <c r="E4632" s="7">
        <v>2062.0100000000002</v>
      </c>
      <c r="F4632" t="s">
        <v>20</v>
      </c>
      <c r="G4632" t="s">
        <v>21</v>
      </c>
      <c r="H4632" t="str">
        <f>"177422927001"</f>
        <v>177422927001</v>
      </c>
      <c r="I4632" t="str">
        <f t="shared" ref="I4632:I4641" si="78">"OFFICE SUPPLIES"</f>
        <v>OFFICE SUPPLIES</v>
      </c>
    </row>
    <row r="4633" spans="1:9" x14ac:dyDescent="0.25">
      <c r="E4633" s="7"/>
      <c r="F4633" t="s">
        <v>20</v>
      </c>
      <c r="G4633" t="s">
        <v>21</v>
      </c>
      <c r="H4633" t="str">
        <f>"180677442001"</f>
        <v>180677442001</v>
      </c>
      <c r="I4633" t="str">
        <f t="shared" si="78"/>
        <v>OFFICE SUPPLIES</v>
      </c>
    </row>
    <row r="4634" spans="1:9" x14ac:dyDescent="0.25">
      <c r="E4634" s="7"/>
      <c r="F4634" t="s">
        <v>20</v>
      </c>
      <c r="G4634" t="s">
        <v>21</v>
      </c>
      <c r="H4634" t="str">
        <f>"180677784001"</f>
        <v>180677784001</v>
      </c>
      <c r="I4634" t="str">
        <f t="shared" si="78"/>
        <v>OFFICE SUPPLIES</v>
      </c>
    </row>
    <row r="4635" spans="1:9" x14ac:dyDescent="0.25">
      <c r="E4635" s="7"/>
      <c r="F4635" t="s">
        <v>20</v>
      </c>
      <c r="G4635" t="s">
        <v>21</v>
      </c>
      <c r="H4635" t="str">
        <f>"180677785001"</f>
        <v>180677785001</v>
      </c>
      <c r="I4635" t="str">
        <f t="shared" si="78"/>
        <v>OFFICE SUPPLIES</v>
      </c>
    </row>
    <row r="4636" spans="1:9" x14ac:dyDescent="0.25">
      <c r="E4636" s="7"/>
      <c r="F4636" t="s">
        <v>20</v>
      </c>
      <c r="G4636" t="s">
        <v>21</v>
      </c>
      <c r="H4636" t="str">
        <f>"180677786001"</f>
        <v>180677786001</v>
      </c>
      <c r="I4636" t="str">
        <f t="shared" si="78"/>
        <v>OFFICE SUPPLIES</v>
      </c>
    </row>
    <row r="4637" spans="1:9" x14ac:dyDescent="0.25">
      <c r="E4637" s="7"/>
      <c r="F4637" t="s">
        <v>20</v>
      </c>
      <c r="G4637" t="s">
        <v>21</v>
      </c>
      <c r="H4637" t="str">
        <f>"180677787001"</f>
        <v>180677787001</v>
      </c>
      <c r="I4637" t="str">
        <f t="shared" si="78"/>
        <v>OFFICE SUPPLIES</v>
      </c>
    </row>
    <row r="4638" spans="1:9" x14ac:dyDescent="0.25">
      <c r="E4638" s="7"/>
      <c r="F4638" t="s">
        <v>20</v>
      </c>
      <c r="G4638" t="s">
        <v>21</v>
      </c>
      <c r="H4638" t="str">
        <f>"185381620001"</f>
        <v>185381620001</v>
      </c>
      <c r="I4638" t="str">
        <f t="shared" si="78"/>
        <v>OFFICE SUPPLIES</v>
      </c>
    </row>
    <row r="4639" spans="1:9" x14ac:dyDescent="0.25">
      <c r="E4639" s="7"/>
      <c r="F4639" t="s">
        <v>20</v>
      </c>
      <c r="G4639" t="s">
        <v>21</v>
      </c>
      <c r="H4639" t="str">
        <f>"185383539001"</f>
        <v>185383539001</v>
      </c>
      <c r="I4639" t="str">
        <f t="shared" si="78"/>
        <v>OFFICE SUPPLIES</v>
      </c>
    </row>
    <row r="4640" spans="1:9" x14ac:dyDescent="0.25">
      <c r="E4640" s="7"/>
      <c r="F4640" t="s">
        <v>20</v>
      </c>
      <c r="G4640" t="s">
        <v>21</v>
      </c>
      <c r="H4640" t="str">
        <f>"185383540001"</f>
        <v>185383540001</v>
      </c>
      <c r="I4640" t="str">
        <f t="shared" si="78"/>
        <v>OFFICE SUPPLIES</v>
      </c>
    </row>
    <row r="4641" spans="1:9" x14ac:dyDescent="0.25">
      <c r="E4641" s="7"/>
      <c r="F4641" t="s">
        <v>20</v>
      </c>
      <c r="G4641" t="s">
        <v>21</v>
      </c>
      <c r="H4641" t="str">
        <f>"185383541001"</f>
        <v>185383541001</v>
      </c>
      <c r="I4641" t="str">
        <f t="shared" si="78"/>
        <v>OFFICE SUPPLIES</v>
      </c>
    </row>
    <row r="4642" spans="1:9" x14ac:dyDescent="0.25">
      <c r="A4642" s="6">
        <v>43341</v>
      </c>
      <c r="B4642" t="s">
        <v>26</v>
      </c>
      <c r="C4642">
        <v>58714</v>
      </c>
      <c r="D4642" t="s">
        <v>372</v>
      </c>
      <c r="E4642" s="7">
        <v>82</v>
      </c>
      <c r="F4642" t="s">
        <v>20</v>
      </c>
      <c r="G4642" t="s">
        <v>21</v>
      </c>
      <c r="H4642" t="str">
        <f>"8/25/18"</f>
        <v>8/25/18</v>
      </c>
      <c r="I4642" t="str">
        <f>"MICHELLE DOLBERRY"</f>
        <v>MICHELLE DOLBERRY</v>
      </c>
    </row>
    <row r="4643" spans="1:9" x14ac:dyDescent="0.25">
      <c r="A4643" s="6">
        <v>43341</v>
      </c>
      <c r="B4643" t="s">
        <v>26</v>
      </c>
      <c r="C4643">
        <v>58715</v>
      </c>
      <c r="D4643" t="s">
        <v>126</v>
      </c>
      <c r="E4643" s="7">
        <v>11519.75</v>
      </c>
      <c r="F4643" t="s">
        <v>20</v>
      </c>
      <c r="G4643" t="s">
        <v>21</v>
      </c>
      <c r="H4643" t="str">
        <f>"5119-000084802"</f>
        <v>5119-000084802</v>
      </c>
      <c r="I4643" t="str">
        <f>"REPUBLIC SERVICES #859"</f>
        <v>REPUBLIC SERVICES #859</v>
      </c>
    </row>
    <row r="4644" spans="1:9" x14ac:dyDescent="0.25">
      <c r="A4644" s="6">
        <v>43341</v>
      </c>
      <c r="B4644" t="s">
        <v>26</v>
      </c>
      <c r="C4644">
        <v>58716</v>
      </c>
      <c r="D4644" t="s">
        <v>79</v>
      </c>
      <c r="E4644" s="7">
        <v>131.74</v>
      </c>
      <c r="F4644" t="s">
        <v>20</v>
      </c>
      <c r="G4644" t="s">
        <v>21</v>
      </c>
      <c r="H4644" t="str">
        <f>"6-284-99854"</f>
        <v>6-284-99854</v>
      </c>
      <c r="I4644" t="str">
        <f>"FEDEX"</f>
        <v>FEDEX</v>
      </c>
    </row>
    <row r="4645" spans="1:9" x14ac:dyDescent="0.25">
      <c r="A4645" s="6">
        <v>43341</v>
      </c>
      <c r="B4645" t="s">
        <v>26</v>
      </c>
      <c r="C4645">
        <v>58717</v>
      </c>
      <c r="D4645" t="s">
        <v>153</v>
      </c>
      <c r="E4645" s="7">
        <v>1500</v>
      </c>
      <c r="F4645" t="s">
        <v>20</v>
      </c>
      <c r="G4645" t="s">
        <v>21</v>
      </c>
      <c r="H4645" t="str">
        <f>"090118"</f>
        <v>090118</v>
      </c>
      <c r="I4645" t="str">
        <f>"FULLER COMPANY"</f>
        <v>FULLER COMPANY</v>
      </c>
    </row>
    <row r="4646" spans="1:9" x14ac:dyDescent="0.25">
      <c r="A4646" s="6">
        <v>43341</v>
      </c>
      <c r="B4646" t="s">
        <v>26</v>
      </c>
      <c r="C4646">
        <v>58718</v>
      </c>
      <c r="D4646" t="s">
        <v>85</v>
      </c>
      <c r="E4646" s="7">
        <v>147.07</v>
      </c>
      <c r="F4646" t="s">
        <v>20</v>
      </c>
      <c r="G4646" t="s">
        <v>21</v>
      </c>
      <c r="H4646" t="str">
        <f>"201808298478"</f>
        <v>201808298478</v>
      </c>
      <c r="I4646" t="str">
        <f>"FRONTIER"</f>
        <v>FRONTIER</v>
      </c>
    </row>
    <row r="4647" spans="1:9" x14ac:dyDescent="0.25">
      <c r="E4647" s="7"/>
      <c r="F4647" t="s">
        <v>20</v>
      </c>
      <c r="G4647" t="s">
        <v>21</v>
      </c>
      <c r="H4647" t="str">
        <f>"201808298479"</f>
        <v>201808298479</v>
      </c>
      <c r="I4647" t="str">
        <f>"FRONTIER"</f>
        <v>FRONTIER</v>
      </c>
    </row>
    <row r="4648" spans="1:9" x14ac:dyDescent="0.25">
      <c r="E4648" s="7"/>
      <c r="F4648" t="s">
        <v>20</v>
      </c>
      <c r="G4648" t="s">
        <v>21</v>
      </c>
      <c r="H4648" t="str">
        <f>"201808298480"</f>
        <v>201808298480</v>
      </c>
      <c r="I4648" t="str">
        <f>"FRONTIER"</f>
        <v>FRONTIER</v>
      </c>
    </row>
    <row r="4649" spans="1:9" x14ac:dyDescent="0.25">
      <c r="A4649" s="6">
        <v>43341</v>
      </c>
      <c r="B4649" t="s">
        <v>26</v>
      </c>
      <c r="C4649">
        <v>58719</v>
      </c>
      <c r="D4649" t="s">
        <v>311</v>
      </c>
      <c r="E4649" s="7">
        <v>84662.7</v>
      </c>
      <c r="F4649" t="s">
        <v>20</v>
      </c>
      <c r="G4649" t="s">
        <v>21</v>
      </c>
      <c r="H4649" t="str">
        <f>"201808298482"</f>
        <v>201808298482</v>
      </c>
      <c r="I4649" t="s">
        <v>498</v>
      </c>
    </row>
    <row r="4650" spans="1:9" x14ac:dyDescent="0.25">
      <c r="A4650" s="6">
        <v>43341</v>
      </c>
      <c r="B4650" t="s">
        <v>26</v>
      </c>
      <c r="C4650">
        <v>58720</v>
      </c>
      <c r="D4650" t="s">
        <v>520</v>
      </c>
      <c r="E4650" s="7">
        <v>4637.79</v>
      </c>
      <c r="F4650" t="s">
        <v>20</v>
      </c>
      <c r="G4650" t="s">
        <v>21</v>
      </c>
      <c r="H4650" t="str">
        <f>"INV-40716"</f>
        <v>INV-40716</v>
      </c>
      <c r="I4650" t="str">
        <f>"ROUTER/ UAP-AC"</f>
        <v>ROUTER/ UAP-AC</v>
      </c>
    </row>
    <row r="4651" spans="1:9" x14ac:dyDescent="0.25">
      <c r="A4651" s="6">
        <v>43341</v>
      </c>
      <c r="B4651" t="s">
        <v>26</v>
      </c>
      <c r="C4651">
        <v>58721</v>
      </c>
      <c r="D4651" t="s">
        <v>345</v>
      </c>
      <c r="E4651" s="7">
        <v>209</v>
      </c>
      <c r="F4651" t="s">
        <v>20</v>
      </c>
      <c r="G4651" t="s">
        <v>21</v>
      </c>
      <c r="H4651" t="str">
        <f>"8/20-8/25"</f>
        <v>8/20-8/25</v>
      </c>
      <c r="I4651" t="str">
        <f>"MICHAEL ISAAC MARTINEZ"</f>
        <v>MICHAEL ISAAC MARTINEZ</v>
      </c>
    </row>
    <row r="4652" spans="1:9" x14ac:dyDescent="0.25">
      <c r="A4652" s="6">
        <v>43341</v>
      </c>
      <c r="B4652" t="s">
        <v>26</v>
      </c>
      <c r="C4652">
        <v>58722</v>
      </c>
      <c r="D4652" t="s">
        <v>351</v>
      </c>
      <c r="E4652" s="7">
        <v>75</v>
      </c>
      <c r="F4652" t="s">
        <v>20</v>
      </c>
      <c r="G4652" t="s">
        <v>21</v>
      </c>
      <c r="H4652" t="str">
        <f>"478368"</f>
        <v>478368</v>
      </c>
      <c r="I4652" t="str">
        <f>"H &amp; H OIL"</f>
        <v>H &amp; H OIL</v>
      </c>
    </row>
    <row r="4653" spans="1:9" x14ac:dyDescent="0.25">
      <c r="A4653" s="6">
        <v>43341</v>
      </c>
      <c r="B4653" t="s">
        <v>26</v>
      </c>
      <c r="C4653">
        <v>58723</v>
      </c>
      <c r="D4653" t="s">
        <v>182</v>
      </c>
      <c r="E4653" s="7">
        <v>140</v>
      </c>
      <c r="F4653" t="s">
        <v>20</v>
      </c>
      <c r="G4653" t="s">
        <v>21</v>
      </c>
      <c r="H4653" t="str">
        <f>"TRAINING 9/11-13"</f>
        <v>TRAINING 9/11-13</v>
      </c>
      <c r="I4653" t="str">
        <f>"DAVID INOUYE"</f>
        <v>DAVID INOUYE</v>
      </c>
    </row>
    <row r="4654" spans="1:9" x14ac:dyDescent="0.25">
      <c r="A4654" s="6">
        <v>43341</v>
      </c>
      <c r="B4654" t="s">
        <v>26</v>
      </c>
      <c r="C4654">
        <v>58724</v>
      </c>
      <c r="D4654" t="s">
        <v>521</v>
      </c>
      <c r="E4654" s="7">
        <v>250</v>
      </c>
      <c r="F4654" t="s">
        <v>20</v>
      </c>
      <c r="G4654" t="s">
        <v>21</v>
      </c>
      <c r="H4654" t="str">
        <f>"8/22-8/27"</f>
        <v>8/22-8/27</v>
      </c>
      <c r="I4654" t="str">
        <f>"BRONSON LIVINGSTON-STEPHENSON"</f>
        <v>BRONSON LIVINGSTON-STEPHENSON</v>
      </c>
    </row>
    <row r="4655" spans="1:9" x14ac:dyDescent="0.25">
      <c r="A4655" s="6">
        <v>43341</v>
      </c>
      <c r="B4655" t="s">
        <v>26</v>
      </c>
      <c r="C4655">
        <v>58725</v>
      </c>
      <c r="D4655" t="s">
        <v>522</v>
      </c>
      <c r="E4655" s="7">
        <v>243</v>
      </c>
      <c r="F4655" t="s">
        <v>20</v>
      </c>
      <c r="G4655" t="s">
        <v>21</v>
      </c>
      <c r="H4655" t="str">
        <f>"186533"</f>
        <v>186533</v>
      </c>
      <c r="I4655" t="str">
        <f>"TEXAS MEDCLINIC"</f>
        <v>TEXAS MEDCLINIC</v>
      </c>
    </row>
    <row r="4656" spans="1:9" x14ac:dyDescent="0.25">
      <c r="A4656" s="6">
        <v>43341</v>
      </c>
      <c r="B4656" t="s">
        <v>26</v>
      </c>
      <c r="C4656">
        <v>58726</v>
      </c>
      <c r="D4656" t="s">
        <v>523</v>
      </c>
      <c r="E4656" s="7">
        <v>70</v>
      </c>
      <c r="F4656" t="s">
        <v>20</v>
      </c>
      <c r="G4656" t="s">
        <v>21</v>
      </c>
      <c r="H4656" t="str">
        <f>"8/25/18"</f>
        <v>8/25/18</v>
      </c>
      <c r="I4656" t="str">
        <f>"CLAUDIA GARZA"</f>
        <v>CLAUDIA GARZA</v>
      </c>
    </row>
    <row r="4657" spans="1:9" x14ac:dyDescent="0.25">
      <c r="A4657" s="6">
        <v>43341</v>
      </c>
      <c r="B4657" t="s">
        <v>26</v>
      </c>
      <c r="C4657">
        <v>58727</v>
      </c>
      <c r="D4657" t="s">
        <v>452</v>
      </c>
      <c r="E4657" s="7">
        <v>70</v>
      </c>
      <c r="F4657" t="s">
        <v>20</v>
      </c>
      <c r="G4657" t="s">
        <v>21</v>
      </c>
      <c r="H4657" t="str">
        <f>"8/25/18"</f>
        <v>8/25/18</v>
      </c>
      <c r="I4657" t="str">
        <f>"DESIREE PEREZ"</f>
        <v>DESIREE PEREZ</v>
      </c>
    </row>
    <row r="4658" spans="1:9" x14ac:dyDescent="0.25">
      <c r="A4658" s="6">
        <v>43342</v>
      </c>
      <c r="B4658" t="s">
        <v>26</v>
      </c>
      <c r="C4658">
        <v>58728</v>
      </c>
      <c r="D4658" t="s">
        <v>524</v>
      </c>
      <c r="E4658" s="7">
        <v>100000</v>
      </c>
      <c r="F4658" t="s">
        <v>20</v>
      </c>
      <c r="G4658" t="s">
        <v>21</v>
      </c>
      <c r="H4658" t="str">
        <f>"8.24.18"</f>
        <v>8.24.18</v>
      </c>
      <c r="I4658" t="str">
        <f>"SAN ANTONIO RIVER AUTHORITY"</f>
        <v>SAN ANTONIO RIVER AUTHORITY</v>
      </c>
    </row>
    <row r="4659" spans="1:9" x14ac:dyDescent="0.25">
      <c r="A4659" s="6">
        <v>43348</v>
      </c>
      <c r="B4659" t="s">
        <v>26</v>
      </c>
      <c r="C4659">
        <v>58729</v>
      </c>
      <c r="D4659" t="s">
        <v>223</v>
      </c>
      <c r="E4659" s="7">
        <v>75</v>
      </c>
      <c r="F4659" t="s">
        <v>20</v>
      </c>
      <c r="G4659" t="s">
        <v>21</v>
      </c>
      <c r="H4659" t="str">
        <f>"092018-COUNCIL"</f>
        <v>092018-COUNCIL</v>
      </c>
      <c r="I4659" t="str">
        <f>""</f>
        <v/>
      </c>
    </row>
    <row r="4660" spans="1:9" x14ac:dyDescent="0.25">
      <c r="A4660" s="6">
        <v>43348</v>
      </c>
      <c r="B4660" t="s">
        <v>26</v>
      </c>
      <c r="C4660">
        <v>58730</v>
      </c>
      <c r="D4660" t="s">
        <v>36</v>
      </c>
      <c r="E4660" s="7">
        <v>75</v>
      </c>
      <c r="F4660" t="s">
        <v>20</v>
      </c>
      <c r="G4660" t="s">
        <v>21</v>
      </c>
      <c r="H4660" t="str">
        <f>"092018-COUNCIL"</f>
        <v>092018-COUNCIL</v>
      </c>
      <c r="I4660" t="str">
        <f>""</f>
        <v/>
      </c>
    </row>
    <row r="4661" spans="1:9" x14ac:dyDescent="0.25">
      <c r="A4661" s="6">
        <v>43348</v>
      </c>
      <c r="B4661" t="s">
        <v>26</v>
      </c>
      <c r="C4661">
        <v>58731</v>
      </c>
      <c r="D4661" t="s">
        <v>37</v>
      </c>
      <c r="E4661" s="7">
        <v>75</v>
      </c>
      <c r="F4661" t="s">
        <v>20</v>
      </c>
      <c r="G4661" t="s">
        <v>21</v>
      </c>
      <c r="H4661" t="str">
        <f>"092018-COUNCIL"</f>
        <v>092018-COUNCIL</v>
      </c>
      <c r="I4661" t="str">
        <f>""</f>
        <v/>
      </c>
    </row>
    <row r="4662" spans="1:9" x14ac:dyDescent="0.25">
      <c r="A4662" s="6">
        <v>43348</v>
      </c>
      <c r="B4662" t="s">
        <v>26</v>
      </c>
      <c r="C4662">
        <v>58732</v>
      </c>
      <c r="D4662" t="s">
        <v>38</v>
      </c>
      <c r="E4662" s="7">
        <v>100</v>
      </c>
      <c r="F4662" t="s">
        <v>20</v>
      </c>
      <c r="G4662" t="s">
        <v>21</v>
      </c>
      <c r="H4662" t="str">
        <f>"092018-MAYOR"</f>
        <v>092018-MAYOR</v>
      </c>
      <c r="I4662" t="str">
        <f>""</f>
        <v/>
      </c>
    </row>
    <row r="4663" spans="1:9" x14ac:dyDescent="0.25">
      <c r="A4663" s="6">
        <v>43348</v>
      </c>
      <c r="B4663" t="s">
        <v>26</v>
      </c>
      <c r="C4663">
        <v>58733</v>
      </c>
      <c r="D4663" t="s">
        <v>39</v>
      </c>
      <c r="E4663" s="7">
        <v>75</v>
      </c>
      <c r="F4663" t="s">
        <v>20</v>
      </c>
      <c r="G4663" t="s">
        <v>21</v>
      </c>
      <c r="H4663" t="str">
        <f>"092018-COUNCIL"</f>
        <v>092018-COUNCIL</v>
      </c>
      <c r="I4663" t="str">
        <f>""</f>
        <v/>
      </c>
    </row>
    <row r="4664" spans="1:9" x14ac:dyDescent="0.25">
      <c r="A4664" s="6">
        <v>43348</v>
      </c>
      <c r="B4664" t="s">
        <v>26</v>
      </c>
      <c r="C4664">
        <v>58734</v>
      </c>
      <c r="D4664" t="s">
        <v>40</v>
      </c>
      <c r="E4664" s="7">
        <v>75</v>
      </c>
      <c r="F4664" t="s">
        <v>20</v>
      </c>
      <c r="G4664" t="s">
        <v>21</v>
      </c>
      <c r="H4664" t="str">
        <f>"092018-COUNCIL"</f>
        <v>092018-COUNCIL</v>
      </c>
      <c r="I4664" t="str">
        <f>""</f>
        <v/>
      </c>
    </row>
    <row r="4665" spans="1:9" x14ac:dyDescent="0.25">
      <c r="A4665" s="6">
        <v>43348</v>
      </c>
      <c r="B4665" t="s">
        <v>26</v>
      </c>
      <c r="C4665">
        <v>58735</v>
      </c>
      <c r="D4665" t="s">
        <v>201</v>
      </c>
      <c r="E4665" s="7">
        <v>144.01</v>
      </c>
      <c r="F4665" t="s">
        <v>20</v>
      </c>
      <c r="G4665" t="s">
        <v>21</v>
      </c>
      <c r="H4665" t="str">
        <f>"137993"</f>
        <v>137993</v>
      </c>
      <c r="I4665" t="str">
        <f>"WILSON COUNTY HARDWARE"</f>
        <v>WILSON COUNTY HARDWARE</v>
      </c>
    </row>
    <row r="4666" spans="1:9" x14ac:dyDescent="0.25">
      <c r="E4666" s="7"/>
      <c r="F4666" t="s">
        <v>20</v>
      </c>
      <c r="G4666" t="s">
        <v>21</v>
      </c>
      <c r="H4666" t="str">
        <f>"137994"</f>
        <v>137994</v>
      </c>
      <c r="I4666" t="str">
        <f>"WILSON COUNTY HARDWARE"</f>
        <v>WILSON COUNTY HARDWARE</v>
      </c>
    </row>
    <row r="4667" spans="1:9" x14ac:dyDescent="0.25">
      <c r="E4667" s="7"/>
      <c r="F4667" t="s">
        <v>20</v>
      </c>
      <c r="G4667" t="s">
        <v>21</v>
      </c>
      <c r="H4667" t="str">
        <f>"137995"</f>
        <v>137995</v>
      </c>
      <c r="I4667" t="str">
        <f>"WILSON COUNTY HARDWARE"</f>
        <v>WILSON COUNTY HARDWARE</v>
      </c>
    </row>
    <row r="4668" spans="1:9" x14ac:dyDescent="0.25">
      <c r="E4668" s="7"/>
      <c r="F4668" t="s">
        <v>20</v>
      </c>
      <c r="G4668" t="s">
        <v>21</v>
      </c>
      <c r="H4668" t="str">
        <f>"137999"</f>
        <v>137999</v>
      </c>
      <c r="I4668" t="str">
        <f>"WILSON COUNTY HARDWARE"</f>
        <v>WILSON COUNTY HARDWARE</v>
      </c>
    </row>
    <row r="4669" spans="1:9" x14ac:dyDescent="0.25">
      <c r="A4669" s="6">
        <v>43348</v>
      </c>
      <c r="B4669" t="s">
        <v>26</v>
      </c>
      <c r="C4669">
        <v>58736</v>
      </c>
      <c r="D4669" t="s">
        <v>59</v>
      </c>
      <c r="E4669" s="7">
        <v>5445.55</v>
      </c>
      <c r="F4669" t="s">
        <v>20</v>
      </c>
      <c r="G4669" t="s">
        <v>21</v>
      </c>
      <c r="H4669" t="str">
        <f>"0979130"</f>
        <v>0979130</v>
      </c>
      <c r="I4669" t="str">
        <f>"DAILY TRUCK SUPPLIES"</f>
        <v>DAILY TRUCK SUPPLIES</v>
      </c>
    </row>
    <row r="4670" spans="1:9" x14ac:dyDescent="0.25">
      <c r="E4670" s="7"/>
      <c r="F4670" t="s">
        <v>20</v>
      </c>
      <c r="G4670" t="s">
        <v>21</v>
      </c>
      <c r="H4670" t="str">
        <f>"0980572"</f>
        <v>0980572</v>
      </c>
      <c r="I4670" t="str">
        <f>"TOOLS/PIPES/CONNECTIONS"</f>
        <v>TOOLS/PIPES/CONNECTIONS</v>
      </c>
    </row>
    <row r="4671" spans="1:9" x14ac:dyDescent="0.25">
      <c r="A4671" s="6">
        <v>43348</v>
      </c>
      <c r="B4671" t="s">
        <v>26</v>
      </c>
      <c r="C4671">
        <v>58737</v>
      </c>
      <c r="D4671" t="s">
        <v>106</v>
      </c>
      <c r="E4671" s="7">
        <v>121.9</v>
      </c>
      <c r="F4671" t="s">
        <v>20</v>
      </c>
      <c r="G4671" t="s">
        <v>21</v>
      </c>
      <c r="H4671" t="str">
        <f>"1492"</f>
        <v>1492</v>
      </c>
      <c r="I4671" t="str">
        <f>"OMNIBASE SERVICES OF TEXAS"</f>
        <v>OMNIBASE SERVICES OF TEXAS</v>
      </c>
    </row>
    <row r="4672" spans="1:9" x14ac:dyDescent="0.25">
      <c r="E4672" s="7"/>
      <c r="F4672" t="s">
        <v>20</v>
      </c>
      <c r="G4672" t="s">
        <v>21</v>
      </c>
      <c r="H4672" t="str">
        <f>"1493"</f>
        <v>1493</v>
      </c>
      <c r="I4672" t="str">
        <f>"OMNIBASE SERVICES OF TEXAS"</f>
        <v>OMNIBASE SERVICES OF TEXAS</v>
      </c>
    </row>
    <row r="4673" spans="1:9" x14ac:dyDescent="0.25">
      <c r="A4673" s="6">
        <v>43348</v>
      </c>
      <c r="B4673" t="s">
        <v>26</v>
      </c>
      <c r="C4673">
        <v>58738</v>
      </c>
      <c r="D4673" t="s">
        <v>240</v>
      </c>
      <c r="E4673" s="7">
        <v>178.84</v>
      </c>
      <c r="F4673" t="s">
        <v>20</v>
      </c>
      <c r="G4673" t="s">
        <v>21</v>
      </c>
      <c r="H4673" t="str">
        <f>"14895M-IN"</f>
        <v>14895M-IN</v>
      </c>
      <c r="I4673" t="str">
        <f>"NARDIS PUBLIC SAFETY"</f>
        <v>NARDIS PUBLIC SAFETY</v>
      </c>
    </row>
    <row r="4674" spans="1:9" x14ac:dyDescent="0.25">
      <c r="A4674" s="6">
        <v>43348</v>
      </c>
      <c r="B4674" t="s">
        <v>26</v>
      </c>
      <c r="C4674">
        <v>58739</v>
      </c>
      <c r="D4674" t="s">
        <v>340</v>
      </c>
      <c r="E4674" s="7">
        <v>191.99</v>
      </c>
      <c r="F4674" t="s">
        <v>20</v>
      </c>
      <c r="G4674" t="s">
        <v>21</v>
      </c>
      <c r="H4674" t="str">
        <f>"1810341629"</f>
        <v>1810341629</v>
      </c>
      <c r="I4674" t="str">
        <f>"VEHICLE REPAIRS"</f>
        <v>VEHICLE REPAIRS</v>
      </c>
    </row>
    <row r="4675" spans="1:9" x14ac:dyDescent="0.25">
      <c r="A4675" s="6">
        <v>43348</v>
      </c>
      <c r="B4675" t="s">
        <v>26</v>
      </c>
      <c r="C4675">
        <v>58740</v>
      </c>
      <c r="D4675" t="s">
        <v>525</v>
      </c>
      <c r="E4675" s="7">
        <v>10</v>
      </c>
      <c r="F4675" t="s">
        <v>20</v>
      </c>
      <c r="G4675" t="s">
        <v>21</v>
      </c>
      <c r="H4675" t="str">
        <f>"REF 8/25/18"</f>
        <v>REF 8/25/18</v>
      </c>
      <c r="I4675" t="str">
        <f>"REFUND"</f>
        <v>REFUND</v>
      </c>
    </row>
    <row r="4676" spans="1:9" x14ac:dyDescent="0.25">
      <c r="A4676" s="6">
        <v>43348</v>
      </c>
      <c r="B4676" t="s">
        <v>26</v>
      </c>
      <c r="C4676">
        <v>58741</v>
      </c>
      <c r="D4676" t="s">
        <v>64</v>
      </c>
      <c r="E4676" s="7">
        <v>6602.67</v>
      </c>
      <c r="F4676" t="s">
        <v>20</v>
      </c>
      <c r="G4676" t="s">
        <v>21</v>
      </c>
      <c r="H4676" t="str">
        <f>"7614"</f>
        <v>7614</v>
      </c>
      <c r="I4676" t="str">
        <f>"DREWA DESIGNS  INC."</f>
        <v>DREWA DESIGNS  INC.</v>
      </c>
    </row>
    <row r="4677" spans="1:9" x14ac:dyDescent="0.25">
      <c r="E4677" s="7"/>
      <c r="F4677" t="s">
        <v>20</v>
      </c>
      <c r="G4677" t="s">
        <v>21</v>
      </c>
      <c r="H4677" t="str">
        <f>"7615"</f>
        <v>7615</v>
      </c>
      <c r="I4677" t="str">
        <f>"DREWA DESIGNS  INC."</f>
        <v>DREWA DESIGNS  INC.</v>
      </c>
    </row>
    <row r="4678" spans="1:9" x14ac:dyDescent="0.25">
      <c r="A4678" s="6">
        <v>43348</v>
      </c>
      <c r="B4678" t="s">
        <v>26</v>
      </c>
      <c r="C4678">
        <v>58742</v>
      </c>
      <c r="D4678" t="s">
        <v>66</v>
      </c>
      <c r="E4678" s="7">
        <v>1600</v>
      </c>
      <c r="F4678" t="s">
        <v>20</v>
      </c>
      <c r="G4678" t="s">
        <v>21</v>
      </c>
      <c r="H4678" t="str">
        <f>"53556"</f>
        <v>53556</v>
      </c>
      <c r="I4678" t="str">
        <f>"LOPEZ EXTERMINATING SERVICE  I"</f>
        <v>LOPEZ EXTERMINATING SERVICE  I</v>
      </c>
    </row>
    <row r="4679" spans="1:9" x14ac:dyDescent="0.25">
      <c r="A4679" s="6">
        <v>43348</v>
      </c>
      <c r="B4679" t="s">
        <v>26</v>
      </c>
      <c r="C4679">
        <v>58743</v>
      </c>
      <c r="D4679" t="s">
        <v>146</v>
      </c>
      <c r="E4679" s="7">
        <v>312.5</v>
      </c>
      <c r="F4679" t="s">
        <v>20</v>
      </c>
      <c r="G4679" t="s">
        <v>21</v>
      </c>
      <c r="H4679" t="str">
        <f>"557146"</f>
        <v>557146</v>
      </c>
      <c r="I4679" t="str">
        <f>"LARRY SRALLA ELECTRIC"</f>
        <v>LARRY SRALLA ELECTRIC</v>
      </c>
    </row>
    <row r="4680" spans="1:9" x14ac:dyDescent="0.25">
      <c r="E4680" s="7"/>
      <c r="F4680" t="s">
        <v>20</v>
      </c>
      <c r="G4680" t="s">
        <v>21</v>
      </c>
      <c r="H4680" t="str">
        <f>"557149"</f>
        <v>557149</v>
      </c>
      <c r="I4680" t="str">
        <f>"LARRY SRALLA ELECTRIC"</f>
        <v>LARRY SRALLA ELECTRIC</v>
      </c>
    </row>
    <row r="4681" spans="1:9" x14ac:dyDescent="0.25">
      <c r="A4681" s="6">
        <v>43348</v>
      </c>
      <c r="B4681" t="s">
        <v>26</v>
      </c>
      <c r="C4681">
        <v>58744</v>
      </c>
      <c r="D4681" t="s">
        <v>526</v>
      </c>
      <c r="E4681" s="7">
        <v>62.18</v>
      </c>
      <c r="F4681" t="s">
        <v>20</v>
      </c>
      <c r="G4681" t="s">
        <v>21</v>
      </c>
      <c r="H4681" t="str">
        <f>"47453"</f>
        <v>47453</v>
      </c>
      <c r="I4681" t="str">
        <f>"ZIPLINK INTERNET"</f>
        <v>ZIPLINK INTERNET</v>
      </c>
    </row>
    <row r="4682" spans="1:9" x14ac:dyDescent="0.25">
      <c r="A4682" s="6">
        <v>43348</v>
      </c>
      <c r="B4682" t="s">
        <v>26</v>
      </c>
      <c r="C4682">
        <v>58745</v>
      </c>
      <c r="D4682" t="s">
        <v>74</v>
      </c>
      <c r="E4682" s="7">
        <v>3517.15</v>
      </c>
      <c r="F4682" t="s">
        <v>20</v>
      </c>
      <c r="G4682" t="s">
        <v>21</v>
      </c>
      <c r="H4682" t="str">
        <f>"9813399122"</f>
        <v>9813399122</v>
      </c>
      <c r="I4682" t="str">
        <f>"VERIZON WIRELESS"</f>
        <v>VERIZON WIRELESS</v>
      </c>
    </row>
    <row r="4683" spans="1:9" x14ac:dyDescent="0.25">
      <c r="E4683" s="7"/>
      <c r="F4683" t="s">
        <v>20</v>
      </c>
      <c r="G4683" t="s">
        <v>21</v>
      </c>
      <c r="H4683" t="str">
        <f>"9813399123"</f>
        <v>9813399123</v>
      </c>
      <c r="I4683" t="str">
        <f>"VERIZON WIRELESS"</f>
        <v>VERIZON WIRELESS</v>
      </c>
    </row>
    <row r="4684" spans="1:9" x14ac:dyDescent="0.25">
      <c r="A4684" s="6">
        <v>43348</v>
      </c>
      <c r="B4684" t="s">
        <v>26</v>
      </c>
      <c r="C4684">
        <v>58747</v>
      </c>
      <c r="D4684" t="s">
        <v>205</v>
      </c>
      <c r="E4684" s="7">
        <v>1209</v>
      </c>
      <c r="F4684" t="s">
        <v>20</v>
      </c>
      <c r="G4684" t="s">
        <v>21</v>
      </c>
      <c r="H4684" t="str">
        <f>"9/4/18"</f>
        <v>9/4/18</v>
      </c>
      <c r="I4684" t="str">
        <f>"SILVER EAGLE DISTRIBUTORS"</f>
        <v>SILVER EAGLE DISTRIBUTORS</v>
      </c>
    </row>
    <row r="4685" spans="1:9" x14ac:dyDescent="0.25">
      <c r="A4685" s="6">
        <v>43348</v>
      </c>
      <c r="B4685" t="s">
        <v>26</v>
      </c>
      <c r="C4685">
        <v>58748</v>
      </c>
      <c r="D4685" t="s">
        <v>123</v>
      </c>
      <c r="E4685" s="7">
        <v>1348.42</v>
      </c>
      <c r="F4685" t="s">
        <v>20</v>
      </c>
      <c r="G4685" t="s">
        <v>21</v>
      </c>
      <c r="H4685" t="str">
        <f>"184833827001"</f>
        <v>184833827001</v>
      </c>
      <c r="I4685" t="str">
        <f t="shared" ref="I4685:I4692" si="79">"OFFICE SUPPLIES"</f>
        <v>OFFICE SUPPLIES</v>
      </c>
    </row>
    <row r="4686" spans="1:9" x14ac:dyDescent="0.25">
      <c r="E4686" s="7"/>
      <c r="F4686" t="s">
        <v>20</v>
      </c>
      <c r="G4686" t="s">
        <v>21</v>
      </c>
      <c r="H4686" t="str">
        <f>"184833828001"</f>
        <v>184833828001</v>
      </c>
      <c r="I4686" t="str">
        <f t="shared" si="79"/>
        <v>OFFICE SUPPLIES</v>
      </c>
    </row>
    <row r="4687" spans="1:9" x14ac:dyDescent="0.25">
      <c r="E4687" s="7"/>
      <c r="F4687" t="s">
        <v>20</v>
      </c>
      <c r="G4687" t="s">
        <v>21</v>
      </c>
      <c r="H4687" t="str">
        <f>"184833833001"</f>
        <v>184833833001</v>
      </c>
      <c r="I4687" t="str">
        <f t="shared" si="79"/>
        <v>OFFICE SUPPLIES</v>
      </c>
    </row>
    <row r="4688" spans="1:9" x14ac:dyDescent="0.25">
      <c r="E4688" s="7"/>
      <c r="F4688" t="s">
        <v>20</v>
      </c>
      <c r="G4688" t="s">
        <v>21</v>
      </c>
      <c r="H4688" t="str">
        <f>"186621718001"</f>
        <v>186621718001</v>
      </c>
      <c r="I4688" t="str">
        <f t="shared" si="79"/>
        <v>OFFICE SUPPLIES</v>
      </c>
    </row>
    <row r="4689" spans="1:9" x14ac:dyDescent="0.25">
      <c r="E4689" s="7"/>
      <c r="F4689" t="s">
        <v>20</v>
      </c>
      <c r="G4689" t="s">
        <v>21</v>
      </c>
      <c r="H4689" t="str">
        <f>"187607614001"</f>
        <v>187607614001</v>
      </c>
      <c r="I4689" t="str">
        <f t="shared" si="79"/>
        <v>OFFICE SUPPLIES</v>
      </c>
    </row>
    <row r="4690" spans="1:9" x14ac:dyDescent="0.25">
      <c r="E4690" s="7"/>
      <c r="F4690" t="s">
        <v>20</v>
      </c>
      <c r="G4690" t="s">
        <v>21</v>
      </c>
      <c r="H4690" t="str">
        <f>"187631991001"</f>
        <v>187631991001</v>
      </c>
      <c r="I4690" t="str">
        <f t="shared" si="79"/>
        <v>OFFICE SUPPLIES</v>
      </c>
    </row>
    <row r="4691" spans="1:9" x14ac:dyDescent="0.25">
      <c r="E4691" s="7"/>
      <c r="F4691" t="s">
        <v>20</v>
      </c>
      <c r="G4691" t="s">
        <v>21</v>
      </c>
      <c r="H4691" t="str">
        <f>"187632536001"</f>
        <v>187632536001</v>
      </c>
      <c r="I4691" t="str">
        <f t="shared" si="79"/>
        <v>OFFICE SUPPLIES</v>
      </c>
    </row>
    <row r="4692" spans="1:9" x14ac:dyDescent="0.25">
      <c r="E4692" s="7"/>
      <c r="F4692" t="s">
        <v>20</v>
      </c>
      <c r="G4692" t="s">
        <v>21</v>
      </c>
      <c r="H4692" t="str">
        <f>"1876325370011"</f>
        <v>1876325370011</v>
      </c>
      <c r="I4692" t="str">
        <f t="shared" si="79"/>
        <v>OFFICE SUPPLIES</v>
      </c>
    </row>
    <row r="4693" spans="1:9" x14ac:dyDescent="0.25">
      <c r="E4693" s="7"/>
      <c r="F4693" t="s">
        <v>20</v>
      </c>
      <c r="G4693" t="s">
        <v>21</v>
      </c>
      <c r="H4693" t="str">
        <f>"190299978001"</f>
        <v>190299978001</v>
      </c>
      <c r="I4693" t="str">
        <f>"JANITORIAL SUPPLIES"</f>
        <v>JANITORIAL SUPPLIES</v>
      </c>
    </row>
    <row r="4694" spans="1:9" x14ac:dyDescent="0.25">
      <c r="E4694" s="7"/>
      <c r="F4694" t="s">
        <v>20</v>
      </c>
      <c r="G4694" t="s">
        <v>21</v>
      </c>
      <c r="H4694" t="str">
        <f>"190302627001"</f>
        <v>190302627001</v>
      </c>
      <c r="I4694" t="str">
        <f>"JANITORIAL SUPPLIES"</f>
        <v>JANITORIAL SUPPLIES</v>
      </c>
    </row>
    <row r="4695" spans="1:9" x14ac:dyDescent="0.25">
      <c r="A4695" s="6">
        <v>43348</v>
      </c>
      <c r="B4695" t="s">
        <v>26</v>
      </c>
      <c r="C4695">
        <v>58751</v>
      </c>
      <c r="D4695" t="s">
        <v>77</v>
      </c>
      <c r="E4695" s="7">
        <v>3252.49</v>
      </c>
      <c r="F4695" t="s">
        <v>20</v>
      </c>
      <c r="G4695" t="s">
        <v>21</v>
      </c>
      <c r="H4695" t="str">
        <f>"857001609-18"</f>
        <v>857001609-18</v>
      </c>
      <c r="I4695" t="str">
        <f>"DPC INDUSTRIES  INC."</f>
        <v>DPC INDUSTRIES  INC.</v>
      </c>
    </row>
    <row r="4696" spans="1:9" x14ac:dyDescent="0.25">
      <c r="E4696" s="7"/>
      <c r="F4696" t="s">
        <v>20</v>
      </c>
      <c r="G4696" t="s">
        <v>21</v>
      </c>
      <c r="H4696" t="str">
        <f>"857001610-18"</f>
        <v>857001610-18</v>
      </c>
      <c r="I4696" t="str">
        <f>"CHLORINE BOTTLES"</f>
        <v>CHLORINE BOTTLES</v>
      </c>
    </row>
    <row r="4697" spans="1:9" x14ac:dyDescent="0.25">
      <c r="E4697" s="7"/>
      <c r="F4697" t="s">
        <v>20</v>
      </c>
      <c r="G4697" t="s">
        <v>21</v>
      </c>
      <c r="H4697" t="str">
        <f>"857001611-18"</f>
        <v>857001611-18</v>
      </c>
      <c r="I4697" t="str">
        <f>"DPC INDUSTRIES  INC."</f>
        <v>DPC INDUSTRIES  INC.</v>
      </c>
    </row>
    <row r="4698" spans="1:9" x14ac:dyDescent="0.25">
      <c r="E4698" s="7"/>
      <c r="F4698" t="s">
        <v>20</v>
      </c>
      <c r="G4698" t="s">
        <v>21</v>
      </c>
      <c r="H4698" t="str">
        <f>"857001663-18"</f>
        <v>857001663-18</v>
      </c>
      <c r="I4698" t="str">
        <f>"DPC INDUSTRIES  INC."</f>
        <v>DPC INDUSTRIES  INC.</v>
      </c>
    </row>
    <row r="4699" spans="1:9" x14ac:dyDescent="0.25">
      <c r="E4699" s="7"/>
      <c r="F4699" t="s">
        <v>20</v>
      </c>
      <c r="G4699" t="s">
        <v>21</v>
      </c>
      <c r="H4699" t="str">
        <f>"857001664-18"</f>
        <v>857001664-18</v>
      </c>
      <c r="I4699" t="str">
        <f>"DPC INDUSTRIES  INC."</f>
        <v>DPC INDUSTRIES  INC.</v>
      </c>
    </row>
    <row r="4700" spans="1:9" x14ac:dyDescent="0.25">
      <c r="A4700" s="6">
        <v>43348</v>
      </c>
      <c r="B4700" t="s">
        <v>26</v>
      </c>
      <c r="C4700">
        <v>58752</v>
      </c>
      <c r="D4700" t="s">
        <v>157</v>
      </c>
      <c r="E4700" s="7">
        <v>414</v>
      </c>
      <c r="F4700" t="s">
        <v>20</v>
      </c>
      <c r="G4700" t="s">
        <v>21</v>
      </c>
      <c r="H4700" t="str">
        <f>"9/4/18"</f>
        <v>9/4/18</v>
      </c>
      <c r="I4700" t="str">
        <f>"GLAZIERS"</f>
        <v>GLAZIERS</v>
      </c>
    </row>
    <row r="4701" spans="1:9" x14ac:dyDescent="0.25">
      <c r="A4701" s="6">
        <v>43348</v>
      </c>
      <c r="B4701" t="s">
        <v>26</v>
      </c>
      <c r="C4701">
        <v>58753</v>
      </c>
      <c r="D4701" t="s">
        <v>147</v>
      </c>
      <c r="E4701" s="7">
        <v>75</v>
      </c>
      <c r="F4701" t="s">
        <v>20</v>
      </c>
      <c r="G4701" t="s">
        <v>21</v>
      </c>
      <c r="H4701" t="str">
        <f>"862"</f>
        <v>862</v>
      </c>
      <c r="I4701" t="str">
        <f>"SRALLA ELECTRIC"</f>
        <v>SRALLA ELECTRIC</v>
      </c>
    </row>
    <row r="4702" spans="1:9" x14ac:dyDescent="0.25">
      <c r="A4702" s="6">
        <v>43348</v>
      </c>
      <c r="B4702" t="s">
        <v>26</v>
      </c>
      <c r="C4702">
        <v>58754</v>
      </c>
      <c r="D4702" t="s">
        <v>79</v>
      </c>
      <c r="E4702" s="7">
        <v>114.88</v>
      </c>
      <c r="F4702" t="s">
        <v>20</v>
      </c>
      <c r="G4702" t="s">
        <v>21</v>
      </c>
      <c r="H4702" t="str">
        <f>"6-292-29047"</f>
        <v>6-292-29047</v>
      </c>
      <c r="I4702" t="str">
        <f>"FEDEX"</f>
        <v>FEDEX</v>
      </c>
    </row>
    <row r="4703" spans="1:9" x14ac:dyDescent="0.25">
      <c r="A4703" s="6">
        <v>43348</v>
      </c>
      <c r="B4703" t="s">
        <v>26</v>
      </c>
      <c r="C4703">
        <v>58755</v>
      </c>
      <c r="D4703" t="s">
        <v>80</v>
      </c>
      <c r="E4703" s="7">
        <v>1776.85</v>
      </c>
      <c r="F4703" t="s">
        <v>20</v>
      </c>
      <c r="G4703" t="s">
        <v>21</v>
      </c>
      <c r="H4703" t="str">
        <f>"1648-20180901-1"</f>
        <v>1648-20180901-1</v>
      </c>
      <c r="I4703" t="str">
        <f>"LVWIFI.COM"</f>
        <v>LVWIFI.COM</v>
      </c>
    </row>
    <row r="4704" spans="1:9" x14ac:dyDescent="0.25">
      <c r="E4704" s="7"/>
      <c r="F4704" t="s">
        <v>20</v>
      </c>
      <c r="G4704" t="s">
        <v>21</v>
      </c>
      <c r="H4704" t="str">
        <f>"2313-20180901-1"</f>
        <v>2313-20180901-1</v>
      </c>
      <c r="I4704" t="str">
        <f>"LVWIFI.COM"</f>
        <v>LVWIFI.COM</v>
      </c>
    </row>
    <row r="4705" spans="1:9" x14ac:dyDescent="0.25">
      <c r="E4705" s="7"/>
      <c r="F4705" t="s">
        <v>20</v>
      </c>
      <c r="G4705" t="s">
        <v>21</v>
      </c>
      <c r="H4705" t="str">
        <f>"2314-20180901-1"</f>
        <v>2314-20180901-1</v>
      </c>
      <c r="I4705" t="str">
        <f>"LVWIFI.COM"</f>
        <v>LVWIFI.COM</v>
      </c>
    </row>
    <row r="4706" spans="1:9" x14ac:dyDescent="0.25">
      <c r="E4706" s="7"/>
      <c r="F4706" t="s">
        <v>20</v>
      </c>
      <c r="G4706" t="s">
        <v>21</v>
      </c>
      <c r="H4706" t="str">
        <f>"2478-20180901-1"</f>
        <v>2478-20180901-1</v>
      </c>
      <c r="I4706" t="str">
        <f>"LVWIFI.COM"</f>
        <v>LVWIFI.COM</v>
      </c>
    </row>
    <row r="4707" spans="1:9" x14ac:dyDescent="0.25">
      <c r="A4707" s="6">
        <v>43348</v>
      </c>
      <c r="B4707" t="s">
        <v>26</v>
      </c>
      <c r="C4707">
        <v>58756</v>
      </c>
      <c r="D4707" t="s">
        <v>191</v>
      </c>
      <c r="E4707" s="7">
        <v>1200</v>
      </c>
      <c r="F4707" t="s">
        <v>20</v>
      </c>
      <c r="G4707" t="s">
        <v>21</v>
      </c>
      <c r="H4707" t="str">
        <f>"INV06-003267"</f>
        <v>INV06-003267</v>
      </c>
      <c r="I4707" t="str">
        <f>"MUNISERVICES  LLC"</f>
        <v>MUNISERVICES  LLC</v>
      </c>
    </row>
    <row r="4708" spans="1:9" x14ac:dyDescent="0.25">
      <c r="A4708" s="6">
        <v>43348</v>
      </c>
      <c r="B4708" t="s">
        <v>91</v>
      </c>
      <c r="C4708">
        <v>58757</v>
      </c>
      <c r="D4708" t="s">
        <v>31</v>
      </c>
      <c r="E4708" s="7">
        <v>79377.460000000006</v>
      </c>
      <c r="F4708" t="s">
        <v>20</v>
      </c>
      <c r="G4708" t="s">
        <v>21</v>
      </c>
      <c r="H4708" t="str">
        <f>"2018204"</f>
        <v>2018204</v>
      </c>
      <c r="I4708" t="str">
        <f>"THE LAW OFFICE OF TOM CALDWELL"</f>
        <v>THE LAW OFFICE OF TOM CALDWELL</v>
      </c>
    </row>
    <row r="4709" spans="1:9" x14ac:dyDescent="0.25">
      <c r="A4709" s="6">
        <v>43348</v>
      </c>
      <c r="B4709" t="s">
        <v>91</v>
      </c>
      <c r="C4709">
        <v>58757</v>
      </c>
      <c r="D4709" t="s">
        <v>31</v>
      </c>
      <c r="E4709" s="7">
        <v>79377.460000000006</v>
      </c>
      <c r="F4709" t="s">
        <v>20</v>
      </c>
      <c r="G4709" t="s">
        <v>93</v>
      </c>
      <c r="H4709" t="str">
        <f>"CHECK"</f>
        <v>CHECK</v>
      </c>
      <c r="I4709" t="str">
        <f>""</f>
        <v/>
      </c>
    </row>
    <row r="4710" spans="1:9" x14ac:dyDescent="0.25">
      <c r="A4710" s="6">
        <v>43348</v>
      </c>
      <c r="B4710" t="s">
        <v>26</v>
      </c>
      <c r="C4710">
        <v>58758</v>
      </c>
      <c r="D4710" t="s">
        <v>306</v>
      </c>
      <c r="E4710" s="7">
        <v>40</v>
      </c>
      <c r="F4710" t="s">
        <v>20</v>
      </c>
      <c r="G4710" t="s">
        <v>21</v>
      </c>
      <c r="H4710" t="str">
        <f>"3264378"</f>
        <v>3264378</v>
      </c>
      <c r="I4710" t="str">
        <f>"JORGE LOPEZ"</f>
        <v>JORGE LOPEZ</v>
      </c>
    </row>
    <row r="4711" spans="1:9" x14ac:dyDescent="0.25">
      <c r="A4711" s="6">
        <v>43348</v>
      </c>
      <c r="B4711" t="s">
        <v>26</v>
      </c>
      <c r="C4711">
        <v>58759</v>
      </c>
      <c r="D4711" t="s">
        <v>83</v>
      </c>
      <c r="E4711" s="7">
        <v>936</v>
      </c>
      <c r="F4711" t="s">
        <v>20</v>
      </c>
      <c r="G4711" t="s">
        <v>21</v>
      </c>
      <c r="H4711" t="str">
        <f>"468707"</f>
        <v>468707</v>
      </c>
      <c r="I4711" t="str">
        <f>"APPRIVER"</f>
        <v>APPRIVER</v>
      </c>
    </row>
    <row r="4712" spans="1:9" x14ac:dyDescent="0.25">
      <c r="A4712" s="6">
        <v>43348</v>
      </c>
      <c r="B4712" t="s">
        <v>26</v>
      </c>
      <c r="C4712">
        <v>58760</v>
      </c>
      <c r="D4712" t="s">
        <v>85</v>
      </c>
      <c r="E4712" s="7">
        <v>447.5</v>
      </c>
      <c r="F4712" t="s">
        <v>20</v>
      </c>
      <c r="G4712" t="s">
        <v>21</v>
      </c>
      <c r="H4712" t="str">
        <f>"8303937070-9/5/18"</f>
        <v>8303937070-9/5/18</v>
      </c>
      <c r="I4712" t="str">
        <f>"FRONTIER"</f>
        <v>FRONTIER</v>
      </c>
    </row>
    <row r="4713" spans="1:9" x14ac:dyDescent="0.25">
      <c r="A4713" s="6">
        <v>43348</v>
      </c>
      <c r="B4713" t="s">
        <v>26</v>
      </c>
      <c r="C4713">
        <v>58761</v>
      </c>
      <c r="D4713" t="s">
        <v>275</v>
      </c>
      <c r="E4713" s="7">
        <v>1035</v>
      </c>
      <c r="F4713" t="s">
        <v>20</v>
      </c>
      <c r="G4713" t="s">
        <v>21</v>
      </c>
      <c r="H4713" t="str">
        <f>"38990"</f>
        <v>38990</v>
      </c>
      <c r="I4713" t="str">
        <f>"CORTEZ LIQUID WASTE SERVICES"</f>
        <v>CORTEZ LIQUID WASTE SERVICES</v>
      </c>
    </row>
    <row r="4714" spans="1:9" x14ac:dyDescent="0.25">
      <c r="A4714" s="6">
        <v>43348</v>
      </c>
      <c r="B4714" t="s">
        <v>26</v>
      </c>
      <c r="C4714">
        <v>58762</v>
      </c>
      <c r="D4714" t="s">
        <v>140</v>
      </c>
      <c r="E4714" s="7">
        <v>1790.74</v>
      </c>
      <c r="F4714" t="s">
        <v>20</v>
      </c>
      <c r="G4714" t="s">
        <v>21</v>
      </c>
      <c r="H4714" t="str">
        <f>"8"</f>
        <v>8</v>
      </c>
      <c r="I4714" t="str">
        <f>"DEBRA J. DOCKERY"</f>
        <v>DEBRA J. DOCKERY</v>
      </c>
    </row>
    <row r="4715" spans="1:9" x14ac:dyDescent="0.25">
      <c r="A4715" s="6">
        <v>43348</v>
      </c>
      <c r="B4715" t="s">
        <v>26</v>
      </c>
      <c r="C4715">
        <v>58763</v>
      </c>
      <c r="D4715" t="s">
        <v>527</v>
      </c>
      <c r="E4715" s="7">
        <v>500</v>
      </c>
      <c r="F4715" t="s">
        <v>20</v>
      </c>
      <c r="G4715" t="s">
        <v>21</v>
      </c>
      <c r="H4715" t="str">
        <f>"9/4/18"</f>
        <v>9/4/18</v>
      </c>
      <c r="I4715" t="str">
        <f>"ROBERT MARTINEZ"</f>
        <v>ROBERT MARTINEZ</v>
      </c>
    </row>
    <row r="4716" spans="1:9" x14ac:dyDescent="0.25">
      <c r="A4716" s="6">
        <v>43348</v>
      </c>
      <c r="B4716" t="s">
        <v>26</v>
      </c>
      <c r="C4716">
        <v>58764</v>
      </c>
      <c r="D4716" t="s">
        <v>175</v>
      </c>
      <c r="E4716" s="7">
        <v>500</v>
      </c>
      <c r="F4716" t="s">
        <v>20</v>
      </c>
      <c r="G4716" t="s">
        <v>21</v>
      </c>
      <c r="H4716" t="str">
        <f>"151307"</f>
        <v>151307</v>
      </c>
      <c r="I4716" t="str">
        <f>"AMER TECHNOLOGY  INC."</f>
        <v>AMER TECHNOLOGY  INC.</v>
      </c>
    </row>
    <row r="4717" spans="1:9" x14ac:dyDescent="0.25">
      <c r="A4717" s="6">
        <v>43348</v>
      </c>
      <c r="B4717" t="s">
        <v>26</v>
      </c>
      <c r="C4717">
        <v>58765</v>
      </c>
      <c r="D4717" t="s">
        <v>258</v>
      </c>
      <c r="E4717" s="7">
        <v>165</v>
      </c>
      <c r="F4717" t="s">
        <v>20</v>
      </c>
      <c r="G4717" t="s">
        <v>21</v>
      </c>
      <c r="H4717" t="str">
        <f>"146334"</f>
        <v>146334</v>
      </c>
      <c r="I4717" t="str">
        <f>"JOHNS OIL COMPANY"</f>
        <v>JOHNS OIL COMPANY</v>
      </c>
    </row>
    <row r="4718" spans="1:9" x14ac:dyDescent="0.25">
      <c r="A4718" s="6">
        <v>43348</v>
      </c>
      <c r="B4718" t="s">
        <v>26</v>
      </c>
      <c r="C4718">
        <v>58766</v>
      </c>
      <c r="D4718" t="s">
        <v>345</v>
      </c>
      <c r="E4718" s="7">
        <v>165</v>
      </c>
      <c r="F4718" t="s">
        <v>20</v>
      </c>
      <c r="G4718" t="s">
        <v>21</v>
      </c>
      <c r="H4718" t="str">
        <f>"9/5/18"</f>
        <v>9/5/18</v>
      </c>
      <c r="I4718" t="str">
        <f>"MICHAEL ISAAC MARTINEZ"</f>
        <v>MICHAEL ISAAC MARTINEZ</v>
      </c>
    </row>
    <row r="4719" spans="1:9" x14ac:dyDescent="0.25">
      <c r="A4719" s="6">
        <v>43348</v>
      </c>
      <c r="B4719" t="s">
        <v>26</v>
      </c>
      <c r="C4719">
        <v>58767</v>
      </c>
      <c r="D4719" t="s">
        <v>328</v>
      </c>
      <c r="E4719" s="7">
        <v>1200</v>
      </c>
      <c r="F4719" t="s">
        <v>20</v>
      </c>
      <c r="G4719" t="s">
        <v>21</v>
      </c>
      <c r="H4719" t="str">
        <f>"7016773"</f>
        <v>7016773</v>
      </c>
      <c r="I4719" t="str">
        <f>"KOLOGIK"</f>
        <v>KOLOGIK</v>
      </c>
    </row>
    <row r="4720" spans="1:9" x14ac:dyDescent="0.25">
      <c r="A4720" s="6">
        <v>43348</v>
      </c>
      <c r="B4720" t="s">
        <v>26</v>
      </c>
      <c r="C4720">
        <v>58768</v>
      </c>
      <c r="D4720" t="s">
        <v>515</v>
      </c>
      <c r="E4720" s="7">
        <v>9822.4</v>
      </c>
      <c r="F4720" t="s">
        <v>20</v>
      </c>
      <c r="G4720" t="s">
        <v>21</v>
      </c>
      <c r="H4720" t="str">
        <f>"D601"</f>
        <v>D601</v>
      </c>
      <c r="I4720" t="str">
        <f>"PATROL RIFLES"</f>
        <v>PATROL RIFLES</v>
      </c>
    </row>
    <row r="4721" spans="1:9" x14ac:dyDescent="0.25">
      <c r="A4721" s="6">
        <v>43348</v>
      </c>
      <c r="B4721" t="s">
        <v>26</v>
      </c>
      <c r="C4721">
        <v>58769</v>
      </c>
      <c r="D4721" t="s">
        <v>521</v>
      </c>
      <c r="E4721" s="7">
        <v>150</v>
      </c>
      <c r="F4721" t="s">
        <v>20</v>
      </c>
      <c r="G4721" t="s">
        <v>21</v>
      </c>
      <c r="H4721" t="str">
        <f>"9/5/18"</f>
        <v>9/5/18</v>
      </c>
      <c r="I4721" t="str">
        <f>"BRONSON LIVINGSTON-STEPHENSON"</f>
        <v>BRONSON LIVINGSTON-STEPHENSON</v>
      </c>
    </row>
    <row r="4722" spans="1:9" x14ac:dyDescent="0.25">
      <c r="A4722" s="6">
        <v>43348</v>
      </c>
      <c r="B4722" t="s">
        <v>26</v>
      </c>
      <c r="C4722">
        <v>58770</v>
      </c>
      <c r="D4722" t="s">
        <v>528</v>
      </c>
      <c r="E4722" s="7">
        <v>474.2</v>
      </c>
      <c r="F4722" t="s">
        <v>20</v>
      </c>
      <c r="G4722" t="s">
        <v>21</v>
      </c>
      <c r="H4722" t="str">
        <f>"1832290"</f>
        <v>1832290</v>
      </c>
      <c r="I4722" t="str">
        <f>"PROSTAR SERVICES INC"</f>
        <v>PROSTAR SERVICES INC</v>
      </c>
    </row>
    <row r="4723" spans="1:9" x14ac:dyDescent="0.25">
      <c r="A4723" s="6">
        <v>43348</v>
      </c>
      <c r="B4723" t="s">
        <v>26</v>
      </c>
      <c r="C4723">
        <v>58771</v>
      </c>
      <c r="D4723" t="s">
        <v>529</v>
      </c>
      <c r="E4723" s="7">
        <v>925</v>
      </c>
      <c r="F4723" t="s">
        <v>20</v>
      </c>
      <c r="G4723" t="s">
        <v>21</v>
      </c>
      <c r="H4723" t="str">
        <f>"201809058483"</f>
        <v>201809058483</v>
      </c>
      <c r="I4723" t="str">
        <f>"A &amp; J PENA"</f>
        <v>A &amp; J PENA</v>
      </c>
    </row>
    <row r="4724" spans="1:9" x14ac:dyDescent="0.25">
      <c r="A4724" s="6">
        <v>43349</v>
      </c>
      <c r="B4724" t="s">
        <v>26</v>
      </c>
      <c r="C4724">
        <v>58772</v>
      </c>
      <c r="D4724" t="s">
        <v>31</v>
      </c>
      <c r="E4724" s="7">
        <v>4160</v>
      </c>
      <c r="F4724" t="s">
        <v>20</v>
      </c>
      <c r="G4724" t="s">
        <v>21</v>
      </c>
      <c r="H4724" t="str">
        <f>"201809068484"</f>
        <v>201809068484</v>
      </c>
      <c r="I4724" t="str">
        <f>"THE LAW OFFICE OF TOM CALDWELL"</f>
        <v>THE LAW OFFICE OF TOM CALDWELL</v>
      </c>
    </row>
    <row r="4725" spans="1:9" x14ac:dyDescent="0.25">
      <c r="A4725" s="6">
        <v>43355</v>
      </c>
      <c r="B4725" t="s">
        <v>26</v>
      </c>
      <c r="C4725">
        <v>58773</v>
      </c>
      <c r="D4725" t="s">
        <v>90</v>
      </c>
      <c r="E4725" s="7">
        <v>2182.44</v>
      </c>
      <c r="F4725" t="s">
        <v>20</v>
      </c>
      <c r="G4725" t="s">
        <v>24</v>
      </c>
      <c r="H4725" t="str">
        <f>"AFLAC 8/2018"</f>
        <v>AFLAC 8/2018</v>
      </c>
      <c r="I4725" t="str">
        <f>"AFLAC"</f>
        <v>AFLAC</v>
      </c>
    </row>
    <row r="4726" spans="1:9" x14ac:dyDescent="0.25">
      <c r="E4726" s="7"/>
      <c r="F4726" t="s">
        <v>20</v>
      </c>
      <c r="G4726" t="s">
        <v>24</v>
      </c>
      <c r="H4726" t="str">
        <f>"AFLAC8/18"</f>
        <v>AFLAC8/18</v>
      </c>
      <c r="I4726" t="str">
        <f>"AFLAC"</f>
        <v>AFLAC</v>
      </c>
    </row>
    <row r="4727" spans="1:9" x14ac:dyDescent="0.25">
      <c r="E4727" s="7"/>
      <c r="F4727" t="s">
        <v>20</v>
      </c>
      <c r="G4727" t="s">
        <v>329</v>
      </c>
      <c r="H4727" t="str">
        <f>"AFLAC 08/18"</f>
        <v>AFLAC 08/18</v>
      </c>
      <c r="I4727" t="str">
        <f>"AFLAC"</f>
        <v>AFLAC</v>
      </c>
    </row>
    <row r="4728" spans="1:9" x14ac:dyDescent="0.25">
      <c r="E4728" s="7"/>
      <c r="F4728" t="s">
        <v>20</v>
      </c>
      <c r="G4728" t="s">
        <v>329</v>
      </c>
      <c r="H4728" t="str">
        <f>"AFLAC 8/18"</f>
        <v>AFLAC 8/18</v>
      </c>
      <c r="I4728" t="str">
        <f>"AFLAC"</f>
        <v>AFLAC</v>
      </c>
    </row>
    <row r="4729" spans="1:9" x14ac:dyDescent="0.25">
      <c r="E4729" s="7"/>
      <c r="F4729" t="s">
        <v>20</v>
      </c>
      <c r="G4729" t="s">
        <v>329</v>
      </c>
      <c r="H4729" t="str">
        <f>"AFLAC8/18"</f>
        <v>AFLAC8/18</v>
      </c>
      <c r="I4729" t="str">
        <f>"AFLAC"</f>
        <v>AFLAC</v>
      </c>
    </row>
    <row r="4730" spans="1:9" x14ac:dyDescent="0.25">
      <c r="E4730" s="7"/>
      <c r="F4730" t="s">
        <v>20</v>
      </c>
      <c r="G4730" t="s">
        <v>21</v>
      </c>
      <c r="H4730" t="str">
        <f>"ACA201808158466"</f>
        <v>ACA201808158466</v>
      </c>
      <c r="I4730" t="str">
        <f>"AFLAC INSURANCE"</f>
        <v>AFLAC INSURANCE</v>
      </c>
    </row>
    <row r="4731" spans="1:9" x14ac:dyDescent="0.25">
      <c r="E4731" s="7"/>
      <c r="F4731" t="s">
        <v>20</v>
      </c>
      <c r="G4731" t="s">
        <v>21</v>
      </c>
      <c r="H4731" t="str">
        <f>"ACA201808298477"</f>
        <v>ACA201808298477</v>
      </c>
      <c r="I4731" t="str">
        <f>"AFLAC INSURANCE"</f>
        <v>AFLAC INSURANCE</v>
      </c>
    </row>
    <row r="4732" spans="1:9" x14ac:dyDescent="0.25">
      <c r="E4732" s="7"/>
      <c r="F4732" t="s">
        <v>20</v>
      </c>
      <c r="G4732" t="s">
        <v>21</v>
      </c>
      <c r="H4732" t="str">
        <f>"AD2201808158466"</f>
        <v>AD2201808158466</v>
      </c>
      <c r="I4732" t="str">
        <f>"AFLAC INSURANCE"</f>
        <v>AFLAC INSURANCE</v>
      </c>
    </row>
    <row r="4733" spans="1:9" x14ac:dyDescent="0.25">
      <c r="E4733" s="7"/>
      <c r="F4733" t="s">
        <v>20</v>
      </c>
      <c r="G4733" t="s">
        <v>21</v>
      </c>
      <c r="H4733" t="str">
        <f>"AD2201808298477"</f>
        <v>AD2201808298477</v>
      </c>
      <c r="I4733" t="str">
        <f>"AFLAC INSURANCE"</f>
        <v>AFLAC INSURANCE</v>
      </c>
    </row>
    <row r="4734" spans="1:9" x14ac:dyDescent="0.25">
      <c r="E4734" s="7"/>
      <c r="F4734" t="s">
        <v>20</v>
      </c>
      <c r="G4734" t="s">
        <v>21</v>
      </c>
      <c r="H4734" t="str">
        <f>"ADR201808158466"</f>
        <v>ADR201808158466</v>
      </c>
      <c r="I4734" t="str">
        <f>"INSURANCE"</f>
        <v>INSURANCE</v>
      </c>
    </row>
    <row r="4735" spans="1:9" x14ac:dyDescent="0.25">
      <c r="E4735" s="7"/>
      <c r="F4735" t="s">
        <v>20</v>
      </c>
      <c r="G4735" t="s">
        <v>21</v>
      </c>
      <c r="H4735" t="str">
        <f>"ADR201808298477"</f>
        <v>ADR201808298477</v>
      </c>
      <c r="I4735" t="str">
        <f>"INSURANCE"</f>
        <v>INSURANCE</v>
      </c>
    </row>
    <row r="4736" spans="1:9" x14ac:dyDescent="0.25">
      <c r="E4736" s="7"/>
      <c r="F4736" t="s">
        <v>20</v>
      </c>
      <c r="G4736" t="s">
        <v>21</v>
      </c>
      <c r="H4736" t="str">
        <f>"AF1201808158466"</f>
        <v>AF1201808158466</v>
      </c>
      <c r="I4736" t="str">
        <f t="shared" ref="I4736:I4741" si="80">"AFLAC INSURANCE"</f>
        <v>AFLAC INSURANCE</v>
      </c>
    </row>
    <row r="4737" spans="1:9" x14ac:dyDescent="0.25">
      <c r="E4737" s="7"/>
      <c r="F4737" t="s">
        <v>20</v>
      </c>
      <c r="G4737" t="s">
        <v>21</v>
      </c>
      <c r="H4737" t="str">
        <f>"AF1201808298477"</f>
        <v>AF1201808298477</v>
      </c>
      <c r="I4737" t="str">
        <f t="shared" si="80"/>
        <v>AFLAC INSURANCE</v>
      </c>
    </row>
    <row r="4738" spans="1:9" x14ac:dyDescent="0.25">
      <c r="E4738" s="7"/>
      <c r="F4738" t="s">
        <v>20</v>
      </c>
      <c r="G4738" t="s">
        <v>21</v>
      </c>
      <c r="H4738" t="str">
        <f>"ASP201808158466"</f>
        <v>ASP201808158466</v>
      </c>
      <c r="I4738" t="str">
        <f t="shared" si="80"/>
        <v>AFLAC INSURANCE</v>
      </c>
    </row>
    <row r="4739" spans="1:9" x14ac:dyDescent="0.25">
      <c r="E4739" s="7"/>
      <c r="F4739" t="s">
        <v>20</v>
      </c>
      <c r="G4739" t="s">
        <v>21</v>
      </c>
      <c r="H4739" t="str">
        <f>"ASP201808298477"</f>
        <v>ASP201808298477</v>
      </c>
      <c r="I4739" t="str">
        <f t="shared" si="80"/>
        <v>AFLAC INSURANCE</v>
      </c>
    </row>
    <row r="4740" spans="1:9" x14ac:dyDescent="0.25">
      <c r="E4740" s="7"/>
      <c r="F4740" t="s">
        <v>20</v>
      </c>
      <c r="G4740" t="s">
        <v>21</v>
      </c>
      <c r="H4740" t="str">
        <f>"HCO201808158466"</f>
        <v>HCO201808158466</v>
      </c>
      <c r="I4740" t="str">
        <f t="shared" si="80"/>
        <v>AFLAC INSURANCE</v>
      </c>
    </row>
    <row r="4741" spans="1:9" x14ac:dyDescent="0.25">
      <c r="E4741" s="7"/>
      <c r="F4741" t="s">
        <v>20</v>
      </c>
      <c r="G4741" t="s">
        <v>21</v>
      </c>
      <c r="H4741" t="str">
        <f>"HCO201808298477"</f>
        <v>HCO201808298477</v>
      </c>
      <c r="I4741" t="str">
        <f t="shared" si="80"/>
        <v>AFLAC INSURANCE</v>
      </c>
    </row>
    <row r="4742" spans="1:9" x14ac:dyDescent="0.25">
      <c r="A4742" s="6">
        <v>43355</v>
      </c>
      <c r="B4742" t="s">
        <v>91</v>
      </c>
      <c r="C4742">
        <v>58779</v>
      </c>
      <c r="D4742" t="s">
        <v>92</v>
      </c>
      <c r="E4742" s="7">
        <v>39423.11</v>
      </c>
      <c r="F4742" t="s">
        <v>20</v>
      </c>
      <c r="G4742" t="s">
        <v>21</v>
      </c>
      <c r="H4742" t="str">
        <f>"RET201808158466"</f>
        <v>RET201808158466</v>
      </c>
      <c r="I4742" t="str">
        <f>"TMRS CITY OF FLORESVILLE"</f>
        <v>TMRS CITY OF FLORESVILLE</v>
      </c>
    </row>
    <row r="4743" spans="1:9" x14ac:dyDescent="0.25">
      <c r="E4743" s="7"/>
      <c r="F4743" t="s">
        <v>20</v>
      </c>
      <c r="G4743" t="s">
        <v>21</v>
      </c>
      <c r="H4743" t="str">
        <f>"RET201808298477"</f>
        <v>RET201808298477</v>
      </c>
      <c r="I4743" t="str">
        <f>"TMRS CITY OF FLORESVILLE"</f>
        <v>TMRS CITY OF FLORESVILLE</v>
      </c>
    </row>
    <row r="4744" spans="1:9" x14ac:dyDescent="0.25">
      <c r="A4744" s="6">
        <v>43355</v>
      </c>
      <c r="B4744" t="s">
        <v>26</v>
      </c>
      <c r="C4744">
        <v>58783</v>
      </c>
      <c r="D4744" t="s">
        <v>94</v>
      </c>
      <c r="E4744" s="7">
        <v>2410.5500000000002</v>
      </c>
      <c r="F4744" t="s">
        <v>20</v>
      </c>
      <c r="G4744" t="s">
        <v>329</v>
      </c>
      <c r="H4744" t="str">
        <f>"DENTAL SEL 8/18"</f>
        <v>DENTAL SEL 8/18</v>
      </c>
      <c r="I4744" t="str">
        <f>"DENTAL SELECT"</f>
        <v>DENTAL SELECT</v>
      </c>
    </row>
    <row r="4745" spans="1:9" x14ac:dyDescent="0.25">
      <c r="E4745" s="7"/>
      <c r="F4745" t="s">
        <v>20</v>
      </c>
      <c r="G4745" t="s">
        <v>21</v>
      </c>
      <c r="H4745" t="str">
        <f>"DEN201808158466"</f>
        <v>DEN201808158466</v>
      </c>
      <c r="I4745" t="str">
        <f>"DENTAL INSURANCE"</f>
        <v>DENTAL INSURANCE</v>
      </c>
    </row>
    <row r="4746" spans="1:9" x14ac:dyDescent="0.25">
      <c r="E4746" s="7"/>
      <c r="F4746" t="s">
        <v>20</v>
      </c>
      <c r="G4746" t="s">
        <v>21</v>
      </c>
      <c r="H4746" t="str">
        <f>"DEN201808298477"</f>
        <v>DEN201808298477</v>
      </c>
      <c r="I4746" t="str">
        <f>"DENTAL INSURANCE"</f>
        <v>DENTAL INSURANCE</v>
      </c>
    </row>
    <row r="4747" spans="1:9" x14ac:dyDescent="0.25">
      <c r="A4747" s="6">
        <v>43355</v>
      </c>
      <c r="B4747" t="s">
        <v>26</v>
      </c>
      <c r="C4747">
        <v>58785</v>
      </c>
      <c r="D4747" t="s">
        <v>95</v>
      </c>
      <c r="E4747" s="7">
        <v>64.959999999999994</v>
      </c>
      <c r="F4747" t="s">
        <v>20</v>
      </c>
      <c r="G4747" t="s">
        <v>24</v>
      </c>
      <c r="H4747" t="str">
        <f>"LEGALPLAN 8/18"</f>
        <v>LEGALPLAN 8/18</v>
      </c>
      <c r="I4747" t="str">
        <f>"LEGAL PLANS"</f>
        <v>LEGAL PLANS</v>
      </c>
    </row>
    <row r="4748" spans="1:9" x14ac:dyDescent="0.25">
      <c r="E4748" s="7"/>
      <c r="F4748" t="s">
        <v>20</v>
      </c>
      <c r="G4748" t="s">
        <v>329</v>
      </c>
      <c r="H4748" t="str">
        <f>"LEGAL PLANS 9/18"</f>
        <v>LEGAL PLANS 9/18</v>
      </c>
      <c r="I4748" t="str">
        <f>"LEGAL PLANS"</f>
        <v>LEGAL PLANS</v>
      </c>
    </row>
    <row r="4749" spans="1:9" x14ac:dyDescent="0.25">
      <c r="E4749" s="7"/>
      <c r="F4749" t="s">
        <v>20</v>
      </c>
      <c r="G4749" t="s">
        <v>329</v>
      </c>
      <c r="H4749" t="str">
        <f>"LEGALPLANS8/18"</f>
        <v>LEGALPLANS8/18</v>
      </c>
      <c r="I4749" t="str">
        <f>"LEGAL PLANS"</f>
        <v>LEGAL PLANS</v>
      </c>
    </row>
    <row r="4750" spans="1:9" x14ac:dyDescent="0.25">
      <c r="E4750" s="7"/>
      <c r="F4750" t="s">
        <v>20</v>
      </c>
      <c r="G4750" t="s">
        <v>21</v>
      </c>
      <c r="H4750" t="str">
        <f>"LEA201808158466"</f>
        <v>LEA201808158466</v>
      </c>
      <c r="I4750" t="str">
        <f>"INSURANCE"</f>
        <v>INSURANCE</v>
      </c>
    </row>
    <row r="4751" spans="1:9" x14ac:dyDescent="0.25">
      <c r="E4751" s="7"/>
      <c r="F4751" t="s">
        <v>20</v>
      </c>
      <c r="G4751" t="s">
        <v>21</v>
      </c>
      <c r="H4751" t="str">
        <f>"LEA201808298477"</f>
        <v>LEA201808298477</v>
      </c>
      <c r="I4751" t="str">
        <f>"INSURANCE"</f>
        <v>INSURANCE</v>
      </c>
    </row>
    <row r="4752" spans="1:9" x14ac:dyDescent="0.25">
      <c r="A4752" s="6">
        <v>43355</v>
      </c>
      <c r="B4752" t="s">
        <v>26</v>
      </c>
      <c r="C4752">
        <v>58787</v>
      </c>
      <c r="D4752" t="s">
        <v>96</v>
      </c>
      <c r="E4752" s="7">
        <v>587.79999999999995</v>
      </c>
      <c r="F4752" t="s">
        <v>20</v>
      </c>
      <c r="G4752" t="s">
        <v>24</v>
      </c>
      <c r="H4752" t="str">
        <f>"DENTAL SELECT 8/18"</f>
        <v>DENTAL SELECT 8/18</v>
      </c>
      <c r="I4752" t="str">
        <f>"LEGALSHIELD"</f>
        <v>LEGALSHIELD</v>
      </c>
    </row>
    <row r="4753" spans="1:9" x14ac:dyDescent="0.25">
      <c r="E4753" s="7"/>
      <c r="F4753" t="s">
        <v>20</v>
      </c>
      <c r="G4753" t="s">
        <v>24</v>
      </c>
      <c r="H4753" t="str">
        <f>"LEGALSHLD 8/18"</f>
        <v>LEGALSHLD 8/18</v>
      </c>
      <c r="I4753" t="str">
        <f>"LEGALSHIELD"</f>
        <v>LEGALSHIELD</v>
      </c>
    </row>
    <row r="4754" spans="1:9" x14ac:dyDescent="0.25">
      <c r="E4754" s="7"/>
      <c r="F4754" t="s">
        <v>20</v>
      </c>
      <c r="G4754" t="s">
        <v>329</v>
      </c>
      <c r="H4754" t="str">
        <f>"LEGAL SHLD 9/18"</f>
        <v>LEGAL SHLD 9/18</v>
      </c>
      <c r="I4754" t="str">
        <f>"LEGALSHIELD"</f>
        <v>LEGALSHIELD</v>
      </c>
    </row>
    <row r="4755" spans="1:9" x14ac:dyDescent="0.25">
      <c r="E4755" s="7"/>
      <c r="F4755" t="s">
        <v>20</v>
      </c>
      <c r="G4755" t="s">
        <v>329</v>
      </c>
      <c r="H4755" t="str">
        <f>"LEGALSHLD 8/18"</f>
        <v>LEGALSHLD 8/18</v>
      </c>
      <c r="I4755" t="str">
        <f>"LEGALSHIELD"</f>
        <v>LEGALSHIELD</v>
      </c>
    </row>
    <row r="4756" spans="1:9" x14ac:dyDescent="0.25">
      <c r="E4756" s="7"/>
      <c r="F4756" t="s">
        <v>20</v>
      </c>
      <c r="G4756" t="s">
        <v>21</v>
      </c>
      <c r="H4756" t="str">
        <f>"PPL201808158466"</f>
        <v>PPL201808158466</v>
      </c>
      <c r="I4756" t="str">
        <f>"INSURANCE"</f>
        <v>INSURANCE</v>
      </c>
    </row>
    <row r="4757" spans="1:9" x14ac:dyDescent="0.25">
      <c r="E4757" s="7"/>
      <c r="F4757" t="s">
        <v>20</v>
      </c>
      <c r="G4757" t="s">
        <v>21</v>
      </c>
      <c r="H4757" t="str">
        <f>"PPL201808298477"</f>
        <v>PPL201808298477</v>
      </c>
      <c r="I4757" t="str">
        <f>"INSURANCE"</f>
        <v>INSURANCE</v>
      </c>
    </row>
    <row r="4758" spans="1:9" x14ac:dyDescent="0.25">
      <c r="A4758" s="6">
        <v>43355</v>
      </c>
      <c r="B4758" t="s">
        <v>91</v>
      </c>
      <c r="C4758">
        <v>58789</v>
      </c>
      <c r="D4758" t="s">
        <v>97</v>
      </c>
      <c r="E4758" s="7">
        <v>1399.02</v>
      </c>
      <c r="F4758" t="s">
        <v>20</v>
      </c>
      <c r="G4758" t="s">
        <v>21</v>
      </c>
      <c r="H4758" t="str">
        <f>"BME201808158466"</f>
        <v>BME201808158466</v>
      </c>
      <c r="I4758" t="str">
        <f>"INSURANCE"</f>
        <v>INSURANCE</v>
      </c>
    </row>
    <row r="4759" spans="1:9" x14ac:dyDescent="0.25">
      <c r="E4759" s="7"/>
      <c r="F4759" t="s">
        <v>20</v>
      </c>
      <c r="G4759" t="s">
        <v>21</v>
      </c>
      <c r="H4759" t="str">
        <f>"BME201808298477"</f>
        <v>BME201808298477</v>
      </c>
      <c r="I4759" t="str">
        <f>"INSURANCE"</f>
        <v>INSURANCE</v>
      </c>
    </row>
    <row r="4760" spans="1:9" x14ac:dyDescent="0.25">
      <c r="A4760" s="6">
        <v>43355</v>
      </c>
      <c r="B4760" t="s">
        <v>91</v>
      </c>
      <c r="C4760">
        <v>58789</v>
      </c>
      <c r="D4760" t="s">
        <v>97</v>
      </c>
      <c r="E4760" s="7">
        <v>1399.02</v>
      </c>
      <c r="F4760" t="s">
        <v>20</v>
      </c>
      <c r="G4760" t="s">
        <v>93</v>
      </c>
      <c r="H4760" t="str">
        <f>"CHECK"</f>
        <v>CHECK</v>
      </c>
      <c r="I4760" t="str">
        <f>""</f>
        <v/>
      </c>
    </row>
    <row r="4761" spans="1:9" x14ac:dyDescent="0.25">
      <c r="A4761" s="6">
        <v>43355</v>
      </c>
      <c r="B4761" t="s">
        <v>26</v>
      </c>
      <c r="C4761">
        <v>58790</v>
      </c>
      <c r="D4761" t="s">
        <v>98</v>
      </c>
      <c r="E4761" s="7">
        <v>2827.28</v>
      </c>
      <c r="F4761" t="s">
        <v>20</v>
      </c>
      <c r="G4761" t="s">
        <v>24</v>
      </c>
      <c r="H4761" t="str">
        <f>"DEARBORN 9/18"</f>
        <v>DEARBORN 9/18</v>
      </c>
      <c r="I4761" t="str">
        <f>"DEARBORN NATIONAL"</f>
        <v>DEARBORN NATIONAL</v>
      </c>
    </row>
    <row r="4762" spans="1:9" x14ac:dyDescent="0.25">
      <c r="E4762" s="7"/>
      <c r="F4762" t="s">
        <v>20</v>
      </c>
      <c r="G4762" t="s">
        <v>24</v>
      </c>
      <c r="H4762" t="str">
        <f>"DEARBORN NAT 8/18"</f>
        <v>DEARBORN NAT 8/18</v>
      </c>
      <c r="I4762" t="str">
        <f>"DEARBORN NATIONAL"</f>
        <v>DEARBORN NATIONAL</v>
      </c>
    </row>
    <row r="4763" spans="1:9" x14ac:dyDescent="0.25">
      <c r="E4763" s="7"/>
      <c r="F4763" t="s">
        <v>20</v>
      </c>
      <c r="G4763" t="s">
        <v>329</v>
      </c>
      <c r="H4763" t="str">
        <f>"VLC 9/12/18"</f>
        <v>VLC 9/12/18</v>
      </c>
      <c r="I4763" t="str">
        <f>"DEARBORN NATIONAL"</f>
        <v>DEARBORN NATIONAL</v>
      </c>
    </row>
    <row r="4764" spans="1:9" x14ac:dyDescent="0.25">
      <c r="E4764" s="7"/>
      <c r="F4764" t="s">
        <v>20</v>
      </c>
      <c r="G4764" t="s">
        <v>21</v>
      </c>
      <c r="H4764" t="str">
        <f>"STD201808158466"</f>
        <v>STD201808158466</v>
      </c>
      <c r="I4764" t="str">
        <f>"SHORT TERM DISABILITY"</f>
        <v>SHORT TERM DISABILITY</v>
      </c>
    </row>
    <row r="4765" spans="1:9" x14ac:dyDescent="0.25">
      <c r="E4765" s="7"/>
      <c r="F4765" t="s">
        <v>20</v>
      </c>
      <c r="G4765" t="s">
        <v>21</v>
      </c>
      <c r="H4765" t="str">
        <f>"STD201808298477"</f>
        <v>STD201808298477</v>
      </c>
      <c r="I4765" t="str">
        <f>"SHORT TERM DISABILITY"</f>
        <v>SHORT TERM DISABILITY</v>
      </c>
    </row>
    <row r="4766" spans="1:9" x14ac:dyDescent="0.25">
      <c r="E4766" s="7"/>
      <c r="F4766" t="s">
        <v>20</v>
      </c>
      <c r="G4766" t="s">
        <v>21</v>
      </c>
      <c r="H4766" t="str">
        <f>"VLC201808158466"</f>
        <v>VLC201808158466</v>
      </c>
      <c r="I4766" t="str">
        <f>"CHILD LIFE INSURANCE"</f>
        <v>CHILD LIFE INSURANCE</v>
      </c>
    </row>
    <row r="4767" spans="1:9" x14ac:dyDescent="0.25">
      <c r="E4767" s="7"/>
      <c r="F4767" t="s">
        <v>20</v>
      </c>
      <c r="G4767" t="s">
        <v>21</v>
      </c>
      <c r="H4767" t="str">
        <f>"VLC201808298477"</f>
        <v>VLC201808298477</v>
      </c>
      <c r="I4767" t="str">
        <f>"CHILD LIFE INSURANCE"</f>
        <v>CHILD LIFE INSURANCE</v>
      </c>
    </row>
    <row r="4768" spans="1:9" x14ac:dyDescent="0.25">
      <c r="E4768" s="7"/>
      <c r="F4768" t="s">
        <v>20</v>
      </c>
      <c r="G4768" t="s">
        <v>21</v>
      </c>
      <c r="H4768" t="str">
        <f>"VLS201808158466"</f>
        <v>VLS201808158466</v>
      </c>
      <c r="I4768" t="str">
        <f>"SPOUSE LIFE"</f>
        <v>SPOUSE LIFE</v>
      </c>
    </row>
    <row r="4769" spans="1:9" x14ac:dyDescent="0.25">
      <c r="E4769" s="7"/>
      <c r="F4769" t="s">
        <v>20</v>
      </c>
      <c r="G4769" t="s">
        <v>21</v>
      </c>
      <c r="H4769" t="str">
        <f>"VLS201808298477"</f>
        <v>VLS201808298477</v>
      </c>
      <c r="I4769" t="str">
        <f>"SPOUSE LIFE"</f>
        <v>SPOUSE LIFE</v>
      </c>
    </row>
    <row r="4770" spans="1:9" x14ac:dyDescent="0.25">
      <c r="E4770" s="7"/>
      <c r="F4770" t="s">
        <v>20</v>
      </c>
      <c r="G4770" t="s">
        <v>21</v>
      </c>
      <c r="H4770" t="str">
        <f>"VOE201808158466"</f>
        <v>VOE201808158466</v>
      </c>
      <c r="I4770" t="str">
        <f>"EMPLOYEE LIFE"</f>
        <v>EMPLOYEE LIFE</v>
      </c>
    </row>
    <row r="4771" spans="1:9" x14ac:dyDescent="0.25">
      <c r="E4771" s="7"/>
      <c r="F4771" t="s">
        <v>20</v>
      </c>
      <c r="G4771" t="s">
        <v>21</v>
      </c>
      <c r="H4771" t="str">
        <f>"VOE201808298477"</f>
        <v>VOE201808298477</v>
      </c>
      <c r="I4771" t="str">
        <f>"EMPLOYEE LIFE"</f>
        <v>EMPLOYEE LIFE</v>
      </c>
    </row>
    <row r="4772" spans="1:9" x14ac:dyDescent="0.25">
      <c r="E4772" s="7"/>
      <c r="F4772" t="s">
        <v>20</v>
      </c>
      <c r="G4772" t="s">
        <v>21</v>
      </c>
      <c r="H4772" t="str">
        <f>"VOL201808158466"</f>
        <v>VOL201808158466</v>
      </c>
      <c r="I4772" t="str">
        <f>"LIFE"</f>
        <v>LIFE</v>
      </c>
    </row>
    <row r="4773" spans="1:9" x14ac:dyDescent="0.25">
      <c r="E4773" s="7"/>
      <c r="F4773" t="s">
        <v>20</v>
      </c>
      <c r="G4773" t="s">
        <v>21</v>
      </c>
      <c r="H4773" t="str">
        <f>"VOL201808298477"</f>
        <v>VOL201808298477</v>
      </c>
      <c r="I4773" t="str">
        <f>"LIFE"</f>
        <v>LIFE</v>
      </c>
    </row>
    <row r="4774" spans="1:9" x14ac:dyDescent="0.25">
      <c r="A4774" s="6">
        <v>43355</v>
      </c>
      <c r="B4774" t="s">
        <v>26</v>
      </c>
      <c r="C4774">
        <v>58798</v>
      </c>
      <c r="D4774" t="s">
        <v>99</v>
      </c>
      <c r="E4774" s="7">
        <v>664.26</v>
      </c>
      <c r="F4774" t="s">
        <v>20</v>
      </c>
      <c r="G4774" t="s">
        <v>24</v>
      </c>
      <c r="H4774" t="str">
        <f>"VSN SRVC. PLAN 9/1"</f>
        <v>VSN SRVC. PLAN 9/1</v>
      </c>
      <c r="I4774" t="str">
        <f>"VISION SERVICE PLAN"</f>
        <v>VISION SERVICE PLAN</v>
      </c>
    </row>
    <row r="4775" spans="1:9" x14ac:dyDescent="0.25">
      <c r="E4775" s="7"/>
      <c r="F4775" t="s">
        <v>20</v>
      </c>
      <c r="G4775" t="s">
        <v>24</v>
      </c>
      <c r="H4775" t="str">
        <f>"VSP8/2018"</f>
        <v>VSP8/2018</v>
      </c>
      <c r="I4775" t="str">
        <f>"VISION SERVICE PLAN"</f>
        <v>VISION SERVICE PLAN</v>
      </c>
    </row>
    <row r="4776" spans="1:9" x14ac:dyDescent="0.25">
      <c r="E4776" s="7"/>
      <c r="F4776" t="s">
        <v>20</v>
      </c>
      <c r="G4776" t="s">
        <v>329</v>
      </c>
      <c r="H4776" t="str">
        <f>"VSP 9/18"</f>
        <v>VSP 9/18</v>
      </c>
      <c r="I4776" t="str">
        <f>"VISION SERVICE PLAN"</f>
        <v>VISION SERVICE PLAN</v>
      </c>
    </row>
    <row r="4777" spans="1:9" x14ac:dyDescent="0.25">
      <c r="E4777" s="7"/>
      <c r="F4777" t="s">
        <v>20</v>
      </c>
      <c r="G4777" t="s">
        <v>21</v>
      </c>
      <c r="H4777" t="str">
        <f>"VIS201808158466"</f>
        <v>VIS201808158466</v>
      </c>
      <c r="I4777" t="str">
        <f>"VISION INSURANCE"</f>
        <v>VISION INSURANCE</v>
      </c>
    </row>
    <row r="4778" spans="1:9" x14ac:dyDescent="0.25">
      <c r="E4778" s="7"/>
      <c r="F4778" t="s">
        <v>20</v>
      </c>
      <c r="G4778" t="s">
        <v>21</v>
      </c>
      <c r="H4778" t="str">
        <f>"VIS201808298477"</f>
        <v>VIS201808298477</v>
      </c>
      <c r="I4778" t="str">
        <f>"VISION INSURANCE"</f>
        <v>VISION INSURANCE</v>
      </c>
    </row>
    <row r="4779" spans="1:9" x14ac:dyDescent="0.25">
      <c r="A4779" s="6">
        <v>43355</v>
      </c>
      <c r="B4779" t="s">
        <v>91</v>
      </c>
      <c r="C4779">
        <v>58800</v>
      </c>
      <c r="D4779" t="s">
        <v>221</v>
      </c>
      <c r="E4779" s="7">
        <v>64774.64</v>
      </c>
      <c r="F4779" t="s">
        <v>20</v>
      </c>
      <c r="G4779" t="s">
        <v>21</v>
      </c>
      <c r="H4779" t="str">
        <f>"MED201808158466"</f>
        <v>MED201808158466</v>
      </c>
      <c r="I4779" t="str">
        <f>"INSURANCE"</f>
        <v>INSURANCE</v>
      </c>
    </row>
    <row r="4780" spans="1:9" x14ac:dyDescent="0.25">
      <c r="E4780" s="7"/>
      <c r="F4780" t="s">
        <v>20</v>
      </c>
      <c r="G4780" t="s">
        <v>21</v>
      </c>
      <c r="H4780" t="str">
        <f>"MED201808298477"</f>
        <v>MED201808298477</v>
      </c>
      <c r="I4780" t="str">
        <f>"INSURANCE"</f>
        <v>INSURANCE</v>
      </c>
    </row>
    <row r="4781" spans="1:9" x14ac:dyDescent="0.25">
      <c r="A4781" s="6">
        <v>43355</v>
      </c>
      <c r="B4781" t="s">
        <v>91</v>
      </c>
      <c r="C4781">
        <v>58800</v>
      </c>
      <c r="D4781" t="s">
        <v>221</v>
      </c>
      <c r="E4781" s="7">
        <v>64774.64</v>
      </c>
      <c r="F4781" t="s">
        <v>20</v>
      </c>
      <c r="G4781" t="s">
        <v>93</v>
      </c>
      <c r="H4781" t="str">
        <f>"CHECK"</f>
        <v>CHECK</v>
      </c>
      <c r="I4781" t="str">
        <f>""</f>
        <v/>
      </c>
    </row>
    <row r="4782" spans="1:9" x14ac:dyDescent="0.25">
      <c r="A4782" s="6">
        <v>43355</v>
      </c>
      <c r="B4782" t="s">
        <v>26</v>
      </c>
      <c r="C4782">
        <v>58824</v>
      </c>
      <c r="D4782" t="s">
        <v>51</v>
      </c>
      <c r="E4782" s="7">
        <v>309.37</v>
      </c>
      <c r="F4782" t="s">
        <v>20</v>
      </c>
      <c r="G4782" t="s">
        <v>21</v>
      </c>
      <c r="H4782" t="str">
        <f>"CLE201809128485"</f>
        <v>CLE201809128485</v>
      </c>
      <c r="I4782" t="str">
        <f>"CLEAT ONLY DUES"</f>
        <v>CLEAT ONLY DUES</v>
      </c>
    </row>
    <row r="4783" spans="1:9" x14ac:dyDescent="0.25">
      <c r="E4783" s="7"/>
      <c r="F4783" t="s">
        <v>20</v>
      </c>
      <c r="G4783" t="s">
        <v>21</v>
      </c>
      <c r="H4783" t="str">
        <f>"PDD201809128485"</f>
        <v>PDD201809128485</v>
      </c>
      <c r="I4783" t="str">
        <f>"POLICE OFFICERS ASSOC DUES"</f>
        <v>POLICE OFFICERS ASSOC DUES</v>
      </c>
    </row>
    <row r="4784" spans="1:9" x14ac:dyDescent="0.25">
      <c r="A4784" s="6">
        <v>43355</v>
      </c>
      <c r="B4784" t="s">
        <v>26</v>
      </c>
      <c r="C4784">
        <v>58825</v>
      </c>
      <c r="D4784" t="s">
        <v>90</v>
      </c>
      <c r="E4784" s="7">
        <v>101.1</v>
      </c>
      <c r="F4784" t="s">
        <v>20</v>
      </c>
      <c r="G4784" t="s">
        <v>21</v>
      </c>
      <c r="H4784" t="str">
        <f>"AFS201809128485"</f>
        <v>AFS201809128485</v>
      </c>
      <c r="I4784" t="str">
        <f>"AFLAC STD"</f>
        <v>AFLAC STD</v>
      </c>
    </row>
    <row r="4785" spans="1:9" x14ac:dyDescent="0.25">
      <c r="A4785" s="6">
        <v>43355</v>
      </c>
      <c r="B4785" t="s">
        <v>26</v>
      </c>
      <c r="C4785">
        <v>58826</v>
      </c>
      <c r="D4785" t="s">
        <v>52</v>
      </c>
      <c r="E4785" s="7">
        <v>1123.9100000000001</v>
      </c>
      <c r="F4785" t="s">
        <v>20</v>
      </c>
      <c r="G4785" t="s">
        <v>21</v>
      </c>
      <c r="H4785" t="str">
        <f>"CPS201809128485"</f>
        <v>CPS201809128485</v>
      </c>
      <c r="I4785" t="str">
        <f>"G MENDOZA 00123012032010EM5054"</f>
        <v>G MENDOZA 00123012032010EM5054</v>
      </c>
    </row>
    <row r="4786" spans="1:9" x14ac:dyDescent="0.25">
      <c r="E4786" s="7"/>
      <c r="F4786" t="s">
        <v>20</v>
      </c>
      <c r="G4786" t="s">
        <v>21</v>
      </c>
      <c r="H4786" t="str">
        <f>"CS 201809128485"</f>
        <v>CS 201809128485</v>
      </c>
      <c r="I4786" t="str">
        <f>"CAUSE#98EM504113 PEGGY RIVAS"</f>
        <v>CAUSE#98EM504113 PEGGY RIVAS</v>
      </c>
    </row>
    <row r="4787" spans="1:9" x14ac:dyDescent="0.25">
      <c r="E4787" s="7"/>
      <c r="F4787" t="s">
        <v>20</v>
      </c>
      <c r="G4787" t="s">
        <v>21</v>
      </c>
      <c r="H4787" t="str">
        <f>"CSJ201809128485"</f>
        <v>CSJ201809128485</v>
      </c>
      <c r="I4787" t="str">
        <f>"CAUSE# 0010185272 MARIANN GUTI"</f>
        <v>CAUSE# 0010185272 MARIANN GUTI</v>
      </c>
    </row>
    <row r="4788" spans="1:9" x14ac:dyDescent="0.25">
      <c r="A4788" s="6">
        <v>43355</v>
      </c>
      <c r="B4788" t="s">
        <v>26</v>
      </c>
      <c r="C4788">
        <v>58827</v>
      </c>
      <c r="D4788" t="s">
        <v>53</v>
      </c>
      <c r="E4788" s="7">
        <v>99.1</v>
      </c>
      <c r="F4788" t="s">
        <v>20</v>
      </c>
      <c r="G4788" t="s">
        <v>21</v>
      </c>
      <c r="H4788" t="str">
        <f>"MCO201809128485"</f>
        <v>MCO201809128485</v>
      </c>
      <c r="I4788" t="str">
        <f>"MONICA CORDOVA"</f>
        <v>MONICA CORDOVA</v>
      </c>
    </row>
    <row r="4789" spans="1:9" x14ac:dyDescent="0.25">
      <c r="A4789" s="6">
        <v>43355</v>
      </c>
      <c r="B4789" t="s">
        <v>26</v>
      </c>
      <c r="C4789">
        <v>58828</v>
      </c>
      <c r="D4789" t="s">
        <v>54</v>
      </c>
      <c r="E4789" s="7">
        <v>977.1</v>
      </c>
      <c r="F4789" t="s">
        <v>20</v>
      </c>
      <c r="G4789" t="s">
        <v>21</v>
      </c>
      <c r="H4789" t="str">
        <f>"457201809128485"</f>
        <v>457201809128485</v>
      </c>
      <c r="I4789" t="str">
        <f>"CASE # 180-60751 457B DEDUCT"</f>
        <v>CASE # 180-60751 457B DEDUCT</v>
      </c>
    </row>
    <row r="4790" spans="1:9" x14ac:dyDescent="0.25">
      <c r="A4790" s="6">
        <v>43356</v>
      </c>
      <c r="B4790" t="s">
        <v>26</v>
      </c>
      <c r="C4790">
        <v>58829</v>
      </c>
      <c r="D4790" t="s">
        <v>59</v>
      </c>
      <c r="E4790" s="7">
        <v>1326.14</v>
      </c>
      <c r="F4790" t="s">
        <v>20</v>
      </c>
      <c r="G4790" t="s">
        <v>21</v>
      </c>
      <c r="H4790" t="str">
        <f>"0980572-1"</f>
        <v>0980572-1</v>
      </c>
      <c r="I4790" t="str">
        <f>"FERGUSON WATERWORKS - MUNICIPA"</f>
        <v>FERGUSON WATERWORKS - MUNICIPA</v>
      </c>
    </row>
    <row r="4791" spans="1:9" x14ac:dyDescent="0.25">
      <c r="E4791" s="7"/>
      <c r="F4791" t="s">
        <v>20</v>
      </c>
      <c r="G4791" t="s">
        <v>21</v>
      </c>
      <c r="H4791" t="str">
        <f>"0981998"</f>
        <v>0981998</v>
      </c>
      <c r="I4791" t="str">
        <f>"FERGUSON WATERWORKS - MUNICIPA"</f>
        <v>FERGUSON WATERWORKS - MUNICIPA</v>
      </c>
    </row>
    <row r="4792" spans="1:9" x14ac:dyDescent="0.25">
      <c r="A4792" s="6">
        <v>43356</v>
      </c>
      <c r="B4792" t="s">
        <v>91</v>
      </c>
      <c r="C4792">
        <v>58830</v>
      </c>
      <c r="D4792" t="s">
        <v>530</v>
      </c>
      <c r="E4792" s="7">
        <v>250</v>
      </c>
      <c r="F4792" t="s">
        <v>20</v>
      </c>
      <c r="G4792" t="s">
        <v>21</v>
      </c>
      <c r="H4792" t="str">
        <f>"REF 12/22/18"</f>
        <v>REF 12/22/18</v>
      </c>
      <c r="I4792" t="str">
        <f>"TAMMY TOCK"</f>
        <v>TAMMY TOCK</v>
      </c>
    </row>
    <row r="4793" spans="1:9" x14ac:dyDescent="0.25">
      <c r="A4793" s="6">
        <v>43356</v>
      </c>
      <c r="B4793" t="s">
        <v>91</v>
      </c>
      <c r="C4793">
        <v>58830</v>
      </c>
      <c r="D4793" t="s">
        <v>531</v>
      </c>
      <c r="E4793" s="7">
        <v>250</v>
      </c>
      <c r="F4793" t="s">
        <v>20</v>
      </c>
      <c r="G4793" t="s">
        <v>93</v>
      </c>
      <c r="H4793" t="str">
        <f>"CHECK"</f>
        <v>CHECK</v>
      </c>
      <c r="I4793" t="str">
        <f>""</f>
        <v/>
      </c>
    </row>
    <row r="4794" spans="1:9" x14ac:dyDescent="0.25">
      <c r="A4794" s="6">
        <v>43356</v>
      </c>
      <c r="B4794" t="s">
        <v>91</v>
      </c>
      <c r="C4794">
        <v>58831</v>
      </c>
      <c r="D4794" t="s">
        <v>530</v>
      </c>
      <c r="E4794" s="7">
        <v>200</v>
      </c>
      <c r="F4794" t="s">
        <v>20</v>
      </c>
      <c r="G4794" t="s">
        <v>21</v>
      </c>
      <c r="H4794" t="str">
        <f>"REF 9/8/18"</f>
        <v>REF 9/8/18</v>
      </c>
      <c r="I4794" t="str">
        <f>"RACHAEL SALINAS"</f>
        <v>RACHAEL SALINAS</v>
      </c>
    </row>
    <row r="4795" spans="1:9" x14ac:dyDescent="0.25">
      <c r="A4795" s="6">
        <v>43356</v>
      </c>
      <c r="B4795" t="s">
        <v>91</v>
      </c>
      <c r="C4795">
        <v>58831</v>
      </c>
      <c r="D4795" t="s">
        <v>531</v>
      </c>
      <c r="E4795" s="7">
        <v>200</v>
      </c>
      <c r="F4795" t="s">
        <v>20</v>
      </c>
      <c r="G4795" t="s">
        <v>93</v>
      </c>
      <c r="H4795" t="str">
        <f>"CHECK"</f>
        <v>CHECK</v>
      </c>
      <c r="I4795" t="str">
        <f>""</f>
        <v/>
      </c>
    </row>
    <row r="4796" spans="1:9" x14ac:dyDescent="0.25">
      <c r="A4796" s="6">
        <v>43356</v>
      </c>
      <c r="B4796" t="s">
        <v>26</v>
      </c>
      <c r="C4796">
        <v>58832</v>
      </c>
      <c r="D4796" t="s">
        <v>62</v>
      </c>
      <c r="E4796" s="7">
        <v>186</v>
      </c>
      <c r="F4796" t="s">
        <v>20</v>
      </c>
      <c r="G4796" t="s">
        <v>21</v>
      </c>
      <c r="H4796" t="str">
        <f>"60479"</f>
        <v>60479</v>
      </c>
      <c r="I4796" t="str">
        <f>"SBS ADMINISTRATIVE SERVICES  L"</f>
        <v>SBS ADMINISTRATIVE SERVICES  L</v>
      </c>
    </row>
    <row r="4797" spans="1:9" x14ac:dyDescent="0.25">
      <c r="A4797" s="6">
        <v>43356</v>
      </c>
      <c r="B4797" t="s">
        <v>26</v>
      </c>
      <c r="C4797">
        <v>58833</v>
      </c>
      <c r="D4797" t="s">
        <v>532</v>
      </c>
      <c r="E4797" s="7">
        <v>80</v>
      </c>
      <c r="F4797" t="s">
        <v>20</v>
      </c>
      <c r="G4797" t="s">
        <v>21</v>
      </c>
      <c r="H4797" t="str">
        <f>"86159"</f>
        <v>86159</v>
      </c>
      <c r="I4797" t="str">
        <f>"GOVERNMENT FINANCE OFFICERS AS"</f>
        <v>GOVERNMENT FINANCE OFFICERS AS</v>
      </c>
    </row>
    <row r="4798" spans="1:9" x14ac:dyDescent="0.25">
      <c r="A4798" s="6">
        <v>43356</v>
      </c>
      <c r="B4798" t="s">
        <v>26</v>
      </c>
      <c r="C4798">
        <v>58834</v>
      </c>
      <c r="D4798" t="s">
        <v>169</v>
      </c>
      <c r="E4798" s="7">
        <v>17.489999999999998</v>
      </c>
      <c r="F4798" t="s">
        <v>20</v>
      </c>
      <c r="G4798" t="s">
        <v>21</v>
      </c>
      <c r="H4798" t="str">
        <f>"109589"</f>
        <v>109589</v>
      </c>
      <c r="I4798" t="str">
        <f>"THE POLICE AND SHERIFFS PRESS"</f>
        <v>THE POLICE AND SHERIFFS PRESS</v>
      </c>
    </row>
    <row r="4799" spans="1:9" x14ac:dyDescent="0.25">
      <c r="A4799" s="6">
        <v>43356</v>
      </c>
      <c r="B4799" t="s">
        <v>26</v>
      </c>
      <c r="C4799">
        <v>58835</v>
      </c>
      <c r="D4799" t="s">
        <v>117</v>
      </c>
      <c r="E4799" s="7">
        <v>2259.44</v>
      </c>
      <c r="F4799" t="s">
        <v>20</v>
      </c>
      <c r="G4799" t="s">
        <v>21</v>
      </c>
      <c r="H4799" t="str">
        <f>"07/2018"</f>
        <v>07/2018</v>
      </c>
      <c r="I4799" t="str">
        <f>"LINEBARGER GOGGAN BLAIR &amp; SAMP"</f>
        <v>LINEBARGER GOGGAN BLAIR &amp; SAMP</v>
      </c>
    </row>
    <row r="4800" spans="1:9" x14ac:dyDescent="0.25">
      <c r="A4800" s="6">
        <v>43356</v>
      </c>
      <c r="B4800" t="s">
        <v>26</v>
      </c>
      <c r="C4800">
        <v>58836</v>
      </c>
      <c r="D4800" t="s">
        <v>486</v>
      </c>
      <c r="E4800" s="7">
        <v>24552.5</v>
      </c>
      <c r="F4800" t="s">
        <v>20</v>
      </c>
      <c r="G4800" t="s">
        <v>21</v>
      </c>
      <c r="H4800" t="str">
        <f>"201809138488"</f>
        <v>201809138488</v>
      </c>
      <c r="I4800" t="str">
        <f>"TEXAS DEPARTMENT OF CRIMINAL J"</f>
        <v>TEXAS DEPARTMENT OF CRIMINAL J</v>
      </c>
    </row>
    <row r="4801" spans="1:9" x14ac:dyDescent="0.25">
      <c r="A4801" s="6">
        <v>43356</v>
      </c>
      <c r="B4801" t="s">
        <v>26</v>
      </c>
      <c r="C4801">
        <v>58837</v>
      </c>
      <c r="D4801" t="s">
        <v>368</v>
      </c>
      <c r="E4801" s="7">
        <v>15000</v>
      </c>
      <c r="F4801" t="s">
        <v>20</v>
      </c>
      <c r="G4801" t="s">
        <v>21</v>
      </c>
      <c r="H4801" t="str">
        <f>"9/13/18"</f>
        <v>9/13/18</v>
      </c>
      <c r="I4801" t="str">
        <f>"FLORESVILLE FIRE DEPARTMENT"</f>
        <v>FLORESVILLE FIRE DEPARTMENT</v>
      </c>
    </row>
    <row r="4802" spans="1:9" x14ac:dyDescent="0.25">
      <c r="A4802" s="6">
        <v>43356</v>
      </c>
      <c r="B4802" t="s">
        <v>26</v>
      </c>
      <c r="C4802">
        <v>58838</v>
      </c>
      <c r="D4802" t="s">
        <v>533</v>
      </c>
      <c r="E4802" s="7">
        <v>225</v>
      </c>
      <c r="F4802" t="s">
        <v>20</v>
      </c>
      <c r="G4802" t="s">
        <v>21</v>
      </c>
      <c r="H4802" t="str">
        <f>"09/13/2018"</f>
        <v>09/13/2018</v>
      </c>
      <c r="I4802" t="str">
        <f>"ASSOCIATION OF HISPANIC MUNICI"</f>
        <v>ASSOCIATION OF HISPANIC MUNICI</v>
      </c>
    </row>
    <row r="4803" spans="1:9" x14ac:dyDescent="0.25">
      <c r="E4803" s="7"/>
      <c r="F4803" t="s">
        <v>20</v>
      </c>
      <c r="G4803" t="s">
        <v>21</v>
      </c>
      <c r="H4803" t="str">
        <f>"9/13/18"</f>
        <v>9/13/18</v>
      </c>
      <c r="I4803" t="str">
        <f>"ASSOCIATION OF HISPANIC MUNICI"</f>
        <v>ASSOCIATION OF HISPANIC MUNICI</v>
      </c>
    </row>
    <row r="4804" spans="1:9" x14ac:dyDescent="0.25">
      <c r="E4804" s="7"/>
      <c r="F4804" t="s">
        <v>20</v>
      </c>
      <c r="G4804" t="s">
        <v>21</v>
      </c>
      <c r="H4804" t="str">
        <f>"9/13/2018"</f>
        <v>9/13/2018</v>
      </c>
      <c r="I4804" t="str">
        <f>"ASSOCIATION OF HISPANIC MUNICI"</f>
        <v>ASSOCIATION OF HISPANIC MUNICI</v>
      </c>
    </row>
    <row r="4805" spans="1:9" x14ac:dyDescent="0.25">
      <c r="A4805" s="6">
        <v>43356</v>
      </c>
      <c r="B4805" t="s">
        <v>26</v>
      </c>
      <c r="C4805">
        <v>58839</v>
      </c>
      <c r="D4805" t="s">
        <v>316</v>
      </c>
      <c r="E4805" s="7">
        <v>222506.5</v>
      </c>
      <c r="F4805" t="s">
        <v>20</v>
      </c>
      <c r="G4805" t="s">
        <v>21</v>
      </c>
      <c r="H4805" t="str">
        <f>"1810044838"</f>
        <v>1810044838</v>
      </c>
      <c r="I4805" t="s">
        <v>498</v>
      </c>
    </row>
    <row r="4806" spans="1:9" x14ac:dyDescent="0.25">
      <c r="A4806" s="6">
        <v>43356</v>
      </c>
      <c r="B4806" t="s">
        <v>26</v>
      </c>
      <c r="C4806">
        <v>58840</v>
      </c>
      <c r="D4806" t="s">
        <v>121</v>
      </c>
      <c r="E4806" s="7">
        <v>500</v>
      </c>
      <c r="F4806" t="s">
        <v>20</v>
      </c>
      <c r="G4806" t="s">
        <v>21</v>
      </c>
      <c r="H4806" t="str">
        <f>"9/22/18"</f>
        <v>9/22/18</v>
      </c>
      <c r="I4806" t="str">
        <f>"FLORESVILLE ISD"</f>
        <v>FLORESVILLE ISD</v>
      </c>
    </row>
    <row r="4807" spans="1:9" x14ac:dyDescent="0.25">
      <c r="A4807" s="6">
        <v>43356</v>
      </c>
      <c r="B4807" t="s">
        <v>26</v>
      </c>
      <c r="C4807">
        <v>58841</v>
      </c>
      <c r="D4807" t="s">
        <v>159</v>
      </c>
      <c r="E4807" s="7">
        <v>102.28</v>
      </c>
      <c r="F4807" t="s">
        <v>20</v>
      </c>
      <c r="G4807" t="s">
        <v>21</v>
      </c>
      <c r="H4807" t="str">
        <f>"37799"</f>
        <v>37799</v>
      </c>
      <c r="I4807" t="str">
        <f>"PHOTOGRAPHS BY JIM"</f>
        <v>PHOTOGRAPHS BY JIM</v>
      </c>
    </row>
    <row r="4808" spans="1:9" x14ac:dyDescent="0.25">
      <c r="A4808" s="6">
        <v>43356</v>
      </c>
      <c r="B4808" t="s">
        <v>91</v>
      </c>
      <c r="C4808">
        <v>58842</v>
      </c>
      <c r="D4808" t="s">
        <v>71</v>
      </c>
      <c r="E4808" s="7">
        <v>64.959999999999994</v>
      </c>
      <c r="F4808" t="s">
        <v>20</v>
      </c>
      <c r="G4808" t="s">
        <v>21</v>
      </c>
      <c r="H4808" t="str">
        <f>"4009161279"</f>
        <v>4009161279</v>
      </c>
      <c r="I4808" t="str">
        <f>"CINTAS CORPORATION #087"</f>
        <v>CINTAS CORPORATION #087</v>
      </c>
    </row>
    <row r="4809" spans="1:9" x14ac:dyDescent="0.25">
      <c r="A4809" s="6">
        <v>43356</v>
      </c>
      <c r="B4809" t="s">
        <v>26</v>
      </c>
      <c r="C4809">
        <v>58843</v>
      </c>
      <c r="D4809" t="s">
        <v>136</v>
      </c>
      <c r="E4809" s="7">
        <v>360</v>
      </c>
      <c r="F4809" t="s">
        <v>20</v>
      </c>
      <c r="G4809" t="s">
        <v>21</v>
      </c>
      <c r="H4809" t="str">
        <f>"9/13/18"</f>
        <v>9/13/18</v>
      </c>
      <c r="I4809" t="str">
        <f>"INEZ CLARICE TRINIDAD"</f>
        <v>INEZ CLARICE TRINIDAD</v>
      </c>
    </row>
    <row r="4810" spans="1:9" x14ac:dyDescent="0.25">
      <c r="A4810" s="6">
        <v>43356</v>
      </c>
      <c r="B4810" t="s">
        <v>91</v>
      </c>
      <c r="C4810">
        <v>58844</v>
      </c>
      <c r="D4810" t="s">
        <v>124</v>
      </c>
      <c r="E4810" s="7">
        <v>31.93</v>
      </c>
      <c r="F4810" t="s">
        <v>20</v>
      </c>
      <c r="G4810" t="s">
        <v>21</v>
      </c>
      <c r="H4810" t="str">
        <f>"11164271"</f>
        <v>11164271</v>
      </c>
      <c r="I4810" t="str">
        <f>"MCCOY'S CORPORATION"</f>
        <v>MCCOY'S CORPORATION</v>
      </c>
    </row>
    <row r="4811" spans="1:9" x14ac:dyDescent="0.25">
      <c r="A4811" s="6">
        <v>43356</v>
      </c>
      <c r="B4811" t="s">
        <v>91</v>
      </c>
      <c r="C4811">
        <v>58844</v>
      </c>
      <c r="D4811" t="s">
        <v>124</v>
      </c>
      <c r="E4811" s="7">
        <v>31.93</v>
      </c>
      <c r="F4811" t="s">
        <v>20</v>
      </c>
      <c r="G4811" t="s">
        <v>93</v>
      </c>
      <c r="H4811" t="str">
        <f>"CHECK"</f>
        <v>CHECK</v>
      </c>
      <c r="I4811" t="str">
        <f>""</f>
        <v/>
      </c>
    </row>
    <row r="4812" spans="1:9" x14ac:dyDescent="0.25">
      <c r="A4812" s="6">
        <v>43356</v>
      </c>
      <c r="B4812" t="s">
        <v>91</v>
      </c>
      <c r="C4812">
        <v>58845</v>
      </c>
      <c r="D4812" t="s">
        <v>78</v>
      </c>
      <c r="E4812" s="7">
        <v>2849.5</v>
      </c>
      <c r="F4812" t="s">
        <v>20</v>
      </c>
      <c r="G4812" t="s">
        <v>21</v>
      </c>
      <c r="H4812" t="str">
        <f>"9/13/18"</f>
        <v>9/13/18</v>
      </c>
      <c r="I4812" t="str">
        <f>"DENTON NAVARRO ROCHA BERNAL HY"</f>
        <v>DENTON NAVARRO ROCHA BERNAL HY</v>
      </c>
    </row>
    <row r="4813" spans="1:9" x14ac:dyDescent="0.25">
      <c r="A4813" s="6">
        <v>43356</v>
      </c>
      <c r="B4813" t="s">
        <v>91</v>
      </c>
      <c r="C4813">
        <v>58845</v>
      </c>
      <c r="D4813" t="s">
        <v>78</v>
      </c>
      <c r="E4813" s="7">
        <v>2849.5</v>
      </c>
      <c r="F4813" t="s">
        <v>20</v>
      </c>
      <c r="G4813" t="s">
        <v>93</v>
      </c>
      <c r="H4813" t="str">
        <f>"CHECK"</f>
        <v>CHECK</v>
      </c>
      <c r="I4813" t="str">
        <f>""</f>
        <v/>
      </c>
    </row>
    <row r="4814" spans="1:9" x14ac:dyDescent="0.25">
      <c r="A4814" s="6">
        <v>43356</v>
      </c>
      <c r="B4814" t="s">
        <v>26</v>
      </c>
      <c r="C4814">
        <v>58846</v>
      </c>
      <c r="D4814" t="s">
        <v>534</v>
      </c>
      <c r="E4814" s="7">
        <v>321.51</v>
      </c>
      <c r="F4814" t="s">
        <v>20</v>
      </c>
      <c r="G4814" t="s">
        <v>21</v>
      </c>
      <c r="H4814" t="str">
        <f>"8403756953"</f>
        <v>8403756953</v>
      </c>
      <c r="I4814" t="str">
        <f>"CINTAS CORPORATION NO. 2"</f>
        <v>CINTAS CORPORATION NO. 2</v>
      </c>
    </row>
    <row r="4815" spans="1:9" x14ac:dyDescent="0.25">
      <c r="E4815" s="7"/>
      <c r="F4815" t="s">
        <v>20</v>
      </c>
      <c r="G4815" t="s">
        <v>21</v>
      </c>
      <c r="H4815" t="str">
        <f>"8403798819"</f>
        <v>8403798819</v>
      </c>
      <c r="I4815" t="str">
        <f>"CINTAS CORPORATION NO. 2"</f>
        <v>CINTAS CORPORATION NO. 2</v>
      </c>
    </row>
    <row r="4816" spans="1:9" x14ac:dyDescent="0.25">
      <c r="E4816" s="7"/>
      <c r="F4816" t="s">
        <v>20</v>
      </c>
      <c r="G4816" t="s">
        <v>21</v>
      </c>
      <c r="H4816" t="str">
        <f>"9022447252"</f>
        <v>9022447252</v>
      </c>
      <c r="I4816" t="str">
        <f>"CINTAS CORPORATION NO. 2"</f>
        <v>CINTAS CORPORATION NO. 2</v>
      </c>
    </row>
    <row r="4817" spans="1:9" x14ac:dyDescent="0.25">
      <c r="A4817" s="6">
        <v>43356</v>
      </c>
      <c r="B4817" t="s">
        <v>26</v>
      </c>
      <c r="C4817">
        <v>58847</v>
      </c>
      <c r="D4817" t="s">
        <v>125</v>
      </c>
      <c r="E4817" s="7">
        <v>3300</v>
      </c>
      <c r="F4817" t="s">
        <v>20</v>
      </c>
      <c r="G4817" t="s">
        <v>21</v>
      </c>
      <c r="H4817" t="str">
        <f>"18-0202**"</f>
        <v>18-0202**</v>
      </c>
      <c r="I4817" t="str">
        <f>"INTREPID SURVEYING CORPORATION"</f>
        <v>INTREPID SURVEYING CORPORATION</v>
      </c>
    </row>
    <row r="4818" spans="1:9" x14ac:dyDescent="0.25">
      <c r="A4818" s="6">
        <v>43356</v>
      </c>
      <c r="B4818" t="s">
        <v>26</v>
      </c>
      <c r="C4818">
        <v>58848</v>
      </c>
      <c r="D4818" t="s">
        <v>372</v>
      </c>
      <c r="E4818" s="7">
        <v>90</v>
      </c>
      <c r="F4818" t="s">
        <v>20</v>
      </c>
      <c r="G4818" t="s">
        <v>21</v>
      </c>
      <c r="H4818" t="str">
        <f>"9/8/18"</f>
        <v>9/8/18</v>
      </c>
      <c r="I4818" t="str">
        <f>"MICHELLE DOLBERRY"</f>
        <v>MICHELLE DOLBERRY</v>
      </c>
    </row>
    <row r="4819" spans="1:9" x14ac:dyDescent="0.25">
      <c r="A4819" s="6">
        <v>43356</v>
      </c>
      <c r="B4819" t="s">
        <v>26</v>
      </c>
      <c r="C4819">
        <v>58849</v>
      </c>
      <c r="D4819" t="s">
        <v>387</v>
      </c>
      <c r="E4819" s="7">
        <v>450</v>
      </c>
      <c r="F4819" t="s">
        <v>20</v>
      </c>
      <c r="G4819" t="s">
        <v>21</v>
      </c>
      <c r="H4819" t="str">
        <f>"f10495-SA"</f>
        <v>f10495-SA</v>
      </c>
      <c r="I4819" t="str">
        <f>"BARCO PUMP"</f>
        <v>BARCO PUMP</v>
      </c>
    </row>
    <row r="4820" spans="1:9" x14ac:dyDescent="0.25">
      <c r="A4820" s="6">
        <v>43356</v>
      </c>
      <c r="B4820" t="s">
        <v>26</v>
      </c>
      <c r="C4820">
        <v>58850</v>
      </c>
      <c r="D4820" t="s">
        <v>81</v>
      </c>
      <c r="E4820" s="7">
        <v>184.65</v>
      </c>
      <c r="F4820" t="s">
        <v>20</v>
      </c>
      <c r="G4820" t="s">
        <v>21</v>
      </c>
      <c r="H4820" t="str">
        <f>"9/13/18"</f>
        <v>9/13/18</v>
      </c>
      <c r="I4820" t="str">
        <f>"CITY OF FLORESVILLE -PETTY CAS"</f>
        <v>CITY OF FLORESVILLE -PETTY CAS</v>
      </c>
    </row>
    <row r="4821" spans="1:9" x14ac:dyDescent="0.25">
      <c r="A4821" s="6">
        <v>43356</v>
      </c>
      <c r="B4821" t="s">
        <v>91</v>
      </c>
      <c r="C4821">
        <v>58851</v>
      </c>
      <c r="D4821" t="s">
        <v>97</v>
      </c>
      <c r="E4821" s="7">
        <v>699.51</v>
      </c>
      <c r="F4821" t="s">
        <v>20</v>
      </c>
      <c r="G4821" t="s">
        <v>21</v>
      </c>
      <c r="H4821" t="str">
        <f>"BME201809128485"</f>
        <v>BME201809128485</v>
      </c>
      <c r="I4821" t="str">
        <f>"INSURANCE"</f>
        <v>INSURANCE</v>
      </c>
    </row>
    <row r="4822" spans="1:9" x14ac:dyDescent="0.25">
      <c r="A4822" s="6">
        <v>43356</v>
      </c>
      <c r="B4822" t="s">
        <v>26</v>
      </c>
      <c r="C4822">
        <v>58852</v>
      </c>
      <c r="D4822" t="s">
        <v>320</v>
      </c>
      <c r="E4822" s="7">
        <v>4000</v>
      </c>
      <c r="F4822" t="s">
        <v>20</v>
      </c>
      <c r="G4822" t="s">
        <v>21</v>
      </c>
      <c r="H4822" t="str">
        <f>"20161731"</f>
        <v>20161731</v>
      </c>
      <c r="I4822" t="str">
        <f>"MAGIC IN THE SKY  LLC"</f>
        <v>MAGIC IN THE SKY  LLC</v>
      </c>
    </row>
    <row r="4823" spans="1:9" x14ac:dyDescent="0.25">
      <c r="A4823" s="6">
        <v>43356</v>
      </c>
      <c r="B4823" t="s">
        <v>26</v>
      </c>
      <c r="C4823">
        <v>58853</v>
      </c>
      <c r="D4823" t="s">
        <v>85</v>
      </c>
      <c r="E4823" s="7">
        <v>2999.29</v>
      </c>
      <c r="F4823" t="s">
        <v>20</v>
      </c>
      <c r="G4823" t="s">
        <v>21</v>
      </c>
      <c r="H4823" t="str">
        <f>"39300249/13/18"</f>
        <v>39300249/13/18</v>
      </c>
      <c r="I4823" t="str">
        <f>"FRONTIER"</f>
        <v>FRONTIER</v>
      </c>
    </row>
    <row r="4824" spans="1:9" x14ac:dyDescent="0.25">
      <c r="E4824" s="7"/>
      <c r="F4824" t="s">
        <v>20</v>
      </c>
      <c r="G4824" t="s">
        <v>21</v>
      </c>
      <c r="H4824" t="str">
        <f>"39334289/13/18"</f>
        <v>39334289/13/18</v>
      </c>
      <c r="I4824" t="str">
        <f>"FRONTIER"</f>
        <v>FRONTIER</v>
      </c>
    </row>
    <row r="4825" spans="1:9" x14ac:dyDescent="0.25">
      <c r="A4825" s="6">
        <v>43356</v>
      </c>
      <c r="B4825" t="s">
        <v>26</v>
      </c>
      <c r="C4825">
        <v>58854</v>
      </c>
      <c r="D4825" t="s">
        <v>535</v>
      </c>
      <c r="E4825" s="7">
        <v>150</v>
      </c>
      <c r="F4825" t="s">
        <v>20</v>
      </c>
      <c r="G4825" t="s">
        <v>21</v>
      </c>
      <c r="H4825" t="str">
        <f>"201809138486"</f>
        <v>201809138486</v>
      </c>
      <c r="I4825" t="str">
        <f>"OLIVO ROOFING"</f>
        <v>OLIVO ROOFING</v>
      </c>
    </row>
    <row r="4826" spans="1:9" x14ac:dyDescent="0.25">
      <c r="A4826" s="6">
        <v>43356</v>
      </c>
      <c r="B4826" t="s">
        <v>26</v>
      </c>
      <c r="C4826">
        <v>58855</v>
      </c>
      <c r="D4826" t="s">
        <v>536</v>
      </c>
      <c r="E4826" s="7">
        <v>468.7</v>
      </c>
      <c r="F4826" t="s">
        <v>20</v>
      </c>
      <c r="G4826" t="s">
        <v>21</v>
      </c>
      <c r="H4826" t="str">
        <f>"8109201540"</f>
        <v>8109201540</v>
      </c>
      <c r="I4826" t="str">
        <f>"COCA-COLA SOUTHWEST BEVERAGES"</f>
        <v>COCA-COLA SOUTHWEST BEVERAGES</v>
      </c>
    </row>
    <row r="4827" spans="1:9" x14ac:dyDescent="0.25">
      <c r="A4827" s="6">
        <v>43356</v>
      </c>
      <c r="B4827" t="s">
        <v>26</v>
      </c>
      <c r="C4827">
        <v>58856</v>
      </c>
      <c r="D4827" t="s">
        <v>345</v>
      </c>
      <c r="E4827" s="7">
        <v>484</v>
      </c>
      <c r="F4827" t="s">
        <v>20</v>
      </c>
      <c r="G4827" t="s">
        <v>21</v>
      </c>
      <c r="H4827" t="str">
        <f>"09/10/18"</f>
        <v>09/10/18</v>
      </c>
      <c r="I4827" t="str">
        <f>"MICHAEL ISAAC MARTINEZ"</f>
        <v>MICHAEL ISAAC MARTINEZ</v>
      </c>
    </row>
    <row r="4828" spans="1:9" x14ac:dyDescent="0.25">
      <c r="E4828" s="7"/>
      <c r="F4828" t="s">
        <v>20</v>
      </c>
      <c r="G4828" t="s">
        <v>21</v>
      </c>
      <c r="H4828" t="str">
        <f>"9/10/18"</f>
        <v>9/10/18</v>
      </c>
      <c r="I4828" t="str">
        <f>"MICHAEL ISAAC MARTINEZ"</f>
        <v>MICHAEL ISAAC MARTINEZ</v>
      </c>
    </row>
    <row r="4829" spans="1:9" x14ac:dyDescent="0.25">
      <c r="A4829" s="6">
        <v>43356</v>
      </c>
      <c r="B4829" t="s">
        <v>26</v>
      </c>
      <c r="C4829">
        <v>58857</v>
      </c>
      <c r="D4829" t="s">
        <v>135</v>
      </c>
      <c r="E4829" s="7">
        <v>3415.18</v>
      </c>
      <c r="F4829" t="s">
        <v>20</v>
      </c>
      <c r="G4829" t="s">
        <v>21</v>
      </c>
      <c r="H4829" t="str">
        <f>"201809138487"</f>
        <v>201809138487</v>
      </c>
      <c r="I4829" t="str">
        <f>"HENOCK CONSTRUCTION  LLC"</f>
        <v>HENOCK CONSTRUCTION  LLC</v>
      </c>
    </row>
    <row r="4830" spans="1:9" x14ac:dyDescent="0.25">
      <c r="A4830" s="6">
        <v>43356</v>
      </c>
      <c r="B4830" t="s">
        <v>26</v>
      </c>
      <c r="C4830">
        <v>58858</v>
      </c>
      <c r="D4830" t="s">
        <v>219</v>
      </c>
      <c r="E4830" s="7">
        <v>21203.95</v>
      </c>
      <c r="F4830" t="s">
        <v>20</v>
      </c>
      <c r="G4830" t="s">
        <v>21</v>
      </c>
      <c r="H4830" t="str">
        <f>"0712-18-001"</f>
        <v>0712-18-001</v>
      </c>
      <c r="I4830" t="str">
        <f>"CCB COMMERCIAL CONTRACTING  LL"</f>
        <v>CCB COMMERCIAL CONTRACTING  LL</v>
      </c>
    </row>
    <row r="4831" spans="1:9" x14ac:dyDescent="0.25">
      <c r="E4831" s="7"/>
      <c r="F4831" t="s">
        <v>20</v>
      </c>
      <c r="G4831" t="s">
        <v>21</v>
      </c>
      <c r="H4831" t="str">
        <f>"0809-17-002"</f>
        <v>0809-17-002</v>
      </c>
      <c r="I4831" t="str">
        <f>"CCB COMMERCIAL CONTRACTING  LL"</f>
        <v>CCB COMMERCIAL CONTRACTING  LL</v>
      </c>
    </row>
    <row r="4832" spans="1:9" x14ac:dyDescent="0.25">
      <c r="E4832" s="7"/>
      <c r="F4832" t="s">
        <v>20</v>
      </c>
      <c r="G4832" t="s">
        <v>21</v>
      </c>
      <c r="H4832" t="str">
        <f>"APPLICATION 5"</f>
        <v>APPLICATION 5</v>
      </c>
      <c r="I4832" t="str">
        <f>"CCB COMMERCIAL CONTRACTING  LL"</f>
        <v>CCB COMMERCIAL CONTRACTING  LL</v>
      </c>
    </row>
    <row r="4833" spans="1:9" x14ac:dyDescent="0.25">
      <c r="E4833" s="7"/>
      <c r="F4833" t="s">
        <v>20</v>
      </c>
      <c r="G4833" t="s">
        <v>21</v>
      </c>
      <c r="H4833" t="str">
        <f>"APPLICATION 6"</f>
        <v>APPLICATION 6</v>
      </c>
      <c r="I4833" t="str">
        <f>"CCB COMMERCIAL CONTRACTING  LL"</f>
        <v>CCB COMMERCIAL CONTRACTING  LL</v>
      </c>
    </row>
    <row r="4834" spans="1:9" x14ac:dyDescent="0.25">
      <c r="A4834" s="6">
        <v>43356</v>
      </c>
      <c r="B4834" t="s">
        <v>26</v>
      </c>
      <c r="C4834">
        <v>58859</v>
      </c>
      <c r="D4834" t="s">
        <v>351</v>
      </c>
      <c r="E4834" s="7">
        <v>75</v>
      </c>
      <c r="F4834" t="s">
        <v>20</v>
      </c>
      <c r="G4834" t="s">
        <v>21</v>
      </c>
      <c r="H4834" t="str">
        <f>"697125"</f>
        <v>697125</v>
      </c>
      <c r="I4834" t="str">
        <f>"H &amp; H OIL"</f>
        <v>H &amp; H OIL</v>
      </c>
    </row>
    <row r="4835" spans="1:9" x14ac:dyDescent="0.25">
      <c r="A4835" s="6">
        <v>43356</v>
      </c>
      <c r="B4835" t="s">
        <v>26</v>
      </c>
      <c r="C4835">
        <v>58860</v>
      </c>
      <c r="D4835" t="s">
        <v>457</v>
      </c>
      <c r="E4835" s="7">
        <v>90</v>
      </c>
      <c r="F4835" t="s">
        <v>20</v>
      </c>
      <c r="G4835" t="s">
        <v>21</v>
      </c>
      <c r="H4835" t="str">
        <f>"9/8/18"</f>
        <v>9/8/18</v>
      </c>
      <c r="I4835" t="str">
        <f>"MELISSA SENDEJO"</f>
        <v>MELISSA SENDEJO</v>
      </c>
    </row>
    <row r="4836" spans="1:9" x14ac:dyDescent="0.25">
      <c r="A4836" s="6">
        <v>43356</v>
      </c>
      <c r="B4836" t="s">
        <v>26</v>
      </c>
      <c r="C4836">
        <v>58861</v>
      </c>
      <c r="D4836" t="s">
        <v>458</v>
      </c>
      <c r="E4836" s="7">
        <v>90</v>
      </c>
      <c r="F4836" t="s">
        <v>20</v>
      </c>
      <c r="G4836" t="s">
        <v>21</v>
      </c>
      <c r="H4836" t="str">
        <f>"9/8/18"</f>
        <v>9/8/18</v>
      </c>
      <c r="I4836" t="str">
        <f>"CARMEN R. SALDANA"</f>
        <v>CARMEN R. SALDANA</v>
      </c>
    </row>
    <row r="4837" spans="1:9" x14ac:dyDescent="0.25">
      <c r="A4837" s="6">
        <v>43356</v>
      </c>
      <c r="B4837" t="s">
        <v>91</v>
      </c>
      <c r="C4837">
        <v>58862</v>
      </c>
      <c r="D4837" t="s">
        <v>488</v>
      </c>
      <c r="E4837" s="7">
        <v>500112.3</v>
      </c>
      <c r="F4837" t="s">
        <v>20</v>
      </c>
      <c r="G4837" t="s">
        <v>21</v>
      </c>
      <c r="H4837" t="str">
        <f>"APPLICATION 1"</f>
        <v>APPLICATION 1</v>
      </c>
      <c r="I4837" t="str">
        <f>"M &amp; C Fonseca Construction Co."</f>
        <v>M &amp; C Fonseca Construction Co.</v>
      </c>
    </row>
    <row r="4838" spans="1:9" x14ac:dyDescent="0.25">
      <c r="E4838" s="7"/>
      <c r="F4838" t="s">
        <v>20</v>
      </c>
      <c r="G4838" t="s">
        <v>21</v>
      </c>
      <c r="H4838" t="str">
        <f>"APPLICATION 3"</f>
        <v>APPLICATION 3</v>
      </c>
      <c r="I4838" t="str">
        <f>"M &amp; C Fonseca Construction Co."</f>
        <v>M &amp; C Fonseca Construction Co.</v>
      </c>
    </row>
    <row r="4839" spans="1:9" x14ac:dyDescent="0.25">
      <c r="A4839" s="6">
        <v>43356</v>
      </c>
      <c r="B4839" t="s">
        <v>91</v>
      </c>
      <c r="C4839">
        <v>58862</v>
      </c>
      <c r="D4839" t="s">
        <v>488</v>
      </c>
      <c r="E4839" s="7">
        <v>500112.3</v>
      </c>
      <c r="F4839" t="s">
        <v>20</v>
      </c>
      <c r="G4839" t="s">
        <v>93</v>
      </c>
      <c r="H4839" t="str">
        <f>"CHECK"</f>
        <v>CHECK</v>
      </c>
      <c r="I4839" t="str">
        <f>""</f>
        <v/>
      </c>
    </row>
    <row r="4840" spans="1:9" x14ac:dyDescent="0.25">
      <c r="A4840" s="6">
        <v>43356</v>
      </c>
      <c r="B4840" t="s">
        <v>26</v>
      </c>
      <c r="C4840">
        <v>58863</v>
      </c>
      <c r="D4840" t="s">
        <v>521</v>
      </c>
      <c r="E4840" s="7">
        <v>185</v>
      </c>
      <c r="F4840" t="s">
        <v>20</v>
      </c>
      <c r="G4840" t="s">
        <v>21</v>
      </c>
      <c r="H4840" t="str">
        <f>"9/8/18"</f>
        <v>9/8/18</v>
      </c>
      <c r="I4840" t="str">
        <f>"BRONSON LIVINGSTON-STEPHENSON"</f>
        <v>BRONSON LIVINGSTON-STEPHENSON</v>
      </c>
    </row>
    <row r="4841" spans="1:9" x14ac:dyDescent="0.25">
      <c r="A4841" s="6">
        <v>43356</v>
      </c>
      <c r="B4841" t="s">
        <v>26</v>
      </c>
      <c r="C4841">
        <v>58864</v>
      </c>
      <c r="D4841" t="s">
        <v>537</v>
      </c>
      <c r="E4841" s="7">
        <v>65</v>
      </c>
      <c r="F4841" t="s">
        <v>20</v>
      </c>
      <c r="G4841" t="s">
        <v>21</v>
      </c>
      <c r="H4841" t="str">
        <f>"9/8/18"</f>
        <v>9/8/18</v>
      </c>
      <c r="I4841" t="str">
        <f>"ELISA OVIEDO GARZA"</f>
        <v>ELISA OVIEDO GARZA</v>
      </c>
    </row>
    <row r="4842" spans="1:9" x14ac:dyDescent="0.25">
      <c r="A4842" s="6">
        <v>43356</v>
      </c>
      <c r="B4842" t="s">
        <v>26</v>
      </c>
      <c r="C4842">
        <v>58865</v>
      </c>
      <c r="D4842" t="s">
        <v>538</v>
      </c>
      <c r="E4842" s="7">
        <v>90</v>
      </c>
      <c r="F4842" t="s">
        <v>20</v>
      </c>
      <c r="G4842" t="s">
        <v>21</v>
      </c>
      <c r="H4842" t="str">
        <f>"9/8/18"</f>
        <v>9/8/18</v>
      </c>
      <c r="I4842" t="str">
        <f>"MATILDA A NEAVES"</f>
        <v>MATILDA A NEAVES</v>
      </c>
    </row>
    <row r="4843" spans="1:9" x14ac:dyDescent="0.25">
      <c r="A4843" s="6">
        <v>43356</v>
      </c>
      <c r="B4843" t="s">
        <v>26</v>
      </c>
      <c r="C4843">
        <v>58866</v>
      </c>
      <c r="D4843" t="s">
        <v>539</v>
      </c>
      <c r="E4843" s="7">
        <v>90</v>
      </c>
      <c r="F4843" t="s">
        <v>20</v>
      </c>
      <c r="G4843" t="s">
        <v>21</v>
      </c>
      <c r="H4843" t="str">
        <f>"9/8/18"</f>
        <v>9/8/18</v>
      </c>
      <c r="I4843" t="str">
        <f>"YVONNE G GARCIA"</f>
        <v>YVONNE G GARCIA</v>
      </c>
    </row>
    <row r="4844" spans="1:9" x14ac:dyDescent="0.25">
      <c r="A4844" s="6">
        <v>43356</v>
      </c>
      <c r="B4844" t="s">
        <v>26</v>
      </c>
      <c r="C4844">
        <v>58867</v>
      </c>
      <c r="D4844" t="s">
        <v>540</v>
      </c>
      <c r="E4844" s="7">
        <v>17074</v>
      </c>
      <c r="F4844" t="s">
        <v>20</v>
      </c>
      <c r="G4844" t="s">
        <v>21</v>
      </c>
      <c r="H4844" t="str">
        <f>"90002536"</f>
        <v>90002536</v>
      </c>
      <c r="I4844" t="str">
        <f>"TEXAS STATE UNIVERSITY"</f>
        <v>TEXAS STATE UNIVERSITY</v>
      </c>
    </row>
    <row r="4845" spans="1:9" x14ac:dyDescent="0.25">
      <c r="A4845" s="6">
        <v>43356</v>
      </c>
      <c r="B4845" t="s">
        <v>26</v>
      </c>
      <c r="C4845">
        <v>58868</v>
      </c>
      <c r="D4845" t="s">
        <v>541</v>
      </c>
      <c r="E4845" s="7">
        <v>250</v>
      </c>
      <c r="F4845" t="s">
        <v>20</v>
      </c>
      <c r="G4845" t="s">
        <v>21</v>
      </c>
      <c r="H4845" t="str">
        <f>"REFUND 12/22/18"</f>
        <v>REFUND 12/22/18</v>
      </c>
      <c r="I4845" t="str">
        <f>"REFUND"</f>
        <v>REFUND</v>
      </c>
    </row>
    <row r="4846" spans="1:9" x14ac:dyDescent="0.25">
      <c r="A4846" s="6">
        <v>43356</v>
      </c>
      <c r="B4846" t="s">
        <v>26</v>
      </c>
      <c r="C4846">
        <v>58869</v>
      </c>
      <c r="D4846" t="s">
        <v>542</v>
      </c>
      <c r="E4846" s="7">
        <v>200</v>
      </c>
      <c r="F4846" t="s">
        <v>20</v>
      </c>
      <c r="G4846" t="s">
        <v>21</v>
      </c>
      <c r="H4846" t="str">
        <f>"REFUND 9/8/18"</f>
        <v>REFUND 9/8/18</v>
      </c>
      <c r="I4846" t="str">
        <f>"REFUND"</f>
        <v>REFUND</v>
      </c>
    </row>
    <row r="4847" spans="1:9" x14ac:dyDescent="0.25">
      <c r="A4847" s="6">
        <v>43356</v>
      </c>
      <c r="B4847" t="s">
        <v>26</v>
      </c>
      <c r="C4847">
        <v>58870</v>
      </c>
      <c r="D4847" t="s">
        <v>252</v>
      </c>
      <c r="E4847" s="7">
        <v>353875</v>
      </c>
      <c r="F4847" t="s">
        <v>20</v>
      </c>
      <c r="G4847" t="s">
        <v>21</v>
      </c>
      <c r="H4847" t="str">
        <f>"APPLICATION 1"</f>
        <v>APPLICATION 1</v>
      </c>
      <c r="I4847" t="str">
        <f>"RAM II GENERAL CONTRACTOR INC."</f>
        <v>RAM II GENERAL CONTRACTOR INC.</v>
      </c>
    </row>
    <row r="4848" spans="1:9" x14ac:dyDescent="0.25">
      <c r="A4848" s="6">
        <v>43356</v>
      </c>
      <c r="B4848" t="s">
        <v>26</v>
      </c>
      <c r="C4848">
        <v>58871</v>
      </c>
      <c r="D4848" t="s">
        <v>488</v>
      </c>
      <c r="E4848" s="7">
        <v>271443.5</v>
      </c>
      <c r="F4848" t="s">
        <v>20</v>
      </c>
      <c r="G4848" t="s">
        <v>21</v>
      </c>
      <c r="H4848" t="str">
        <f>"APP #3"</f>
        <v>APP #3</v>
      </c>
      <c r="I4848" t="str">
        <f>"M &amp; C Fonseca Construction Co."</f>
        <v>M &amp; C Fonseca Construction Co.</v>
      </c>
    </row>
    <row r="4849" spans="1:9" x14ac:dyDescent="0.25">
      <c r="E4849" s="7"/>
      <c r="F4849" t="s">
        <v>20</v>
      </c>
      <c r="G4849" t="s">
        <v>21</v>
      </c>
      <c r="H4849" t="str">
        <f>"APP #4"</f>
        <v>APP #4</v>
      </c>
      <c r="I4849" t="str">
        <f>"M &amp; C Fonseca Construction Co."</f>
        <v>M &amp; C Fonseca Construction Co.</v>
      </c>
    </row>
    <row r="4850" spans="1:9" x14ac:dyDescent="0.25">
      <c r="A4850" s="6">
        <v>43360</v>
      </c>
      <c r="B4850" t="s">
        <v>26</v>
      </c>
      <c r="C4850">
        <v>58872</v>
      </c>
      <c r="D4850" t="s">
        <v>156</v>
      </c>
      <c r="E4850" s="7">
        <v>436.5</v>
      </c>
      <c r="F4850" t="s">
        <v>20</v>
      </c>
      <c r="G4850" t="s">
        <v>21</v>
      </c>
      <c r="H4850" t="str">
        <f>"9/17/18"</f>
        <v>9/17/18</v>
      </c>
      <c r="I4850" t="str">
        <f>"GLI DISTRIBUTING"</f>
        <v>GLI DISTRIBUTING</v>
      </c>
    </row>
    <row r="4851" spans="1:9" x14ac:dyDescent="0.25">
      <c r="A4851" s="6">
        <v>43362</v>
      </c>
      <c r="B4851" t="s">
        <v>26</v>
      </c>
      <c r="C4851">
        <v>58873</v>
      </c>
      <c r="D4851" t="s">
        <v>102</v>
      </c>
      <c r="E4851" s="7">
        <v>110.41</v>
      </c>
      <c r="F4851" t="s">
        <v>20</v>
      </c>
      <c r="G4851" t="s">
        <v>21</v>
      </c>
      <c r="H4851" t="str">
        <f>"9/25/18"</f>
        <v>9/25/18</v>
      </c>
      <c r="I4851" t="str">
        <f>"CENTERPOINT ENERGY ENTEX"</f>
        <v>CENTERPOINT ENERGY ENTEX</v>
      </c>
    </row>
    <row r="4852" spans="1:9" x14ac:dyDescent="0.25">
      <c r="E4852" s="7"/>
      <c r="F4852" t="s">
        <v>20</v>
      </c>
      <c r="G4852" t="s">
        <v>21</v>
      </c>
      <c r="H4852" t="str">
        <f>"9/25/18-2"</f>
        <v>9/25/18-2</v>
      </c>
      <c r="I4852" t="str">
        <f>"CENTERPOINT ENERGY ENTEX"</f>
        <v>CENTERPOINT ENERGY ENTEX</v>
      </c>
    </row>
    <row r="4853" spans="1:9" x14ac:dyDescent="0.25">
      <c r="E4853" s="7"/>
      <c r="F4853" t="s">
        <v>20</v>
      </c>
      <c r="G4853" t="s">
        <v>21</v>
      </c>
      <c r="H4853" t="str">
        <f>"PD 9/25/18"</f>
        <v>PD 9/25/18</v>
      </c>
      <c r="I4853" t="str">
        <f>"CENTERPOINT ENERGY ENTEX"</f>
        <v>CENTERPOINT ENERGY ENTEX</v>
      </c>
    </row>
    <row r="4854" spans="1:9" x14ac:dyDescent="0.25">
      <c r="E4854" s="7"/>
      <c r="F4854" t="s">
        <v>20</v>
      </c>
      <c r="G4854" t="s">
        <v>21</v>
      </c>
      <c r="H4854" t="str">
        <f>"SHOP 9/25/18"</f>
        <v>SHOP 9/25/18</v>
      </c>
      <c r="I4854" t="str">
        <f>"CENTERPOINT ENERGY ENTEX"</f>
        <v>CENTERPOINT ENERGY ENTEX</v>
      </c>
    </row>
    <row r="4855" spans="1:9" x14ac:dyDescent="0.25">
      <c r="A4855" s="6">
        <v>43362</v>
      </c>
      <c r="B4855" t="s">
        <v>91</v>
      </c>
      <c r="C4855">
        <v>58874</v>
      </c>
      <c r="D4855" t="s">
        <v>57</v>
      </c>
      <c r="E4855" s="7">
        <v>22226.05</v>
      </c>
      <c r="F4855" t="s">
        <v>20</v>
      </c>
      <c r="G4855" t="s">
        <v>21</v>
      </c>
      <c r="H4855" t="str">
        <f>"11617- 9/17/18"</f>
        <v>11617- 9/17/18</v>
      </c>
      <c r="I4855" t="str">
        <f>"F.E.L.P.S."</f>
        <v>F.E.L.P.S.</v>
      </c>
    </row>
    <row r="4856" spans="1:9" x14ac:dyDescent="0.25">
      <c r="E4856" s="7"/>
      <c r="F4856" t="s">
        <v>20</v>
      </c>
      <c r="G4856" t="s">
        <v>21</v>
      </c>
      <c r="H4856" t="str">
        <f>"11617-9/17/18"</f>
        <v>11617-9/17/18</v>
      </c>
      <c r="I4856" t="str">
        <f>"F.E.L.P.S."</f>
        <v>F.E.L.P.S.</v>
      </c>
    </row>
    <row r="4857" spans="1:9" x14ac:dyDescent="0.25">
      <c r="E4857" s="7"/>
      <c r="F4857" t="s">
        <v>20</v>
      </c>
      <c r="G4857" t="s">
        <v>21</v>
      </c>
      <c r="H4857" t="str">
        <f>"33062 9/17/18"</f>
        <v>33062 9/17/18</v>
      </c>
      <c r="I4857" t="str">
        <f>"F.E.L.P.S."</f>
        <v>F.E.L.P.S.</v>
      </c>
    </row>
    <row r="4858" spans="1:9" x14ac:dyDescent="0.25">
      <c r="A4858" s="6">
        <v>43362</v>
      </c>
      <c r="B4858" t="s">
        <v>91</v>
      </c>
      <c r="C4858">
        <v>58874</v>
      </c>
      <c r="D4858" t="s">
        <v>57</v>
      </c>
      <c r="E4858" s="7">
        <v>22226.05</v>
      </c>
      <c r="F4858" t="s">
        <v>20</v>
      </c>
      <c r="G4858" t="s">
        <v>93</v>
      </c>
      <c r="H4858" t="str">
        <f>"CHECK"</f>
        <v>CHECK</v>
      </c>
      <c r="I4858" t="str">
        <f>""</f>
        <v/>
      </c>
    </row>
    <row r="4859" spans="1:9" x14ac:dyDescent="0.25">
      <c r="A4859" s="6">
        <v>43362</v>
      </c>
      <c r="B4859" t="s">
        <v>91</v>
      </c>
      <c r="C4859">
        <v>58875</v>
      </c>
      <c r="D4859" t="s">
        <v>103</v>
      </c>
      <c r="E4859" s="7">
        <v>74479.77</v>
      </c>
      <c r="F4859" t="s">
        <v>20</v>
      </c>
      <c r="G4859" t="s">
        <v>21</v>
      </c>
      <c r="H4859" t="str">
        <f>"5274"</f>
        <v>5274</v>
      </c>
      <c r="I4859" t="str">
        <f>"F. E. D. C."</f>
        <v>F. E. D. C.</v>
      </c>
    </row>
    <row r="4860" spans="1:9" x14ac:dyDescent="0.25">
      <c r="A4860" s="6">
        <v>43362</v>
      </c>
      <c r="B4860" t="s">
        <v>91</v>
      </c>
      <c r="C4860">
        <v>58875</v>
      </c>
      <c r="D4860" t="s">
        <v>103</v>
      </c>
      <c r="E4860" s="7">
        <v>74479.77</v>
      </c>
      <c r="F4860" t="s">
        <v>20</v>
      </c>
      <c r="G4860" t="s">
        <v>93</v>
      </c>
      <c r="H4860" t="str">
        <f>"CHECK"</f>
        <v>CHECK</v>
      </c>
      <c r="I4860" t="str">
        <f>""</f>
        <v/>
      </c>
    </row>
    <row r="4861" spans="1:9" x14ac:dyDescent="0.25">
      <c r="A4861" s="6">
        <v>43362</v>
      </c>
      <c r="B4861" t="s">
        <v>91</v>
      </c>
      <c r="C4861">
        <v>58876</v>
      </c>
      <c r="D4861" t="s">
        <v>59</v>
      </c>
      <c r="E4861" s="7">
        <v>6956.7</v>
      </c>
      <c r="F4861" t="s">
        <v>20</v>
      </c>
      <c r="G4861" t="s">
        <v>21</v>
      </c>
      <c r="H4861" t="str">
        <f>"0975403"</f>
        <v>0975403</v>
      </c>
      <c r="I4861" t="str">
        <f>"FIRE HYDRANT REPAIR"</f>
        <v>FIRE HYDRANT REPAIR</v>
      </c>
    </row>
    <row r="4862" spans="1:9" x14ac:dyDescent="0.25">
      <c r="E4862" s="7"/>
      <c r="F4862" t="s">
        <v>20</v>
      </c>
      <c r="G4862" t="s">
        <v>21</v>
      </c>
      <c r="H4862" t="str">
        <f>"0984218"</f>
        <v>0984218</v>
      </c>
      <c r="I4862" t="str">
        <f>"WATER SUPPLIES"</f>
        <v>WATER SUPPLIES</v>
      </c>
    </row>
    <row r="4863" spans="1:9" x14ac:dyDescent="0.25">
      <c r="E4863" s="7"/>
      <c r="F4863" t="s">
        <v>20</v>
      </c>
      <c r="G4863" t="s">
        <v>21</v>
      </c>
      <c r="H4863" t="str">
        <f>"0984228"</f>
        <v>0984228</v>
      </c>
      <c r="I4863" t="str">
        <f>"WATER SUPPLIES"</f>
        <v>WATER SUPPLIES</v>
      </c>
    </row>
    <row r="4864" spans="1:9" x14ac:dyDescent="0.25">
      <c r="E4864" s="7"/>
      <c r="F4864" t="s">
        <v>20</v>
      </c>
      <c r="G4864" t="s">
        <v>21</v>
      </c>
      <c r="H4864" t="str">
        <f>"0984663"</f>
        <v>0984663</v>
      </c>
      <c r="I4864" t="str">
        <f>"TOOLS &amp; SUPPLIES"</f>
        <v>TOOLS &amp; SUPPLIES</v>
      </c>
    </row>
    <row r="4865" spans="1:9" x14ac:dyDescent="0.25">
      <c r="A4865" s="6">
        <v>43362</v>
      </c>
      <c r="B4865" t="s">
        <v>91</v>
      </c>
      <c r="C4865">
        <v>58876</v>
      </c>
      <c r="D4865" t="s">
        <v>59</v>
      </c>
      <c r="E4865" s="7">
        <v>6956.7</v>
      </c>
      <c r="F4865" t="s">
        <v>20</v>
      </c>
      <c r="G4865" t="s">
        <v>93</v>
      </c>
      <c r="H4865" t="str">
        <f>"CHECK"</f>
        <v>CHECK</v>
      </c>
      <c r="I4865" t="str">
        <f>""</f>
        <v/>
      </c>
    </row>
    <row r="4866" spans="1:9" x14ac:dyDescent="0.25">
      <c r="A4866" s="6">
        <v>43362</v>
      </c>
      <c r="B4866" t="s">
        <v>26</v>
      </c>
      <c r="C4866">
        <v>58878</v>
      </c>
      <c r="D4866" t="s">
        <v>166</v>
      </c>
      <c r="E4866" s="7">
        <v>600</v>
      </c>
      <c r="F4866" t="s">
        <v>20</v>
      </c>
      <c r="G4866" t="s">
        <v>21</v>
      </c>
      <c r="H4866" t="str">
        <f>"9/18/18"</f>
        <v>9/18/18</v>
      </c>
      <c r="I4866" t="str">
        <f>"PITNEY BOWES PURCHASE POWER"</f>
        <v>PITNEY BOWES PURCHASE POWER</v>
      </c>
    </row>
    <row r="4867" spans="1:9" x14ac:dyDescent="0.25">
      <c r="A4867" s="6">
        <v>43362</v>
      </c>
      <c r="B4867" t="s">
        <v>26</v>
      </c>
      <c r="C4867">
        <v>58879</v>
      </c>
      <c r="D4867" t="s">
        <v>273</v>
      </c>
      <c r="E4867" s="7">
        <v>3949.55</v>
      </c>
      <c r="F4867" t="s">
        <v>20</v>
      </c>
      <c r="G4867" t="s">
        <v>21</v>
      </c>
      <c r="H4867" t="str">
        <f>"5119-000084983"</f>
        <v>5119-000084983</v>
      </c>
      <c r="I4867" t="str">
        <f>"REPUBLIC SERVICES TESSMAN ROAD"</f>
        <v>REPUBLIC SERVICES TESSMAN ROAD</v>
      </c>
    </row>
    <row r="4868" spans="1:9" x14ac:dyDescent="0.25">
      <c r="A4868" s="6">
        <v>43362</v>
      </c>
      <c r="B4868" t="s">
        <v>26</v>
      </c>
      <c r="C4868">
        <v>58880</v>
      </c>
      <c r="D4868" t="s">
        <v>107</v>
      </c>
      <c r="E4868" s="7">
        <v>8.5299999999999994</v>
      </c>
      <c r="F4868" t="s">
        <v>20</v>
      </c>
      <c r="G4868" t="s">
        <v>21</v>
      </c>
      <c r="H4868" t="str">
        <f>"1166960-20180831"</f>
        <v>1166960-20180831</v>
      </c>
      <c r="I4868" t="str">
        <f>"LEXISNEXIS RISK SOLUTIONS"</f>
        <v>LEXISNEXIS RISK SOLUTIONS</v>
      </c>
    </row>
    <row r="4869" spans="1:9" x14ac:dyDescent="0.25">
      <c r="A4869" s="6">
        <v>43362</v>
      </c>
      <c r="B4869" t="s">
        <v>26</v>
      </c>
      <c r="C4869">
        <v>58881</v>
      </c>
      <c r="D4869" t="s">
        <v>108</v>
      </c>
      <c r="E4869" s="7">
        <v>2366.38</v>
      </c>
      <c r="F4869" t="s">
        <v>20</v>
      </c>
      <c r="G4869" t="s">
        <v>21</v>
      </c>
      <c r="H4869" t="str">
        <f>"041295603120"</f>
        <v>041295603120</v>
      </c>
      <c r="I4869" t="str">
        <f>"POOLSURE"</f>
        <v>POOLSURE</v>
      </c>
    </row>
    <row r="4870" spans="1:9" x14ac:dyDescent="0.25">
      <c r="A4870" s="6">
        <v>43362</v>
      </c>
      <c r="B4870" t="s">
        <v>26</v>
      </c>
      <c r="C4870">
        <v>58882</v>
      </c>
      <c r="D4870" t="s">
        <v>110</v>
      </c>
      <c r="E4870" s="7">
        <v>4651.7700000000004</v>
      </c>
      <c r="F4870" t="s">
        <v>20</v>
      </c>
      <c r="G4870" t="s">
        <v>21</v>
      </c>
      <c r="H4870" t="str">
        <f>"1431381"</f>
        <v>1431381</v>
      </c>
      <c r="I4870" t="str">
        <f t="shared" ref="I4870:I4885" si="81">"BUREAU VERITAS NORTH AMERICA"</f>
        <v>BUREAU VERITAS NORTH AMERICA</v>
      </c>
    </row>
    <row r="4871" spans="1:9" x14ac:dyDescent="0.25">
      <c r="E4871" s="7"/>
      <c r="F4871" t="s">
        <v>20</v>
      </c>
      <c r="G4871" t="s">
        <v>21</v>
      </c>
      <c r="H4871" t="str">
        <f>"1431382"</f>
        <v>1431382</v>
      </c>
      <c r="I4871" t="str">
        <f t="shared" si="81"/>
        <v>BUREAU VERITAS NORTH AMERICA</v>
      </c>
    </row>
    <row r="4872" spans="1:9" x14ac:dyDescent="0.25">
      <c r="E4872" s="7"/>
      <c r="F4872" t="s">
        <v>20</v>
      </c>
      <c r="G4872" t="s">
        <v>21</v>
      </c>
      <c r="H4872" t="str">
        <f>"1431383"</f>
        <v>1431383</v>
      </c>
      <c r="I4872" t="str">
        <f t="shared" si="81"/>
        <v>BUREAU VERITAS NORTH AMERICA</v>
      </c>
    </row>
    <row r="4873" spans="1:9" x14ac:dyDescent="0.25">
      <c r="E4873" s="7"/>
      <c r="F4873" t="s">
        <v>20</v>
      </c>
      <c r="G4873" t="s">
        <v>21</v>
      </c>
      <c r="H4873" t="str">
        <f>"1431384"</f>
        <v>1431384</v>
      </c>
      <c r="I4873" t="str">
        <f t="shared" si="81"/>
        <v>BUREAU VERITAS NORTH AMERICA</v>
      </c>
    </row>
    <row r="4874" spans="1:9" x14ac:dyDescent="0.25">
      <c r="E4874" s="7"/>
      <c r="F4874" t="s">
        <v>20</v>
      </c>
      <c r="G4874" t="s">
        <v>21</v>
      </c>
      <c r="H4874" t="str">
        <f>"1431385"</f>
        <v>1431385</v>
      </c>
      <c r="I4874" t="str">
        <f t="shared" si="81"/>
        <v>BUREAU VERITAS NORTH AMERICA</v>
      </c>
    </row>
    <row r="4875" spans="1:9" x14ac:dyDescent="0.25">
      <c r="E4875" s="7"/>
      <c r="F4875" t="s">
        <v>20</v>
      </c>
      <c r="G4875" t="s">
        <v>21</v>
      </c>
      <c r="H4875" t="str">
        <f>"1431386"</f>
        <v>1431386</v>
      </c>
      <c r="I4875" t="str">
        <f t="shared" si="81"/>
        <v>BUREAU VERITAS NORTH AMERICA</v>
      </c>
    </row>
    <row r="4876" spans="1:9" x14ac:dyDescent="0.25">
      <c r="E4876" s="7"/>
      <c r="F4876" t="s">
        <v>20</v>
      </c>
      <c r="G4876" t="s">
        <v>21</v>
      </c>
      <c r="H4876" t="str">
        <f>"1431388"</f>
        <v>1431388</v>
      </c>
      <c r="I4876" t="str">
        <f t="shared" si="81"/>
        <v>BUREAU VERITAS NORTH AMERICA</v>
      </c>
    </row>
    <row r="4877" spans="1:9" x14ac:dyDescent="0.25">
      <c r="E4877" s="7"/>
      <c r="F4877" t="s">
        <v>20</v>
      </c>
      <c r="G4877" t="s">
        <v>21</v>
      </c>
      <c r="H4877" t="str">
        <f>"1431389"</f>
        <v>1431389</v>
      </c>
      <c r="I4877" t="str">
        <f t="shared" si="81"/>
        <v>BUREAU VERITAS NORTH AMERICA</v>
      </c>
    </row>
    <row r="4878" spans="1:9" x14ac:dyDescent="0.25">
      <c r="E4878" s="7"/>
      <c r="F4878" t="s">
        <v>20</v>
      </c>
      <c r="G4878" t="s">
        <v>21</v>
      </c>
      <c r="H4878" t="str">
        <f>"1431390"</f>
        <v>1431390</v>
      </c>
      <c r="I4878" t="str">
        <f t="shared" si="81"/>
        <v>BUREAU VERITAS NORTH AMERICA</v>
      </c>
    </row>
    <row r="4879" spans="1:9" x14ac:dyDescent="0.25">
      <c r="E4879" s="7"/>
      <c r="F4879" t="s">
        <v>20</v>
      </c>
      <c r="G4879" t="s">
        <v>21</v>
      </c>
      <c r="H4879" t="str">
        <f>"1431391"</f>
        <v>1431391</v>
      </c>
      <c r="I4879" t="str">
        <f t="shared" si="81"/>
        <v>BUREAU VERITAS NORTH AMERICA</v>
      </c>
    </row>
    <row r="4880" spans="1:9" x14ac:dyDescent="0.25">
      <c r="E4880" s="7"/>
      <c r="F4880" t="s">
        <v>20</v>
      </c>
      <c r="G4880" t="s">
        <v>21</v>
      </c>
      <c r="H4880" t="str">
        <f>"1431392"</f>
        <v>1431392</v>
      </c>
      <c r="I4880" t="str">
        <f t="shared" si="81"/>
        <v>BUREAU VERITAS NORTH AMERICA</v>
      </c>
    </row>
    <row r="4881" spans="1:9" x14ac:dyDescent="0.25">
      <c r="E4881" s="7"/>
      <c r="F4881" t="s">
        <v>20</v>
      </c>
      <c r="G4881" t="s">
        <v>21</v>
      </c>
      <c r="H4881" t="str">
        <f>"1431393"</f>
        <v>1431393</v>
      </c>
      <c r="I4881" t="str">
        <f t="shared" si="81"/>
        <v>BUREAU VERITAS NORTH AMERICA</v>
      </c>
    </row>
    <row r="4882" spans="1:9" x14ac:dyDescent="0.25">
      <c r="E4882" s="7"/>
      <c r="F4882" t="s">
        <v>20</v>
      </c>
      <c r="G4882" t="s">
        <v>21</v>
      </c>
      <c r="H4882" t="str">
        <f>"1431394"</f>
        <v>1431394</v>
      </c>
      <c r="I4882" t="str">
        <f t="shared" si="81"/>
        <v>BUREAU VERITAS NORTH AMERICA</v>
      </c>
    </row>
    <row r="4883" spans="1:9" x14ac:dyDescent="0.25">
      <c r="E4883" s="7"/>
      <c r="F4883" t="s">
        <v>20</v>
      </c>
      <c r="G4883" t="s">
        <v>21</v>
      </c>
      <c r="H4883" t="str">
        <f>"1431395"</f>
        <v>1431395</v>
      </c>
      <c r="I4883" t="str">
        <f t="shared" si="81"/>
        <v>BUREAU VERITAS NORTH AMERICA</v>
      </c>
    </row>
    <row r="4884" spans="1:9" x14ac:dyDescent="0.25">
      <c r="E4884" s="7"/>
      <c r="F4884" t="s">
        <v>20</v>
      </c>
      <c r="G4884" t="s">
        <v>21</v>
      </c>
      <c r="H4884" t="str">
        <f>"1431397"</f>
        <v>1431397</v>
      </c>
      <c r="I4884" t="str">
        <f t="shared" si="81"/>
        <v>BUREAU VERITAS NORTH AMERICA</v>
      </c>
    </row>
    <row r="4885" spans="1:9" x14ac:dyDescent="0.25">
      <c r="E4885" s="7"/>
      <c r="F4885" t="s">
        <v>20</v>
      </c>
      <c r="G4885" t="s">
        <v>21</v>
      </c>
      <c r="H4885" t="str">
        <f>"76.92"</f>
        <v>76.92</v>
      </c>
      <c r="I4885" t="str">
        <f t="shared" si="81"/>
        <v>BUREAU VERITAS NORTH AMERICA</v>
      </c>
    </row>
    <row r="4886" spans="1:9" x14ac:dyDescent="0.25">
      <c r="A4886" s="6">
        <v>43362</v>
      </c>
      <c r="B4886" t="s">
        <v>26</v>
      </c>
      <c r="C4886">
        <v>58885</v>
      </c>
      <c r="D4886" t="s">
        <v>340</v>
      </c>
      <c r="E4886" s="7">
        <v>111.66</v>
      </c>
      <c r="F4886" t="s">
        <v>20</v>
      </c>
      <c r="G4886" t="s">
        <v>21</v>
      </c>
      <c r="H4886" t="str">
        <f>"1810-343310"</f>
        <v>1810-343310</v>
      </c>
      <c r="I4886" t="str">
        <f>"O'REILLY AUTOMOTIVE  INC."</f>
        <v>O'REILLY AUTOMOTIVE  INC.</v>
      </c>
    </row>
    <row r="4887" spans="1:9" x14ac:dyDescent="0.25">
      <c r="E4887" s="7"/>
      <c r="F4887" t="s">
        <v>20</v>
      </c>
      <c r="G4887" t="s">
        <v>21</v>
      </c>
      <c r="H4887" t="str">
        <f>"1810-344239"</f>
        <v>1810-344239</v>
      </c>
      <c r="I4887" t="str">
        <f>"BREAK REPAIR FOR PD"</f>
        <v>BREAK REPAIR FOR PD</v>
      </c>
    </row>
    <row r="4888" spans="1:9" x14ac:dyDescent="0.25">
      <c r="A4888" s="6">
        <v>43362</v>
      </c>
      <c r="B4888" t="s">
        <v>26</v>
      </c>
      <c r="C4888">
        <v>58886</v>
      </c>
      <c r="D4888" t="s">
        <v>543</v>
      </c>
      <c r="E4888" s="7">
        <v>100</v>
      </c>
      <c r="F4888" t="s">
        <v>20</v>
      </c>
      <c r="G4888" t="s">
        <v>21</v>
      </c>
      <c r="H4888" t="str">
        <f>"REF 09/15/18"</f>
        <v>REF 09/15/18</v>
      </c>
      <c r="I4888" t="str">
        <f t="shared" ref="I4888:I4895" si="82">"REFUND"</f>
        <v>REFUND</v>
      </c>
    </row>
    <row r="4889" spans="1:9" x14ac:dyDescent="0.25">
      <c r="A4889" s="6">
        <v>43362</v>
      </c>
      <c r="B4889" t="s">
        <v>26</v>
      </c>
      <c r="C4889">
        <v>58887</v>
      </c>
      <c r="D4889" t="s">
        <v>544</v>
      </c>
      <c r="E4889" s="7">
        <v>150</v>
      </c>
      <c r="F4889" t="s">
        <v>20</v>
      </c>
      <c r="G4889" t="s">
        <v>21</v>
      </c>
      <c r="H4889" t="str">
        <f>"REF 09/18/2018"</f>
        <v>REF 09/18/2018</v>
      </c>
      <c r="I4889" t="str">
        <f t="shared" si="82"/>
        <v>REFUND</v>
      </c>
    </row>
    <row r="4890" spans="1:9" x14ac:dyDescent="0.25">
      <c r="A4890" s="6">
        <v>43362</v>
      </c>
      <c r="B4890" t="s">
        <v>26</v>
      </c>
      <c r="C4890">
        <v>58888</v>
      </c>
      <c r="D4890" t="s">
        <v>545</v>
      </c>
      <c r="E4890" s="7">
        <v>175</v>
      </c>
      <c r="F4890" t="s">
        <v>20</v>
      </c>
      <c r="G4890" t="s">
        <v>21</v>
      </c>
      <c r="H4890" t="str">
        <f>"REF 9/14/18"</f>
        <v>REF 9/14/18</v>
      </c>
      <c r="I4890" t="str">
        <f t="shared" si="82"/>
        <v>REFUND</v>
      </c>
    </row>
    <row r="4891" spans="1:9" x14ac:dyDescent="0.25">
      <c r="A4891" s="6">
        <v>43362</v>
      </c>
      <c r="B4891" t="s">
        <v>26</v>
      </c>
      <c r="C4891">
        <v>58889</v>
      </c>
      <c r="D4891" t="s">
        <v>546</v>
      </c>
      <c r="E4891" s="7">
        <v>200</v>
      </c>
      <c r="F4891" t="s">
        <v>20</v>
      </c>
      <c r="G4891" t="s">
        <v>21</v>
      </c>
      <c r="H4891" t="str">
        <f>"REF 9/15/16"</f>
        <v>REF 9/15/16</v>
      </c>
      <c r="I4891" t="str">
        <f t="shared" si="82"/>
        <v>REFUND</v>
      </c>
    </row>
    <row r="4892" spans="1:9" x14ac:dyDescent="0.25">
      <c r="A4892" s="6">
        <v>43362</v>
      </c>
      <c r="B4892" t="s">
        <v>26</v>
      </c>
      <c r="C4892">
        <v>58890</v>
      </c>
      <c r="D4892" t="s">
        <v>547</v>
      </c>
      <c r="E4892" s="7">
        <v>100</v>
      </c>
      <c r="F4892" t="s">
        <v>20</v>
      </c>
      <c r="G4892" t="s">
        <v>21</v>
      </c>
      <c r="H4892" t="str">
        <f>"REF 9/15/18"</f>
        <v>REF 9/15/18</v>
      </c>
      <c r="I4892" t="str">
        <f t="shared" si="82"/>
        <v>REFUND</v>
      </c>
    </row>
    <row r="4893" spans="1:9" x14ac:dyDescent="0.25">
      <c r="A4893" s="6">
        <v>43362</v>
      </c>
      <c r="B4893" t="s">
        <v>26</v>
      </c>
      <c r="C4893">
        <v>58891</v>
      </c>
      <c r="D4893" t="s">
        <v>548</v>
      </c>
      <c r="E4893" s="7">
        <v>175</v>
      </c>
      <c r="F4893" t="s">
        <v>20</v>
      </c>
      <c r="G4893" t="s">
        <v>21</v>
      </c>
      <c r="H4893" t="str">
        <f>"REF 9/15/18-2"</f>
        <v>REF 9/15/18-2</v>
      </c>
      <c r="I4893" t="str">
        <f t="shared" si="82"/>
        <v>REFUND</v>
      </c>
    </row>
    <row r="4894" spans="1:9" x14ac:dyDescent="0.25">
      <c r="A4894" s="6">
        <v>43362</v>
      </c>
      <c r="B4894" t="s">
        <v>26</v>
      </c>
      <c r="C4894">
        <v>58892</v>
      </c>
      <c r="D4894" t="s">
        <v>549</v>
      </c>
      <c r="E4894" s="7">
        <v>150</v>
      </c>
      <c r="F4894" t="s">
        <v>20</v>
      </c>
      <c r="G4894" t="s">
        <v>21</v>
      </c>
      <c r="H4894" t="str">
        <f>"REF 9/16/18"</f>
        <v>REF 9/16/18</v>
      </c>
      <c r="I4894" t="str">
        <f t="shared" si="82"/>
        <v>REFUND</v>
      </c>
    </row>
    <row r="4895" spans="1:9" x14ac:dyDescent="0.25">
      <c r="A4895" s="6">
        <v>43362</v>
      </c>
      <c r="B4895" t="s">
        <v>26</v>
      </c>
      <c r="C4895">
        <v>58893</v>
      </c>
      <c r="D4895" t="s">
        <v>550</v>
      </c>
      <c r="E4895" s="7">
        <v>250</v>
      </c>
      <c r="F4895" t="s">
        <v>20</v>
      </c>
      <c r="G4895" t="s">
        <v>21</v>
      </c>
      <c r="H4895" t="str">
        <f>"REF 9/16/18-2"</f>
        <v>REF 9/16/18-2</v>
      </c>
      <c r="I4895" t="str">
        <f t="shared" si="82"/>
        <v>REFUND</v>
      </c>
    </row>
    <row r="4896" spans="1:9" x14ac:dyDescent="0.25">
      <c r="A4896" s="6">
        <v>43362</v>
      </c>
      <c r="B4896" t="s">
        <v>26</v>
      </c>
      <c r="C4896">
        <v>58894</v>
      </c>
      <c r="D4896" t="s">
        <v>61</v>
      </c>
      <c r="E4896" s="7">
        <v>1500</v>
      </c>
      <c r="F4896" t="s">
        <v>20</v>
      </c>
      <c r="G4896" t="s">
        <v>21</v>
      </c>
      <c r="H4896" t="str">
        <f>"045-237177"</f>
        <v>045-237177</v>
      </c>
      <c r="I4896" t="str">
        <f>"TYLER TECHNOLOGIES  INC."</f>
        <v>TYLER TECHNOLOGIES  INC.</v>
      </c>
    </row>
    <row r="4897" spans="1:9" x14ac:dyDescent="0.25">
      <c r="A4897" s="6">
        <v>43362</v>
      </c>
      <c r="B4897" t="s">
        <v>26</v>
      </c>
      <c r="C4897">
        <v>58895</v>
      </c>
      <c r="D4897" t="s">
        <v>0</v>
      </c>
      <c r="E4897" s="7">
        <v>3702.62</v>
      </c>
      <c r="F4897" t="s">
        <v>20</v>
      </c>
      <c r="G4897" t="s">
        <v>21</v>
      </c>
      <c r="H4897" t="str">
        <f>"9/17/18"</f>
        <v>9/17/18</v>
      </c>
      <c r="I4897" t="str">
        <f>"CITY OF FLORESVILLE"</f>
        <v>CITY OF FLORESVILLE</v>
      </c>
    </row>
    <row r="4898" spans="1:9" x14ac:dyDescent="0.25">
      <c r="A4898" s="6">
        <v>43362</v>
      </c>
      <c r="B4898" t="s">
        <v>26</v>
      </c>
      <c r="C4898">
        <v>58896</v>
      </c>
      <c r="D4898" t="s">
        <v>168</v>
      </c>
      <c r="E4898" s="7">
        <v>2411</v>
      </c>
      <c r="F4898" t="s">
        <v>20</v>
      </c>
      <c r="G4898" t="s">
        <v>21</v>
      </c>
      <c r="H4898" t="str">
        <f>"LI-5855"</f>
        <v>LI-5855</v>
      </c>
      <c r="I4898" t="str">
        <f t="shared" ref="I4898:I4908" si="83">"BEXAR COUNTY AUDITOR/ATTN:CRIM"</f>
        <v>BEXAR COUNTY AUDITOR/ATTN:CRIM</v>
      </c>
    </row>
    <row r="4899" spans="1:9" x14ac:dyDescent="0.25">
      <c r="E4899" s="7"/>
      <c r="F4899" t="s">
        <v>20</v>
      </c>
      <c r="G4899" t="s">
        <v>21</v>
      </c>
      <c r="H4899" t="str">
        <f>"LI-5856"</f>
        <v>LI-5856</v>
      </c>
      <c r="I4899" t="str">
        <f t="shared" si="83"/>
        <v>BEXAR COUNTY AUDITOR/ATTN:CRIM</v>
      </c>
    </row>
    <row r="4900" spans="1:9" x14ac:dyDescent="0.25">
      <c r="E4900" s="7"/>
      <c r="F4900" t="s">
        <v>20</v>
      </c>
      <c r="G4900" t="s">
        <v>21</v>
      </c>
      <c r="H4900" t="str">
        <f>"LI-5857"</f>
        <v>LI-5857</v>
      </c>
      <c r="I4900" t="str">
        <f t="shared" si="83"/>
        <v>BEXAR COUNTY AUDITOR/ATTN:CRIM</v>
      </c>
    </row>
    <row r="4901" spans="1:9" x14ac:dyDescent="0.25">
      <c r="E4901" s="7"/>
      <c r="F4901" t="s">
        <v>20</v>
      </c>
      <c r="G4901" t="s">
        <v>21</v>
      </c>
      <c r="H4901" t="str">
        <f>"LI-5858"</f>
        <v>LI-5858</v>
      </c>
      <c r="I4901" t="str">
        <f t="shared" si="83"/>
        <v>BEXAR COUNTY AUDITOR/ATTN:CRIM</v>
      </c>
    </row>
    <row r="4902" spans="1:9" x14ac:dyDescent="0.25">
      <c r="E4902" s="7"/>
      <c r="F4902" t="s">
        <v>20</v>
      </c>
      <c r="G4902" t="s">
        <v>21</v>
      </c>
      <c r="H4902" t="str">
        <f>"LI-5859"</f>
        <v>LI-5859</v>
      </c>
      <c r="I4902" t="str">
        <f t="shared" si="83"/>
        <v>BEXAR COUNTY AUDITOR/ATTN:CRIM</v>
      </c>
    </row>
    <row r="4903" spans="1:9" x14ac:dyDescent="0.25">
      <c r="E4903" s="7"/>
      <c r="F4903" t="s">
        <v>20</v>
      </c>
      <c r="G4903" t="s">
        <v>21</v>
      </c>
      <c r="H4903" t="str">
        <f>"LI-5860"</f>
        <v>LI-5860</v>
      </c>
      <c r="I4903" t="str">
        <f t="shared" si="83"/>
        <v>BEXAR COUNTY AUDITOR/ATTN:CRIM</v>
      </c>
    </row>
    <row r="4904" spans="1:9" x14ac:dyDescent="0.25">
      <c r="E4904" s="7"/>
      <c r="F4904" t="s">
        <v>20</v>
      </c>
      <c r="G4904" t="s">
        <v>21</v>
      </c>
      <c r="H4904" t="str">
        <f>"LI-5861"</f>
        <v>LI-5861</v>
      </c>
      <c r="I4904" t="str">
        <f t="shared" si="83"/>
        <v>BEXAR COUNTY AUDITOR/ATTN:CRIM</v>
      </c>
    </row>
    <row r="4905" spans="1:9" x14ac:dyDescent="0.25">
      <c r="E4905" s="7"/>
      <c r="F4905" t="s">
        <v>20</v>
      </c>
      <c r="G4905" t="s">
        <v>21</v>
      </c>
      <c r="H4905" t="str">
        <f>"LI-5862"</f>
        <v>LI-5862</v>
      </c>
      <c r="I4905" t="str">
        <f t="shared" si="83"/>
        <v>BEXAR COUNTY AUDITOR/ATTN:CRIM</v>
      </c>
    </row>
    <row r="4906" spans="1:9" x14ac:dyDescent="0.25">
      <c r="E4906" s="7"/>
      <c r="F4906" t="s">
        <v>20</v>
      </c>
      <c r="G4906" t="s">
        <v>21</v>
      </c>
      <c r="H4906" t="str">
        <f>"LI-5864"</f>
        <v>LI-5864</v>
      </c>
      <c r="I4906" t="str">
        <f t="shared" si="83"/>
        <v>BEXAR COUNTY AUDITOR/ATTN:CRIM</v>
      </c>
    </row>
    <row r="4907" spans="1:9" x14ac:dyDescent="0.25">
      <c r="E4907" s="7"/>
      <c r="F4907" t="s">
        <v>20</v>
      </c>
      <c r="G4907" t="s">
        <v>21</v>
      </c>
      <c r="H4907" t="str">
        <f>"LI-5865"</f>
        <v>LI-5865</v>
      </c>
      <c r="I4907" t="str">
        <f t="shared" si="83"/>
        <v>BEXAR COUNTY AUDITOR/ATTN:CRIM</v>
      </c>
    </row>
    <row r="4908" spans="1:9" x14ac:dyDescent="0.25">
      <c r="E4908" s="7"/>
      <c r="F4908" t="s">
        <v>20</v>
      </c>
      <c r="G4908" t="s">
        <v>21</v>
      </c>
      <c r="H4908" t="str">
        <f>"LI-8563"</f>
        <v>LI-8563</v>
      </c>
      <c r="I4908" t="str">
        <f t="shared" si="83"/>
        <v>BEXAR COUNTY AUDITOR/ATTN:CRIM</v>
      </c>
    </row>
    <row r="4909" spans="1:9" x14ac:dyDescent="0.25">
      <c r="A4909" s="6">
        <v>43362</v>
      </c>
      <c r="B4909" t="s">
        <v>26</v>
      </c>
      <c r="C4909">
        <v>58898</v>
      </c>
      <c r="D4909" t="s">
        <v>63</v>
      </c>
      <c r="E4909" s="7">
        <v>811.45</v>
      </c>
      <c r="F4909" t="s">
        <v>20</v>
      </c>
      <c r="G4909" t="s">
        <v>21</v>
      </c>
      <c r="H4909" t="str">
        <f>"8403810369"</f>
        <v>8403810369</v>
      </c>
      <c r="I4909" t="str">
        <f>"CINTAS CORPORATION"</f>
        <v>CINTAS CORPORATION</v>
      </c>
    </row>
    <row r="4910" spans="1:9" x14ac:dyDescent="0.25">
      <c r="A4910" s="6">
        <v>43362</v>
      </c>
      <c r="B4910" t="s">
        <v>26</v>
      </c>
      <c r="C4910">
        <v>58899</v>
      </c>
      <c r="D4910" t="s">
        <v>117</v>
      </c>
      <c r="E4910" s="7">
        <v>1438.56</v>
      </c>
      <c r="F4910" t="s">
        <v>20</v>
      </c>
      <c r="G4910" t="s">
        <v>21</v>
      </c>
      <c r="H4910" t="str">
        <f>"8/2018"</f>
        <v>8/2018</v>
      </c>
      <c r="I4910" t="str">
        <f>"LINEBARGER GOGGAN BLAIR &amp; SAMP"</f>
        <v>LINEBARGER GOGGAN BLAIR &amp; SAMP</v>
      </c>
    </row>
    <row r="4911" spans="1:9" x14ac:dyDescent="0.25">
      <c r="A4911" s="6">
        <v>43362</v>
      </c>
      <c r="B4911" t="s">
        <v>26</v>
      </c>
      <c r="C4911">
        <v>58900</v>
      </c>
      <c r="D4911" t="s">
        <v>66</v>
      </c>
      <c r="E4911" s="7">
        <v>600</v>
      </c>
      <c r="F4911" t="s">
        <v>20</v>
      </c>
      <c r="G4911" t="s">
        <v>21</v>
      </c>
      <c r="H4911" t="str">
        <f>"53640"</f>
        <v>53640</v>
      </c>
      <c r="I4911" t="str">
        <f>"LOPEZ EXTERMINATING SERVICE  I"</f>
        <v>LOPEZ EXTERMINATING SERVICE  I</v>
      </c>
    </row>
    <row r="4912" spans="1:9" x14ac:dyDescent="0.25">
      <c r="A4912" s="6">
        <v>43362</v>
      </c>
      <c r="B4912" t="s">
        <v>26</v>
      </c>
      <c r="C4912">
        <v>58901</v>
      </c>
      <c r="D4912" t="s">
        <v>120</v>
      </c>
      <c r="E4912" s="7">
        <v>2064.4699999999998</v>
      </c>
      <c r="F4912" t="s">
        <v>20</v>
      </c>
      <c r="G4912" t="s">
        <v>21</v>
      </c>
      <c r="H4912" t="str">
        <f>"68544212"</f>
        <v>68544212</v>
      </c>
      <c r="I4912" t="str">
        <f>"VERIZON BUSINESS"</f>
        <v>VERIZON BUSINESS</v>
      </c>
    </row>
    <row r="4913" spans="1:9" x14ac:dyDescent="0.25">
      <c r="E4913" s="7"/>
      <c r="F4913" t="s">
        <v>20</v>
      </c>
      <c r="G4913" t="s">
        <v>21</v>
      </c>
      <c r="H4913" t="str">
        <f>"70904013"</f>
        <v>70904013</v>
      </c>
      <c r="I4913" t="str">
        <f>"VERIZON BUSINESS"</f>
        <v>VERIZON BUSINESS</v>
      </c>
    </row>
    <row r="4914" spans="1:9" x14ac:dyDescent="0.25">
      <c r="E4914" s="7"/>
      <c r="F4914" t="s">
        <v>20</v>
      </c>
      <c r="G4914" t="s">
        <v>21</v>
      </c>
      <c r="H4914" t="str">
        <f>"70909126"</f>
        <v>70909126</v>
      </c>
      <c r="I4914" t="str">
        <f>"VERIZON BUSINESS"</f>
        <v>VERIZON BUSINESS</v>
      </c>
    </row>
    <row r="4915" spans="1:9" x14ac:dyDescent="0.25">
      <c r="A4915" s="6">
        <v>43362</v>
      </c>
      <c r="B4915" t="s">
        <v>26</v>
      </c>
      <c r="C4915">
        <v>58902</v>
      </c>
      <c r="D4915" t="s">
        <v>551</v>
      </c>
      <c r="E4915" s="7">
        <v>204.79</v>
      </c>
      <c r="F4915" t="s">
        <v>20</v>
      </c>
      <c r="G4915" t="s">
        <v>21</v>
      </c>
      <c r="H4915" t="str">
        <f>"3157"</f>
        <v>3157</v>
      </c>
      <c r="I4915" t="str">
        <f>"UPS"</f>
        <v>UPS</v>
      </c>
    </row>
    <row r="4916" spans="1:9" x14ac:dyDescent="0.25">
      <c r="A4916" s="6">
        <v>43362</v>
      </c>
      <c r="B4916" t="s">
        <v>26</v>
      </c>
      <c r="C4916">
        <v>58903</v>
      </c>
      <c r="D4916" t="s">
        <v>248</v>
      </c>
      <c r="E4916" s="7">
        <v>180</v>
      </c>
      <c r="F4916" t="s">
        <v>20</v>
      </c>
      <c r="G4916" t="s">
        <v>21</v>
      </c>
      <c r="H4916" t="str">
        <f>"1009275041"</f>
        <v>1009275041</v>
      </c>
      <c r="I4916" t="str">
        <f>"PITNEY BOWES"</f>
        <v>PITNEY BOWES</v>
      </c>
    </row>
    <row r="4917" spans="1:9" x14ac:dyDescent="0.25">
      <c r="A4917" s="6">
        <v>43362</v>
      </c>
      <c r="B4917" t="s">
        <v>26</v>
      </c>
      <c r="C4917">
        <v>58904</v>
      </c>
      <c r="D4917" t="s">
        <v>146</v>
      </c>
      <c r="E4917" s="7">
        <v>150</v>
      </c>
      <c r="F4917" t="s">
        <v>20</v>
      </c>
      <c r="G4917" t="s">
        <v>21</v>
      </c>
      <c r="H4917" t="str">
        <f>"557406"</f>
        <v>557406</v>
      </c>
      <c r="I4917" t="str">
        <f>"LARRY SRALLA ELECTRIC"</f>
        <v>LARRY SRALLA ELECTRIC</v>
      </c>
    </row>
    <row r="4918" spans="1:9" x14ac:dyDescent="0.25">
      <c r="A4918" s="6">
        <v>43362</v>
      </c>
      <c r="B4918" t="s">
        <v>26</v>
      </c>
      <c r="C4918">
        <v>58905</v>
      </c>
      <c r="D4918" t="s">
        <v>71</v>
      </c>
      <c r="E4918" s="7">
        <v>263.16000000000003</v>
      </c>
      <c r="F4918" t="s">
        <v>20</v>
      </c>
      <c r="G4918" t="s">
        <v>21</v>
      </c>
      <c r="H4918" t="str">
        <f>"4009386613"</f>
        <v>4009386613</v>
      </c>
      <c r="I4918" t="str">
        <f>"CINTAS CORPORATION #087"</f>
        <v>CINTAS CORPORATION #087</v>
      </c>
    </row>
    <row r="4919" spans="1:9" x14ac:dyDescent="0.25">
      <c r="A4919" s="6">
        <v>43362</v>
      </c>
      <c r="B4919" t="s">
        <v>26</v>
      </c>
      <c r="C4919">
        <v>58906</v>
      </c>
      <c r="D4919" t="s">
        <v>122</v>
      </c>
      <c r="E4919" s="7">
        <v>20</v>
      </c>
      <c r="F4919" t="s">
        <v>20</v>
      </c>
      <c r="G4919" t="s">
        <v>21</v>
      </c>
      <c r="H4919" t="str">
        <f>"079956"</f>
        <v>079956</v>
      </c>
      <c r="I4919" t="str">
        <f>"VILLA TIRES"</f>
        <v>VILLA TIRES</v>
      </c>
    </row>
    <row r="4920" spans="1:9" x14ac:dyDescent="0.25">
      <c r="E4920" s="7"/>
      <c r="F4920" t="s">
        <v>20</v>
      </c>
      <c r="G4920" t="s">
        <v>21</v>
      </c>
      <c r="H4920" t="str">
        <f>"222843"</f>
        <v>222843</v>
      </c>
      <c r="I4920" t="str">
        <f>"VILLA TIRES"</f>
        <v>VILLA TIRES</v>
      </c>
    </row>
    <row r="4921" spans="1:9" x14ac:dyDescent="0.25">
      <c r="A4921" s="6">
        <v>43362</v>
      </c>
      <c r="B4921" t="s">
        <v>26</v>
      </c>
      <c r="C4921">
        <v>58907</v>
      </c>
      <c r="D4921" t="s">
        <v>74</v>
      </c>
      <c r="E4921" s="7">
        <v>50.02</v>
      </c>
      <c r="F4921" t="s">
        <v>20</v>
      </c>
      <c r="G4921" t="s">
        <v>21</v>
      </c>
      <c r="H4921" t="str">
        <f>"9814207254"</f>
        <v>9814207254</v>
      </c>
      <c r="I4921" t="str">
        <f>"VERIZON WIRELESS"</f>
        <v>VERIZON WIRELESS</v>
      </c>
    </row>
    <row r="4922" spans="1:9" x14ac:dyDescent="0.25">
      <c r="A4922" s="6">
        <v>43362</v>
      </c>
      <c r="B4922" t="s">
        <v>26</v>
      </c>
      <c r="C4922">
        <v>58908</v>
      </c>
      <c r="D4922" t="s">
        <v>123</v>
      </c>
      <c r="E4922" s="7">
        <v>406.22</v>
      </c>
      <c r="F4922" t="s">
        <v>20</v>
      </c>
      <c r="G4922" t="s">
        <v>21</v>
      </c>
      <c r="H4922" t="str">
        <f>"184832344001"</f>
        <v>184832344001</v>
      </c>
      <c r="I4922" t="str">
        <f>"OFFICE SUPPLIES"</f>
        <v>OFFICE SUPPLIES</v>
      </c>
    </row>
    <row r="4923" spans="1:9" x14ac:dyDescent="0.25">
      <c r="E4923" s="7"/>
      <c r="F4923" t="s">
        <v>20</v>
      </c>
      <c r="G4923" t="s">
        <v>21</v>
      </c>
      <c r="H4923" t="str">
        <f>"184833831001"</f>
        <v>184833831001</v>
      </c>
      <c r="I4923" t="str">
        <f>"OFFICE SUPPLIES"</f>
        <v>OFFICE SUPPLIES</v>
      </c>
    </row>
    <row r="4924" spans="1:9" x14ac:dyDescent="0.25">
      <c r="E4924" s="7"/>
      <c r="F4924" t="s">
        <v>20</v>
      </c>
      <c r="G4924" t="s">
        <v>21</v>
      </c>
      <c r="H4924" t="str">
        <f>"184833832001"</f>
        <v>184833832001</v>
      </c>
      <c r="I4924" t="str">
        <f>"OFFICE SUPPLIES"</f>
        <v>OFFICE SUPPLIES</v>
      </c>
    </row>
    <row r="4925" spans="1:9" x14ac:dyDescent="0.25">
      <c r="A4925" s="6">
        <v>43362</v>
      </c>
      <c r="B4925" t="s">
        <v>26</v>
      </c>
      <c r="C4925">
        <v>58909</v>
      </c>
      <c r="D4925" t="s">
        <v>75</v>
      </c>
      <c r="E4925" s="7">
        <v>344.93</v>
      </c>
      <c r="F4925" t="s">
        <v>20</v>
      </c>
      <c r="G4925" t="s">
        <v>21</v>
      </c>
      <c r="H4925" t="str">
        <f>"100604907"</f>
        <v>100604907</v>
      </c>
      <c r="I4925" t="str">
        <f>"DOLLIES"</f>
        <v>DOLLIES</v>
      </c>
    </row>
    <row r="4926" spans="1:9" x14ac:dyDescent="0.25">
      <c r="A4926" s="6">
        <v>43362</v>
      </c>
      <c r="B4926" t="s">
        <v>26</v>
      </c>
      <c r="C4926">
        <v>58910</v>
      </c>
      <c r="D4926" t="s">
        <v>137</v>
      </c>
      <c r="E4926" s="7">
        <v>121.9</v>
      </c>
      <c r="F4926" t="s">
        <v>20</v>
      </c>
      <c r="G4926" t="s">
        <v>21</v>
      </c>
      <c r="H4926" t="str">
        <f>"2648"</f>
        <v>2648</v>
      </c>
      <c r="I4926" t="str">
        <f>"OMNIBUS-M  INC.D.B.A."</f>
        <v>OMNIBUS-M  INC.D.B.A.</v>
      </c>
    </row>
    <row r="4927" spans="1:9" x14ac:dyDescent="0.25">
      <c r="E4927" s="7"/>
      <c r="F4927" t="s">
        <v>20</v>
      </c>
      <c r="G4927" t="s">
        <v>21</v>
      </c>
      <c r="H4927" t="str">
        <f>"2649"</f>
        <v>2649</v>
      </c>
      <c r="I4927" t="str">
        <f>"OMNIBUS-M  INC.D.B.A."</f>
        <v>OMNIBUS-M  INC.D.B.A.</v>
      </c>
    </row>
    <row r="4928" spans="1:9" x14ac:dyDescent="0.25">
      <c r="A4928" s="6">
        <v>43362</v>
      </c>
      <c r="B4928" t="s">
        <v>26</v>
      </c>
      <c r="C4928">
        <v>58911</v>
      </c>
      <c r="D4928" t="s">
        <v>77</v>
      </c>
      <c r="E4928" s="7">
        <v>290</v>
      </c>
      <c r="F4928" t="s">
        <v>20</v>
      </c>
      <c r="G4928" t="s">
        <v>21</v>
      </c>
      <c r="H4928" t="str">
        <f>"DE85001956-18"</f>
        <v>DE85001956-18</v>
      </c>
      <c r="I4928" t="str">
        <f>"DPC INDUSTRIES  INC."</f>
        <v>DPC INDUSTRIES  INC.</v>
      </c>
    </row>
    <row r="4929" spans="1:9" x14ac:dyDescent="0.25">
      <c r="E4929" s="7"/>
      <c r="F4929" t="s">
        <v>20</v>
      </c>
      <c r="G4929" t="s">
        <v>21</v>
      </c>
      <c r="H4929" t="str">
        <f>"DE85002169-18"</f>
        <v>DE85002169-18</v>
      </c>
      <c r="I4929" t="str">
        <f>"DPC INDUSTRIES  INC."</f>
        <v>DPC INDUSTRIES  INC.</v>
      </c>
    </row>
    <row r="4930" spans="1:9" x14ac:dyDescent="0.25">
      <c r="A4930" s="6">
        <v>43362</v>
      </c>
      <c r="B4930" t="s">
        <v>91</v>
      </c>
      <c r="C4930">
        <v>58912</v>
      </c>
      <c r="D4930" t="s">
        <v>78</v>
      </c>
      <c r="E4930" s="7">
        <v>2849.5</v>
      </c>
      <c r="F4930" t="s">
        <v>20</v>
      </c>
      <c r="G4930" t="s">
        <v>21</v>
      </c>
      <c r="H4930" t="str">
        <f>"24172"</f>
        <v>24172</v>
      </c>
      <c r="I4930" t="str">
        <f>"DENTON NAVARRO ROCHA BERNAL HY"</f>
        <v>DENTON NAVARRO ROCHA BERNAL HY</v>
      </c>
    </row>
    <row r="4931" spans="1:9" x14ac:dyDescent="0.25">
      <c r="A4931" s="6">
        <v>43362</v>
      </c>
      <c r="B4931" t="s">
        <v>91</v>
      </c>
      <c r="C4931">
        <v>58912</v>
      </c>
      <c r="D4931" t="s">
        <v>78</v>
      </c>
      <c r="E4931" s="7">
        <v>2849.5</v>
      </c>
      <c r="F4931" t="s">
        <v>20</v>
      </c>
      <c r="G4931" t="s">
        <v>93</v>
      </c>
      <c r="H4931" t="str">
        <f>"CHECK"</f>
        <v>CHECK</v>
      </c>
      <c r="I4931" t="str">
        <f>""</f>
        <v/>
      </c>
    </row>
    <row r="4932" spans="1:9" x14ac:dyDescent="0.25">
      <c r="A4932" s="6">
        <v>43362</v>
      </c>
      <c r="B4932" t="s">
        <v>26</v>
      </c>
      <c r="C4932">
        <v>58913</v>
      </c>
      <c r="D4932" t="s">
        <v>126</v>
      </c>
      <c r="E4932" s="7">
        <v>70652.42</v>
      </c>
      <c r="F4932" t="s">
        <v>20</v>
      </c>
      <c r="G4932" t="s">
        <v>21</v>
      </c>
      <c r="H4932" t="str">
        <f>"0859-002116877"</f>
        <v>0859-002116877</v>
      </c>
      <c r="I4932" t="str">
        <f>"REPUBLIC SERVICES #859"</f>
        <v>REPUBLIC SERVICES #859</v>
      </c>
    </row>
    <row r="4933" spans="1:9" x14ac:dyDescent="0.25">
      <c r="E4933" s="7"/>
      <c r="F4933" t="s">
        <v>20</v>
      </c>
      <c r="G4933" t="s">
        <v>21</v>
      </c>
      <c r="H4933" t="str">
        <f>"0859-002120748"</f>
        <v>0859-002120748</v>
      </c>
      <c r="I4933" t="str">
        <f>"REPUBLIC SERVICES #859"</f>
        <v>REPUBLIC SERVICES #859</v>
      </c>
    </row>
    <row r="4934" spans="1:9" x14ac:dyDescent="0.25">
      <c r="A4934" s="6">
        <v>43362</v>
      </c>
      <c r="B4934" t="s">
        <v>26</v>
      </c>
      <c r="C4934">
        <v>58914</v>
      </c>
      <c r="D4934" t="s">
        <v>79</v>
      </c>
      <c r="E4934" s="7">
        <v>36.659999999999997</v>
      </c>
      <c r="F4934" t="s">
        <v>20</v>
      </c>
      <c r="G4934" t="s">
        <v>21</v>
      </c>
      <c r="H4934" t="str">
        <f>"6-298-59155"</f>
        <v>6-298-59155</v>
      </c>
      <c r="I4934" t="str">
        <f>"FEDEX"</f>
        <v>FEDEX</v>
      </c>
    </row>
    <row r="4935" spans="1:9" x14ac:dyDescent="0.25">
      <c r="A4935" s="6">
        <v>43362</v>
      </c>
      <c r="B4935" t="s">
        <v>26</v>
      </c>
      <c r="C4935">
        <v>58915</v>
      </c>
      <c r="D4935" t="s">
        <v>139</v>
      </c>
      <c r="E4935" s="7">
        <v>65</v>
      </c>
      <c r="F4935" t="s">
        <v>20</v>
      </c>
      <c r="G4935" t="s">
        <v>21</v>
      </c>
      <c r="H4935" t="str">
        <f>"24470"</f>
        <v>24470</v>
      </c>
      <c r="I4935" t="str">
        <f>"ANGEL FIRE &amp; SAFETY"</f>
        <v>ANGEL FIRE &amp; SAFETY</v>
      </c>
    </row>
    <row r="4936" spans="1:9" x14ac:dyDescent="0.25">
      <c r="A4936" s="6">
        <v>43362</v>
      </c>
      <c r="B4936" t="s">
        <v>26</v>
      </c>
      <c r="C4936">
        <v>58916</v>
      </c>
      <c r="D4936" t="s">
        <v>387</v>
      </c>
      <c r="E4936" s="7">
        <v>2403.86</v>
      </c>
      <c r="F4936" t="s">
        <v>20</v>
      </c>
      <c r="G4936" t="s">
        <v>21</v>
      </c>
      <c r="H4936" t="str">
        <f>"F03061-SA"</f>
        <v>F03061-SA</v>
      </c>
      <c r="I4936" t="str">
        <f>"BARCO PUMP"</f>
        <v>BARCO PUMP</v>
      </c>
    </row>
    <row r="4937" spans="1:9" x14ac:dyDescent="0.25">
      <c r="E4937" s="7"/>
      <c r="F4937" t="s">
        <v>20</v>
      </c>
      <c r="G4937" t="s">
        <v>21</v>
      </c>
      <c r="H4937" t="str">
        <f>"FO3061-SA"</f>
        <v>FO3061-SA</v>
      </c>
      <c r="I4937" t="str">
        <f>"PIPES/CONNECTIONS"</f>
        <v>PIPES/CONNECTIONS</v>
      </c>
    </row>
    <row r="4938" spans="1:9" x14ac:dyDescent="0.25">
      <c r="A4938" s="6">
        <v>43362</v>
      </c>
      <c r="B4938" t="s">
        <v>26</v>
      </c>
      <c r="C4938">
        <v>58917</v>
      </c>
      <c r="D4938" t="s">
        <v>192</v>
      </c>
      <c r="E4938" s="7">
        <v>2409.62</v>
      </c>
      <c r="F4938" t="s">
        <v>20</v>
      </c>
      <c r="G4938" t="s">
        <v>21</v>
      </c>
      <c r="H4938" t="str">
        <f>"60698125"</f>
        <v>60698125</v>
      </c>
      <c r="I4938" t="str">
        <f>"DE LAGE LANDEN PUBLIC FINANCE"</f>
        <v>DE LAGE LANDEN PUBLIC FINANCE</v>
      </c>
    </row>
    <row r="4939" spans="1:9" x14ac:dyDescent="0.25">
      <c r="E4939" s="7"/>
      <c r="F4939" t="s">
        <v>20</v>
      </c>
      <c r="G4939" t="s">
        <v>21</v>
      </c>
      <c r="H4939" t="str">
        <f>"60698132"</f>
        <v>60698132</v>
      </c>
      <c r="I4939" t="str">
        <f>"DE LAGE LANDEN PUBLIC FINANCE"</f>
        <v>DE LAGE LANDEN PUBLIC FINANCE</v>
      </c>
    </row>
    <row r="4940" spans="1:9" x14ac:dyDescent="0.25">
      <c r="E4940" s="7"/>
      <c r="F4940" t="s">
        <v>20</v>
      </c>
      <c r="G4940" t="s">
        <v>21</v>
      </c>
      <c r="H4940" t="str">
        <f>"60698146"</f>
        <v>60698146</v>
      </c>
      <c r="I4940" t="str">
        <f>"DE LAGE LANDEN PUBLIC FINANCE"</f>
        <v>DE LAGE LANDEN PUBLIC FINANCE</v>
      </c>
    </row>
    <row r="4941" spans="1:9" x14ac:dyDescent="0.25">
      <c r="A4941" s="6">
        <v>43362</v>
      </c>
      <c r="B4941" t="s">
        <v>26</v>
      </c>
      <c r="C4941">
        <v>58919</v>
      </c>
      <c r="D4941" t="s">
        <v>130</v>
      </c>
      <c r="E4941" s="7">
        <v>375</v>
      </c>
      <c r="F4941" t="s">
        <v>20</v>
      </c>
      <c r="G4941" t="s">
        <v>21</v>
      </c>
      <c r="H4941" t="str">
        <f>"INV590456"</f>
        <v>INV590456</v>
      </c>
      <c r="I4941" t="str">
        <f>"DOCUMATION"</f>
        <v>DOCUMATION</v>
      </c>
    </row>
    <row r="4942" spans="1:9" x14ac:dyDescent="0.25">
      <c r="A4942" s="6">
        <v>43362</v>
      </c>
      <c r="B4942" t="s">
        <v>26</v>
      </c>
      <c r="C4942">
        <v>58920</v>
      </c>
      <c r="D4942" t="s">
        <v>85</v>
      </c>
      <c r="E4942" s="7">
        <v>2049.3200000000002</v>
      </c>
      <c r="F4942" t="s">
        <v>20</v>
      </c>
      <c r="G4942" t="s">
        <v>21</v>
      </c>
      <c r="H4942" t="str">
        <f>"83021627339/18/18"</f>
        <v>83021627339/18/18</v>
      </c>
      <c r="I4942" t="str">
        <f t="shared" ref="I4942:I4951" si="84">"FRONTIER"</f>
        <v>FRONTIER</v>
      </c>
    </row>
    <row r="4943" spans="1:9" x14ac:dyDescent="0.25">
      <c r="E4943" s="7"/>
      <c r="F4943" t="s">
        <v>20</v>
      </c>
      <c r="G4943" t="s">
        <v>21</v>
      </c>
      <c r="H4943" t="str">
        <f>"83021627559/18/18"</f>
        <v>83021627559/18/18</v>
      </c>
      <c r="I4943" t="str">
        <f t="shared" si="84"/>
        <v>FRONTIER</v>
      </c>
    </row>
    <row r="4944" spans="1:9" x14ac:dyDescent="0.25">
      <c r="E4944" s="7"/>
      <c r="F4944" t="s">
        <v>20</v>
      </c>
      <c r="G4944" t="s">
        <v>21</v>
      </c>
      <c r="H4944" t="str">
        <f>"830393057991718"</f>
        <v>830393057991718</v>
      </c>
      <c r="I4944" t="str">
        <f t="shared" si="84"/>
        <v>FRONTIER</v>
      </c>
    </row>
    <row r="4945" spans="1:9" x14ac:dyDescent="0.25">
      <c r="E4945" s="7"/>
      <c r="F4945" t="s">
        <v>20</v>
      </c>
      <c r="G4945" t="s">
        <v>21</v>
      </c>
      <c r="H4945" t="str">
        <f>"83039328049/18/18"</f>
        <v>83039328049/18/18</v>
      </c>
      <c r="I4945" t="str">
        <f t="shared" si="84"/>
        <v>FRONTIER</v>
      </c>
    </row>
    <row r="4946" spans="1:9" x14ac:dyDescent="0.25">
      <c r="E4946" s="7"/>
      <c r="F4946" t="s">
        <v>20</v>
      </c>
      <c r="G4946" t="s">
        <v>21</v>
      </c>
      <c r="H4946" t="str">
        <f>"830393310891718"</f>
        <v>830393310891718</v>
      </c>
      <c r="I4946" t="str">
        <f t="shared" si="84"/>
        <v>FRONTIER</v>
      </c>
    </row>
    <row r="4947" spans="1:9" x14ac:dyDescent="0.25">
      <c r="E4947" s="7"/>
      <c r="F4947" t="s">
        <v>20</v>
      </c>
      <c r="G4947" t="s">
        <v>21</v>
      </c>
      <c r="H4947" t="str">
        <f>"83039367949/18/18"</f>
        <v>83039367949/18/18</v>
      </c>
      <c r="I4947" t="str">
        <f t="shared" si="84"/>
        <v>FRONTIER</v>
      </c>
    </row>
    <row r="4948" spans="1:9" x14ac:dyDescent="0.25">
      <c r="E4948" s="7"/>
      <c r="F4948" t="s">
        <v>20</v>
      </c>
      <c r="G4948" t="s">
        <v>21</v>
      </c>
      <c r="H4948" t="str">
        <f>"83039381939/18/18"</f>
        <v>83039381939/18/18</v>
      </c>
      <c r="I4948" t="str">
        <f t="shared" si="84"/>
        <v>FRONTIER</v>
      </c>
    </row>
    <row r="4949" spans="1:9" x14ac:dyDescent="0.25">
      <c r="E4949" s="7"/>
      <c r="F4949" t="s">
        <v>20</v>
      </c>
      <c r="G4949" t="s">
        <v>21</v>
      </c>
      <c r="H4949" t="str">
        <f>"9/17/18"</f>
        <v>9/17/18</v>
      </c>
      <c r="I4949" t="str">
        <f t="shared" si="84"/>
        <v>FRONTIER</v>
      </c>
    </row>
    <row r="4950" spans="1:9" x14ac:dyDescent="0.25">
      <c r="E4950" s="7"/>
      <c r="F4950" t="s">
        <v>20</v>
      </c>
      <c r="G4950" t="s">
        <v>21</v>
      </c>
      <c r="H4950" t="str">
        <f>"9/18/18"</f>
        <v>9/18/18</v>
      </c>
      <c r="I4950" t="str">
        <f t="shared" si="84"/>
        <v>FRONTIER</v>
      </c>
    </row>
    <row r="4951" spans="1:9" x14ac:dyDescent="0.25">
      <c r="E4951" s="7"/>
      <c r="F4951" t="s">
        <v>20</v>
      </c>
      <c r="G4951" t="s">
        <v>21</v>
      </c>
      <c r="H4951" t="str">
        <f>"PD9/17/18"</f>
        <v>PD9/17/18</v>
      </c>
      <c r="I4951" t="str">
        <f t="shared" si="84"/>
        <v>FRONTIER</v>
      </c>
    </row>
    <row r="4952" spans="1:9" x14ac:dyDescent="0.25">
      <c r="A4952" s="6">
        <v>43362</v>
      </c>
      <c r="B4952" t="s">
        <v>26</v>
      </c>
      <c r="C4952">
        <v>58922</v>
      </c>
      <c r="D4952" t="s">
        <v>194</v>
      </c>
      <c r="E4952" s="7">
        <v>970</v>
      </c>
      <c r="F4952" t="s">
        <v>20</v>
      </c>
      <c r="G4952" t="s">
        <v>21</v>
      </c>
      <c r="H4952" t="str">
        <f>"BC0669779"</f>
        <v>BC0669779</v>
      </c>
      <c r="I4952" t="str">
        <f>"GALLS  LLC-D.B.A. STERLING'S U"</f>
        <v>GALLS  LLC-D.B.A. STERLING'S U</v>
      </c>
    </row>
    <row r="4953" spans="1:9" x14ac:dyDescent="0.25">
      <c r="A4953" s="6">
        <v>43362</v>
      </c>
      <c r="B4953" t="s">
        <v>26</v>
      </c>
      <c r="C4953">
        <v>58923</v>
      </c>
      <c r="D4953" t="s">
        <v>149</v>
      </c>
      <c r="E4953" s="7">
        <v>419.41</v>
      </c>
      <c r="F4953" t="s">
        <v>20</v>
      </c>
      <c r="G4953" t="s">
        <v>21</v>
      </c>
      <c r="H4953" t="str">
        <f>"167332"</f>
        <v>167332</v>
      </c>
      <c r="I4953" t="str">
        <f>"ELBOW FOR CONTROLLER"</f>
        <v>ELBOW FOR CONTROLLER</v>
      </c>
    </row>
    <row r="4954" spans="1:9" x14ac:dyDescent="0.25">
      <c r="A4954" s="6">
        <v>43362</v>
      </c>
      <c r="B4954" t="s">
        <v>26</v>
      </c>
      <c r="C4954">
        <v>58924</v>
      </c>
      <c r="D4954" t="s">
        <v>132</v>
      </c>
      <c r="E4954" s="7">
        <v>293.8</v>
      </c>
      <c r="F4954" t="s">
        <v>20</v>
      </c>
      <c r="G4954" t="s">
        <v>21</v>
      </c>
      <c r="H4954" t="str">
        <f>"16992887052418"</f>
        <v>16992887052418</v>
      </c>
      <c r="I4954" t="str">
        <f>"SPARKLETTS &amp; SIERRA SPRINGS"</f>
        <v>SPARKLETTS &amp; SIERRA SPRINGS</v>
      </c>
    </row>
    <row r="4955" spans="1:9" x14ac:dyDescent="0.25">
      <c r="E4955" s="7"/>
      <c r="F4955" t="s">
        <v>20</v>
      </c>
      <c r="G4955" t="s">
        <v>21</v>
      </c>
      <c r="H4955" t="str">
        <f>"16992887062118"</f>
        <v>16992887062118</v>
      </c>
      <c r="I4955" t="str">
        <f>"SPARKLETTS &amp; SIERRA SPRINGS"</f>
        <v>SPARKLETTS &amp; SIERRA SPRINGS</v>
      </c>
    </row>
    <row r="4956" spans="1:9" x14ac:dyDescent="0.25">
      <c r="E4956" s="7"/>
      <c r="F4956" t="s">
        <v>20</v>
      </c>
      <c r="G4956" t="s">
        <v>21</v>
      </c>
      <c r="H4956" t="str">
        <f>"169928870719818"</f>
        <v>169928870719818</v>
      </c>
      <c r="I4956" t="str">
        <f>"SPARKLETTS &amp; SIERRA SPRINGS"</f>
        <v>SPARKLETTS &amp; SIERRA SPRINGS</v>
      </c>
    </row>
    <row r="4957" spans="1:9" x14ac:dyDescent="0.25">
      <c r="E4957" s="7"/>
      <c r="F4957" t="s">
        <v>20</v>
      </c>
      <c r="G4957" t="s">
        <v>21</v>
      </c>
      <c r="H4957" t="str">
        <f>"16992887081618"</f>
        <v>16992887081618</v>
      </c>
      <c r="I4957" t="str">
        <f>"SPARKLETTS &amp; SIERRA SPRINGS"</f>
        <v>SPARKLETTS &amp; SIERRA SPRINGS</v>
      </c>
    </row>
    <row r="4958" spans="1:9" x14ac:dyDescent="0.25">
      <c r="A4958" s="6">
        <v>43362</v>
      </c>
      <c r="B4958" t="s">
        <v>26</v>
      </c>
      <c r="C4958">
        <v>58925</v>
      </c>
      <c r="D4958" t="s">
        <v>47</v>
      </c>
      <c r="E4958" s="7">
        <v>15523.62</v>
      </c>
      <c r="F4958" t="s">
        <v>20</v>
      </c>
      <c r="G4958" t="s">
        <v>21</v>
      </c>
      <c r="H4958" t="str">
        <f>"COFAP9132018"</f>
        <v>COFAP9132018</v>
      </c>
      <c r="I4958" t="str">
        <f>"HEARTLAND PARK &amp; RECREATION  L"</f>
        <v>HEARTLAND PARK &amp; RECREATION  L</v>
      </c>
    </row>
    <row r="4959" spans="1:9" x14ac:dyDescent="0.25">
      <c r="A4959" s="6">
        <v>43362</v>
      </c>
      <c r="B4959" t="s">
        <v>26</v>
      </c>
      <c r="C4959">
        <v>58926</v>
      </c>
      <c r="D4959" t="s">
        <v>326</v>
      </c>
      <c r="E4959" s="7">
        <v>26</v>
      </c>
      <c r="F4959" t="s">
        <v>20</v>
      </c>
      <c r="G4959" t="s">
        <v>21</v>
      </c>
      <c r="H4959" t="str">
        <f>"18222076"</f>
        <v>18222076</v>
      </c>
      <c r="I4959" t="str">
        <f>"MATHESON TRI-GAS INC"</f>
        <v>MATHESON TRI-GAS INC</v>
      </c>
    </row>
    <row r="4960" spans="1:9" x14ac:dyDescent="0.25">
      <c r="A4960" s="6">
        <v>43362</v>
      </c>
      <c r="B4960" t="s">
        <v>26</v>
      </c>
      <c r="C4960">
        <v>58927</v>
      </c>
      <c r="D4960" t="s">
        <v>176</v>
      </c>
      <c r="E4960" s="7">
        <v>83146.070000000007</v>
      </c>
      <c r="F4960" t="s">
        <v>20</v>
      </c>
      <c r="G4960" t="s">
        <v>21</v>
      </c>
      <c r="H4960" t="str">
        <f>"APPLICATION 1"</f>
        <v>APPLICATION 1</v>
      </c>
      <c r="I4960" t="str">
        <f>"PEPPER-LAWSON WATERWORKS"</f>
        <v>PEPPER-LAWSON WATERWORKS</v>
      </c>
    </row>
    <row r="4961" spans="1:9" x14ac:dyDescent="0.25">
      <c r="A4961" s="6">
        <v>43362</v>
      </c>
      <c r="B4961" t="s">
        <v>26</v>
      </c>
      <c r="C4961">
        <v>58928</v>
      </c>
      <c r="D4961" t="s">
        <v>195</v>
      </c>
      <c r="E4961" s="7">
        <v>1079.93</v>
      </c>
      <c r="F4961" t="s">
        <v>20</v>
      </c>
      <c r="G4961" t="s">
        <v>21</v>
      </c>
      <c r="H4961" t="str">
        <f>"1565201809"</f>
        <v>1565201809</v>
      </c>
      <c r="I4961" t="str">
        <f>"ARISTA INFORMATION SYSTEMS  IN"</f>
        <v>ARISTA INFORMATION SYSTEMS  IN</v>
      </c>
    </row>
    <row r="4962" spans="1:9" x14ac:dyDescent="0.25">
      <c r="E4962" s="7"/>
      <c r="F4962" t="s">
        <v>20</v>
      </c>
      <c r="G4962" t="s">
        <v>21</v>
      </c>
      <c r="H4962" t="str">
        <f>"26074"</f>
        <v>26074</v>
      </c>
      <c r="I4962" t="str">
        <f>"ARISTA INFORMATION SYSTEMS  IN"</f>
        <v>ARISTA INFORMATION SYSTEMS  IN</v>
      </c>
    </row>
    <row r="4963" spans="1:9" x14ac:dyDescent="0.25">
      <c r="A4963" s="6">
        <v>43362</v>
      </c>
      <c r="B4963" t="s">
        <v>26</v>
      </c>
      <c r="C4963">
        <v>58929</v>
      </c>
      <c r="D4963" t="s">
        <v>196</v>
      </c>
      <c r="E4963" s="7">
        <v>498.02</v>
      </c>
      <c r="F4963" t="s">
        <v>20</v>
      </c>
      <c r="G4963" t="s">
        <v>21</v>
      </c>
      <c r="H4963" t="str">
        <f>"RFPQ5947"</f>
        <v>RFPQ5947</v>
      </c>
      <c r="I4963" t="str">
        <f>"RF SPECIALTIES OF TX"</f>
        <v>RF SPECIALTIES OF TX</v>
      </c>
    </row>
    <row r="4964" spans="1:9" x14ac:dyDescent="0.25">
      <c r="A4964" s="6">
        <v>43362</v>
      </c>
      <c r="B4964" t="s">
        <v>26</v>
      </c>
      <c r="C4964">
        <v>58930</v>
      </c>
      <c r="D4964" t="s">
        <v>345</v>
      </c>
      <c r="E4964" s="7">
        <v>308</v>
      </c>
      <c r="F4964" t="s">
        <v>20</v>
      </c>
      <c r="G4964" t="s">
        <v>21</v>
      </c>
      <c r="H4964" t="str">
        <f>"9/18/18"</f>
        <v>9/18/18</v>
      </c>
      <c r="I4964" t="str">
        <f>"MICHAEL ISAAC MARTINEZ"</f>
        <v>MICHAEL ISAAC MARTINEZ</v>
      </c>
    </row>
    <row r="4965" spans="1:9" x14ac:dyDescent="0.25">
      <c r="A4965" s="6">
        <v>43362</v>
      </c>
      <c r="B4965" t="s">
        <v>26</v>
      </c>
      <c r="C4965">
        <v>58931</v>
      </c>
      <c r="D4965" t="s">
        <v>514</v>
      </c>
      <c r="E4965" s="7">
        <v>238.56</v>
      </c>
      <c r="F4965" t="s">
        <v>20</v>
      </c>
      <c r="G4965" t="s">
        <v>21</v>
      </c>
      <c r="H4965" t="str">
        <f>"20306-1"</f>
        <v>20306-1</v>
      </c>
      <c r="I4965" t="str">
        <f>"ECONO SIGNS &amp; BARRICADE  LLC"</f>
        <v>ECONO SIGNS &amp; BARRICADE  LLC</v>
      </c>
    </row>
    <row r="4966" spans="1:9" x14ac:dyDescent="0.25">
      <c r="A4966" s="6">
        <v>43362</v>
      </c>
      <c r="B4966" t="s">
        <v>26</v>
      </c>
      <c r="C4966">
        <v>58932</v>
      </c>
      <c r="D4966" t="s">
        <v>452</v>
      </c>
      <c r="E4966" s="7">
        <v>80</v>
      </c>
      <c r="F4966" t="s">
        <v>20</v>
      </c>
      <c r="G4966" t="s">
        <v>21</v>
      </c>
      <c r="H4966" t="str">
        <f>"9/18/18"</f>
        <v>9/18/18</v>
      </c>
      <c r="I4966" t="str">
        <f>"DESIREE PEREZ"</f>
        <v>DESIREE PEREZ</v>
      </c>
    </row>
    <row r="4967" spans="1:9" x14ac:dyDescent="0.25">
      <c r="A4967" s="6">
        <v>43362</v>
      </c>
      <c r="B4967" t="s">
        <v>26</v>
      </c>
      <c r="C4967">
        <v>58933</v>
      </c>
      <c r="D4967" t="s">
        <v>552</v>
      </c>
      <c r="E4967" s="7">
        <v>1025.44</v>
      </c>
      <c r="F4967" t="s">
        <v>20</v>
      </c>
      <c r="G4967" t="s">
        <v>21</v>
      </c>
      <c r="H4967" t="str">
        <f>"00271407"</f>
        <v>00271407</v>
      </c>
      <c r="I4967" t="str">
        <f>"G.E.M. MATERIALS INC."</f>
        <v>G.E.M. MATERIALS INC.</v>
      </c>
    </row>
    <row r="4968" spans="1:9" x14ac:dyDescent="0.25">
      <c r="E4968" s="7"/>
      <c r="F4968" t="s">
        <v>20</v>
      </c>
      <c r="G4968" t="s">
        <v>21</v>
      </c>
      <c r="H4968" t="str">
        <f>"00271408"</f>
        <v>00271408</v>
      </c>
      <c r="I4968" t="str">
        <f>"G.E.M. MATERIALS INC."</f>
        <v>G.E.M. MATERIALS INC.</v>
      </c>
    </row>
    <row r="4969" spans="1:9" x14ac:dyDescent="0.25">
      <c r="E4969" s="7"/>
      <c r="F4969" t="s">
        <v>20</v>
      </c>
      <c r="G4969" t="s">
        <v>21</v>
      </c>
      <c r="H4969" t="str">
        <f>"00271460"</f>
        <v>00271460</v>
      </c>
      <c r="I4969" t="str">
        <f>"G.E.M. MATERIALS INC."</f>
        <v>G.E.M. MATERIALS INC.</v>
      </c>
    </row>
    <row r="4970" spans="1:9" x14ac:dyDescent="0.25">
      <c r="E4970" s="7"/>
      <c r="F4970" t="s">
        <v>20</v>
      </c>
      <c r="G4970" t="s">
        <v>21</v>
      </c>
      <c r="H4970" t="str">
        <f>"00271463"</f>
        <v>00271463</v>
      </c>
      <c r="I4970" t="str">
        <f>"G.E.M. MATERIALS INC."</f>
        <v>G.E.M. MATERIALS INC.</v>
      </c>
    </row>
    <row r="4971" spans="1:9" x14ac:dyDescent="0.25">
      <c r="A4971" s="6">
        <v>43362</v>
      </c>
      <c r="B4971" t="s">
        <v>26</v>
      </c>
      <c r="C4971">
        <v>58934</v>
      </c>
      <c r="D4971" t="s">
        <v>553</v>
      </c>
      <c r="E4971" s="7">
        <v>71.52</v>
      </c>
      <c r="F4971" t="s">
        <v>20</v>
      </c>
      <c r="G4971" t="s">
        <v>21</v>
      </c>
      <c r="H4971" t="str">
        <f>"9335234"</f>
        <v>9335234</v>
      </c>
      <c r="I4971" t="str">
        <f>"ROLL OFF CONTAINER STRAPS"</f>
        <v>ROLL OFF CONTAINER STRAPS</v>
      </c>
    </row>
    <row r="4972" spans="1:9" x14ac:dyDescent="0.25">
      <c r="A4972" s="6">
        <v>43362</v>
      </c>
      <c r="B4972" t="s">
        <v>26</v>
      </c>
      <c r="C4972">
        <v>58935</v>
      </c>
      <c r="D4972" t="s">
        <v>554</v>
      </c>
      <c r="E4972" s="7">
        <v>72.95</v>
      </c>
      <c r="F4972" t="s">
        <v>20</v>
      </c>
      <c r="G4972" t="s">
        <v>21</v>
      </c>
      <c r="H4972" t="str">
        <f>"A995099"</f>
        <v>A995099</v>
      </c>
      <c r="I4972" t="str">
        <f>"TEXAS WIRED MUSIC"</f>
        <v>TEXAS WIRED MUSIC</v>
      </c>
    </row>
    <row r="4973" spans="1:9" x14ac:dyDescent="0.25">
      <c r="A4973" s="6">
        <v>43362</v>
      </c>
      <c r="B4973" t="s">
        <v>26</v>
      </c>
      <c r="C4973">
        <v>58936</v>
      </c>
      <c r="D4973" t="s">
        <v>103</v>
      </c>
      <c r="E4973" s="7">
        <v>74479.77</v>
      </c>
      <c r="F4973" t="s">
        <v>20</v>
      </c>
      <c r="G4973" t="s">
        <v>21</v>
      </c>
      <c r="H4973" t="str">
        <f>"5274-2"</f>
        <v>5274-2</v>
      </c>
      <c r="I4973" t="str">
        <f>"F. E. D. C."</f>
        <v>F. E. D. C.</v>
      </c>
    </row>
    <row r="4974" spans="1:9" x14ac:dyDescent="0.25">
      <c r="A4974" s="6">
        <v>43362</v>
      </c>
      <c r="B4974" t="s">
        <v>26</v>
      </c>
      <c r="C4974">
        <v>58937</v>
      </c>
      <c r="D4974" t="s">
        <v>59</v>
      </c>
      <c r="E4974" s="7">
        <v>6956.7</v>
      </c>
      <c r="F4974" t="s">
        <v>20</v>
      </c>
      <c r="G4974" t="s">
        <v>21</v>
      </c>
      <c r="H4974" t="str">
        <f>"0975403-2"</f>
        <v>0975403-2</v>
      </c>
      <c r="I4974" t="str">
        <f>"FERGUSON WATERWORKS - MUNICIPA"</f>
        <v>FERGUSON WATERWORKS - MUNICIPA</v>
      </c>
    </row>
    <row r="4975" spans="1:9" x14ac:dyDescent="0.25">
      <c r="E4975" s="7"/>
      <c r="F4975" t="s">
        <v>20</v>
      </c>
      <c r="G4975" t="s">
        <v>21</v>
      </c>
      <c r="H4975" t="str">
        <f>"0984218-2"</f>
        <v>0984218-2</v>
      </c>
      <c r="I4975" t="str">
        <f>"FERGUSON WATERWORKS - MUNICIPA"</f>
        <v>FERGUSON WATERWORKS - MUNICIPA</v>
      </c>
    </row>
    <row r="4976" spans="1:9" x14ac:dyDescent="0.25">
      <c r="E4976" s="7"/>
      <c r="F4976" t="s">
        <v>20</v>
      </c>
      <c r="G4976" t="s">
        <v>21</v>
      </c>
      <c r="H4976" t="str">
        <f>"0984228-2"</f>
        <v>0984228-2</v>
      </c>
      <c r="I4976" t="str">
        <f>"FERGUSON WATERWORKS - MUNICIPA"</f>
        <v>FERGUSON WATERWORKS - MUNICIPA</v>
      </c>
    </row>
    <row r="4977" spans="1:9" x14ac:dyDescent="0.25">
      <c r="E4977" s="7"/>
      <c r="F4977" t="s">
        <v>20</v>
      </c>
      <c r="G4977" t="s">
        <v>21</v>
      </c>
      <c r="H4977" t="str">
        <f>"0984663-2"</f>
        <v>0984663-2</v>
      </c>
      <c r="I4977" t="str">
        <f>"FERGUSON WATERWORKS - MUNICIPA"</f>
        <v>FERGUSON WATERWORKS - MUNICIPA</v>
      </c>
    </row>
    <row r="4978" spans="1:9" x14ac:dyDescent="0.25">
      <c r="A4978" s="6">
        <v>43362</v>
      </c>
      <c r="B4978" t="s">
        <v>26</v>
      </c>
      <c r="C4978">
        <v>58938</v>
      </c>
      <c r="D4978" t="s">
        <v>97</v>
      </c>
      <c r="E4978" s="7">
        <v>39259.629999999997</v>
      </c>
      <c r="F4978" t="s">
        <v>20</v>
      </c>
      <c r="G4978" t="s">
        <v>21</v>
      </c>
      <c r="H4978" t="str">
        <f>"9/19/18"</f>
        <v>9/19/18</v>
      </c>
      <c r="I4978" t="str">
        <f>"HEALTH CARE SERVICE CORPORATIO"</f>
        <v>HEALTH CARE SERVICE CORPORATIO</v>
      </c>
    </row>
    <row r="4979" spans="1:9" x14ac:dyDescent="0.25">
      <c r="A4979" s="6">
        <v>43363</v>
      </c>
      <c r="B4979" t="s">
        <v>26</v>
      </c>
      <c r="C4979">
        <v>58939</v>
      </c>
      <c r="D4979" t="s">
        <v>346</v>
      </c>
      <c r="E4979" s="7">
        <v>13750</v>
      </c>
      <c r="F4979" t="s">
        <v>20</v>
      </c>
      <c r="G4979" t="s">
        <v>21</v>
      </c>
      <c r="H4979" t="str">
        <f>"8/11-9/11/2018"</f>
        <v>8/11-9/11/2018</v>
      </c>
      <c r="I4979" t="str">
        <f>"SYLVIA RODRIGUEZ"</f>
        <v>SYLVIA RODRIGUEZ</v>
      </c>
    </row>
    <row r="4980" spans="1:9" x14ac:dyDescent="0.25">
      <c r="A4980" s="6">
        <v>43367</v>
      </c>
      <c r="B4980" t="s">
        <v>26</v>
      </c>
      <c r="C4980">
        <v>58940</v>
      </c>
      <c r="D4980" t="s">
        <v>57</v>
      </c>
      <c r="E4980" s="7">
        <v>10921.58</v>
      </c>
      <c r="F4980" t="s">
        <v>20</v>
      </c>
      <c r="G4980" t="s">
        <v>21</v>
      </c>
      <c r="H4980" t="str">
        <f>"11617-9/24/18"</f>
        <v>11617-9/24/18</v>
      </c>
      <c r="I4980" t="str">
        <f>"F.E.L.P.S."</f>
        <v>F.E.L.P.S.</v>
      </c>
    </row>
    <row r="4981" spans="1:9" x14ac:dyDescent="0.25">
      <c r="E4981" s="7"/>
      <c r="F4981" t="s">
        <v>20</v>
      </c>
      <c r="G4981" t="s">
        <v>21</v>
      </c>
      <c r="H4981" t="str">
        <f>"33062-09/24/18"</f>
        <v>33062-09/24/18</v>
      </c>
      <c r="I4981" t="str">
        <f>"F.E.L.P.S."</f>
        <v>F.E.L.P.S.</v>
      </c>
    </row>
    <row r="4982" spans="1:9" x14ac:dyDescent="0.25">
      <c r="A4982" s="6">
        <v>43369</v>
      </c>
      <c r="B4982" t="s">
        <v>26</v>
      </c>
      <c r="C4982">
        <v>58941</v>
      </c>
      <c r="D4982" t="s">
        <v>419</v>
      </c>
      <c r="E4982" s="7">
        <v>310.5</v>
      </c>
      <c r="F4982" t="s">
        <v>20</v>
      </c>
      <c r="G4982" t="s">
        <v>21</v>
      </c>
      <c r="H4982" t="str">
        <f>"TRNG 9/26/18"</f>
        <v>TRNG 9/26/18</v>
      </c>
      <c r="I4982" t="str">
        <f>"GEORGE ORTIZ"</f>
        <v>GEORGE ORTIZ</v>
      </c>
    </row>
    <row r="4983" spans="1:9" x14ac:dyDescent="0.25">
      <c r="A4983" s="6">
        <v>43369</v>
      </c>
      <c r="B4983" t="s">
        <v>26</v>
      </c>
      <c r="C4983">
        <v>58942</v>
      </c>
      <c r="D4983" t="s">
        <v>555</v>
      </c>
      <c r="E4983" s="7">
        <v>138</v>
      </c>
      <c r="F4983" t="s">
        <v>20</v>
      </c>
      <c r="G4983" t="s">
        <v>21</v>
      </c>
      <c r="H4983" t="str">
        <f>"TRNG 9/26/18"</f>
        <v>TRNG 9/26/18</v>
      </c>
      <c r="I4983" t="str">
        <f>"PERRY HYDEN"</f>
        <v>PERRY HYDEN</v>
      </c>
    </row>
    <row r="4984" spans="1:9" x14ac:dyDescent="0.25">
      <c r="A4984" s="6">
        <v>43369</v>
      </c>
      <c r="B4984" t="s">
        <v>26</v>
      </c>
      <c r="C4984">
        <v>58943</v>
      </c>
      <c r="D4984" t="s">
        <v>345</v>
      </c>
      <c r="E4984" s="7">
        <v>286</v>
      </c>
      <c r="F4984" t="s">
        <v>20</v>
      </c>
      <c r="G4984" t="s">
        <v>21</v>
      </c>
      <c r="H4984" t="str">
        <f>"9/25/18"</f>
        <v>9/25/18</v>
      </c>
      <c r="I4984" t="str">
        <f>"MICHAEL ISAAC MARTINEZ"</f>
        <v>MICHAEL ISAAC MARTINEZ</v>
      </c>
    </row>
    <row r="4985" spans="1:9" x14ac:dyDescent="0.25">
      <c r="A4985" s="6">
        <v>43369</v>
      </c>
      <c r="B4985" t="s">
        <v>26</v>
      </c>
      <c r="C4985">
        <v>58944</v>
      </c>
      <c r="D4985" t="s">
        <v>521</v>
      </c>
      <c r="E4985" s="7">
        <v>130</v>
      </c>
      <c r="F4985" t="s">
        <v>20</v>
      </c>
      <c r="G4985" t="s">
        <v>21</v>
      </c>
      <c r="H4985" t="str">
        <f>"9/24/18"</f>
        <v>9/24/18</v>
      </c>
      <c r="I4985" t="str">
        <f>"BRONSON LIVINGSTON-STEPHENSON"</f>
        <v>BRONSON LIVINGSTON-STEPHENSON</v>
      </c>
    </row>
    <row r="4986" spans="1:9" x14ac:dyDescent="0.25">
      <c r="A4986" s="6">
        <v>43369</v>
      </c>
      <c r="B4986" t="s">
        <v>26</v>
      </c>
      <c r="C4986">
        <v>58945</v>
      </c>
      <c r="D4986" t="s">
        <v>556</v>
      </c>
      <c r="E4986" s="7">
        <v>150</v>
      </c>
      <c r="F4986" t="s">
        <v>20</v>
      </c>
      <c r="G4986" t="s">
        <v>21</v>
      </c>
      <c r="H4986" t="str">
        <f>"REF 2/23/19"</f>
        <v>REF 2/23/19</v>
      </c>
      <c r="I4986" t="str">
        <f>"REFUND"</f>
        <v>REFUND</v>
      </c>
    </row>
    <row r="4987" spans="1:9" x14ac:dyDescent="0.25">
      <c r="A4987" s="6">
        <v>43369</v>
      </c>
      <c r="B4987" t="s">
        <v>26</v>
      </c>
      <c r="C4987">
        <v>58946</v>
      </c>
      <c r="D4987" t="s">
        <v>469</v>
      </c>
      <c r="E4987" s="7">
        <v>287.5</v>
      </c>
      <c r="F4987" t="s">
        <v>20</v>
      </c>
      <c r="G4987" t="s">
        <v>21</v>
      </c>
      <c r="H4987" t="str">
        <f>"TRNG 9/26/2018"</f>
        <v>TRNG 9/26/2018</v>
      </c>
      <c r="I4987" t="str">
        <f>"LORENZO HERRERA"</f>
        <v>LORENZO HERRERA</v>
      </c>
    </row>
    <row r="4988" spans="1:9" x14ac:dyDescent="0.25">
      <c r="A4988" s="6">
        <v>43369</v>
      </c>
      <c r="B4988" t="s">
        <v>26</v>
      </c>
      <c r="C4988">
        <v>58947</v>
      </c>
      <c r="D4988" t="s">
        <v>430</v>
      </c>
      <c r="E4988" s="7">
        <v>138</v>
      </c>
      <c r="F4988" t="s">
        <v>20</v>
      </c>
      <c r="G4988" t="s">
        <v>21</v>
      </c>
      <c r="H4988" t="str">
        <f>"TRNG 9/26/18"</f>
        <v>TRNG 9/26/18</v>
      </c>
      <c r="I4988" t="str">
        <f>"GILBERT RODRIGUEZ"</f>
        <v>GILBERT RODRIGUEZ</v>
      </c>
    </row>
    <row r="4989" spans="1:9" x14ac:dyDescent="0.25">
      <c r="A4989" s="6">
        <v>43369</v>
      </c>
      <c r="B4989" t="s">
        <v>26</v>
      </c>
      <c r="C4989">
        <v>58960</v>
      </c>
      <c r="D4989" t="s">
        <v>51</v>
      </c>
      <c r="E4989" s="7">
        <v>309.37</v>
      </c>
      <c r="F4989" t="s">
        <v>20</v>
      </c>
      <c r="G4989" t="s">
        <v>21</v>
      </c>
      <c r="H4989" t="str">
        <f>"CLE201809268491"</f>
        <v>CLE201809268491</v>
      </c>
      <c r="I4989" t="str">
        <f>"CLEAT ONLY DUES"</f>
        <v>CLEAT ONLY DUES</v>
      </c>
    </row>
    <row r="4990" spans="1:9" x14ac:dyDescent="0.25">
      <c r="E4990" s="7"/>
      <c r="F4990" t="s">
        <v>20</v>
      </c>
      <c r="G4990" t="s">
        <v>21</v>
      </c>
      <c r="H4990" t="str">
        <f>"PDD201809268491"</f>
        <v>PDD201809268491</v>
      </c>
      <c r="I4990" t="str">
        <f>"POLICE OFFICERS ASSOC DUES"</f>
        <v>POLICE OFFICERS ASSOC DUES</v>
      </c>
    </row>
    <row r="4991" spans="1:9" x14ac:dyDescent="0.25">
      <c r="A4991" s="6">
        <v>43369</v>
      </c>
      <c r="B4991" t="s">
        <v>26</v>
      </c>
      <c r="C4991">
        <v>58961</v>
      </c>
      <c r="D4991" t="s">
        <v>90</v>
      </c>
      <c r="E4991" s="7">
        <v>101.1</v>
      </c>
      <c r="F4991" t="s">
        <v>20</v>
      </c>
      <c r="G4991" t="s">
        <v>21</v>
      </c>
      <c r="H4991" t="str">
        <f>"AFS201809268491"</f>
        <v>AFS201809268491</v>
      </c>
      <c r="I4991" t="str">
        <f>"AFLAC STD"</f>
        <v>AFLAC STD</v>
      </c>
    </row>
    <row r="4992" spans="1:9" x14ac:dyDescent="0.25">
      <c r="A4992" s="6">
        <v>43369</v>
      </c>
      <c r="B4992" t="s">
        <v>26</v>
      </c>
      <c r="C4992">
        <v>58962</v>
      </c>
      <c r="D4992" t="s">
        <v>52</v>
      </c>
      <c r="E4992" s="7">
        <v>1123.9100000000001</v>
      </c>
      <c r="F4992" t="s">
        <v>20</v>
      </c>
      <c r="G4992" t="s">
        <v>21</v>
      </c>
      <c r="H4992" t="str">
        <f>"CPS201809268491"</f>
        <v>CPS201809268491</v>
      </c>
      <c r="I4992" t="str">
        <f>"G MENDOZA 00123012032010EM5054"</f>
        <v>G MENDOZA 00123012032010EM5054</v>
      </c>
    </row>
    <row r="4993" spans="1:9" x14ac:dyDescent="0.25">
      <c r="E4993" s="7"/>
      <c r="F4993" t="s">
        <v>20</v>
      </c>
      <c r="G4993" t="s">
        <v>21</v>
      </c>
      <c r="H4993" t="str">
        <f>"CS 201809268491"</f>
        <v>CS 201809268491</v>
      </c>
      <c r="I4993" t="str">
        <f>"CAUSE#98EM504113 PEGGY RIVAS"</f>
        <v>CAUSE#98EM504113 PEGGY RIVAS</v>
      </c>
    </row>
    <row r="4994" spans="1:9" x14ac:dyDescent="0.25">
      <c r="E4994" s="7"/>
      <c r="F4994" t="s">
        <v>20</v>
      </c>
      <c r="G4994" t="s">
        <v>21</v>
      </c>
      <c r="H4994" t="str">
        <f>"CSJ201809268491"</f>
        <v>CSJ201809268491</v>
      </c>
      <c r="I4994" t="str">
        <f>"CAUSE# 0010185272 MARIANN GUTI"</f>
        <v>CAUSE# 0010185272 MARIANN GUTI</v>
      </c>
    </row>
    <row r="4995" spans="1:9" x14ac:dyDescent="0.25">
      <c r="A4995" s="6">
        <v>43369</v>
      </c>
      <c r="B4995" t="s">
        <v>26</v>
      </c>
      <c r="C4995">
        <v>58963</v>
      </c>
      <c r="D4995" t="s">
        <v>53</v>
      </c>
      <c r="E4995" s="7">
        <v>99.1</v>
      </c>
      <c r="F4995" t="s">
        <v>20</v>
      </c>
      <c r="G4995" t="s">
        <v>21</v>
      </c>
      <c r="H4995" t="str">
        <f>"MCO201809268491"</f>
        <v>MCO201809268491</v>
      </c>
      <c r="I4995" t="str">
        <f>"MONICA CORDOVA"</f>
        <v>MONICA CORDOVA</v>
      </c>
    </row>
    <row r="4996" spans="1:9" x14ac:dyDescent="0.25">
      <c r="A4996" s="6">
        <v>43369</v>
      </c>
      <c r="B4996" t="s">
        <v>26</v>
      </c>
      <c r="C4996">
        <v>58964</v>
      </c>
      <c r="D4996" t="s">
        <v>54</v>
      </c>
      <c r="E4996" s="7">
        <v>977.1</v>
      </c>
      <c r="F4996" t="s">
        <v>20</v>
      </c>
      <c r="G4996" t="s">
        <v>21</v>
      </c>
      <c r="H4996" t="str">
        <f>"457201809268491"</f>
        <v>457201809268491</v>
      </c>
      <c r="I4996" t="str">
        <f>"CASE # 180-60751 457B DEDUCT"</f>
        <v>CASE # 180-60751 457B DEDUCT</v>
      </c>
    </row>
    <row r="4998" spans="1:9" ht="15.75" thickBot="1" x14ac:dyDescent="0.3">
      <c r="D4998" t="s">
        <v>557</v>
      </c>
      <c r="E4998" s="8">
        <f>SUM(E5:E4997)</f>
        <v>22507243.340000015</v>
      </c>
    </row>
    <row r="4999" spans="1:9" ht="15.75" thickTop="1" x14ac:dyDescent="0.25"/>
  </sheetData>
  <autoFilter ref="A4:I490" xr:uid="{269907AD-15E5-43ED-A3CB-1A7AE7087C2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3F39-9B7A-4103-864C-2DE84051CCDD}">
  <dimension ref="A1:K5266"/>
  <sheetViews>
    <sheetView workbookViewId="0">
      <pane ySplit="4" topLeftCell="A5" activePane="bottomLeft" state="frozen"/>
      <selection pane="bottomLeft"/>
    </sheetView>
  </sheetViews>
  <sheetFormatPr defaultRowHeight="15" x14ac:dyDescent="0.25"/>
  <cols>
    <col min="1" max="1" width="10.85546875" bestFit="1" customWidth="1"/>
    <col min="2" max="2" width="11.7109375" bestFit="1" customWidth="1"/>
    <col min="3" max="3" width="10.85546875" bestFit="1" customWidth="1"/>
    <col min="4" max="4" width="55.5703125" bestFit="1" customWidth="1"/>
    <col min="5" max="5" width="14.28515625" bestFit="1" customWidth="1"/>
    <col min="6" max="6" width="10.85546875" bestFit="1" customWidth="1"/>
    <col min="7" max="7" width="13.5703125" bestFit="1" customWidth="1"/>
    <col min="8" max="8" width="22" bestFit="1" customWidth="1"/>
    <col min="9" max="9" width="36.85546875" bestFit="1" customWidth="1"/>
  </cols>
  <sheetData>
    <row r="1" spans="1:9" x14ac:dyDescent="0.25">
      <c r="A1" s="1" t="s">
        <v>0</v>
      </c>
      <c r="B1" s="1"/>
      <c r="H1" s="2" t="s">
        <v>1</v>
      </c>
      <c r="I1" s="3">
        <v>43374</v>
      </c>
    </row>
    <row r="2" spans="1:9" x14ac:dyDescent="0.25">
      <c r="A2" s="1" t="s">
        <v>2</v>
      </c>
      <c r="B2" s="1"/>
      <c r="H2" s="2" t="s">
        <v>3</v>
      </c>
      <c r="I2" s="3">
        <v>43738</v>
      </c>
    </row>
    <row r="4" spans="1:9" ht="15.75" thickBot="1" x14ac:dyDescent="0.3">
      <c r="A4" s="4" t="s">
        <v>4</v>
      </c>
      <c r="B4" s="4" t="s">
        <v>5</v>
      </c>
      <c r="C4" s="5" t="s">
        <v>6</v>
      </c>
      <c r="D4" s="4" t="s">
        <v>7</v>
      </c>
      <c r="E4" s="5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x14ac:dyDescent="0.25">
      <c r="A5" s="6">
        <v>43500</v>
      </c>
      <c r="B5" t="s">
        <v>22</v>
      </c>
      <c r="C5">
        <v>0</v>
      </c>
      <c r="D5" t="s">
        <v>95</v>
      </c>
      <c r="E5" s="7">
        <v>0</v>
      </c>
      <c r="F5" t="s">
        <v>20</v>
      </c>
      <c r="G5" t="s">
        <v>24</v>
      </c>
      <c r="H5" t="str">
        <f>"2/19"</f>
        <v>2/19</v>
      </c>
      <c r="I5" t="str">
        <f>"LEGAL PLANS"</f>
        <v>LEGAL PLANS</v>
      </c>
    </row>
    <row r="6" spans="1:9" x14ac:dyDescent="0.25">
      <c r="A6" s="6">
        <v>43500</v>
      </c>
      <c r="B6" t="s">
        <v>22</v>
      </c>
      <c r="C6">
        <v>0</v>
      </c>
      <c r="D6" t="s">
        <v>95</v>
      </c>
      <c r="E6" s="7">
        <v>0</v>
      </c>
      <c r="F6" t="s">
        <v>20</v>
      </c>
      <c r="G6" t="s">
        <v>21</v>
      </c>
      <c r="H6" t="str">
        <f>"LEA201901028504"</f>
        <v>LEA201901028504</v>
      </c>
      <c r="I6" t="str">
        <f>"INSURANCE"</f>
        <v>INSURANCE</v>
      </c>
    </row>
    <row r="7" spans="1:9" x14ac:dyDescent="0.25">
      <c r="A7" s="6">
        <v>43381</v>
      </c>
      <c r="B7" t="s">
        <v>18</v>
      </c>
      <c r="C7">
        <v>25</v>
      </c>
      <c r="D7" t="s">
        <v>19</v>
      </c>
      <c r="E7" s="7">
        <v>35288.800000000003</v>
      </c>
      <c r="F7" t="s">
        <v>20</v>
      </c>
      <c r="G7" t="s">
        <v>21</v>
      </c>
      <c r="H7" t="str">
        <f>"T1 201810088496"</f>
        <v>T1 201810088496</v>
      </c>
      <c r="I7" t="str">
        <f>"FED WITHHOLDINGS"</f>
        <v>FED WITHHOLDINGS</v>
      </c>
    </row>
    <row r="8" spans="1:9" x14ac:dyDescent="0.25">
      <c r="A8" s="6">
        <v>43381</v>
      </c>
      <c r="B8" t="s">
        <v>18</v>
      </c>
      <c r="C8">
        <v>25</v>
      </c>
      <c r="D8" t="s">
        <v>19</v>
      </c>
      <c r="E8" s="7">
        <v>35288.800000000003</v>
      </c>
      <c r="F8" t="s">
        <v>20</v>
      </c>
      <c r="G8" t="s">
        <v>21</v>
      </c>
      <c r="H8" t="str">
        <f>"T3 201810088496"</f>
        <v>T3 201810088496</v>
      </c>
      <c r="I8" t="str">
        <f>"FICA WITHHOLDINGS"</f>
        <v>FICA WITHHOLDINGS</v>
      </c>
    </row>
    <row r="9" spans="1:9" x14ac:dyDescent="0.25">
      <c r="A9" s="6">
        <v>43381</v>
      </c>
      <c r="B9" t="s">
        <v>18</v>
      </c>
      <c r="C9">
        <v>25</v>
      </c>
      <c r="D9" t="s">
        <v>19</v>
      </c>
      <c r="E9" s="7">
        <v>35288.800000000003</v>
      </c>
      <c r="F9" t="s">
        <v>20</v>
      </c>
      <c r="G9" t="s">
        <v>21</v>
      </c>
      <c r="H9" t="str">
        <f>"T4 201810088496"</f>
        <v>T4 201810088496</v>
      </c>
      <c r="I9" t="str">
        <f>"MEDICARE WITHHOLDINGS"</f>
        <v>MEDICARE WITHHOLDINGS</v>
      </c>
    </row>
    <row r="10" spans="1:9" x14ac:dyDescent="0.25">
      <c r="A10" s="6">
        <v>43396</v>
      </c>
      <c r="B10" t="s">
        <v>18</v>
      </c>
      <c r="C10">
        <v>26</v>
      </c>
      <c r="D10" t="s">
        <v>19</v>
      </c>
      <c r="E10" s="7">
        <v>34557.85</v>
      </c>
      <c r="F10" t="s">
        <v>20</v>
      </c>
      <c r="G10" t="s">
        <v>21</v>
      </c>
      <c r="H10" t="str">
        <f>"T1 201810238497"</f>
        <v>T1 201810238497</v>
      </c>
      <c r="I10" t="str">
        <f>"FED WITHHOLDINGS"</f>
        <v>FED WITHHOLDINGS</v>
      </c>
    </row>
    <row r="11" spans="1:9" x14ac:dyDescent="0.25">
      <c r="A11" s="6">
        <v>43396</v>
      </c>
      <c r="B11" t="s">
        <v>18</v>
      </c>
      <c r="C11">
        <v>26</v>
      </c>
      <c r="D11" t="s">
        <v>19</v>
      </c>
      <c r="E11" s="7">
        <v>34557.85</v>
      </c>
      <c r="F11" t="s">
        <v>20</v>
      </c>
      <c r="G11" t="s">
        <v>21</v>
      </c>
      <c r="H11" t="str">
        <f>"T3 201810238497"</f>
        <v>T3 201810238497</v>
      </c>
      <c r="I11" t="str">
        <f>"FICA WITHHOLDINGS"</f>
        <v>FICA WITHHOLDINGS</v>
      </c>
    </row>
    <row r="12" spans="1:9" x14ac:dyDescent="0.25">
      <c r="A12" s="6">
        <v>43396</v>
      </c>
      <c r="B12" t="s">
        <v>18</v>
      </c>
      <c r="C12">
        <v>26</v>
      </c>
      <c r="D12" t="s">
        <v>19</v>
      </c>
      <c r="E12" s="7">
        <v>34557.85</v>
      </c>
      <c r="F12" t="s">
        <v>20</v>
      </c>
      <c r="G12" t="s">
        <v>21</v>
      </c>
      <c r="H12" t="str">
        <f>"T4 201810238497"</f>
        <v>T4 201810238497</v>
      </c>
      <c r="I12" t="str">
        <f>"MEDICARE WITHHOLDINGS"</f>
        <v>MEDICARE WITHHOLDINGS</v>
      </c>
    </row>
    <row r="13" spans="1:9" x14ac:dyDescent="0.25">
      <c r="A13" s="6">
        <v>43410</v>
      </c>
      <c r="B13" t="s">
        <v>18</v>
      </c>
      <c r="C13">
        <v>27</v>
      </c>
      <c r="D13" t="s">
        <v>19</v>
      </c>
      <c r="E13" s="7">
        <v>30360.17</v>
      </c>
      <c r="F13" t="s">
        <v>20</v>
      </c>
      <c r="G13" t="s">
        <v>21</v>
      </c>
      <c r="H13" t="str">
        <f>"T1 201811068499"</f>
        <v>T1 201811068499</v>
      </c>
      <c r="I13" t="str">
        <f>"FED WITHHOLDINGS"</f>
        <v>FED WITHHOLDINGS</v>
      </c>
    </row>
    <row r="14" spans="1:9" x14ac:dyDescent="0.25">
      <c r="A14" s="6">
        <v>43410</v>
      </c>
      <c r="B14" t="s">
        <v>18</v>
      </c>
      <c r="C14">
        <v>27</v>
      </c>
      <c r="D14" t="s">
        <v>19</v>
      </c>
      <c r="E14" s="7">
        <v>30360.17</v>
      </c>
      <c r="F14" t="s">
        <v>20</v>
      </c>
      <c r="G14" t="s">
        <v>21</v>
      </c>
      <c r="H14" t="str">
        <f>"T3 201811068499"</f>
        <v>T3 201811068499</v>
      </c>
      <c r="I14" t="str">
        <f>"FICA WITHHOLDINGS"</f>
        <v>FICA WITHHOLDINGS</v>
      </c>
    </row>
    <row r="15" spans="1:9" x14ac:dyDescent="0.25">
      <c r="A15" s="6">
        <v>43410</v>
      </c>
      <c r="B15" t="s">
        <v>18</v>
      </c>
      <c r="C15">
        <v>27</v>
      </c>
      <c r="D15" t="s">
        <v>19</v>
      </c>
      <c r="E15" s="7">
        <v>30360.17</v>
      </c>
      <c r="F15" t="s">
        <v>20</v>
      </c>
      <c r="G15" t="s">
        <v>21</v>
      </c>
      <c r="H15" t="str">
        <f>"T4 201811068499"</f>
        <v>T4 201811068499</v>
      </c>
      <c r="I15" t="str">
        <f>"MEDICARE WITHHOLDINGS"</f>
        <v>MEDICARE WITHHOLDINGS</v>
      </c>
    </row>
    <row r="16" spans="1:9" x14ac:dyDescent="0.25">
      <c r="A16" s="6">
        <v>43423</v>
      </c>
      <c r="B16" t="s">
        <v>18</v>
      </c>
      <c r="C16">
        <v>28</v>
      </c>
      <c r="D16" t="s">
        <v>19</v>
      </c>
      <c r="E16" s="7">
        <v>32957.68</v>
      </c>
      <c r="F16" t="s">
        <v>20</v>
      </c>
      <c r="G16" t="s">
        <v>21</v>
      </c>
      <c r="H16" t="str">
        <f>"T1 201811198501"</f>
        <v>T1 201811198501</v>
      </c>
      <c r="I16" t="str">
        <f>"FED WITHHOLDINGS"</f>
        <v>FED WITHHOLDINGS</v>
      </c>
    </row>
    <row r="17" spans="1:9" x14ac:dyDescent="0.25">
      <c r="A17" s="6">
        <v>43423</v>
      </c>
      <c r="B17" t="s">
        <v>18</v>
      </c>
      <c r="C17">
        <v>28</v>
      </c>
      <c r="D17" t="s">
        <v>19</v>
      </c>
      <c r="E17" s="7">
        <v>32957.68</v>
      </c>
      <c r="F17" t="s">
        <v>20</v>
      </c>
      <c r="G17" t="s">
        <v>21</v>
      </c>
      <c r="H17" t="str">
        <f>"T3 201811198501"</f>
        <v>T3 201811198501</v>
      </c>
      <c r="I17" t="str">
        <f>"FICA WITHHOLDINGS"</f>
        <v>FICA WITHHOLDINGS</v>
      </c>
    </row>
    <row r="18" spans="1:9" x14ac:dyDescent="0.25">
      <c r="A18" s="6">
        <v>43423</v>
      </c>
      <c r="B18" t="s">
        <v>18</v>
      </c>
      <c r="C18">
        <v>28</v>
      </c>
      <c r="D18" t="s">
        <v>19</v>
      </c>
      <c r="E18" s="7">
        <v>32957.68</v>
      </c>
      <c r="F18" t="s">
        <v>20</v>
      </c>
      <c r="G18" t="s">
        <v>21</v>
      </c>
      <c r="H18" t="str">
        <f>"T4 201811198501"</f>
        <v>T4 201811198501</v>
      </c>
      <c r="I18" t="str">
        <f>"MEDICARE WITHHOLDINGS"</f>
        <v>MEDICARE WITHHOLDINGS</v>
      </c>
    </row>
    <row r="19" spans="1:9" x14ac:dyDescent="0.25">
      <c r="A19" s="6">
        <v>43425</v>
      </c>
      <c r="B19" t="s">
        <v>91</v>
      </c>
      <c r="C19">
        <v>29</v>
      </c>
      <c r="D19" t="s">
        <v>19</v>
      </c>
      <c r="E19" s="7">
        <v>280.13</v>
      </c>
      <c r="F19" t="s">
        <v>20</v>
      </c>
      <c r="G19" t="s">
        <v>21</v>
      </c>
      <c r="H19" t="str">
        <f>"T1 201811088500"</f>
        <v>T1 201811088500</v>
      </c>
      <c r="I19" t="str">
        <f>"FED WITHHOLDINGS"</f>
        <v>FED WITHHOLDINGS</v>
      </c>
    </row>
    <row r="20" spans="1:9" x14ac:dyDescent="0.25">
      <c r="A20" s="6">
        <v>43425</v>
      </c>
      <c r="B20" t="s">
        <v>91</v>
      </c>
      <c r="C20">
        <v>29</v>
      </c>
      <c r="D20" t="s">
        <v>19</v>
      </c>
      <c r="E20" s="7">
        <v>280.13</v>
      </c>
      <c r="F20" t="s">
        <v>20</v>
      </c>
      <c r="G20" t="s">
        <v>21</v>
      </c>
      <c r="H20" t="str">
        <f>"T3 201811088500"</f>
        <v>T3 201811088500</v>
      </c>
      <c r="I20" t="str">
        <f>"FICA WITHHOLDINGS"</f>
        <v>FICA WITHHOLDINGS</v>
      </c>
    </row>
    <row r="21" spans="1:9" x14ac:dyDescent="0.25">
      <c r="A21" s="6">
        <v>43425</v>
      </c>
      <c r="B21" t="s">
        <v>91</v>
      </c>
      <c r="C21">
        <v>29</v>
      </c>
      <c r="D21" t="s">
        <v>19</v>
      </c>
      <c r="E21" s="7">
        <v>280.13</v>
      </c>
      <c r="F21" t="s">
        <v>20</v>
      </c>
      <c r="G21" t="s">
        <v>21</v>
      </c>
      <c r="H21" t="str">
        <f>"T4 201811088500"</f>
        <v>T4 201811088500</v>
      </c>
      <c r="I21" t="str">
        <f>"MEDICARE WITHHOLDINGS"</f>
        <v>MEDICARE WITHHOLDINGS</v>
      </c>
    </row>
    <row r="22" spans="1:9" x14ac:dyDescent="0.25">
      <c r="A22" s="6">
        <v>43425</v>
      </c>
      <c r="B22" t="s">
        <v>91</v>
      </c>
      <c r="C22">
        <v>29</v>
      </c>
      <c r="D22" t="s">
        <v>19</v>
      </c>
      <c r="E22" s="7">
        <v>-280.13</v>
      </c>
      <c r="F22" t="s">
        <v>20</v>
      </c>
      <c r="G22" t="s">
        <v>93</v>
      </c>
      <c r="H22" t="str">
        <f>"CHECK"</f>
        <v>CHECK</v>
      </c>
      <c r="I22" t="str">
        <f>""</f>
        <v/>
      </c>
    </row>
    <row r="23" spans="1:9" x14ac:dyDescent="0.25">
      <c r="A23" s="6">
        <v>43441</v>
      </c>
      <c r="B23" t="s">
        <v>18</v>
      </c>
      <c r="C23">
        <v>30</v>
      </c>
      <c r="D23" t="s">
        <v>19</v>
      </c>
      <c r="E23" s="7">
        <v>31672.77</v>
      </c>
      <c r="F23" t="s">
        <v>20</v>
      </c>
      <c r="G23" t="s">
        <v>21</v>
      </c>
      <c r="H23" t="str">
        <f>"T1 201812048502"</f>
        <v>T1 201812048502</v>
      </c>
      <c r="I23" t="str">
        <f>"FED WITHHOLDINGS"</f>
        <v>FED WITHHOLDINGS</v>
      </c>
    </row>
    <row r="24" spans="1:9" x14ac:dyDescent="0.25">
      <c r="A24" s="6">
        <v>43441</v>
      </c>
      <c r="B24" t="s">
        <v>18</v>
      </c>
      <c r="C24">
        <v>30</v>
      </c>
      <c r="D24" t="s">
        <v>19</v>
      </c>
      <c r="E24" s="7">
        <v>31672.77</v>
      </c>
      <c r="F24" t="s">
        <v>20</v>
      </c>
      <c r="G24" t="s">
        <v>21</v>
      </c>
      <c r="H24" t="str">
        <f>"T3 201812048502"</f>
        <v>T3 201812048502</v>
      </c>
      <c r="I24" t="str">
        <f>"FICA WITHHOLDINGS"</f>
        <v>FICA WITHHOLDINGS</v>
      </c>
    </row>
    <row r="25" spans="1:9" x14ac:dyDescent="0.25">
      <c r="A25" s="6">
        <v>43441</v>
      </c>
      <c r="B25" t="s">
        <v>18</v>
      </c>
      <c r="C25">
        <v>30</v>
      </c>
      <c r="D25" t="s">
        <v>19</v>
      </c>
      <c r="E25" s="7">
        <v>31672.77</v>
      </c>
      <c r="F25" t="s">
        <v>20</v>
      </c>
      <c r="G25" t="s">
        <v>21</v>
      </c>
      <c r="H25" t="str">
        <f>"T4 201812048502"</f>
        <v>T4 201812048502</v>
      </c>
      <c r="I25" t="str">
        <f>"MEDICARE WITHHOLDINGS"</f>
        <v>MEDICARE WITHHOLDINGS</v>
      </c>
    </row>
    <row r="26" spans="1:9" x14ac:dyDescent="0.25">
      <c r="A26" s="6">
        <v>43452</v>
      </c>
      <c r="B26" t="s">
        <v>18</v>
      </c>
      <c r="C26">
        <v>31</v>
      </c>
      <c r="D26" t="s">
        <v>19</v>
      </c>
      <c r="E26" s="7">
        <v>32885.910000000003</v>
      </c>
      <c r="F26" t="s">
        <v>20</v>
      </c>
      <c r="G26" t="s">
        <v>21</v>
      </c>
      <c r="H26" t="str">
        <f>"T1 201812188503"</f>
        <v>T1 201812188503</v>
      </c>
      <c r="I26" t="str">
        <f>"FED WITHHOLDINGS"</f>
        <v>FED WITHHOLDINGS</v>
      </c>
    </row>
    <row r="27" spans="1:9" x14ac:dyDescent="0.25">
      <c r="A27" s="6">
        <v>43452</v>
      </c>
      <c r="B27" t="s">
        <v>18</v>
      </c>
      <c r="C27">
        <v>31</v>
      </c>
      <c r="D27" t="s">
        <v>19</v>
      </c>
      <c r="E27" s="7">
        <v>32885.910000000003</v>
      </c>
      <c r="F27" t="s">
        <v>20</v>
      </c>
      <c r="G27" t="s">
        <v>21</v>
      </c>
      <c r="H27" t="str">
        <f>"T3 201812188503"</f>
        <v>T3 201812188503</v>
      </c>
      <c r="I27" t="str">
        <f>"FICA WITHHOLDINGS"</f>
        <v>FICA WITHHOLDINGS</v>
      </c>
    </row>
    <row r="28" spans="1:9" x14ac:dyDescent="0.25">
      <c r="A28" s="6">
        <v>43452</v>
      </c>
      <c r="B28" t="s">
        <v>18</v>
      </c>
      <c r="C28">
        <v>31</v>
      </c>
      <c r="D28" t="s">
        <v>19</v>
      </c>
      <c r="E28" s="7">
        <v>32885.910000000003</v>
      </c>
      <c r="F28" t="s">
        <v>20</v>
      </c>
      <c r="G28" t="s">
        <v>21</v>
      </c>
      <c r="H28" t="str">
        <f>"T4 201812188503"</f>
        <v>T4 201812188503</v>
      </c>
      <c r="I28" t="str">
        <f>"MEDICARE WITHHOLDINGS"</f>
        <v>MEDICARE WITHHOLDINGS</v>
      </c>
    </row>
    <row r="29" spans="1:9" x14ac:dyDescent="0.25">
      <c r="A29" s="6">
        <v>43469</v>
      </c>
      <c r="B29" t="s">
        <v>18</v>
      </c>
      <c r="C29">
        <v>32</v>
      </c>
      <c r="D29" t="s">
        <v>19</v>
      </c>
      <c r="E29" s="7">
        <v>31870.73</v>
      </c>
      <c r="F29" t="s">
        <v>20</v>
      </c>
      <c r="G29" t="s">
        <v>21</v>
      </c>
      <c r="H29" t="str">
        <f>"T1 201901028504"</f>
        <v>T1 201901028504</v>
      </c>
      <c r="I29" t="str">
        <f>"FED WITHHOLDINGS"</f>
        <v>FED WITHHOLDINGS</v>
      </c>
    </row>
    <row r="30" spans="1:9" x14ac:dyDescent="0.25">
      <c r="A30" s="6">
        <v>43469</v>
      </c>
      <c r="B30" t="s">
        <v>18</v>
      </c>
      <c r="C30">
        <v>32</v>
      </c>
      <c r="D30" t="s">
        <v>19</v>
      </c>
      <c r="E30" s="7">
        <v>31870.73</v>
      </c>
      <c r="F30" t="s">
        <v>20</v>
      </c>
      <c r="G30" t="s">
        <v>21</v>
      </c>
      <c r="H30" t="str">
        <f>"T3 201901028504"</f>
        <v>T3 201901028504</v>
      </c>
      <c r="I30" t="str">
        <f>"FICA WITHHOLDINGS"</f>
        <v>FICA WITHHOLDINGS</v>
      </c>
    </row>
    <row r="31" spans="1:9" x14ac:dyDescent="0.25">
      <c r="A31" s="6">
        <v>43469</v>
      </c>
      <c r="B31" t="s">
        <v>18</v>
      </c>
      <c r="C31">
        <v>32</v>
      </c>
      <c r="D31" t="s">
        <v>19</v>
      </c>
      <c r="E31" s="7">
        <v>31870.73</v>
      </c>
      <c r="F31" t="s">
        <v>20</v>
      </c>
      <c r="G31" t="s">
        <v>21</v>
      </c>
      <c r="H31" t="str">
        <f>"T4 201901028504"</f>
        <v>T4 201901028504</v>
      </c>
      <c r="I31" t="str">
        <f>"MEDICARE WITHHOLDINGS"</f>
        <v>MEDICARE WITHHOLDINGS</v>
      </c>
    </row>
    <row r="32" spans="1:9" x14ac:dyDescent="0.25">
      <c r="A32" s="6">
        <v>43468</v>
      </c>
      <c r="B32" t="s">
        <v>91</v>
      </c>
      <c r="C32">
        <v>33</v>
      </c>
      <c r="D32" t="s">
        <v>19</v>
      </c>
      <c r="E32" s="7">
        <v>643.59</v>
      </c>
      <c r="F32" t="s">
        <v>20</v>
      </c>
      <c r="G32" t="s">
        <v>21</v>
      </c>
      <c r="H32" t="str">
        <f>"T1 201901028505"</f>
        <v>T1 201901028505</v>
      </c>
      <c r="I32" t="str">
        <f>"FED WITHHOLDINGS"</f>
        <v>FED WITHHOLDINGS</v>
      </c>
    </row>
    <row r="33" spans="1:9" x14ac:dyDescent="0.25">
      <c r="A33" s="6">
        <v>43468</v>
      </c>
      <c r="B33" t="s">
        <v>91</v>
      </c>
      <c r="C33">
        <v>33</v>
      </c>
      <c r="D33" t="s">
        <v>19</v>
      </c>
      <c r="E33" s="7">
        <v>643.59</v>
      </c>
      <c r="F33" t="s">
        <v>20</v>
      </c>
      <c r="G33" t="s">
        <v>21</v>
      </c>
      <c r="H33" t="str">
        <f>"T3 201901028505"</f>
        <v>T3 201901028505</v>
      </c>
      <c r="I33" t="str">
        <f>"FICA WITHHOLDINGS"</f>
        <v>FICA WITHHOLDINGS</v>
      </c>
    </row>
    <row r="34" spans="1:9" x14ac:dyDescent="0.25">
      <c r="A34" s="6">
        <v>43468</v>
      </c>
      <c r="B34" t="s">
        <v>91</v>
      </c>
      <c r="C34">
        <v>33</v>
      </c>
      <c r="D34" t="s">
        <v>19</v>
      </c>
      <c r="E34" s="7">
        <v>643.59</v>
      </c>
      <c r="F34" t="s">
        <v>20</v>
      </c>
      <c r="G34" t="s">
        <v>21</v>
      </c>
      <c r="H34" t="str">
        <f>"T4 201901028505"</f>
        <v>T4 201901028505</v>
      </c>
      <c r="I34" t="str">
        <f>"MEDICARE WITHHOLDINGS"</f>
        <v>MEDICARE WITHHOLDINGS</v>
      </c>
    </row>
    <row r="35" spans="1:9" x14ac:dyDescent="0.25">
      <c r="A35" s="6">
        <v>43468</v>
      </c>
      <c r="B35" t="s">
        <v>91</v>
      </c>
      <c r="C35">
        <v>33</v>
      </c>
      <c r="D35" t="s">
        <v>19</v>
      </c>
      <c r="E35" s="7">
        <v>-643.59</v>
      </c>
      <c r="F35" t="s">
        <v>20</v>
      </c>
      <c r="G35" t="s">
        <v>93</v>
      </c>
      <c r="H35" t="str">
        <f>"CHECK"</f>
        <v>CHECK</v>
      </c>
      <c r="I35" t="str">
        <f>""</f>
        <v/>
      </c>
    </row>
    <row r="36" spans="1:9" x14ac:dyDescent="0.25">
      <c r="A36" s="6">
        <v>43483</v>
      </c>
      <c r="B36" t="s">
        <v>18</v>
      </c>
      <c r="C36">
        <v>34</v>
      </c>
      <c r="D36" t="s">
        <v>19</v>
      </c>
      <c r="E36" s="7">
        <v>32287.66</v>
      </c>
      <c r="F36" t="s">
        <v>20</v>
      </c>
      <c r="G36" t="s">
        <v>21</v>
      </c>
      <c r="H36" t="str">
        <f>"T1 201901158506"</f>
        <v>T1 201901158506</v>
      </c>
      <c r="I36" t="str">
        <f>"FED WITHHOLDINGS"</f>
        <v>FED WITHHOLDINGS</v>
      </c>
    </row>
    <row r="37" spans="1:9" x14ac:dyDescent="0.25">
      <c r="A37" s="6">
        <v>43483</v>
      </c>
      <c r="B37" t="s">
        <v>18</v>
      </c>
      <c r="C37">
        <v>34</v>
      </c>
      <c r="D37" t="s">
        <v>19</v>
      </c>
      <c r="E37" s="7">
        <v>32287.66</v>
      </c>
      <c r="F37" t="s">
        <v>20</v>
      </c>
      <c r="G37" t="s">
        <v>21</v>
      </c>
      <c r="H37" t="str">
        <f>"T3 201901158506"</f>
        <v>T3 201901158506</v>
      </c>
      <c r="I37" t="str">
        <f>"FICA WITHHOLDINGS"</f>
        <v>FICA WITHHOLDINGS</v>
      </c>
    </row>
    <row r="38" spans="1:9" x14ac:dyDescent="0.25">
      <c r="A38" s="6">
        <v>43483</v>
      </c>
      <c r="B38" t="s">
        <v>18</v>
      </c>
      <c r="C38">
        <v>34</v>
      </c>
      <c r="D38" t="s">
        <v>19</v>
      </c>
      <c r="E38" s="7">
        <v>32287.66</v>
      </c>
      <c r="F38" t="s">
        <v>20</v>
      </c>
      <c r="G38" t="s">
        <v>21</v>
      </c>
      <c r="H38" t="str">
        <f>"T4 201901158506"</f>
        <v>T4 201901158506</v>
      </c>
      <c r="I38" t="str">
        <f>"MEDICARE WITHHOLDINGS"</f>
        <v>MEDICARE WITHHOLDINGS</v>
      </c>
    </row>
    <row r="39" spans="1:9" x14ac:dyDescent="0.25">
      <c r="A39" s="6">
        <v>43497</v>
      </c>
      <c r="B39" t="s">
        <v>18</v>
      </c>
      <c r="C39">
        <v>35</v>
      </c>
      <c r="D39" t="s">
        <v>19</v>
      </c>
      <c r="E39" s="7">
        <v>30905.200000000001</v>
      </c>
      <c r="F39" t="s">
        <v>20</v>
      </c>
      <c r="G39" t="s">
        <v>21</v>
      </c>
      <c r="H39" t="str">
        <f>"T1 201901308507"</f>
        <v>T1 201901308507</v>
      </c>
      <c r="I39" t="str">
        <f>"FED WITHHOLDINGS"</f>
        <v>FED WITHHOLDINGS</v>
      </c>
    </row>
    <row r="40" spans="1:9" x14ac:dyDescent="0.25">
      <c r="A40" s="6">
        <v>43497</v>
      </c>
      <c r="B40" t="s">
        <v>18</v>
      </c>
      <c r="C40">
        <v>35</v>
      </c>
      <c r="D40" t="s">
        <v>19</v>
      </c>
      <c r="E40" s="7">
        <v>30905.200000000001</v>
      </c>
      <c r="F40" t="s">
        <v>20</v>
      </c>
      <c r="G40" t="s">
        <v>21</v>
      </c>
      <c r="H40" t="str">
        <f>"T3 201901308507"</f>
        <v>T3 201901308507</v>
      </c>
      <c r="I40" t="str">
        <f>"FICA WITHHOLDINGS"</f>
        <v>FICA WITHHOLDINGS</v>
      </c>
    </row>
    <row r="41" spans="1:9" x14ac:dyDescent="0.25">
      <c r="A41" s="6">
        <v>43497</v>
      </c>
      <c r="B41" t="s">
        <v>18</v>
      </c>
      <c r="C41">
        <v>35</v>
      </c>
      <c r="D41" t="s">
        <v>19</v>
      </c>
      <c r="E41" s="7">
        <v>30905.200000000001</v>
      </c>
      <c r="F41" t="s">
        <v>20</v>
      </c>
      <c r="G41" t="s">
        <v>21</v>
      </c>
      <c r="H41" t="str">
        <f>"T4 201901308507"</f>
        <v>T4 201901308507</v>
      </c>
      <c r="I41" t="str">
        <f>"MEDICARE WITHHOLDINGS"</f>
        <v>MEDICARE WITHHOLDINGS</v>
      </c>
    </row>
    <row r="42" spans="1:9" x14ac:dyDescent="0.25">
      <c r="A42" s="6">
        <v>43511</v>
      </c>
      <c r="B42" t="s">
        <v>18</v>
      </c>
      <c r="C42">
        <v>36</v>
      </c>
      <c r="D42" t="s">
        <v>19</v>
      </c>
      <c r="E42" s="7">
        <v>30816.01</v>
      </c>
      <c r="F42" t="s">
        <v>20</v>
      </c>
      <c r="G42" t="s">
        <v>21</v>
      </c>
      <c r="H42" t="str">
        <f>"T1 201902138508"</f>
        <v>T1 201902138508</v>
      </c>
      <c r="I42" t="str">
        <f>"FED WITHHOLDINGS"</f>
        <v>FED WITHHOLDINGS</v>
      </c>
    </row>
    <row r="43" spans="1:9" x14ac:dyDescent="0.25">
      <c r="A43" s="6">
        <v>43511</v>
      </c>
      <c r="B43" t="s">
        <v>18</v>
      </c>
      <c r="C43">
        <v>36</v>
      </c>
      <c r="D43" t="s">
        <v>19</v>
      </c>
      <c r="E43" s="7">
        <v>30816.01</v>
      </c>
      <c r="F43" t="s">
        <v>20</v>
      </c>
      <c r="G43" t="s">
        <v>21</v>
      </c>
      <c r="H43" t="str">
        <f>"T3 201902138508"</f>
        <v>T3 201902138508</v>
      </c>
      <c r="I43" t="str">
        <f>"FICA WITHHOLDINGS"</f>
        <v>FICA WITHHOLDINGS</v>
      </c>
    </row>
    <row r="44" spans="1:9" x14ac:dyDescent="0.25">
      <c r="A44" s="6">
        <v>43511</v>
      </c>
      <c r="B44" t="s">
        <v>18</v>
      </c>
      <c r="C44">
        <v>36</v>
      </c>
      <c r="D44" t="s">
        <v>19</v>
      </c>
      <c r="E44" s="7">
        <v>30816.01</v>
      </c>
      <c r="F44" t="s">
        <v>20</v>
      </c>
      <c r="G44" t="s">
        <v>21</v>
      </c>
      <c r="H44" t="str">
        <f>"T4 201902138508"</f>
        <v>T4 201902138508</v>
      </c>
      <c r="I44" t="str">
        <f>"MEDICARE WITHHOLDINGS"</f>
        <v>MEDICARE WITHHOLDINGS</v>
      </c>
    </row>
    <row r="45" spans="1:9" x14ac:dyDescent="0.25">
      <c r="A45" s="6">
        <v>43524</v>
      </c>
      <c r="B45" t="s">
        <v>18</v>
      </c>
      <c r="C45">
        <v>37</v>
      </c>
      <c r="D45" t="s">
        <v>19</v>
      </c>
      <c r="E45" s="7">
        <v>31922.21</v>
      </c>
      <c r="F45" t="s">
        <v>20</v>
      </c>
      <c r="G45" t="s">
        <v>21</v>
      </c>
      <c r="H45" t="str">
        <f>"T1 201902268509"</f>
        <v>T1 201902268509</v>
      </c>
      <c r="I45" t="str">
        <f>"FED WITHHOLDINGS"</f>
        <v>FED WITHHOLDINGS</v>
      </c>
    </row>
    <row r="46" spans="1:9" x14ac:dyDescent="0.25">
      <c r="A46" s="6">
        <v>43524</v>
      </c>
      <c r="B46" t="s">
        <v>18</v>
      </c>
      <c r="C46">
        <v>37</v>
      </c>
      <c r="D46" t="s">
        <v>19</v>
      </c>
      <c r="E46" s="7">
        <v>31922.21</v>
      </c>
      <c r="F46" t="s">
        <v>20</v>
      </c>
      <c r="G46" t="s">
        <v>21</v>
      </c>
      <c r="H46" t="str">
        <f>"T3 201902268509"</f>
        <v>T3 201902268509</v>
      </c>
      <c r="I46" t="str">
        <f>"FICA WITHHOLDINGS"</f>
        <v>FICA WITHHOLDINGS</v>
      </c>
    </row>
    <row r="47" spans="1:9" x14ac:dyDescent="0.25">
      <c r="A47" s="6">
        <v>43524</v>
      </c>
      <c r="B47" t="s">
        <v>18</v>
      </c>
      <c r="C47">
        <v>37</v>
      </c>
      <c r="D47" t="s">
        <v>19</v>
      </c>
      <c r="E47" s="7">
        <v>31922.21</v>
      </c>
      <c r="F47" t="s">
        <v>20</v>
      </c>
      <c r="G47" t="s">
        <v>21</v>
      </c>
      <c r="H47" t="str">
        <f>"T4 201902268509"</f>
        <v>T4 201902268509</v>
      </c>
      <c r="I47" t="str">
        <f>"MEDICARE WITHHOLDINGS"</f>
        <v>MEDICARE WITHHOLDINGS</v>
      </c>
    </row>
    <row r="48" spans="1:9" x14ac:dyDescent="0.25">
      <c r="A48" s="6">
        <v>43539</v>
      </c>
      <c r="B48" t="s">
        <v>18</v>
      </c>
      <c r="C48">
        <v>38</v>
      </c>
      <c r="D48" t="s">
        <v>19</v>
      </c>
      <c r="E48" s="7">
        <v>32071.5</v>
      </c>
      <c r="F48" t="s">
        <v>20</v>
      </c>
      <c r="G48" t="s">
        <v>21</v>
      </c>
      <c r="H48" t="str">
        <f>"T1 201903138510"</f>
        <v>T1 201903138510</v>
      </c>
      <c r="I48" t="str">
        <f>"FED WITHHOLDINGS"</f>
        <v>FED WITHHOLDINGS</v>
      </c>
    </row>
    <row r="49" spans="1:9" x14ac:dyDescent="0.25">
      <c r="A49" s="6">
        <v>43539</v>
      </c>
      <c r="B49" t="s">
        <v>18</v>
      </c>
      <c r="C49">
        <v>38</v>
      </c>
      <c r="D49" t="s">
        <v>19</v>
      </c>
      <c r="E49" s="7">
        <v>32071.5</v>
      </c>
      <c r="F49" t="s">
        <v>20</v>
      </c>
      <c r="G49" t="s">
        <v>21</v>
      </c>
      <c r="H49" t="str">
        <f>"T3 201903138510"</f>
        <v>T3 201903138510</v>
      </c>
      <c r="I49" t="str">
        <f>"FICA WITHHOLDINGS"</f>
        <v>FICA WITHHOLDINGS</v>
      </c>
    </row>
    <row r="50" spans="1:9" x14ac:dyDescent="0.25">
      <c r="A50" s="6">
        <v>43539</v>
      </c>
      <c r="B50" t="s">
        <v>18</v>
      </c>
      <c r="C50">
        <v>38</v>
      </c>
      <c r="D50" t="s">
        <v>19</v>
      </c>
      <c r="E50" s="7">
        <v>32071.5</v>
      </c>
      <c r="F50" t="s">
        <v>20</v>
      </c>
      <c r="G50" t="s">
        <v>21</v>
      </c>
      <c r="H50" t="str">
        <f>"T4 201903138510"</f>
        <v>T4 201903138510</v>
      </c>
      <c r="I50" t="str">
        <f>"MEDICARE WITHHOLDINGS"</f>
        <v>MEDICARE WITHHOLDINGS</v>
      </c>
    </row>
    <row r="51" spans="1:9" x14ac:dyDescent="0.25">
      <c r="A51" s="6">
        <v>43551</v>
      </c>
      <c r="B51" t="s">
        <v>18</v>
      </c>
      <c r="C51">
        <v>39</v>
      </c>
      <c r="D51" t="s">
        <v>19</v>
      </c>
      <c r="E51" s="7">
        <v>30210.06</v>
      </c>
      <c r="F51" t="s">
        <v>20</v>
      </c>
      <c r="G51" t="s">
        <v>21</v>
      </c>
      <c r="H51" t="str">
        <f>"T1 201903278511"</f>
        <v>T1 201903278511</v>
      </c>
      <c r="I51" t="str">
        <f>"FED WITHHOLDINGS"</f>
        <v>FED WITHHOLDINGS</v>
      </c>
    </row>
    <row r="52" spans="1:9" x14ac:dyDescent="0.25">
      <c r="A52" s="6">
        <v>43551</v>
      </c>
      <c r="B52" t="s">
        <v>18</v>
      </c>
      <c r="C52">
        <v>39</v>
      </c>
      <c r="D52" t="s">
        <v>19</v>
      </c>
      <c r="E52" s="7">
        <v>30210.06</v>
      </c>
      <c r="F52" t="s">
        <v>20</v>
      </c>
      <c r="G52" t="s">
        <v>21</v>
      </c>
      <c r="H52" t="str">
        <f>"T3 201903278511"</f>
        <v>T3 201903278511</v>
      </c>
      <c r="I52" t="str">
        <f>"FICA WITHHOLDINGS"</f>
        <v>FICA WITHHOLDINGS</v>
      </c>
    </row>
    <row r="53" spans="1:9" x14ac:dyDescent="0.25">
      <c r="A53" s="6">
        <v>43551</v>
      </c>
      <c r="B53" t="s">
        <v>18</v>
      </c>
      <c r="C53">
        <v>39</v>
      </c>
      <c r="D53" t="s">
        <v>19</v>
      </c>
      <c r="E53" s="7">
        <v>30210.06</v>
      </c>
      <c r="F53" t="s">
        <v>20</v>
      </c>
      <c r="G53" t="s">
        <v>21</v>
      </c>
      <c r="H53" t="str">
        <f>"T4 201903278511"</f>
        <v>T4 201903278511</v>
      </c>
      <c r="I53" t="str">
        <f>"MEDICARE WITHHOLDINGS"</f>
        <v>MEDICARE WITHHOLDINGS</v>
      </c>
    </row>
    <row r="54" spans="1:9" x14ac:dyDescent="0.25">
      <c r="A54" s="6">
        <v>43567</v>
      </c>
      <c r="B54" t="s">
        <v>18</v>
      </c>
      <c r="C54">
        <v>40</v>
      </c>
      <c r="D54" t="s">
        <v>19</v>
      </c>
      <c r="E54" s="7">
        <v>31105.84</v>
      </c>
      <c r="F54" t="s">
        <v>20</v>
      </c>
      <c r="G54" t="s">
        <v>21</v>
      </c>
      <c r="H54" t="str">
        <f>"T1 201904108512"</f>
        <v>T1 201904108512</v>
      </c>
      <c r="I54" t="str">
        <f>"FED WITHHOLDINGS"</f>
        <v>FED WITHHOLDINGS</v>
      </c>
    </row>
    <row r="55" spans="1:9" x14ac:dyDescent="0.25">
      <c r="A55" s="6">
        <v>43567</v>
      </c>
      <c r="B55" t="s">
        <v>18</v>
      </c>
      <c r="C55">
        <v>40</v>
      </c>
      <c r="D55" t="s">
        <v>19</v>
      </c>
      <c r="E55" s="7">
        <v>31105.84</v>
      </c>
      <c r="F55" t="s">
        <v>20</v>
      </c>
      <c r="G55" t="s">
        <v>21</v>
      </c>
      <c r="H55" t="str">
        <f>"T3 201904108512"</f>
        <v>T3 201904108512</v>
      </c>
      <c r="I55" t="str">
        <f>"FICA WITHHOLDINGS"</f>
        <v>FICA WITHHOLDINGS</v>
      </c>
    </row>
    <row r="56" spans="1:9" x14ac:dyDescent="0.25">
      <c r="A56" s="6">
        <v>43567</v>
      </c>
      <c r="B56" t="s">
        <v>18</v>
      </c>
      <c r="C56">
        <v>40</v>
      </c>
      <c r="D56" t="s">
        <v>19</v>
      </c>
      <c r="E56" s="7">
        <v>31105.84</v>
      </c>
      <c r="F56" t="s">
        <v>20</v>
      </c>
      <c r="G56" t="s">
        <v>21</v>
      </c>
      <c r="H56" t="str">
        <f>"T4 201904108512"</f>
        <v>T4 201904108512</v>
      </c>
      <c r="I56" t="str">
        <f>"MEDICARE WITHHOLDINGS"</f>
        <v>MEDICARE WITHHOLDINGS</v>
      </c>
    </row>
    <row r="57" spans="1:9" x14ac:dyDescent="0.25">
      <c r="A57" s="6">
        <v>43579</v>
      </c>
      <c r="B57" t="s">
        <v>18</v>
      </c>
      <c r="C57">
        <v>41</v>
      </c>
      <c r="D57" t="s">
        <v>19</v>
      </c>
      <c r="E57" s="7">
        <v>30469.74</v>
      </c>
      <c r="F57" t="s">
        <v>20</v>
      </c>
      <c r="G57" t="s">
        <v>21</v>
      </c>
      <c r="H57" t="str">
        <f>"T1 201904248514"</f>
        <v>T1 201904248514</v>
      </c>
      <c r="I57" t="str">
        <f>"FED WITHHOLDINGS"</f>
        <v>FED WITHHOLDINGS</v>
      </c>
    </row>
    <row r="58" spans="1:9" x14ac:dyDescent="0.25">
      <c r="A58" s="6">
        <v>43579</v>
      </c>
      <c r="B58" t="s">
        <v>18</v>
      </c>
      <c r="C58">
        <v>41</v>
      </c>
      <c r="D58" t="s">
        <v>19</v>
      </c>
      <c r="E58" s="7">
        <v>30469.74</v>
      </c>
      <c r="F58" t="s">
        <v>20</v>
      </c>
      <c r="G58" t="s">
        <v>21</v>
      </c>
      <c r="H58" t="str">
        <f>"T3 201904248514"</f>
        <v>T3 201904248514</v>
      </c>
      <c r="I58" t="str">
        <f>"FICA WITHHOLDINGS"</f>
        <v>FICA WITHHOLDINGS</v>
      </c>
    </row>
    <row r="59" spans="1:9" x14ac:dyDescent="0.25">
      <c r="A59" s="6">
        <v>43579</v>
      </c>
      <c r="B59" t="s">
        <v>18</v>
      </c>
      <c r="C59">
        <v>41</v>
      </c>
      <c r="D59" t="s">
        <v>19</v>
      </c>
      <c r="E59" s="7">
        <v>30469.74</v>
      </c>
      <c r="F59" t="s">
        <v>20</v>
      </c>
      <c r="G59" t="s">
        <v>21</v>
      </c>
      <c r="H59" t="str">
        <f>"T4 201904248514"</f>
        <v>T4 201904248514</v>
      </c>
      <c r="I59" t="str">
        <f>"MEDICARE WITHHOLDINGS"</f>
        <v>MEDICARE WITHHOLDINGS</v>
      </c>
    </row>
    <row r="60" spans="1:9" x14ac:dyDescent="0.25">
      <c r="A60" s="6">
        <v>43593</v>
      </c>
      <c r="B60" t="s">
        <v>18</v>
      </c>
      <c r="C60">
        <v>42</v>
      </c>
      <c r="D60" t="s">
        <v>19</v>
      </c>
      <c r="E60" s="7">
        <v>29952.57</v>
      </c>
      <c r="F60" t="s">
        <v>20</v>
      </c>
      <c r="G60" t="s">
        <v>21</v>
      </c>
      <c r="H60" t="str">
        <f>"T1 201905088520"</f>
        <v>T1 201905088520</v>
      </c>
      <c r="I60" t="str">
        <f>"FED WITHHOLDINGS"</f>
        <v>FED WITHHOLDINGS</v>
      </c>
    </row>
    <row r="61" spans="1:9" x14ac:dyDescent="0.25">
      <c r="A61" s="6">
        <v>43593</v>
      </c>
      <c r="B61" t="s">
        <v>18</v>
      </c>
      <c r="C61">
        <v>42</v>
      </c>
      <c r="D61" t="s">
        <v>19</v>
      </c>
      <c r="E61" s="7">
        <v>29952.57</v>
      </c>
      <c r="F61" t="s">
        <v>20</v>
      </c>
      <c r="G61" t="s">
        <v>21</v>
      </c>
      <c r="H61" t="str">
        <f>"T3 201905088520"</f>
        <v>T3 201905088520</v>
      </c>
      <c r="I61" t="str">
        <f>"FICA WITHHOLDINGS"</f>
        <v>FICA WITHHOLDINGS</v>
      </c>
    </row>
    <row r="62" spans="1:9" x14ac:dyDescent="0.25">
      <c r="A62" s="6">
        <v>43593</v>
      </c>
      <c r="B62" t="s">
        <v>18</v>
      </c>
      <c r="C62">
        <v>42</v>
      </c>
      <c r="D62" t="s">
        <v>19</v>
      </c>
      <c r="E62" s="7">
        <v>29952.57</v>
      </c>
      <c r="F62" t="s">
        <v>20</v>
      </c>
      <c r="G62" t="s">
        <v>21</v>
      </c>
      <c r="H62" t="str">
        <f>"T4 201905088520"</f>
        <v>T4 201905088520</v>
      </c>
      <c r="I62" t="str">
        <f>"MEDICARE WITHHOLDINGS"</f>
        <v>MEDICARE WITHHOLDINGS</v>
      </c>
    </row>
    <row r="63" spans="1:9" x14ac:dyDescent="0.25">
      <c r="A63" s="6">
        <v>43593</v>
      </c>
      <c r="B63" t="s">
        <v>18</v>
      </c>
      <c r="C63">
        <v>43</v>
      </c>
      <c r="D63" t="s">
        <v>19</v>
      </c>
      <c r="E63" s="7">
        <v>52.52</v>
      </c>
      <c r="F63" t="s">
        <v>20</v>
      </c>
      <c r="G63" t="s">
        <v>21</v>
      </c>
      <c r="H63" t="str">
        <f>"T3 201905088521"</f>
        <v>T3 201905088521</v>
      </c>
      <c r="I63" t="str">
        <f>"FICA WITHHOLDINGS"</f>
        <v>FICA WITHHOLDINGS</v>
      </c>
    </row>
    <row r="64" spans="1:9" x14ac:dyDescent="0.25">
      <c r="A64" s="6">
        <v>43593</v>
      </c>
      <c r="B64" t="s">
        <v>18</v>
      </c>
      <c r="C64">
        <v>43</v>
      </c>
      <c r="D64" t="s">
        <v>19</v>
      </c>
      <c r="E64" s="7">
        <v>52.52</v>
      </c>
      <c r="F64" t="s">
        <v>20</v>
      </c>
      <c r="G64" t="s">
        <v>21</v>
      </c>
      <c r="H64" t="str">
        <f>"T4 201905088521"</f>
        <v>T4 201905088521</v>
      </c>
      <c r="I64" t="str">
        <f>"MEDICARE WITHHOLDINGS"</f>
        <v>MEDICARE WITHHOLDINGS</v>
      </c>
    </row>
    <row r="65" spans="1:9" x14ac:dyDescent="0.25">
      <c r="A65" s="6">
        <v>43599</v>
      </c>
      <c r="B65" t="s">
        <v>91</v>
      </c>
      <c r="C65">
        <v>44</v>
      </c>
      <c r="D65" t="s">
        <v>19</v>
      </c>
      <c r="E65" s="7">
        <v>323.33999999999997</v>
      </c>
      <c r="F65" t="s">
        <v>20</v>
      </c>
      <c r="G65" t="s">
        <v>21</v>
      </c>
      <c r="H65" t="str">
        <f>"T1 201905148522"</f>
        <v>T1 201905148522</v>
      </c>
      <c r="I65" t="str">
        <f>"FED WITHHOLDINGS"</f>
        <v>FED WITHHOLDINGS</v>
      </c>
    </row>
    <row r="66" spans="1:9" x14ac:dyDescent="0.25">
      <c r="A66" s="6">
        <v>43599</v>
      </c>
      <c r="B66" t="s">
        <v>91</v>
      </c>
      <c r="C66">
        <v>44</v>
      </c>
      <c r="D66" t="s">
        <v>19</v>
      </c>
      <c r="E66" s="7">
        <v>323.33999999999997</v>
      </c>
      <c r="F66" t="s">
        <v>20</v>
      </c>
      <c r="G66" t="s">
        <v>21</v>
      </c>
      <c r="H66" t="str">
        <f>"T3 201905148522"</f>
        <v>T3 201905148522</v>
      </c>
      <c r="I66" t="str">
        <f>"FICA WITHHOLDINGS"</f>
        <v>FICA WITHHOLDINGS</v>
      </c>
    </row>
    <row r="67" spans="1:9" x14ac:dyDescent="0.25">
      <c r="A67" s="6">
        <v>43599</v>
      </c>
      <c r="B67" t="s">
        <v>91</v>
      </c>
      <c r="C67">
        <v>44</v>
      </c>
      <c r="D67" t="s">
        <v>19</v>
      </c>
      <c r="E67" s="7">
        <v>323.33999999999997</v>
      </c>
      <c r="F67" t="s">
        <v>20</v>
      </c>
      <c r="G67" t="s">
        <v>21</v>
      </c>
      <c r="H67" t="str">
        <f>"T4 201905148522"</f>
        <v>T4 201905148522</v>
      </c>
      <c r="I67" t="str">
        <f>"MEDICARE WITHHOLDINGS"</f>
        <v>MEDICARE WITHHOLDINGS</v>
      </c>
    </row>
    <row r="68" spans="1:9" x14ac:dyDescent="0.25">
      <c r="A68" s="6">
        <v>43599</v>
      </c>
      <c r="B68" t="s">
        <v>91</v>
      </c>
      <c r="C68">
        <v>44</v>
      </c>
      <c r="D68" t="s">
        <v>19</v>
      </c>
      <c r="E68" s="7">
        <v>-323.33999999999997</v>
      </c>
      <c r="F68" t="s">
        <v>20</v>
      </c>
      <c r="G68" t="s">
        <v>93</v>
      </c>
      <c r="H68" t="str">
        <f>"CHECK"</f>
        <v>CHECK</v>
      </c>
      <c r="I68" t="str">
        <f>""</f>
        <v/>
      </c>
    </row>
    <row r="69" spans="1:9" x14ac:dyDescent="0.25">
      <c r="A69" s="6">
        <v>43607</v>
      </c>
      <c r="B69" t="s">
        <v>18</v>
      </c>
      <c r="C69">
        <v>45</v>
      </c>
      <c r="D69" t="s">
        <v>19</v>
      </c>
      <c r="E69" s="7">
        <v>29953.3</v>
      </c>
      <c r="F69" t="s">
        <v>20</v>
      </c>
      <c r="G69" t="s">
        <v>21</v>
      </c>
      <c r="H69" t="str">
        <f>"T1 201905228523"</f>
        <v>T1 201905228523</v>
      </c>
      <c r="I69" t="str">
        <f>"FED WITHHOLDINGS"</f>
        <v>FED WITHHOLDINGS</v>
      </c>
    </row>
    <row r="70" spans="1:9" x14ac:dyDescent="0.25">
      <c r="A70" s="6">
        <v>43607</v>
      </c>
      <c r="B70" t="s">
        <v>18</v>
      </c>
      <c r="C70">
        <v>45</v>
      </c>
      <c r="D70" t="s">
        <v>19</v>
      </c>
      <c r="E70" s="7">
        <v>29953.3</v>
      </c>
      <c r="F70" t="s">
        <v>20</v>
      </c>
      <c r="G70" t="s">
        <v>21</v>
      </c>
      <c r="H70" t="str">
        <f>"T3 201905228523"</f>
        <v>T3 201905228523</v>
      </c>
      <c r="I70" t="str">
        <f>"FICA WITHHOLDINGS"</f>
        <v>FICA WITHHOLDINGS</v>
      </c>
    </row>
    <row r="71" spans="1:9" x14ac:dyDescent="0.25">
      <c r="A71" s="6">
        <v>43607</v>
      </c>
      <c r="B71" t="s">
        <v>18</v>
      </c>
      <c r="C71">
        <v>45</v>
      </c>
      <c r="D71" t="s">
        <v>19</v>
      </c>
      <c r="E71" s="7">
        <v>29953.3</v>
      </c>
      <c r="F71" t="s">
        <v>20</v>
      </c>
      <c r="G71" t="s">
        <v>21</v>
      </c>
      <c r="H71" t="str">
        <f>"T4 201905228523"</f>
        <v>T4 201905228523</v>
      </c>
      <c r="I71" t="str">
        <f>"MEDICARE WITHHOLDINGS"</f>
        <v>MEDICARE WITHHOLDINGS</v>
      </c>
    </row>
    <row r="72" spans="1:9" x14ac:dyDescent="0.25">
      <c r="A72" s="6">
        <v>43621</v>
      </c>
      <c r="B72" t="s">
        <v>18</v>
      </c>
      <c r="C72">
        <v>46</v>
      </c>
      <c r="D72" t="s">
        <v>19</v>
      </c>
      <c r="E72" s="7">
        <v>31765.15</v>
      </c>
      <c r="F72" t="s">
        <v>20</v>
      </c>
      <c r="G72" t="s">
        <v>21</v>
      </c>
      <c r="H72" t="str">
        <f>"T1 201906058525"</f>
        <v>T1 201906058525</v>
      </c>
      <c r="I72" t="str">
        <f>"FED WITHHOLDINGS"</f>
        <v>FED WITHHOLDINGS</v>
      </c>
    </row>
    <row r="73" spans="1:9" x14ac:dyDescent="0.25">
      <c r="A73" s="6">
        <v>43621</v>
      </c>
      <c r="B73" t="s">
        <v>18</v>
      </c>
      <c r="C73">
        <v>46</v>
      </c>
      <c r="D73" t="s">
        <v>19</v>
      </c>
      <c r="E73" s="7">
        <v>31765.15</v>
      </c>
      <c r="F73" t="s">
        <v>20</v>
      </c>
      <c r="G73" t="s">
        <v>21</v>
      </c>
      <c r="H73" t="str">
        <f>"T3 201906058525"</f>
        <v>T3 201906058525</v>
      </c>
      <c r="I73" t="str">
        <f>"FICA WITHHOLDINGS"</f>
        <v>FICA WITHHOLDINGS</v>
      </c>
    </row>
    <row r="74" spans="1:9" x14ac:dyDescent="0.25">
      <c r="A74" s="6">
        <v>43621</v>
      </c>
      <c r="B74" t="s">
        <v>18</v>
      </c>
      <c r="C74">
        <v>46</v>
      </c>
      <c r="D74" t="s">
        <v>19</v>
      </c>
      <c r="E74" s="7">
        <v>31765.15</v>
      </c>
      <c r="F74" t="s">
        <v>20</v>
      </c>
      <c r="G74" t="s">
        <v>21</v>
      </c>
      <c r="H74" t="str">
        <f>"T4 201906058525"</f>
        <v>T4 201906058525</v>
      </c>
      <c r="I74" t="str">
        <f>"MEDICARE WITHHOLDINGS"</f>
        <v>MEDICARE WITHHOLDINGS</v>
      </c>
    </row>
    <row r="75" spans="1:9" x14ac:dyDescent="0.25">
      <c r="A75" s="6">
        <v>43637</v>
      </c>
      <c r="B75" t="s">
        <v>18</v>
      </c>
      <c r="C75">
        <v>48</v>
      </c>
      <c r="D75" t="s">
        <v>19</v>
      </c>
      <c r="E75" s="7">
        <v>39195.97</v>
      </c>
      <c r="F75" t="s">
        <v>20</v>
      </c>
      <c r="G75" t="s">
        <v>21</v>
      </c>
      <c r="H75" t="str">
        <f>"T1 201906198526"</f>
        <v>T1 201906198526</v>
      </c>
      <c r="I75" t="str">
        <f>"FED WITHHOLDINGS"</f>
        <v>FED WITHHOLDINGS</v>
      </c>
    </row>
    <row r="76" spans="1:9" x14ac:dyDescent="0.25">
      <c r="A76" s="6">
        <v>43637</v>
      </c>
      <c r="B76" t="s">
        <v>18</v>
      </c>
      <c r="C76">
        <v>48</v>
      </c>
      <c r="D76" t="s">
        <v>19</v>
      </c>
      <c r="E76" s="7">
        <v>39195.97</v>
      </c>
      <c r="F76" t="s">
        <v>20</v>
      </c>
      <c r="G76" t="s">
        <v>21</v>
      </c>
      <c r="H76" t="str">
        <f>"T3 201906198526"</f>
        <v>T3 201906198526</v>
      </c>
      <c r="I76" t="str">
        <f>"FICA WITHHOLDINGS"</f>
        <v>FICA WITHHOLDINGS</v>
      </c>
    </row>
    <row r="77" spans="1:9" x14ac:dyDescent="0.25">
      <c r="A77" s="6">
        <v>43637</v>
      </c>
      <c r="B77" t="s">
        <v>18</v>
      </c>
      <c r="C77">
        <v>48</v>
      </c>
      <c r="D77" t="s">
        <v>19</v>
      </c>
      <c r="E77" s="7">
        <v>39195.97</v>
      </c>
      <c r="F77" t="s">
        <v>20</v>
      </c>
      <c r="G77" t="s">
        <v>21</v>
      </c>
      <c r="H77" t="str">
        <f>"T4 201906198526"</f>
        <v>T4 201906198526</v>
      </c>
      <c r="I77" t="str">
        <f>"MEDICARE WITHHOLDINGS"</f>
        <v>MEDICARE WITHHOLDINGS</v>
      </c>
    </row>
    <row r="78" spans="1:9" x14ac:dyDescent="0.25">
      <c r="A78" s="6">
        <v>43644</v>
      </c>
      <c r="B78" t="s">
        <v>18</v>
      </c>
      <c r="C78">
        <v>49</v>
      </c>
      <c r="D78" t="s">
        <v>19</v>
      </c>
      <c r="E78" s="7">
        <v>5354.92</v>
      </c>
      <c r="F78" t="s">
        <v>20</v>
      </c>
      <c r="G78" t="s">
        <v>21</v>
      </c>
      <c r="H78" t="str">
        <f>"T3 201906258527"</f>
        <v>T3 201906258527</v>
      </c>
      <c r="I78" t="str">
        <f>"FICA WITHHOLDINGS"</f>
        <v>FICA WITHHOLDINGS</v>
      </c>
    </row>
    <row r="79" spans="1:9" x14ac:dyDescent="0.25">
      <c r="A79" s="6">
        <v>43644</v>
      </c>
      <c r="B79" t="s">
        <v>18</v>
      </c>
      <c r="C79">
        <v>49</v>
      </c>
      <c r="D79" t="s">
        <v>19</v>
      </c>
      <c r="E79" s="7">
        <v>5354.92</v>
      </c>
      <c r="F79" t="s">
        <v>20</v>
      </c>
      <c r="G79" t="s">
        <v>21</v>
      </c>
      <c r="H79" t="str">
        <f>"T4 201906258527"</f>
        <v>T4 201906258527</v>
      </c>
      <c r="I79" t="str">
        <f>"MEDICARE WITHHOLDINGS"</f>
        <v>MEDICARE WITHHOLDINGS</v>
      </c>
    </row>
    <row r="80" spans="1:9" x14ac:dyDescent="0.25">
      <c r="A80" s="6">
        <v>43649</v>
      </c>
      <c r="B80" t="s">
        <v>18</v>
      </c>
      <c r="C80">
        <v>50</v>
      </c>
      <c r="D80" t="s">
        <v>19</v>
      </c>
      <c r="E80" s="7">
        <v>32080.81</v>
      </c>
      <c r="F80" t="s">
        <v>20</v>
      </c>
      <c r="G80" t="s">
        <v>21</v>
      </c>
      <c r="H80" t="str">
        <f>"T1 201907018529"</f>
        <v>T1 201907018529</v>
      </c>
      <c r="I80" t="str">
        <f>"FED WITHHOLDINGS"</f>
        <v>FED WITHHOLDINGS</v>
      </c>
    </row>
    <row r="81" spans="1:9" x14ac:dyDescent="0.25">
      <c r="A81" s="6">
        <v>43649</v>
      </c>
      <c r="B81" t="s">
        <v>18</v>
      </c>
      <c r="C81">
        <v>50</v>
      </c>
      <c r="D81" t="s">
        <v>19</v>
      </c>
      <c r="E81" s="7">
        <v>32080.81</v>
      </c>
      <c r="F81" t="s">
        <v>20</v>
      </c>
      <c r="G81" t="s">
        <v>21</v>
      </c>
      <c r="H81" t="str">
        <f>"T3 201907018529"</f>
        <v>T3 201907018529</v>
      </c>
      <c r="I81" t="str">
        <f>"FICA WITHHOLDINGS"</f>
        <v>FICA WITHHOLDINGS</v>
      </c>
    </row>
    <row r="82" spans="1:9" x14ac:dyDescent="0.25">
      <c r="A82" s="6">
        <v>43649</v>
      </c>
      <c r="B82" t="s">
        <v>18</v>
      </c>
      <c r="C82">
        <v>50</v>
      </c>
      <c r="D82" t="s">
        <v>19</v>
      </c>
      <c r="E82" s="7">
        <v>32080.81</v>
      </c>
      <c r="F82" t="s">
        <v>20</v>
      </c>
      <c r="G82" t="s">
        <v>21</v>
      </c>
      <c r="H82" t="str">
        <f>"T4 201907018529"</f>
        <v>T4 201907018529</v>
      </c>
      <c r="I82" t="str">
        <f>"MEDICARE WITHHOLDINGS"</f>
        <v>MEDICARE WITHHOLDINGS</v>
      </c>
    </row>
    <row r="83" spans="1:9" x14ac:dyDescent="0.25">
      <c r="A83" s="6">
        <v>43662</v>
      </c>
      <c r="B83" t="s">
        <v>18</v>
      </c>
      <c r="C83">
        <v>51</v>
      </c>
      <c r="D83" t="s">
        <v>19</v>
      </c>
      <c r="E83" s="7">
        <v>33795.54</v>
      </c>
      <c r="F83" t="s">
        <v>20</v>
      </c>
      <c r="G83" t="s">
        <v>21</v>
      </c>
      <c r="H83" t="str">
        <f>"T1 201907168530"</f>
        <v>T1 201907168530</v>
      </c>
      <c r="I83" t="str">
        <f>"FED WITHHOLDINGS"</f>
        <v>FED WITHHOLDINGS</v>
      </c>
    </row>
    <row r="84" spans="1:9" x14ac:dyDescent="0.25">
      <c r="A84" s="6">
        <v>43662</v>
      </c>
      <c r="B84" t="s">
        <v>18</v>
      </c>
      <c r="C84">
        <v>51</v>
      </c>
      <c r="D84" t="s">
        <v>19</v>
      </c>
      <c r="E84" s="7">
        <v>33795.54</v>
      </c>
      <c r="F84" t="s">
        <v>20</v>
      </c>
      <c r="G84" t="s">
        <v>21</v>
      </c>
      <c r="H84" t="str">
        <f>"T3 201907168530"</f>
        <v>T3 201907168530</v>
      </c>
      <c r="I84" t="str">
        <f>"FICA WITHHOLDINGS"</f>
        <v>FICA WITHHOLDINGS</v>
      </c>
    </row>
    <row r="85" spans="1:9" x14ac:dyDescent="0.25">
      <c r="A85" s="6">
        <v>43662</v>
      </c>
      <c r="B85" t="s">
        <v>18</v>
      </c>
      <c r="C85">
        <v>51</v>
      </c>
      <c r="D85" t="s">
        <v>19</v>
      </c>
      <c r="E85" s="7">
        <v>33795.54</v>
      </c>
      <c r="F85" t="s">
        <v>20</v>
      </c>
      <c r="G85" t="s">
        <v>21</v>
      </c>
      <c r="H85" t="str">
        <f>"T4 201907168530"</f>
        <v>T4 201907168530</v>
      </c>
      <c r="I85" t="str">
        <f>"MEDICARE WITHHOLDINGS"</f>
        <v>MEDICARE WITHHOLDINGS</v>
      </c>
    </row>
    <row r="86" spans="1:9" x14ac:dyDescent="0.25">
      <c r="A86" s="6">
        <v>43664</v>
      </c>
      <c r="B86" t="s">
        <v>18</v>
      </c>
      <c r="C86">
        <v>52</v>
      </c>
      <c r="D86" t="s">
        <v>19</v>
      </c>
      <c r="E86" s="7">
        <v>3357.81</v>
      </c>
      <c r="F86" t="s">
        <v>20</v>
      </c>
      <c r="G86" t="s">
        <v>21</v>
      </c>
      <c r="H86" t="str">
        <f>"T1 201907188531"</f>
        <v>T1 201907188531</v>
      </c>
      <c r="I86" t="str">
        <f>"FED WITHHOLDINGS"</f>
        <v>FED WITHHOLDINGS</v>
      </c>
    </row>
    <row r="87" spans="1:9" x14ac:dyDescent="0.25">
      <c r="A87" s="6">
        <v>43664</v>
      </c>
      <c r="B87" t="s">
        <v>18</v>
      </c>
      <c r="C87">
        <v>52</v>
      </c>
      <c r="D87" t="s">
        <v>19</v>
      </c>
      <c r="E87" s="7">
        <v>3357.81</v>
      </c>
      <c r="F87" t="s">
        <v>20</v>
      </c>
      <c r="G87" t="s">
        <v>21</v>
      </c>
      <c r="H87" t="str">
        <f>"T3 201907188531"</f>
        <v>T3 201907188531</v>
      </c>
      <c r="I87" t="str">
        <f>"FICA WITHHOLDINGS"</f>
        <v>FICA WITHHOLDINGS</v>
      </c>
    </row>
    <row r="88" spans="1:9" x14ac:dyDescent="0.25">
      <c r="A88" s="6">
        <v>43664</v>
      </c>
      <c r="B88" t="s">
        <v>18</v>
      </c>
      <c r="C88">
        <v>52</v>
      </c>
      <c r="D88" t="s">
        <v>19</v>
      </c>
      <c r="E88" s="7">
        <v>3357.81</v>
      </c>
      <c r="F88" t="s">
        <v>20</v>
      </c>
      <c r="G88" t="s">
        <v>21</v>
      </c>
      <c r="H88" t="str">
        <f>"T4 201907188531"</f>
        <v>T4 201907188531</v>
      </c>
      <c r="I88" t="str">
        <f>"MEDICARE WITHHOLDINGS"</f>
        <v>MEDICARE WITHHOLDINGS</v>
      </c>
    </row>
    <row r="89" spans="1:9" x14ac:dyDescent="0.25">
      <c r="A89" s="6">
        <v>43664</v>
      </c>
      <c r="B89" t="s">
        <v>18</v>
      </c>
      <c r="C89">
        <v>53</v>
      </c>
      <c r="D89" t="s">
        <v>19</v>
      </c>
      <c r="E89" s="7">
        <v>915.12</v>
      </c>
      <c r="F89" t="s">
        <v>20</v>
      </c>
      <c r="G89" t="s">
        <v>21</v>
      </c>
      <c r="H89" t="str">
        <f>"T1 201907188532"</f>
        <v>T1 201907188532</v>
      </c>
      <c r="I89" t="str">
        <f>"FED WITHHOLDINGS"</f>
        <v>FED WITHHOLDINGS</v>
      </c>
    </row>
    <row r="90" spans="1:9" x14ac:dyDescent="0.25">
      <c r="A90" s="6">
        <v>43664</v>
      </c>
      <c r="B90" t="s">
        <v>18</v>
      </c>
      <c r="C90">
        <v>53</v>
      </c>
      <c r="D90" t="s">
        <v>19</v>
      </c>
      <c r="E90" s="7">
        <v>915.12</v>
      </c>
      <c r="F90" t="s">
        <v>20</v>
      </c>
      <c r="G90" t="s">
        <v>21</v>
      </c>
      <c r="H90" t="str">
        <f>"T3 201907188532"</f>
        <v>T3 201907188532</v>
      </c>
      <c r="I90" t="str">
        <f>"FICA WITHHOLDINGS"</f>
        <v>FICA WITHHOLDINGS</v>
      </c>
    </row>
    <row r="91" spans="1:9" x14ac:dyDescent="0.25">
      <c r="A91" s="6">
        <v>43664</v>
      </c>
      <c r="B91" t="s">
        <v>18</v>
      </c>
      <c r="C91">
        <v>53</v>
      </c>
      <c r="D91" t="s">
        <v>19</v>
      </c>
      <c r="E91" s="7">
        <v>915.12</v>
      </c>
      <c r="F91" t="s">
        <v>20</v>
      </c>
      <c r="G91" t="s">
        <v>21</v>
      </c>
      <c r="H91" t="str">
        <f>"T4 201907188532"</f>
        <v>T4 201907188532</v>
      </c>
      <c r="I91" t="str">
        <f>"MEDICARE WITHHOLDINGS"</f>
        <v>MEDICARE WITHHOLDINGS</v>
      </c>
    </row>
    <row r="92" spans="1:9" x14ac:dyDescent="0.25">
      <c r="A92" s="6">
        <v>43677</v>
      </c>
      <c r="B92" t="s">
        <v>18</v>
      </c>
      <c r="C92">
        <v>54</v>
      </c>
      <c r="D92" t="s">
        <v>19</v>
      </c>
      <c r="E92" s="7">
        <v>33011.370000000003</v>
      </c>
      <c r="F92" t="s">
        <v>20</v>
      </c>
      <c r="G92" t="s">
        <v>21</v>
      </c>
      <c r="H92" t="str">
        <f>"T1 201907308533"</f>
        <v>T1 201907308533</v>
      </c>
      <c r="I92" t="str">
        <f>"FED WITHHOLDINGS"</f>
        <v>FED WITHHOLDINGS</v>
      </c>
    </row>
    <row r="93" spans="1:9" x14ac:dyDescent="0.25">
      <c r="A93" s="6">
        <v>43677</v>
      </c>
      <c r="B93" t="s">
        <v>18</v>
      </c>
      <c r="C93">
        <v>54</v>
      </c>
      <c r="D93" t="s">
        <v>19</v>
      </c>
      <c r="E93" s="7">
        <v>33011.370000000003</v>
      </c>
      <c r="F93" t="s">
        <v>20</v>
      </c>
      <c r="G93" t="s">
        <v>21</v>
      </c>
      <c r="H93" t="str">
        <f>"T3 201907308533"</f>
        <v>T3 201907308533</v>
      </c>
      <c r="I93" t="str">
        <f>"FICA WITHHOLDINGS"</f>
        <v>FICA WITHHOLDINGS</v>
      </c>
    </row>
    <row r="94" spans="1:9" x14ac:dyDescent="0.25">
      <c r="A94" s="6">
        <v>43677</v>
      </c>
      <c r="B94" t="s">
        <v>18</v>
      </c>
      <c r="C94">
        <v>54</v>
      </c>
      <c r="D94" t="s">
        <v>19</v>
      </c>
      <c r="E94" s="7">
        <v>33011.370000000003</v>
      </c>
      <c r="F94" t="s">
        <v>20</v>
      </c>
      <c r="G94" t="s">
        <v>21</v>
      </c>
      <c r="H94" t="str">
        <f>"T4 201907308533"</f>
        <v>T4 201907308533</v>
      </c>
      <c r="I94" t="str">
        <f>"MEDICARE WITHHOLDINGS"</f>
        <v>MEDICARE WITHHOLDINGS</v>
      </c>
    </row>
    <row r="95" spans="1:9" x14ac:dyDescent="0.25">
      <c r="A95" s="6">
        <v>43693</v>
      </c>
      <c r="B95" t="s">
        <v>18</v>
      </c>
      <c r="C95">
        <v>55</v>
      </c>
      <c r="D95" t="s">
        <v>19</v>
      </c>
      <c r="E95" s="7">
        <v>31244.89</v>
      </c>
      <c r="F95" t="s">
        <v>20</v>
      </c>
      <c r="G95" t="s">
        <v>21</v>
      </c>
      <c r="H95" t="str">
        <f>"T1 201908138535"</f>
        <v>T1 201908138535</v>
      </c>
      <c r="I95" t="str">
        <f>"FED WITHHOLDINGS"</f>
        <v>FED WITHHOLDINGS</v>
      </c>
    </row>
    <row r="96" spans="1:9" x14ac:dyDescent="0.25">
      <c r="A96" s="6">
        <v>43693</v>
      </c>
      <c r="B96" t="s">
        <v>18</v>
      </c>
      <c r="C96">
        <v>55</v>
      </c>
      <c r="D96" t="s">
        <v>19</v>
      </c>
      <c r="E96" s="7">
        <v>31244.89</v>
      </c>
      <c r="F96" t="s">
        <v>20</v>
      </c>
      <c r="G96" t="s">
        <v>21</v>
      </c>
      <c r="H96" t="str">
        <f>"T3 201908138535"</f>
        <v>T3 201908138535</v>
      </c>
      <c r="I96" t="str">
        <f>"FICA WITHHOLDINGS"</f>
        <v>FICA WITHHOLDINGS</v>
      </c>
    </row>
    <row r="97" spans="1:9" x14ac:dyDescent="0.25">
      <c r="A97" s="6">
        <v>43693</v>
      </c>
      <c r="B97" t="s">
        <v>18</v>
      </c>
      <c r="C97">
        <v>55</v>
      </c>
      <c r="D97" t="s">
        <v>19</v>
      </c>
      <c r="E97" s="7">
        <v>31244.89</v>
      </c>
      <c r="F97" t="s">
        <v>20</v>
      </c>
      <c r="G97" t="s">
        <v>21</v>
      </c>
      <c r="H97" t="str">
        <f>"T4 201908138535"</f>
        <v>T4 201908138535</v>
      </c>
      <c r="I97" t="str">
        <f>"MEDICARE WITHHOLDINGS"</f>
        <v>MEDICARE WITHHOLDINGS</v>
      </c>
    </row>
    <row r="98" spans="1:9" x14ac:dyDescent="0.25">
      <c r="A98" s="6">
        <v>43707</v>
      </c>
      <c r="B98" t="s">
        <v>18</v>
      </c>
      <c r="C98">
        <v>56</v>
      </c>
      <c r="D98" t="s">
        <v>19</v>
      </c>
      <c r="E98" s="7">
        <v>30588.35</v>
      </c>
      <c r="F98" t="s">
        <v>20</v>
      </c>
      <c r="G98" t="s">
        <v>21</v>
      </c>
      <c r="H98" t="str">
        <f>"T1 201908278536"</f>
        <v>T1 201908278536</v>
      </c>
      <c r="I98" t="str">
        <f>"FED WITHHOLDINGS"</f>
        <v>FED WITHHOLDINGS</v>
      </c>
    </row>
    <row r="99" spans="1:9" x14ac:dyDescent="0.25">
      <c r="A99" s="6">
        <v>43707</v>
      </c>
      <c r="B99" t="s">
        <v>18</v>
      </c>
      <c r="C99">
        <v>56</v>
      </c>
      <c r="D99" t="s">
        <v>19</v>
      </c>
      <c r="E99" s="7">
        <v>30588.35</v>
      </c>
      <c r="F99" t="s">
        <v>20</v>
      </c>
      <c r="G99" t="s">
        <v>21</v>
      </c>
      <c r="H99" t="str">
        <f>"T3 201908278536"</f>
        <v>T3 201908278536</v>
      </c>
      <c r="I99" t="str">
        <f>"FICA WITHHOLDINGS"</f>
        <v>FICA WITHHOLDINGS</v>
      </c>
    </row>
    <row r="100" spans="1:9" x14ac:dyDescent="0.25">
      <c r="A100" s="6">
        <v>43707</v>
      </c>
      <c r="B100" t="s">
        <v>18</v>
      </c>
      <c r="C100">
        <v>56</v>
      </c>
      <c r="D100" t="s">
        <v>19</v>
      </c>
      <c r="E100" s="7">
        <v>30588.35</v>
      </c>
      <c r="F100" t="s">
        <v>20</v>
      </c>
      <c r="G100" t="s">
        <v>21</v>
      </c>
      <c r="H100" t="str">
        <f>"T4 201908278536"</f>
        <v>T4 201908278536</v>
      </c>
      <c r="I100" t="str">
        <f>"MEDICARE WITHHOLDINGS"</f>
        <v>MEDICARE WITHHOLDINGS</v>
      </c>
    </row>
    <row r="101" spans="1:9" x14ac:dyDescent="0.25">
      <c r="A101" s="6">
        <v>43719</v>
      </c>
      <c r="B101" t="s">
        <v>18</v>
      </c>
      <c r="C101">
        <v>57</v>
      </c>
      <c r="D101" t="s">
        <v>19</v>
      </c>
      <c r="E101" s="7">
        <v>31368.09</v>
      </c>
      <c r="F101" t="s">
        <v>20</v>
      </c>
      <c r="G101" t="s">
        <v>21</v>
      </c>
      <c r="H101" t="str">
        <f>"T1 201909108538"</f>
        <v>T1 201909108538</v>
      </c>
      <c r="I101" t="str">
        <f>"FED WITHHOLDINGS"</f>
        <v>FED WITHHOLDINGS</v>
      </c>
    </row>
    <row r="102" spans="1:9" x14ac:dyDescent="0.25">
      <c r="A102" s="6">
        <v>43719</v>
      </c>
      <c r="B102" t="s">
        <v>18</v>
      </c>
      <c r="C102">
        <v>57</v>
      </c>
      <c r="D102" t="s">
        <v>19</v>
      </c>
      <c r="E102" s="7">
        <v>31368.09</v>
      </c>
      <c r="F102" t="s">
        <v>20</v>
      </c>
      <c r="G102" t="s">
        <v>21</v>
      </c>
      <c r="H102" t="str">
        <f>"T3 201909108538"</f>
        <v>T3 201909108538</v>
      </c>
      <c r="I102" t="str">
        <f>"FICA WITHHOLDINGS"</f>
        <v>FICA WITHHOLDINGS</v>
      </c>
    </row>
    <row r="103" spans="1:9" x14ac:dyDescent="0.25">
      <c r="A103" s="6">
        <v>43719</v>
      </c>
      <c r="B103" t="s">
        <v>18</v>
      </c>
      <c r="C103">
        <v>57</v>
      </c>
      <c r="D103" t="s">
        <v>19</v>
      </c>
      <c r="E103" s="7">
        <v>31368.09</v>
      </c>
      <c r="F103" t="s">
        <v>20</v>
      </c>
      <c r="G103" t="s">
        <v>21</v>
      </c>
      <c r="H103" t="str">
        <f>"T4 201909108538"</f>
        <v>T4 201909108538</v>
      </c>
      <c r="I103" t="str">
        <f>"MEDICARE WITHHOLDINGS"</f>
        <v>MEDICARE WITHHOLDINGS</v>
      </c>
    </row>
    <row r="104" spans="1:9" x14ac:dyDescent="0.25">
      <c r="A104" s="6">
        <v>43732</v>
      </c>
      <c r="B104" t="s">
        <v>18</v>
      </c>
      <c r="C104">
        <v>58</v>
      </c>
      <c r="D104" t="s">
        <v>19</v>
      </c>
      <c r="E104" s="7">
        <v>30385.919999999998</v>
      </c>
      <c r="F104" t="s">
        <v>20</v>
      </c>
      <c r="G104" t="s">
        <v>21</v>
      </c>
      <c r="H104" t="str">
        <f>"T1 201909248539"</f>
        <v>T1 201909248539</v>
      </c>
      <c r="I104" t="str">
        <f>"FED WITHHOLDINGS"</f>
        <v>FED WITHHOLDINGS</v>
      </c>
    </row>
    <row r="105" spans="1:9" x14ac:dyDescent="0.25">
      <c r="A105" s="6">
        <v>43732</v>
      </c>
      <c r="B105" t="s">
        <v>18</v>
      </c>
      <c r="C105">
        <v>58</v>
      </c>
      <c r="D105" t="s">
        <v>19</v>
      </c>
      <c r="E105" s="7">
        <v>30385.919999999998</v>
      </c>
      <c r="F105" t="s">
        <v>20</v>
      </c>
      <c r="G105" t="s">
        <v>21</v>
      </c>
      <c r="H105" t="str">
        <f>"T3 201909248539"</f>
        <v>T3 201909248539</v>
      </c>
      <c r="I105" t="str">
        <f>"FICA WITHHOLDINGS"</f>
        <v>FICA WITHHOLDINGS</v>
      </c>
    </row>
    <row r="106" spans="1:9" x14ac:dyDescent="0.25">
      <c r="A106" s="6">
        <v>43732</v>
      </c>
      <c r="B106" t="s">
        <v>18</v>
      </c>
      <c r="C106">
        <v>58</v>
      </c>
      <c r="D106" t="s">
        <v>19</v>
      </c>
      <c r="E106" s="7">
        <v>30385.919999999998</v>
      </c>
      <c r="F106" t="s">
        <v>20</v>
      </c>
      <c r="G106" t="s">
        <v>21</v>
      </c>
      <c r="H106" t="str">
        <f>"T4 201909248539"</f>
        <v>T4 201909248539</v>
      </c>
      <c r="I106" t="str">
        <f>"MEDICARE WITHHOLDINGS"</f>
        <v>MEDICARE WITHHOLDINGS</v>
      </c>
    </row>
    <row r="107" spans="1:9" x14ac:dyDescent="0.25">
      <c r="A107" s="6">
        <v>43374</v>
      </c>
      <c r="B107" t="s">
        <v>26</v>
      </c>
      <c r="C107">
        <v>58971</v>
      </c>
      <c r="D107" t="s">
        <v>517</v>
      </c>
      <c r="E107" s="7">
        <v>2500</v>
      </c>
      <c r="F107" t="s">
        <v>20</v>
      </c>
      <c r="G107" t="s">
        <v>21</v>
      </c>
      <c r="H107" t="str">
        <f>"TRNG 10/01/2018"</f>
        <v>TRNG 10/01/2018</v>
      </c>
      <c r="I107" t="str">
        <f>"CRAIG ALLEN KRAUSE"</f>
        <v>CRAIG ALLEN KRAUSE</v>
      </c>
    </row>
    <row r="108" spans="1:9" x14ac:dyDescent="0.25">
      <c r="A108" s="6">
        <v>43376</v>
      </c>
      <c r="B108" t="s">
        <v>26</v>
      </c>
      <c r="C108">
        <v>58972</v>
      </c>
      <c r="D108" t="s">
        <v>56</v>
      </c>
      <c r="E108" s="7">
        <v>92.5</v>
      </c>
      <c r="F108" t="s">
        <v>20</v>
      </c>
      <c r="G108" t="s">
        <v>21</v>
      </c>
      <c r="H108" t="str">
        <f>"169636"</f>
        <v>169636</v>
      </c>
      <c r="I108" t="str">
        <f>"GERALD LUBIANSKI ENTERPRISES"</f>
        <v>GERALD LUBIANSKI ENTERPRISES</v>
      </c>
    </row>
    <row r="109" spans="1:9" x14ac:dyDescent="0.25">
      <c r="A109" s="6">
        <v>43376</v>
      </c>
      <c r="B109" t="s">
        <v>91</v>
      </c>
      <c r="C109">
        <v>58973</v>
      </c>
      <c r="D109" t="s">
        <v>57</v>
      </c>
      <c r="E109" s="7">
        <v>54678.32</v>
      </c>
      <c r="F109" t="s">
        <v>20</v>
      </c>
      <c r="G109" t="s">
        <v>21</v>
      </c>
      <c r="H109" t="str">
        <f>"11617 -10/18"</f>
        <v>11617 -10/18</v>
      </c>
      <c r="I109" t="str">
        <f>"F.E.L.P.S."</f>
        <v>F.E.L.P.S.</v>
      </c>
    </row>
    <row r="110" spans="1:9" x14ac:dyDescent="0.25">
      <c r="A110" s="6">
        <v>43376</v>
      </c>
      <c r="B110" t="s">
        <v>91</v>
      </c>
      <c r="C110">
        <v>58973</v>
      </c>
      <c r="D110" t="s">
        <v>57</v>
      </c>
      <c r="E110" s="7">
        <v>54678.32</v>
      </c>
      <c r="F110" t="s">
        <v>20</v>
      </c>
      <c r="G110" t="s">
        <v>21</v>
      </c>
      <c r="H110" t="str">
        <f>"11617-10/2018"</f>
        <v>11617-10/2018</v>
      </c>
      <c r="I110" t="str">
        <f>"F.E.L.P.S."</f>
        <v>F.E.L.P.S.</v>
      </c>
    </row>
    <row r="111" spans="1:9" x14ac:dyDescent="0.25">
      <c r="A111" s="6">
        <v>43376</v>
      </c>
      <c r="B111" t="s">
        <v>91</v>
      </c>
      <c r="C111">
        <v>58973</v>
      </c>
      <c r="D111" t="s">
        <v>57</v>
      </c>
      <c r="E111" s="7">
        <v>54678.32</v>
      </c>
      <c r="F111" t="s">
        <v>20</v>
      </c>
      <c r="G111" t="s">
        <v>93</v>
      </c>
      <c r="H111" t="str">
        <f>"CHECK"</f>
        <v>CHECK</v>
      </c>
      <c r="I111" t="str">
        <f>""</f>
        <v/>
      </c>
    </row>
    <row r="112" spans="1:9" x14ac:dyDescent="0.25">
      <c r="A112" s="6">
        <v>43376</v>
      </c>
      <c r="B112" t="s">
        <v>26</v>
      </c>
      <c r="C112">
        <v>58975</v>
      </c>
      <c r="D112" t="s">
        <v>59</v>
      </c>
      <c r="E112" s="7">
        <v>931.06</v>
      </c>
      <c r="F112" t="s">
        <v>20</v>
      </c>
      <c r="G112" t="s">
        <v>21</v>
      </c>
      <c r="H112" t="str">
        <f>"0980572-2"</f>
        <v>0980572-2</v>
      </c>
      <c r="I112" t="str">
        <f>"FERGUSON WATERWORKS - MUNICIPA"</f>
        <v>FERGUSON WATERWORKS - MUNICIPA</v>
      </c>
    </row>
    <row r="113" spans="1:9" x14ac:dyDescent="0.25">
      <c r="A113" s="6">
        <v>43376</v>
      </c>
      <c r="B113" t="s">
        <v>26</v>
      </c>
      <c r="C113">
        <v>58975</v>
      </c>
      <c r="D113" t="s">
        <v>59</v>
      </c>
      <c r="E113" s="7">
        <v>931.06</v>
      </c>
      <c r="F113" t="s">
        <v>20</v>
      </c>
      <c r="G113" t="s">
        <v>21</v>
      </c>
      <c r="H113" t="str">
        <f>"0986527"</f>
        <v>0986527</v>
      </c>
      <c r="I113" t="str">
        <f>"FERGUSON WATERWORKS - MUNICIPA"</f>
        <v>FERGUSON WATERWORKS - MUNICIPA</v>
      </c>
    </row>
    <row r="114" spans="1:9" x14ac:dyDescent="0.25">
      <c r="A114" s="6">
        <v>43376</v>
      </c>
      <c r="B114" t="s">
        <v>26</v>
      </c>
      <c r="C114">
        <v>58976</v>
      </c>
      <c r="D114" t="s">
        <v>166</v>
      </c>
      <c r="E114" s="7">
        <v>246.54</v>
      </c>
      <c r="F114" t="s">
        <v>20</v>
      </c>
      <c r="G114" t="s">
        <v>21</v>
      </c>
      <c r="H114" t="str">
        <f>"1009407829"</f>
        <v>1009407829</v>
      </c>
      <c r="I114" t="str">
        <f>"PITNEY BOWES PURCHASE POWER"</f>
        <v>PITNEY BOWES PURCHASE POWER</v>
      </c>
    </row>
    <row r="115" spans="1:9" x14ac:dyDescent="0.25">
      <c r="A115" s="6">
        <v>43376</v>
      </c>
      <c r="B115" t="s">
        <v>26</v>
      </c>
      <c r="C115">
        <v>58977</v>
      </c>
      <c r="D115" t="s">
        <v>273</v>
      </c>
      <c r="E115" s="7">
        <v>3437.07</v>
      </c>
      <c r="F115" t="s">
        <v>20</v>
      </c>
      <c r="G115" t="s">
        <v>21</v>
      </c>
      <c r="H115" t="str">
        <f>"5119-000085206"</f>
        <v>5119-000085206</v>
      </c>
      <c r="I115" t="str">
        <f>"REPUBLIC SERVICES TESSMAN ROAD"</f>
        <v>REPUBLIC SERVICES TESSMAN ROAD</v>
      </c>
    </row>
    <row r="116" spans="1:9" x14ac:dyDescent="0.25">
      <c r="A116" s="6">
        <v>43376</v>
      </c>
      <c r="B116" t="s">
        <v>26</v>
      </c>
      <c r="C116">
        <v>58978</v>
      </c>
      <c r="D116" t="s">
        <v>108</v>
      </c>
      <c r="E116" s="7">
        <v>1443.68</v>
      </c>
      <c r="F116" t="s">
        <v>20</v>
      </c>
      <c r="G116" t="s">
        <v>21</v>
      </c>
      <c r="H116" t="str">
        <f>"041295605611"</f>
        <v>041295605611</v>
      </c>
      <c r="I116" t="str">
        <f>"POOLSURE"</f>
        <v>POOLSURE</v>
      </c>
    </row>
    <row r="117" spans="1:9" x14ac:dyDescent="0.25">
      <c r="A117" s="6">
        <v>43376</v>
      </c>
      <c r="B117" t="s">
        <v>26</v>
      </c>
      <c r="C117">
        <v>58979</v>
      </c>
      <c r="D117" t="s">
        <v>340</v>
      </c>
      <c r="E117" s="7">
        <v>25</v>
      </c>
      <c r="F117" t="s">
        <v>20</v>
      </c>
      <c r="G117" t="s">
        <v>21</v>
      </c>
      <c r="H117" t="str">
        <f>"1810-344711"</f>
        <v>1810-344711</v>
      </c>
      <c r="I117" t="str">
        <f>"O'REILLY AUTOMOTIVE  INC."</f>
        <v>O'REILLY AUTOMOTIVE  INC.</v>
      </c>
    </row>
    <row r="118" spans="1:9" x14ac:dyDescent="0.25">
      <c r="A118" s="6">
        <v>43376</v>
      </c>
      <c r="B118" t="s">
        <v>26</v>
      </c>
      <c r="C118">
        <v>58980</v>
      </c>
      <c r="D118" t="s">
        <v>181</v>
      </c>
      <c r="E118" s="7">
        <v>42.22</v>
      </c>
      <c r="F118" t="s">
        <v>20</v>
      </c>
      <c r="G118" t="s">
        <v>21</v>
      </c>
      <c r="H118" t="str">
        <f>"8303933186 9/24/18"</f>
        <v>8303933186 9/24/18</v>
      </c>
      <c r="I118" t="str">
        <f>"AT&amp;T"</f>
        <v>AT&amp;T</v>
      </c>
    </row>
    <row r="119" spans="1:9" x14ac:dyDescent="0.25">
      <c r="A119" s="6">
        <v>43376</v>
      </c>
      <c r="B119" t="s">
        <v>26</v>
      </c>
      <c r="C119">
        <v>58981</v>
      </c>
      <c r="D119" t="s">
        <v>61</v>
      </c>
      <c r="E119" s="7">
        <v>2263</v>
      </c>
      <c r="F119" t="s">
        <v>20</v>
      </c>
      <c r="G119" t="s">
        <v>21</v>
      </c>
      <c r="H119" t="str">
        <f>"025-235316"</f>
        <v>025-235316</v>
      </c>
      <c r="I119" t="str">
        <f>"TYLER TECHNOLOGIES  INC."</f>
        <v>TYLER TECHNOLOGIES  INC.</v>
      </c>
    </row>
    <row r="120" spans="1:9" x14ac:dyDescent="0.25">
      <c r="A120" s="6">
        <v>43376</v>
      </c>
      <c r="B120" t="s">
        <v>26</v>
      </c>
      <c r="C120">
        <v>58981</v>
      </c>
      <c r="D120" t="s">
        <v>61</v>
      </c>
      <c r="E120" s="7">
        <v>2263</v>
      </c>
      <c r="F120" t="s">
        <v>20</v>
      </c>
      <c r="G120" t="s">
        <v>21</v>
      </c>
      <c r="H120" t="str">
        <f>"025-236616"</f>
        <v>025-236616</v>
      </c>
      <c r="I120" t="str">
        <f>"TYLER TECHNOLOGIES  INC."</f>
        <v>TYLER TECHNOLOGIES  INC.</v>
      </c>
    </row>
    <row r="121" spans="1:9" x14ac:dyDescent="0.25">
      <c r="A121" s="6">
        <v>43376</v>
      </c>
      <c r="B121" t="s">
        <v>26</v>
      </c>
      <c r="C121">
        <v>58981</v>
      </c>
      <c r="D121" t="s">
        <v>61</v>
      </c>
      <c r="E121" s="7">
        <v>2263</v>
      </c>
      <c r="F121" t="s">
        <v>20</v>
      </c>
      <c r="G121" t="s">
        <v>21</v>
      </c>
      <c r="H121" t="str">
        <f>"025-236964"</f>
        <v>025-236964</v>
      </c>
      <c r="I121" t="str">
        <f>"TYLER TECHNOLOGIES  INC."</f>
        <v>TYLER TECHNOLOGIES  INC.</v>
      </c>
    </row>
    <row r="122" spans="1:9" x14ac:dyDescent="0.25">
      <c r="A122" s="6">
        <v>43376</v>
      </c>
      <c r="B122" t="s">
        <v>26</v>
      </c>
      <c r="C122">
        <v>58982</v>
      </c>
      <c r="D122" t="s">
        <v>184</v>
      </c>
      <c r="E122" s="7">
        <v>1104</v>
      </c>
      <c r="F122" t="s">
        <v>20</v>
      </c>
      <c r="G122" t="s">
        <v>21</v>
      </c>
      <c r="H122" t="str">
        <f>"1051-909"</f>
        <v>1051-909</v>
      </c>
      <c r="I122" t="str">
        <f>"POLLUTION CONTROL SERVICES"</f>
        <v>POLLUTION CONTROL SERVICES</v>
      </c>
    </row>
    <row r="123" spans="1:9" x14ac:dyDescent="0.25">
      <c r="A123" s="6">
        <v>43376</v>
      </c>
      <c r="B123" t="s">
        <v>26</v>
      </c>
      <c r="C123">
        <v>58982</v>
      </c>
      <c r="D123" t="s">
        <v>184</v>
      </c>
      <c r="E123" s="7">
        <v>1104</v>
      </c>
      <c r="F123" t="s">
        <v>20</v>
      </c>
      <c r="G123" t="s">
        <v>21</v>
      </c>
      <c r="H123" t="str">
        <f>"1051-911"</f>
        <v>1051-911</v>
      </c>
      <c r="I123" t="str">
        <f>"POLLUTION CONTROL SERVICES"</f>
        <v>POLLUTION CONTROL SERVICES</v>
      </c>
    </row>
    <row r="124" spans="1:9" x14ac:dyDescent="0.25">
      <c r="A124" s="6">
        <v>43376</v>
      </c>
      <c r="B124" t="s">
        <v>26</v>
      </c>
      <c r="C124">
        <v>58983</v>
      </c>
      <c r="D124" t="s">
        <v>532</v>
      </c>
      <c r="E124" s="7">
        <v>80</v>
      </c>
      <c r="F124" t="s">
        <v>20</v>
      </c>
      <c r="G124" t="s">
        <v>21</v>
      </c>
      <c r="H124" t="str">
        <f>"9/27/18"</f>
        <v>9/27/18</v>
      </c>
      <c r="I124" t="str">
        <f>"GOVERNMENT FINANCE OFFICERS AS"</f>
        <v>GOVERNMENT FINANCE OFFICERS AS</v>
      </c>
    </row>
    <row r="125" spans="1:9" x14ac:dyDescent="0.25">
      <c r="A125" s="6">
        <v>43376</v>
      </c>
      <c r="B125" t="s">
        <v>26</v>
      </c>
      <c r="C125">
        <v>58984</v>
      </c>
      <c r="D125" t="s">
        <v>64</v>
      </c>
      <c r="E125" s="7">
        <v>4474</v>
      </c>
      <c r="F125" t="s">
        <v>20</v>
      </c>
      <c r="G125" t="s">
        <v>21</v>
      </c>
      <c r="H125" t="str">
        <f>"7629"</f>
        <v>7629</v>
      </c>
      <c r="I125" t="str">
        <f>"DREWA DESIGNS  INC."</f>
        <v>DREWA DESIGNS  INC.</v>
      </c>
    </row>
    <row r="126" spans="1:9" x14ac:dyDescent="0.25">
      <c r="A126" s="6">
        <v>43376</v>
      </c>
      <c r="B126" t="s">
        <v>26</v>
      </c>
      <c r="C126">
        <v>58984</v>
      </c>
      <c r="D126" t="s">
        <v>64</v>
      </c>
      <c r="E126" s="7">
        <v>4474</v>
      </c>
      <c r="F126" t="s">
        <v>20</v>
      </c>
      <c r="G126" t="s">
        <v>21</v>
      </c>
      <c r="H126" t="str">
        <f>"7637"</f>
        <v>7637</v>
      </c>
      <c r="I126" t="str">
        <f>"DREWA DESIGNS  INC."</f>
        <v>DREWA DESIGNS  INC.</v>
      </c>
    </row>
    <row r="127" spans="1:9" x14ac:dyDescent="0.25">
      <c r="A127" s="6">
        <v>43376</v>
      </c>
      <c r="B127" t="s">
        <v>26</v>
      </c>
      <c r="C127">
        <v>58984</v>
      </c>
      <c r="D127" t="s">
        <v>64</v>
      </c>
      <c r="E127" s="7">
        <v>4474</v>
      </c>
      <c r="F127" t="s">
        <v>20</v>
      </c>
      <c r="G127" t="s">
        <v>21</v>
      </c>
      <c r="H127" t="str">
        <f>"7638"</f>
        <v>7638</v>
      </c>
      <c r="I127" t="str">
        <f>"DREWA DESIGNS  INC."</f>
        <v>DREWA DESIGNS  INC.</v>
      </c>
    </row>
    <row r="128" spans="1:9" x14ac:dyDescent="0.25">
      <c r="A128" s="6">
        <v>43376</v>
      </c>
      <c r="B128" t="s">
        <v>26</v>
      </c>
      <c r="C128">
        <v>58985</v>
      </c>
      <c r="D128" t="s">
        <v>66</v>
      </c>
      <c r="E128" s="7">
        <v>119.08</v>
      </c>
      <c r="F128" t="s">
        <v>20</v>
      </c>
      <c r="G128" t="s">
        <v>21</v>
      </c>
      <c r="H128" t="str">
        <f>"53654"</f>
        <v>53654</v>
      </c>
      <c r="I128" t="str">
        <f>"LOPEZ EXTERMINATING SERVICE  I"</f>
        <v>LOPEZ EXTERMINATING SERVICE  I</v>
      </c>
    </row>
    <row r="129" spans="1:9" x14ac:dyDescent="0.25">
      <c r="A129" s="6">
        <v>43376</v>
      </c>
      <c r="B129" t="s">
        <v>26</v>
      </c>
      <c r="C129">
        <v>58986</v>
      </c>
      <c r="D129" t="s">
        <v>469</v>
      </c>
      <c r="E129" s="7">
        <v>272</v>
      </c>
      <c r="F129" t="s">
        <v>20</v>
      </c>
      <c r="G129" t="s">
        <v>21</v>
      </c>
      <c r="H129" t="str">
        <f>"TML 10/18"</f>
        <v>TML 10/18</v>
      </c>
      <c r="I129" t="str">
        <f>"LORENZO HERRERA"</f>
        <v>LORENZO HERRERA</v>
      </c>
    </row>
    <row r="130" spans="1:9" x14ac:dyDescent="0.25">
      <c r="A130" s="6">
        <v>43376</v>
      </c>
      <c r="B130" t="s">
        <v>26</v>
      </c>
      <c r="C130">
        <v>58987</v>
      </c>
      <c r="D130" t="s">
        <v>255</v>
      </c>
      <c r="E130" s="7">
        <v>150.97999999999999</v>
      </c>
      <c r="F130" t="s">
        <v>20</v>
      </c>
      <c r="G130" t="s">
        <v>21</v>
      </c>
      <c r="H130" t="str">
        <f>"202735664 9/24/18"</f>
        <v>202735664 9/24/18</v>
      </c>
      <c r="I130" t="str">
        <f>"ADT SECURITY SERVICES"</f>
        <v>ADT SECURITY SERVICES</v>
      </c>
    </row>
    <row r="131" spans="1:9" x14ac:dyDescent="0.25">
      <c r="A131" s="6">
        <v>43376</v>
      </c>
      <c r="B131" t="s">
        <v>26</v>
      </c>
      <c r="C131">
        <v>58988</v>
      </c>
      <c r="D131" t="s">
        <v>248</v>
      </c>
      <c r="E131" s="7">
        <v>246.54</v>
      </c>
      <c r="F131" t="s">
        <v>20</v>
      </c>
      <c r="G131" t="s">
        <v>21</v>
      </c>
      <c r="H131" t="str">
        <f>"1009407829"</f>
        <v>1009407829</v>
      </c>
      <c r="I131" t="str">
        <f>"PITNEY BOWES"</f>
        <v>PITNEY BOWES</v>
      </c>
    </row>
    <row r="132" spans="1:9" x14ac:dyDescent="0.25">
      <c r="A132" s="6">
        <v>43376</v>
      </c>
      <c r="B132" t="s">
        <v>26</v>
      </c>
      <c r="C132">
        <v>58989</v>
      </c>
      <c r="D132" t="s">
        <v>29</v>
      </c>
      <c r="E132" s="7">
        <v>62910.11</v>
      </c>
      <c r="F132" t="s">
        <v>20</v>
      </c>
      <c r="G132" t="s">
        <v>21</v>
      </c>
      <c r="H132" t="str">
        <f>"32888"</f>
        <v>32888</v>
      </c>
      <c r="I132" t="str">
        <f>"M &amp; S ENGINEERING  LLC"</f>
        <v>M &amp; S ENGINEERING  LLC</v>
      </c>
    </row>
    <row r="133" spans="1:9" x14ac:dyDescent="0.25">
      <c r="A133" s="6">
        <v>43376</v>
      </c>
      <c r="B133" t="s">
        <v>26</v>
      </c>
      <c r="C133">
        <v>58989</v>
      </c>
      <c r="D133" t="s">
        <v>29</v>
      </c>
      <c r="E133" s="7">
        <v>62910.11</v>
      </c>
      <c r="F133" t="s">
        <v>20</v>
      </c>
      <c r="G133" t="s">
        <v>21</v>
      </c>
      <c r="H133" t="str">
        <f>"33431"</f>
        <v>33431</v>
      </c>
      <c r="I133" t="str">
        <f>"M &amp; S ENGINEERING  LLC"</f>
        <v>M &amp; S ENGINEERING  LLC</v>
      </c>
    </row>
    <row r="134" spans="1:9" x14ac:dyDescent="0.25">
      <c r="A134" s="6">
        <v>43376</v>
      </c>
      <c r="B134" t="s">
        <v>26</v>
      </c>
      <c r="C134">
        <v>58989</v>
      </c>
      <c r="D134" t="s">
        <v>29</v>
      </c>
      <c r="E134" s="7">
        <v>62910.11</v>
      </c>
      <c r="F134" t="s">
        <v>20</v>
      </c>
      <c r="G134" t="s">
        <v>21</v>
      </c>
      <c r="H134" t="str">
        <f>"7014florw.004"</f>
        <v>7014florw.004</v>
      </c>
      <c r="I134" t="str">
        <f>"M &amp; S ENGINEERING  LLC"</f>
        <v>M &amp; S ENGINEERING  LLC</v>
      </c>
    </row>
    <row r="135" spans="1:9" x14ac:dyDescent="0.25">
      <c r="A135" s="6">
        <v>43376</v>
      </c>
      <c r="B135" t="s">
        <v>26</v>
      </c>
      <c r="C135">
        <v>58989</v>
      </c>
      <c r="D135" t="s">
        <v>29</v>
      </c>
      <c r="E135" s="7">
        <v>62910.11</v>
      </c>
      <c r="F135" t="s">
        <v>20</v>
      </c>
      <c r="G135" t="s">
        <v>21</v>
      </c>
      <c r="H135" t="str">
        <f>"7118flor.001"</f>
        <v>7118flor.001</v>
      </c>
      <c r="I135" t="str">
        <f>"M &amp; S ENGINEERING  LLC"</f>
        <v>M &amp; S ENGINEERING  LLC</v>
      </c>
    </row>
    <row r="136" spans="1:9" x14ac:dyDescent="0.25">
      <c r="A136" s="6">
        <v>43376</v>
      </c>
      <c r="B136" t="s">
        <v>26</v>
      </c>
      <c r="C136">
        <v>58990</v>
      </c>
      <c r="D136" t="s">
        <v>71</v>
      </c>
      <c r="E136" s="7">
        <v>335.41</v>
      </c>
      <c r="F136" t="s">
        <v>20</v>
      </c>
      <c r="G136" t="s">
        <v>21</v>
      </c>
      <c r="H136" t="str">
        <f>"4009782513"</f>
        <v>4009782513</v>
      </c>
      <c r="I136" t="str">
        <f>"CINTAS CORPORATION #087"</f>
        <v>CINTAS CORPORATION #087</v>
      </c>
    </row>
    <row r="137" spans="1:9" x14ac:dyDescent="0.25">
      <c r="A137" s="6">
        <v>43376</v>
      </c>
      <c r="B137" t="s">
        <v>26</v>
      </c>
      <c r="C137">
        <v>58990</v>
      </c>
      <c r="D137" t="s">
        <v>71</v>
      </c>
      <c r="E137" s="7">
        <v>335.41</v>
      </c>
      <c r="F137" t="s">
        <v>20</v>
      </c>
      <c r="G137" t="s">
        <v>21</v>
      </c>
      <c r="H137" t="str">
        <f>"4010030925"</f>
        <v>4010030925</v>
      </c>
      <c r="I137" t="str">
        <f>"CINTAS CORPORATION #087"</f>
        <v>CINTAS CORPORATION #087</v>
      </c>
    </row>
    <row r="138" spans="1:9" x14ac:dyDescent="0.25">
      <c r="A138" s="6">
        <v>43376</v>
      </c>
      <c r="B138" t="s">
        <v>26</v>
      </c>
      <c r="C138">
        <v>58991</v>
      </c>
      <c r="D138" t="s">
        <v>136</v>
      </c>
      <c r="E138" s="7">
        <v>165</v>
      </c>
      <c r="F138" t="s">
        <v>20</v>
      </c>
      <c r="G138" t="s">
        <v>21</v>
      </c>
      <c r="H138" t="str">
        <f>"10/3/18"</f>
        <v>10/3/18</v>
      </c>
      <c r="I138" t="str">
        <f>"INEZ CLARICE TRINIDAD"</f>
        <v>INEZ CLARICE TRINIDAD</v>
      </c>
    </row>
    <row r="139" spans="1:9" x14ac:dyDescent="0.25">
      <c r="A139" s="6">
        <v>43376</v>
      </c>
      <c r="B139" t="s">
        <v>26</v>
      </c>
      <c r="C139">
        <v>58992</v>
      </c>
      <c r="D139" t="s">
        <v>215</v>
      </c>
      <c r="E139" s="7">
        <v>1600</v>
      </c>
      <c r="F139" t="s">
        <v>20</v>
      </c>
      <c r="G139" t="s">
        <v>21</v>
      </c>
      <c r="H139" t="str">
        <f>"562936"</f>
        <v>562936</v>
      </c>
      <c r="I139" t="str">
        <f>"ODESSA PUMPS &amp; EQUIPMENT"</f>
        <v>ODESSA PUMPS &amp; EQUIPMENT</v>
      </c>
    </row>
    <row r="140" spans="1:9" x14ac:dyDescent="0.25">
      <c r="A140" s="6">
        <v>43376</v>
      </c>
      <c r="B140" t="s">
        <v>26</v>
      </c>
      <c r="C140">
        <v>58993</v>
      </c>
      <c r="D140" t="s">
        <v>386</v>
      </c>
      <c r="E140" s="7">
        <v>649.32000000000005</v>
      </c>
      <c r="F140" t="s">
        <v>20</v>
      </c>
      <c r="G140" t="s">
        <v>21</v>
      </c>
      <c r="H140" t="str">
        <f>"9/28/18"</f>
        <v>9/28/18</v>
      </c>
      <c r="I140" t="str">
        <f>"HENRIETTA TURNER"</f>
        <v>HENRIETTA TURNER</v>
      </c>
    </row>
    <row r="141" spans="1:9" x14ac:dyDescent="0.25">
      <c r="A141" s="6">
        <v>43376</v>
      </c>
      <c r="B141" t="s">
        <v>26</v>
      </c>
      <c r="C141">
        <v>58993</v>
      </c>
      <c r="D141" t="s">
        <v>386</v>
      </c>
      <c r="E141" s="7">
        <v>649.32000000000005</v>
      </c>
      <c r="F141" t="s">
        <v>20</v>
      </c>
      <c r="G141" t="s">
        <v>21</v>
      </c>
      <c r="H141" t="str">
        <f>"TML 10/18"</f>
        <v>TML 10/18</v>
      </c>
      <c r="I141" t="str">
        <f>"HENRIETTA TURNER"</f>
        <v>HENRIETTA TURNER</v>
      </c>
    </row>
    <row r="142" spans="1:9" x14ac:dyDescent="0.25">
      <c r="A142" s="6">
        <v>43376</v>
      </c>
      <c r="B142" t="s">
        <v>26</v>
      </c>
      <c r="C142">
        <v>58994</v>
      </c>
      <c r="D142" t="s">
        <v>79</v>
      </c>
      <c r="E142" s="7">
        <v>69.66</v>
      </c>
      <c r="F142" t="s">
        <v>20</v>
      </c>
      <c r="G142" t="s">
        <v>21</v>
      </c>
      <c r="H142" t="str">
        <f>"6-313-76261"</f>
        <v>6-313-76261</v>
      </c>
      <c r="I142" t="str">
        <f>"FEDEX"</f>
        <v>FEDEX</v>
      </c>
    </row>
    <row r="143" spans="1:9" x14ac:dyDescent="0.25">
      <c r="A143" s="6">
        <v>43376</v>
      </c>
      <c r="B143" t="s">
        <v>26</v>
      </c>
      <c r="C143">
        <v>58995</v>
      </c>
      <c r="D143" t="s">
        <v>80</v>
      </c>
      <c r="E143" s="7">
        <v>1776.91</v>
      </c>
      <c r="F143" t="s">
        <v>20</v>
      </c>
      <c r="G143" t="s">
        <v>21</v>
      </c>
      <c r="H143" t="str">
        <f>"1648-20181001-1"</f>
        <v>1648-20181001-1</v>
      </c>
      <c r="I143" t="str">
        <f>"LVWIFI.COM"</f>
        <v>LVWIFI.COM</v>
      </c>
    </row>
    <row r="144" spans="1:9" x14ac:dyDescent="0.25">
      <c r="A144" s="6">
        <v>43376</v>
      </c>
      <c r="B144" t="s">
        <v>26</v>
      </c>
      <c r="C144">
        <v>58995</v>
      </c>
      <c r="D144" t="s">
        <v>80</v>
      </c>
      <c r="E144" s="7">
        <v>1776.91</v>
      </c>
      <c r="F144" t="s">
        <v>20</v>
      </c>
      <c r="G144" t="s">
        <v>21</v>
      </c>
      <c r="H144" t="str">
        <f>"2313-20181001-1"</f>
        <v>2313-20181001-1</v>
      </c>
      <c r="I144" t="str">
        <f>"LVWIFI.COM"</f>
        <v>LVWIFI.COM</v>
      </c>
    </row>
    <row r="145" spans="1:9" x14ac:dyDescent="0.25">
      <c r="A145" s="6">
        <v>43376</v>
      </c>
      <c r="B145" t="s">
        <v>26</v>
      </c>
      <c r="C145">
        <v>58995</v>
      </c>
      <c r="D145" t="s">
        <v>80</v>
      </c>
      <c r="E145" s="7">
        <v>1776.91</v>
      </c>
      <c r="F145" t="s">
        <v>20</v>
      </c>
      <c r="G145" t="s">
        <v>21</v>
      </c>
      <c r="H145" t="str">
        <f>"2314-20181001-1"</f>
        <v>2314-20181001-1</v>
      </c>
      <c r="I145" t="str">
        <f>"LVWIFI.COM"</f>
        <v>LVWIFI.COM</v>
      </c>
    </row>
    <row r="146" spans="1:9" x14ac:dyDescent="0.25">
      <c r="A146" s="6">
        <v>43376</v>
      </c>
      <c r="B146" t="s">
        <v>26</v>
      </c>
      <c r="C146">
        <v>58995</v>
      </c>
      <c r="D146" t="s">
        <v>80</v>
      </c>
      <c r="E146" s="7">
        <v>1776.91</v>
      </c>
      <c r="F146" t="s">
        <v>20</v>
      </c>
      <c r="G146" t="s">
        <v>21</v>
      </c>
      <c r="H146" t="str">
        <f>"2478-20181001-1"</f>
        <v>2478-20181001-1</v>
      </c>
      <c r="I146" t="str">
        <f>"LVWIFI.COM"</f>
        <v>LVWIFI.COM</v>
      </c>
    </row>
    <row r="147" spans="1:9" x14ac:dyDescent="0.25">
      <c r="A147" s="6">
        <v>43376</v>
      </c>
      <c r="B147" t="s">
        <v>26</v>
      </c>
      <c r="C147">
        <v>58996</v>
      </c>
      <c r="D147" t="s">
        <v>128</v>
      </c>
      <c r="E147" s="7">
        <v>46.12</v>
      </c>
      <c r="F147" t="s">
        <v>20</v>
      </c>
      <c r="G147" t="s">
        <v>21</v>
      </c>
      <c r="H147" t="str">
        <f>"9/28/18"</f>
        <v>9/28/18</v>
      </c>
      <c r="I147" t="str">
        <f>"HELEN S. MARTINEZ"</f>
        <v>HELEN S. MARTINEZ</v>
      </c>
    </row>
    <row r="148" spans="1:9" x14ac:dyDescent="0.25">
      <c r="A148" s="6">
        <v>43376</v>
      </c>
      <c r="B148" t="s">
        <v>26</v>
      </c>
      <c r="C148">
        <v>58997</v>
      </c>
      <c r="D148" t="s">
        <v>31</v>
      </c>
      <c r="E148" s="7">
        <v>2000</v>
      </c>
      <c r="F148" t="s">
        <v>20</v>
      </c>
      <c r="G148" t="s">
        <v>21</v>
      </c>
      <c r="H148" t="str">
        <f>"2018205"</f>
        <v>2018205</v>
      </c>
      <c r="I148" t="str">
        <f>"THE LAW OFFICE OF TOM CALDWELL"</f>
        <v>THE LAW OFFICE OF TOM CALDWELL</v>
      </c>
    </row>
    <row r="149" spans="1:9" x14ac:dyDescent="0.25">
      <c r="A149" s="6">
        <v>43376</v>
      </c>
      <c r="B149" t="s">
        <v>26</v>
      </c>
      <c r="C149">
        <v>58998</v>
      </c>
      <c r="D149" t="s">
        <v>83</v>
      </c>
      <c r="E149" s="7">
        <v>936</v>
      </c>
      <c r="F149" t="s">
        <v>20</v>
      </c>
      <c r="G149" t="s">
        <v>21</v>
      </c>
      <c r="H149" t="str">
        <f>"502759"</f>
        <v>502759</v>
      </c>
      <c r="I149" t="str">
        <f>"APPRIVER"</f>
        <v>APPRIVER</v>
      </c>
    </row>
    <row r="150" spans="1:9" x14ac:dyDescent="0.25">
      <c r="A150" s="6">
        <v>43376</v>
      </c>
      <c r="B150" t="s">
        <v>26</v>
      </c>
      <c r="C150">
        <v>58999</v>
      </c>
      <c r="D150" t="s">
        <v>85</v>
      </c>
      <c r="E150" s="7">
        <v>152.91999999999999</v>
      </c>
      <c r="F150" t="s">
        <v>20</v>
      </c>
      <c r="G150" t="s">
        <v>21</v>
      </c>
      <c r="H150" t="str">
        <f>"8302162691 9/21/18"</f>
        <v>8302162691 9/21/18</v>
      </c>
      <c r="I150" t="str">
        <f>"FRONTIER"</f>
        <v>FRONTIER</v>
      </c>
    </row>
    <row r="151" spans="1:9" x14ac:dyDescent="0.25">
      <c r="A151" s="6">
        <v>43376</v>
      </c>
      <c r="B151" t="s">
        <v>26</v>
      </c>
      <c r="C151">
        <v>58999</v>
      </c>
      <c r="D151" t="s">
        <v>85</v>
      </c>
      <c r="E151" s="7">
        <v>152.91999999999999</v>
      </c>
      <c r="F151" t="s">
        <v>20</v>
      </c>
      <c r="G151" t="s">
        <v>21</v>
      </c>
      <c r="H151" t="str">
        <f>"8303932056 9/24/18"</f>
        <v>8303932056 9/24/18</v>
      </c>
      <c r="I151" t="str">
        <f>"FRONTIER"</f>
        <v>FRONTIER</v>
      </c>
    </row>
    <row r="152" spans="1:9" x14ac:dyDescent="0.25">
      <c r="A152" s="6">
        <v>43376</v>
      </c>
      <c r="B152" t="s">
        <v>26</v>
      </c>
      <c r="C152">
        <v>58999</v>
      </c>
      <c r="D152" t="s">
        <v>85</v>
      </c>
      <c r="E152" s="7">
        <v>152.91999999999999</v>
      </c>
      <c r="F152" t="s">
        <v>20</v>
      </c>
      <c r="G152" t="s">
        <v>21</v>
      </c>
      <c r="H152" t="str">
        <f>"8303933186 9/24/18"</f>
        <v>8303933186 9/24/18</v>
      </c>
      <c r="I152" t="str">
        <f>"FRONTIER"</f>
        <v>FRONTIER</v>
      </c>
    </row>
    <row r="153" spans="1:9" x14ac:dyDescent="0.25">
      <c r="A153" s="6">
        <v>43376</v>
      </c>
      <c r="B153" t="s">
        <v>26</v>
      </c>
      <c r="C153">
        <v>58999</v>
      </c>
      <c r="D153" t="s">
        <v>85</v>
      </c>
      <c r="E153" s="7">
        <v>152.91999999999999</v>
      </c>
      <c r="F153" t="s">
        <v>20</v>
      </c>
      <c r="G153" t="s">
        <v>21</v>
      </c>
      <c r="H153" t="str">
        <f>"8303939456 9/24/18"</f>
        <v>8303939456 9/24/18</v>
      </c>
      <c r="I153" t="str">
        <f>"FRONTIER"</f>
        <v>FRONTIER</v>
      </c>
    </row>
    <row r="154" spans="1:9" x14ac:dyDescent="0.25">
      <c r="A154" s="6">
        <v>43376</v>
      </c>
      <c r="B154" t="s">
        <v>26</v>
      </c>
      <c r="C154">
        <v>59000</v>
      </c>
      <c r="D154" t="s">
        <v>36</v>
      </c>
      <c r="E154" s="7">
        <v>603.20000000000005</v>
      </c>
      <c r="F154" t="s">
        <v>20</v>
      </c>
      <c r="G154" t="s">
        <v>21</v>
      </c>
      <c r="H154" t="str">
        <f>"TML 10/18"</f>
        <v>TML 10/18</v>
      </c>
      <c r="I154" t="str">
        <f>"GLORIA M. CANTU"</f>
        <v>GLORIA M. CANTU</v>
      </c>
    </row>
    <row r="155" spans="1:9" x14ac:dyDescent="0.25">
      <c r="A155" s="6">
        <v>43376</v>
      </c>
      <c r="B155" t="s">
        <v>26</v>
      </c>
      <c r="C155">
        <v>59001</v>
      </c>
      <c r="D155" t="s">
        <v>37</v>
      </c>
      <c r="E155" s="7">
        <v>603.20000000000005</v>
      </c>
      <c r="F155" t="s">
        <v>20</v>
      </c>
      <c r="G155" t="s">
        <v>21</v>
      </c>
      <c r="H155" t="str">
        <f>"TML 10/18"</f>
        <v>TML 10/18</v>
      </c>
      <c r="I155" t="str">
        <f>"GERARD J. JIMENEZ"</f>
        <v>GERARD J. JIMENEZ</v>
      </c>
    </row>
    <row r="156" spans="1:9" x14ac:dyDescent="0.25">
      <c r="A156" s="6">
        <v>43376</v>
      </c>
      <c r="B156" t="s">
        <v>26</v>
      </c>
      <c r="C156">
        <v>59002</v>
      </c>
      <c r="D156" t="s">
        <v>175</v>
      </c>
      <c r="E156" s="7">
        <v>500</v>
      </c>
      <c r="F156" t="s">
        <v>20</v>
      </c>
      <c r="G156" t="s">
        <v>21</v>
      </c>
      <c r="H156" t="str">
        <f>"151327"</f>
        <v>151327</v>
      </c>
      <c r="I156" t="str">
        <f>"AMER TECHNOLOGY  INC."</f>
        <v>AMER TECHNOLOGY  INC.</v>
      </c>
    </row>
    <row r="157" spans="1:9" x14ac:dyDescent="0.25">
      <c r="A157" s="6">
        <v>43376</v>
      </c>
      <c r="B157" t="s">
        <v>26</v>
      </c>
      <c r="C157">
        <v>59003</v>
      </c>
      <c r="D157" t="s">
        <v>132</v>
      </c>
      <c r="E157" s="7">
        <v>8.5500000000000007</v>
      </c>
      <c r="F157" t="s">
        <v>20</v>
      </c>
      <c r="G157" t="s">
        <v>21</v>
      </c>
      <c r="H157" t="str">
        <f>"160088540 91218"</f>
        <v>160088540 91218</v>
      </c>
      <c r="I157" t="str">
        <f>"SPARKLETTS &amp; SIERRA SPRINGS"</f>
        <v>SPARKLETTS &amp; SIERRA SPRINGS</v>
      </c>
    </row>
    <row r="158" spans="1:9" x14ac:dyDescent="0.25">
      <c r="A158" s="6">
        <v>43376</v>
      </c>
      <c r="B158" t="s">
        <v>26</v>
      </c>
      <c r="C158">
        <v>59004</v>
      </c>
      <c r="D158" t="s">
        <v>134</v>
      </c>
      <c r="E158" s="7">
        <v>3500</v>
      </c>
      <c r="F158" t="s">
        <v>20</v>
      </c>
      <c r="G158" t="s">
        <v>21</v>
      </c>
      <c r="H158" t="str">
        <f>"2017-118.11"</f>
        <v>2017-118.11</v>
      </c>
      <c r="I158" t="str">
        <f>"MOODY ENGINEERING GROUP INC."</f>
        <v>MOODY ENGINEERING GROUP INC.</v>
      </c>
    </row>
    <row r="159" spans="1:9" x14ac:dyDescent="0.25">
      <c r="A159" s="6">
        <v>43376</v>
      </c>
      <c r="B159" t="s">
        <v>26</v>
      </c>
      <c r="C159">
        <v>59004</v>
      </c>
      <c r="D159" t="s">
        <v>134</v>
      </c>
      <c r="E159" s="7">
        <v>3500</v>
      </c>
      <c r="F159" t="s">
        <v>20</v>
      </c>
      <c r="G159" t="s">
        <v>21</v>
      </c>
      <c r="H159" t="str">
        <f>"2017-118.12"</f>
        <v>2017-118.12</v>
      </c>
      <c r="I159" t="str">
        <f>"MOODY ENGINEERING GROUP INC."</f>
        <v>MOODY ENGINEERING GROUP INC.</v>
      </c>
    </row>
    <row r="160" spans="1:9" x14ac:dyDescent="0.25">
      <c r="A160" s="6">
        <v>43376</v>
      </c>
      <c r="B160" t="s">
        <v>26</v>
      </c>
      <c r="C160">
        <v>59005</v>
      </c>
      <c r="D160" t="s">
        <v>154</v>
      </c>
      <c r="E160" s="7">
        <v>1748.5</v>
      </c>
      <c r="F160" t="s">
        <v>20</v>
      </c>
      <c r="G160" t="s">
        <v>21</v>
      </c>
      <c r="H160" t="str">
        <f>"IN584474"</f>
        <v>IN584474</v>
      </c>
      <c r="I160" t="str">
        <f>"SUMMUS INDUSTRIES  INC."</f>
        <v>SUMMUS INDUSTRIES  INC.</v>
      </c>
    </row>
    <row r="161" spans="1:9" x14ac:dyDescent="0.25">
      <c r="A161" s="6">
        <v>43376</v>
      </c>
      <c r="B161" t="s">
        <v>26</v>
      </c>
      <c r="C161">
        <v>59006</v>
      </c>
      <c r="D161" t="s">
        <v>398</v>
      </c>
      <c r="E161" s="7">
        <v>55</v>
      </c>
      <c r="F161" t="s">
        <v>20</v>
      </c>
      <c r="G161" t="s">
        <v>21</v>
      </c>
      <c r="H161" t="str">
        <f>"20181011"</f>
        <v>20181011</v>
      </c>
      <c r="I161" t="str">
        <f>"INTERCEPTOR TECHNOLOGY GROUP L"</f>
        <v>INTERCEPTOR TECHNOLOGY GROUP L</v>
      </c>
    </row>
    <row r="162" spans="1:9" x14ac:dyDescent="0.25">
      <c r="A162" s="6">
        <v>43376</v>
      </c>
      <c r="B162" t="s">
        <v>26</v>
      </c>
      <c r="C162">
        <v>59007</v>
      </c>
      <c r="D162" t="s">
        <v>492</v>
      </c>
      <c r="E162" s="7">
        <v>124.3</v>
      </c>
      <c r="F162" t="s">
        <v>20</v>
      </c>
      <c r="G162" t="s">
        <v>21</v>
      </c>
      <c r="H162" t="str">
        <f>"REIMB 9/26/18"</f>
        <v>REIMB 9/26/18</v>
      </c>
      <c r="I162" t="str">
        <f>"MANOLO VALENTE"</f>
        <v>MANOLO VALENTE</v>
      </c>
    </row>
    <row r="163" spans="1:9" x14ac:dyDescent="0.25">
      <c r="A163" s="6">
        <v>43376</v>
      </c>
      <c r="B163" t="s">
        <v>91</v>
      </c>
      <c r="C163">
        <v>59008</v>
      </c>
      <c r="D163" t="s">
        <v>552</v>
      </c>
      <c r="E163" s="7">
        <v>259.14</v>
      </c>
      <c r="F163" t="s">
        <v>20</v>
      </c>
      <c r="G163" t="s">
        <v>21</v>
      </c>
      <c r="H163" t="str">
        <f>"00271538"</f>
        <v>00271538</v>
      </c>
      <c r="I163" t="str">
        <f>"G.E.M. MATERIALS INC."</f>
        <v>G.E.M. MATERIALS INC.</v>
      </c>
    </row>
    <row r="164" spans="1:9" x14ac:dyDescent="0.25">
      <c r="A164" s="6">
        <v>43376</v>
      </c>
      <c r="B164" t="s">
        <v>91</v>
      </c>
      <c r="C164">
        <v>59008</v>
      </c>
      <c r="D164" t="s">
        <v>552</v>
      </c>
      <c r="E164" s="7">
        <v>259.14</v>
      </c>
      <c r="F164" t="s">
        <v>20</v>
      </c>
      <c r="G164" t="s">
        <v>93</v>
      </c>
      <c r="H164" t="str">
        <f>"CHECK"</f>
        <v>CHECK</v>
      </c>
      <c r="I164" t="str">
        <f>""</f>
        <v/>
      </c>
    </row>
    <row r="165" spans="1:9" x14ac:dyDescent="0.25">
      <c r="A165" s="6">
        <v>43376</v>
      </c>
      <c r="B165" t="s">
        <v>91</v>
      </c>
      <c r="C165">
        <v>59009</v>
      </c>
      <c r="D165" t="s">
        <v>558</v>
      </c>
      <c r="E165" s="7">
        <v>603.20000000000005</v>
      </c>
      <c r="F165" t="s">
        <v>20</v>
      </c>
      <c r="G165" t="s">
        <v>21</v>
      </c>
      <c r="H165" t="str">
        <f>"TML 10/18"</f>
        <v>TML 10/18</v>
      </c>
      <c r="I165" t="str">
        <f>"MARISSA XIMENEZ"</f>
        <v>MARISSA XIMENEZ</v>
      </c>
    </row>
    <row r="166" spans="1:9" x14ac:dyDescent="0.25">
      <c r="A166" s="6">
        <v>43376</v>
      </c>
      <c r="B166" t="s">
        <v>91</v>
      </c>
      <c r="C166">
        <v>59009</v>
      </c>
      <c r="D166" t="s">
        <v>558</v>
      </c>
      <c r="E166" s="7">
        <v>603.20000000000005</v>
      </c>
      <c r="F166" t="s">
        <v>20</v>
      </c>
      <c r="G166" t="s">
        <v>93</v>
      </c>
      <c r="H166" t="str">
        <f>"CHECK"</f>
        <v>CHECK</v>
      </c>
      <c r="I166" t="str">
        <f>""</f>
        <v/>
      </c>
    </row>
    <row r="167" spans="1:9" x14ac:dyDescent="0.25">
      <c r="A167" s="6">
        <v>43376</v>
      </c>
      <c r="B167" t="s">
        <v>26</v>
      </c>
      <c r="C167">
        <v>59010</v>
      </c>
      <c r="D167" t="s">
        <v>345</v>
      </c>
      <c r="E167" s="7">
        <v>126.5</v>
      </c>
      <c r="F167" t="s">
        <v>20</v>
      </c>
      <c r="G167" t="s">
        <v>21</v>
      </c>
      <c r="H167" t="str">
        <f>"10/1/18"</f>
        <v>10/1/18</v>
      </c>
      <c r="I167" t="str">
        <f>"MICHAEL ISAAC MARTINEZ"</f>
        <v>MICHAEL ISAAC MARTINEZ</v>
      </c>
    </row>
    <row r="168" spans="1:9" x14ac:dyDescent="0.25">
      <c r="A168" s="6">
        <v>43376</v>
      </c>
      <c r="B168" t="s">
        <v>26</v>
      </c>
      <c r="C168">
        <v>59011</v>
      </c>
      <c r="D168" t="s">
        <v>559</v>
      </c>
      <c r="E168" s="7">
        <v>192.25</v>
      </c>
      <c r="F168" t="s">
        <v>20</v>
      </c>
      <c r="G168" t="s">
        <v>21</v>
      </c>
      <c r="H168" t="str">
        <f>"62200"</f>
        <v>62200</v>
      </c>
      <c r="I168" t="str">
        <f>"PAGE'S PRINTING"</f>
        <v>PAGE'S PRINTING</v>
      </c>
    </row>
    <row r="169" spans="1:9" x14ac:dyDescent="0.25">
      <c r="A169" s="6">
        <v>43376</v>
      </c>
      <c r="B169" t="s">
        <v>26</v>
      </c>
      <c r="C169">
        <v>59012</v>
      </c>
      <c r="D169" t="s">
        <v>57</v>
      </c>
      <c r="E169" s="7">
        <v>27339.16</v>
      </c>
      <c r="F169" t="s">
        <v>20</v>
      </c>
      <c r="G169" t="s">
        <v>21</v>
      </c>
      <c r="H169" t="str">
        <f>"11617 10/2018"</f>
        <v>11617 10/2018</v>
      </c>
      <c r="I169" t="str">
        <f>"F.E.L.P.S."</f>
        <v>F.E.L.P.S.</v>
      </c>
    </row>
    <row r="170" spans="1:9" x14ac:dyDescent="0.25">
      <c r="A170" s="6">
        <v>43376</v>
      </c>
      <c r="B170" t="s">
        <v>26</v>
      </c>
      <c r="C170">
        <v>59013</v>
      </c>
      <c r="D170" t="s">
        <v>552</v>
      </c>
      <c r="E170" s="7">
        <v>531.09</v>
      </c>
      <c r="F170" t="s">
        <v>20</v>
      </c>
      <c r="G170" t="s">
        <v>21</v>
      </c>
      <c r="H170" t="str">
        <f>"00271538-1"</f>
        <v>00271538-1</v>
      </c>
      <c r="I170" t="str">
        <f>"G.E.M. MATERIALS INC."</f>
        <v>G.E.M. MATERIALS INC.</v>
      </c>
    </row>
    <row r="171" spans="1:9" x14ac:dyDescent="0.25">
      <c r="A171" s="6">
        <v>43376</v>
      </c>
      <c r="B171" t="s">
        <v>26</v>
      </c>
      <c r="C171">
        <v>59013</v>
      </c>
      <c r="D171" t="s">
        <v>552</v>
      </c>
      <c r="E171" s="7">
        <v>531.09</v>
      </c>
      <c r="F171" t="s">
        <v>20</v>
      </c>
      <c r="G171" t="s">
        <v>21</v>
      </c>
      <c r="H171" t="str">
        <f>"271540-1"</f>
        <v>271540-1</v>
      </c>
      <c r="I171" t="str">
        <f>"G.E.M. MATERIALS INC."</f>
        <v>G.E.M. MATERIALS INC.</v>
      </c>
    </row>
    <row r="172" spans="1:9" x14ac:dyDescent="0.25">
      <c r="A172" s="6">
        <v>43376</v>
      </c>
      <c r="B172" t="s">
        <v>26</v>
      </c>
      <c r="C172">
        <v>59014</v>
      </c>
      <c r="D172" t="s">
        <v>90</v>
      </c>
      <c r="E172" s="7">
        <v>1916.64</v>
      </c>
      <c r="F172" t="s">
        <v>20</v>
      </c>
      <c r="G172" t="s">
        <v>329</v>
      </c>
      <c r="H172" t="str">
        <f>"822339"</f>
        <v>822339</v>
      </c>
      <c r="I172" t="str">
        <f>"AFLAC"</f>
        <v>AFLAC</v>
      </c>
    </row>
    <row r="173" spans="1:9" x14ac:dyDescent="0.25">
      <c r="A173" s="6">
        <v>43376</v>
      </c>
      <c r="B173" t="s">
        <v>26</v>
      </c>
      <c r="C173">
        <v>59014</v>
      </c>
      <c r="D173" t="s">
        <v>90</v>
      </c>
      <c r="E173" s="7">
        <v>1916.64</v>
      </c>
      <c r="F173" t="s">
        <v>20</v>
      </c>
      <c r="G173" t="s">
        <v>21</v>
      </c>
      <c r="H173" t="str">
        <f>"ACA201809128485"</f>
        <v>ACA201809128485</v>
      </c>
      <c r="I173" t="str">
        <f>"AFLAC INSURANCE"</f>
        <v>AFLAC INSURANCE</v>
      </c>
    </row>
    <row r="174" spans="1:9" x14ac:dyDescent="0.25">
      <c r="A174" s="6">
        <v>43376</v>
      </c>
      <c r="B174" t="s">
        <v>26</v>
      </c>
      <c r="C174">
        <v>59014</v>
      </c>
      <c r="D174" t="s">
        <v>90</v>
      </c>
      <c r="E174" s="7">
        <v>1916.64</v>
      </c>
      <c r="F174" t="s">
        <v>20</v>
      </c>
      <c r="G174" t="s">
        <v>21</v>
      </c>
      <c r="H174" t="str">
        <f>"AD2201809128485"</f>
        <v>AD2201809128485</v>
      </c>
      <c r="I174" t="str">
        <f>"AFLAC INSURANCE"</f>
        <v>AFLAC INSURANCE</v>
      </c>
    </row>
    <row r="175" spans="1:9" x14ac:dyDescent="0.25">
      <c r="A175" s="6">
        <v>43376</v>
      </c>
      <c r="B175" t="s">
        <v>26</v>
      </c>
      <c r="C175">
        <v>59014</v>
      </c>
      <c r="D175" t="s">
        <v>90</v>
      </c>
      <c r="E175" s="7">
        <v>1916.64</v>
      </c>
      <c r="F175" t="s">
        <v>20</v>
      </c>
      <c r="G175" t="s">
        <v>21</v>
      </c>
      <c r="H175" t="str">
        <f>"ADR201809128485"</f>
        <v>ADR201809128485</v>
      </c>
      <c r="I175" t="str">
        <f>"INSURANCE"</f>
        <v>INSURANCE</v>
      </c>
    </row>
    <row r="176" spans="1:9" x14ac:dyDescent="0.25">
      <c r="A176" s="6">
        <v>43376</v>
      </c>
      <c r="B176" t="s">
        <v>26</v>
      </c>
      <c r="C176">
        <v>59014</v>
      </c>
      <c r="D176" t="s">
        <v>90</v>
      </c>
      <c r="E176" s="7">
        <v>1916.64</v>
      </c>
      <c r="F176" t="s">
        <v>20</v>
      </c>
      <c r="G176" t="s">
        <v>21</v>
      </c>
      <c r="H176" t="str">
        <f>"AF1201809128485"</f>
        <v>AF1201809128485</v>
      </c>
      <c r="I176" t="str">
        <f>"AFLAC INSURANCE"</f>
        <v>AFLAC INSURANCE</v>
      </c>
    </row>
    <row r="177" spans="1:9" x14ac:dyDescent="0.25">
      <c r="A177" s="6">
        <v>43376</v>
      </c>
      <c r="B177" t="s">
        <v>26</v>
      </c>
      <c r="C177">
        <v>59014</v>
      </c>
      <c r="D177" t="s">
        <v>90</v>
      </c>
      <c r="E177" s="7">
        <v>1916.64</v>
      </c>
      <c r="F177" t="s">
        <v>20</v>
      </c>
      <c r="G177" t="s">
        <v>21</v>
      </c>
      <c r="H177" t="str">
        <f>"ASP201809128485"</f>
        <v>ASP201809128485</v>
      </c>
      <c r="I177" t="str">
        <f>"AFLAC INSURANCE"</f>
        <v>AFLAC INSURANCE</v>
      </c>
    </row>
    <row r="178" spans="1:9" x14ac:dyDescent="0.25">
      <c r="A178" s="6">
        <v>43376</v>
      </c>
      <c r="B178" t="s">
        <v>26</v>
      </c>
      <c r="C178">
        <v>59014</v>
      </c>
      <c r="D178" t="s">
        <v>90</v>
      </c>
      <c r="E178" s="7">
        <v>1916.64</v>
      </c>
      <c r="F178" t="s">
        <v>20</v>
      </c>
      <c r="G178" t="s">
        <v>21</v>
      </c>
      <c r="H178" t="str">
        <f>"HCO201809128485"</f>
        <v>HCO201809128485</v>
      </c>
      <c r="I178" t="str">
        <f>"AFLAC INSURANCE"</f>
        <v>AFLAC INSURANCE</v>
      </c>
    </row>
    <row r="179" spans="1:9" x14ac:dyDescent="0.25">
      <c r="A179" s="6">
        <v>43376</v>
      </c>
      <c r="B179" t="s">
        <v>26</v>
      </c>
      <c r="C179">
        <v>59017</v>
      </c>
      <c r="D179" t="s">
        <v>94</v>
      </c>
      <c r="E179" s="7">
        <v>4797.99</v>
      </c>
      <c r="F179" t="s">
        <v>20</v>
      </c>
      <c r="G179" t="s">
        <v>329</v>
      </c>
      <c r="H179" t="str">
        <f>"4500418"</f>
        <v>4500418</v>
      </c>
      <c r="I179" t="str">
        <f>"DENTAL SELECT"</f>
        <v>DENTAL SELECT</v>
      </c>
    </row>
    <row r="180" spans="1:9" x14ac:dyDescent="0.25">
      <c r="A180" s="6">
        <v>43376</v>
      </c>
      <c r="B180" t="s">
        <v>26</v>
      </c>
      <c r="C180">
        <v>59017</v>
      </c>
      <c r="D180" t="s">
        <v>94</v>
      </c>
      <c r="E180" s="7">
        <v>4797.99</v>
      </c>
      <c r="F180" t="s">
        <v>20</v>
      </c>
      <c r="G180" t="s">
        <v>21</v>
      </c>
      <c r="H180" t="str">
        <f>"DEN201809128485"</f>
        <v>DEN201809128485</v>
      </c>
      <c r="I180" t="str">
        <f>"DENTAL INSURANCE"</f>
        <v>DENTAL INSURANCE</v>
      </c>
    </row>
    <row r="181" spans="1:9" x14ac:dyDescent="0.25">
      <c r="A181" s="6">
        <v>43376</v>
      </c>
      <c r="B181" t="s">
        <v>26</v>
      </c>
      <c r="C181">
        <v>59018</v>
      </c>
      <c r="D181" t="s">
        <v>95</v>
      </c>
      <c r="E181" s="7">
        <v>129.91999999999999</v>
      </c>
      <c r="F181" t="s">
        <v>20</v>
      </c>
      <c r="G181" t="s">
        <v>329</v>
      </c>
      <c r="H181" t="str">
        <f>"16329"</f>
        <v>16329</v>
      </c>
      <c r="I181" t="str">
        <f>"LEGAL PLANS"</f>
        <v>LEGAL PLANS</v>
      </c>
    </row>
    <row r="182" spans="1:9" x14ac:dyDescent="0.25">
      <c r="A182" s="6">
        <v>43376</v>
      </c>
      <c r="B182" t="s">
        <v>26</v>
      </c>
      <c r="C182">
        <v>59018</v>
      </c>
      <c r="D182" t="s">
        <v>95</v>
      </c>
      <c r="E182" s="7">
        <v>129.91999999999999</v>
      </c>
      <c r="F182" t="s">
        <v>20</v>
      </c>
      <c r="G182" t="s">
        <v>21</v>
      </c>
      <c r="H182" t="str">
        <f>"LEA201809128485"</f>
        <v>LEA201809128485</v>
      </c>
      <c r="I182" t="str">
        <f>"INSURANCE"</f>
        <v>INSURANCE</v>
      </c>
    </row>
    <row r="183" spans="1:9" x14ac:dyDescent="0.25">
      <c r="A183" s="6">
        <v>43376</v>
      </c>
      <c r="B183" t="s">
        <v>26</v>
      </c>
      <c r="C183">
        <v>59019</v>
      </c>
      <c r="D183" t="s">
        <v>96</v>
      </c>
      <c r="E183" s="7">
        <v>442.35</v>
      </c>
      <c r="F183" t="s">
        <v>20</v>
      </c>
      <c r="G183" t="s">
        <v>329</v>
      </c>
      <c r="H183" t="str">
        <f>"LEFALSHLD09152018"</f>
        <v>LEFALSHLD09152018</v>
      </c>
      <c r="I183" t="str">
        <f>"LEGALSHIELD"</f>
        <v>LEGALSHIELD</v>
      </c>
    </row>
    <row r="184" spans="1:9" x14ac:dyDescent="0.25">
      <c r="A184" s="6">
        <v>43376</v>
      </c>
      <c r="B184" t="s">
        <v>26</v>
      </c>
      <c r="C184">
        <v>59019</v>
      </c>
      <c r="D184" t="s">
        <v>96</v>
      </c>
      <c r="E184" s="7">
        <v>442.35</v>
      </c>
      <c r="F184" t="s">
        <v>20</v>
      </c>
      <c r="G184" t="s">
        <v>21</v>
      </c>
      <c r="H184" t="str">
        <f>"PPL201809128485"</f>
        <v>PPL201809128485</v>
      </c>
      <c r="I184" t="str">
        <f>"INSURANCE"</f>
        <v>INSURANCE</v>
      </c>
    </row>
    <row r="185" spans="1:9" x14ac:dyDescent="0.25">
      <c r="A185" s="6">
        <v>43376</v>
      </c>
      <c r="B185" t="s">
        <v>26</v>
      </c>
      <c r="C185">
        <v>59020</v>
      </c>
      <c r="D185" t="s">
        <v>98</v>
      </c>
      <c r="E185" s="7">
        <v>2886.97</v>
      </c>
      <c r="F185" t="s">
        <v>20</v>
      </c>
      <c r="G185" t="s">
        <v>329</v>
      </c>
      <c r="H185" t="str">
        <f>"201810038494"</f>
        <v>201810038494</v>
      </c>
      <c r="I185" t="str">
        <f>"DEARBORN NATIONAL"</f>
        <v>DEARBORN NATIONAL</v>
      </c>
    </row>
    <row r="186" spans="1:9" x14ac:dyDescent="0.25">
      <c r="A186" s="6">
        <v>43376</v>
      </c>
      <c r="B186" t="s">
        <v>26</v>
      </c>
      <c r="C186">
        <v>59020</v>
      </c>
      <c r="D186" t="s">
        <v>98</v>
      </c>
      <c r="E186" s="7">
        <v>2886.97</v>
      </c>
      <c r="F186" t="s">
        <v>20</v>
      </c>
      <c r="G186" t="s">
        <v>21</v>
      </c>
      <c r="H186" t="str">
        <f>"STD201809128485"</f>
        <v>STD201809128485</v>
      </c>
      <c r="I186" t="str">
        <f>"SHORT TERM DISABILITY"</f>
        <v>SHORT TERM DISABILITY</v>
      </c>
    </row>
    <row r="187" spans="1:9" x14ac:dyDescent="0.25">
      <c r="A187" s="6">
        <v>43376</v>
      </c>
      <c r="B187" t="s">
        <v>26</v>
      </c>
      <c r="C187">
        <v>59020</v>
      </c>
      <c r="D187" t="s">
        <v>98</v>
      </c>
      <c r="E187" s="7">
        <v>2886.97</v>
      </c>
      <c r="F187" t="s">
        <v>20</v>
      </c>
      <c r="G187" t="s">
        <v>21</v>
      </c>
      <c r="H187" t="str">
        <f>"VLC201809128485"</f>
        <v>VLC201809128485</v>
      </c>
      <c r="I187" t="str">
        <f>"CHILD LIFE INSURANCE"</f>
        <v>CHILD LIFE INSURANCE</v>
      </c>
    </row>
    <row r="188" spans="1:9" x14ac:dyDescent="0.25">
      <c r="A188" s="6">
        <v>43376</v>
      </c>
      <c r="B188" t="s">
        <v>26</v>
      </c>
      <c r="C188">
        <v>59020</v>
      </c>
      <c r="D188" t="s">
        <v>98</v>
      </c>
      <c r="E188" s="7">
        <v>2886.97</v>
      </c>
      <c r="F188" t="s">
        <v>20</v>
      </c>
      <c r="G188" t="s">
        <v>21</v>
      </c>
      <c r="H188" t="str">
        <f>"VLS201809128485"</f>
        <v>VLS201809128485</v>
      </c>
      <c r="I188" t="str">
        <f>"SPOUSE LIFE"</f>
        <v>SPOUSE LIFE</v>
      </c>
    </row>
    <row r="189" spans="1:9" x14ac:dyDescent="0.25">
      <c r="A189" s="6">
        <v>43376</v>
      </c>
      <c r="B189" t="s">
        <v>26</v>
      </c>
      <c r="C189">
        <v>59020</v>
      </c>
      <c r="D189" t="s">
        <v>98</v>
      </c>
      <c r="E189" s="7">
        <v>2886.97</v>
      </c>
      <c r="F189" t="s">
        <v>20</v>
      </c>
      <c r="G189" t="s">
        <v>21</v>
      </c>
      <c r="H189" t="str">
        <f>"VOE201809128485"</f>
        <v>VOE201809128485</v>
      </c>
      <c r="I189" t="str">
        <f>"EMPLOYEE LIFE"</f>
        <v>EMPLOYEE LIFE</v>
      </c>
    </row>
    <row r="190" spans="1:9" x14ac:dyDescent="0.25">
      <c r="A190" s="6">
        <v>43376</v>
      </c>
      <c r="B190" t="s">
        <v>26</v>
      </c>
      <c r="C190">
        <v>59020</v>
      </c>
      <c r="D190" t="s">
        <v>98</v>
      </c>
      <c r="E190" s="7">
        <v>2886.97</v>
      </c>
      <c r="F190" t="s">
        <v>20</v>
      </c>
      <c r="G190" t="s">
        <v>21</v>
      </c>
      <c r="H190" t="str">
        <f>"VOL201809128485"</f>
        <v>VOL201809128485</v>
      </c>
      <c r="I190" t="str">
        <f>"LIFE"</f>
        <v>LIFE</v>
      </c>
    </row>
    <row r="191" spans="1:9" x14ac:dyDescent="0.25">
      <c r="A191" s="6">
        <v>43376</v>
      </c>
      <c r="B191" t="s">
        <v>26</v>
      </c>
      <c r="C191">
        <v>59024</v>
      </c>
      <c r="D191" t="s">
        <v>99</v>
      </c>
      <c r="E191" s="7">
        <v>1351.7</v>
      </c>
      <c r="F191" t="s">
        <v>20</v>
      </c>
      <c r="G191" t="s">
        <v>329</v>
      </c>
      <c r="H191" t="str">
        <f>"VSP09202018"</f>
        <v>VSP09202018</v>
      </c>
      <c r="I191" t="str">
        <f>"VISION SERVICE PLAN"</f>
        <v>VISION SERVICE PLAN</v>
      </c>
    </row>
    <row r="192" spans="1:9" x14ac:dyDescent="0.25">
      <c r="A192" s="6">
        <v>43376</v>
      </c>
      <c r="B192" t="s">
        <v>26</v>
      </c>
      <c r="C192">
        <v>59025</v>
      </c>
      <c r="D192" t="s">
        <v>59</v>
      </c>
      <c r="E192" s="7">
        <v>1296.7</v>
      </c>
      <c r="F192" t="s">
        <v>20</v>
      </c>
      <c r="G192" t="s">
        <v>21</v>
      </c>
      <c r="H192" t="str">
        <f>"0984225-1"</f>
        <v>0984225-1</v>
      </c>
      <c r="I192" t="str">
        <f>"FERGUSON WATERWORKS - MUNICIPA"</f>
        <v>FERGUSON WATERWORKS - MUNICIPA</v>
      </c>
    </row>
    <row r="193" spans="1:9" x14ac:dyDescent="0.25">
      <c r="A193" s="6">
        <v>43376</v>
      </c>
      <c r="B193" t="s">
        <v>26</v>
      </c>
      <c r="C193">
        <v>59025</v>
      </c>
      <c r="D193" t="s">
        <v>59</v>
      </c>
      <c r="E193" s="7">
        <v>1296.7</v>
      </c>
      <c r="F193" t="s">
        <v>20</v>
      </c>
      <c r="G193" t="s">
        <v>21</v>
      </c>
      <c r="H193" t="str">
        <f>"09846631"</f>
        <v>09846631</v>
      </c>
      <c r="I193" t="str">
        <f>"FERGUSON WATERWORKS - MUNICIPA"</f>
        <v>FERGUSON WATERWORKS - MUNICIPA</v>
      </c>
    </row>
    <row r="194" spans="1:9" x14ac:dyDescent="0.25">
      <c r="A194" s="6">
        <v>43376</v>
      </c>
      <c r="B194" t="s">
        <v>26</v>
      </c>
      <c r="C194">
        <v>59026</v>
      </c>
      <c r="D194" t="s">
        <v>250</v>
      </c>
      <c r="E194" s="7">
        <v>179.52</v>
      </c>
      <c r="F194" t="s">
        <v>20</v>
      </c>
      <c r="G194" t="s">
        <v>21</v>
      </c>
      <c r="H194" t="str">
        <f>"C116319-1"</f>
        <v>C116319-1</v>
      </c>
      <c r="I194" t="str">
        <f>"MATERA PAPER CO  LTD."</f>
        <v>MATERA PAPER CO  LTD.</v>
      </c>
    </row>
    <row r="195" spans="1:9" x14ac:dyDescent="0.25">
      <c r="A195" s="6">
        <v>43376</v>
      </c>
      <c r="B195" t="s">
        <v>26</v>
      </c>
      <c r="C195">
        <v>59027</v>
      </c>
      <c r="D195" t="s">
        <v>340</v>
      </c>
      <c r="E195" s="7">
        <v>102.02</v>
      </c>
      <c r="F195" t="s">
        <v>20</v>
      </c>
      <c r="G195" t="s">
        <v>21</v>
      </c>
      <c r="H195" t="str">
        <f>"1810345022"</f>
        <v>1810345022</v>
      </c>
      <c r="I195" t="str">
        <f>"O'REILLY AUTOMOTIVE  INC."</f>
        <v>O'REILLY AUTOMOTIVE  INC.</v>
      </c>
    </row>
    <row r="196" spans="1:9" x14ac:dyDescent="0.25">
      <c r="A196" s="6">
        <v>43376</v>
      </c>
      <c r="B196" t="s">
        <v>26</v>
      </c>
      <c r="C196">
        <v>59028</v>
      </c>
      <c r="D196" t="s">
        <v>115</v>
      </c>
      <c r="E196" s="7">
        <v>147.78</v>
      </c>
      <c r="F196" t="s">
        <v>20</v>
      </c>
      <c r="G196" t="s">
        <v>21</v>
      </c>
      <c r="H196" t="str">
        <f>"3547194882-1"</f>
        <v>3547194882-1</v>
      </c>
      <c r="I196" t="str">
        <f>"AUTOZONE"</f>
        <v>AUTOZONE</v>
      </c>
    </row>
    <row r="197" spans="1:9" x14ac:dyDescent="0.25">
      <c r="A197" s="6">
        <v>43376</v>
      </c>
      <c r="B197" t="s">
        <v>26</v>
      </c>
      <c r="C197">
        <v>59028</v>
      </c>
      <c r="D197" t="s">
        <v>115</v>
      </c>
      <c r="E197" s="7">
        <v>147.78</v>
      </c>
      <c r="F197" t="s">
        <v>20</v>
      </c>
      <c r="G197" t="s">
        <v>21</v>
      </c>
      <c r="H197" t="str">
        <f>"3547194883-1"</f>
        <v>3547194883-1</v>
      </c>
      <c r="I197" t="str">
        <f>"AUTOZONE"</f>
        <v>AUTOZONE</v>
      </c>
    </row>
    <row r="198" spans="1:9" x14ac:dyDescent="0.25">
      <c r="A198" s="6">
        <v>43376</v>
      </c>
      <c r="B198" t="s">
        <v>26</v>
      </c>
      <c r="C198">
        <v>59028</v>
      </c>
      <c r="D198" t="s">
        <v>115</v>
      </c>
      <c r="E198" s="7">
        <v>147.78</v>
      </c>
      <c r="F198" t="s">
        <v>20</v>
      </c>
      <c r="G198" t="s">
        <v>21</v>
      </c>
      <c r="H198" t="str">
        <f>"3547197025-1"</f>
        <v>3547197025-1</v>
      </c>
      <c r="I198" t="str">
        <f>"AUTOZONE"</f>
        <v>AUTOZONE</v>
      </c>
    </row>
    <row r="199" spans="1:9" x14ac:dyDescent="0.25">
      <c r="A199" s="6">
        <v>43376</v>
      </c>
      <c r="B199" t="s">
        <v>26</v>
      </c>
      <c r="C199">
        <v>59028</v>
      </c>
      <c r="D199" t="s">
        <v>115</v>
      </c>
      <c r="E199" s="7">
        <v>147.78</v>
      </c>
      <c r="F199" t="s">
        <v>20</v>
      </c>
      <c r="G199" t="s">
        <v>21</v>
      </c>
      <c r="H199" t="str">
        <f>"3547206758-1"</f>
        <v>3547206758-1</v>
      </c>
      <c r="I199" t="str">
        <f>"AUTOZONE"</f>
        <v>AUTOZONE</v>
      </c>
    </row>
    <row r="200" spans="1:9" x14ac:dyDescent="0.25">
      <c r="A200" s="6">
        <v>43376</v>
      </c>
      <c r="B200" t="s">
        <v>26</v>
      </c>
      <c r="C200">
        <v>59029</v>
      </c>
      <c r="D200" t="s">
        <v>560</v>
      </c>
      <c r="E200" s="7">
        <v>884.32</v>
      </c>
      <c r="F200" t="s">
        <v>20</v>
      </c>
      <c r="G200" t="s">
        <v>21</v>
      </c>
      <c r="H200" t="str">
        <f>"20018-1"</f>
        <v>20018-1</v>
      </c>
      <c r="I200" t="str">
        <f>"KINLOCH EQUIPMENT &amp; SUPPLY  IN"</f>
        <v>KINLOCH EQUIPMENT &amp; SUPPLY  IN</v>
      </c>
    </row>
    <row r="201" spans="1:9" x14ac:dyDescent="0.25">
      <c r="A201" s="6">
        <v>43376</v>
      </c>
      <c r="B201" t="s">
        <v>26</v>
      </c>
      <c r="C201">
        <v>59030</v>
      </c>
      <c r="D201" t="s">
        <v>301</v>
      </c>
      <c r="E201" s="7">
        <v>61.91</v>
      </c>
      <c r="F201" t="s">
        <v>20</v>
      </c>
      <c r="G201" t="s">
        <v>21</v>
      </c>
      <c r="H201" t="str">
        <f>"1672863-1"</f>
        <v>1672863-1</v>
      </c>
      <c r="I201" t="str">
        <f>"GRANDE TRUCK CENTER"</f>
        <v>GRANDE TRUCK CENTER</v>
      </c>
    </row>
    <row r="202" spans="1:9" x14ac:dyDescent="0.25">
      <c r="A202" s="6">
        <v>43376</v>
      </c>
      <c r="B202" t="s">
        <v>26</v>
      </c>
      <c r="C202">
        <v>59030</v>
      </c>
      <c r="D202" t="s">
        <v>301</v>
      </c>
      <c r="E202" s="7">
        <v>61.91</v>
      </c>
      <c r="F202" t="s">
        <v>20</v>
      </c>
      <c r="G202" t="s">
        <v>21</v>
      </c>
      <c r="H202" t="str">
        <f>"Q77826-1"</f>
        <v>Q77826-1</v>
      </c>
      <c r="I202" t="str">
        <f>"GRANDE TRUCK CENTER"</f>
        <v>GRANDE TRUCK CENTER</v>
      </c>
    </row>
    <row r="203" spans="1:9" x14ac:dyDescent="0.25">
      <c r="A203" s="6">
        <v>43376</v>
      </c>
      <c r="B203" t="s">
        <v>26</v>
      </c>
      <c r="C203">
        <v>59031</v>
      </c>
      <c r="D203" t="s">
        <v>122</v>
      </c>
      <c r="E203" s="7">
        <v>10</v>
      </c>
      <c r="F203" t="s">
        <v>20</v>
      </c>
      <c r="G203" t="s">
        <v>21</v>
      </c>
      <c r="H203" t="str">
        <f>"079961-1"</f>
        <v>079961-1</v>
      </c>
      <c r="I203" t="str">
        <f>"VILLA TIRES"</f>
        <v>VILLA TIRES</v>
      </c>
    </row>
    <row r="204" spans="1:9" x14ac:dyDescent="0.25">
      <c r="A204" s="6">
        <v>43376</v>
      </c>
      <c r="B204" t="s">
        <v>26</v>
      </c>
      <c r="C204">
        <v>59032</v>
      </c>
      <c r="D204" t="s">
        <v>123</v>
      </c>
      <c r="E204" s="7">
        <v>390.24</v>
      </c>
      <c r="F204" t="s">
        <v>20</v>
      </c>
      <c r="G204" t="s">
        <v>21</v>
      </c>
      <c r="H204" t="str">
        <f>"206685187001-1"</f>
        <v>206685187001-1</v>
      </c>
      <c r="I204" t="str">
        <f>"OFFICE DEPOT  INC."</f>
        <v>OFFICE DEPOT  INC.</v>
      </c>
    </row>
    <row r="205" spans="1:9" x14ac:dyDescent="0.25">
      <c r="A205" s="6">
        <v>43376</v>
      </c>
      <c r="B205" t="s">
        <v>26</v>
      </c>
      <c r="C205">
        <v>59032</v>
      </c>
      <c r="D205" t="s">
        <v>123</v>
      </c>
      <c r="E205" s="7">
        <v>390.24</v>
      </c>
      <c r="F205" t="s">
        <v>20</v>
      </c>
      <c r="G205" t="s">
        <v>21</v>
      </c>
      <c r="H205" t="str">
        <f>"206987548001-1"</f>
        <v>206987548001-1</v>
      </c>
      <c r="I205" t="str">
        <f>"OFFICE DEPOT  INC."</f>
        <v>OFFICE DEPOT  INC.</v>
      </c>
    </row>
    <row r="206" spans="1:9" x14ac:dyDescent="0.25">
      <c r="A206" s="6">
        <v>43376</v>
      </c>
      <c r="B206" t="s">
        <v>26</v>
      </c>
      <c r="C206">
        <v>59033</v>
      </c>
      <c r="D206" t="s">
        <v>77</v>
      </c>
      <c r="E206" s="7">
        <v>791.43</v>
      </c>
      <c r="F206" t="s">
        <v>20</v>
      </c>
      <c r="G206" t="s">
        <v>21</v>
      </c>
      <c r="H206" t="str">
        <f>"85700179018"</f>
        <v>85700179018</v>
      </c>
      <c r="I206" t="str">
        <f>"DPC INDUSTRIES  INC."</f>
        <v>DPC INDUSTRIES  INC.</v>
      </c>
    </row>
    <row r="207" spans="1:9" x14ac:dyDescent="0.25">
      <c r="A207" s="6">
        <v>43376</v>
      </c>
      <c r="B207" t="s">
        <v>26</v>
      </c>
      <c r="C207">
        <v>59033</v>
      </c>
      <c r="D207" t="s">
        <v>77</v>
      </c>
      <c r="E207" s="7">
        <v>791.43</v>
      </c>
      <c r="F207" t="s">
        <v>20</v>
      </c>
      <c r="G207" t="s">
        <v>21</v>
      </c>
      <c r="H207" t="str">
        <f>"85700179118"</f>
        <v>85700179118</v>
      </c>
      <c r="I207" t="str">
        <f>"DPC INDUSTRIES  INC."</f>
        <v>DPC INDUSTRIES  INC.</v>
      </c>
    </row>
    <row r="208" spans="1:9" x14ac:dyDescent="0.25">
      <c r="A208" s="6">
        <v>43376</v>
      </c>
      <c r="B208" t="s">
        <v>26</v>
      </c>
      <c r="C208">
        <v>59034</v>
      </c>
      <c r="D208" t="s">
        <v>131</v>
      </c>
      <c r="E208" s="7">
        <v>156.15</v>
      </c>
      <c r="F208" t="s">
        <v>20</v>
      </c>
      <c r="G208" t="s">
        <v>21</v>
      </c>
      <c r="H208" t="str">
        <f>"031028-1"</f>
        <v>031028-1</v>
      </c>
      <c r="I208" t="str">
        <f>"R &amp; S TEXAS PARTS CO"</f>
        <v>R &amp; S TEXAS PARTS CO</v>
      </c>
    </row>
    <row r="209" spans="1:9" x14ac:dyDescent="0.25">
      <c r="A209" s="6">
        <v>43376</v>
      </c>
      <c r="B209" t="s">
        <v>26</v>
      </c>
      <c r="C209">
        <v>59034</v>
      </c>
      <c r="D209" t="s">
        <v>131</v>
      </c>
      <c r="E209" s="7">
        <v>156.15</v>
      </c>
      <c r="F209" t="s">
        <v>20</v>
      </c>
      <c r="G209" t="s">
        <v>21</v>
      </c>
      <c r="H209" t="str">
        <f>"031324-1"</f>
        <v>031324-1</v>
      </c>
      <c r="I209" t="str">
        <f>"R &amp; S TEXAS PARTS CO"</f>
        <v>R &amp; S TEXAS PARTS CO</v>
      </c>
    </row>
    <row r="210" spans="1:9" x14ac:dyDescent="0.25">
      <c r="A210" s="6">
        <v>43376</v>
      </c>
      <c r="B210" t="s">
        <v>26</v>
      </c>
      <c r="C210">
        <v>59035</v>
      </c>
      <c r="D210" t="s">
        <v>82</v>
      </c>
      <c r="E210" s="7">
        <v>295.42</v>
      </c>
      <c r="F210" t="s">
        <v>20</v>
      </c>
      <c r="G210" t="s">
        <v>21</v>
      </c>
      <c r="H210" t="str">
        <f>"SI1026746"</f>
        <v>SI1026746</v>
      </c>
      <c r="I210" t="str">
        <f>"BASS COMPUTER  INC."</f>
        <v>BASS COMPUTER  INC.</v>
      </c>
    </row>
    <row r="211" spans="1:9" x14ac:dyDescent="0.25">
      <c r="A211" s="6">
        <v>43376</v>
      </c>
      <c r="B211" t="s">
        <v>26</v>
      </c>
      <c r="C211">
        <v>59035</v>
      </c>
      <c r="D211" t="s">
        <v>82</v>
      </c>
      <c r="E211" s="7">
        <v>295.42</v>
      </c>
      <c r="F211" t="s">
        <v>20</v>
      </c>
      <c r="G211" t="s">
        <v>21</v>
      </c>
      <c r="H211" t="str">
        <f>"SI1027285"</f>
        <v>SI1027285</v>
      </c>
      <c r="I211" t="str">
        <f>"BASS COMPUTER  INC."</f>
        <v>BASS COMPUTER  INC.</v>
      </c>
    </row>
    <row r="212" spans="1:9" x14ac:dyDescent="0.25">
      <c r="A212" s="6">
        <v>43376</v>
      </c>
      <c r="B212" t="s">
        <v>26</v>
      </c>
      <c r="C212">
        <v>59036</v>
      </c>
      <c r="D212" t="s">
        <v>132</v>
      </c>
      <c r="E212" s="7">
        <v>41.51</v>
      </c>
      <c r="F212" t="s">
        <v>20</v>
      </c>
      <c r="G212" t="s">
        <v>21</v>
      </c>
      <c r="H212" t="str">
        <f>"1699288791318"</f>
        <v>1699288791318</v>
      </c>
      <c r="I212" t="str">
        <f>"SPARKLETTS &amp; SIERRA SPRINGS"</f>
        <v>SPARKLETTS &amp; SIERRA SPRINGS</v>
      </c>
    </row>
    <row r="213" spans="1:9" x14ac:dyDescent="0.25">
      <c r="A213" s="6">
        <v>43376</v>
      </c>
      <c r="B213" t="s">
        <v>26</v>
      </c>
      <c r="C213">
        <v>59037</v>
      </c>
      <c r="D213" t="s">
        <v>442</v>
      </c>
      <c r="E213" s="7">
        <v>4000</v>
      </c>
      <c r="F213" t="s">
        <v>20</v>
      </c>
      <c r="G213" t="s">
        <v>21</v>
      </c>
      <c r="H213" t="str">
        <f>"036633"</f>
        <v>036633</v>
      </c>
      <c r="I213" t="str">
        <f>"QMP- QUARTER MOON PRODUCTIONS"</f>
        <v>QMP- QUARTER MOON PRODUCTIONS</v>
      </c>
    </row>
    <row r="214" spans="1:9" x14ac:dyDescent="0.25">
      <c r="A214" s="6">
        <v>43377</v>
      </c>
      <c r="B214" t="s">
        <v>26</v>
      </c>
      <c r="C214">
        <v>59038</v>
      </c>
      <c r="D214" t="s">
        <v>223</v>
      </c>
      <c r="E214" s="7">
        <v>75</v>
      </c>
      <c r="F214" t="s">
        <v>20</v>
      </c>
      <c r="G214" t="s">
        <v>21</v>
      </c>
      <c r="H214" t="str">
        <f>"10/2018-COUNCIL"</f>
        <v>10/2018-COUNCIL</v>
      </c>
      <c r="I214" t="str">
        <f>""</f>
        <v/>
      </c>
    </row>
    <row r="215" spans="1:9" x14ac:dyDescent="0.25">
      <c r="A215" s="6">
        <v>43377</v>
      </c>
      <c r="B215" t="s">
        <v>26</v>
      </c>
      <c r="C215">
        <v>59039</v>
      </c>
      <c r="D215" t="s">
        <v>36</v>
      </c>
      <c r="E215" s="7">
        <v>75</v>
      </c>
      <c r="F215" t="s">
        <v>20</v>
      </c>
      <c r="G215" t="s">
        <v>21</v>
      </c>
      <c r="H215" t="str">
        <f>"10/2018-COUNCIL"</f>
        <v>10/2018-COUNCIL</v>
      </c>
      <c r="I215" t="str">
        <f>""</f>
        <v/>
      </c>
    </row>
    <row r="216" spans="1:9" x14ac:dyDescent="0.25">
      <c r="A216" s="6">
        <v>43377</v>
      </c>
      <c r="B216" t="s">
        <v>26</v>
      </c>
      <c r="C216">
        <v>59040</v>
      </c>
      <c r="D216" t="s">
        <v>37</v>
      </c>
      <c r="E216" s="7">
        <v>75</v>
      </c>
      <c r="F216" t="s">
        <v>20</v>
      </c>
      <c r="G216" t="s">
        <v>21</v>
      </c>
      <c r="H216" t="str">
        <f>"10/2018-COUNCIL"</f>
        <v>10/2018-COUNCIL</v>
      </c>
      <c r="I216" t="str">
        <f>""</f>
        <v/>
      </c>
    </row>
    <row r="217" spans="1:9" x14ac:dyDescent="0.25">
      <c r="A217" s="6">
        <v>43377</v>
      </c>
      <c r="B217" t="s">
        <v>26</v>
      </c>
      <c r="C217">
        <v>59041</v>
      </c>
      <c r="D217" t="s">
        <v>38</v>
      </c>
      <c r="E217" s="7">
        <v>100</v>
      </c>
      <c r="F217" t="s">
        <v>20</v>
      </c>
      <c r="G217" t="s">
        <v>21</v>
      </c>
      <c r="H217" t="str">
        <f>"10/2018-MAYOR"</f>
        <v>10/2018-MAYOR</v>
      </c>
      <c r="I217" t="str">
        <f>""</f>
        <v/>
      </c>
    </row>
    <row r="218" spans="1:9" x14ac:dyDescent="0.25">
      <c r="A218" s="6">
        <v>43377</v>
      </c>
      <c r="B218" t="s">
        <v>26</v>
      </c>
      <c r="C218">
        <v>59042</v>
      </c>
      <c r="D218" t="s">
        <v>39</v>
      </c>
      <c r="E218" s="7">
        <v>75</v>
      </c>
      <c r="F218" t="s">
        <v>20</v>
      </c>
      <c r="G218" t="s">
        <v>21</v>
      </c>
      <c r="H218" t="str">
        <f>"10/2018-COUNCIL"</f>
        <v>10/2018-COUNCIL</v>
      </c>
      <c r="I218" t="str">
        <f>""</f>
        <v/>
      </c>
    </row>
    <row r="219" spans="1:9" x14ac:dyDescent="0.25">
      <c r="A219" s="6">
        <v>43377</v>
      </c>
      <c r="B219" t="s">
        <v>26</v>
      </c>
      <c r="C219">
        <v>59043</v>
      </c>
      <c r="D219" t="s">
        <v>40</v>
      </c>
      <c r="E219" s="7">
        <v>75</v>
      </c>
      <c r="F219" t="s">
        <v>20</v>
      </c>
      <c r="G219" t="s">
        <v>21</v>
      </c>
      <c r="H219" t="str">
        <f>"10/2018-COUNCIL"</f>
        <v>10/2018-COUNCIL</v>
      </c>
      <c r="I219" t="str">
        <f>""</f>
        <v/>
      </c>
    </row>
    <row r="220" spans="1:9" x14ac:dyDescent="0.25">
      <c r="A220" s="6">
        <v>43378</v>
      </c>
      <c r="B220" t="s">
        <v>26</v>
      </c>
      <c r="C220">
        <v>59064</v>
      </c>
      <c r="D220" t="s">
        <v>561</v>
      </c>
      <c r="E220" s="7">
        <v>1450.75</v>
      </c>
      <c r="F220" t="s">
        <v>20</v>
      </c>
      <c r="G220" t="s">
        <v>21</v>
      </c>
      <c r="H220" t="str">
        <f>"074430-1"</f>
        <v>074430-1</v>
      </c>
      <c r="I220" t="str">
        <f>"HART INTERCIVIC"</f>
        <v>HART INTERCIVIC</v>
      </c>
    </row>
    <row r="221" spans="1:9" x14ac:dyDescent="0.25">
      <c r="A221" s="6">
        <v>43378</v>
      </c>
      <c r="B221" t="s">
        <v>26</v>
      </c>
      <c r="C221">
        <v>59065</v>
      </c>
      <c r="D221" t="s">
        <v>201</v>
      </c>
      <c r="E221" s="7">
        <v>450.34</v>
      </c>
      <c r="F221" t="s">
        <v>20</v>
      </c>
      <c r="G221" t="s">
        <v>21</v>
      </c>
      <c r="H221" t="str">
        <f>"10/02/2018"</f>
        <v>10/02/2018</v>
      </c>
      <c r="I221" t="str">
        <f>"WILSON COUNTY HARDWARE"</f>
        <v>WILSON COUNTY HARDWARE</v>
      </c>
    </row>
    <row r="222" spans="1:9" x14ac:dyDescent="0.25">
      <c r="A222" s="6">
        <v>43378</v>
      </c>
      <c r="B222" t="s">
        <v>26</v>
      </c>
      <c r="C222">
        <v>59066</v>
      </c>
      <c r="D222" t="s">
        <v>59</v>
      </c>
      <c r="E222" s="7">
        <v>86.19</v>
      </c>
      <c r="F222" t="s">
        <v>20</v>
      </c>
      <c r="G222" t="s">
        <v>21</v>
      </c>
      <c r="H222" t="str">
        <f>"0986904-1"</f>
        <v>0986904-1</v>
      </c>
      <c r="I222" t="str">
        <f>"FERGUSON WATERWORKS - MUNICIPA"</f>
        <v>FERGUSON WATERWORKS - MUNICIPA</v>
      </c>
    </row>
    <row r="223" spans="1:9" x14ac:dyDescent="0.25">
      <c r="A223" s="6">
        <v>43378</v>
      </c>
      <c r="B223" t="s">
        <v>26</v>
      </c>
      <c r="C223">
        <v>59067</v>
      </c>
      <c r="D223" t="s">
        <v>179</v>
      </c>
      <c r="E223" s="7">
        <v>44.02</v>
      </c>
      <c r="F223" t="s">
        <v>20</v>
      </c>
      <c r="G223" t="s">
        <v>21</v>
      </c>
      <c r="H223" t="str">
        <f>"W53969F-1"</f>
        <v>W53969F-1</v>
      </c>
      <c r="I223" t="str">
        <f>"ANCIRA FORD-MERCURY"</f>
        <v>ANCIRA FORD-MERCURY</v>
      </c>
    </row>
    <row r="224" spans="1:9" x14ac:dyDescent="0.25">
      <c r="A224" s="6">
        <v>43378</v>
      </c>
      <c r="B224" t="s">
        <v>26</v>
      </c>
      <c r="C224">
        <v>59068</v>
      </c>
      <c r="D224" t="s">
        <v>0</v>
      </c>
      <c r="E224" s="7">
        <v>5289.99</v>
      </c>
      <c r="F224" t="s">
        <v>20</v>
      </c>
      <c r="G224" t="s">
        <v>21</v>
      </c>
      <c r="H224" t="str">
        <f>"PKS 10/2018"</f>
        <v>PKS 10/2018</v>
      </c>
      <c r="I224" t="str">
        <f>"CITY OF FLORESVILLE"</f>
        <v>CITY OF FLORESVILLE</v>
      </c>
    </row>
    <row r="225" spans="1:9" x14ac:dyDescent="0.25">
      <c r="A225" s="6">
        <v>43378</v>
      </c>
      <c r="B225" t="s">
        <v>26</v>
      </c>
      <c r="C225">
        <v>59069</v>
      </c>
      <c r="D225" t="s">
        <v>66</v>
      </c>
      <c r="E225" s="7">
        <v>2000</v>
      </c>
      <c r="F225" t="s">
        <v>20</v>
      </c>
      <c r="G225" t="s">
        <v>21</v>
      </c>
      <c r="H225" t="str">
        <f>"53747-1"</f>
        <v>53747-1</v>
      </c>
      <c r="I225" t="str">
        <f>"LOPEZ EXTERMINATING SERVICE  I"</f>
        <v>LOPEZ EXTERMINATING SERVICE  I</v>
      </c>
    </row>
    <row r="226" spans="1:9" x14ac:dyDescent="0.25">
      <c r="A226" s="6">
        <v>43378</v>
      </c>
      <c r="B226" t="s">
        <v>26</v>
      </c>
      <c r="C226">
        <v>59070</v>
      </c>
      <c r="D226" t="s">
        <v>118</v>
      </c>
      <c r="E226" s="7">
        <v>470</v>
      </c>
      <c r="F226" t="s">
        <v>20</v>
      </c>
      <c r="G226" t="s">
        <v>21</v>
      </c>
      <c r="H226" t="str">
        <f>"11140-1"</f>
        <v>11140-1</v>
      </c>
      <c r="I226" t="str">
        <f>"BRYAN AIR CONDITIONING &amp; HEATI"</f>
        <v>BRYAN AIR CONDITIONING &amp; HEATI</v>
      </c>
    </row>
    <row r="227" spans="1:9" x14ac:dyDescent="0.25">
      <c r="A227" s="6">
        <v>43378</v>
      </c>
      <c r="B227" t="s">
        <v>26</v>
      </c>
      <c r="C227">
        <v>59071</v>
      </c>
      <c r="D227" t="s">
        <v>562</v>
      </c>
      <c r="E227" s="7">
        <v>81.63</v>
      </c>
      <c r="F227" t="s">
        <v>20</v>
      </c>
      <c r="G227" t="s">
        <v>21</v>
      </c>
      <c r="H227" t="str">
        <f>"LTFA 10/17/18"</f>
        <v>LTFA 10/17/18</v>
      </c>
      <c r="I227" t="str">
        <f>"FONDA KELLNER"</f>
        <v>FONDA KELLNER</v>
      </c>
    </row>
    <row r="228" spans="1:9" x14ac:dyDescent="0.25">
      <c r="A228" s="6">
        <v>43378</v>
      </c>
      <c r="B228" t="s">
        <v>26</v>
      </c>
      <c r="C228">
        <v>59072</v>
      </c>
      <c r="D228" t="s">
        <v>71</v>
      </c>
      <c r="E228" s="7">
        <v>64.959999999999994</v>
      </c>
      <c r="F228" t="s">
        <v>20</v>
      </c>
      <c r="G228" t="s">
        <v>21</v>
      </c>
      <c r="H228" t="str">
        <f>"4010310209-1"</f>
        <v>4010310209-1</v>
      </c>
      <c r="I228" t="str">
        <f>"CINTAS CORPORATION #087"</f>
        <v>CINTAS CORPORATION #087</v>
      </c>
    </row>
    <row r="229" spans="1:9" x14ac:dyDescent="0.25">
      <c r="A229" s="6">
        <v>43378</v>
      </c>
      <c r="B229" t="s">
        <v>26</v>
      </c>
      <c r="C229">
        <v>59073</v>
      </c>
      <c r="D229" t="s">
        <v>74</v>
      </c>
      <c r="E229" s="7">
        <v>184.88</v>
      </c>
      <c r="F229" t="s">
        <v>20</v>
      </c>
      <c r="G229" t="s">
        <v>21</v>
      </c>
      <c r="H229" t="str">
        <f>"9815257816-1"</f>
        <v>9815257816-1</v>
      </c>
      <c r="I229" t="str">
        <f>"VERIZON WIRELESS"</f>
        <v>VERIZON WIRELESS</v>
      </c>
    </row>
    <row r="230" spans="1:9" x14ac:dyDescent="0.25">
      <c r="A230" s="6">
        <v>43378</v>
      </c>
      <c r="B230" t="s">
        <v>26</v>
      </c>
      <c r="C230">
        <v>59074</v>
      </c>
      <c r="D230" t="s">
        <v>534</v>
      </c>
      <c r="E230" s="7">
        <v>107.17</v>
      </c>
      <c r="F230" t="s">
        <v>20</v>
      </c>
      <c r="G230" t="s">
        <v>21</v>
      </c>
      <c r="H230" t="str">
        <f>"8403839402-1"</f>
        <v>8403839402-1</v>
      </c>
      <c r="I230" t="str">
        <f>"CINTAS CORPORATION NO. 2"</f>
        <v>CINTAS CORPORATION NO. 2</v>
      </c>
    </row>
    <row r="231" spans="1:9" x14ac:dyDescent="0.25">
      <c r="A231" s="6">
        <v>43378</v>
      </c>
      <c r="B231" t="s">
        <v>91</v>
      </c>
      <c r="C231">
        <v>59075</v>
      </c>
      <c r="D231" t="s">
        <v>160</v>
      </c>
      <c r="E231" s="7">
        <v>32.369999999999997</v>
      </c>
      <c r="F231" t="s">
        <v>20</v>
      </c>
      <c r="G231" t="s">
        <v>21</v>
      </c>
      <c r="H231" t="str">
        <f>"LFTA 10/17/2018"</f>
        <v>LFTA 10/17/2018</v>
      </c>
      <c r="I231" t="str">
        <f>"MONICA CORDOVA"</f>
        <v>MONICA CORDOVA</v>
      </c>
    </row>
    <row r="232" spans="1:9" x14ac:dyDescent="0.25">
      <c r="A232" s="6">
        <v>43378</v>
      </c>
      <c r="B232" t="s">
        <v>91</v>
      </c>
      <c r="C232">
        <v>59075</v>
      </c>
      <c r="D232" t="s">
        <v>160</v>
      </c>
      <c r="E232" s="7">
        <v>32.369999999999997</v>
      </c>
      <c r="F232" t="s">
        <v>20</v>
      </c>
      <c r="G232" t="s">
        <v>93</v>
      </c>
      <c r="H232" t="str">
        <f>"CHECK"</f>
        <v>CHECK</v>
      </c>
      <c r="I232" t="str">
        <f>""</f>
        <v/>
      </c>
    </row>
    <row r="233" spans="1:9" x14ac:dyDescent="0.25">
      <c r="A233" s="6">
        <v>43378</v>
      </c>
      <c r="B233" t="s">
        <v>26</v>
      </c>
      <c r="C233">
        <v>59076</v>
      </c>
      <c r="D233" t="s">
        <v>147</v>
      </c>
      <c r="E233" s="7">
        <v>1591.87</v>
      </c>
      <c r="F233" t="s">
        <v>20</v>
      </c>
      <c r="G233" t="s">
        <v>21</v>
      </c>
      <c r="H233" t="str">
        <f>"885-1"</f>
        <v>885-1</v>
      </c>
      <c r="I233" t="str">
        <f>"SRALLA ELECTRIC"</f>
        <v>SRALLA ELECTRIC</v>
      </c>
    </row>
    <row r="234" spans="1:9" x14ac:dyDescent="0.25">
      <c r="A234" s="6">
        <v>43378</v>
      </c>
      <c r="B234" t="s">
        <v>26</v>
      </c>
      <c r="C234">
        <v>59076</v>
      </c>
      <c r="D234" t="s">
        <v>147</v>
      </c>
      <c r="E234" s="7">
        <v>1591.87</v>
      </c>
      <c r="F234" t="s">
        <v>20</v>
      </c>
      <c r="G234" t="s">
        <v>21</v>
      </c>
      <c r="H234" t="str">
        <f>"886-1"</f>
        <v>886-1</v>
      </c>
      <c r="I234" t="str">
        <f>"SRALLA ELECTRIC"</f>
        <v>SRALLA ELECTRIC</v>
      </c>
    </row>
    <row r="235" spans="1:9" x14ac:dyDescent="0.25">
      <c r="A235" s="6">
        <v>43378</v>
      </c>
      <c r="B235" t="s">
        <v>26</v>
      </c>
      <c r="C235">
        <v>59076</v>
      </c>
      <c r="D235" t="s">
        <v>147</v>
      </c>
      <c r="E235" s="7">
        <v>1591.87</v>
      </c>
      <c r="F235" t="s">
        <v>20</v>
      </c>
      <c r="G235" t="s">
        <v>21</v>
      </c>
      <c r="H235" t="str">
        <f>"895-1"</f>
        <v>895-1</v>
      </c>
      <c r="I235" t="str">
        <f>"SRALLA ELECTRIC"</f>
        <v>SRALLA ELECTRIC</v>
      </c>
    </row>
    <row r="236" spans="1:9" x14ac:dyDescent="0.25">
      <c r="A236" s="6">
        <v>43378</v>
      </c>
      <c r="B236" t="s">
        <v>26</v>
      </c>
      <c r="C236">
        <v>59077</v>
      </c>
      <c r="D236" t="s">
        <v>139</v>
      </c>
      <c r="E236" s="7">
        <v>65</v>
      </c>
      <c r="F236" t="s">
        <v>20</v>
      </c>
      <c r="G236" t="s">
        <v>21</v>
      </c>
      <c r="H236" t="str">
        <f>"24666-1"</f>
        <v>24666-1</v>
      </c>
      <c r="I236" t="str">
        <f>"ANGEL FIRE &amp; SAFETY"</f>
        <v>ANGEL FIRE &amp; SAFETY</v>
      </c>
    </row>
    <row r="237" spans="1:9" x14ac:dyDescent="0.25">
      <c r="A237" s="6">
        <v>43378</v>
      </c>
      <c r="B237" t="s">
        <v>91</v>
      </c>
      <c r="C237">
        <v>59078</v>
      </c>
      <c r="D237" t="s">
        <v>85</v>
      </c>
      <c r="E237" s="7">
        <v>4102.13</v>
      </c>
      <c r="F237" t="s">
        <v>20</v>
      </c>
      <c r="G237" t="s">
        <v>21</v>
      </c>
      <c r="H237" t="str">
        <f>"PD8301970024-1"</f>
        <v>PD8301970024-1</v>
      </c>
      <c r="I237" t="str">
        <f>"FRONTIER"</f>
        <v>FRONTIER</v>
      </c>
    </row>
    <row r="238" spans="1:9" x14ac:dyDescent="0.25">
      <c r="A238" s="6">
        <v>43378</v>
      </c>
      <c r="B238" t="s">
        <v>91</v>
      </c>
      <c r="C238">
        <v>59078</v>
      </c>
      <c r="D238" t="s">
        <v>85</v>
      </c>
      <c r="E238" s="7">
        <v>4102.13</v>
      </c>
      <c r="F238" t="s">
        <v>20</v>
      </c>
      <c r="G238" t="s">
        <v>93</v>
      </c>
      <c r="H238" t="str">
        <f>"CHECK"</f>
        <v>CHECK</v>
      </c>
      <c r="I238" t="str">
        <f>""</f>
        <v/>
      </c>
    </row>
    <row r="239" spans="1:9" x14ac:dyDescent="0.25">
      <c r="A239" s="6">
        <v>43378</v>
      </c>
      <c r="B239" t="s">
        <v>91</v>
      </c>
      <c r="C239">
        <v>59079</v>
      </c>
      <c r="D239" t="s">
        <v>230</v>
      </c>
      <c r="E239" s="7">
        <v>49.37</v>
      </c>
      <c r="F239" t="s">
        <v>20</v>
      </c>
      <c r="G239" t="s">
        <v>21</v>
      </c>
      <c r="H239" t="str">
        <f>"LTFA 10/17/2018"</f>
        <v>LTFA 10/17/2018</v>
      </c>
      <c r="I239" t="str">
        <f>"ELODIA RAMOS"</f>
        <v>ELODIA RAMOS</v>
      </c>
    </row>
    <row r="240" spans="1:9" x14ac:dyDescent="0.25">
      <c r="A240" s="6">
        <v>43378</v>
      </c>
      <c r="B240" t="s">
        <v>91</v>
      </c>
      <c r="C240">
        <v>59079</v>
      </c>
      <c r="D240" t="s">
        <v>230</v>
      </c>
      <c r="E240" s="7">
        <v>49.37</v>
      </c>
      <c r="F240" t="s">
        <v>20</v>
      </c>
      <c r="G240" t="s">
        <v>93</v>
      </c>
      <c r="H240" t="str">
        <f>"CHECK"</f>
        <v>CHECK</v>
      </c>
      <c r="I240" t="str">
        <f>""</f>
        <v/>
      </c>
    </row>
    <row r="241" spans="1:9" x14ac:dyDescent="0.25">
      <c r="A241" s="6">
        <v>43378</v>
      </c>
      <c r="B241" t="s">
        <v>91</v>
      </c>
      <c r="C241">
        <v>59080</v>
      </c>
      <c r="D241" t="s">
        <v>381</v>
      </c>
      <c r="E241" s="7">
        <v>32.369999999999997</v>
      </c>
      <c r="F241" t="s">
        <v>20</v>
      </c>
      <c r="G241" t="s">
        <v>21</v>
      </c>
      <c r="H241" t="str">
        <f>"LTFA 10/17/2018"</f>
        <v>LTFA 10/17/2018</v>
      </c>
      <c r="I241" t="str">
        <f>"LISA TREJO"</f>
        <v>LISA TREJO</v>
      </c>
    </row>
    <row r="242" spans="1:9" x14ac:dyDescent="0.25">
      <c r="A242" s="6">
        <v>43378</v>
      </c>
      <c r="B242" t="s">
        <v>91</v>
      </c>
      <c r="C242">
        <v>59080</v>
      </c>
      <c r="D242" t="s">
        <v>381</v>
      </c>
      <c r="E242" s="7">
        <v>32.369999999999997</v>
      </c>
      <c r="F242" t="s">
        <v>20</v>
      </c>
      <c r="G242" t="s">
        <v>93</v>
      </c>
      <c r="H242" t="str">
        <f>"CHECK"</f>
        <v>CHECK</v>
      </c>
      <c r="I242" t="str">
        <f>""</f>
        <v/>
      </c>
    </row>
    <row r="243" spans="1:9" x14ac:dyDescent="0.25">
      <c r="A243" s="6">
        <v>43378</v>
      </c>
      <c r="B243" t="s">
        <v>91</v>
      </c>
      <c r="C243">
        <v>59081</v>
      </c>
      <c r="D243" t="s">
        <v>563</v>
      </c>
      <c r="E243" s="7">
        <v>3645</v>
      </c>
      <c r="F243" t="s">
        <v>20</v>
      </c>
      <c r="G243" t="s">
        <v>21</v>
      </c>
      <c r="H243" t="str">
        <f>"9401930878-1"</f>
        <v>9401930878-1</v>
      </c>
      <c r="I243" t="str">
        <f>"CRAFCO TEXAS  INC."</f>
        <v>CRAFCO TEXAS  INC.</v>
      </c>
    </row>
    <row r="244" spans="1:9" x14ac:dyDescent="0.25">
      <c r="A244" s="6">
        <v>43378</v>
      </c>
      <c r="B244" t="s">
        <v>91</v>
      </c>
      <c r="C244">
        <v>59081</v>
      </c>
      <c r="D244" t="s">
        <v>563</v>
      </c>
      <c r="E244" s="7">
        <v>3645</v>
      </c>
      <c r="F244" t="s">
        <v>20</v>
      </c>
      <c r="G244" t="s">
        <v>93</v>
      </c>
      <c r="H244" t="str">
        <f>"CHECK"</f>
        <v>CHECK</v>
      </c>
      <c r="I244" t="str">
        <f>""</f>
        <v/>
      </c>
    </row>
    <row r="245" spans="1:9" x14ac:dyDescent="0.25">
      <c r="A245" s="6">
        <v>43378</v>
      </c>
      <c r="B245" t="s">
        <v>91</v>
      </c>
      <c r="C245">
        <v>59082</v>
      </c>
      <c r="D245" t="s">
        <v>564</v>
      </c>
      <c r="E245" s="7">
        <v>79</v>
      </c>
      <c r="F245" t="s">
        <v>20</v>
      </c>
      <c r="G245" t="s">
        <v>21</v>
      </c>
      <c r="H245" t="str">
        <f>"FEDC CC10/218"</f>
        <v>FEDC CC10/218</v>
      </c>
      <c r="I245" t="str">
        <f>"WELLS FARGO -FEDC PAYMENT"</f>
        <v>WELLS FARGO -FEDC PAYMENT</v>
      </c>
    </row>
    <row r="246" spans="1:9" x14ac:dyDescent="0.25">
      <c r="A246" s="6">
        <v>43378</v>
      </c>
      <c r="B246" t="s">
        <v>91</v>
      </c>
      <c r="C246">
        <v>59082</v>
      </c>
      <c r="D246" t="s">
        <v>564</v>
      </c>
      <c r="E246" s="7">
        <v>79</v>
      </c>
      <c r="F246" t="s">
        <v>20</v>
      </c>
      <c r="G246" t="s">
        <v>93</v>
      </c>
      <c r="H246" t="str">
        <f>"CHECK"</f>
        <v>CHECK</v>
      </c>
      <c r="I246" t="str">
        <f>""</f>
        <v/>
      </c>
    </row>
    <row r="247" spans="1:9" x14ac:dyDescent="0.25">
      <c r="A247" s="6">
        <v>43378</v>
      </c>
      <c r="B247" t="s">
        <v>26</v>
      </c>
      <c r="C247">
        <v>59083</v>
      </c>
      <c r="D247" t="s">
        <v>160</v>
      </c>
      <c r="E247" s="7">
        <v>32.369999999999997</v>
      </c>
      <c r="F247" t="s">
        <v>20</v>
      </c>
      <c r="G247" t="s">
        <v>21</v>
      </c>
      <c r="H247" t="str">
        <f>"LTFA 10/17/2018"</f>
        <v>LTFA 10/17/2018</v>
      </c>
      <c r="I247" t="str">
        <f>"MONICA CORDOVA"</f>
        <v>MONICA CORDOVA</v>
      </c>
    </row>
    <row r="248" spans="1:9" x14ac:dyDescent="0.25">
      <c r="A248" s="6">
        <v>43378</v>
      </c>
      <c r="B248" t="s">
        <v>26</v>
      </c>
      <c r="C248">
        <v>59084</v>
      </c>
      <c r="D248" t="s">
        <v>230</v>
      </c>
      <c r="E248" s="7">
        <v>49.37</v>
      </c>
      <c r="F248" t="s">
        <v>20</v>
      </c>
      <c r="G248" t="s">
        <v>21</v>
      </c>
      <c r="H248" t="str">
        <f>"LFTA 10/17/2018"</f>
        <v>LFTA 10/17/2018</v>
      </c>
      <c r="I248" t="str">
        <f>"ELODIA RAMOS"</f>
        <v>ELODIA RAMOS</v>
      </c>
    </row>
    <row r="249" spans="1:9" x14ac:dyDescent="0.25">
      <c r="A249" s="6">
        <v>43378</v>
      </c>
      <c r="B249" t="s">
        <v>26</v>
      </c>
      <c r="C249">
        <v>59085</v>
      </c>
      <c r="D249" t="s">
        <v>381</v>
      </c>
      <c r="E249" s="7">
        <v>32.369999999999997</v>
      </c>
      <c r="F249" t="s">
        <v>20</v>
      </c>
      <c r="G249" t="s">
        <v>21</v>
      </c>
      <c r="H249" t="str">
        <f>"LFTA 10/17/2018-1"</f>
        <v>LFTA 10/17/2018-1</v>
      </c>
      <c r="I249" t="str">
        <f>"LISA TREJO"</f>
        <v>LISA TREJO</v>
      </c>
    </row>
    <row r="250" spans="1:9" x14ac:dyDescent="0.25">
      <c r="A250" s="6">
        <v>43378</v>
      </c>
      <c r="B250" t="s">
        <v>26</v>
      </c>
      <c r="C250">
        <v>59086</v>
      </c>
      <c r="D250" t="s">
        <v>92</v>
      </c>
      <c r="E250" s="7">
        <v>19899.28</v>
      </c>
      <c r="F250" t="s">
        <v>20</v>
      </c>
      <c r="G250" t="s">
        <v>329</v>
      </c>
      <c r="H250" t="str">
        <f>"201810058495"</f>
        <v>201810058495</v>
      </c>
      <c r="I250" t="str">
        <f>"TEXAS MUNICIPAL RETIREMENT SYS"</f>
        <v>TEXAS MUNICIPAL RETIREMENT SYS</v>
      </c>
    </row>
    <row r="251" spans="1:9" x14ac:dyDescent="0.25">
      <c r="A251" s="6">
        <v>43378</v>
      </c>
      <c r="B251" t="s">
        <v>26</v>
      </c>
      <c r="C251">
        <v>59086</v>
      </c>
      <c r="D251" t="s">
        <v>92</v>
      </c>
      <c r="E251" s="7">
        <v>19899.28</v>
      </c>
      <c r="F251" t="s">
        <v>20</v>
      </c>
      <c r="G251" t="s">
        <v>21</v>
      </c>
      <c r="H251" t="str">
        <f>"RET201809128485"</f>
        <v>RET201809128485</v>
      </c>
      <c r="I251" t="str">
        <f>"TMRS CITY OF FLORESVILLE"</f>
        <v>TMRS CITY OF FLORESVILLE</v>
      </c>
    </row>
    <row r="252" spans="1:9" x14ac:dyDescent="0.25">
      <c r="A252" s="6">
        <v>43378</v>
      </c>
      <c r="B252" t="s">
        <v>26</v>
      </c>
      <c r="C252">
        <v>59089</v>
      </c>
      <c r="D252" t="s">
        <v>221</v>
      </c>
      <c r="E252" s="7">
        <v>32497.54</v>
      </c>
      <c r="F252" t="s">
        <v>20</v>
      </c>
      <c r="G252" t="s">
        <v>329</v>
      </c>
      <c r="H252" t="str">
        <f>"C471810A"</f>
        <v>C471810A</v>
      </c>
      <c r="I252" t="str">
        <f>"TML MULTISTATE INTERGOVERNMENT"</f>
        <v>TML MULTISTATE INTERGOVERNMENT</v>
      </c>
    </row>
    <row r="253" spans="1:9" x14ac:dyDescent="0.25">
      <c r="A253" s="6">
        <v>43378</v>
      </c>
      <c r="B253" t="s">
        <v>26</v>
      </c>
      <c r="C253">
        <v>59089</v>
      </c>
      <c r="D253" t="s">
        <v>221</v>
      </c>
      <c r="E253" s="7">
        <v>32497.54</v>
      </c>
      <c r="F253" t="s">
        <v>20</v>
      </c>
      <c r="G253" t="s">
        <v>21</v>
      </c>
      <c r="H253" t="str">
        <f>"MED201809128485"</f>
        <v>MED201809128485</v>
      </c>
      <c r="I253" t="str">
        <f>"INSURANCE"</f>
        <v>INSURANCE</v>
      </c>
    </row>
    <row r="254" spans="1:9" x14ac:dyDescent="0.25">
      <c r="A254" s="6">
        <v>43381</v>
      </c>
      <c r="B254" t="s">
        <v>26</v>
      </c>
      <c r="C254">
        <v>59104</v>
      </c>
      <c r="D254" t="s">
        <v>51</v>
      </c>
      <c r="E254" s="7">
        <v>309.37</v>
      </c>
      <c r="F254" t="s">
        <v>20</v>
      </c>
      <c r="G254" t="s">
        <v>21</v>
      </c>
      <c r="H254" t="str">
        <f>"CLE201810088496"</f>
        <v>CLE201810088496</v>
      </c>
      <c r="I254" t="str">
        <f>"CLEAT ONLY DUES"</f>
        <v>CLEAT ONLY DUES</v>
      </c>
    </row>
    <row r="255" spans="1:9" x14ac:dyDescent="0.25">
      <c r="A255" s="6">
        <v>43381</v>
      </c>
      <c r="B255" t="s">
        <v>26</v>
      </c>
      <c r="C255">
        <v>59104</v>
      </c>
      <c r="D255" t="s">
        <v>51</v>
      </c>
      <c r="E255" s="7">
        <v>309.37</v>
      </c>
      <c r="F255" t="s">
        <v>20</v>
      </c>
      <c r="G255" t="s">
        <v>21</v>
      </c>
      <c r="H255" t="str">
        <f>"PDD201810088496"</f>
        <v>PDD201810088496</v>
      </c>
      <c r="I255" t="str">
        <f>"POLICE OFFICERS ASSOC DUES"</f>
        <v>POLICE OFFICERS ASSOC DUES</v>
      </c>
    </row>
    <row r="256" spans="1:9" x14ac:dyDescent="0.25">
      <c r="A256" s="6">
        <v>43381</v>
      </c>
      <c r="B256" t="s">
        <v>26</v>
      </c>
      <c r="C256">
        <v>59105</v>
      </c>
      <c r="D256" t="s">
        <v>90</v>
      </c>
      <c r="E256" s="7">
        <v>101.1</v>
      </c>
      <c r="F256" t="s">
        <v>20</v>
      </c>
      <c r="G256" t="s">
        <v>21</v>
      </c>
      <c r="H256" t="str">
        <f>"AFS201810088496"</f>
        <v>AFS201810088496</v>
      </c>
      <c r="I256" t="str">
        <f>"AFLAC STD"</f>
        <v>AFLAC STD</v>
      </c>
    </row>
    <row r="257" spans="1:9" x14ac:dyDescent="0.25">
      <c r="A257" s="6">
        <v>43381</v>
      </c>
      <c r="B257" t="s">
        <v>26</v>
      </c>
      <c r="C257">
        <v>59106</v>
      </c>
      <c r="D257" t="s">
        <v>52</v>
      </c>
      <c r="E257" s="7">
        <v>1123.9100000000001</v>
      </c>
      <c r="F257" t="s">
        <v>20</v>
      </c>
      <c r="G257" t="s">
        <v>21</v>
      </c>
      <c r="H257" t="str">
        <f>"CPS201810088496"</f>
        <v>CPS201810088496</v>
      </c>
      <c r="I257" t="str">
        <f>"G MENDOZA 00123012032010EM5054"</f>
        <v>G MENDOZA 00123012032010EM5054</v>
      </c>
    </row>
    <row r="258" spans="1:9" x14ac:dyDescent="0.25">
      <c r="A258" s="6">
        <v>43381</v>
      </c>
      <c r="B258" t="s">
        <v>26</v>
      </c>
      <c r="C258">
        <v>59106</v>
      </c>
      <c r="D258" t="s">
        <v>52</v>
      </c>
      <c r="E258" s="7">
        <v>1123.9100000000001</v>
      </c>
      <c r="F258" t="s">
        <v>20</v>
      </c>
      <c r="G258" t="s">
        <v>21</v>
      </c>
      <c r="H258" t="str">
        <f>"CS 201810088496"</f>
        <v>CS 201810088496</v>
      </c>
      <c r="I258" t="str">
        <f>"CAUSE#98EM504113 PEGGY RIVAS"</f>
        <v>CAUSE#98EM504113 PEGGY RIVAS</v>
      </c>
    </row>
    <row r="259" spans="1:9" x14ac:dyDescent="0.25">
      <c r="A259" s="6">
        <v>43381</v>
      </c>
      <c r="B259" t="s">
        <v>26</v>
      </c>
      <c r="C259">
        <v>59106</v>
      </c>
      <c r="D259" t="s">
        <v>52</v>
      </c>
      <c r="E259" s="7">
        <v>1123.9100000000001</v>
      </c>
      <c r="F259" t="s">
        <v>20</v>
      </c>
      <c r="G259" t="s">
        <v>21</v>
      </c>
      <c r="H259" t="str">
        <f>"CSJ201810088496"</f>
        <v>CSJ201810088496</v>
      </c>
      <c r="I259" t="str">
        <f>"CAUSE# 0010185272 MARIANN GUTI"</f>
        <v>CAUSE# 0010185272 MARIANN GUTI</v>
      </c>
    </row>
    <row r="260" spans="1:9" x14ac:dyDescent="0.25">
      <c r="A260" s="6">
        <v>43381</v>
      </c>
      <c r="B260" t="s">
        <v>26</v>
      </c>
      <c r="C260">
        <v>59107</v>
      </c>
      <c r="D260" t="s">
        <v>53</v>
      </c>
      <c r="E260" s="7">
        <v>99.1</v>
      </c>
      <c r="F260" t="s">
        <v>20</v>
      </c>
      <c r="G260" t="s">
        <v>21</v>
      </c>
      <c r="H260" t="str">
        <f>"MCO201810088496"</f>
        <v>MCO201810088496</v>
      </c>
      <c r="I260" t="str">
        <f>"MONICA CORDOVA"</f>
        <v>MONICA CORDOVA</v>
      </c>
    </row>
    <row r="261" spans="1:9" x14ac:dyDescent="0.25">
      <c r="A261" s="6">
        <v>43381</v>
      </c>
      <c r="B261" t="s">
        <v>26</v>
      </c>
      <c r="C261">
        <v>59108</v>
      </c>
      <c r="D261" t="s">
        <v>54</v>
      </c>
      <c r="E261" s="7">
        <v>977.1</v>
      </c>
      <c r="F261" t="s">
        <v>20</v>
      </c>
      <c r="G261" t="s">
        <v>21</v>
      </c>
      <c r="H261" t="str">
        <f>"457201810088496"</f>
        <v>457201810088496</v>
      </c>
      <c r="I261" t="str">
        <f>"CASE # 180-60751 457B DEDUCT"</f>
        <v>CASE # 180-60751 457B DEDUCT</v>
      </c>
    </row>
    <row r="262" spans="1:9" x14ac:dyDescent="0.25">
      <c r="A262" s="6">
        <v>43381</v>
      </c>
      <c r="B262" t="s">
        <v>26</v>
      </c>
      <c r="C262">
        <v>59110</v>
      </c>
      <c r="D262" t="s">
        <v>345</v>
      </c>
      <c r="E262" s="7">
        <v>286</v>
      </c>
      <c r="F262" t="s">
        <v>20</v>
      </c>
      <c r="G262" t="s">
        <v>21</v>
      </c>
      <c r="H262" t="str">
        <f>"10/8/18"</f>
        <v>10/8/18</v>
      </c>
      <c r="I262" t="str">
        <f>"MICHAEL ISAAC MARTINEZ"</f>
        <v>MICHAEL ISAAC MARTINEZ</v>
      </c>
    </row>
    <row r="263" spans="1:9" x14ac:dyDescent="0.25">
      <c r="A263" s="6">
        <v>43381</v>
      </c>
      <c r="B263" t="s">
        <v>26</v>
      </c>
      <c r="C263">
        <v>59111</v>
      </c>
      <c r="D263" t="s">
        <v>565</v>
      </c>
      <c r="E263" s="7">
        <v>50</v>
      </c>
      <c r="F263" t="s">
        <v>20</v>
      </c>
      <c r="G263" t="s">
        <v>21</v>
      </c>
      <c r="H263" t="str">
        <f>"PAV REF 9/28/18"</f>
        <v>PAV REF 9/28/18</v>
      </c>
      <c r="I263" t="str">
        <f>"REFUND"</f>
        <v>REFUND</v>
      </c>
    </row>
    <row r="264" spans="1:9" x14ac:dyDescent="0.25">
      <c r="A264" s="6">
        <v>43381</v>
      </c>
      <c r="B264" t="s">
        <v>26</v>
      </c>
      <c r="C264">
        <v>59112</v>
      </c>
      <c r="D264" t="s">
        <v>300</v>
      </c>
      <c r="E264" s="7">
        <v>50</v>
      </c>
      <c r="F264" t="s">
        <v>20</v>
      </c>
      <c r="G264" t="s">
        <v>21</v>
      </c>
      <c r="H264" t="str">
        <f>"PAV REF 9/8/18"</f>
        <v>PAV REF 9/8/18</v>
      </c>
      <c r="I264" t="str">
        <f>"REFUND"</f>
        <v>REFUND</v>
      </c>
    </row>
    <row r="265" spans="1:9" x14ac:dyDescent="0.25">
      <c r="A265" s="6">
        <v>43381</v>
      </c>
      <c r="B265" t="s">
        <v>26</v>
      </c>
      <c r="C265">
        <v>59113</v>
      </c>
      <c r="D265" t="s">
        <v>67</v>
      </c>
      <c r="E265" s="7">
        <v>595.54</v>
      </c>
      <c r="F265" t="s">
        <v>20</v>
      </c>
      <c r="G265" t="s">
        <v>21</v>
      </c>
      <c r="H265" t="str">
        <f>"10/2018"</f>
        <v>10/2018</v>
      </c>
      <c r="I265" t="str">
        <f>"ANYTIME FITNESS"</f>
        <v>ANYTIME FITNESS</v>
      </c>
    </row>
    <row r="266" spans="1:9" x14ac:dyDescent="0.25">
      <c r="A266" s="6">
        <v>43381</v>
      </c>
      <c r="B266" t="s">
        <v>26</v>
      </c>
      <c r="C266">
        <v>59113</v>
      </c>
      <c r="D266" t="s">
        <v>67</v>
      </c>
      <c r="E266" s="7">
        <v>595.54</v>
      </c>
      <c r="F266" t="s">
        <v>20</v>
      </c>
      <c r="G266" t="s">
        <v>21</v>
      </c>
      <c r="H266" t="str">
        <f>"9/2018"</f>
        <v>9/2018</v>
      </c>
      <c r="I266" t="str">
        <f>"ANYTIME FITNESS"</f>
        <v>ANYTIME FITNESS</v>
      </c>
    </row>
    <row r="267" spans="1:9" x14ac:dyDescent="0.25">
      <c r="A267" s="6">
        <v>43381</v>
      </c>
      <c r="B267" t="s">
        <v>26</v>
      </c>
      <c r="C267">
        <v>59114</v>
      </c>
      <c r="D267" t="s">
        <v>283</v>
      </c>
      <c r="E267" s="7">
        <v>31500</v>
      </c>
      <c r="F267" t="s">
        <v>20</v>
      </c>
      <c r="G267" t="s">
        <v>21</v>
      </c>
      <c r="H267" t="str">
        <f>"10/2018"</f>
        <v>10/2018</v>
      </c>
      <c r="I267" t="str">
        <f>"WILSON COUNTY EMS"</f>
        <v>WILSON COUNTY EMS</v>
      </c>
    </row>
    <row r="268" spans="1:9" x14ac:dyDescent="0.25">
      <c r="A268" s="6">
        <v>43381</v>
      </c>
      <c r="B268" t="s">
        <v>26</v>
      </c>
      <c r="C268">
        <v>59115</v>
      </c>
      <c r="D268" t="s">
        <v>134</v>
      </c>
      <c r="E268" s="7">
        <v>1226.06</v>
      </c>
      <c r="F268" t="s">
        <v>20</v>
      </c>
      <c r="G268" t="s">
        <v>21</v>
      </c>
      <c r="H268" t="str">
        <f>"2017-118.07"</f>
        <v>2017-118.07</v>
      </c>
      <c r="I268" t="str">
        <f>"MOODY ENGINEERING GROUP INC."</f>
        <v>MOODY ENGINEERING GROUP INC.</v>
      </c>
    </row>
    <row r="269" spans="1:9" x14ac:dyDescent="0.25">
      <c r="A269" s="6">
        <v>43383</v>
      </c>
      <c r="B269" t="s">
        <v>26</v>
      </c>
      <c r="C269">
        <v>59116</v>
      </c>
      <c r="D269" t="s">
        <v>566</v>
      </c>
      <c r="E269" s="7">
        <v>750</v>
      </c>
      <c r="F269" t="s">
        <v>20</v>
      </c>
      <c r="G269" t="s">
        <v>21</v>
      </c>
      <c r="H269" t="str">
        <f>"818614"</f>
        <v>818614</v>
      </c>
      <c r="I269" t="str">
        <f>"JOHN A. LAZOVICH"</f>
        <v>JOHN A. LAZOVICH</v>
      </c>
    </row>
    <row r="270" spans="1:9" x14ac:dyDescent="0.25">
      <c r="A270" s="6">
        <v>43383</v>
      </c>
      <c r="B270" t="s">
        <v>26</v>
      </c>
      <c r="C270">
        <v>59117</v>
      </c>
      <c r="D270" t="s">
        <v>443</v>
      </c>
      <c r="E270" s="7">
        <v>4550</v>
      </c>
      <c r="F270" t="s">
        <v>20</v>
      </c>
      <c r="G270" t="s">
        <v>21</v>
      </c>
      <c r="H270" t="str">
        <f>"10489"</f>
        <v>10489</v>
      </c>
      <c r="I270" t="str">
        <f>"RIOJAS TURF CARE  LLC"</f>
        <v>RIOJAS TURF CARE  LLC</v>
      </c>
    </row>
    <row r="271" spans="1:9" x14ac:dyDescent="0.25">
      <c r="A271" s="6">
        <v>43383</v>
      </c>
      <c r="B271" t="s">
        <v>91</v>
      </c>
      <c r="C271">
        <v>59118</v>
      </c>
      <c r="D271" t="s">
        <v>567</v>
      </c>
      <c r="E271" s="7">
        <v>370</v>
      </c>
      <c r="F271" t="s">
        <v>20</v>
      </c>
      <c r="G271" t="s">
        <v>21</v>
      </c>
      <c r="H271" t="str">
        <f>"2597"</f>
        <v>2597</v>
      </c>
      <c r="I271" t="str">
        <f>"FREEDOM MOWING  LLC"</f>
        <v>FREEDOM MOWING  LLC</v>
      </c>
    </row>
    <row r="272" spans="1:9" x14ac:dyDescent="0.25">
      <c r="A272" s="6">
        <v>43383</v>
      </c>
      <c r="B272" t="s">
        <v>91</v>
      </c>
      <c r="C272">
        <v>59118</v>
      </c>
      <c r="D272" t="s">
        <v>567</v>
      </c>
      <c r="E272" s="7">
        <v>370</v>
      </c>
      <c r="F272" t="s">
        <v>20</v>
      </c>
      <c r="G272" t="s">
        <v>93</v>
      </c>
      <c r="H272" t="str">
        <f>"CHECK"</f>
        <v>CHECK</v>
      </c>
      <c r="I272" t="str">
        <f>""</f>
        <v/>
      </c>
    </row>
    <row r="273" spans="1:9" x14ac:dyDescent="0.25">
      <c r="A273" s="6">
        <v>43383</v>
      </c>
      <c r="B273" t="s">
        <v>26</v>
      </c>
      <c r="C273">
        <v>59119</v>
      </c>
      <c r="D273" t="s">
        <v>104</v>
      </c>
      <c r="E273" s="7">
        <v>4205.67</v>
      </c>
      <c r="F273" t="s">
        <v>20</v>
      </c>
      <c r="G273" t="s">
        <v>21</v>
      </c>
      <c r="H273" t="str">
        <f>"1348300919"</f>
        <v>1348300919</v>
      </c>
      <c r="I273" t="str">
        <f>"WILSON COUNTY NEWS"</f>
        <v>WILSON COUNTY NEWS</v>
      </c>
    </row>
    <row r="274" spans="1:9" x14ac:dyDescent="0.25">
      <c r="A274" s="6">
        <v>43383</v>
      </c>
      <c r="B274" t="s">
        <v>26</v>
      </c>
      <c r="C274">
        <v>59120</v>
      </c>
      <c r="D274" t="s">
        <v>59</v>
      </c>
      <c r="E274" s="7">
        <v>111.06</v>
      </c>
      <c r="F274" t="s">
        <v>20</v>
      </c>
      <c r="G274" t="s">
        <v>21</v>
      </c>
      <c r="H274" t="str">
        <f>"0986858-1"</f>
        <v>0986858-1</v>
      </c>
      <c r="I274" t="str">
        <f>"FERGUSON WATERWORKS - MUNICIPA"</f>
        <v>FERGUSON WATERWORKS - MUNICIPA</v>
      </c>
    </row>
    <row r="275" spans="1:9" x14ac:dyDescent="0.25">
      <c r="A275" s="6">
        <v>43383</v>
      </c>
      <c r="B275" t="s">
        <v>26</v>
      </c>
      <c r="C275">
        <v>59120</v>
      </c>
      <c r="D275" t="s">
        <v>59</v>
      </c>
      <c r="E275" s="7">
        <v>111.06</v>
      </c>
      <c r="F275" t="s">
        <v>20</v>
      </c>
      <c r="G275" t="s">
        <v>21</v>
      </c>
      <c r="H275" t="str">
        <f>"0986907"</f>
        <v>0986907</v>
      </c>
      <c r="I275" t="str">
        <f>"FERGUSON WATERWORKS - MUNICIPA"</f>
        <v>FERGUSON WATERWORKS - MUNICIPA</v>
      </c>
    </row>
    <row r="276" spans="1:9" x14ac:dyDescent="0.25">
      <c r="A276" s="6">
        <v>43383</v>
      </c>
      <c r="B276" t="s">
        <v>26</v>
      </c>
      <c r="C276">
        <v>59121</v>
      </c>
      <c r="D276" t="s">
        <v>472</v>
      </c>
      <c r="E276" s="7">
        <v>38</v>
      </c>
      <c r="F276" t="s">
        <v>20</v>
      </c>
      <c r="G276" t="s">
        <v>21</v>
      </c>
      <c r="H276" t="str">
        <f>"222641"</f>
        <v>222641</v>
      </c>
      <c r="I276" t="str">
        <f>"WILSON COUNTY CLERK  EVA S. MA"</f>
        <v>WILSON COUNTY CLERK  EVA S. MA</v>
      </c>
    </row>
    <row r="277" spans="1:9" x14ac:dyDescent="0.25">
      <c r="A277" s="6">
        <v>43383</v>
      </c>
      <c r="B277" t="s">
        <v>26</v>
      </c>
      <c r="C277">
        <v>59122</v>
      </c>
      <c r="D277" t="s">
        <v>61</v>
      </c>
      <c r="E277" s="7">
        <v>100</v>
      </c>
      <c r="F277" t="s">
        <v>20</v>
      </c>
      <c r="G277" t="s">
        <v>21</v>
      </c>
      <c r="H277" t="str">
        <f>"025-237356-1"</f>
        <v>025-237356-1</v>
      </c>
      <c r="I277" t="str">
        <f>"TYLER TECHNOLOGIES  INC."</f>
        <v>TYLER TECHNOLOGIES  INC.</v>
      </c>
    </row>
    <row r="278" spans="1:9" x14ac:dyDescent="0.25">
      <c r="A278" s="6">
        <v>43383</v>
      </c>
      <c r="B278" t="s">
        <v>26</v>
      </c>
      <c r="C278">
        <v>59123</v>
      </c>
      <c r="D278" t="s">
        <v>69</v>
      </c>
      <c r="E278" s="7">
        <v>88.82</v>
      </c>
      <c r="F278" t="s">
        <v>20</v>
      </c>
      <c r="G278" t="s">
        <v>21</v>
      </c>
      <c r="H278" t="str">
        <f>"3393113-1"</f>
        <v>3393113-1</v>
      </c>
      <c r="I278" t="str">
        <f>"EWALD TRACTOR SUPPLY"</f>
        <v>EWALD TRACTOR SUPPLY</v>
      </c>
    </row>
    <row r="279" spans="1:9" x14ac:dyDescent="0.25">
      <c r="A279" s="6">
        <v>43383</v>
      </c>
      <c r="B279" t="s">
        <v>26</v>
      </c>
      <c r="C279">
        <v>59124</v>
      </c>
      <c r="D279" t="s">
        <v>77</v>
      </c>
      <c r="E279" s="7">
        <v>791.43</v>
      </c>
      <c r="F279" t="s">
        <v>20</v>
      </c>
      <c r="G279" t="s">
        <v>21</v>
      </c>
      <c r="H279" t="str">
        <f>"857001790-181"</f>
        <v>857001790-181</v>
      </c>
      <c r="I279" t="str">
        <f>"DPC INDUSTRIES  INC."</f>
        <v>DPC INDUSTRIES  INC.</v>
      </c>
    </row>
    <row r="280" spans="1:9" x14ac:dyDescent="0.25">
      <c r="A280" s="6">
        <v>43383</v>
      </c>
      <c r="B280" t="s">
        <v>26</v>
      </c>
      <c r="C280">
        <v>59124</v>
      </c>
      <c r="D280" t="s">
        <v>77</v>
      </c>
      <c r="E280" s="7">
        <v>791.43</v>
      </c>
      <c r="F280" t="s">
        <v>20</v>
      </c>
      <c r="G280" t="s">
        <v>21</v>
      </c>
      <c r="H280" t="str">
        <f>"857001791-18-1"</f>
        <v>857001791-18-1</v>
      </c>
      <c r="I280" t="str">
        <f>"DPC INDUSTRIES  INC."</f>
        <v>DPC INDUSTRIES  INC.</v>
      </c>
    </row>
    <row r="281" spans="1:9" x14ac:dyDescent="0.25">
      <c r="A281" s="6">
        <v>43383</v>
      </c>
      <c r="B281" t="s">
        <v>26</v>
      </c>
      <c r="C281">
        <v>59125</v>
      </c>
      <c r="D281" t="s">
        <v>125</v>
      </c>
      <c r="E281" s="7">
        <v>3210</v>
      </c>
      <c r="F281" t="s">
        <v>20</v>
      </c>
      <c r="G281" t="s">
        <v>21</v>
      </c>
      <c r="H281" t="str">
        <f>"18-0202 09/18/18"</f>
        <v>18-0202 09/18/18</v>
      </c>
      <c r="I281" t="str">
        <f>"INTREPID SURVEYING CORPORATION"</f>
        <v>INTREPID SURVEYING CORPORATION</v>
      </c>
    </row>
    <row r="282" spans="1:9" x14ac:dyDescent="0.25">
      <c r="A282" s="6">
        <v>43383</v>
      </c>
      <c r="B282" t="s">
        <v>91</v>
      </c>
      <c r="C282">
        <v>59126</v>
      </c>
      <c r="D282" t="s">
        <v>85</v>
      </c>
      <c r="E282" s="7">
        <v>4102.13</v>
      </c>
      <c r="F282" t="s">
        <v>20</v>
      </c>
      <c r="G282" t="s">
        <v>21</v>
      </c>
      <c r="H282" t="str">
        <f>"8301970024PD"</f>
        <v>8301970024PD</v>
      </c>
      <c r="I282" t="str">
        <f>"FRONTIER"</f>
        <v>FRONTIER</v>
      </c>
    </row>
    <row r="283" spans="1:9" x14ac:dyDescent="0.25">
      <c r="A283" s="6">
        <v>43383</v>
      </c>
      <c r="B283" t="s">
        <v>91</v>
      </c>
      <c r="C283">
        <v>59126</v>
      </c>
      <c r="D283" t="s">
        <v>85</v>
      </c>
      <c r="E283" s="7">
        <v>4102.13</v>
      </c>
      <c r="F283" t="s">
        <v>20</v>
      </c>
      <c r="G283" t="s">
        <v>93</v>
      </c>
      <c r="H283" t="str">
        <f>"CHECK"</f>
        <v>CHECK</v>
      </c>
      <c r="I283" t="str">
        <f>""</f>
        <v/>
      </c>
    </row>
    <row r="284" spans="1:9" x14ac:dyDescent="0.25">
      <c r="A284" s="6">
        <v>43383</v>
      </c>
      <c r="B284" t="s">
        <v>26</v>
      </c>
      <c r="C284">
        <v>59127</v>
      </c>
      <c r="D284" t="s">
        <v>275</v>
      </c>
      <c r="E284" s="7">
        <v>1535</v>
      </c>
      <c r="F284" t="s">
        <v>20</v>
      </c>
      <c r="G284" t="s">
        <v>21</v>
      </c>
      <c r="H284" t="str">
        <f>"39580"</f>
        <v>39580</v>
      </c>
      <c r="I284" t="str">
        <f>"CORTEZ LIQUID WASTE SERVICES"</f>
        <v>CORTEZ LIQUID WASTE SERVICES</v>
      </c>
    </row>
    <row r="285" spans="1:9" x14ac:dyDescent="0.25">
      <c r="A285" s="6">
        <v>43383</v>
      </c>
      <c r="B285" t="s">
        <v>91</v>
      </c>
      <c r="C285">
        <v>59128</v>
      </c>
      <c r="D285" t="s">
        <v>351</v>
      </c>
      <c r="E285" s="7">
        <v>75</v>
      </c>
      <c r="F285" t="s">
        <v>20</v>
      </c>
      <c r="G285" t="s">
        <v>21</v>
      </c>
      <c r="H285" t="str">
        <f>"542208"</f>
        <v>542208</v>
      </c>
      <c r="I285" t="str">
        <f>"H &amp; H OIL"</f>
        <v>H &amp; H OIL</v>
      </c>
    </row>
    <row r="286" spans="1:9" x14ac:dyDescent="0.25">
      <c r="A286" s="6">
        <v>43383</v>
      </c>
      <c r="B286" t="s">
        <v>91</v>
      </c>
      <c r="C286">
        <v>59128</v>
      </c>
      <c r="D286" t="s">
        <v>351</v>
      </c>
      <c r="E286" s="7">
        <v>75</v>
      </c>
      <c r="F286" t="s">
        <v>20</v>
      </c>
      <c r="G286" t="s">
        <v>93</v>
      </c>
      <c r="H286" t="str">
        <f>"CHECK"</f>
        <v>CHECK</v>
      </c>
      <c r="I286" t="str">
        <f>""</f>
        <v/>
      </c>
    </row>
    <row r="287" spans="1:9" x14ac:dyDescent="0.25">
      <c r="A287" s="6">
        <v>43383</v>
      </c>
      <c r="B287" t="s">
        <v>26</v>
      </c>
      <c r="C287">
        <v>59129</v>
      </c>
      <c r="D287" t="s">
        <v>554</v>
      </c>
      <c r="E287" s="7">
        <v>72.95</v>
      </c>
      <c r="F287" t="s">
        <v>20</v>
      </c>
      <c r="G287" t="s">
        <v>21</v>
      </c>
      <c r="H287" t="str">
        <f>"A999092"</f>
        <v>A999092</v>
      </c>
      <c r="I287" t="str">
        <f>"TEXAS WIRED MUSIC"</f>
        <v>TEXAS WIRED MUSIC</v>
      </c>
    </row>
    <row r="288" spans="1:9" x14ac:dyDescent="0.25">
      <c r="A288" s="6">
        <v>43383</v>
      </c>
      <c r="B288" t="s">
        <v>26</v>
      </c>
      <c r="C288">
        <v>59130</v>
      </c>
      <c r="D288" t="s">
        <v>568</v>
      </c>
      <c r="E288" s="7">
        <v>614.24</v>
      </c>
      <c r="F288" t="s">
        <v>20</v>
      </c>
      <c r="G288" t="s">
        <v>21</v>
      </c>
      <c r="H288" t="str">
        <f>"4182303"</f>
        <v>4182303</v>
      </c>
      <c r="I288" t="str">
        <f>"TIRE HUB"</f>
        <v>TIRE HUB</v>
      </c>
    </row>
    <row r="289" spans="1:9" x14ac:dyDescent="0.25">
      <c r="A289" s="6">
        <v>43390</v>
      </c>
      <c r="B289" t="s">
        <v>26</v>
      </c>
      <c r="C289">
        <v>59131</v>
      </c>
      <c r="D289" t="s">
        <v>92</v>
      </c>
      <c r="E289" s="7">
        <v>39329.56</v>
      </c>
      <c r="F289" t="s">
        <v>20</v>
      </c>
      <c r="G289" t="s">
        <v>329</v>
      </c>
      <c r="H289" t="str">
        <f>"RET201809"</f>
        <v>RET201809</v>
      </c>
      <c r="I289" t="str">
        <f>"TEXAS MUNICIPAL RETIREMENT SYS"</f>
        <v>TEXAS MUNICIPAL RETIREMENT SYS</v>
      </c>
    </row>
    <row r="290" spans="1:9" x14ac:dyDescent="0.25">
      <c r="A290" s="6">
        <v>43390</v>
      </c>
      <c r="B290" t="s">
        <v>26</v>
      </c>
      <c r="C290">
        <v>59131</v>
      </c>
      <c r="D290" t="s">
        <v>92</v>
      </c>
      <c r="E290" s="7">
        <v>39329.56</v>
      </c>
      <c r="F290" t="s">
        <v>20</v>
      </c>
      <c r="G290" t="s">
        <v>21</v>
      </c>
      <c r="H290" t="str">
        <f>"RET201810088496"</f>
        <v>RET201810088496</v>
      </c>
      <c r="I290" t="str">
        <f>"TMRS CITY OF FLORESVILLE"</f>
        <v>TMRS CITY OF FLORESVILLE</v>
      </c>
    </row>
    <row r="291" spans="1:9" x14ac:dyDescent="0.25">
      <c r="A291" s="6">
        <v>43390</v>
      </c>
      <c r="B291" t="s">
        <v>91</v>
      </c>
      <c r="C291">
        <v>59134</v>
      </c>
      <c r="D291" t="s">
        <v>97</v>
      </c>
      <c r="E291" s="7">
        <v>39614.15</v>
      </c>
      <c r="F291" t="s">
        <v>20</v>
      </c>
      <c r="G291" t="s">
        <v>329</v>
      </c>
      <c r="H291" t="str">
        <f>"10/18"</f>
        <v>10/18</v>
      </c>
      <c r="I291" t="str">
        <f>"HEALTH CARE SERVICE CORPORATIO"</f>
        <v>HEALTH CARE SERVICE CORPORATIO</v>
      </c>
    </row>
    <row r="292" spans="1:9" x14ac:dyDescent="0.25">
      <c r="A292" s="6">
        <v>43390</v>
      </c>
      <c r="B292" t="s">
        <v>91</v>
      </c>
      <c r="C292">
        <v>59134</v>
      </c>
      <c r="D292" t="s">
        <v>97</v>
      </c>
      <c r="E292" s="7">
        <v>39614.15</v>
      </c>
      <c r="F292" t="s">
        <v>20</v>
      </c>
      <c r="G292" t="s">
        <v>21</v>
      </c>
      <c r="H292" t="str">
        <f>"DEN201810088496"</f>
        <v>DEN201810088496</v>
      </c>
      <c r="I292" t="str">
        <f>"DENTAL INSURANCE"</f>
        <v>DENTAL INSURANCE</v>
      </c>
    </row>
    <row r="293" spans="1:9" x14ac:dyDescent="0.25">
      <c r="A293" s="6">
        <v>43390</v>
      </c>
      <c r="B293" t="s">
        <v>91</v>
      </c>
      <c r="C293">
        <v>59134</v>
      </c>
      <c r="D293" t="s">
        <v>97</v>
      </c>
      <c r="E293" s="7">
        <v>39614.15</v>
      </c>
      <c r="F293" t="s">
        <v>20</v>
      </c>
      <c r="G293" t="s">
        <v>21</v>
      </c>
      <c r="H293" t="str">
        <f>"MED201810088496"</f>
        <v>MED201810088496</v>
      </c>
      <c r="I293" t="str">
        <f>"HEALTH &amp; DENTAL INSURANCE"</f>
        <v>HEALTH &amp; DENTAL INSURANCE</v>
      </c>
    </row>
    <row r="294" spans="1:9" x14ac:dyDescent="0.25">
      <c r="A294" s="6">
        <v>43390</v>
      </c>
      <c r="B294" t="s">
        <v>91</v>
      </c>
      <c r="C294">
        <v>59134</v>
      </c>
      <c r="D294" t="s">
        <v>97</v>
      </c>
      <c r="E294" s="7">
        <v>39614.15</v>
      </c>
      <c r="F294" t="s">
        <v>20</v>
      </c>
      <c r="G294" t="s">
        <v>93</v>
      </c>
      <c r="H294" t="str">
        <f>"CHECK"</f>
        <v>CHECK</v>
      </c>
      <c r="I294" t="str">
        <f>""</f>
        <v/>
      </c>
    </row>
    <row r="295" spans="1:9" x14ac:dyDescent="0.25">
      <c r="A295" s="6">
        <v>43390</v>
      </c>
      <c r="B295" t="s">
        <v>26</v>
      </c>
      <c r="C295">
        <v>59137</v>
      </c>
      <c r="D295" t="s">
        <v>102</v>
      </c>
      <c r="E295" s="7">
        <v>107.36</v>
      </c>
      <c r="F295" t="s">
        <v>20</v>
      </c>
      <c r="G295" t="s">
        <v>21</v>
      </c>
      <c r="H295" t="str">
        <f>"1ST ST 10/2018"</f>
        <v>1ST ST 10/2018</v>
      </c>
      <c r="I295" t="str">
        <f>"CENTERPOINT ENERGY ENTEX"</f>
        <v>CENTERPOINT ENERGY ENTEX</v>
      </c>
    </row>
    <row r="296" spans="1:9" x14ac:dyDescent="0.25">
      <c r="A296" s="6">
        <v>43390</v>
      </c>
      <c r="B296" t="s">
        <v>26</v>
      </c>
      <c r="C296">
        <v>59137</v>
      </c>
      <c r="D296" t="s">
        <v>102</v>
      </c>
      <c r="E296" s="7">
        <v>107.36</v>
      </c>
      <c r="F296" t="s">
        <v>20</v>
      </c>
      <c r="G296" t="s">
        <v>21</v>
      </c>
      <c r="H296" t="str">
        <f>"D ST. 10/18"</f>
        <v>D ST. 10/18</v>
      </c>
      <c r="I296" t="str">
        <f>"CENTERPOINT ENERGY ENTEX"</f>
        <v>CENTERPOINT ENERGY ENTEX</v>
      </c>
    </row>
    <row r="297" spans="1:9" x14ac:dyDescent="0.25">
      <c r="A297" s="6">
        <v>43390</v>
      </c>
      <c r="B297" t="s">
        <v>26</v>
      </c>
      <c r="C297">
        <v>59137</v>
      </c>
      <c r="D297" t="s">
        <v>102</v>
      </c>
      <c r="E297" s="7">
        <v>107.36</v>
      </c>
      <c r="F297" t="s">
        <v>20</v>
      </c>
      <c r="G297" t="s">
        <v>21</v>
      </c>
      <c r="H297" t="str">
        <f>"PD 10/2018"</f>
        <v>PD 10/2018</v>
      </c>
      <c r="I297" t="str">
        <f>"CENTERPOINT ENERGY ENTEX"</f>
        <v>CENTERPOINT ENERGY ENTEX</v>
      </c>
    </row>
    <row r="298" spans="1:9" x14ac:dyDescent="0.25">
      <c r="A298" s="6">
        <v>43390</v>
      </c>
      <c r="B298" t="s">
        <v>26</v>
      </c>
      <c r="C298">
        <v>59137</v>
      </c>
      <c r="D298" t="s">
        <v>102</v>
      </c>
      <c r="E298" s="7">
        <v>107.36</v>
      </c>
      <c r="F298" t="s">
        <v>20</v>
      </c>
      <c r="G298" t="s">
        <v>21</v>
      </c>
      <c r="H298" t="str">
        <f>"SHOP 10/2018"</f>
        <v>SHOP 10/2018</v>
      </c>
      <c r="I298" t="str">
        <f>"CENTERPOINT ENERGY ENTEX"</f>
        <v>CENTERPOINT ENERGY ENTEX</v>
      </c>
    </row>
    <row r="299" spans="1:9" x14ac:dyDescent="0.25">
      <c r="A299" s="6">
        <v>43390</v>
      </c>
      <c r="B299" t="s">
        <v>26</v>
      </c>
      <c r="C299">
        <v>59138</v>
      </c>
      <c r="D299" t="s">
        <v>57</v>
      </c>
      <c r="E299" s="7">
        <v>7837.38</v>
      </c>
      <c r="F299" t="s">
        <v>20</v>
      </c>
      <c r="G299" t="s">
        <v>21</v>
      </c>
      <c r="H299" t="str">
        <f>"142 10/9/18"</f>
        <v>142 10/9/18</v>
      </c>
      <c r="I299" t="str">
        <f>"F.E.L.P.S."</f>
        <v>F.E.L.P.S.</v>
      </c>
    </row>
    <row r="300" spans="1:9" x14ac:dyDescent="0.25">
      <c r="A300" s="6">
        <v>43390</v>
      </c>
      <c r="B300" t="s">
        <v>26</v>
      </c>
      <c r="C300">
        <v>59138</v>
      </c>
      <c r="D300" t="s">
        <v>57</v>
      </c>
      <c r="E300" s="7">
        <v>7837.38</v>
      </c>
      <c r="F300" t="s">
        <v>20</v>
      </c>
      <c r="G300" t="s">
        <v>21</v>
      </c>
      <c r="H300" t="str">
        <f>"33062 10/2018"</f>
        <v>33062 10/2018</v>
      </c>
      <c r="I300" t="str">
        <f>"F.E.L.P.S."</f>
        <v>F.E.L.P.S.</v>
      </c>
    </row>
    <row r="301" spans="1:9" x14ac:dyDescent="0.25">
      <c r="A301" s="6">
        <v>43390</v>
      </c>
      <c r="B301" t="s">
        <v>26</v>
      </c>
      <c r="C301">
        <v>59139</v>
      </c>
      <c r="D301" t="s">
        <v>561</v>
      </c>
      <c r="E301" s="7">
        <v>65</v>
      </c>
      <c r="F301" t="s">
        <v>20</v>
      </c>
      <c r="G301" t="s">
        <v>21</v>
      </c>
      <c r="H301" t="str">
        <f>"074644"</f>
        <v>074644</v>
      </c>
      <c r="I301" t="str">
        <f>"HART INTERCIVIC"</f>
        <v>HART INTERCIVIC</v>
      </c>
    </row>
    <row r="302" spans="1:9" x14ac:dyDescent="0.25">
      <c r="A302" s="6">
        <v>43390</v>
      </c>
      <c r="B302" t="s">
        <v>91</v>
      </c>
      <c r="C302">
        <v>59140</v>
      </c>
      <c r="D302" t="s">
        <v>165</v>
      </c>
      <c r="E302" s="7">
        <v>75.599999999999994</v>
      </c>
      <c r="F302" t="s">
        <v>20</v>
      </c>
      <c r="G302" t="s">
        <v>21</v>
      </c>
      <c r="H302" t="str">
        <f>"4/30/18"</f>
        <v>4/30/18</v>
      </c>
      <c r="I302" t="str">
        <f>"WAL-MART BUSINESS/SYNCB"</f>
        <v>WAL-MART BUSINESS/SYNCB</v>
      </c>
    </row>
    <row r="303" spans="1:9" x14ac:dyDescent="0.25">
      <c r="A303" s="6">
        <v>43390</v>
      </c>
      <c r="B303" t="s">
        <v>91</v>
      </c>
      <c r="C303">
        <v>59140</v>
      </c>
      <c r="D303" t="s">
        <v>165</v>
      </c>
      <c r="E303" s="7">
        <v>75.599999999999994</v>
      </c>
      <c r="F303" t="s">
        <v>20</v>
      </c>
      <c r="G303" t="s">
        <v>93</v>
      </c>
      <c r="H303" t="str">
        <f>"CHECK"</f>
        <v>CHECK</v>
      </c>
      <c r="I303" t="str">
        <f>""</f>
        <v/>
      </c>
    </row>
    <row r="304" spans="1:9" x14ac:dyDescent="0.25">
      <c r="A304" s="6">
        <v>43390</v>
      </c>
      <c r="B304" t="s">
        <v>26</v>
      </c>
      <c r="C304">
        <v>59141</v>
      </c>
      <c r="D304" t="s">
        <v>106</v>
      </c>
      <c r="E304" s="7">
        <v>108</v>
      </c>
      <c r="F304" t="s">
        <v>20</v>
      </c>
      <c r="G304" t="s">
        <v>21</v>
      </c>
      <c r="H304" t="str">
        <f>"318-101247"</f>
        <v>318-101247</v>
      </c>
      <c r="I304" t="str">
        <f>"OMNIBASE SERVICES OF TEXAS"</f>
        <v>OMNIBASE SERVICES OF TEXAS</v>
      </c>
    </row>
    <row r="305" spans="1:9" x14ac:dyDescent="0.25">
      <c r="A305" s="6">
        <v>43390</v>
      </c>
      <c r="B305" t="s">
        <v>26</v>
      </c>
      <c r="C305">
        <v>59142</v>
      </c>
      <c r="D305" t="s">
        <v>273</v>
      </c>
      <c r="E305" s="7">
        <v>943.92</v>
      </c>
      <c r="F305" t="s">
        <v>20</v>
      </c>
      <c r="G305" t="s">
        <v>21</v>
      </c>
      <c r="H305" t="str">
        <f>"5119-000085373"</f>
        <v>5119-000085373</v>
      </c>
      <c r="I305" t="str">
        <f>"REPUBLIC SERVICES TESSMAN ROAD"</f>
        <v>REPUBLIC SERVICES TESSMAN ROAD</v>
      </c>
    </row>
    <row r="306" spans="1:9" x14ac:dyDescent="0.25">
      <c r="A306" s="6">
        <v>43390</v>
      </c>
      <c r="B306" t="s">
        <v>26</v>
      </c>
      <c r="C306">
        <v>59143</v>
      </c>
      <c r="D306" t="s">
        <v>107</v>
      </c>
      <c r="E306" s="7">
        <v>9.91</v>
      </c>
      <c r="F306" t="s">
        <v>20</v>
      </c>
      <c r="G306" t="s">
        <v>21</v>
      </c>
      <c r="H306" t="str">
        <f>"1166960-20180930"</f>
        <v>1166960-20180930</v>
      </c>
      <c r="I306" t="str">
        <f>"LEXISNEXIS RISK SOLUTIONS"</f>
        <v>LEXISNEXIS RISK SOLUTIONS</v>
      </c>
    </row>
    <row r="307" spans="1:9" x14ac:dyDescent="0.25">
      <c r="A307" s="6">
        <v>43390</v>
      </c>
      <c r="B307" t="s">
        <v>26</v>
      </c>
      <c r="C307">
        <v>59144</v>
      </c>
      <c r="D307" t="s">
        <v>61</v>
      </c>
      <c r="E307" s="7">
        <v>1847.75</v>
      </c>
      <c r="F307" t="s">
        <v>20</v>
      </c>
      <c r="G307" t="s">
        <v>21</v>
      </c>
      <c r="H307" t="str">
        <f>"025-237657"</f>
        <v>025-237657</v>
      </c>
      <c r="I307" t="str">
        <f>"TYLER TECHNOLOGIES  INC."</f>
        <v>TYLER TECHNOLOGIES  INC.</v>
      </c>
    </row>
    <row r="308" spans="1:9" x14ac:dyDescent="0.25">
      <c r="A308" s="6">
        <v>43390</v>
      </c>
      <c r="B308" t="s">
        <v>26</v>
      </c>
      <c r="C308">
        <v>59144</v>
      </c>
      <c r="D308" t="s">
        <v>61</v>
      </c>
      <c r="E308" s="7">
        <v>1847.75</v>
      </c>
      <c r="F308" t="s">
        <v>20</v>
      </c>
      <c r="G308" t="s">
        <v>21</v>
      </c>
      <c r="H308" t="str">
        <f>"025-237894"</f>
        <v>025-237894</v>
      </c>
      <c r="I308" t="str">
        <f>"TYLER TECHNOLOGIES  INC."</f>
        <v>TYLER TECHNOLOGIES  INC.</v>
      </c>
    </row>
    <row r="309" spans="1:9" x14ac:dyDescent="0.25">
      <c r="A309" s="6">
        <v>43390</v>
      </c>
      <c r="B309" t="s">
        <v>26</v>
      </c>
      <c r="C309">
        <v>59144</v>
      </c>
      <c r="D309" t="s">
        <v>61</v>
      </c>
      <c r="E309" s="7">
        <v>1847.75</v>
      </c>
      <c r="F309" t="s">
        <v>20</v>
      </c>
      <c r="G309" t="s">
        <v>21</v>
      </c>
      <c r="H309" t="str">
        <f>"045-021044"</f>
        <v>045-021044</v>
      </c>
      <c r="I309" t="str">
        <f>"TYLER TECHNOLOGIES  INC."</f>
        <v>TYLER TECHNOLOGIES  INC.</v>
      </c>
    </row>
    <row r="310" spans="1:9" x14ac:dyDescent="0.25">
      <c r="A310" s="6">
        <v>43390</v>
      </c>
      <c r="B310" t="s">
        <v>26</v>
      </c>
      <c r="C310">
        <v>59144</v>
      </c>
      <c r="D310" t="s">
        <v>61</v>
      </c>
      <c r="E310" s="7">
        <v>1847.75</v>
      </c>
      <c r="F310" t="s">
        <v>20</v>
      </c>
      <c r="G310" t="s">
        <v>21</v>
      </c>
      <c r="H310" t="str">
        <f>"045-240219"</f>
        <v>045-240219</v>
      </c>
      <c r="I310" t="str">
        <f>"TYLER TECHNOLOGIES  INC."</f>
        <v>TYLER TECHNOLOGIES  INC.</v>
      </c>
    </row>
    <row r="311" spans="1:9" x14ac:dyDescent="0.25">
      <c r="A311" s="6">
        <v>43390</v>
      </c>
      <c r="B311" t="s">
        <v>26</v>
      </c>
      <c r="C311">
        <v>59145</v>
      </c>
      <c r="D311" t="s">
        <v>114</v>
      </c>
      <c r="E311" s="7">
        <v>20544.47</v>
      </c>
      <c r="F311" t="s">
        <v>20</v>
      </c>
      <c r="G311" t="s">
        <v>21</v>
      </c>
      <c r="H311" t="str">
        <f>"9/30/2018"</f>
        <v>9/30/2018</v>
      </c>
      <c r="I311" t="str">
        <f>"STATE COMPTROLLER"</f>
        <v>STATE COMPTROLLER</v>
      </c>
    </row>
    <row r="312" spans="1:9" x14ac:dyDescent="0.25">
      <c r="A312" s="6">
        <v>43390</v>
      </c>
      <c r="B312" t="s">
        <v>26</v>
      </c>
      <c r="C312">
        <v>59146</v>
      </c>
      <c r="D312" t="s">
        <v>184</v>
      </c>
      <c r="E312" s="7">
        <v>1042</v>
      </c>
      <c r="F312" t="s">
        <v>20</v>
      </c>
      <c r="G312" t="s">
        <v>21</v>
      </c>
      <c r="H312" t="str">
        <f>"1052-276"</f>
        <v>1052-276</v>
      </c>
      <c r="I312" t="str">
        <f>"POLLUTION CONTROL SERVICES"</f>
        <v>POLLUTION CONTROL SERVICES</v>
      </c>
    </row>
    <row r="313" spans="1:9" x14ac:dyDescent="0.25">
      <c r="A313" s="6">
        <v>43390</v>
      </c>
      <c r="B313" t="s">
        <v>26</v>
      </c>
      <c r="C313">
        <v>59146</v>
      </c>
      <c r="D313" t="s">
        <v>184</v>
      </c>
      <c r="E313" s="7">
        <v>1042</v>
      </c>
      <c r="F313" t="s">
        <v>20</v>
      </c>
      <c r="G313" t="s">
        <v>21</v>
      </c>
      <c r="H313" t="str">
        <f>"1052-277"</f>
        <v>1052-277</v>
      </c>
      <c r="I313" t="str">
        <f>"POLLUTION CONTROL SERVICES"</f>
        <v>POLLUTION CONTROL SERVICES</v>
      </c>
    </row>
    <row r="314" spans="1:9" x14ac:dyDescent="0.25">
      <c r="A314" s="6">
        <v>43390</v>
      </c>
      <c r="B314" t="s">
        <v>26</v>
      </c>
      <c r="C314">
        <v>59147</v>
      </c>
      <c r="D314" t="s">
        <v>63</v>
      </c>
      <c r="E314" s="7">
        <v>380.32</v>
      </c>
      <c r="F314" t="s">
        <v>20</v>
      </c>
      <c r="G314" t="s">
        <v>21</v>
      </c>
      <c r="H314" t="str">
        <f>"8403849558"</f>
        <v>8403849558</v>
      </c>
      <c r="I314" t="str">
        <f>"CINTAS CORPORATION"</f>
        <v>CINTAS CORPORATION</v>
      </c>
    </row>
    <row r="315" spans="1:9" x14ac:dyDescent="0.25">
      <c r="A315" s="6">
        <v>43390</v>
      </c>
      <c r="B315" t="s">
        <v>26</v>
      </c>
      <c r="C315">
        <v>59148</v>
      </c>
      <c r="D315" t="s">
        <v>569</v>
      </c>
      <c r="E315" s="7">
        <v>822.82</v>
      </c>
      <c r="F315" t="s">
        <v>20</v>
      </c>
      <c r="G315" t="s">
        <v>21</v>
      </c>
      <c r="H315" t="str">
        <f>"WS18641"</f>
        <v>WS18641</v>
      </c>
      <c r="I315" t="str">
        <f>"COOPER EQUIPMENT COMPANY"</f>
        <v>COOPER EQUIPMENT COMPANY</v>
      </c>
    </row>
    <row r="316" spans="1:9" x14ac:dyDescent="0.25">
      <c r="A316" s="6">
        <v>43390</v>
      </c>
      <c r="B316" t="s">
        <v>26</v>
      </c>
      <c r="C316">
        <v>59149</v>
      </c>
      <c r="D316" t="s">
        <v>66</v>
      </c>
      <c r="E316" s="7">
        <v>650</v>
      </c>
      <c r="F316" t="s">
        <v>20</v>
      </c>
      <c r="G316" t="s">
        <v>21</v>
      </c>
      <c r="H316" t="str">
        <f>"53558"</f>
        <v>53558</v>
      </c>
      <c r="I316" t="str">
        <f>"LOPEZ EXTERMINATING SERVICE  I"</f>
        <v>LOPEZ EXTERMINATING SERVICE  I</v>
      </c>
    </row>
    <row r="317" spans="1:9" x14ac:dyDescent="0.25">
      <c r="A317" s="6">
        <v>43390</v>
      </c>
      <c r="B317" t="s">
        <v>26</v>
      </c>
      <c r="C317">
        <v>59150</v>
      </c>
      <c r="D317" t="s">
        <v>118</v>
      </c>
      <c r="E317" s="7">
        <v>288</v>
      </c>
      <c r="F317" t="s">
        <v>20</v>
      </c>
      <c r="G317" t="s">
        <v>21</v>
      </c>
      <c r="H317" t="str">
        <f>"11150"</f>
        <v>11150</v>
      </c>
      <c r="I317" t="str">
        <f>"BRYAN AIR CONDITIONING &amp; HEATI"</f>
        <v>BRYAN AIR CONDITIONING &amp; HEATI</v>
      </c>
    </row>
    <row r="318" spans="1:9" x14ac:dyDescent="0.25">
      <c r="A318" s="6">
        <v>43390</v>
      </c>
      <c r="B318" t="s">
        <v>26</v>
      </c>
      <c r="C318">
        <v>59151</v>
      </c>
      <c r="D318" t="s">
        <v>120</v>
      </c>
      <c r="E318" s="7">
        <v>2347.8200000000002</v>
      </c>
      <c r="F318" t="s">
        <v>20</v>
      </c>
      <c r="G318" t="s">
        <v>21</v>
      </c>
      <c r="H318" t="str">
        <f>"00299140"</f>
        <v>00299140</v>
      </c>
      <c r="I318" t="str">
        <f>"VERIZON BUSINESS"</f>
        <v>VERIZON BUSINESS</v>
      </c>
    </row>
    <row r="319" spans="1:9" x14ac:dyDescent="0.25">
      <c r="A319" s="6">
        <v>43390</v>
      </c>
      <c r="B319" t="s">
        <v>26</v>
      </c>
      <c r="C319">
        <v>59151</v>
      </c>
      <c r="D319" t="s">
        <v>120</v>
      </c>
      <c r="E319" s="7">
        <v>2347.8200000000002</v>
      </c>
      <c r="F319" t="s">
        <v>20</v>
      </c>
      <c r="G319" t="s">
        <v>21</v>
      </c>
      <c r="H319" t="str">
        <f>"70930992"</f>
        <v>70930992</v>
      </c>
      <c r="I319" t="str">
        <f>"VERIZON BUSINESS"</f>
        <v>VERIZON BUSINESS</v>
      </c>
    </row>
    <row r="320" spans="1:9" x14ac:dyDescent="0.25">
      <c r="A320" s="6">
        <v>43390</v>
      </c>
      <c r="B320" t="s">
        <v>26</v>
      </c>
      <c r="C320">
        <v>59151</v>
      </c>
      <c r="D320" t="s">
        <v>120</v>
      </c>
      <c r="E320" s="7">
        <v>2347.8200000000002</v>
      </c>
      <c r="F320" t="s">
        <v>20</v>
      </c>
      <c r="G320" t="s">
        <v>21</v>
      </c>
      <c r="H320" t="str">
        <f>"70936057"</f>
        <v>70936057</v>
      </c>
      <c r="I320" t="str">
        <f>"VERIZON BUSINESS"</f>
        <v>VERIZON BUSINESS</v>
      </c>
    </row>
    <row r="321" spans="1:9" x14ac:dyDescent="0.25">
      <c r="A321" s="6">
        <v>43390</v>
      </c>
      <c r="B321" t="s">
        <v>26</v>
      </c>
      <c r="C321">
        <v>59152</v>
      </c>
      <c r="D321" t="s">
        <v>159</v>
      </c>
      <c r="E321" s="7">
        <v>1189.3</v>
      </c>
      <c r="F321" t="s">
        <v>20</v>
      </c>
      <c r="G321" t="s">
        <v>21</v>
      </c>
      <c r="H321" t="str">
        <f>"37812"</f>
        <v>37812</v>
      </c>
      <c r="I321" t="str">
        <f>"PHOTOGRAPHS BY JIM"</f>
        <v>PHOTOGRAPHS BY JIM</v>
      </c>
    </row>
    <row r="322" spans="1:9" x14ac:dyDescent="0.25">
      <c r="A322" s="6">
        <v>43390</v>
      </c>
      <c r="B322" t="s">
        <v>26</v>
      </c>
      <c r="C322">
        <v>59152</v>
      </c>
      <c r="D322" t="s">
        <v>159</v>
      </c>
      <c r="E322" s="7">
        <v>1189.3</v>
      </c>
      <c r="F322" t="s">
        <v>20</v>
      </c>
      <c r="G322" t="s">
        <v>21</v>
      </c>
      <c r="H322" t="str">
        <f>"37819"</f>
        <v>37819</v>
      </c>
      <c r="I322" t="str">
        <f>"PHOTOGRAPHS BY JIM"</f>
        <v>PHOTOGRAPHS BY JIM</v>
      </c>
    </row>
    <row r="323" spans="1:9" x14ac:dyDescent="0.25">
      <c r="A323" s="6">
        <v>43390</v>
      </c>
      <c r="B323" t="s">
        <v>26</v>
      </c>
      <c r="C323">
        <v>59153</v>
      </c>
      <c r="D323" t="s">
        <v>570</v>
      </c>
      <c r="E323" s="7">
        <v>7246.63</v>
      </c>
      <c r="F323" t="s">
        <v>20</v>
      </c>
      <c r="G323" t="s">
        <v>21</v>
      </c>
      <c r="H323" t="str">
        <f>"DVS126162"</f>
        <v>DVS126162</v>
      </c>
      <c r="I323" t="str">
        <f>"DOMINION VOTING"</f>
        <v>DOMINION VOTING</v>
      </c>
    </row>
    <row r="324" spans="1:9" x14ac:dyDescent="0.25">
      <c r="A324" s="6">
        <v>43390</v>
      </c>
      <c r="B324" t="s">
        <v>26</v>
      </c>
      <c r="C324">
        <v>59154</v>
      </c>
      <c r="D324" t="s">
        <v>146</v>
      </c>
      <c r="E324" s="7">
        <v>1335</v>
      </c>
      <c r="F324" t="s">
        <v>20</v>
      </c>
      <c r="G324" t="s">
        <v>21</v>
      </c>
      <c r="H324" t="str">
        <f>"557405"</f>
        <v>557405</v>
      </c>
      <c r="I324" t="str">
        <f>"LARRY SRALLA ELECTRIC"</f>
        <v>LARRY SRALLA ELECTRIC</v>
      </c>
    </row>
    <row r="325" spans="1:9" x14ac:dyDescent="0.25">
      <c r="A325" s="6">
        <v>43390</v>
      </c>
      <c r="B325" t="s">
        <v>26</v>
      </c>
      <c r="C325">
        <v>59154</v>
      </c>
      <c r="D325" t="s">
        <v>146</v>
      </c>
      <c r="E325" s="7">
        <v>1335</v>
      </c>
      <c r="F325" t="s">
        <v>20</v>
      </c>
      <c r="G325" t="s">
        <v>21</v>
      </c>
      <c r="H325" t="str">
        <f>"557412"</f>
        <v>557412</v>
      </c>
      <c r="I325" t="str">
        <f>"LARRY SRALLA ELECTRIC"</f>
        <v>LARRY SRALLA ELECTRIC</v>
      </c>
    </row>
    <row r="326" spans="1:9" x14ac:dyDescent="0.25">
      <c r="A326" s="6">
        <v>43390</v>
      </c>
      <c r="B326" t="s">
        <v>26</v>
      </c>
      <c r="C326">
        <v>59154</v>
      </c>
      <c r="D326" t="s">
        <v>146</v>
      </c>
      <c r="E326" s="7">
        <v>1335</v>
      </c>
      <c r="F326" t="s">
        <v>20</v>
      </c>
      <c r="G326" t="s">
        <v>21</v>
      </c>
      <c r="H326" t="str">
        <f>"557413"</f>
        <v>557413</v>
      </c>
      <c r="I326" t="str">
        <f>"LARRY SRALLA ELECTRIC"</f>
        <v>LARRY SRALLA ELECTRIC</v>
      </c>
    </row>
    <row r="327" spans="1:9" x14ac:dyDescent="0.25">
      <c r="A327" s="6">
        <v>43390</v>
      </c>
      <c r="B327" t="s">
        <v>26</v>
      </c>
      <c r="C327">
        <v>59154</v>
      </c>
      <c r="D327" t="s">
        <v>146</v>
      </c>
      <c r="E327" s="7">
        <v>1335</v>
      </c>
      <c r="F327" t="s">
        <v>20</v>
      </c>
      <c r="G327" t="s">
        <v>21</v>
      </c>
      <c r="H327" t="str">
        <f>"557417"</f>
        <v>557417</v>
      </c>
      <c r="I327" t="str">
        <f>"LARRY SRALLA ELECTRIC"</f>
        <v>LARRY SRALLA ELECTRIC</v>
      </c>
    </row>
    <row r="328" spans="1:9" x14ac:dyDescent="0.25">
      <c r="A328" s="6">
        <v>43390</v>
      </c>
      <c r="B328" t="s">
        <v>26</v>
      </c>
      <c r="C328">
        <v>59155</v>
      </c>
      <c r="D328" t="s">
        <v>71</v>
      </c>
      <c r="E328" s="7">
        <v>716.43</v>
      </c>
      <c r="F328" t="s">
        <v>20</v>
      </c>
      <c r="G328" t="s">
        <v>21</v>
      </c>
      <c r="H328" t="str">
        <f>"087164751"</f>
        <v>087164751</v>
      </c>
      <c r="I328" t="str">
        <f>"CINTAS CORPORATION #087"</f>
        <v>CINTAS CORPORATION #087</v>
      </c>
    </row>
    <row r="329" spans="1:9" x14ac:dyDescent="0.25">
      <c r="A329" s="6">
        <v>43390</v>
      </c>
      <c r="B329" t="s">
        <v>26</v>
      </c>
      <c r="C329">
        <v>59155</v>
      </c>
      <c r="D329" t="s">
        <v>71</v>
      </c>
      <c r="E329" s="7">
        <v>716.43</v>
      </c>
      <c r="F329" t="s">
        <v>20</v>
      </c>
      <c r="G329" t="s">
        <v>21</v>
      </c>
      <c r="H329" t="str">
        <f>"087172608"</f>
        <v>087172608</v>
      </c>
      <c r="I329" t="str">
        <f>"CINTAS CORPORATION #087"</f>
        <v>CINTAS CORPORATION #087</v>
      </c>
    </row>
    <row r="330" spans="1:9" x14ac:dyDescent="0.25">
      <c r="A330" s="6">
        <v>43390</v>
      </c>
      <c r="B330" t="s">
        <v>26</v>
      </c>
      <c r="C330">
        <v>59155</v>
      </c>
      <c r="D330" t="s">
        <v>71</v>
      </c>
      <c r="E330" s="7">
        <v>716.43</v>
      </c>
      <c r="F330" t="s">
        <v>20</v>
      </c>
      <c r="G330" t="s">
        <v>21</v>
      </c>
      <c r="H330" t="str">
        <f>"087180430"</f>
        <v>087180430</v>
      </c>
      <c r="I330" t="str">
        <f>"CINTAS CORPORATION #087"</f>
        <v>CINTAS CORPORATION #087</v>
      </c>
    </row>
    <row r="331" spans="1:9" x14ac:dyDescent="0.25">
      <c r="A331" s="6">
        <v>43390</v>
      </c>
      <c r="B331" t="s">
        <v>26</v>
      </c>
      <c r="C331">
        <v>59157</v>
      </c>
      <c r="D331" t="s">
        <v>122</v>
      </c>
      <c r="E331" s="7">
        <v>10</v>
      </c>
      <c r="F331" t="s">
        <v>20</v>
      </c>
      <c r="G331" t="s">
        <v>21</v>
      </c>
      <c r="H331" t="str">
        <f>"222849"</f>
        <v>222849</v>
      </c>
      <c r="I331" t="str">
        <f>"VILLA TIRES"</f>
        <v>VILLA TIRES</v>
      </c>
    </row>
    <row r="332" spans="1:9" x14ac:dyDescent="0.25">
      <c r="A332" s="6">
        <v>43390</v>
      </c>
      <c r="B332" t="s">
        <v>26</v>
      </c>
      <c r="C332">
        <v>59158</v>
      </c>
      <c r="D332" t="s">
        <v>74</v>
      </c>
      <c r="E332" s="7">
        <v>50.28</v>
      </c>
      <c r="F332" t="s">
        <v>20</v>
      </c>
      <c r="G332" t="s">
        <v>21</v>
      </c>
      <c r="H332" t="str">
        <f>"9816071944"</f>
        <v>9816071944</v>
      </c>
      <c r="I332" t="str">
        <f>"VERIZON WIRELESS"</f>
        <v>VERIZON WIRELESS</v>
      </c>
    </row>
    <row r="333" spans="1:9" x14ac:dyDescent="0.25">
      <c r="A333" s="6">
        <v>43390</v>
      </c>
      <c r="B333" t="s">
        <v>26</v>
      </c>
      <c r="C333">
        <v>59159</v>
      </c>
      <c r="D333" t="s">
        <v>341</v>
      </c>
      <c r="E333" s="7">
        <v>174</v>
      </c>
      <c r="F333" t="s">
        <v>20</v>
      </c>
      <c r="G333" t="s">
        <v>21</v>
      </c>
      <c r="H333" t="str">
        <f>"GFOAT 10/17/18"</f>
        <v>GFOAT 10/17/18</v>
      </c>
      <c r="I333" t="str">
        <f>"JUANITA MONTOYA"</f>
        <v>JUANITA MONTOYA</v>
      </c>
    </row>
    <row r="334" spans="1:9" x14ac:dyDescent="0.25">
      <c r="A334" s="6">
        <v>43390</v>
      </c>
      <c r="B334" t="s">
        <v>26</v>
      </c>
      <c r="C334">
        <v>59160</v>
      </c>
      <c r="D334" t="s">
        <v>77</v>
      </c>
      <c r="E334" s="7">
        <v>290</v>
      </c>
      <c r="F334" t="s">
        <v>20</v>
      </c>
      <c r="G334" t="s">
        <v>21</v>
      </c>
      <c r="H334" t="str">
        <f>"CLY RENTALS10/2018"</f>
        <v>CLY RENTALS10/2018</v>
      </c>
      <c r="I334" t="str">
        <f>"DPC INDUSTRIES  INC."</f>
        <v>DPC INDUSTRIES  INC.</v>
      </c>
    </row>
    <row r="335" spans="1:9" x14ac:dyDescent="0.25">
      <c r="A335" s="6">
        <v>43390</v>
      </c>
      <c r="B335" t="s">
        <v>26</v>
      </c>
      <c r="C335">
        <v>59161</v>
      </c>
      <c r="D335" t="s">
        <v>157</v>
      </c>
      <c r="E335" s="7">
        <v>550</v>
      </c>
      <c r="F335" t="s">
        <v>20</v>
      </c>
      <c r="G335" t="s">
        <v>21</v>
      </c>
      <c r="H335" t="str">
        <f>"10/17/2018"</f>
        <v>10/17/2018</v>
      </c>
      <c r="I335" t="str">
        <f>"GLAZIERS"</f>
        <v>GLAZIERS</v>
      </c>
    </row>
    <row r="336" spans="1:9" x14ac:dyDescent="0.25">
      <c r="A336" s="6">
        <v>43390</v>
      </c>
      <c r="B336" t="s">
        <v>26</v>
      </c>
      <c r="C336">
        <v>59162</v>
      </c>
      <c r="D336" t="s">
        <v>126</v>
      </c>
      <c r="E336" s="7">
        <v>77727.86</v>
      </c>
      <c r="F336" t="s">
        <v>20</v>
      </c>
      <c r="G336" t="s">
        <v>21</v>
      </c>
      <c r="H336" t="str">
        <f>"0859-002142881"</f>
        <v>0859-002142881</v>
      </c>
      <c r="I336" t="str">
        <f>"REPUBLIC SERVICES #859"</f>
        <v>REPUBLIC SERVICES #859</v>
      </c>
    </row>
    <row r="337" spans="1:9" x14ac:dyDescent="0.25">
      <c r="A337" s="6">
        <v>43390</v>
      </c>
      <c r="B337" t="s">
        <v>26</v>
      </c>
      <c r="C337">
        <v>59162</v>
      </c>
      <c r="D337" t="s">
        <v>126</v>
      </c>
      <c r="E337" s="7">
        <v>77727.86</v>
      </c>
      <c r="F337" t="s">
        <v>20</v>
      </c>
      <c r="G337" t="s">
        <v>21</v>
      </c>
      <c r="H337" t="str">
        <f>"0859-002147015"</f>
        <v>0859-002147015</v>
      </c>
      <c r="I337" t="str">
        <f>"REPUBLIC SERVICES #859"</f>
        <v>REPUBLIC SERVICES #859</v>
      </c>
    </row>
    <row r="338" spans="1:9" x14ac:dyDescent="0.25">
      <c r="A338" s="6">
        <v>43390</v>
      </c>
      <c r="B338" t="s">
        <v>26</v>
      </c>
      <c r="C338">
        <v>59163</v>
      </c>
      <c r="D338" t="s">
        <v>45</v>
      </c>
      <c r="E338" s="7">
        <v>194</v>
      </c>
      <c r="F338" t="s">
        <v>20</v>
      </c>
      <c r="G338" t="s">
        <v>21</v>
      </c>
      <c r="H338" t="str">
        <f>"GFOAT 10/17/18"</f>
        <v>GFOAT 10/17/18</v>
      </c>
      <c r="I338" t="str">
        <f>"CONNIE MORENO"</f>
        <v>CONNIE MORENO</v>
      </c>
    </row>
    <row r="339" spans="1:9" x14ac:dyDescent="0.25">
      <c r="A339" s="6">
        <v>43390</v>
      </c>
      <c r="B339" t="s">
        <v>26</v>
      </c>
      <c r="C339">
        <v>59164</v>
      </c>
      <c r="D339" t="s">
        <v>147</v>
      </c>
      <c r="E339" s="7">
        <v>85</v>
      </c>
      <c r="F339" t="s">
        <v>20</v>
      </c>
      <c r="G339" t="s">
        <v>21</v>
      </c>
      <c r="H339" t="str">
        <f>"813--  10/17/18"</f>
        <v>813--  10/17/18</v>
      </c>
      <c r="I339" t="str">
        <f>"SRALLA ELECTRIC"</f>
        <v>SRALLA ELECTRIC</v>
      </c>
    </row>
    <row r="340" spans="1:9" x14ac:dyDescent="0.25">
      <c r="A340" s="6">
        <v>43390</v>
      </c>
      <c r="B340" t="s">
        <v>26</v>
      </c>
      <c r="C340">
        <v>59165</v>
      </c>
      <c r="D340" t="s">
        <v>79</v>
      </c>
      <c r="E340" s="7">
        <v>53.53</v>
      </c>
      <c r="F340" t="s">
        <v>20</v>
      </c>
      <c r="G340" t="s">
        <v>21</v>
      </c>
      <c r="H340" t="str">
        <f>"6-256-38914"</f>
        <v>6-256-38914</v>
      </c>
      <c r="I340" t="str">
        <f>"FEDEX"</f>
        <v>FEDEX</v>
      </c>
    </row>
    <row r="341" spans="1:9" x14ac:dyDescent="0.25">
      <c r="A341" s="6">
        <v>43390</v>
      </c>
      <c r="B341" t="s">
        <v>26</v>
      </c>
      <c r="C341">
        <v>59165</v>
      </c>
      <c r="D341" t="s">
        <v>79</v>
      </c>
      <c r="E341" s="7">
        <v>53.53</v>
      </c>
      <c r="F341" t="s">
        <v>20</v>
      </c>
      <c r="G341" t="s">
        <v>21</v>
      </c>
      <c r="H341" t="str">
        <f>"6-327-37999"</f>
        <v>6-327-37999</v>
      </c>
      <c r="I341" t="str">
        <f>"FEDEX"</f>
        <v>FEDEX</v>
      </c>
    </row>
    <row r="342" spans="1:9" x14ac:dyDescent="0.25">
      <c r="A342" s="6">
        <v>43390</v>
      </c>
      <c r="B342" t="s">
        <v>26</v>
      </c>
      <c r="C342">
        <v>59166</v>
      </c>
      <c r="D342" t="s">
        <v>567</v>
      </c>
      <c r="E342" s="7">
        <v>220</v>
      </c>
      <c r="F342" t="s">
        <v>20</v>
      </c>
      <c r="G342" t="s">
        <v>21</v>
      </c>
      <c r="H342" t="str">
        <f>"10/2018"</f>
        <v>10/2018</v>
      </c>
      <c r="I342" t="str">
        <f>"FREEDOM MOWING  LLC"</f>
        <v>FREEDOM MOWING  LLC</v>
      </c>
    </row>
    <row r="343" spans="1:9" x14ac:dyDescent="0.25">
      <c r="A343" s="6">
        <v>43390</v>
      </c>
      <c r="B343" t="s">
        <v>26</v>
      </c>
      <c r="C343">
        <v>59167</v>
      </c>
      <c r="D343" t="s">
        <v>191</v>
      </c>
      <c r="E343" s="7">
        <v>1558.35</v>
      </c>
      <c r="F343" t="s">
        <v>20</v>
      </c>
      <c r="G343" t="s">
        <v>21</v>
      </c>
      <c r="H343" t="str">
        <f>"INV06-004062"</f>
        <v>INV06-004062</v>
      </c>
      <c r="I343" t="str">
        <f>"MUNISERVICES  LLC"</f>
        <v>MUNISERVICES  LLC</v>
      </c>
    </row>
    <row r="344" spans="1:9" x14ac:dyDescent="0.25">
      <c r="A344" s="6">
        <v>43390</v>
      </c>
      <c r="B344" t="s">
        <v>26</v>
      </c>
      <c r="C344">
        <v>59168</v>
      </c>
      <c r="D344" t="s">
        <v>380</v>
      </c>
      <c r="E344" s="7">
        <v>10000</v>
      </c>
      <c r="F344" t="s">
        <v>20</v>
      </c>
      <c r="G344" t="s">
        <v>21</v>
      </c>
      <c r="H344" t="str">
        <f>"57885"</f>
        <v>57885</v>
      </c>
      <c r="I344" t="str">
        <f>"ABIP CERTIFIED PUBLIC ACCOUNTA"</f>
        <v>ABIP CERTIFIED PUBLIC ACCOUNTA</v>
      </c>
    </row>
    <row r="345" spans="1:9" x14ac:dyDescent="0.25">
      <c r="A345" s="6">
        <v>43390</v>
      </c>
      <c r="B345" t="s">
        <v>26</v>
      </c>
      <c r="C345">
        <v>59169</v>
      </c>
      <c r="D345" t="s">
        <v>82</v>
      </c>
      <c r="E345" s="7">
        <v>1020.96</v>
      </c>
      <c r="F345" t="s">
        <v>20</v>
      </c>
      <c r="G345" t="s">
        <v>21</v>
      </c>
      <c r="H345" t="str">
        <f>"SI1027063"</f>
        <v>SI1027063</v>
      </c>
      <c r="I345" t="str">
        <f>"BASS COMPUTER  INC."</f>
        <v>BASS COMPUTER  INC.</v>
      </c>
    </row>
    <row r="346" spans="1:9" x14ac:dyDescent="0.25">
      <c r="A346" s="6">
        <v>43390</v>
      </c>
      <c r="B346" t="s">
        <v>26</v>
      </c>
      <c r="C346">
        <v>59170</v>
      </c>
      <c r="D346" t="s">
        <v>84</v>
      </c>
      <c r="E346" s="7">
        <v>432</v>
      </c>
      <c r="F346" t="s">
        <v>20</v>
      </c>
      <c r="G346" t="s">
        <v>21</v>
      </c>
      <c r="H346" t="str">
        <f>"1422328"</f>
        <v>1422328</v>
      </c>
      <c r="I346" t="str">
        <f>"STANTEC CONSULTING SERVICES IN"</f>
        <v>STANTEC CONSULTING SERVICES IN</v>
      </c>
    </row>
    <row r="347" spans="1:9" x14ac:dyDescent="0.25">
      <c r="A347" s="6">
        <v>43390</v>
      </c>
      <c r="B347" t="s">
        <v>26</v>
      </c>
      <c r="C347">
        <v>59171</v>
      </c>
      <c r="D347" t="s">
        <v>85</v>
      </c>
      <c r="E347" s="7">
        <v>285.10000000000002</v>
      </c>
      <c r="F347" t="s">
        <v>20</v>
      </c>
      <c r="G347" t="s">
        <v>21</v>
      </c>
      <c r="H347" t="str">
        <f>"3930579 10/2018"</f>
        <v>3930579 10/2018</v>
      </c>
      <c r="I347" t="str">
        <f t="shared" ref="I347:I354" si="0">"FRONTIER"</f>
        <v>FRONTIER</v>
      </c>
    </row>
    <row r="348" spans="1:9" x14ac:dyDescent="0.25">
      <c r="A348" s="6">
        <v>43390</v>
      </c>
      <c r="B348" t="s">
        <v>26</v>
      </c>
      <c r="C348">
        <v>59171</v>
      </c>
      <c r="D348" t="s">
        <v>85</v>
      </c>
      <c r="E348" s="7">
        <v>285.10000000000002</v>
      </c>
      <c r="F348" t="s">
        <v>20</v>
      </c>
      <c r="G348" t="s">
        <v>21</v>
      </c>
      <c r="H348" t="str">
        <f>"3937911 10/2018"</f>
        <v>3937911 10/2018</v>
      </c>
      <c r="I348" t="str">
        <f t="shared" si="0"/>
        <v>FRONTIER</v>
      </c>
    </row>
    <row r="349" spans="1:9" x14ac:dyDescent="0.25">
      <c r="A349" s="6">
        <v>43390</v>
      </c>
      <c r="B349" t="s">
        <v>26</v>
      </c>
      <c r="C349">
        <v>59171</v>
      </c>
      <c r="D349" t="s">
        <v>85</v>
      </c>
      <c r="E349" s="7">
        <v>285.10000000000002</v>
      </c>
      <c r="F349" t="s">
        <v>20</v>
      </c>
      <c r="G349" t="s">
        <v>21</v>
      </c>
      <c r="H349" t="str">
        <f>"3939791 10/2018"</f>
        <v>3939791 10/2018</v>
      </c>
      <c r="I349" t="str">
        <f t="shared" si="0"/>
        <v>FRONTIER</v>
      </c>
    </row>
    <row r="350" spans="1:9" x14ac:dyDescent="0.25">
      <c r="A350" s="6">
        <v>43390</v>
      </c>
      <c r="B350" t="s">
        <v>26</v>
      </c>
      <c r="C350">
        <v>59171</v>
      </c>
      <c r="D350" t="s">
        <v>85</v>
      </c>
      <c r="E350" s="7">
        <v>285.10000000000002</v>
      </c>
      <c r="F350" t="s">
        <v>20</v>
      </c>
      <c r="G350" t="s">
        <v>21</v>
      </c>
      <c r="H350" t="str">
        <f>"8302162733 10/2018"</f>
        <v>8302162733 10/2018</v>
      </c>
      <c r="I350" t="str">
        <f t="shared" si="0"/>
        <v>FRONTIER</v>
      </c>
    </row>
    <row r="351" spans="1:9" x14ac:dyDescent="0.25">
      <c r="A351" s="6">
        <v>43390</v>
      </c>
      <c r="B351" t="s">
        <v>26</v>
      </c>
      <c r="C351">
        <v>59171</v>
      </c>
      <c r="D351" t="s">
        <v>85</v>
      </c>
      <c r="E351" s="7">
        <v>285.10000000000002</v>
      </c>
      <c r="F351" t="s">
        <v>20</v>
      </c>
      <c r="G351" t="s">
        <v>21</v>
      </c>
      <c r="H351" t="str">
        <f>"8302162755 10/2018"</f>
        <v>8302162755 10/2018</v>
      </c>
      <c r="I351" t="str">
        <f t="shared" si="0"/>
        <v>FRONTIER</v>
      </c>
    </row>
    <row r="352" spans="1:9" x14ac:dyDescent="0.25">
      <c r="A352" s="6">
        <v>43390</v>
      </c>
      <c r="B352" t="s">
        <v>26</v>
      </c>
      <c r="C352">
        <v>59171</v>
      </c>
      <c r="D352" t="s">
        <v>85</v>
      </c>
      <c r="E352" s="7">
        <v>285.10000000000002</v>
      </c>
      <c r="F352" t="s">
        <v>20</v>
      </c>
      <c r="G352" t="s">
        <v>21</v>
      </c>
      <c r="H352" t="str">
        <f>"8303932801 10/2018"</f>
        <v>8303932801 10/2018</v>
      </c>
      <c r="I352" t="str">
        <f t="shared" si="0"/>
        <v>FRONTIER</v>
      </c>
    </row>
    <row r="353" spans="1:9" x14ac:dyDescent="0.25">
      <c r="A353" s="6">
        <v>43390</v>
      </c>
      <c r="B353" t="s">
        <v>26</v>
      </c>
      <c r="C353">
        <v>59171</v>
      </c>
      <c r="D353" t="s">
        <v>85</v>
      </c>
      <c r="E353" s="7">
        <v>285.10000000000002</v>
      </c>
      <c r="F353" t="s">
        <v>20</v>
      </c>
      <c r="G353" t="s">
        <v>21</v>
      </c>
      <c r="H353" t="str">
        <f>"8303936794 10/2018"</f>
        <v>8303936794 10/2018</v>
      </c>
      <c r="I353" t="str">
        <f t="shared" si="0"/>
        <v>FRONTIER</v>
      </c>
    </row>
    <row r="354" spans="1:9" x14ac:dyDescent="0.25">
      <c r="A354" s="6">
        <v>43390</v>
      </c>
      <c r="B354" t="s">
        <v>26</v>
      </c>
      <c r="C354">
        <v>59171</v>
      </c>
      <c r="D354" t="s">
        <v>85</v>
      </c>
      <c r="E354" s="7">
        <v>285.10000000000002</v>
      </c>
      <c r="F354" t="s">
        <v>20</v>
      </c>
      <c r="G354" t="s">
        <v>21</v>
      </c>
      <c r="H354" t="str">
        <f>"8303938193 10/2018"</f>
        <v>8303938193 10/2018</v>
      </c>
      <c r="I354" t="str">
        <f t="shared" si="0"/>
        <v>FRONTIER</v>
      </c>
    </row>
    <row r="355" spans="1:9" x14ac:dyDescent="0.25">
      <c r="A355" s="6">
        <v>43390</v>
      </c>
      <c r="B355" t="s">
        <v>26</v>
      </c>
      <c r="C355">
        <v>59173</v>
      </c>
      <c r="D355" t="s">
        <v>326</v>
      </c>
      <c r="E355" s="7">
        <v>26</v>
      </c>
      <c r="F355" t="s">
        <v>20</v>
      </c>
      <c r="G355" t="s">
        <v>21</v>
      </c>
      <c r="H355" t="str">
        <f>"18387395"</f>
        <v>18387395</v>
      </c>
      <c r="I355" t="str">
        <f>"MATHESON TRI-GAS INC"</f>
        <v>MATHESON TRI-GAS INC</v>
      </c>
    </row>
    <row r="356" spans="1:9" x14ac:dyDescent="0.25">
      <c r="A356" s="6">
        <v>43390</v>
      </c>
      <c r="B356" t="s">
        <v>26</v>
      </c>
      <c r="C356">
        <v>59174</v>
      </c>
      <c r="D356" t="s">
        <v>313</v>
      </c>
      <c r="E356" s="7">
        <v>12312</v>
      </c>
      <c r="F356" t="s">
        <v>20</v>
      </c>
      <c r="G356" t="s">
        <v>21</v>
      </c>
      <c r="H356" t="str">
        <f>"INV 9/1/18"</f>
        <v>INV 9/1/18</v>
      </c>
      <c r="I356" t="s">
        <v>571</v>
      </c>
    </row>
    <row r="357" spans="1:9" x14ac:dyDescent="0.25">
      <c r="A357" s="6">
        <v>43390</v>
      </c>
      <c r="B357" t="s">
        <v>26</v>
      </c>
      <c r="C357">
        <v>59175</v>
      </c>
      <c r="D357" t="s">
        <v>345</v>
      </c>
      <c r="E357" s="7">
        <v>225.5</v>
      </c>
      <c r="F357" t="s">
        <v>20</v>
      </c>
      <c r="G357" t="s">
        <v>21</v>
      </c>
      <c r="H357" t="str">
        <f>"10/15/18"</f>
        <v>10/15/18</v>
      </c>
      <c r="I357" t="str">
        <f>"MICHAEL ISAAC MARTINEZ"</f>
        <v>MICHAEL ISAAC MARTINEZ</v>
      </c>
    </row>
    <row r="358" spans="1:9" x14ac:dyDescent="0.25">
      <c r="A358" s="6">
        <v>43390</v>
      </c>
      <c r="B358" t="s">
        <v>26</v>
      </c>
      <c r="C358">
        <v>59176</v>
      </c>
      <c r="D358" t="s">
        <v>346</v>
      </c>
      <c r="E358" s="7">
        <v>13750</v>
      </c>
      <c r="F358" t="s">
        <v>20</v>
      </c>
      <c r="G358" t="s">
        <v>21</v>
      </c>
      <c r="H358" t="str">
        <f>"9/11 -10/112018"</f>
        <v>9/11 -10/112018</v>
      </c>
      <c r="I358" t="str">
        <f>"SYLVIA RODRIGUEZ"</f>
        <v>SYLVIA RODRIGUEZ</v>
      </c>
    </row>
    <row r="359" spans="1:9" x14ac:dyDescent="0.25">
      <c r="A359" s="6">
        <v>43390</v>
      </c>
      <c r="B359" t="s">
        <v>26</v>
      </c>
      <c r="C359">
        <v>59177</v>
      </c>
      <c r="D359" t="s">
        <v>501</v>
      </c>
      <c r="E359" s="7">
        <v>763.16</v>
      </c>
      <c r="F359" t="s">
        <v>20</v>
      </c>
      <c r="G359" t="s">
        <v>21</v>
      </c>
      <c r="H359" t="str">
        <f>"3929611"</f>
        <v>3929611</v>
      </c>
      <c r="I359" t="str">
        <f>"TRANE U.S. INC."</f>
        <v>TRANE U.S. INC.</v>
      </c>
    </row>
    <row r="360" spans="1:9" x14ac:dyDescent="0.25">
      <c r="A360" s="6">
        <v>43390</v>
      </c>
      <c r="B360" t="s">
        <v>26</v>
      </c>
      <c r="C360">
        <v>59178</v>
      </c>
      <c r="D360" t="s">
        <v>528</v>
      </c>
      <c r="E360" s="7">
        <v>216.29</v>
      </c>
      <c r="F360" t="s">
        <v>20</v>
      </c>
      <c r="G360" t="s">
        <v>21</v>
      </c>
      <c r="H360" t="str">
        <f>"1880890"</f>
        <v>1880890</v>
      </c>
      <c r="I360" t="str">
        <f>"PROSTAR SERVICES INC"</f>
        <v>PROSTAR SERVICES INC</v>
      </c>
    </row>
    <row r="361" spans="1:9" x14ac:dyDescent="0.25">
      <c r="A361" s="6">
        <v>43390</v>
      </c>
      <c r="B361" t="s">
        <v>26</v>
      </c>
      <c r="C361">
        <v>59179</v>
      </c>
      <c r="D361" t="s">
        <v>572</v>
      </c>
      <c r="E361" s="7">
        <v>324.75</v>
      </c>
      <c r="F361" t="s">
        <v>20</v>
      </c>
      <c r="G361" t="s">
        <v>21</v>
      </c>
      <c r="H361" t="str">
        <f>"147701"</f>
        <v>147701</v>
      </c>
      <c r="I361" t="str">
        <f>"DESIGNS BY DINA"</f>
        <v>DESIGNS BY DINA</v>
      </c>
    </row>
    <row r="362" spans="1:9" x14ac:dyDescent="0.25">
      <c r="A362" s="6">
        <v>43391</v>
      </c>
      <c r="B362" t="s">
        <v>26</v>
      </c>
      <c r="C362">
        <v>59180</v>
      </c>
      <c r="D362" t="s">
        <v>103</v>
      </c>
      <c r="E362" s="7">
        <v>72340.91</v>
      </c>
      <c r="F362" t="s">
        <v>20</v>
      </c>
      <c r="G362" t="s">
        <v>21</v>
      </c>
      <c r="H362" t="str">
        <f>"5280 FEDC OCT2018"</f>
        <v>5280 FEDC OCT2018</v>
      </c>
      <c r="I362" t="str">
        <f>"F. E. D. C."</f>
        <v>F. E. D. C.</v>
      </c>
    </row>
    <row r="363" spans="1:9" x14ac:dyDescent="0.25">
      <c r="A363" s="6">
        <v>43391</v>
      </c>
      <c r="B363" t="s">
        <v>91</v>
      </c>
      <c r="C363">
        <v>59181</v>
      </c>
      <c r="D363" t="s">
        <v>62</v>
      </c>
      <c r="E363" s="7">
        <v>362.84</v>
      </c>
      <c r="F363" t="s">
        <v>20</v>
      </c>
      <c r="G363" t="s">
        <v>21</v>
      </c>
      <c r="H363" t="str">
        <f>"J.ORTIZ 10/2018"</f>
        <v>J.ORTIZ 10/2018</v>
      </c>
      <c r="I363" t="str">
        <f>"PROFICIENT BENEFIT SOLUTIONS"</f>
        <v>PROFICIENT BENEFIT SOLUTIONS</v>
      </c>
    </row>
    <row r="364" spans="1:9" x14ac:dyDescent="0.25">
      <c r="A364" s="6">
        <v>43480</v>
      </c>
      <c r="B364" t="s">
        <v>91</v>
      </c>
      <c r="C364">
        <v>59181</v>
      </c>
      <c r="D364" t="s">
        <v>62</v>
      </c>
      <c r="E364" s="7">
        <v>362.84</v>
      </c>
      <c r="F364" t="s">
        <v>20</v>
      </c>
      <c r="G364" t="s">
        <v>93</v>
      </c>
      <c r="H364" t="str">
        <f>"CHECK"</f>
        <v>CHECK</v>
      </c>
      <c r="I364" t="str">
        <f>""</f>
        <v/>
      </c>
    </row>
    <row r="365" spans="1:9" x14ac:dyDescent="0.25">
      <c r="A365" s="6">
        <v>43391</v>
      </c>
      <c r="B365" t="s">
        <v>26</v>
      </c>
      <c r="C365">
        <v>59182</v>
      </c>
      <c r="D365" t="s">
        <v>29</v>
      </c>
      <c r="E365" s="7">
        <v>15980.22</v>
      </c>
      <c r="F365" t="s">
        <v>20</v>
      </c>
      <c r="G365" t="s">
        <v>21</v>
      </c>
      <c r="H365" t="str">
        <f>"33778"</f>
        <v>33778</v>
      </c>
      <c r="I365" t="str">
        <f>"M &amp; S ENGINEERING  LLC"</f>
        <v>M &amp; S ENGINEERING  LLC</v>
      </c>
    </row>
    <row r="366" spans="1:9" x14ac:dyDescent="0.25">
      <c r="A366" s="6">
        <v>43391</v>
      </c>
      <c r="B366" t="s">
        <v>26</v>
      </c>
      <c r="C366">
        <v>59183</v>
      </c>
      <c r="D366" t="s">
        <v>205</v>
      </c>
      <c r="E366" s="7">
        <v>597</v>
      </c>
      <c r="F366" t="s">
        <v>20</v>
      </c>
      <c r="G366" t="s">
        <v>21</v>
      </c>
      <c r="H366" t="str">
        <f>"10/18/18"</f>
        <v>10/18/18</v>
      </c>
      <c r="I366" t="str">
        <f>"SILVER EAGLE DISTRIBUTORS"</f>
        <v>SILVER EAGLE DISTRIBUTORS</v>
      </c>
    </row>
    <row r="367" spans="1:9" x14ac:dyDescent="0.25">
      <c r="A367" s="6">
        <v>43391</v>
      </c>
      <c r="B367" t="s">
        <v>26</v>
      </c>
      <c r="C367">
        <v>59184</v>
      </c>
      <c r="D367" t="s">
        <v>81</v>
      </c>
      <c r="E367" s="7">
        <v>417.75</v>
      </c>
      <c r="F367" t="s">
        <v>20</v>
      </c>
      <c r="G367" t="s">
        <v>21</v>
      </c>
      <c r="H367" t="str">
        <f>"A.MARTINEZ 10/2018"</f>
        <v>A.MARTINEZ 10/2018</v>
      </c>
      <c r="I367" t="str">
        <f>"CITY OF FLORESVILLE -PETTY CAS"</f>
        <v>CITY OF FLORESVILLE -PETTY CAS</v>
      </c>
    </row>
    <row r="368" spans="1:9" x14ac:dyDescent="0.25">
      <c r="A368" s="6">
        <v>43391</v>
      </c>
      <c r="B368" t="s">
        <v>26</v>
      </c>
      <c r="C368">
        <v>59184</v>
      </c>
      <c r="D368" t="s">
        <v>81</v>
      </c>
      <c r="E368" s="7">
        <v>417.75</v>
      </c>
      <c r="F368" t="s">
        <v>20</v>
      </c>
      <c r="G368" t="s">
        <v>21</v>
      </c>
      <c r="H368" t="str">
        <f>"B.CANTU 10/2018"</f>
        <v>B.CANTU 10/2018</v>
      </c>
      <c r="I368" t="str">
        <f>"CITY OF FLORESVILLE -PETTY CAS"</f>
        <v>CITY OF FLORESVILLE -PETTY CAS</v>
      </c>
    </row>
    <row r="369" spans="1:9" x14ac:dyDescent="0.25">
      <c r="A369" s="6">
        <v>43391</v>
      </c>
      <c r="B369" t="s">
        <v>26</v>
      </c>
      <c r="C369">
        <v>59186</v>
      </c>
      <c r="D369" t="s">
        <v>380</v>
      </c>
      <c r="E369" s="7">
        <v>2000</v>
      </c>
      <c r="F369" t="s">
        <v>20</v>
      </c>
      <c r="G369" t="s">
        <v>21</v>
      </c>
      <c r="H369" t="str">
        <f>"57618"</f>
        <v>57618</v>
      </c>
      <c r="I369" t="str">
        <f>"ABIP CERTIFIED PUBLIC ACCOUNTA"</f>
        <v>ABIP CERTIFIED PUBLIC ACCOUNTA</v>
      </c>
    </row>
    <row r="370" spans="1:9" x14ac:dyDescent="0.25">
      <c r="A370" s="6">
        <v>43391</v>
      </c>
      <c r="B370" t="s">
        <v>26</v>
      </c>
      <c r="C370">
        <v>59187</v>
      </c>
      <c r="D370" t="s">
        <v>563</v>
      </c>
      <c r="E370" s="7">
        <v>3645</v>
      </c>
      <c r="F370" t="s">
        <v>20</v>
      </c>
      <c r="G370" t="s">
        <v>21</v>
      </c>
      <c r="H370" t="str">
        <f>"9401930878-2"</f>
        <v>9401930878-2</v>
      </c>
      <c r="I370" t="str">
        <f>"CRAFCO TEXAS  INC."</f>
        <v>CRAFCO TEXAS  INC.</v>
      </c>
    </row>
    <row r="371" spans="1:9" x14ac:dyDescent="0.25">
      <c r="A371" s="6">
        <v>43396</v>
      </c>
      <c r="B371" t="s">
        <v>26</v>
      </c>
      <c r="C371">
        <v>59188</v>
      </c>
      <c r="D371" t="s">
        <v>59</v>
      </c>
      <c r="E371" s="7">
        <v>2094.84</v>
      </c>
      <c r="F371" t="s">
        <v>20</v>
      </c>
      <c r="G371" t="s">
        <v>21</v>
      </c>
      <c r="H371" t="str">
        <f>"0984221-1"</f>
        <v>0984221-1</v>
      </c>
      <c r="I371" t="str">
        <f>"FERGUSON WATERWORKS - MUNICIPA"</f>
        <v>FERGUSON WATERWORKS - MUNICIPA</v>
      </c>
    </row>
    <row r="372" spans="1:9" x14ac:dyDescent="0.25">
      <c r="A372" s="6">
        <v>43396</v>
      </c>
      <c r="B372" t="s">
        <v>26</v>
      </c>
      <c r="C372">
        <v>59188</v>
      </c>
      <c r="D372" t="s">
        <v>59</v>
      </c>
      <c r="E372" s="7">
        <v>2094.84</v>
      </c>
      <c r="F372" t="s">
        <v>20</v>
      </c>
      <c r="G372" t="s">
        <v>21</v>
      </c>
      <c r="H372" t="str">
        <f>"0987773-1"</f>
        <v>0987773-1</v>
      </c>
      <c r="I372" t="str">
        <f>"FERGUSON WATERWORKS - MUNICIPA"</f>
        <v>FERGUSON WATERWORKS - MUNICIPA</v>
      </c>
    </row>
    <row r="373" spans="1:9" x14ac:dyDescent="0.25">
      <c r="A373" s="6">
        <v>43396</v>
      </c>
      <c r="B373" t="s">
        <v>26</v>
      </c>
      <c r="C373">
        <v>59189</v>
      </c>
      <c r="D373" t="s">
        <v>372</v>
      </c>
      <c r="E373" s="7">
        <v>50</v>
      </c>
      <c r="F373" t="s">
        <v>20</v>
      </c>
      <c r="G373" t="s">
        <v>21</v>
      </c>
      <c r="H373" t="str">
        <f>"10/22/18"</f>
        <v>10/22/18</v>
      </c>
      <c r="I373" t="str">
        <f>"MICHELLE DOLBERRY"</f>
        <v>MICHELLE DOLBERRY</v>
      </c>
    </row>
    <row r="374" spans="1:9" x14ac:dyDescent="0.25">
      <c r="A374" s="6">
        <v>43396</v>
      </c>
      <c r="B374" t="s">
        <v>26</v>
      </c>
      <c r="C374">
        <v>59190</v>
      </c>
      <c r="D374" t="s">
        <v>97</v>
      </c>
      <c r="E374" s="7">
        <v>38413</v>
      </c>
      <c r="F374" t="s">
        <v>20</v>
      </c>
      <c r="G374" t="s">
        <v>21</v>
      </c>
      <c r="H374" t="str">
        <f>"10/2018"</f>
        <v>10/2018</v>
      </c>
      <c r="I374" t="str">
        <f>"HEALTH CARE SERVICE CORPORATIO"</f>
        <v>HEALTH CARE SERVICE CORPORATIO</v>
      </c>
    </row>
    <row r="375" spans="1:9" x14ac:dyDescent="0.25">
      <c r="A375" s="6">
        <v>43396</v>
      </c>
      <c r="B375" t="s">
        <v>91</v>
      </c>
      <c r="C375">
        <v>59191</v>
      </c>
      <c r="D375" t="s">
        <v>131</v>
      </c>
      <c r="E375" s="7">
        <v>577.49</v>
      </c>
      <c r="F375" t="s">
        <v>20</v>
      </c>
      <c r="G375" t="s">
        <v>21</v>
      </c>
      <c r="H375" t="str">
        <f>"30631-1"</f>
        <v>30631-1</v>
      </c>
      <c r="I375" t="str">
        <f>"R &amp; S TEXAS PARTS CO"</f>
        <v>R &amp; S TEXAS PARTS CO</v>
      </c>
    </row>
    <row r="376" spans="1:9" x14ac:dyDescent="0.25">
      <c r="A376" s="6">
        <v>43396</v>
      </c>
      <c r="B376" t="s">
        <v>91</v>
      </c>
      <c r="C376">
        <v>59191</v>
      </c>
      <c r="D376" t="s">
        <v>131</v>
      </c>
      <c r="E376" s="7">
        <v>577.49</v>
      </c>
      <c r="F376" t="s">
        <v>20</v>
      </c>
      <c r="G376" t="s">
        <v>21</v>
      </c>
      <c r="H376" t="str">
        <f>"31028"</f>
        <v>31028</v>
      </c>
      <c r="I376" t="str">
        <f>"R &amp; S TEXAS PARTS CO"</f>
        <v>R &amp; S TEXAS PARTS CO</v>
      </c>
    </row>
    <row r="377" spans="1:9" x14ac:dyDescent="0.25">
      <c r="A377" s="6">
        <v>43396</v>
      </c>
      <c r="B377" t="s">
        <v>91</v>
      </c>
      <c r="C377">
        <v>59191</v>
      </c>
      <c r="D377" t="s">
        <v>131</v>
      </c>
      <c r="E377" s="7">
        <v>577.49</v>
      </c>
      <c r="F377" t="s">
        <v>20</v>
      </c>
      <c r="G377" t="s">
        <v>21</v>
      </c>
      <c r="H377" t="str">
        <f>"31324"</f>
        <v>31324</v>
      </c>
      <c r="I377" t="str">
        <f>"R &amp; S TEXAS PARTS CO"</f>
        <v>R &amp; S TEXAS PARTS CO</v>
      </c>
    </row>
    <row r="378" spans="1:9" x14ac:dyDescent="0.25">
      <c r="A378" s="6">
        <v>43396</v>
      </c>
      <c r="B378" t="s">
        <v>91</v>
      </c>
      <c r="C378">
        <v>59191</v>
      </c>
      <c r="D378" t="s">
        <v>131</v>
      </c>
      <c r="E378" s="7">
        <v>577.49</v>
      </c>
      <c r="F378" t="s">
        <v>20</v>
      </c>
      <c r="G378" t="s">
        <v>21</v>
      </c>
      <c r="H378" t="str">
        <f>"31333-1"</f>
        <v>31333-1</v>
      </c>
      <c r="I378" t="str">
        <f>"R &amp; S TEXAS PARTS CO"</f>
        <v>R &amp; S TEXAS PARTS CO</v>
      </c>
    </row>
    <row r="379" spans="1:9" x14ac:dyDescent="0.25">
      <c r="A379" s="6">
        <v>43396</v>
      </c>
      <c r="B379" t="s">
        <v>91</v>
      </c>
      <c r="C379">
        <v>59191</v>
      </c>
      <c r="D379" t="s">
        <v>131</v>
      </c>
      <c r="E379" s="7">
        <v>577.49</v>
      </c>
      <c r="F379" t="s">
        <v>20</v>
      </c>
      <c r="G379" t="s">
        <v>21</v>
      </c>
      <c r="H379" t="str">
        <f>"31524-1"</f>
        <v>31524-1</v>
      </c>
      <c r="I379" t="str">
        <f>"R &amp; S TEXAS PARTS CO"</f>
        <v>R &amp; S TEXAS PARTS CO</v>
      </c>
    </row>
    <row r="380" spans="1:9" x14ac:dyDescent="0.25">
      <c r="A380" s="6">
        <v>43396</v>
      </c>
      <c r="B380" t="s">
        <v>91</v>
      </c>
      <c r="C380">
        <v>59191</v>
      </c>
      <c r="D380" t="s">
        <v>131</v>
      </c>
      <c r="E380" s="7">
        <v>577.49</v>
      </c>
      <c r="F380" t="s">
        <v>20</v>
      </c>
      <c r="G380" t="s">
        <v>93</v>
      </c>
      <c r="H380" t="str">
        <f>"CHECK"</f>
        <v>CHECK</v>
      </c>
      <c r="I380" t="str">
        <f>""</f>
        <v/>
      </c>
    </row>
    <row r="381" spans="1:9" x14ac:dyDescent="0.25">
      <c r="A381" s="6">
        <v>43396</v>
      </c>
      <c r="B381" t="s">
        <v>26</v>
      </c>
      <c r="C381">
        <v>59192</v>
      </c>
      <c r="D381" t="s">
        <v>345</v>
      </c>
      <c r="E381" s="7">
        <v>440</v>
      </c>
      <c r="F381" t="s">
        <v>20</v>
      </c>
      <c r="G381" t="s">
        <v>21</v>
      </c>
      <c r="H381" t="str">
        <f>"10/22/18"</f>
        <v>10/22/18</v>
      </c>
      <c r="I381" t="str">
        <f>"MICHAEL ISAAC MARTINEZ"</f>
        <v>MICHAEL ISAAC MARTINEZ</v>
      </c>
    </row>
    <row r="382" spans="1:9" x14ac:dyDescent="0.25">
      <c r="A382" s="6">
        <v>43396</v>
      </c>
      <c r="B382" t="s">
        <v>26</v>
      </c>
      <c r="C382">
        <v>59193</v>
      </c>
      <c r="D382" t="s">
        <v>452</v>
      </c>
      <c r="E382" s="7">
        <v>200</v>
      </c>
      <c r="F382" t="s">
        <v>20</v>
      </c>
      <c r="G382" t="s">
        <v>21</v>
      </c>
      <c r="H382" t="str">
        <f>"10/22/18"</f>
        <v>10/22/18</v>
      </c>
      <c r="I382" t="str">
        <f>"DESIREE PEREZ"</f>
        <v>DESIREE PEREZ</v>
      </c>
    </row>
    <row r="383" spans="1:9" x14ac:dyDescent="0.25">
      <c r="A383" s="6">
        <v>43396</v>
      </c>
      <c r="B383" t="s">
        <v>26</v>
      </c>
      <c r="C383">
        <v>59194</v>
      </c>
      <c r="D383" t="s">
        <v>559</v>
      </c>
      <c r="E383" s="7">
        <v>344.67</v>
      </c>
      <c r="F383" t="s">
        <v>20</v>
      </c>
      <c r="G383" t="s">
        <v>21</v>
      </c>
      <c r="H383" t="str">
        <f>"62452"</f>
        <v>62452</v>
      </c>
      <c r="I383" t="str">
        <f>"PAGE'S PRINTING"</f>
        <v>PAGE'S PRINTING</v>
      </c>
    </row>
    <row r="384" spans="1:9" x14ac:dyDescent="0.25">
      <c r="A384" s="6">
        <v>43396</v>
      </c>
      <c r="B384" t="s">
        <v>26</v>
      </c>
      <c r="C384">
        <v>59195</v>
      </c>
      <c r="D384" t="s">
        <v>573</v>
      </c>
      <c r="E384" s="7">
        <v>152.35</v>
      </c>
      <c r="F384" t="s">
        <v>20</v>
      </c>
      <c r="G384" t="s">
        <v>21</v>
      </c>
      <c r="H384" t="str">
        <f>"100"</f>
        <v>100</v>
      </c>
      <c r="I384" t="str">
        <f>"CHRISTOPHER CARTER"</f>
        <v>CHRISTOPHER CARTER</v>
      </c>
    </row>
    <row r="385" spans="1:9" x14ac:dyDescent="0.25">
      <c r="A385" s="6">
        <v>43396</v>
      </c>
      <c r="B385" t="s">
        <v>26</v>
      </c>
      <c r="C385">
        <v>59196</v>
      </c>
      <c r="D385" t="s">
        <v>574</v>
      </c>
      <c r="E385" s="7">
        <v>70</v>
      </c>
      <c r="F385" t="s">
        <v>20</v>
      </c>
      <c r="G385" t="s">
        <v>21</v>
      </c>
      <c r="H385" t="str">
        <f>"10/22/18"</f>
        <v>10/22/18</v>
      </c>
      <c r="I385" t="str">
        <f>"ERICA LOPEZ"</f>
        <v>ERICA LOPEZ</v>
      </c>
    </row>
    <row r="386" spans="1:9" x14ac:dyDescent="0.25">
      <c r="A386" s="6">
        <v>43396</v>
      </c>
      <c r="B386" t="s">
        <v>26</v>
      </c>
      <c r="C386">
        <v>59197</v>
      </c>
      <c r="D386" t="s">
        <v>85</v>
      </c>
      <c r="E386" s="7">
        <v>2922.85</v>
      </c>
      <c r="F386" t="s">
        <v>20</v>
      </c>
      <c r="G386" t="s">
        <v>21</v>
      </c>
      <c r="H386" t="str">
        <f>"PD8301970021 10/18"</f>
        <v>PD8301970021 10/18</v>
      </c>
      <c r="I386" t="str">
        <f>"FRONTIER"</f>
        <v>FRONTIER</v>
      </c>
    </row>
    <row r="387" spans="1:9" x14ac:dyDescent="0.25">
      <c r="A387" s="6">
        <v>43396</v>
      </c>
      <c r="B387" t="s">
        <v>26</v>
      </c>
      <c r="C387">
        <v>59206</v>
      </c>
      <c r="D387" t="s">
        <v>51</v>
      </c>
      <c r="E387" s="7">
        <v>290.89999999999998</v>
      </c>
      <c r="F387" t="s">
        <v>20</v>
      </c>
      <c r="G387" t="s">
        <v>21</v>
      </c>
      <c r="H387" t="str">
        <f>"CLE201810238497"</f>
        <v>CLE201810238497</v>
      </c>
      <c r="I387" t="str">
        <f>"CLEAT ONLY DUES"</f>
        <v>CLEAT ONLY DUES</v>
      </c>
    </row>
    <row r="388" spans="1:9" x14ac:dyDescent="0.25">
      <c r="A388" s="6">
        <v>43396</v>
      </c>
      <c r="B388" t="s">
        <v>26</v>
      </c>
      <c r="C388">
        <v>59206</v>
      </c>
      <c r="D388" t="s">
        <v>51</v>
      </c>
      <c r="E388" s="7">
        <v>290.89999999999998</v>
      </c>
      <c r="F388" t="s">
        <v>20</v>
      </c>
      <c r="G388" t="s">
        <v>21</v>
      </c>
      <c r="H388" t="str">
        <f>"PDD201810238497"</f>
        <v>PDD201810238497</v>
      </c>
      <c r="I388" t="str">
        <f>"POLICE OFFICERS ASSOC DUES"</f>
        <v>POLICE OFFICERS ASSOC DUES</v>
      </c>
    </row>
    <row r="389" spans="1:9" x14ac:dyDescent="0.25">
      <c r="A389" s="6">
        <v>43396</v>
      </c>
      <c r="B389" t="s">
        <v>26</v>
      </c>
      <c r="C389">
        <v>59207</v>
      </c>
      <c r="D389" t="s">
        <v>90</v>
      </c>
      <c r="E389" s="7">
        <v>101.1</v>
      </c>
      <c r="F389" t="s">
        <v>20</v>
      </c>
      <c r="G389" t="s">
        <v>21</v>
      </c>
      <c r="H389" t="str">
        <f>"AFS201810238497"</f>
        <v>AFS201810238497</v>
      </c>
      <c r="I389" t="str">
        <f>"AFLAC STD"</f>
        <v>AFLAC STD</v>
      </c>
    </row>
    <row r="390" spans="1:9" x14ac:dyDescent="0.25">
      <c r="A390" s="6">
        <v>43396</v>
      </c>
      <c r="B390" t="s">
        <v>26</v>
      </c>
      <c r="C390">
        <v>59208</v>
      </c>
      <c r="D390" t="s">
        <v>52</v>
      </c>
      <c r="E390" s="7">
        <v>1123.9100000000001</v>
      </c>
      <c r="F390" t="s">
        <v>20</v>
      </c>
      <c r="G390" t="s">
        <v>21</v>
      </c>
      <c r="H390" t="str">
        <f>"CPS201810238497"</f>
        <v>CPS201810238497</v>
      </c>
      <c r="I390" t="str">
        <f>"G MENDOZA 00123012032010EM5054"</f>
        <v>G MENDOZA 00123012032010EM5054</v>
      </c>
    </row>
    <row r="391" spans="1:9" x14ac:dyDescent="0.25">
      <c r="A391" s="6">
        <v>43396</v>
      </c>
      <c r="B391" t="s">
        <v>26</v>
      </c>
      <c r="C391">
        <v>59208</v>
      </c>
      <c r="D391" t="s">
        <v>52</v>
      </c>
      <c r="E391" s="7">
        <v>1123.9100000000001</v>
      </c>
      <c r="F391" t="s">
        <v>20</v>
      </c>
      <c r="G391" t="s">
        <v>21</v>
      </c>
      <c r="H391" t="str">
        <f>"CS 201810238497"</f>
        <v>CS 201810238497</v>
      </c>
      <c r="I391" t="str">
        <f>"CAUSE#98EM504113 PEGGY RIVAS"</f>
        <v>CAUSE#98EM504113 PEGGY RIVAS</v>
      </c>
    </row>
    <row r="392" spans="1:9" x14ac:dyDescent="0.25">
      <c r="A392" s="6">
        <v>43396</v>
      </c>
      <c r="B392" t="s">
        <v>26</v>
      </c>
      <c r="C392">
        <v>59208</v>
      </c>
      <c r="D392" t="s">
        <v>52</v>
      </c>
      <c r="E392" s="7">
        <v>1123.9100000000001</v>
      </c>
      <c r="F392" t="s">
        <v>20</v>
      </c>
      <c r="G392" t="s">
        <v>21</v>
      </c>
      <c r="H392" t="str">
        <f>"CSJ201810238497"</f>
        <v>CSJ201810238497</v>
      </c>
      <c r="I392" t="str">
        <f>"CAUSE# 0010185272 MARIANN GUTI"</f>
        <v>CAUSE# 0010185272 MARIANN GUTI</v>
      </c>
    </row>
    <row r="393" spans="1:9" x14ac:dyDescent="0.25">
      <c r="A393" s="6">
        <v>43396</v>
      </c>
      <c r="B393" t="s">
        <v>26</v>
      </c>
      <c r="C393">
        <v>59209</v>
      </c>
      <c r="D393" t="s">
        <v>53</v>
      </c>
      <c r="E393" s="7">
        <v>99.1</v>
      </c>
      <c r="F393" t="s">
        <v>20</v>
      </c>
      <c r="G393" t="s">
        <v>21</v>
      </c>
      <c r="H393" t="str">
        <f>"MCO201810238497"</f>
        <v>MCO201810238497</v>
      </c>
      <c r="I393" t="str">
        <f>"MONICA CORDOVA"</f>
        <v>MONICA CORDOVA</v>
      </c>
    </row>
    <row r="394" spans="1:9" x14ac:dyDescent="0.25">
      <c r="A394" s="6">
        <v>43396</v>
      </c>
      <c r="B394" t="s">
        <v>26</v>
      </c>
      <c r="C394">
        <v>59210</v>
      </c>
      <c r="D394" t="s">
        <v>54</v>
      </c>
      <c r="E394" s="7">
        <v>977.1</v>
      </c>
      <c r="F394" t="s">
        <v>20</v>
      </c>
      <c r="G394" t="s">
        <v>21</v>
      </c>
      <c r="H394" t="str">
        <f>"457201810238497"</f>
        <v>457201810238497</v>
      </c>
      <c r="I394" t="str">
        <f>"CASE # 180-60751 457B DEDUCT"</f>
        <v>CASE # 180-60751 457B DEDUCT</v>
      </c>
    </row>
    <row r="395" spans="1:9" x14ac:dyDescent="0.25">
      <c r="A395" s="6">
        <v>43397</v>
      </c>
      <c r="B395" t="s">
        <v>26</v>
      </c>
      <c r="C395">
        <v>59211</v>
      </c>
      <c r="D395" t="s">
        <v>92</v>
      </c>
      <c r="E395" s="7">
        <v>19524.830000000002</v>
      </c>
      <c r="F395" t="s">
        <v>20</v>
      </c>
      <c r="G395" t="s">
        <v>21</v>
      </c>
      <c r="H395" t="str">
        <f>"AUG. PART2 PYMT"</f>
        <v>AUG. PART2 PYMT</v>
      </c>
      <c r="I395" t="str">
        <f>"TEXAS MUNICIPAL RETIREMENT SYS"</f>
        <v>TEXAS MUNICIPAL RETIREMENT SYS</v>
      </c>
    </row>
    <row r="396" spans="1:9" x14ac:dyDescent="0.25">
      <c r="A396" s="6">
        <v>43397</v>
      </c>
      <c r="B396" t="s">
        <v>26</v>
      </c>
      <c r="C396">
        <v>59213</v>
      </c>
      <c r="D396" t="s">
        <v>136</v>
      </c>
      <c r="E396" s="7">
        <v>270</v>
      </c>
      <c r="F396" t="s">
        <v>20</v>
      </c>
      <c r="G396" t="s">
        <v>21</v>
      </c>
      <c r="H396" t="str">
        <f>"10/21/18"</f>
        <v>10/21/18</v>
      </c>
      <c r="I396" t="str">
        <f>"INEZ CLARICE TRINIDAD"</f>
        <v>INEZ CLARICE TRINIDAD</v>
      </c>
    </row>
    <row r="397" spans="1:9" x14ac:dyDescent="0.25">
      <c r="A397" s="6">
        <v>43398</v>
      </c>
      <c r="B397" t="s">
        <v>26</v>
      </c>
      <c r="C397">
        <v>59214</v>
      </c>
      <c r="D397" t="s">
        <v>575</v>
      </c>
      <c r="E397" s="7">
        <v>400</v>
      </c>
      <c r="F397" t="s">
        <v>20</v>
      </c>
      <c r="G397" t="s">
        <v>21</v>
      </c>
      <c r="H397" t="str">
        <f>"10/24/2018"</f>
        <v>10/24/2018</v>
      </c>
      <c r="I397" t="str">
        <f>"ROGER CANTU"</f>
        <v>ROGER CANTU</v>
      </c>
    </row>
    <row r="398" spans="1:9" x14ac:dyDescent="0.25">
      <c r="A398" s="6">
        <v>43398</v>
      </c>
      <c r="B398" t="s">
        <v>26</v>
      </c>
      <c r="C398">
        <v>59215</v>
      </c>
      <c r="D398" t="s">
        <v>566</v>
      </c>
      <c r="E398" s="7">
        <v>500</v>
      </c>
      <c r="F398" t="s">
        <v>20</v>
      </c>
      <c r="G398" t="s">
        <v>21</v>
      </c>
      <c r="H398" t="str">
        <f>"10/25/185 CEMTRY#2"</f>
        <v>10/25/185 CEMTRY#2</v>
      </c>
      <c r="I398" t="str">
        <f>"JOHN A. LAZOVICH"</f>
        <v>JOHN A. LAZOVICH</v>
      </c>
    </row>
    <row r="399" spans="1:9" x14ac:dyDescent="0.25">
      <c r="A399" s="6">
        <v>43399</v>
      </c>
      <c r="B399" t="s">
        <v>91</v>
      </c>
      <c r="C399">
        <v>59216</v>
      </c>
      <c r="D399" t="s">
        <v>488</v>
      </c>
      <c r="E399" s="7">
        <v>131226.04999999999</v>
      </c>
      <c r="F399" t="s">
        <v>20</v>
      </c>
      <c r="G399" t="s">
        <v>21</v>
      </c>
      <c r="H399" t="str">
        <f>"12482"</f>
        <v>12482</v>
      </c>
      <c r="I399" t="str">
        <f>"M &amp; C Fonseca Construction Co."</f>
        <v>M &amp; C Fonseca Construction Co.</v>
      </c>
    </row>
    <row r="400" spans="1:9" x14ac:dyDescent="0.25">
      <c r="A400" s="6">
        <v>43399</v>
      </c>
      <c r="B400" t="s">
        <v>91</v>
      </c>
      <c r="C400">
        <v>59216</v>
      </c>
      <c r="D400" t="s">
        <v>488</v>
      </c>
      <c r="E400" s="7">
        <v>131226.04999999999</v>
      </c>
      <c r="F400" t="s">
        <v>20</v>
      </c>
      <c r="G400" t="s">
        <v>21</v>
      </c>
      <c r="H400" t="str">
        <f>"APP #5"</f>
        <v>APP #5</v>
      </c>
      <c r="I400" t="str">
        <f>"M &amp; C Fonseca Construction Co."</f>
        <v>M &amp; C Fonseca Construction Co.</v>
      </c>
    </row>
    <row r="401" spans="1:9" x14ac:dyDescent="0.25">
      <c r="A401" s="6">
        <v>43399</v>
      </c>
      <c r="B401" t="s">
        <v>91</v>
      </c>
      <c r="C401">
        <v>59216</v>
      </c>
      <c r="D401" t="s">
        <v>488</v>
      </c>
      <c r="E401" s="7">
        <v>131226.04999999999</v>
      </c>
      <c r="F401" t="s">
        <v>20</v>
      </c>
      <c r="G401" t="s">
        <v>93</v>
      </c>
      <c r="H401" t="str">
        <f>"CHECK"</f>
        <v>CHECK</v>
      </c>
      <c r="I401" t="str">
        <f>""</f>
        <v/>
      </c>
    </row>
    <row r="402" spans="1:9" x14ac:dyDescent="0.25">
      <c r="A402" s="6">
        <v>43399</v>
      </c>
      <c r="B402" t="s">
        <v>26</v>
      </c>
      <c r="C402">
        <v>59217</v>
      </c>
      <c r="D402" t="s">
        <v>488</v>
      </c>
      <c r="E402" s="7">
        <v>107026.05</v>
      </c>
      <c r="F402" t="s">
        <v>20</v>
      </c>
      <c r="G402" t="s">
        <v>21</v>
      </c>
      <c r="H402" t="str">
        <f>"APP #5-1"</f>
        <v>APP #5-1</v>
      </c>
      <c r="I402" t="str">
        <f>"M &amp; C Fonseca Construction Co."</f>
        <v>M &amp; C Fonseca Construction Co.</v>
      </c>
    </row>
    <row r="403" spans="1:9" x14ac:dyDescent="0.25">
      <c r="A403" s="6">
        <v>43399</v>
      </c>
      <c r="B403" t="s">
        <v>26</v>
      </c>
      <c r="C403">
        <v>59218</v>
      </c>
      <c r="D403" t="s">
        <v>488</v>
      </c>
      <c r="E403" s="7">
        <v>24200</v>
      </c>
      <c r="F403" t="s">
        <v>20</v>
      </c>
      <c r="G403" t="s">
        <v>21</v>
      </c>
      <c r="H403" t="str">
        <f>"12482-1"</f>
        <v>12482-1</v>
      </c>
      <c r="I403" t="str">
        <f>"M &amp; C Fonseca Construction Co."</f>
        <v>M &amp; C Fonseca Construction Co.</v>
      </c>
    </row>
    <row r="404" spans="1:9" x14ac:dyDescent="0.25">
      <c r="A404" s="6">
        <v>43403</v>
      </c>
      <c r="B404" t="s">
        <v>26</v>
      </c>
      <c r="C404">
        <v>59219</v>
      </c>
      <c r="D404" t="s">
        <v>57</v>
      </c>
      <c r="E404" s="7">
        <v>23919.39</v>
      </c>
      <c r="F404" t="s">
        <v>20</v>
      </c>
      <c r="G404" t="s">
        <v>21</v>
      </c>
      <c r="H404" t="str">
        <f>"11/2018"</f>
        <v>11/2018</v>
      </c>
      <c r="I404" t="str">
        <f>"F.E.L.P.S."</f>
        <v>F.E.L.P.S.</v>
      </c>
    </row>
    <row r="405" spans="1:9" x14ac:dyDescent="0.25">
      <c r="A405" s="6">
        <v>43403</v>
      </c>
      <c r="B405" t="s">
        <v>26</v>
      </c>
      <c r="C405">
        <v>59220</v>
      </c>
      <c r="D405" t="s">
        <v>576</v>
      </c>
      <c r="E405" s="7">
        <v>1566</v>
      </c>
      <c r="F405" t="s">
        <v>20</v>
      </c>
      <c r="G405" t="s">
        <v>21</v>
      </c>
      <c r="H405" t="str">
        <f>"LI-5926"</f>
        <v>LI-5926</v>
      </c>
      <c r="I405" t="str">
        <f>"BEXAR COUNTY CLERK"</f>
        <v>BEXAR COUNTY CLERK</v>
      </c>
    </row>
    <row r="406" spans="1:9" x14ac:dyDescent="0.25">
      <c r="A406" s="6">
        <v>43403</v>
      </c>
      <c r="B406" t="s">
        <v>26</v>
      </c>
      <c r="C406">
        <v>59221</v>
      </c>
      <c r="D406" t="s">
        <v>58</v>
      </c>
      <c r="E406" s="7">
        <v>1302.42</v>
      </c>
      <c r="F406" t="s">
        <v>20</v>
      </c>
      <c r="G406" t="s">
        <v>21</v>
      </c>
      <c r="H406" t="str">
        <f>"14211*"</f>
        <v>14211*</v>
      </c>
      <c r="I406" t="str">
        <f>"DEASON ANIMAL HOSPITAL"</f>
        <v>DEASON ANIMAL HOSPITAL</v>
      </c>
    </row>
    <row r="407" spans="1:9" x14ac:dyDescent="0.25">
      <c r="A407" s="6">
        <v>43403</v>
      </c>
      <c r="B407" t="s">
        <v>26</v>
      </c>
      <c r="C407">
        <v>59222</v>
      </c>
      <c r="D407" t="s">
        <v>104</v>
      </c>
      <c r="E407" s="7">
        <v>15.9</v>
      </c>
      <c r="F407" t="s">
        <v>20</v>
      </c>
      <c r="G407" t="s">
        <v>21</v>
      </c>
      <c r="H407" t="str">
        <f>"42612"</f>
        <v>42612</v>
      </c>
      <c r="I407" t="str">
        <f>"WILSON COUNTY NEWS"</f>
        <v>WILSON COUNTY NEWS</v>
      </c>
    </row>
    <row r="408" spans="1:9" x14ac:dyDescent="0.25">
      <c r="A408" s="6">
        <v>43403</v>
      </c>
      <c r="B408" t="s">
        <v>91</v>
      </c>
      <c r="C408">
        <v>59223</v>
      </c>
      <c r="D408" t="s">
        <v>105</v>
      </c>
      <c r="E408" s="7">
        <v>7</v>
      </c>
      <c r="F408" t="s">
        <v>20</v>
      </c>
      <c r="G408" t="s">
        <v>21</v>
      </c>
      <c r="H408" t="str">
        <f>"304103"</f>
        <v>304103</v>
      </c>
      <c r="I408" t="str">
        <f>"LUBE WORKS"</f>
        <v>LUBE WORKS</v>
      </c>
    </row>
    <row r="409" spans="1:9" x14ac:dyDescent="0.25">
      <c r="A409" s="6">
        <v>43403</v>
      </c>
      <c r="B409" t="s">
        <v>91</v>
      </c>
      <c r="C409">
        <v>59223</v>
      </c>
      <c r="D409" t="s">
        <v>105</v>
      </c>
      <c r="E409" s="7">
        <v>7</v>
      </c>
      <c r="F409" t="s">
        <v>20</v>
      </c>
      <c r="G409" t="s">
        <v>93</v>
      </c>
      <c r="H409" t="str">
        <f>"CHECK"</f>
        <v>CHECK</v>
      </c>
      <c r="I409" t="str">
        <f>""</f>
        <v/>
      </c>
    </row>
    <row r="410" spans="1:9" x14ac:dyDescent="0.25">
      <c r="A410" s="6">
        <v>43403</v>
      </c>
      <c r="B410" t="s">
        <v>26</v>
      </c>
      <c r="C410">
        <v>59224</v>
      </c>
      <c r="D410" t="s">
        <v>577</v>
      </c>
      <c r="E410" s="7">
        <v>7007.24</v>
      </c>
      <c r="F410" t="s">
        <v>20</v>
      </c>
      <c r="G410" t="s">
        <v>21</v>
      </c>
      <c r="H410" t="str">
        <f>"CWQ0056122"</f>
        <v>CWQ0056122</v>
      </c>
      <c r="I410" t="str">
        <f>"TCEQ - OCCUPATIONAL LICENSING"</f>
        <v>TCEQ - OCCUPATIONAL LICENSING</v>
      </c>
    </row>
    <row r="411" spans="1:9" x14ac:dyDescent="0.25">
      <c r="A411" s="6">
        <v>43403</v>
      </c>
      <c r="B411" t="s">
        <v>26</v>
      </c>
      <c r="C411">
        <v>59225</v>
      </c>
      <c r="D411" t="s">
        <v>108</v>
      </c>
      <c r="E411" s="7">
        <v>1443.68</v>
      </c>
      <c r="F411" t="s">
        <v>20</v>
      </c>
      <c r="G411" t="s">
        <v>21</v>
      </c>
      <c r="H411" t="str">
        <f>"041295607622"</f>
        <v>041295607622</v>
      </c>
      <c r="I411" t="str">
        <f>"POOLSURE"</f>
        <v>POOLSURE</v>
      </c>
    </row>
    <row r="412" spans="1:9" x14ac:dyDescent="0.25">
      <c r="A412" s="6">
        <v>43403</v>
      </c>
      <c r="B412" t="s">
        <v>26</v>
      </c>
      <c r="C412">
        <v>59226</v>
      </c>
      <c r="D412" t="s">
        <v>109</v>
      </c>
      <c r="E412" s="7">
        <v>1428</v>
      </c>
      <c r="F412" t="s">
        <v>20</v>
      </c>
      <c r="G412" t="s">
        <v>21</v>
      </c>
      <c r="H412" t="str">
        <f>"247694"</f>
        <v>247694</v>
      </c>
      <c r="I412" t="str">
        <f>"LEADSONLINE"</f>
        <v>LEADSONLINE</v>
      </c>
    </row>
    <row r="413" spans="1:9" x14ac:dyDescent="0.25">
      <c r="A413" s="6">
        <v>43403</v>
      </c>
      <c r="B413" t="s">
        <v>26</v>
      </c>
      <c r="C413">
        <v>59227</v>
      </c>
      <c r="D413" t="s">
        <v>181</v>
      </c>
      <c r="E413" s="7">
        <v>43.02</v>
      </c>
      <c r="F413" t="s">
        <v>20</v>
      </c>
      <c r="G413" t="s">
        <v>21</v>
      </c>
      <c r="H413" t="str">
        <f>"8303933186 10/18"</f>
        <v>8303933186 10/18</v>
      </c>
      <c r="I413" t="str">
        <f>"AT&amp;T"</f>
        <v>AT&amp;T</v>
      </c>
    </row>
    <row r="414" spans="1:9" x14ac:dyDescent="0.25">
      <c r="A414" s="6">
        <v>43403</v>
      </c>
      <c r="B414" t="s">
        <v>26</v>
      </c>
      <c r="C414">
        <v>59228</v>
      </c>
      <c r="D414" t="s">
        <v>61</v>
      </c>
      <c r="E414" s="7">
        <v>188</v>
      </c>
      <c r="F414" t="s">
        <v>20</v>
      </c>
      <c r="G414" t="s">
        <v>21</v>
      </c>
      <c r="H414" t="str">
        <f>"025-239793"</f>
        <v>025-239793</v>
      </c>
      <c r="I414" t="str">
        <f>"TYLER TECHNOLOGIES  INC."</f>
        <v>TYLER TECHNOLOGIES  INC.</v>
      </c>
    </row>
    <row r="415" spans="1:9" x14ac:dyDescent="0.25">
      <c r="A415" s="6">
        <v>43403</v>
      </c>
      <c r="B415" t="s">
        <v>26</v>
      </c>
      <c r="C415">
        <v>59229</v>
      </c>
      <c r="D415" t="s">
        <v>252</v>
      </c>
      <c r="E415" s="7">
        <v>165655.53</v>
      </c>
      <c r="F415" t="s">
        <v>20</v>
      </c>
      <c r="G415" t="s">
        <v>21</v>
      </c>
      <c r="H415" t="str">
        <f>"APP #2"</f>
        <v>APP #2</v>
      </c>
      <c r="I415" t="str">
        <f>"RAM II GENERAL CONTRACTOR INC."</f>
        <v>RAM II GENERAL CONTRACTOR INC.</v>
      </c>
    </row>
    <row r="416" spans="1:9" x14ac:dyDescent="0.25">
      <c r="A416" s="6">
        <v>43403</v>
      </c>
      <c r="B416" t="s">
        <v>26</v>
      </c>
      <c r="C416">
        <v>59230</v>
      </c>
      <c r="D416" t="s">
        <v>117</v>
      </c>
      <c r="E416" s="7">
        <v>910.43</v>
      </c>
      <c r="F416" t="s">
        <v>20</v>
      </c>
      <c r="G416" t="s">
        <v>21</v>
      </c>
      <c r="H416" t="str">
        <f>"3813"</f>
        <v>3813</v>
      </c>
      <c r="I416" t="str">
        <f>"LINEBARGER GOGGAN BLAIR &amp; SAMP"</f>
        <v>LINEBARGER GOGGAN BLAIR &amp; SAMP</v>
      </c>
    </row>
    <row r="417" spans="1:9" x14ac:dyDescent="0.25">
      <c r="A417" s="6">
        <v>43403</v>
      </c>
      <c r="B417" t="s">
        <v>26</v>
      </c>
      <c r="C417">
        <v>59231</v>
      </c>
      <c r="D417" t="s">
        <v>253</v>
      </c>
      <c r="E417" s="7">
        <v>17</v>
      </c>
      <c r="F417" t="s">
        <v>20</v>
      </c>
      <c r="G417" t="s">
        <v>21</v>
      </c>
      <c r="H417" t="str">
        <f>"RENEWAL 10/2018"</f>
        <v>RENEWAL 10/2018</v>
      </c>
      <c r="I417" t="str">
        <f>"TEXAS MUNICIPAL COURT - JUSTIC"</f>
        <v>TEXAS MUNICIPAL COURT - JUSTIC</v>
      </c>
    </row>
    <row r="418" spans="1:9" x14ac:dyDescent="0.25">
      <c r="A418" s="6">
        <v>43403</v>
      </c>
      <c r="B418" t="s">
        <v>26</v>
      </c>
      <c r="C418">
        <v>59232</v>
      </c>
      <c r="D418" t="s">
        <v>118</v>
      </c>
      <c r="E418" s="7">
        <v>801.21</v>
      </c>
      <c r="F418" t="s">
        <v>20</v>
      </c>
      <c r="G418" t="s">
        <v>21</v>
      </c>
      <c r="H418" t="str">
        <f>"11054"</f>
        <v>11054</v>
      </c>
      <c r="I418" t="str">
        <f>"BRYAN AIR CONDITIONING &amp; HEATI"</f>
        <v>BRYAN AIR CONDITIONING &amp; HEATI</v>
      </c>
    </row>
    <row r="419" spans="1:9" x14ac:dyDescent="0.25">
      <c r="A419" s="6">
        <v>43403</v>
      </c>
      <c r="B419" t="s">
        <v>26</v>
      </c>
      <c r="C419">
        <v>59233</v>
      </c>
      <c r="D419" t="s">
        <v>254</v>
      </c>
      <c r="E419" s="7">
        <v>1766.92</v>
      </c>
      <c r="F419" t="s">
        <v>20</v>
      </c>
      <c r="G419" t="s">
        <v>21</v>
      </c>
      <c r="H419" t="str">
        <f>"QRT END 9/30/18"</f>
        <v>QRT END 9/30/18</v>
      </c>
      <c r="I419" t="str">
        <f>"TEXAS WORKFORCE COMMISSION"</f>
        <v>TEXAS WORKFORCE COMMISSION</v>
      </c>
    </row>
    <row r="420" spans="1:9" x14ac:dyDescent="0.25">
      <c r="A420" s="6">
        <v>43403</v>
      </c>
      <c r="B420" t="s">
        <v>26</v>
      </c>
      <c r="C420">
        <v>59234</v>
      </c>
      <c r="D420" t="s">
        <v>67</v>
      </c>
      <c r="E420" s="7">
        <v>297.77</v>
      </c>
      <c r="F420" t="s">
        <v>20</v>
      </c>
      <c r="G420" t="s">
        <v>21</v>
      </c>
      <c r="H420" t="str">
        <f>"11/2018"</f>
        <v>11/2018</v>
      </c>
      <c r="I420" t="str">
        <f>"ANYTIME FITNESS"</f>
        <v>ANYTIME FITNESS</v>
      </c>
    </row>
    <row r="421" spans="1:9" x14ac:dyDescent="0.25">
      <c r="A421" s="6">
        <v>43403</v>
      </c>
      <c r="B421" t="s">
        <v>26</v>
      </c>
      <c r="C421">
        <v>59235</v>
      </c>
      <c r="D421" t="s">
        <v>578</v>
      </c>
      <c r="E421" s="7">
        <v>55</v>
      </c>
      <c r="F421" t="s">
        <v>20</v>
      </c>
      <c r="G421" t="s">
        <v>21</v>
      </c>
      <c r="H421" t="str">
        <f>"TRNG REFUND"</f>
        <v>TRNG REFUND</v>
      </c>
      <c r="I421" t="str">
        <f>"LISA SOUTHERN"</f>
        <v>LISA SOUTHERN</v>
      </c>
    </row>
    <row r="422" spans="1:9" x14ac:dyDescent="0.25">
      <c r="A422" s="6">
        <v>43403</v>
      </c>
      <c r="B422" t="s">
        <v>26</v>
      </c>
      <c r="C422">
        <v>59236</v>
      </c>
      <c r="D422" t="s">
        <v>122</v>
      </c>
      <c r="E422" s="7">
        <v>52</v>
      </c>
      <c r="F422" t="s">
        <v>20</v>
      </c>
      <c r="G422" t="s">
        <v>21</v>
      </c>
      <c r="H422" t="str">
        <f>"122751"</f>
        <v>122751</v>
      </c>
      <c r="I422" t="str">
        <f>"VILLA TIRES"</f>
        <v>VILLA TIRES</v>
      </c>
    </row>
    <row r="423" spans="1:9" x14ac:dyDescent="0.25">
      <c r="A423" s="6">
        <v>43403</v>
      </c>
      <c r="B423" t="s">
        <v>26</v>
      </c>
      <c r="C423">
        <v>59236</v>
      </c>
      <c r="D423" t="s">
        <v>122</v>
      </c>
      <c r="E423" s="7">
        <v>52</v>
      </c>
      <c r="F423" t="s">
        <v>20</v>
      </c>
      <c r="G423" t="s">
        <v>21</v>
      </c>
      <c r="H423" t="str">
        <f>"122754"</f>
        <v>122754</v>
      </c>
      <c r="I423" t="str">
        <f>"VILLA TIRES"</f>
        <v>VILLA TIRES</v>
      </c>
    </row>
    <row r="424" spans="1:9" x14ac:dyDescent="0.25">
      <c r="A424" s="6">
        <v>43403</v>
      </c>
      <c r="B424" t="s">
        <v>26</v>
      </c>
      <c r="C424">
        <v>59236</v>
      </c>
      <c r="D424" t="s">
        <v>122</v>
      </c>
      <c r="E424" s="7">
        <v>52</v>
      </c>
      <c r="F424" t="s">
        <v>20</v>
      </c>
      <c r="G424" t="s">
        <v>21</v>
      </c>
      <c r="H424" t="str">
        <f>"222847"</f>
        <v>222847</v>
      </c>
      <c r="I424" t="str">
        <f>"VILLA TIRES"</f>
        <v>VILLA TIRES</v>
      </c>
    </row>
    <row r="425" spans="1:9" x14ac:dyDescent="0.25">
      <c r="A425" s="6">
        <v>43403</v>
      </c>
      <c r="B425" t="s">
        <v>26</v>
      </c>
      <c r="C425">
        <v>59237</v>
      </c>
      <c r="D425" t="s">
        <v>235</v>
      </c>
      <c r="E425" s="7">
        <v>7200</v>
      </c>
      <c r="F425" t="s">
        <v>20</v>
      </c>
      <c r="G425" t="s">
        <v>21</v>
      </c>
      <c r="H425" t="str">
        <f>"10/25/18 DISPTREIM"</f>
        <v>10/25/18 DISPTREIM</v>
      </c>
      <c r="I425" t="str">
        <f>"WILSON COUNTY AUDITOR"</f>
        <v>WILSON COUNTY AUDITOR</v>
      </c>
    </row>
    <row r="426" spans="1:9" x14ac:dyDescent="0.25">
      <c r="A426" s="6">
        <v>43403</v>
      </c>
      <c r="B426" t="s">
        <v>26</v>
      </c>
      <c r="C426">
        <v>59238</v>
      </c>
      <c r="D426" t="s">
        <v>137</v>
      </c>
      <c r="E426" s="7">
        <v>121.9</v>
      </c>
      <c r="F426" t="s">
        <v>20</v>
      </c>
      <c r="G426" t="s">
        <v>21</v>
      </c>
      <c r="H426" t="str">
        <f>"3812"</f>
        <v>3812</v>
      </c>
      <c r="I426" t="str">
        <f>"OMNIBUS-M  INC.D.B.A."</f>
        <v>OMNIBUS-M  INC.D.B.A.</v>
      </c>
    </row>
    <row r="427" spans="1:9" x14ac:dyDescent="0.25">
      <c r="A427" s="6">
        <v>43403</v>
      </c>
      <c r="B427" t="s">
        <v>26</v>
      </c>
      <c r="C427">
        <v>59238</v>
      </c>
      <c r="D427" t="s">
        <v>137</v>
      </c>
      <c r="E427" s="7">
        <v>121.9</v>
      </c>
      <c r="F427" t="s">
        <v>20</v>
      </c>
      <c r="G427" t="s">
        <v>21</v>
      </c>
      <c r="H427" t="str">
        <f>"3813"</f>
        <v>3813</v>
      </c>
      <c r="I427" t="str">
        <f>"OMNIBUS-M  INC.D.B.A."</f>
        <v>OMNIBUS-M  INC.D.B.A.</v>
      </c>
    </row>
    <row r="428" spans="1:9" x14ac:dyDescent="0.25">
      <c r="A428" s="6">
        <v>43403</v>
      </c>
      <c r="B428" t="s">
        <v>26</v>
      </c>
      <c r="C428">
        <v>59239</v>
      </c>
      <c r="D428" t="s">
        <v>125</v>
      </c>
      <c r="E428" s="7">
        <v>240</v>
      </c>
      <c r="F428" t="s">
        <v>20</v>
      </c>
      <c r="G428" t="s">
        <v>21</v>
      </c>
      <c r="H428" t="str">
        <f>"240.00"</f>
        <v>240.00</v>
      </c>
      <c r="I428" t="str">
        <f>"INTREPID SURVEYING CORPORATION"</f>
        <v>INTREPID SURVEYING CORPORATION</v>
      </c>
    </row>
    <row r="429" spans="1:9" x14ac:dyDescent="0.25">
      <c r="A429" s="6">
        <v>43403</v>
      </c>
      <c r="B429" t="s">
        <v>26</v>
      </c>
      <c r="C429">
        <v>59240</v>
      </c>
      <c r="D429" t="s">
        <v>372</v>
      </c>
      <c r="E429" s="7">
        <v>75</v>
      </c>
      <c r="F429" t="s">
        <v>20</v>
      </c>
      <c r="G429" t="s">
        <v>21</v>
      </c>
      <c r="H429" t="str">
        <f>"10/27/18"</f>
        <v>10/27/18</v>
      </c>
      <c r="I429" t="str">
        <f>"MICHELLE DOLBERRY"</f>
        <v>MICHELLE DOLBERRY</v>
      </c>
    </row>
    <row r="430" spans="1:9" x14ac:dyDescent="0.25">
      <c r="A430" s="6">
        <v>43403</v>
      </c>
      <c r="B430" t="s">
        <v>26</v>
      </c>
      <c r="C430">
        <v>59241</v>
      </c>
      <c r="D430" t="s">
        <v>579</v>
      </c>
      <c r="E430" s="7">
        <v>60</v>
      </c>
      <c r="F430" t="s">
        <v>20</v>
      </c>
      <c r="G430" t="s">
        <v>21</v>
      </c>
      <c r="H430" t="str">
        <f>"10/27/18"</f>
        <v>10/27/18</v>
      </c>
      <c r="I430" t="str">
        <f>"NICOLE TRINIDAD"</f>
        <v>NICOLE TRINIDAD</v>
      </c>
    </row>
    <row r="431" spans="1:9" x14ac:dyDescent="0.25">
      <c r="A431" s="6">
        <v>43403</v>
      </c>
      <c r="B431" t="s">
        <v>26</v>
      </c>
      <c r="C431">
        <v>59242</v>
      </c>
      <c r="D431" t="s">
        <v>79</v>
      </c>
      <c r="E431" s="7">
        <v>24.64</v>
      </c>
      <c r="F431" t="s">
        <v>20</v>
      </c>
      <c r="G431" t="s">
        <v>21</v>
      </c>
      <c r="H431" t="str">
        <f>"6-334-44965"</f>
        <v>6-334-44965</v>
      </c>
      <c r="I431" t="str">
        <f>"FEDEX"</f>
        <v>FEDEX</v>
      </c>
    </row>
    <row r="432" spans="1:9" x14ac:dyDescent="0.25">
      <c r="A432" s="6">
        <v>43403</v>
      </c>
      <c r="B432" t="s">
        <v>26</v>
      </c>
      <c r="C432">
        <v>59242</v>
      </c>
      <c r="D432" t="s">
        <v>79</v>
      </c>
      <c r="E432" s="7">
        <v>24.64</v>
      </c>
      <c r="F432" t="s">
        <v>20</v>
      </c>
      <c r="G432" t="s">
        <v>21</v>
      </c>
      <c r="H432" t="str">
        <f>"6-341-98799"</f>
        <v>6-341-98799</v>
      </c>
      <c r="I432" t="str">
        <f>"FEDEX"</f>
        <v>FEDEX</v>
      </c>
    </row>
    <row r="433" spans="1:9" x14ac:dyDescent="0.25">
      <c r="A433" s="6">
        <v>43403</v>
      </c>
      <c r="B433" t="s">
        <v>26</v>
      </c>
      <c r="C433">
        <v>59243</v>
      </c>
      <c r="D433" t="s">
        <v>192</v>
      </c>
      <c r="E433" s="7">
        <v>2409.62</v>
      </c>
      <c r="F433" t="s">
        <v>20</v>
      </c>
      <c r="G433" t="s">
        <v>21</v>
      </c>
      <c r="H433" t="str">
        <f>"61062115"</f>
        <v>61062115</v>
      </c>
      <c r="I433" t="str">
        <f>"DE LAGE LANDEN PUBLIC FINANCE"</f>
        <v>DE LAGE LANDEN PUBLIC FINANCE</v>
      </c>
    </row>
    <row r="434" spans="1:9" x14ac:dyDescent="0.25">
      <c r="A434" s="6">
        <v>43403</v>
      </c>
      <c r="B434" t="s">
        <v>26</v>
      </c>
      <c r="C434">
        <v>59243</v>
      </c>
      <c r="D434" t="s">
        <v>192</v>
      </c>
      <c r="E434" s="7">
        <v>2409.62</v>
      </c>
      <c r="F434" t="s">
        <v>20</v>
      </c>
      <c r="G434" t="s">
        <v>21</v>
      </c>
      <c r="H434" t="str">
        <f>"61062119"</f>
        <v>61062119</v>
      </c>
      <c r="I434" t="str">
        <f>"DE LAGE LANDEN PUBLIC FINANCE"</f>
        <v>DE LAGE LANDEN PUBLIC FINANCE</v>
      </c>
    </row>
    <row r="435" spans="1:9" x14ac:dyDescent="0.25">
      <c r="A435" s="6">
        <v>43403</v>
      </c>
      <c r="B435" t="s">
        <v>26</v>
      </c>
      <c r="C435">
        <v>59243</v>
      </c>
      <c r="D435" t="s">
        <v>192</v>
      </c>
      <c r="E435" s="7">
        <v>2409.62</v>
      </c>
      <c r="F435" t="s">
        <v>20</v>
      </c>
      <c r="G435" t="s">
        <v>21</v>
      </c>
      <c r="H435" t="str">
        <f>"61062131"</f>
        <v>61062131</v>
      </c>
      <c r="I435" t="str">
        <f>"DE LAGE LANDEN PUBLIC FINANCE"</f>
        <v>DE LAGE LANDEN PUBLIC FINANCE</v>
      </c>
    </row>
    <row r="436" spans="1:9" x14ac:dyDescent="0.25">
      <c r="A436" s="6">
        <v>43403</v>
      </c>
      <c r="B436" t="s">
        <v>26</v>
      </c>
      <c r="C436">
        <v>59245</v>
      </c>
      <c r="D436" t="s">
        <v>153</v>
      </c>
      <c r="E436" s="7">
        <v>300</v>
      </c>
      <c r="F436" t="s">
        <v>20</v>
      </c>
      <c r="G436" t="s">
        <v>21</v>
      </c>
      <c r="H436" t="str">
        <f>"10/25/18 PF VINYL"</f>
        <v>10/25/18 PF VINYL</v>
      </c>
      <c r="I436" t="str">
        <f>"FULLER COMPANY"</f>
        <v>FULLER COMPANY</v>
      </c>
    </row>
    <row r="437" spans="1:9" x14ac:dyDescent="0.25">
      <c r="A437" s="6">
        <v>43403</v>
      </c>
      <c r="B437" t="s">
        <v>26</v>
      </c>
      <c r="C437">
        <v>59246</v>
      </c>
      <c r="D437" t="s">
        <v>83</v>
      </c>
      <c r="E437" s="7">
        <v>1047.5999999999999</v>
      </c>
      <c r="F437" t="s">
        <v>20</v>
      </c>
      <c r="G437" t="s">
        <v>21</v>
      </c>
      <c r="H437" t="str">
        <f>"532634"</f>
        <v>532634</v>
      </c>
      <c r="I437" t="str">
        <f>"APPRIVER"</f>
        <v>APPRIVER</v>
      </c>
    </row>
    <row r="438" spans="1:9" x14ac:dyDescent="0.25">
      <c r="A438" s="6">
        <v>43403</v>
      </c>
      <c r="B438" t="s">
        <v>26</v>
      </c>
      <c r="C438">
        <v>59247</v>
      </c>
      <c r="D438" t="s">
        <v>84</v>
      </c>
      <c r="E438" s="7">
        <v>4373.96</v>
      </c>
      <c r="F438" t="s">
        <v>20</v>
      </c>
      <c r="G438" t="s">
        <v>21</v>
      </c>
      <c r="H438" t="str">
        <f>"1414293"</f>
        <v>1414293</v>
      </c>
      <c r="I438" t="str">
        <f>"STANTEC CONSULTING SERVICES IN"</f>
        <v>STANTEC CONSULTING SERVICES IN</v>
      </c>
    </row>
    <row r="439" spans="1:9" x14ac:dyDescent="0.25">
      <c r="A439" s="6">
        <v>43403</v>
      </c>
      <c r="B439" t="s">
        <v>26</v>
      </c>
      <c r="C439">
        <v>59248</v>
      </c>
      <c r="D439" t="s">
        <v>85</v>
      </c>
      <c r="E439" s="7">
        <v>105.79</v>
      </c>
      <c r="F439" t="s">
        <v>20</v>
      </c>
      <c r="G439" t="s">
        <v>21</v>
      </c>
      <c r="H439" t="str">
        <f>"3932056 10/25/18"</f>
        <v>3932056 10/25/18</v>
      </c>
      <c r="I439" t="str">
        <f>"FRONTIER"</f>
        <v>FRONTIER</v>
      </c>
    </row>
    <row r="440" spans="1:9" x14ac:dyDescent="0.25">
      <c r="A440" s="6">
        <v>43403</v>
      </c>
      <c r="B440" t="s">
        <v>26</v>
      </c>
      <c r="C440">
        <v>59248</v>
      </c>
      <c r="D440" t="s">
        <v>85</v>
      </c>
      <c r="E440" s="7">
        <v>105.79</v>
      </c>
      <c r="F440" t="s">
        <v>20</v>
      </c>
      <c r="G440" t="s">
        <v>21</v>
      </c>
      <c r="H440" t="str">
        <f>"3933186 10/25/18"</f>
        <v>3933186 10/25/18</v>
      </c>
      <c r="I440" t="str">
        <f>"FRONTIER"</f>
        <v>FRONTIER</v>
      </c>
    </row>
    <row r="441" spans="1:9" x14ac:dyDescent="0.25">
      <c r="A441" s="6">
        <v>43403</v>
      </c>
      <c r="B441" t="s">
        <v>26</v>
      </c>
      <c r="C441">
        <v>59248</v>
      </c>
      <c r="D441" t="s">
        <v>85</v>
      </c>
      <c r="E441" s="7">
        <v>105.79</v>
      </c>
      <c r="F441" t="s">
        <v>20</v>
      </c>
      <c r="G441" t="s">
        <v>21</v>
      </c>
      <c r="H441" t="str">
        <f>"3939456 10/25/18"</f>
        <v>3939456 10/25/18</v>
      </c>
      <c r="I441" t="str">
        <f>"FRONTIER"</f>
        <v>FRONTIER</v>
      </c>
    </row>
    <row r="442" spans="1:9" x14ac:dyDescent="0.25">
      <c r="A442" s="6">
        <v>43403</v>
      </c>
      <c r="B442" t="s">
        <v>26</v>
      </c>
      <c r="C442">
        <v>59249</v>
      </c>
      <c r="D442" t="s">
        <v>275</v>
      </c>
      <c r="E442" s="7">
        <v>1285</v>
      </c>
      <c r="F442" t="s">
        <v>20</v>
      </c>
      <c r="G442" t="s">
        <v>21</v>
      </c>
      <c r="H442" t="str">
        <f>"40038"</f>
        <v>40038</v>
      </c>
      <c r="I442" t="str">
        <f>"CORTEZ LIQUID WASTE SERVICES"</f>
        <v>CORTEZ LIQUID WASTE SERVICES</v>
      </c>
    </row>
    <row r="443" spans="1:9" x14ac:dyDescent="0.25">
      <c r="A443" s="6">
        <v>43403</v>
      </c>
      <c r="B443" t="s">
        <v>26</v>
      </c>
      <c r="C443">
        <v>59250</v>
      </c>
      <c r="D443" t="s">
        <v>140</v>
      </c>
      <c r="E443" s="7">
        <v>800</v>
      </c>
      <c r="F443" t="s">
        <v>20</v>
      </c>
      <c r="G443" t="s">
        <v>21</v>
      </c>
      <c r="H443" t="str">
        <f>"9/11/18"</f>
        <v>9/11/18</v>
      </c>
      <c r="I443" t="str">
        <f>"DEBRA J. DOCKERY"</f>
        <v>DEBRA J. DOCKERY</v>
      </c>
    </row>
    <row r="444" spans="1:9" x14ac:dyDescent="0.25">
      <c r="A444" s="6">
        <v>43403</v>
      </c>
      <c r="B444" t="s">
        <v>26</v>
      </c>
      <c r="C444">
        <v>59251</v>
      </c>
      <c r="D444" t="s">
        <v>176</v>
      </c>
      <c r="E444" s="7">
        <v>32299.5</v>
      </c>
      <c r="F444" t="s">
        <v>20</v>
      </c>
      <c r="G444" t="s">
        <v>21</v>
      </c>
      <c r="H444" t="str">
        <f>"APP #22"</f>
        <v>APP #22</v>
      </c>
      <c r="I444" t="str">
        <f>"PEPPER-LAWSON WATERWORKS"</f>
        <v>PEPPER-LAWSON WATERWORKS</v>
      </c>
    </row>
    <row r="445" spans="1:9" x14ac:dyDescent="0.25">
      <c r="A445" s="6">
        <v>43403</v>
      </c>
      <c r="B445" t="s">
        <v>26</v>
      </c>
      <c r="C445">
        <v>59252</v>
      </c>
      <c r="D445" t="s">
        <v>195</v>
      </c>
      <c r="E445" s="7">
        <v>903.45</v>
      </c>
      <c r="F445" t="s">
        <v>20</v>
      </c>
      <c r="G445" t="s">
        <v>21</v>
      </c>
      <c r="H445" t="str">
        <f>"1565201810"</f>
        <v>1565201810</v>
      </c>
      <c r="I445" t="str">
        <f>"ARISTA INFORMATION SYSTEMS  IN"</f>
        <v>ARISTA INFORMATION SYSTEMS  IN</v>
      </c>
    </row>
    <row r="446" spans="1:9" x14ac:dyDescent="0.25">
      <c r="A446" s="6">
        <v>43403</v>
      </c>
      <c r="B446" t="s">
        <v>26</v>
      </c>
      <c r="C446">
        <v>59252</v>
      </c>
      <c r="D446" t="s">
        <v>195</v>
      </c>
      <c r="E446" s="7">
        <v>903.45</v>
      </c>
      <c r="F446" t="s">
        <v>20</v>
      </c>
      <c r="G446" t="s">
        <v>21</v>
      </c>
      <c r="H446" t="str">
        <f>"26247"</f>
        <v>26247</v>
      </c>
      <c r="I446" t="str">
        <f>"ARISTA INFORMATION SYSTEMS  IN"</f>
        <v>ARISTA INFORMATION SYSTEMS  IN</v>
      </c>
    </row>
    <row r="447" spans="1:9" x14ac:dyDescent="0.25">
      <c r="A447" s="6">
        <v>43403</v>
      </c>
      <c r="B447" t="s">
        <v>26</v>
      </c>
      <c r="C447">
        <v>59253</v>
      </c>
      <c r="D447" t="s">
        <v>345</v>
      </c>
      <c r="E447" s="7">
        <v>280.5</v>
      </c>
      <c r="F447" t="s">
        <v>20</v>
      </c>
      <c r="G447" t="s">
        <v>21</v>
      </c>
      <c r="H447" t="str">
        <f>"10/29/18"</f>
        <v>10/29/18</v>
      </c>
      <c r="I447" t="str">
        <f>"MICHAEL ISAAC MARTINEZ"</f>
        <v>MICHAEL ISAAC MARTINEZ</v>
      </c>
    </row>
    <row r="448" spans="1:9" x14ac:dyDescent="0.25">
      <c r="A448" s="6">
        <v>43403</v>
      </c>
      <c r="B448" t="s">
        <v>26</v>
      </c>
      <c r="C448">
        <v>59254</v>
      </c>
      <c r="D448" t="s">
        <v>580</v>
      </c>
      <c r="E448" s="7">
        <v>55</v>
      </c>
      <c r="F448" t="s">
        <v>20</v>
      </c>
      <c r="G448" t="s">
        <v>21</v>
      </c>
      <c r="H448" t="str">
        <f t="shared" ref="H448:H458" si="1">"TRNG REFUND"</f>
        <v>TRNG REFUND</v>
      </c>
      <c r="I448" t="str">
        <f>"SAMUEL SANTOS"</f>
        <v>SAMUEL SANTOS</v>
      </c>
    </row>
    <row r="449" spans="1:9" x14ac:dyDescent="0.25">
      <c r="A449" s="6">
        <v>43403</v>
      </c>
      <c r="B449" t="s">
        <v>26</v>
      </c>
      <c r="C449">
        <v>59255</v>
      </c>
      <c r="D449" t="s">
        <v>581</v>
      </c>
      <c r="E449" s="7">
        <v>100</v>
      </c>
      <c r="F449" t="s">
        <v>20</v>
      </c>
      <c r="G449" t="s">
        <v>21</v>
      </c>
      <c r="H449" t="str">
        <f t="shared" si="1"/>
        <v>TRNG REFUND</v>
      </c>
      <c r="I449" t="str">
        <f>"LAUREN PEEBLES"</f>
        <v>LAUREN PEEBLES</v>
      </c>
    </row>
    <row r="450" spans="1:9" x14ac:dyDescent="0.25">
      <c r="A450" s="6">
        <v>43403</v>
      </c>
      <c r="B450" t="s">
        <v>26</v>
      </c>
      <c r="C450">
        <v>59256</v>
      </c>
      <c r="D450" t="s">
        <v>582</v>
      </c>
      <c r="E450" s="7">
        <v>200</v>
      </c>
      <c r="F450" t="s">
        <v>20</v>
      </c>
      <c r="G450" t="s">
        <v>21</v>
      </c>
      <c r="H450" t="str">
        <f t="shared" si="1"/>
        <v>TRNG REFUND</v>
      </c>
      <c r="I450" t="str">
        <f>"LUKE PIERCE"</f>
        <v>LUKE PIERCE</v>
      </c>
    </row>
    <row r="451" spans="1:9" x14ac:dyDescent="0.25">
      <c r="A451" s="6">
        <v>43403</v>
      </c>
      <c r="B451" t="s">
        <v>26</v>
      </c>
      <c r="C451">
        <v>59257</v>
      </c>
      <c r="D451" t="s">
        <v>583</v>
      </c>
      <c r="E451" s="7">
        <v>100</v>
      </c>
      <c r="F451" t="s">
        <v>20</v>
      </c>
      <c r="G451" t="s">
        <v>21</v>
      </c>
      <c r="H451" t="str">
        <f t="shared" si="1"/>
        <v>TRNG REFUND</v>
      </c>
      <c r="I451" t="str">
        <f>"SOPHIA SANTOS"</f>
        <v>SOPHIA SANTOS</v>
      </c>
    </row>
    <row r="452" spans="1:9" x14ac:dyDescent="0.25">
      <c r="A452" s="6">
        <v>43403</v>
      </c>
      <c r="B452" t="s">
        <v>26</v>
      </c>
      <c r="C452">
        <v>59258</v>
      </c>
      <c r="D452" t="s">
        <v>584</v>
      </c>
      <c r="E452" s="7">
        <v>100</v>
      </c>
      <c r="F452" t="s">
        <v>20</v>
      </c>
      <c r="G452" t="s">
        <v>21</v>
      </c>
      <c r="H452" t="str">
        <f t="shared" si="1"/>
        <v>TRNG REFUND</v>
      </c>
      <c r="I452" t="str">
        <f>"AMANDA SENDEJO"</f>
        <v>AMANDA SENDEJO</v>
      </c>
    </row>
    <row r="453" spans="1:9" x14ac:dyDescent="0.25">
      <c r="A453" s="6">
        <v>43403</v>
      </c>
      <c r="B453" t="s">
        <v>26</v>
      </c>
      <c r="C453">
        <v>59259</v>
      </c>
      <c r="D453" t="s">
        <v>585</v>
      </c>
      <c r="E453" s="7">
        <v>75</v>
      </c>
      <c r="F453" t="s">
        <v>20</v>
      </c>
      <c r="G453" t="s">
        <v>21</v>
      </c>
      <c r="H453" t="str">
        <f t="shared" si="1"/>
        <v>TRNG REFUND</v>
      </c>
      <c r="I453" t="str">
        <f>"JULES PAVLISKA"</f>
        <v>JULES PAVLISKA</v>
      </c>
    </row>
    <row r="454" spans="1:9" x14ac:dyDescent="0.25">
      <c r="A454" s="6">
        <v>43403</v>
      </c>
      <c r="B454" t="s">
        <v>26</v>
      </c>
      <c r="C454">
        <v>59260</v>
      </c>
      <c r="D454" t="s">
        <v>586</v>
      </c>
      <c r="E454" s="7">
        <v>75</v>
      </c>
      <c r="F454" t="s">
        <v>20</v>
      </c>
      <c r="G454" t="s">
        <v>21</v>
      </c>
      <c r="H454" t="str">
        <f t="shared" si="1"/>
        <v>TRNG REFUND</v>
      </c>
      <c r="I454" t="str">
        <f>"NATHANIEL BENAVIDES"</f>
        <v>NATHANIEL BENAVIDES</v>
      </c>
    </row>
    <row r="455" spans="1:9" x14ac:dyDescent="0.25">
      <c r="A455" s="6">
        <v>43403</v>
      </c>
      <c r="B455" t="s">
        <v>26</v>
      </c>
      <c r="C455">
        <v>59261</v>
      </c>
      <c r="D455" t="s">
        <v>587</v>
      </c>
      <c r="E455" s="7">
        <v>75</v>
      </c>
      <c r="F455" t="s">
        <v>20</v>
      </c>
      <c r="G455" t="s">
        <v>21</v>
      </c>
      <c r="H455" t="str">
        <f t="shared" si="1"/>
        <v>TRNG REFUND</v>
      </c>
      <c r="I455" t="str">
        <f>"VERONICA HANDOWSKI"</f>
        <v>VERONICA HANDOWSKI</v>
      </c>
    </row>
    <row r="456" spans="1:9" x14ac:dyDescent="0.25">
      <c r="A456" s="6">
        <v>43403</v>
      </c>
      <c r="B456" t="s">
        <v>26</v>
      </c>
      <c r="C456">
        <v>59262</v>
      </c>
      <c r="D456" t="s">
        <v>588</v>
      </c>
      <c r="E456" s="7">
        <v>75</v>
      </c>
      <c r="F456" t="s">
        <v>20</v>
      </c>
      <c r="G456" t="s">
        <v>21</v>
      </c>
      <c r="H456" t="str">
        <f t="shared" si="1"/>
        <v>TRNG REFUND</v>
      </c>
      <c r="I456" t="str">
        <f>"JAMES MEYER"</f>
        <v>JAMES MEYER</v>
      </c>
    </row>
    <row r="457" spans="1:9" x14ac:dyDescent="0.25">
      <c r="A457" s="6">
        <v>43403</v>
      </c>
      <c r="B457" t="s">
        <v>26</v>
      </c>
      <c r="C457">
        <v>59263</v>
      </c>
      <c r="D457" t="s">
        <v>589</v>
      </c>
      <c r="E457" s="7">
        <v>75</v>
      </c>
      <c r="F457" t="s">
        <v>20</v>
      </c>
      <c r="G457" t="s">
        <v>21</v>
      </c>
      <c r="H457" t="str">
        <f t="shared" si="1"/>
        <v>TRNG REFUND</v>
      </c>
      <c r="I457" t="str">
        <f>"ABRAM WIATREK"</f>
        <v>ABRAM WIATREK</v>
      </c>
    </row>
    <row r="458" spans="1:9" x14ac:dyDescent="0.25">
      <c r="A458" s="6">
        <v>43403</v>
      </c>
      <c r="B458" t="s">
        <v>26</v>
      </c>
      <c r="C458">
        <v>59264</v>
      </c>
      <c r="D458" t="s">
        <v>590</v>
      </c>
      <c r="E458" s="7">
        <v>55</v>
      </c>
      <c r="F458" t="s">
        <v>20</v>
      </c>
      <c r="G458" t="s">
        <v>21</v>
      </c>
      <c r="H458" t="str">
        <f t="shared" si="1"/>
        <v>TRNG REFUND</v>
      </c>
      <c r="I458" t="str">
        <f>"RICHARD MARRERO"</f>
        <v>RICHARD MARRERO</v>
      </c>
    </row>
    <row r="459" spans="1:9" x14ac:dyDescent="0.25">
      <c r="A459" s="6">
        <v>43403</v>
      </c>
      <c r="B459" t="s">
        <v>26</v>
      </c>
      <c r="C459">
        <v>59265</v>
      </c>
      <c r="D459" t="s">
        <v>452</v>
      </c>
      <c r="E459" s="7">
        <v>150</v>
      </c>
      <c r="F459" t="s">
        <v>20</v>
      </c>
      <c r="G459" t="s">
        <v>21</v>
      </c>
      <c r="H459" t="str">
        <f>"10/27/18"</f>
        <v>10/27/18</v>
      </c>
      <c r="I459" t="str">
        <f>"DESIREE PEREZ"</f>
        <v>DESIREE PEREZ</v>
      </c>
    </row>
    <row r="460" spans="1:9" x14ac:dyDescent="0.25">
      <c r="A460" s="6">
        <v>43403</v>
      </c>
      <c r="B460" t="s">
        <v>26</v>
      </c>
      <c r="C460">
        <v>59266</v>
      </c>
      <c r="D460" t="s">
        <v>539</v>
      </c>
      <c r="E460" s="7">
        <v>60</v>
      </c>
      <c r="F460" t="s">
        <v>20</v>
      </c>
      <c r="G460" t="s">
        <v>21</v>
      </c>
      <c r="H460" t="str">
        <f>"10/27/18"</f>
        <v>10/27/18</v>
      </c>
      <c r="I460" t="str">
        <f>"YVONNE G GARCIA"</f>
        <v>YVONNE G GARCIA</v>
      </c>
    </row>
    <row r="461" spans="1:9" x14ac:dyDescent="0.25">
      <c r="A461" s="6">
        <v>43403</v>
      </c>
      <c r="B461" t="s">
        <v>26</v>
      </c>
      <c r="C461">
        <v>59267</v>
      </c>
      <c r="D461" t="s">
        <v>568</v>
      </c>
      <c r="E461" s="7">
        <v>240</v>
      </c>
      <c r="F461" t="s">
        <v>20</v>
      </c>
      <c r="G461" t="s">
        <v>21</v>
      </c>
      <c r="H461" t="str">
        <f>"5149669"</f>
        <v>5149669</v>
      </c>
      <c r="I461" t="str">
        <f>"TIRE HUB"</f>
        <v>TIRE HUB</v>
      </c>
    </row>
    <row r="462" spans="1:9" x14ac:dyDescent="0.25">
      <c r="A462" s="6">
        <v>43403</v>
      </c>
      <c r="B462" t="s">
        <v>26</v>
      </c>
      <c r="C462">
        <v>59268</v>
      </c>
      <c r="D462" t="s">
        <v>574</v>
      </c>
      <c r="E462" s="7">
        <v>100</v>
      </c>
      <c r="F462" t="s">
        <v>20</v>
      </c>
      <c r="G462" t="s">
        <v>21</v>
      </c>
      <c r="H462" t="str">
        <f>"10/27/18"</f>
        <v>10/27/18</v>
      </c>
      <c r="I462" t="str">
        <f>"ERICA LOPEZ"</f>
        <v>ERICA LOPEZ</v>
      </c>
    </row>
    <row r="463" spans="1:9" x14ac:dyDescent="0.25">
      <c r="A463" s="6">
        <v>43403</v>
      </c>
      <c r="B463" t="s">
        <v>26</v>
      </c>
      <c r="C463">
        <v>59269</v>
      </c>
      <c r="D463" t="s">
        <v>591</v>
      </c>
      <c r="E463" s="7">
        <v>125</v>
      </c>
      <c r="F463" t="s">
        <v>20</v>
      </c>
      <c r="G463" t="s">
        <v>21</v>
      </c>
      <c r="H463" t="str">
        <f t="shared" ref="H463:H470" si="2">"TRNG REFUND"</f>
        <v>TRNG REFUND</v>
      </c>
      <c r="I463" t="str">
        <f>"HEATHER MEYER"</f>
        <v>HEATHER MEYER</v>
      </c>
    </row>
    <row r="464" spans="1:9" x14ac:dyDescent="0.25">
      <c r="A464" s="6">
        <v>43403</v>
      </c>
      <c r="B464" t="s">
        <v>26</v>
      </c>
      <c r="C464">
        <v>59270</v>
      </c>
      <c r="D464" t="s">
        <v>592</v>
      </c>
      <c r="E464" s="7">
        <v>75</v>
      </c>
      <c r="F464" t="s">
        <v>20</v>
      </c>
      <c r="G464" t="s">
        <v>21</v>
      </c>
      <c r="H464" t="str">
        <f t="shared" si="2"/>
        <v>TRNG REFUND</v>
      </c>
      <c r="I464" t="str">
        <f>"JOEL PAVLISKA"</f>
        <v>JOEL PAVLISKA</v>
      </c>
    </row>
    <row r="465" spans="1:9" x14ac:dyDescent="0.25">
      <c r="A465" s="6">
        <v>43403</v>
      </c>
      <c r="B465" t="s">
        <v>26</v>
      </c>
      <c r="C465">
        <v>59271</v>
      </c>
      <c r="D465" t="s">
        <v>593</v>
      </c>
      <c r="E465" s="7">
        <v>100</v>
      </c>
      <c r="F465" t="s">
        <v>20</v>
      </c>
      <c r="G465" t="s">
        <v>21</v>
      </c>
      <c r="H465" t="str">
        <f t="shared" si="2"/>
        <v>TRNG REFUND</v>
      </c>
      <c r="I465" t="str">
        <f>"LAUREN CLANCY"</f>
        <v>LAUREN CLANCY</v>
      </c>
    </row>
    <row r="466" spans="1:9" x14ac:dyDescent="0.25">
      <c r="A466" s="6">
        <v>43403</v>
      </c>
      <c r="B466" t="s">
        <v>26</v>
      </c>
      <c r="C466">
        <v>59272</v>
      </c>
      <c r="D466" t="s">
        <v>594</v>
      </c>
      <c r="E466" s="7">
        <v>137.5</v>
      </c>
      <c r="F466" t="s">
        <v>20</v>
      </c>
      <c r="G466" t="s">
        <v>21</v>
      </c>
      <c r="H466" t="str">
        <f t="shared" si="2"/>
        <v>TRNG REFUND</v>
      </c>
      <c r="I466" t="str">
        <f>"GUNTER CLEMENTS"</f>
        <v>GUNTER CLEMENTS</v>
      </c>
    </row>
    <row r="467" spans="1:9" x14ac:dyDescent="0.25">
      <c r="A467" s="6">
        <v>43403</v>
      </c>
      <c r="B467" t="s">
        <v>26</v>
      </c>
      <c r="C467">
        <v>59273</v>
      </c>
      <c r="D467" t="s">
        <v>595</v>
      </c>
      <c r="E467" s="7">
        <v>100</v>
      </c>
      <c r="F467" t="s">
        <v>20</v>
      </c>
      <c r="G467" t="s">
        <v>21</v>
      </c>
      <c r="H467" t="str">
        <f t="shared" si="2"/>
        <v>TRNG REFUND</v>
      </c>
      <c r="I467" t="str">
        <f>"ELIJAH NELSON"</f>
        <v>ELIJAH NELSON</v>
      </c>
    </row>
    <row r="468" spans="1:9" x14ac:dyDescent="0.25">
      <c r="A468" s="6">
        <v>43403</v>
      </c>
      <c r="B468" t="s">
        <v>26</v>
      </c>
      <c r="C468">
        <v>59274</v>
      </c>
      <c r="D468" t="s">
        <v>596</v>
      </c>
      <c r="E468" s="7">
        <v>100</v>
      </c>
      <c r="F468" t="s">
        <v>20</v>
      </c>
      <c r="G468" t="s">
        <v>21</v>
      </c>
      <c r="H468" t="str">
        <f t="shared" si="2"/>
        <v>TRNG REFUND</v>
      </c>
      <c r="I468" t="str">
        <f>"GRACE PIERCE"</f>
        <v>GRACE PIERCE</v>
      </c>
    </row>
    <row r="469" spans="1:9" x14ac:dyDescent="0.25">
      <c r="A469" s="6">
        <v>43403</v>
      </c>
      <c r="B469" t="s">
        <v>26</v>
      </c>
      <c r="C469">
        <v>59275</v>
      </c>
      <c r="D469" t="s">
        <v>597</v>
      </c>
      <c r="E469" s="7">
        <v>100</v>
      </c>
      <c r="F469" t="s">
        <v>20</v>
      </c>
      <c r="G469" t="s">
        <v>21</v>
      </c>
      <c r="H469" t="str">
        <f t="shared" si="2"/>
        <v>TRNG REFUND</v>
      </c>
      <c r="I469" t="str">
        <f>"ADRIAN SANCHEZ"</f>
        <v>ADRIAN SANCHEZ</v>
      </c>
    </row>
    <row r="470" spans="1:9" x14ac:dyDescent="0.25">
      <c r="A470" s="6">
        <v>43403</v>
      </c>
      <c r="B470" t="s">
        <v>26</v>
      </c>
      <c r="C470">
        <v>59276</v>
      </c>
      <c r="D470" t="s">
        <v>598</v>
      </c>
      <c r="E470" s="7">
        <v>100</v>
      </c>
      <c r="F470" t="s">
        <v>20</v>
      </c>
      <c r="G470" t="s">
        <v>21</v>
      </c>
      <c r="H470" t="str">
        <f t="shared" si="2"/>
        <v>TRNG REFUND</v>
      </c>
      <c r="I470" t="str">
        <f>"CONNOR WEST"</f>
        <v>CONNOR WEST</v>
      </c>
    </row>
    <row r="471" spans="1:9" x14ac:dyDescent="0.25">
      <c r="A471" s="6">
        <v>43403</v>
      </c>
      <c r="B471" t="s">
        <v>26</v>
      </c>
      <c r="C471">
        <v>59277</v>
      </c>
      <c r="D471" t="s">
        <v>599</v>
      </c>
      <c r="E471" s="7">
        <v>107595.1</v>
      </c>
      <c r="F471" t="s">
        <v>20</v>
      </c>
      <c r="G471" t="s">
        <v>21</v>
      </c>
      <c r="H471" t="str">
        <f>"APP. #1"</f>
        <v>APP. #1</v>
      </c>
      <c r="I471" t="str">
        <f>"METER INSTALL GROUP  LLC."</f>
        <v>METER INSTALL GROUP  LLC.</v>
      </c>
    </row>
    <row r="472" spans="1:9" x14ac:dyDescent="0.25">
      <c r="A472" s="6">
        <v>43405</v>
      </c>
      <c r="B472" t="s">
        <v>26</v>
      </c>
      <c r="C472">
        <v>59278</v>
      </c>
      <c r="D472" t="s">
        <v>59</v>
      </c>
      <c r="E472" s="7">
        <v>2883.55</v>
      </c>
      <c r="F472" t="s">
        <v>20</v>
      </c>
      <c r="G472" t="s">
        <v>21</v>
      </c>
      <c r="H472" t="str">
        <f>"0987774*"</f>
        <v>0987774*</v>
      </c>
      <c r="I472" t="str">
        <f>"FERGUSON WATERWORKS - MUNICIPA"</f>
        <v>FERGUSON WATERWORKS - MUNICIPA</v>
      </c>
    </row>
    <row r="473" spans="1:9" x14ac:dyDescent="0.25">
      <c r="A473" s="6">
        <v>43405</v>
      </c>
      <c r="B473" t="s">
        <v>26</v>
      </c>
      <c r="C473">
        <v>59278</v>
      </c>
      <c r="D473" t="s">
        <v>59</v>
      </c>
      <c r="E473" s="7">
        <v>2883.55</v>
      </c>
      <c r="F473" t="s">
        <v>20</v>
      </c>
      <c r="G473" t="s">
        <v>21</v>
      </c>
      <c r="H473" t="str">
        <f>"0987775*"</f>
        <v>0987775*</v>
      </c>
      <c r="I473" t="str">
        <f>"FERGUSON WATERWORKS - MUNICIPA"</f>
        <v>FERGUSON WATERWORKS - MUNICIPA</v>
      </c>
    </row>
    <row r="474" spans="1:9" x14ac:dyDescent="0.25">
      <c r="A474" s="6">
        <v>43405</v>
      </c>
      <c r="B474" t="s">
        <v>26</v>
      </c>
      <c r="C474">
        <v>59279</v>
      </c>
      <c r="D474" t="s">
        <v>105</v>
      </c>
      <c r="E474" s="7">
        <v>49</v>
      </c>
      <c r="F474" t="s">
        <v>20</v>
      </c>
      <c r="G474" t="s">
        <v>21</v>
      </c>
      <c r="H474" t="str">
        <f>"304103*"</f>
        <v>304103*</v>
      </c>
      <c r="I474" t="str">
        <f t="shared" ref="I474:I479" si="3">"LUBE WORKS"</f>
        <v>LUBE WORKS</v>
      </c>
    </row>
    <row r="475" spans="1:9" x14ac:dyDescent="0.25">
      <c r="A475" s="6">
        <v>43405</v>
      </c>
      <c r="B475" t="s">
        <v>26</v>
      </c>
      <c r="C475">
        <v>59279</v>
      </c>
      <c r="D475" t="s">
        <v>105</v>
      </c>
      <c r="E475" s="7">
        <v>49</v>
      </c>
      <c r="F475" t="s">
        <v>20</v>
      </c>
      <c r="G475" t="s">
        <v>21</v>
      </c>
      <c r="H475" t="str">
        <f>"304154"</f>
        <v>304154</v>
      </c>
      <c r="I475" t="str">
        <f t="shared" si="3"/>
        <v>LUBE WORKS</v>
      </c>
    </row>
    <row r="476" spans="1:9" x14ac:dyDescent="0.25">
      <c r="A476" s="6">
        <v>43405</v>
      </c>
      <c r="B476" t="s">
        <v>26</v>
      </c>
      <c r="C476">
        <v>59279</v>
      </c>
      <c r="D476" t="s">
        <v>105</v>
      </c>
      <c r="E476" s="7">
        <v>49</v>
      </c>
      <c r="F476" t="s">
        <v>20</v>
      </c>
      <c r="G476" t="s">
        <v>21</v>
      </c>
      <c r="H476" t="str">
        <f>"304156*"</f>
        <v>304156*</v>
      </c>
      <c r="I476" t="str">
        <f t="shared" si="3"/>
        <v>LUBE WORKS</v>
      </c>
    </row>
    <row r="477" spans="1:9" x14ac:dyDescent="0.25">
      <c r="A477" s="6">
        <v>43405</v>
      </c>
      <c r="B477" t="s">
        <v>26</v>
      </c>
      <c r="C477">
        <v>59279</v>
      </c>
      <c r="D477" t="s">
        <v>105</v>
      </c>
      <c r="E477" s="7">
        <v>49</v>
      </c>
      <c r="F477" t="s">
        <v>20</v>
      </c>
      <c r="G477" t="s">
        <v>21</v>
      </c>
      <c r="H477" t="str">
        <f>"304157*"</f>
        <v>304157*</v>
      </c>
      <c r="I477" t="str">
        <f t="shared" si="3"/>
        <v>LUBE WORKS</v>
      </c>
    </row>
    <row r="478" spans="1:9" x14ac:dyDescent="0.25">
      <c r="A478" s="6">
        <v>43405</v>
      </c>
      <c r="B478" t="s">
        <v>26</v>
      </c>
      <c r="C478">
        <v>59279</v>
      </c>
      <c r="D478" t="s">
        <v>105</v>
      </c>
      <c r="E478" s="7">
        <v>49</v>
      </c>
      <c r="F478" t="s">
        <v>20</v>
      </c>
      <c r="G478" t="s">
        <v>21</v>
      </c>
      <c r="H478" t="str">
        <f>"304158*"</f>
        <v>304158*</v>
      </c>
      <c r="I478" t="str">
        <f t="shared" si="3"/>
        <v>LUBE WORKS</v>
      </c>
    </row>
    <row r="479" spans="1:9" x14ac:dyDescent="0.25">
      <c r="A479" s="6">
        <v>43405</v>
      </c>
      <c r="B479" t="s">
        <v>26</v>
      </c>
      <c r="C479">
        <v>59279</v>
      </c>
      <c r="D479" t="s">
        <v>105</v>
      </c>
      <c r="E479" s="7">
        <v>49</v>
      </c>
      <c r="F479" t="s">
        <v>20</v>
      </c>
      <c r="G479" t="s">
        <v>21</v>
      </c>
      <c r="H479" t="str">
        <f>"304597*"</f>
        <v>304597*</v>
      </c>
      <c r="I479" t="str">
        <f t="shared" si="3"/>
        <v>LUBE WORKS</v>
      </c>
    </row>
    <row r="480" spans="1:9" x14ac:dyDescent="0.25">
      <c r="A480" s="6">
        <v>43405</v>
      </c>
      <c r="B480" t="s">
        <v>26</v>
      </c>
      <c r="C480">
        <v>59280</v>
      </c>
      <c r="D480" t="s">
        <v>179</v>
      </c>
      <c r="E480" s="7">
        <v>310.38</v>
      </c>
      <c r="F480" t="s">
        <v>20</v>
      </c>
      <c r="G480" t="s">
        <v>21</v>
      </c>
      <c r="H480" t="str">
        <f>"54334F*"</f>
        <v>54334F*</v>
      </c>
      <c r="I480" t="str">
        <f>"ANCIRA FORD-MERCURY"</f>
        <v>ANCIRA FORD-MERCURY</v>
      </c>
    </row>
    <row r="481" spans="1:9" x14ac:dyDescent="0.25">
      <c r="A481" s="6">
        <v>43405</v>
      </c>
      <c r="B481" t="s">
        <v>26</v>
      </c>
      <c r="C481">
        <v>59281</v>
      </c>
      <c r="D481" t="s">
        <v>340</v>
      </c>
      <c r="E481" s="7">
        <v>257.13</v>
      </c>
      <c r="F481" t="s">
        <v>20</v>
      </c>
      <c r="G481" t="s">
        <v>21</v>
      </c>
      <c r="H481" t="str">
        <f>"1810-350480*"</f>
        <v>1810-350480*</v>
      </c>
      <c r="I481" t="str">
        <f>"O'REILLY AUTOMOTIVE  INC."</f>
        <v>O'REILLY AUTOMOTIVE  INC.</v>
      </c>
    </row>
    <row r="482" spans="1:9" x14ac:dyDescent="0.25">
      <c r="A482" s="6">
        <v>43405</v>
      </c>
      <c r="B482" t="s">
        <v>26</v>
      </c>
      <c r="C482">
        <v>59281</v>
      </c>
      <c r="D482" t="s">
        <v>340</v>
      </c>
      <c r="E482" s="7">
        <v>257.13</v>
      </c>
      <c r="F482" t="s">
        <v>20</v>
      </c>
      <c r="G482" t="s">
        <v>21</v>
      </c>
      <c r="H482" t="str">
        <f>"1810-350695*"</f>
        <v>1810-350695*</v>
      </c>
      <c r="I482" t="str">
        <f>"O'REILLY AUTOMOTIVE  INC."</f>
        <v>O'REILLY AUTOMOTIVE  INC.</v>
      </c>
    </row>
    <row r="483" spans="1:9" x14ac:dyDescent="0.25">
      <c r="A483" s="6">
        <v>43405</v>
      </c>
      <c r="B483" t="s">
        <v>26</v>
      </c>
      <c r="C483">
        <v>59281</v>
      </c>
      <c r="D483" t="s">
        <v>340</v>
      </c>
      <c r="E483" s="7">
        <v>257.13</v>
      </c>
      <c r="F483" t="s">
        <v>20</v>
      </c>
      <c r="G483" t="s">
        <v>21</v>
      </c>
      <c r="H483" t="str">
        <f>"1810-350775*"</f>
        <v>1810-350775*</v>
      </c>
      <c r="I483" t="str">
        <f>"O'REILLY AUTOMOTIVE  INC."</f>
        <v>O'REILLY AUTOMOTIVE  INC.</v>
      </c>
    </row>
    <row r="484" spans="1:9" x14ac:dyDescent="0.25">
      <c r="A484" s="6">
        <v>43405</v>
      </c>
      <c r="B484" t="s">
        <v>26</v>
      </c>
      <c r="C484">
        <v>59281</v>
      </c>
      <c r="D484" t="s">
        <v>340</v>
      </c>
      <c r="E484" s="7">
        <v>257.13</v>
      </c>
      <c r="F484" t="s">
        <v>20</v>
      </c>
      <c r="G484" t="s">
        <v>21</v>
      </c>
      <c r="H484" t="str">
        <f>"1810-351603*"</f>
        <v>1810-351603*</v>
      </c>
      <c r="I484" t="str">
        <f>"O'REILLY AUTOMOTIVE  INC."</f>
        <v>O'REILLY AUTOMOTIVE  INC.</v>
      </c>
    </row>
    <row r="485" spans="1:9" x14ac:dyDescent="0.25">
      <c r="A485" s="6">
        <v>43405</v>
      </c>
      <c r="B485" t="s">
        <v>91</v>
      </c>
      <c r="C485">
        <v>59282</v>
      </c>
      <c r="D485" t="s">
        <v>92</v>
      </c>
      <c r="E485" s="7">
        <v>21717.17</v>
      </c>
      <c r="F485" t="s">
        <v>20</v>
      </c>
      <c r="G485" t="s">
        <v>21</v>
      </c>
      <c r="H485" t="str">
        <f>"RET201810238497"</f>
        <v>RET201810238497</v>
      </c>
      <c r="I485" t="str">
        <f>"TMRS CITY OF FLORESVILLE"</f>
        <v>TMRS CITY OF FLORESVILLE</v>
      </c>
    </row>
    <row r="486" spans="1:9" x14ac:dyDescent="0.25">
      <c r="A486" s="6">
        <v>43405</v>
      </c>
      <c r="B486" t="s">
        <v>91</v>
      </c>
      <c r="C486">
        <v>59282</v>
      </c>
      <c r="D486" t="s">
        <v>92</v>
      </c>
      <c r="E486" s="7">
        <v>21717.17</v>
      </c>
      <c r="F486" t="s">
        <v>20</v>
      </c>
      <c r="G486" t="s">
        <v>93</v>
      </c>
      <c r="H486" t="str">
        <f>"CHECK"</f>
        <v>CHECK</v>
      </c>
      <c r="I486" t="str">
        <f>""</f>
        <v/>
      </c>
    </row>
    <row r="487" spans="1:9" x14ac:dyDescent="0.25">
      <c r="A487" s="6">
        <v>43405</v>
      </c>
      <c r="B487" t="s">
        <v>26</v>
      </c>
      <c r="C487">
        <v>59284</v>
      </c>
      <c r="D487" t="s">
        <v>69</v>
      </c>
      <c r="E487" s="7">
        <v>222</v>
      </c>
      <c r="F487" t="s">
        <v>20</v>
      </c>
      <c r="G487" t="s">
        <v>21</v>
      </c>
      <c r="H487" t="str">
        <f>"3393708*"</f>
        <v>3393708*</v>
      </c>
      <c r="I487" t="str">
        <f>"EWALD TRACTOR SUPPLY"</f>
        <v>EWALD TRACTOR SUPPLY</v>
      </c>
    </row>
    <row r="488" spans="1:9" x14ac:dyDescent="0.25">
      <c r="A488" s="6">
        <v>43405</v>
      </c>
      <c r="B488" t="s">
        <v>26</v>
      </c>
      <c r="C488">
        <v>59285</v>
      </c>
      <c r="D488" t="s">
        <v>77</v>
      </c>
      <c r="E488" s="7">
        <v>3120.05</v>
      </c>
      <c r="F488" t="s">
        <v>20</v>
      </c>
      <c r="G488" t="s">
        <v>21</v>
      </c>
      <c r="H488" t="str">
        <f>"857001982-18*"</f>
        <v>857001982-18*</v>
      </c>
      <c r="I488" t="str">
        <f>"DPC INDUSTRIES  INC."</f>
        <v>DPC INDUSTRIES  INC.</v>
      </c>
    </row>
    <row r="489" spans="1:9" x14ac:dyDescent="0.25">
      <c r="A489" s="6">
        <v>43405</v>
      </c>
      <c r="B489" t="s">
        <v>26</v>
      </c>
      <c r="C489">
        <v>59285</v>
      </c>
      <c r="D489" t="s">
        <v>77</v>
      </c>
      <c r="E489" s="7">
        <v>3120.05</v>
      </c>
      <c r="F489" t="s">
        <v>20</v>
      </c>
      <c r="G489" t="s">
        <v>21</v>
      </c>
      <c r="H489" t="str">
        <f>"857001983-18*"</f>
        <v>857001983-18*</v>
      </c>
      <c r="I489" t="str">
        <f>"DPC INDUSTRIES  INC."</f>
        <v>DPC INDUSTRIES  INC.</v>
      </c>
    </row>
    <row r="490" spans="1:9" x14ac:dyDescent="0.25">
      <c r="A490" s="6">
        <v>43405</v>
      </c>
      <c r="B490" t="s">
        <v>26</v>
      </c>
      <c r="C490">
        <v>59285</v>
      </c>
      <c r="D490" t="s">
        <v>77</v>
      </c>
      <c r="E490" s="7">
        <v>3120.05</v>
      </c>
      <c r="F490" t="s">
        <v>20</v>
      </c>
      <c r="G490" t="s">
        <v>21</v>
      </c>
      <c r="H490" t="str">
        <f>"857002020-18*"</f>
        <v>857002020-18*</v>
      </c>
      <c r="I490" t="str">
        <f>"DPC INDUSTRIES  INC."</f>
        <v>DPC INDUSTRIES  INC.</v>
      </c>
    </row>
    <row r="491" spans="1:9" x14ac:dyDescent="0.25">
      <c r="A491" s="6">
        <v>43405</v>
      </c>
      <c r="B491" t="s">
        <v>26</v>
      </c>
      <c r="C491">
        <v>59285</v>
      </c>
      <c r="D491" t="s">
        <v>77</v>
      </c>
      <c r="E491" s="7">
        <v>3120.05</v>
      </c>
      <c r="F491" t="s">
        <v>20</v>
      </c>
      <c r="G491" t="s">
        <v>21</v>
      </c>
      <c r="H491" t="str">
        <f>"857002021-18*"</f>
        <v>857002021-18*</v>
      </c>
      <c r="I491" t="str">
        <f>"DPC INDUSTRIES  INC."</f>
        <v>DPC INDUSTRIES  INC.</v>
      </c>
    </row>
    <row r="492" spans="1:9" x14ac:dyDescent="0.25">
      <c r="A492" s="6">
        <v>43405</v>
      </c>
      <c r="B492" t="s">
        <v>26</v>
      </c>
      <c r="C492">
        <v>59285</v>
      </c>
      <c r="D492" t="s">
        <v>77</v>
      </c>
      <c r="E492" s="7">
        <v>3120.05</v>
      </c>
      <c r="F492" t="s">
        <v>20</v>
      </c>
      <c r="G492" t="s">
        <v>21</v>
      </c>
      <c r="H492" t="str">
        <f>"857002027-18*"</f>
        <v>857002027-18*</v>
      </c>
      <c r="I492" t="str">
        <f>"DPC INDUSTRIES  INC."</f>
        <v>DPC INDUSTRIES  INC.</v>
      </c>
    </row>
    <row r="493" spans="1:9" x14ac:dyDescent="0.25">
      <c r="A493" s="6">
        <v>43405</v>
      </c>
      <c r="B493" t="s">
        <v>26</v>
      </c>
      <c r="C493">
        <v>59286</v>
      </c>
      <c r="D493" t="s">
        <v>124</v>
      </c>
      <c r="E493" s="7">
        <v>71.08</v>
      </c>
      <c r="F493" t="s">
        <v>20</v>
      </c>
      <c r="G493" t="s">
        <v>21</v>
      </c>
      <c r="H493" t="str">
        <f>"11165643*"</f>
        <v>11165643*</v>
      </c>
      <c r="I493" t="str">
        <f>"MCCOY'S CORPORATION"</f>
        <v>MCCOY'S CORPORATION</v>
      </c>
    </row>
    <row r="494" spans="1:9" x14ac:dyDescent="0.25">
      <c r="A494" s="6">
        <v>43405</v>
      </c>
      <c r="B494" t="s">
        <v>26</v>
      </c>
      <c r="C494">
        <v>59287</v>
      </c>
      <c r="D494" t="s">
        <v>129</v>
      </c>
      <c r="E494" s="7">
        <v>241.44</v>
      </c>
      <c r="F494" t="s">
        <v>20</v>
      </c>
      <c r="G494" t="s">
        <v>21</v>
      </c>
      <c r="H494" t="str">
        <f>"P41078*"</f>
        <v>P41078*</v>
      </c>
      <c r="I494" t="str">
        <f>"AG-PRO COMPANIES"</f>
        <v>AG-PRO COMPANIES</v>
      </c>
    </row>
    <row r="495" spans="1:9" x14ac:dyDescent="0.25">
      <c r="A495" s="6">
        <v>43405</v>
      </c>
      <c r="B495" t="s">
        <v>26</v>
      </c>
      <c r="C495">
        <v>59288</v>
      </c>
      <c r="D495" t="s">
        <v>600</v>
      </c>
      <c r="E495" s="7">
        <v>60</v>
      </c>
      <c r="F495" t="s">
        <v>20</v>
      </c>
      <c r="G495" t="s">
        <v>21</v>
      </c>
      <c r="H495" t="str">
        <f>"LUNCEON 11/12/18"</f>
        <v>LUNCEON 11/12/18</v>
      </c>
      <c r="I495" t="str">
        <f>"WILSON COUNTY ADVISORY BOARD"</f>
        <v>WILSON COUNTY ADVISORY BOARD</v>
      </c>
    </row>
    <row r="496" spans="1:9" x14ac:dyDescent="0.25">
      <c r="A496" s="6">
        <v>43405</v>
      </c>
      <c r="B496" t="s">
        <v>26</v>
      </c>
      <c r="C496">
        <v>59289</v>
      </c>
      <c r="D496" t="s">
        <v>601</v>
      </c>
      <c r="E496" s="7">
        <v>125</v>
      </c>
      <c r="F496" t="s">
        <v>20</v>
      </c>
      <c r="G496" t="s">
        <v>21</v>
      </c>
      <c r="H496" t="str">
        <f>"TRND REFUND"</f>
        <v>TRND REFUND</v>
      </c>
      <c r="I496" t="str">
        <f>"MARK NICHOLS"</f>
        <v>MARK NICHOLS</v>
      </c>
    </row>
    <row r="497" spans="1:9" x14ac:dyDescent="0.25">
      <c r="A497" s="6">
        <v>43405</v>
      </c>
      <c r="B497" t="s">
        <v>26</v>
      </c>
      <c r="C497">
        <v>59290</v>
      </c>
      <c r="D497" t="s">
        <v>131</v>
      </c>
      <c r="E497" s="7">
        <v>421.34</v>
      </c>
      <c r="F497" t="s">
        <v>20</v>
      </c>
      <c r="G497" t="s">
        <v>21</v>
      </c>
      <c r="H497" t="str">
        <f>"31524-1*"</f>
        <v>31524-1*</v>
      </c>
      <c r="I497" t="str">
        <f>"R &amp; S TEXAS PARTS CO"</f>
        <v>R &amp; S TEXAS PARTS CO</v>
      </c>
    </row>
    <row r="498" spans="1:9" x14ac:dyDescent="0.25">
      <c r="A498" s="6">
        <v>43405</v>
      </c>
      <c r="B498" t="s">
        <v>26</v>
      </c>
      <c r="C498">
        <v>59291</v>
      </c>
      <c r="D498" t="s">
        <v>29</v>
      </c>
      <c r="E498" s="7">
        <v>3200</v>
      </c>
      <c r="F498" t="s">
        <v>20</v>
      </c>
      <c r="G498" t="s">
        <v>21</v>
      </c>
      <c r="H498" t="str">
        <f>"33905"</f>
        <v>33905</v>
      </c>
      <c r="I498" t="str">
        <f>"M &amp; S ENGINEERING  LLC"</f>
        <v>M &amp; S ENGINEERING  LLC</v>
      </c>
    </row>
    <row r="499" spans="1:9" x14ac:dyDescent="0.25">
      <c r="A499" s="6">
        <v>43406</v>
      </c>
      <c r="B499" t="s">
        <v>26</v>
      </c>
      <c r="C499">
        <v>59292</v>
      </c>
      <c r="D499" t="s">
        <v>90</v>
      </c>
      <c r="E499" s="7">
        <v>2169.6</v>
      </c>
      <c r="F499" t="s">
        <v>20</v>
      </c>
      <c r="G499" t="s">
        <v>329</v>
      </c>
      <c r="H499" t="str">
        <f>"11/2018"</f>
        <v>11/2018</v>
      </c>
      <c r="I499" t="str">
        <f>"AFLAC"</f>
        <v>AFLAC</v>
      </c>
    </row>
    <row r="500" spans="1:9" x14ac:dyDescent="0.25">
      <c r="A500" s="6">
        <v>43406</v>
      </c>
      <c r="B500" t="s">
        <v>26</v>
      </c>
      <c r="C500">
        <v>59292</v>
      </c>
      <c r="D500" t="s">
        <v>90</v>
      </c>
      <c r="E500" s="7">
        <v>2169.6</v>
      </c>
      <c r="F500" t="s">
        <v>20</v>
      </c>
      <c r="G500" t="s">
        <v>21</v>
      </c>
      <c r="H500" t="str">
        <f>"ACA201810088496"</f>
        <v>ACA201810088496</v>
      </c>
      <c r="I500" t="str">
        <f>"AFLAC INSURANCE"</f>
        <v>AFLAC INSURANCE</v>
      </c>
    </row>
    <row r="501" spans="1:9" x14ac:dyDescent="0.25">
      <c r="A501" s="6">
        <v>43406</v>
      </c>
      <c r="B501" t="s">
        <v>26</v>
      </c>
      <c r="C501">
        <v>59292</v>
      </c>
      <c r="D501" t="s">
        <v>90</v>
      </c>
      <c r="E501" s="7">
        <v>2169.6</v>
      </c>
      <c r="F501" t="s">
        <v>20</v>
      </c>
      <c r="G501" t="s">
        <v>21</v>
      </c>
      <c r="H501" t="str">
        <f>"ACA201810238497"</f>
        <v>ACA201810238497</v>
      </c>
      <c r="I501" t="str">
        <f>"AFLAC INSURANCE"</f>
        <v>AFLAC INSURANCE</v>
      </c>
    </row>
    <row r="502" spans="1:9" x14ac:dyDescent="0.25">
      <c r="A502" s="6">
        <v>43406</v>
      </c>
      <c r="B502" t="s">
        <v>26</v>
      </c>
      <c r="C502">
        <v>59292</v>
      </c>
      <c r="D502" t="s">
        <v>90</v>
      </c>
      <c r="E502" s="7">
        <v>2169.6</v>
      </c>
      <c r="F502" t="s">
        <v>20</v>
      </c>
      <c r="G502" t="s">
        <v>21</v>
      </c>
      <c r="H502" t="str">
        <f>"AD2201810088496"</f>
        <v>AD2201810088496</v>
      </c>
      <c r="I502" t="str">
        <f>"AFLAC INSURANCE"</f>
        <v>AFLAC INSURANCE</v>
      </c>
    </row>
    <row r="503" spans="1:9" x14ac:dyDescent="0.25">
      <c r="A503" s="6">
        <v>43406</v>
      </c>
      <c r="B503" t="s">
        <v>26</v>
      </c>
      <c r="C503">
        <v>59292</v>
      </c>
      <c r="D503" t="s">
        <v>90</v>
      </c>
      <c r="E503" s="7">
        <v>2169.6</v>
      </c>
      <c r="F503" t="s">
        <v>20</v>
      </c>
      <c r="G503" t="s">
        <v>21</v>
      </c>
      <c r="H503" t="str">
        <f>"AD2201810238497"</f>
        <v>AD2201810238497</v>
      </c>
      <c r="I503" t="str">
        <f>"AFLAC INSURANCE"</f>
        <v>AFLAC INSURANCE</v>
      </c>
    </row>
    <row r="504" spans="1:9" x14ac:dyDescent="0.25">
      <c r="A504" s="6">
        <v>43406</v>
      </c>
      <c r="B504" t="s">
        <v>26</v>
      </c>
      <c r="C504">
        <v>59292</v>
      </c>
      <c r="D504" t="s">
        <v>90</v>
      </c>
      <c r="E504" s="7">
        <v>2169.6</v>
      </c>
      <c r="F504" t="s">
        <v>20</v>
      </c>
      <c r="G504" t="s">
        <v>21</v>
      </c>
      <c r="H504" t="str">
        <f>"ADR201810088496"</f>
        <v>ADR201810088496</v>
      </c>
      <c r="I504" t="str">
        <f>"INSURANCE"</f>
        <v>INSURANCE</v>
      </c>
    </row>
    <row r="505" spans="1:9" x14ac:dyDescent="0.25">
      <c r="A505" s="6">
        <v>43406</v>
      </c>
      <c r="B505" t="s">
        <v>26</v>
      </c>
      <c r="C505">
        <v>59292</v>
      </c>
      <c r="D505" t="s">
        <v>90</v>
      </c>
      <c r="E505" s="7">
        <v>2169.6</v>
      </c>
      <c r="F505" t="s">
        <v>20</v>
      </c>
      <c r="G505" t="s">
        <v>21</v>
      </c>
      <c r="H505" t="str">
        <f>"ADR201810238497"</f>
        <v>ADR201810238497</v>
      </c>
      <c r="I505" t="str">
        <f>"INSURANCE"</f>
        <v>INSURANCE</v>
      </c>
    </row>
    <row r="506" spans="1:9" x14ac:dyDescent="0.25">
      <c r="A506" s="6">
        <v>43406</v>
      </c>
      <c r="B506" t="s">
        <v>26</v>
      </c>
      <c r="C506">
        <v>59292</v>
      </c>
      <c r="D506" t="s">
        <v>90</v>
      </c>
      <c r="E506" s="7">
        <v>2169.6</v>
      </c>
      <c r="F506" t="s">
        <v>20</v>
      </c>
      <c r="G506" t="s">
        <v>21</v>
      </c>
      <c r="H506" t="str">
        <f>"AF1201810088496"</f>
        <v>AF1201810088496</v>
      </c>
      <c r="I506" t="str">
        <f t="shared" ref="I506:I511" si="4">"AFLAC INSURANCE"</f>
        <v>AFLAC INSURANCE</v>
      </c>
    </row>
    <row r="507" spans="1:9" x14ac:dyDescent="0.25">
      <c r="A507" s="6">
        <v>43406</v>
      </c>
      <c r="B507" t="s">
        <v>26</v>
      </c>
      <c r="C507">
        <v>59292</v>
      </c>
      <c r="D507" t="s">
        <v>90</v>
      </c>
      <c r="E507" s="7">
        <v>2169.6</v>
      </c>
      <c r="F507" t="s">
        <v>20</v>
      </c>
      <c r="G507" t="s">
        <v>21</v>
      </c>
      <c r="H507" t="str">
        <f>"AF1201810238497"</f>
        <v>AF1201810238497</v>
      </c>
      <c r="I507" t="str">
        <f t="shared" si="4"/>
        <v>AFLAC INSURANCE</v>
      </c>
    </row>
    <row r="508" spans="1:9" x14ac:dyDescent="0.25">
      <c r="A508" s="6">
        <v>43406</v>
      </c>
      <c r="B508" t="s">
        <v>26</v>
      </c>
      <c r="C508">
        <v>59292</v>
      </c>
      <c r="D508" t="s">
        <v>90</v>
      </c>
      <c r="E508" s="7">
        <v>2169.6</v>
      </c>
      <c r="F508" t="s">
        <v>20</v>
      </c>
      <c r="G508" t="s">
        <v>21</v>
      </c>
      <c r="H508" t="str">
        <f>"ASP201810088496"</f>
        <v>ASP201810088496</v>
      </c>
      <c r="I508" t="str">
        <f t="shared" si="4"/>
        <v>AFLAC INSURANCE</v>
      </c>
    </row>
    <row r="509" spans="1:9" x14ac:dyDescent="0.25">
      <c r="A509" s="6">
        <v>43406</v>
      </c>
      <c r="B509" t="s">
        <v>26</v>
      </c>
      <c r="C509">
        <v>59292</v>
      </c>
      <c r="D509" t="s">
        <v>90</v>
      </c>
      <c r="E509" s="7">
        <v>2169.6</v>
      </c>
      <c r="F509" t="s">
        <v>20</v>
      </c>
      <c r="G509" t="s">
        <v>21</v>
      </c>
      <c r="H509" t="str">
        <f>"ASP201810238497"</f>
        <v>ASP201810238497</v>
      </c>
      <c r="I509" t="str">
        <f t="shared" si="4"/>
        <v>AFLAC INSURANCE</v>
      </c>
    </row>
    <row r="510" spans="1:9" x14ac:dyDescent="0.25">
      <c r="A510" s="6">
        <v>43406</v>
      </c>
      <c r="B510" t="s">
        <v>26</v>
      </c>
      <c r="C510">
        <v>59292</v>
      </c>
      <c r="D510" t="s">
        <v>90</v>
      </c>
      <c r="E510" s="7">
        <v>2169.6</v>
      </c>
      <c r="F510" t="s">
        <v>20</v>
      </c>
      <c r="G510" t="s">
        <v>21</v>
      </c>
      <c r="H510" t="str">
        <f>"HCO201810088496"</f>
        <v>HCO201810088496</v>
      </c>
      <c r="I510" t="str">
        <f t="shared" si="4"/>
        <v>AFLAC INSURANCE</v>
      </c>
    </row>
    <row r="511" spans="1:9" x14ac:dyDescent="0.25">
      <c r="A511" s="6">
        <v>43406</v>
      </c>
      <c r="B511" t="s">
        <v>26</v>
      </c>
      <c r="C511">
        <v>59292</v>
      </c>
      <c r="D511" t="s">
        <v>90</v>
      </c>
      <c r="E511" s="7">
        <v>2169.6</v>
      </c>
      <c r="F511" t="s">
        <v>20</v>
      </c>
      <c r="G511" t="s">
        <v>21</v>
      </c>
      <c r="H511" t="str">
        <f>"HCO201810238497"</f>
        <v>HCO201810238497</v>
      </c>
      <c r="I511" t="str">
        <f t="shared" si="4"/>
        <v>AFLAC INSURANCE</v>
      </c>
    </row>
    <row r="512" spans="1:9" x14ac:dyDescent="0.25">
      <c r="A512" s="6">
        <v>43406</v>
      </c>
      <c r="B512" t="s">
        <v>26</v>
      </c>
      <c r="C512">
        <v>59297</v>
      </c>
      <c r="D512" t="s">
        <v>95</v>
      </c>
      <c r="E512" s="7">
        <v>64.959999999999994</v>
      </c>
      <c r="F512" t="s">
        <v>20</v>
      </c>
      <c r="G512" t="s">
        <v>329</v>
      </c>
      <c r="H512" t="str">
        <f>"11/2018"</f>
        <v>11/2018</v>
      </c>
      <c r="I512" t="str">
        <f>"LEGAL PLANS"</f>
        <v>LEGAL PLANS</v>
      </c>
    </row>
    <row r="513" spans="1:9" x14ac:dyDescent="0.25">
      <c r="A513" s="6">
        <v>43406</v>
      </c>
      <c r="B513" t="s">
        <v>26</v>
      </c>
      <c r="C513">
        <v>59297</v>
      </c>
      <c r="D513" t="s">
        <v>95</v>
      </c>
      <c r="E513" s="7">
        <v>64.959999999999994</v>
      </c>
      <c r="F513" t="s">
        <v>20</v>
      </c>
      <c r="G513" t="s">
        <v>21</v>
      </c>
      <c r="H513" t="str">
        <f>"LEA201810088496"</f>
        <v>LEA201810088496</v>
      </c>
      <c r="I513" t="str">
        <f>"INSURANCE"</f>
        <v>INSURANCE</v>
      </c>
    </row>
    <row r="514" spans="1:9" x14ac:dyDescent="0.25">
      <c r="A514" s="6">
        <v>43406</v>
      </c>
      <c r="B514" t="s">
        <v>26</v>
      </c>
      <c r="C514">
        <v>59297</v>
      </c>
      <c r="D514" t="s">
        <v>95</v>
      </c>
      <c r="E514" s="7">
        <v>64.959999999999994</v>
      </c>
      <c r="F514" t="s">
        <v>20</v>
      </c>
      <c r="G514" t="s">
        <v>21</v>
      </c>
      <c r="H514" t="str">
        <f>"LEA201810238497"</f>
        <v>LEA201810238497</v>
      </c>
      <c r="I514" t="str">
        <f>"INSURANCE"</f>
        <v>INSURANCE</v>
      </c>
    </row>
    <row r="515" spans="1:9" x14ac:dyDescent="0.25">
      <c r="A515" s="6">
        <v>43406</v>
      </c>
      <c r="B515" t="s">
        <v>26</v>
      </c>
      <c r="C515">
        <v>59298</v>
      </c>
      <c r="D515" t="s">
        <v>96</v>
      </c>
      <c r="E515" s="7">
        <v>442.35</v>
      </c>
      <c r="F515" t="s">
        <v>20</v>
      </c>
      <c r="G515" t="s">
        <v>329</v>
      </c>
      <c r="H515" t="str">
        <f>"11/2018"</f>
        <v>11/2018</v>
      </c>
      <c r="I515" t="str">
        <f>"LEGALSHIELD"</f>
        <v>LEGALSHIELD</v>
      </c>
    </row>
    <row r="516" spans="1:9" x14ac:dyDescent="0.25">
      <c r="A516" s="6">
        <v>43406</v>
      </c>
      <c r="B516" t="s">
        <v>26</v>
      </c>
      <c r="C516">
        <v>59298</v>
      </c>
      <c r="D516" t="s">
        <v>96</v>
      </c>
      <c r="E516" s="7">
        <v>442.35</v>
      </c>
      <c r="F516" t="s">
        <v>20</v>
      </c>
      <c r="G516" t="s">
        <v>21</v>
      </c>
      <c r="H516" t="str">
        <f>"PPL201810088496"</f>
        <v>PPL201810088496</v>
      </c>
      <c r="I516" t="str">
        <f>"INSURANCE"</f>
        <v>INSURANCE</v>
      </c>
    </row>
    <row r="517" spans="1:9" x14ac:dyDescent="0.25">
      <c r="A517" s="6">
        <v>43406</v>
      </c>
      <c r="B517" t="s">
        <v>26</v>
      </c>
      <c r="C517">
        <v>59298</v>
      </c>
      <c r="D517" t="s">
        <v>96</v>
      </c>
      <c r="E517" s="7">
        <v>442.35</v>
      </c>
      <c r="F517" t="s">
        <v>20</v>
      </c>
      <c r="G517" t="s">
        <v>21</v>
      </c>
      <c r="H517" t="str">
        <f>"PPL201810238497"</f>
        <v>PPL201810238497</v>
      </c>
      <c r="I517" t="str">
        <f>"INSURANCE"</f>
        <v>INSURANCE</v>
      </c>
    </row>
    <row r="518" spans="1:9" x14ac:dyDescent="0.25">
      <c r="A518" s="6">
        <v>43406</v>
      </c>
      <c r="B518" t="s">
        <v>26</v>
      </c>
      <c r="C518">
        <v>59299</v>
      </c>
      <c r="D518" t="s">
        <v>97</v>
      </c>
      <c r="E518" s="7">
        <v>39968.67</v>
      </c>
      <c r="F518" t="s">
        <v>20</v>
      </c>
      <c r="G518" t="s">
        <v>329</v>
      </c>
      <c r="H518" t="str">
        <f>"11/2018"</f>
        <v>11/2018</v>
      </c>
      <c r="I518" t="str">
        <f>"HEALTH CARE SERVICE CORPORATIO"</f>
        <v>HEALTH CARE SERVICE CORPORATIO</v>
      </c>
    </row>
    <row r="519" spans="1:9" x14ac:dyDescent="0.25">
      <c r="A519" s="6">
        <v>43406</v>
      </c>
      <c r="B519" t="s">
        <v>26</v>
      </c>
      <c r="C519">
        <v>59299</v>
      </c>
      <c r="D519" t="s">
        <v>97</v>
      </c>
      <c r="E519" s="7">
        <v>39968.67</v>
      </c>
      <c r="F519" t="s">
        <v>20</v>
      </c>
      <c r="G519" t="s">
        <v>21</v>
      </c>
      <c r="H519" t="str">
        <f>"DEN201810238497"</f>
        <v>DEN201810238497</v>
      </c>
      <c r="I519" t="str">
        <f>"DENTAL INSURANCE"</f>
        <v>DENTAL INSURANCE</v>
      </c>
    </row>
    <row r="520" spans="1:9" x14ac:dyDescent="0.25">
      <c r="A520" s="6">
        <v>43406</v>
      </c>
      <c r="B520" t="s">
        <v>26</v>
      </c>
      <c r="C520">
        <v>59299</v>
      </c>
      <c r="D520" t="s">
        <v>97</v>
      </c>
      <c r="E520" s="7">
        <v>39968.67</v>
      </c>
      <c r="F520" t="s">
        <v>20</v>
      </c>
      <c r="G520" t="s">
        <v>21</v>
      </c>
      <c r="H520" t="str">
        <f>"MED201810238497"</f>
        <v>MED201810238497</v>
      </c>
      <c r="I520" t="str">
        <f>"HEALTH &amp; DENTAL INSURANCE"</f>
        <v>HEALTH &amp; DENTAL INSURANCE</v>
      </c>
    </row>
    <row r="521" spans="1:9" x14ac:dyDescent="0.25">
      <c r="A521" s="6">
        <v>43406</v>
      </c>
      <c r="B521" t="s">
        <v>26</v>
      </c>
      <c r="C521">
        <v>59302</v>
      </c>
      <c r="D521" t="s">
        <v>98</v>
      </c>
      <c r="E521" s="7">
        <v>5126.6400000000003</v>
      </c>
      <c r="F521" t="s">
        <v>20</v>
      </c>
      <c r="G521" t="s">
        <v>329</v>
      </c>
      <c r="H521" t="str">
        <f>"11/2018"</f>
        <v>11/2018</v>
      </c>
      <c r="I521" t="str">
        <f>"DEARBORN NATIONAL"</f>
        <v>DEARBORN NATIONAL</v>
      </c>
    </row>
    <row r="522" spans="1:9" x14ac:dyDescent="0.25">
      <c r="A522" s="6">
        <v>43406</v>
      </c>
      <c r="B522" t="s">
        <v>26</v>
      </c>
      <c r="C522">
        <v>59302</v>
      </c>
      <c r="D522" t="s">
        <v>98</v>
      </c>
      <c r="E522" s="7">
        <v>5126.6400000000003</v>
      </c>
      <c r="F522" t="s">
        <v>20</v>
      </c>
      <c r="G522" t="s">
        <v>21</v>
      </c>
      <c r="H522" t="str">
        <f>"STD201810088496"</f>
        <v>STD201810088496</v>
      </c>
      <c r="I522" t="str">
        <f>"SHORT TERM DISABILITY"</f>
        <v>SHORT TERM DISABILITY</v>
      </c>
    </row>
    <row r="523" spans="1:9" x14ac:dyDescent="0.25">
      <c r="A523" s="6">
        <v>43406</v>
      </c>
      <c r="B523" t="s">
        <v>26</v>
      </c>
      <c r="C523">
        <v>59302</v>
      </c>
      <c r="D523" t="s">
        <v>98</v>
      </c>
      <c r="E523" s="7">
        <v>5126.6400000000003</v>
      </c>
      <c r="F523" t="s">
        <v>20</v>
      </c>
      <c r="G523" t="s">
        <v>21</v>
      </c>
      <c r="H523" t="str">
        <f>"STD201810238497"</f>
        <v>STD201810238497</v>
      </c>
      <c r="I523" t="str">
        <f>"SHORT TERM DISABILITY"</f>
        <v>SHORT TERM DISABILITY</v>
      </c>
    </row>
    <row r="524" spans="1:9" x14ac:dyDescent="0.25">
      <c r="A524" s="6">
        <v>43406</v>
      </c>
      <c r="B524" t="s">
        <v>26</v>
      </c>
      <c r="C524">
        <v>59302</v>
      </c>
      <c r="D524" t="s">
        <v>98</v>
      </c>
      <c r="E524" s="7">
        <v>5126.6400000000003</v>
      </c>
      <c r="F524" t="s">
        <v>20</v>
      </c>
      <c r="G524" t="s">
        <v>21</v>
      </c>
      <c r="H524" t="str">
        <f>"VIS201810088496"</f>
        <v>VIS201810088496</v>
      </c>
      <c r="I524" t="str">
        <f>"VISION INSURANCE"</f>
        <v>VISION INSURANCE</v>
      </c>
    </row>
    <row r="525" spans="1:9" x14ac:dyDescent="0.25">
      <c r="A525" s="6">
        <v>43406</v>
      </c>
      <c r="B525" t="s">
        <v>26</v>
      </c>
      <c r="C525">
        <v>59302</v>
      </c>
      <c r="D525" t="s">
        <v>98</v>
      </c>
      <c r="E525" s="7">
        <v>5126.6400000000003</v>
      </c>
      <c r="F525" t="s">
        <v>20</v>
      </c>
      <c r="G525" t="s">
        <v>21</v>
      </c>
      <c r="H525" t="str">
        <f>"VIS201810238497"</f>
        <v>VIS201810238497</v>
      </c>
      <c r="I525" t="str">
        <f>"VISION INSURANCE"</f>
        <v>VISION INSURANCE</v>
      </c>
    </row>
    <row r="526" spans="1:9" x14ac:dyDescent="0.25">
      <c r="A526" s="6">
        <v>43406</v>
      </c>
      <c r="B526" t="s">
        <v>26</v>
      </c>
      <c r="C526">
        <v>59302</v>
      </c>
      <c r="D526" t="s">
        <v>98</v>
      </c>
      <c r="E526" s="7">
        <v>5126.6400000000003</v>
      </c>
      <c r="F526" t="s">
        <v>20</v>
      </c>
      <c r="G526" t="s">
        <v>21</v>
      </c>
      <c r="H526" t="str">
        <f>"VLC201810088496"</f>
        <v>VLC201810088496</v>
      </c>
      <c r="I526" t="str">
        <f>"CHILD LIFE INSURANCE"</f>
        <v>CHILD LIFE INSURANCE</v>
      </c>
    </row>
    <row r="527" spans="1:9" x14ac:dyDescent="0.25">
      <c r="A527" s="6">
        <v>43406</v>
      </c>
      <c r="B527" t="s">
        <v>26</v>
      </c>
      <c r="C527">
        <v>59302</v>
      </c>
      <c r="D527" t="s">
        <v>98</v>
      </c>
      <c r="E527" s="7">
        <v>5126.6400000000003</v>
      </c>
      <c r="F527" t="s">
        <v>20</v>
      </c>
      <c r="G527" t="s">
        <v>21</v>
      </c>
      <c r="H527" t="str">
        <f>"VLC201810238497"</f>
        <v>VLC201810238497</v>
      </c>
      <c r="I527" t="str">
        <f>"CHILD LIFE INSURANCE"</f>
        <v>CHILD LIFE INSURANCE</v>
      </c>
    </row>
    <row r="528" spans="1:9" x14ac:dyDescent="0.25">
      <c r="A528" s="6">
        <v>43406</v>
      </c>
      <c r="B528" t="s">
        <v>26</v>
      </c>
      <c r="C528">
        <v>59302</v>
      </c>
      <c r="D528" t="s">
        <v>98</v>
      </c>
      <c r="E528" s="7">
        <v>5126.6400000000003</v>
      </c>
      <c r="F528" t="s">
        <v>20</v>
      </c>
      <c r="G528" t="s">
        <v>21</v>
      </c>
      <c r="H528" t="str">
        <f>"VLS201810088496"</f>
        <v>VLS201810088496</v>
      </c>
      <c r="I528" t="str">
        <f>"SPOUSE LIFE"</f>
        <v>SPOUSE LIFE</v>
      </c>
    </row>
    <row r="529" spans="1:9" x14ac:dyDescent="0.25">
      <c r="A529" s="6">
        <v>43406</v>
      </c>
      <c r="B529" t="s">
        <v>26</v>
      </c>
      <c r="C529">
        <v>59302</v>
      </c>
      <c r="D529" t="s">
        <v>98</v>
      </c>
      <c r="E529" s="7">
        <v>5126.6400000000003</v>
      </c>
      <c r="F529" t="s">
        <v>20</v>
      </c>
      <c r="G529" t="s">
        <v>21</v>
      </c>
      <c r="H529" t="str">
        <f>"VLS201810238497"</f>
        <v>VLS201810238497</v>
      </c>
      <c r="I529" t="str">
        <f>"SPOUSE LIFE"</f>
        <v>SPOUSE LIFE</v>
      </c>
    </row>
    <row r="530" spans="1:9" x14ac:dyDescent="0.25">
      <c r="A530" s="6">
        <v>43406</v>
      </c>
      <c r="B530" t="s">
        <v>26</v>
      </c>
      <c r="C530">
        <v>59302</v>
      </c>
      <c r="D530" t="s">
        <v>98</v>
      </c>
      <c r="E530" s="7">
        <v>5126.6400000000003</v>
      </c>
      <c r="F530" t="s">
        <v>20</v>
      </c>
      <c r="G530" t="s">
        <v>21</v>
      </c>
      <c r="H530" t="str">
        <f>"VOE201810088496"</f>
        <v>VOE201810088496</v>
      </c>
      <c r="I530" t="str">
        <f>"EMPLOYEE LIFE"</f>
        <v>EMPLOYEE LIFE</v>
      </c>
    </row>
    <row r="531" spans="1:9" x14ac:dyDescent="0.25">
      <c r="A531" s="6">
        <v>43406</v>
      </c>
      <c r="B531" t="s">
        <v>26</v>
      </c>
      <c r="C531">
        <v>59302</v>
      </c>
      <c r="D531" t="s">
        <v>98</v>
      </c>
      <c r="E531" s="7">
        <v>5126.6400000000003</v>
      </c>
      <c r="F531" t="s">
        <v>20</v>
      </c>
      <c r="G531" t="s">
        <v>21</v>
      </c>
      <c r="H531" t="str">
        <f>"VOE201810238497"</f>
        <v>VOE201810238497</v>
      </c>
      <c r="I531" t="str">
        <f>"EMPLOYEE LIFE"</f>
        <v>EMPLOYEE LIFE</v>
      </c>
    </row>
    <row r="532" spans="1:9" x14ac:dyDescent="0.25">
      <c r="A532" s="6">
        <v>43406</v>
      </c>
      <c r="B532" t="s">
        <v>26</v>
      </c>
      <c r="C532">
        <v>59302</v>
      </c>
      <c r="D532" t="s">
        <v>98</v>
      </c>
      <c r="E532" s="7">
        <v>5126.6400000000003</v>
      </c>
      <c r="F532" t="s">
        <v>20</v>
      </c>
      <c r="G532" t="s">
        <v>21</v>
      </c>
      <c r="H532" t="str">
        <f>"VOL201810088496"</f>
        <v>VOL201810088496</v>
      </c>
      <c r="I532" t="str">
        <f>"LIFE"</f>
        <v>LIFE</v>
      </c>
    </row>
    <row r="533" spans="1:9" x14ac:dyDescent="0.25">
      <c r="A533" s="6">
        <v>43406</v>
      </c>
      <c r="B533" t="s">
        <v>26</v>
      </c>
      <c r="C533">
        <v>59302</v>
      </c>
      <c r="D533" t="s">
        <v>98</v>
      </c>
      <c r="E533" s="7">
        <v>5126.6400000000003</v>
      </c>
      <c r="F533" t="s">
        <v>20</v>
      </c>
      <c r="G533" t="s">
        <v>21</v>
      </c>
      <c r="H533" t="str">
        <f>"VOL201810238497"</f>
        <v>VOL201810238497</v>
      </c>
      <c r="I533" t="str">
        <f>"LIFE"</f>
        <v>LIFE</v>
      </c>
    </row>
    <row r="534" spans="1:9" x14ac:dyDescent="0.25">
      <c r="A534" s="6">
        <v>43410</v>
      </c>
      <c r="B534" t="s">
        <v>26</v>
      </c>
      <c r="C534">
        <v>59320</v>
      </c>
      <c r="D534" t="s">
        <v>51</v>
      </c>
      <c r="E534" s="7">
        <v>309.37</v>
      </c>
      <c r="F534" t="s">
        <v>20</v>
      </c>
      <c r="G534" t="s">
        <v>21</v>
      </c>
      <c r="H534" t="str">
        <f>"CLE201811068499"</f>
        <v>CLE201811068499</v>
      </c>
      <c r="I534" t="str">
        <f>"CLEAT ONLY DUES"</f>
        <v>CLEAT ONLY DUES</v>
      </c>
    </row>
    <row r="535" spans="1:9" x14ac:dyDescent="0.25">
      <c r="A535" s="6">
        <v>43410</v>
      </c>
      <c r="B535" t="s">
        <v>26</v>
      </c>
      <c r="C535">
        <v>59320</v>
      </c>
      <c r="D535" t="s">
        <v>51</v>
      </c>
      <c r="E535" s="7">
        <v>309.37</v>
      </c>
      <c r="F535" t="s">
        <v>20</v>
      </c>
      <c r="G535" t="s">
        <v>21</v>
      </c>
      <c r="H535" t="str">
        <f>"PDD201811068499"</f>
        <v>PDD201811068499</v>
      </c>
      <c r="I535" t="str">
        <f>"POLICE OFFICERS ASSOC DUES"</f>
        <v>POLICE OFFICERS ASSOC DUES</v>
      </c>
    </row>
    <row r="536" spans="1:9" x14ac:dyDescent="0.25">
      <c r="A536" s="6">
        <v>43410</v>
      </c>
      <c r="B536" t="s">
        <v>91</v>
      </c>
      <c r="C536">
        <v>59321</v>
      </c>
      <c r="D536" t="s">
        <v>90</v>
      </c>
      <c r="E536" s="7">
        <v>101.1</v>
      </c>
      <c r="F536" t="s">
        <v>20</v>
      </c>
      <c r="G536" t="s">
        <v>21</v>
      </c>
      <c r="H536" t="str">
        <f>"AFS201811068499"</f>
        <v>AFS201811068499</v>
      </c>
      <c r="I536" t="str">
        <f>"AFLAC STD"</f>
        <v>AFLAC STD</v>
      </c>
    </row>
    <row r="537" spans="1:9" x14ac:dyDescent="0.25">
      <c r="A537" s="6">
        <v>43410</v>
      </c>
      <c r="B537" t="s">
        <v>91</v>
      </c>
      <c r="C537">
        <v>59321</v>
      </c>
      <c r="D537" t="s">
        <v>90</v>
      </c>
      <c r="E537" s="7">
        <v>101.1</v>
      </c>
      <c r="F537" t="s">
        <v>20</v>
      </c>
      <c r="G537" t="s">
        <v>93</v>
      </c>
      <c r="H537" t="str">
        <f>"CHECK"</f>
        <v>CHECK</v>
      </c>
      <c r="I537" t="str">
        <f>""</f>
        <v/>
      </c>
    </row>
    <row r="538" spans="1:9" x14ac:dyDescent="0.25">
      <c r="A538" s="6">
        <v>43410</v>
      </c>
      <c r="B538" t="s">
        <v>26</v>
      </c>
      <c r="C538">
        <v>59322</v>
      </c>
      <c r="D538" t="s">
        <v>52</v>
      </c>
      <c r="E538" s="7">
        <v>1123.9100000000001</v>
      </c>
      <c r="F538" t="s">
        <v>20</v>
      </c>
      <c r="G538" t="s">
        <v>21</v>
      </c>
      <c r="H538" t="str">
        <f>"CPS201811068499"</f>
        <v>CPS201811068499</v>
      </c>
      <c r="I538" t="str">
        <f>"G MENDOZA 00123012032010EM5054"</f>
        <v>G MENDOZA 00123012032010EM5054</v>
      </c>
    </row>
    <row r="539" spans="1:9" x14ac:dyDescent="0.25">
      <c r="A539" s="6">
        <v>43410</v>
      </c>
      <c r="B539" t="s">
        <v>26</v>
      </c>
      <c r="C539">
        <v>59322</v>
      </c>
      <c r="D539" t="s">
        <v>52</v>
      </c>
      <c r="E539" s="7">
        <v>1123.9100000000001</v>
      </c>
      <c r="F539" t="s">
        <v>20</v>
      </c>
      <c r="G539" t="s">
        <v>21</v>
      </c>
      <c r="H539" t="str">
        <f>"CS 201811068499"</f>
        <v>CS 201811068499</v>
      </c>
      <c r="I539" t="str">
        <f>"CAUSE#98EM504113 PEGGY RIVAS"</f>
        <v>CAUSE#98EM504113 PEGGY RIVAS</v>
      </c>
    </row>
    <row r="540" spans="1:9" x14ac:dyDescent="0.25">
      <c r="A540" s="6">
        <v>43410</v>
      </c>
      <c r="B540" t="s">
        <v>26</v>
      </c>
      <c r="C540">
        <v>59322</v>
      </c>
      <c r="D540" t="s">
        <v>52</v>
      </c>
      <c r="E540" s="7">
        <v>1123.9100000000001</v>
      </c>
      <c r="F540" t="s">
        <v>20</v>
      </c>
      <c r="G540" t="s">
        <v>21</v>
      </c>
      <c r="H540" t="str">
        <f>"CSJ201811068499"</f>
        <v>CSJ201811068499</v>
      </c>
      <c r="I540" t="str">
        <f>"CAUSE# 0010185272 MARIANN GUTI"</f>
        <v>CAUSE# 0010185272 MARIANN GUTI</v>
      </c>
    </row>
    <row r="541" spans="1:9" x14ac:dyDescent="0.25">
      <c r="A541" s="6">
        <v>43410</v>
      </c>
      <c r="B541" t="s">
        <v>26</v>
      </c>
      <c r="C541">
        <v>59323</v>
      </c>
      <c r="D541" t="s">
        <v>53</v>
      </c>
      <c r="E541" s="7">
        <v>99.1</v>
      </c>
      <c r="F541" t="s">
        <v>20</v>
      </c>
      <c r="G541" t="s">
        <v>21</v>
      </c>
      <c r="H541" t="str">
        <f>"MCO201811068499"</f>
        <v>MCO201811068499</v>
      </c>
      <c r="I541" t="str">
        <f>"MONICA CORDOVA"</f>
        <v>MONICA CORDOVA</v>
      </c>
    </row>
    <row r="542" spans="1:9" x14ac:dyDescent="0.25">
      <c r="A542" s="6">
        <v>43410</v>
      </c>
      <c r="B542" t="s">
        <v>26</v>
      </c>
      <c r="C542">
        <v>59324</v>
      </c>
      <c r="D542" t="s">
        <v>54</v>
      </c>
      <c r="E542" s="7">
        <v>977.1</v>
      </c>
      <c r="F542" t="s">
        <v>20</v>
      </c>
      <c r="G542" t="s">
        <v>21</v>
      </c>
      <c r="H542" t="str">
        <f>"457201811068499"</f>
        <v>457201811068499</v>
      </c>
      <c r="I542" t="str">
        <f>"CASE # 180-60751 457B DEDUCT"</f>
        <v>CASE # 180-60751 457B DEDUCT</v>
      </c>
    </row>
    <row r="543" spans="1:9" x14ac:dyDescent="0.25">
      <c r="A543" s="6">
        <v>43413</v>
      </c>
      <c r="B543" t="s">
        <v>26</v>
      </c>
      <c r="C543">
        <v>59325</v>
      </c>
      <c r="D543" t="s">
        <v>223</v>
      </c>
      <c r="E543" s="7">
        <v>75</v>
      </c>
      <c r="F543" t="s">
        <v>20</v>
      </c>
      <c r="G543" t="s">
        <v>21</v>
      </c>
      <c r="H543" t="str">
        <f>"COUNCIL-COUNCIL"</f>
        <v>COUNCIL-COUNCIL</v>
      </c>
      <c r="I543" t="str">
        <f>""</f>
        <v/>
      </c>
    </row>
    <row r="544" spans="1:9" x14ac:dyDescent="0.25">
      <c r="A544" s="6">
        <v>43413</v>
      </c>
      <c r="B544" t="s">
        <v>26</v>
      </c>
      <c r="C544">
        <v>59326</v>
      </c>
      <c r="D544" t="s">
        <v>36</v>
      </c>
      <c r="E544" s="7">
        <v>75</v>
      </c>
      <c r="F544" t="s">
        <v>20</v>
      </c>
      <c r="G544" t="s">
        <v>21</v>
      </c>
      <c r="H544" t="str">
        <f>"COUNCIL-COUNCIL"</f>
        <v>COUNCIL-COUNCIL</v>
      </c>
      <c r="I544" t="str">
        <f>""</f>
        <v/>
      </c>
    </row>
    <row r="545" spans="1:9" x14ac:dyDescent="0.25">
      <c r="A545" s="6">
        <v>43413</v>
      </c>
      <c r="B545" t="s">
        <v>26</v>
      </c>
      <c r="C545">
        <v>59327</v>
      </c>
      <c r="D545" t="s">
        <v>37</v>
      </c>
      <c r="E545" s="7">
        <v>75</v>
      </c>
      <c r="F545" t="s">
        <v>20</v>
      </c>
      <c r="G545" t="s">
        <v>21</v>
      </c>
      <c r="H545" t="str">
        <f>"COUNCIL-COUNCIL"</f>
        <v>COUNCIL-COUNCIL</v>
      </c>
      <c r="I545" t="str">
        <f>""</f>
        <v/>
      </c>
    </row>
    <row r="546" spans="1:9" x14ac:dyDescent="0.25">
      <c r="A546" s="6">
        <v>43413</v>
      </c>
      <c r="B546" t="s">
        <v>26</v>
      </c>
      <c r="C546">
        <v>59328</v>
      </c>
      <c r="D546" t="s">
        <v>38</v>
      </c>
      <c r="E546" s="7">
        <v>100</v>
      </c>
      <c r="F546" t="s">
        <v>20</v>
      </c>
      <c r="G546" t="s">
        <v>21</v>
      </c>
      <c r="H546" t="str">
        <f>"COUNCIL-MAYOR"</f>
        <v>COUNCIL-MAYOR</v>
      </c>
      <c r="I546" t="str">
        <f>""</f>
        <v/>
      </c>
    </row>
    <row r="547" spans="1:9" x14ac:dyDescent="0.25">
      <c r="A547" s="6">
        <v>43413</v>
      </c>
      <c r="B547" t="s">
        <v>26</v>
      </c>
      <c r="C547">
        <v>59329</v>
      </c>
      <c r="D547" t="s">
        <v>39</v>
      </c>
      <c r="E547" s="7">
        <v>75</v>
      </c>
      <c r="F547" t="s">
        <v>20</v>
      </c>
      <c r="G547" t="s">
        <v>21</v>
      </c>
      <c r="H547" t="str">
        <f>"COUNCIL-COUNCIL"</f>
        <v>COUNCIL-COUNCIL</v>
      </c>
      <c r="I547" t="str">
        <f>""</f>
        <v/>
      </c>
    </row>
    <row r="548" spans="1:9" x14ac:dyDescent="0.25">
      <c r="A548" s="6">
        <v>43413</v>
      </c>
      <c r="B548" t="s">
        <v>26</v>
      </c>
      <c r="C548">
        <v>59330</v>
      </c>
      <c r="D548" t="s">
        <v>40</v>
      </c>
      <c r="E548" s="7">
        <v>75</v>
      </c>
      <c r="F548" t="s">
        <v>20</v>
      </c>
      <c r="G548" t="s">
        <v>21</v>
      </c>
      <c r="H548" t="str">
        <f>"COUNCIL-COUNCIL"</f>
        <v>COUNCIL-COUNCIL</v>
      </c>
      <c r="I548" t="str">
        <f>""</f>
        <v/>
      </c>
    </row>
    <row r="549" spans="1:9" x14ac:dyDescent="0.25">
      <c r="A549" s="6">
        <v>43411</v>
      </c>
      <c r="B549" t="s">
        <v>26</v>
      </c>
      <c r="C549">
        <v>59331</v>
      </c>
      <c r="D549" t="s">
        <v>57</v>
      </c>
      <c r="E549" s="7">
        <v>7654.15</v>
      </c>
      <c r="F549" t="s">
        <v>20</v>
      </c>
      <c r="G549" t="s">
        <v>21</v>
      </c>
      <c r="H549" t="str">
        <f>"11617 11/2018"</f>
        <v>11617 11/2018</v>
      </c>
      <c r="I549" t="str">
        <f>"F.E.L.P.S."</f>
        <v>F.E.L.P.S.</v>
      </c>
    </row>
    <row r="550" spans="1:9" x14ac:dyDescent="0.25">
      <c r="A550" s="6">
        <v>43411</v>
      </c>
      <c r="B550" t="s">
        <v>26</v>
      </c>
      <c r="C550">
        <v>59331</v>
      </c>
      <c r="D550" t="s">
        <v>57</v>
      </c>
      <c r="E550" s="7">
        <v>7654.15</v>
      </c>
      <c r="F550" t="s">
        <v>20</v>
      </c>
      <c r="G550" t="s">
        <v>21</v>
      </c>
      <c r="H550" t="str">
        <f>"33062 11/2018"</f>
        <v>33062 11/2018</v>
      </c>
      <c r="I550" t="str">
        <f>"F.E.L.P.S."</f>
        <v>F.E.L.P.S.</v>
      </c>
    </row>
    <row r="551" spans="1:9" x14ac:dyDescent="0.25">
      <c r="A551" s="6">
        <v>43411</v>
      </c>
      <c r="B551" t="s">
        <v>91</v>
      </c>
      <c r="C551">
        <v>59332</v>
      </c>
      <c r="D551" t="s">
        <v>59</v>
      </c>
      <c r="E551" s="7">
        <v>6361.79</v>
      </c>
      <c r="F551" t="s">
        <v>20</v>
      </c>
      <c r="G551" t="s">
        <v>21</v>
      </c>
      <c r="H551" t="str">
        <f>"0984221"</f>
        <v>0984221</v>
      </c>
      <c r="I551" t="str">
        <f>"WATER SUPPLIES"</f>
        <v>WATER SUPPLIES</v>
      </c>
    </row>
    <row r="552" spans="1:9" x14ac:dyDescent="0.25">
      <c r="A552" s="6">
        <v>43411</v>
      </c>
      <c r="B552" t="s">
        <v>91</v>
      </c>
      <c r="C552">
        <v>59332</v>
      </c>
      <c r="D552" t="s">
        <v>59</v>
      </c>
      <c r="E552" s="7">
        <v>6361.79</v>
      </c>
      <c r="F552" t="s">
        <v>20</v>
      </c>
      <c r="G552" t="s">
        <v>21</v>
      </c>
      <c r="H552" t="str">
        <f>"0984225"</f>
        <v>0984225</v>
      </c>
      <c r="I552" t="str">
        <f>"WATER SUPPLIES"</f>
        <v>WATER SUPPLIES</v>
      </c>
    </row>
    <row r="553" spans="1:9" x14ac:dyDescent="0.25">
      <c r="A553" s="6">
        <v>43411</v>
      </c>
      <c r="B553" t="s">
        <v>91</v>
      </c>
      <c r="C553">
        <v>59332</v>
      </c>
      <c r="D553" t="s">
        <v>59</v>
      </c>
      <c r="E553" s="7">
        <v>6361.79</v>
      </c>
      <c r="F553" t="s">
        <v>20</v>
      </c>
      <c r="G553" t="s">
        <v>21</v>
      </c>
      <c r="H553" t="str">
        <f>"0984663-1"</f>
        <v>0984663-1</v>
      </c>
      <c r="I553" t="str">
        <f>"TOOLS &amp; SUPPLIES"</f>
        <v>TOOLS &amp; SUPPLIES</v>
      </c>
    </row>
    <row r="554" spans="1:9" x14ac:dyDescent="0.25">
      <c r="A554" s="6">
        <v>43411</v>
      </c>
      <c r="B554" t="s">
        <v>91</v>
      </c>
      <c r="C554">
        <v>59332</v>
      </c>
      <c r="D554" t="s">
        <v>59</v>
      </c>
      <c r="E554" s="7">
        <v>6361.79</v>
      </c>
      <c r="F554" t="s">
        <v>20</v>
      </c>
      <c r="G554" t="s">
        <v>21</v>
      </c>
      <c r="H554" t="str">
        <f>"0986858"</f>
        <v>0986858</v>
      </c>
      <c r="I554" t="str">
        <f>"MISC GAUGES"</f>
        <v>MISC GAUGES</v>
      </c>
    </row>
    <row r="555" spans="1:9" x14ac:dyDescent="0.25">
      <c r="A555" s="6">
        <v>43411</v>
      </c>
      <c r="B555" t="s">
        <v>91</v>
      </c>
      <c r="C555">
        <v>59332</v>
      </c>
      <c r="D555" t="s">
        <v>59</v>
      </c>
      <c r="E555" s="7">
        <v>6361.79</v>
      </c>
      <c r="F555" t="s">
        <v>20</v>
      </c>
      <c r="G555" t="s">
        <v>21</v>
      </c>
      <c r="H555" t="str">
        <f>"0987773"</f>
        <v>0987773</v>
      </c>
      <c r="I555" t="str">
        <f>"VALVES"</f>
        <v>VALVES</v>
      </c>
    </row>
    <row r="556" spans="1:9" x14ac:dyDescent="0.25">
      <c r="A556" s="6">
        <v>43411</v>
      </c>
      <c r="B556" t="s">
        <v>91</v>
      </c>
      <c r="C556">
        <v>59332</v>
      </c>
      <c r="D556" t="s">
        <v>59</v>
      </c>
      <c r="E556" s="7">
        <v>6361.79</v>
      </c>
      <c r="F556" t="s">
        <v>20</v>
      </c>
      <c r="G556" t="s">
        <v>21</v>
      </c>
      <c r="H556" t="str">
        <f>"0987774"</f>
        <v>0987774</v>
      </c>
      <c r="I556" t="str">
        <f>"VALVES"</f>
        <v>VALVES</v>
      </c>
    </row>
    <row r="557" spans="1:9" x14ac:dyDescent="0.25">
      <c r="A557" s="6">
        <v>43411</v>
      </c>
      <c r="B557" t="s">
        <v>91</v>
      </c>
      <c r="C557">
        <v>59332</v>
      </c>
      <c r="D557" t="s">
        <v>59</v>
      </c>
      <c r="E557" s="7">
        <v>6361.79</v>
      </c>
      <c r="F557" t="s">
        <v>20</v>
      </c>
      <c r="G557" t="s">
        <v>21</v>
      </c>
      <c r="H557" t="str">
        <f>"0987775"</f>
        <v>0987775</v>
      </c>
      <c r="I557" t="str">
        <f>"VALVES"</f>
        <v>VALVES</v>
      </c>
    </row>
    <row r="558" spans="1:9" x14ac:dyDescent="0.25">
      <c r="A558" s="6">
        <v>43411</v>
      </c>
      <c r="B558" t="s">
        <v>91</v>
      </c>
      <c r="C558">
        <v>59332</v>
      </c>
      <c r="D558" t="s">
        <v>59</v>
      </c>
      <c r="E558" s="7">
        <v>6361.79</v>
      </c>
      <c r="F558" t="s">
        <v>20</v>
      </c>
      <c r="G558" t="s">
        <v>93</v>
      </c>
      <c r="H558" t="str">
        <f>"CHECK"</f>
        <v>CHECK</v>
      </c>
      <c r="I558" t="str">
        <f>""</f>
        <v/>
      </c>
    </row>
    <row r="559" spans="1:9" x14ac:dyDescent="0.25">
      <c r="A559" s="6">
        <v>43411</v>
      </c>
      <c r="B559" t="s">
        <v>91</v>
      </c>
      <c r="C559">
        <v>59334</v>
      </c>
      <c r="D559" t="s">
        <v>105</v>
      </c>
      <c r="E559" s="7">
        <v>42</v>
      </c>
      <c r="F559" t="s">
        <v>20</v>
      </c>
      <c r="G559" t="s">
        <v>21</v>
      </c>
      <c r="H559" t="str">
        <f>"304154/304156"</f>
        <v>304154/304156</v>
      </c>
      <c r="I559" t="str">
        <f>"STATE INSPECTIONS"</f>
        <v>STATE INSPECTIONS</v>
      </c>
    </row>
    <row r="560" spans="1:9" x14ac:dyDescent="0.25">
      <c r="A560" s="6">
        <v>43411</v>
      </c>
      <c r="B560" t="s">
        <v>91</v>
      </c>
      <c r="C560">
        <v>59334</v>
      </c>
      <c r="D560" t="s">
        <v>105</v>
      </c>
      <c r="E560" s="7">
        <v>42</v>
      </c>
      <c r="F560" t="s">
        <v>20</v>
      </c>
      <c r="G560" t="s">
        <v>21</v>
      </c>
      <c r="H560" t="str">
        <f>"304157"</f>
        <v>304157</v>
      </c>
      <c r="I560" t="str">
        <f>"STATE INSPECTIONS"</f>
        <v>STATE INSPECTIONS</v>
      </c>
    </row>
    <row r="561" spans="1:9" x14ac:dyDescent="0.25">
      <c r="A561" s="6">
        <v>43411</v>
      </c>
      <c r="B561" t="s">
        <v>91</v>
      </c>
      <c r="C561">
        <v>59334</v>
      </c>
      <c r="D561" t="s">
        <v>105</v>
      </c>
      <c r="E561" s="7">
        <v>42</v>
      </c>
      <c r="F561" t="s">
        <v>20</v>
      </c>
      <c r="G561" t="s">
        <v>21</v>
      </c>
      <c r="H561" t="str">
        <f>"304158"</f>
        <v>304158</v>
      </c>
      <c r="I561" t="str">
        <f>"STATE INSPECTIONS"</f>
        <v>STATE INSPECTIONS</v>
      </c>
    </row>
    <row r="562" spans="1:9" x14ac:dyDescent="0.25">
      <c r="A562" s="6">
        <v>43411</v>
      </c>
      <c r="B562" t="s">
        <v>91</v>
      </c>
      <c r="C562">
        <v>59334</v>
      </c>
      <c r="D562" t="s">
        <v>105</v>
      </c>
      <c r="E562" s="7">
        <v>42</v>
      </c>
      <c r="F562" t="s">
        <v>20</v>
      </c>
      <c r="G562" t="s">
        <v>21</v>
      </c>
      <c r="H562" t="str">
        <f>"304159"</f>
        <v>304159</v>
      </c>
      <c r="I562" t="str">
        <f>"STATE INSPECTIONS"</f>
        <v>STATE INSPECTIONS</v>
      </c>
    </row>
    <row r="563" spans="1:9" x14ac:dyDescent="0.25">
      <c r="A563" s="6">
        <v>43411</v>
      </c>
      <c r="B563" t="s">
        <v>91</v>
      </c>
      <c r="C563">
        <v>59334</v>
      </c>
      <c r="D563" t="s">
        <v>105</v>
      </c>
      <c r="E563" s="7">
        <v>42</v>
      </c>
      <c r="F563" t="s">
        <v>20</v>
      </c>
      <c r="G563" t="s">
        <v>21</v>
      </c>
      <c r="H563" t="str">
        <f>"304597"</f>
        <v>304597</v>
      </c>
      <c r="I563" t="str">
        <f>"STATE INSPECTION"</f>
        <v>STATE INSPECTION</v>
      </c>
    </row>
    <row r="564" spans="1:9" x14ac:dyDescent="0.25">
      <c r="A564" s="6">
        <v>43411</v>
      </c>
      <c r="B564" t="s">
        <v>91</v>
      </c>
      <c r="C564">
        <v>59334</v>
      </c>
      <c r="D564" t="s">
        <v>105</v>
      </c>
      <c r="E564" s="7">
        <v>42</v>
      </c>
      <c r="F564" t="s">
        <v>20</v>
      </c>
      <c r="G564" t="s">
        <v>93</v>
      </c>
      <c r="H564" t="str">
        <f>"CHECK"</f>
        <v>CHECK</v>
      </c>
      <c r="I564" t="str">
        <f>""</f>
        <v/>
      </c>
    </row>
    <row r="565" spans="1:9" x14ac:dyDescent="0.25">
      <c r="A565" s="6">
        <v>43411</v>
      </c>
      <c r="B565" t="s">
        <v>26</v>
      </c>
      <c r="C565">
        <v>59335</v>
      </c>
      <c r="D565" t="s">
        <v>577</v>
      </c>
      <c r="E565" s="7">
        <v>50.6</v>
      </c>
      <c r="F565" t="s">
        <v>20</v>
      </c>
      <c r="G565" t="s">
        <v>21</v>
      </c>
      <c r="H565" t="str">
        <f>"STX0041819"</f>
        <v>STX0041819</v>
      </c>
      <c r="I565" t="str">
        <f>"TCEQ - OCCUPATIONAL LICENSING"</f>
        <v>TCEQ - OCCUPATIONAL LICENSING</v>
      </c>
    </row>
    <row r="566" spans="1:9" x14ac:dyDescent="0.25">
      <c r="A566" s="6">
        <v>43411</v>
      </c>
      <c r="B566" t="s">
        <v>26</v>
      </c>
      <c r="C566">
        <v>59335</v>
      </c>
      <c r="D566" t="s">
        <v>577</v>
      </c>
      <c r="E566" s="7">
        <v>50.6</v>
      </c>
      <c r="F566" t="s">
        <v>20</v>
      </c>
      <c r="G566" t="s">
        <v>21</v>
      </c>
      <c r="H566" t="str">
        <f>"STX0041820"</f>
        <v>STX0041820</v>
      </c>
      <c r="I566" t="str">
        <f>"TCEQ - OCCUPATIONAL LICENSING"</f>
        <v>TCEQ - OCCUPATIONAL LICENSING</v>
      </c>
    </row>
    <row r="567" spans="1:9" x14ac:dyDescent="0.25">
      <c r="A567" s="6">
        <v>43411</v>
      </c>
      <c r="B567" t="s">
        <v>91</v>
      </c>
      <c r="C567">
        <v>59336</v>
      </c>
      <c r="D567" t="s">
        <v>250</v>
      </c>
      <c r="E567" s="7">
        <v>179.52</v>
      </c>
      <c r="F567" t="s">
        <v>20</v>
      </c>
      <c r="G567" t="s">
        <v>21</v>
      </c>
      <c r="H567" t="str">
        <f>"C116319"</f>
        <v>C116319</v>
      </c>
      <c r="I567" t="str">
        <f>"ROLL TOWEL"</f>
        <v>ROLL TOWEL</v>
      </c>
    </row>
    <row r="568" spans="1:9" x14ac:dyDescent="0.25">
      <c r="A568" s="6">
        <v>43411</v>
      </c>
      <c r="B568" t="s">
        <v>91</v>
      </c>
      <c r="C568">
        <v>59336</v>
      </c>
      <c r="D568" t="s">
        <v>250</v>
      </c>
      <c r="E568" s="7">
        <v>179.52</v>
      </c>
      <c r="F568" t="s">
        <v>20</v>
      </c>
      <c r="G568" t="s">
        <v>93</v>
      </c>
      <c r="H568" t="str">
        <f>"CHECK"</f>
        <v>CHECK</v>
      </c>
      <c r="I568" t="str">
        <f>""</f>
        <v/>
      </c>
    </row>
    <row r="569" spans="1:9" x14ac:dyDescent="0.25">
      <c r="A569" s="6">
        <v>43411</v>
      </c>
      <c r="B569" t="s">
        <v>26</v>
      </c>
      <c r="C569">
        <v>59337</v>
      </c>
      <c r="D569" t="s">
        <v>90</v>
      </c>
      <c r="E569" s="7">
        <v>1916.64</v>
      </c>
      <c r="F569" t="s">
        <v>20</v>
      </c>
      <c r="G569" t="s">
        <v>21</v>
      </c>
      <c r="H569" t="str">
        <f>"822339*"</f>
        <v>822339*</v>
      </c>
      <c r="I569" t="str">
        <f>"AFLAC"</f>
        <v>AFLAC</v>
      </c>
    </row>
    <row r="570" spans="1:9" x14ac:dyDescent="0.25">
      <c r="A570" s="6">
        <v>43411</v>
      </c>
      <c r="B570" t="s">
        <v>91</v>
      </c>
      <c r="C570">
        <v>59338</v>
      </c>
      <c r="D570" t="s">
        <v>179</v>
      </c>
      <c r="E570" s="7">
        <v>310.38</v>
      </c>
      <c r="F570" t="s">
        <v>20</v>
      </c>
      <c r="G570" t="s">
        <v>21</v>
      </c>
      <c r="H570" t="str">
        <f>"54334F"</f>
        <v>54334F</v>
      </c>
      <c r="I570" t="str">
        <f>"SIDE MIRROR"</f>
        <v>SIDE MIRROR</v>
      </c>
    </row>
    <row r="571" spans="1:9" x14ac:dyDescent="0.25">
      <c r="A571" s="6">
        <v>43411</v>
      </c>
      <c r="B571" t="s">
        <v>91</v>
      </c>
      <c r="C571">
        <v>59338</v>
      </c>
      <c r="D571" t="s">
        <v>179</v>
      </c>
      <c r="E571" s="7">
        <v>310.38</v>
      </c>
      <c r="F571" t="s">
        <v>20</v>
      </c>
      <c r="G571" t="s">
        <v>93</v>
      </c>
      <c r="H571" t="str">
        <f>"CHECK"</f>
        <v>CHECK</v>
      </c>
      <c r="I571" t="str">
        <f>""</f>
        <v/>
      </c>
    </row>
    <row r="572" spans="1:9" x14ac:dyDescent="0.25">
      <c r="A572" s="6">
        <v>43411</v>
      </c>
      <c r="B572" t="s">
        <v>26</v>
      </c>
      <c r="C572">
        <v>59339</v>
      </c>
      <c r="D572" t="s">
        <v>110</v>
      </c>
      <c r="E572" s="7">
        <v>7264.14</v>
      </c>
      <c r="F572" t="s">
        <v>20</v>
      </c>
      <c r="G572" t="s">
        <v>21</v>
      </c>
      <c r="H572" t="str">
        <f>"143909"</f>
        <v>143909</v>
      </c>
      <c r="I572" t="str">
        <f t="shared" ref="I572:I579" si="5">"BUREAU VERITAS NORTH AMERICA"</f>
        <v>BUREAU VERITAS NORTH AMERICA</v>
      </c>
    </row>
    <row r="573" spans="1:9" x14ac:dyDescent="0.25">
      <c r="A573" s="6">
        <v>43411</v>
      </c>
      <c r="B573" t="s">
        <v>26</v>
      </c>
      <c r="C573">
        <v>59339</v>
      </c>
      <c r="D573" t="s">
        <v>110</v>
      </c>
      <c r="E573" s="7">
        <v>7264.14</v>
      </c>
      <c r="F573" t="s">
        <v>20</v>
      </c>
      <c r="G573" t="s">
        <v>21</v>
      </c>
      <c r="H573" t="str">
        <f>"1439097"</f>
        <v>1439097</v>
      </c>
      <c r="I573" t="str">
        <f t="shared" si="5"/>
        <v>BUREAU VERITAS NORTH AMERICA</v>
      </c>
    </row>
    <row r="574" spans="1:9" x14ac:dyDescent="0.25">
      <c r="A574" s="6">
        <v>43411</v>
      </c>
      <c r="B574" t="s">
        <v>26</v>
      </c>
      <c r="C574">
        <v>59339</v>
      </c>
      <c r="D574" t="s">
        <v>110</v>
      </c>
      <c r="E574" s="7">
        <v>7264.14</v>
      </c>
      <c r="F574" t="s">
        <v>20</v>
      </c>
      <c r="G574" t="s">
        <v>21</v>
      </c>
      <c r="H574" t="str">
        <f>"1439098"</f>
        <v>1439098</v>
      </c>
      <c r="I574" t="str">
        <f t="shared" si="5"/>
        <v>BUREAU VERITAS NORTH AMERICA</v>
      </c>
    </row>
    <row r="575" spans="1:9" x14ac:dyDescent="0.25">
      <c r="A575" s="6">
        <v>43411</v>
      </c>
      <c r="B575" t="s">
        <v>26</v>
      </c>
      <c r="C575">
        <v>59339</v>
      </c>
      <c r="D575" t="s">
        <v>110</v>
      </c>
      <c r="E575" s="7">
        <v>7264.14</v>
      </c>
      <c r="F575" t="s">
        <v>20</v>
      </c>
      <c r="G575" t="s">
        <v>21</v>
      </c>
      <c r="H575" t="str">
        <f>"1439099"</f>
        <v>1439099</v>
      </c>
      <c r="I575" t="str">
        <f t="shared" si="5"/>
        <v>BUREAU VERITAS NORTH AMERICA</v>
      </c>
    </row>
    <row r="576" spans="1:9" x14ac:dyDescent="0.25">
      <c r="A576" s="6">
        <v>43411</v>
      </c>
      <c r="B576" t="s">
        <v>26</v>
      </c>
      <c r="C576">
        <v>59339</v>
      </c>
      <c r="D576" t="s">
        <v>110</v>
      </c>
      <c r="E576" s="7">
        <v>7264.14</v>
      </c>
      <c r="F576" t="s">
        <v>20</v>
      </c>
      <c r="G576" t="s">
        <v>21</v>
      </c>
      <c r="H576" t="str">
        <f>"1439100"</f>
        <v>1439100</v>
      </c>
      <c r="I576" t="str">
        <f t="shared" si="5"/>
        <v>BUREAU VERITAS NORTH AMERICA</v>
      </c>
    </row>
    <row r="577" spans="1:9" x14ac:dyDescent="0.25">
      <c r="A577" s="6">
        <v>43411</v>
      </c>
      <c r="B577" t="s">
        <v>26</v>
      </c>
      <c r="C577">
        <v>59339</v>
      </c>
      <c r="D577" t="s">
        <v>110</v>
      </c>
      <c r="E577" s="7">
        <v>7264.14</v>
      </c>
      <c r="F577" t="s">
        <v>20</v>
      </c>
      <c r="G577" t="s">
        <v>21</v>
      </c>
      <c r="H577" t="str">
        <f>"1439101"</f>
        <v>1439101</v>
      </c>
      <c r="I577" t="str">
        <f t="shared" si="5"/>
        <v>BUREAU VERITAS NORTH AMERICA</v>
      </c>
    </row>
    <row r="578" spans="1:9" x14ac:dyDescent="0.25">
      <c r="A578" s="6">
        <v>43411</v>
      </c>
      <c r="B578" t="s">
        <v>26</v>
      </c>
      <c r="C578">
        <v>59339</v>
      </c>
      <c r="D578" t="s">
        <v>110</v>
      </c>
      <c r="E578" s="7">
        <v>7264.14</v>
      </c>
      <c r="F578" t="s">
        <v>20</v>
      </c>
      <c r="G578" t="s">
        <v>21</v>
      </c>
      <c r="H578" t="str">
        <f>"1439102"</f>
        <v>1439102</v>
      </c>
      <c r="I578" t="str">
        <f t="shared" si="5"/>
        <v>BUREAU VERITAS NORTH AMERICA</v>
      </c>
    </row>
    <row r="579" spans="1:9" x14ac:dyDescent="0.25">
      <c r="A579" s="6">
        <v>43411</v>
      </c>
      <c r="B579" t="s">
        <v>26</v>
      </c>
      <c r="C579">
        <v>59339</v>
      </c>
      <c r="D579" t="s">
        <v>110</v>
      </c>
      <c r="E579" s="7">
        <v>7264.14</v>
      </c>
      <c r="F579" t="s">
        <v>20</v>
      </c>
      <c r="G579" t="s">
        <v>21</v>
      </c>
      <c r="H579" t="str">
        <f>"1439103"</f>
        <v>1439103</v>
      </c>
      <c r="I579" t="str">
        <f t="shared" si="5"/>
        <v>BUREAU VERITAS NORTH AMERICA</v>
      </c>
    </row>
    <row r="580" spans="1:9" x14ac:dyDescent="0.25">
      <c r="A580" s="6">
        <v>43411</v>
      </c>
      <c r="B580" t="s">
        <v>91</v>
      </c>
      <c r="C580">
        <v>59341</v>
      </c>
      <c r="D580" t="s">
        <v>340</v>
      </c>
      <c r="E580" s="7">
        <v>359.15</v>
      </c>
      <c r="F580" t="s">
        <v>20</v>
      </c>
      <c r="G580" t="s">
        <v>21</v>
      </c>
      <c r="H580" t="str">
        <f>"1810-345022"</f>
        <v>1810-345022</v>
      </c>
      <c r="I580" t="str">
        <f>"SEWER MACHINE"</f>
        <v>SEWER MACHINE</v>
      </c>
    </row>
    <row r="581" spans="1:9" x14ac:dyDescent="0.25">
      <c r="A581" s="6">
        <v>43411</v>
      </c>
      <c r="B581" t="s">
        <v>91</v>
      </c>
      <c r="C581">
        <v>59341</v>
      </c>
      <c r="D581" t="s">
        <v>340</v>
      </c>
      <c r="E581" s="7">
        <v>359.15</v>
      </c>
      <c r="F581" t="s">
        <v>20</v>
      </c>
      <c r="G581" t="s">
        <v>21</v>
      </c>
      <c r="H581" t="str">
        <f>"1810-350480"</f>
        <v>1810-350480</v>
      </c>
      <c r="I581" t="str">
        <f>"OIL FILTER"</f>
        <v>OIL FILTER</v>
      </c>
    </row>
    <row r="582" spans="1:9" x14ac:dyDescent="0.25">
      <c r="A582" s="6">
        <v>43411</v>
      </c>
      <c r="B582" t="s">
        <v>91</v>
      </c>
      <c r="C582">
        <v>59341</v>
      </c>
      <c r="D582" t="s">
        <v>340</v>
      </c>
      <c r="E582" s="7">
        <v>359.15</v>
      </c>
      <c r="F582" t="s">
        <v>20</v>
      </c>
      <c r="G582" t="s">
        <v>21</v>
      </c>
      <c r="H582" t="str">
        <f>"1810-350695"</f>
        <v>1810-350695</v>
      </c>
      <c r="I582" t="str">
        <f>"OIL FILTER"</f>
        <v>OIL FILTER</v>
      </c>
    </row>
    <row r="583" spans="1:9" x14ac:dyDescent="0.25">
      <c r="A583" s="6">
        <v>43411</v>
      </c>
      <c r="B583" t="s">
        <v>91</v>
      </c>
      <c r="C583">
        <v>59341</v>
      </c>
      <c r="D583" t="s">
        <v>340</v>
      </c>
      <c r="E583" s="7">
        <v>359.15</v>
      </c>
      <c r="F583" t="s">
        <v>20</v>
      </c>
      <c r="G583" t="s">
        <v>21</v>
      </c>
      <c r="H583" t="str">
        <f>"1810-350775"</f>
        <v>1810-350775</v>
      </c>
      <c r="I583" t="str">
        <f>"DEF LOADER"</f>
        <v>DEF LOADER</v>
      </c>
    </row>
    <row r="584" spans="1:9" x14ac:dyDescent="0.25">
      <c r="A584" s="6">
        <v>43411</v>
      </c>
      <c r="B584" t="s">
        <v>91</v>
      </c>
      <c r="C584">
        <v>59341</v>
      </c>
      <c r="D584" t="s">
        <v>340</v>
      </c>
      <c r="E584" s="7">
        <v>359.15</v>
      </c>
      <c r="F584" t="s">
        <v>20</v>
      </c>
      <c r="G584" t="s">
        <v>21</v>
      </c>
      <c r="H584" t="str">
        <f>"1810-351603"</f>
        <v>1810-351603</v>
      </c>
      <c r="I584" t="str">
        <f>"OIL FILTER"</f>
        <v>OIL FILTER</v>
      </c>
    </row>
    <row r="585" spans="1:9" x14ac:dyDescent="0.25">
      <c r="A585" s="6">
        <v>43411</v>
      </c>
      <c r="B585" t="s">
        <v>91</v>
      </c>
      <c r="C585">
        <v>59341</v>
      </c>
      <c r="D585" t="s">
        <v>340</v>
      </c>
      <c r="E585" s="7">
        <v>359.15</v>
      </c>
      <c r="F585" t="s">
        <v>20</v>
      </c>
      <c r="G585" t="s">
        <v>21</v>
      </c>
      <c r="H585" t="str">
        <f>"Q"</f>
        <v>Q</v>
      </c>
      <c r="I585" t="str">
        <f>"OIL FILTER"</f>
        <v>OIL FILTER</v>
      </c>
    </row>
    <row r="586" spans="1:9" x14ac:dyDescent="0.25">
      <c r="A586" s="6">
        <v>43411</v>
      </c>
      <c r="B586" t="s">
        <v>91</v>
      </c>
      <c r="C586">
        <v>59341</v>
      </c>
      <c r="D586" t="s">
        <v>340</v>
      </c>
      <c r="E586" s="7">
        <v>359.15</v>
      </c>
      <c r="F586" t="s">
        <v>20</v>
      </c>
      <c r="G586" t="s">
        <v>93</v>
      </c>
      <c r="H586" t="str">
        <f>"CHECK"</f>
        <v>CHECK</v>
      </c>
      <c r="I586" t="str">
        <f>""</f>
        <v/>
      </c>
    </row>
    <row r="587" spans="1:9" x14ac:dyDescent="0.25">
      <c r="A587" s="6">
        <v>43411</v>
      </c>
      <c r="B587" t="s">
        <v>26</v>
      </c>
      <c r="C587">
        <v>59343</v>
      </c>
      <c r="D587" t="s">
        <v>602</v>
      </c>
      <c r="E587" s="7">
        <v>250</v>
      </c>
      <c r="F587" t="s">
        <v>20</v>
      </c>
      <c r="G587" t="s">
        <v>21</v>
      </c>
      <c r="H587" t="str">
        <f>"REFUND 11/17/18"</f>
        <v>REFUND 11/17/18</v>
      </c>
      <c r="I587" t="str">
        <f>"REFUND"</f>
        <v>REFUND</v>
      </c>
    </row>
    <row r="588" spans="1:9" x14ac:dyDescent="0.25">
      <c r="A588" s="6">
        <v>43411</v>
      </c>
      <c r="B588" t="s">
        <v>26</v>
      </c>
      <c r="C588">
        <v>59344</v>
      </c>
      <c r="D588" t="s">
        <v>603</v>
      </c>
      <c r="E588" s="7">
        <v>50</v>
      </c>
      <c r="F588" t="s">
        <v>20</v>
      </c>
      <c r="G588" t="s">
        <v>21</v>
      </c>
      <c r="H588" t="str">
        <f>"REFUND DEP10/27/18"</f>
        <v>REFUND DEP10/27/18</v>
      </c>
      <c r="I588" t="str">
        <f>"REFUND"</f>
        <v>REFUND</v>
      </c>
    </row>
    <row r="589" spans="1:9" x14ac:dyDescent="0.25">
      <c r="A589" s="6">
        <v>43411</v>
      </c>
      <c r="B589" t="s">
        <v>26</v>
      </c>
      <c r="C589">
        <v>59345</v>
      </c>
      <c r="D589" t="s">
        <v>604</v>
      </c>
      <c r="E589" s="7">
        <v>50</v>
      </c>
      <c r="F589" t="s">
        <v>20</v>
      </c>
      <c r="G589" t="s">
        <v>21</v>
      </c>
      <c r="H589" t="str">
        <f>"RFND DPST10/27/18"</f>
        <v>RFND DPST10/27/18</v>
      </c>
      <c r="I589" t="str">
        <f>"REFUND"</f>
        <v>REFUND</v>
      </c>
    </row>
    <row r="590" spans="1:9" x14ac:dyDescent="0.25">
      <c r="A590" s="6">
        <v>43411</v>
      </c>
      <c r="B590" t="s">
        <v>26</v>
      </c>
      <c r="C590">
        <v>59346</v>
      </c>
      <c r="D590" t="s">
        <v>61</v>
      </c>
      <c r="E590" s="7">
        <v>188</v>
      </c>
      <c r="F590" t="s">
        <v>20</v>
      </c>
      <c r="G590" t="s">
        <v>21</v>
      </c>
      <c r="H590" t="str">
        <f>"025-233896"</f>
        <v>025-233896</v>
      </c>
      <c r="I590" t="str">
        <f>"TYLER TECHNOLOGIES  INC."</f>
        <v>TYLER TECHNOLOGIES  INC.</v>
      </c>
    </row>
    <row r="591" spans="1:9" x14ac:dyDescent="0.25">
      <c r="A591" s="6">
        <v>43411</v>
      </c>
      <c r="B591" t="s">
        <v>26</v>
      </c>
      <c r="C591">
        <v>59347</v>
      </c>
      <c r="D591" t="s">
        <v>62</v>
      </c>
      <c r="E591" s="7">
        <v>186</v>
      </c>
      <c r="F591" t="s">
        <v>20</v>
      </c>
      <c r="G591" t="s">
        <v>21</v>
      </c>
      <c r="H591" t="str">
        <f>"61281"</f>
        <v>61281</v>
      </c>
      <c r="I591" t="str">
        <f>"PROFICIENT BENEFIT SOLUTIONS"</f>
        <v>PROFICIENT BENEFIT SOLUTIONS</v>
      </c>
    </row>
    <row r="592" spans="1:9" x14ac:dyDescent="0.25">
      <c r="A592" s="6">
        <v>43411</v>
      </c>
      <c r="B592" t="s">
        <v>91</v>
      </c>
      <c r="C592">
        <v>59348</v>
      </c>
      <c r="D592" t="s">
        <v>115</v>
      </c>
      <c r="E592" s="7">
        <v>147.78</v>
      </c>
      <c r="F592" t="s">
        <v>20</v>
      </c>
      <c r="G592" t="s">
        <v>21</v>
      </c>
      <c r="H592" t="str">
        <f>"3547194882"</f>
        <v>3547194882</v>
      </c>
      <c r="I592" t="str">
        <f>"CAR/TRUCK MAINT."</f>
        <v>CAR/TRUCK MAINT.</v>
      </c>
    </row>
    <row r="593" spans="1:9" x14ac:dyDescent="0.25">
      <c r="A593" s="6">
        <v>43411</v>
      </c>
      <c r="B593" t="s">
        <v>91</v>
      </c>
      <c r="C593">
        <v>59348</v>
      </c>
      <c r="D593" t="s">
        <v>115</v>
      </c>
      <c r="E593" s="7">
        <v>147.78</v>
      </c>
      <c r="F593" t="s">
        <v>20</v>
      </c>
      <c r="G593" t="s">
        <v>21</v>
      </c>
      <c r="H593" t="str">
        <f>"3547194883"</f>
        <v>3547194883</v>
      </c>
      <c r="I593" t="str">
        <f>"BRAKE PADS"</f>
        <v>BRAKE PADS</v>
      </c>
    </row>
    <row r="594" spans="1:9" x14ac:dyDescent="0.25">
      <c r="A594" s="6">
        <v>43411</v>
      </c>
      <c r="B594" t="s">
        <v>91</v>
      </c>
      <c r="C594">
        <v>59348</v>
      </c>
      <c r="D594" t="s">
        <v>115</v>
      </c>
      <c r="E594" s="7">
        <v>147.78</v>
      </c>
      <c r="F594" t="s">
        <v>20</v>
      </c>
      <c r="G594" t="s">
        <v>21</v>
      </c>
      <c r="H594" t="str">
        <f>"3547197025"</f>
        <v>3547197025</v>
      </c>
      <c r="I594" t="str">
        <f>"VEHICLE MAINT. ITEMS"</f>
        <v>VEHICLE MAINT. ITEMS</v>
      </c>
    </row>
    <row r="595" spans="1:9" x14ac:dyDescent="0.25">
      <c r="A595" s="6">
        <v>43411</v>
      </c>
      <c r="B595" t="s">
        <v>91</v>
      </c>
      <c r="C595">
        <v>59348</v>
      </c>
      <c r="D595" t="s">
        <v>115</v>
      </c>
      <c r="E595" s="7">
        <v>147.78</v>
      </c>
      <c r="F595" t="s">
        <v>20</v>
      </c>
      <c r="G595" t="s">
        <v>21</v>
      </c>
      <c r="H595" t="str">
        <f>"3547206758"</f>
        <v>3547206758</v>
      </c>
      <c r="I595" t="str">
        <f>"AUTOZONE"</f>
        <v>AUTOZONE</v>
      </c>
    </row>
    <row r="596" spans="1:9" x14ac:dyDescent="0.25">
      <c r="A596" s="6">
        <v>43411</v>
      </c>
      <c r="B596" t="s">
        <v>91</v>
      </c>
      <c r="C596">
        <v>59348</v>
      </c>
      <c r="D596" t="s">
        <v>115</v>
      </c>
      <c r="E596" s="7">
        <v>147.78</v>
      </c>
      <c r="F596" t="s">
        <v>20</v>
      </c>
      <c r="G596" t="s">
        <v>93</v>
      </c>
      <c r="H596" t="str">
        <f>"CHECK"</f>
        <v>CHECK</v>
      </c>
      <c r="I596" t="str">
        <f>""</f>
        <v/>
      </c>
    </row>
    <row r="597" spans="1:9" x14ac:dyDescent="0.25">
      <c r="A597" s="6">
        <v>43411</v>
      </c>
      <c r="B597" t="s">
        <v>26</v>
      </c>
      <c r="C597">
        <v>59349</v>
      </c>
      <c r="D597" t="s">
        <v>64</v>
      </c>
      <c r="E597" s="7">
        <v>5462</v>
      </c>
      <c r="F597" t="s">
        <v>20</v>
      </c>
      <c r="G597" t="s">
        <v>21</v>
      </c>
      <c r="H597" t="str">
        <f>"7654"</f>
        <v>7654</v>
      </c>
      <c r="I597" t="str">
        <f>"DREWA DESIGNS  INC."</f>
        <v>DREWA DESIGNS  INC.</v>
      </c>
    </row>
    <row r="598" spans="1:9" x14ac:dyDescent="0.25">
      <c r="A598" s="6">
        <v>43411</v>
      </c>
      <c r="B598" t="s">
        <v>26</v>
      </c>
      <c r="C598">
        <v>59350</v>
      </c>
      <c r="D598" t="s">
        <v>605</v>
      </c>
      <c r="E598" s="7">
        <v>543</v>
      </c>
      <c r="F598" t="s">
        <v>20</v>
      </c>
      <c r="G598" t="s">
        <v>21</v>
      </c>
      <c r="H598" t="str">
        <f>"181024"</f>
        <v>181024</v>
      </c>
      <c r="I598" t="str">
        <f>"DURAPATCH REPAIR"</f>
        <v>DURAPATCH REPAIR</v>
      </c>
    </row>
    <row r="599" spans="1:9" x14ac:dyDescent="0.25">
      <c r="A599" s="6">
        <v>43411</v>
      </c>
      <c r="B599" t="s">
        <v>91</v>
      </c>
      <c r="C599">
        <v>59351</v>
      </c>
      <c r="D599" t="s">
        <v>560</v>
      </c>
      <c r="E599" s="7">
        <v>824.21</v>
      </c>
      <c r="F599" t="s">
        <v>20</v>
      </c>
      <c r="G599" t="s">
        <v>21</v>
      </c>
      <c r="H599" t="str">
        <f>"20018"</f>
        <v>20018</v>
      </c>
      <c r="I599" t="str">
        <f>"CAMERA REPAIR"</f>
        <v>CAMERA REPAIR</v>
      </c>
    </row>
    <row r="600" spans="1:9" x14ac:dyDescent="0.25">
      <c r="A600" s="6">
        <v>43411</v>
      </c>
      <c r="B600" t="s">
        <v>91</v>
      </c>
      <c r="C600">
        <v>59351</v>
      </c>
      <c r="D600" t="s">
        <v>560</v>
      </c>
      <c r="E600" s="7">
        <v>824.21</v>
      </c>
      <c r="F600" t="s">
        <v>20</v>
      </c>
      <c r="G600" t="s">
        <v>93</v>
      </c>
      <c r="H600" t="str">
        <f>"CHECK"</f>
        <v>CHECK</v>
      </c>
      <c r="I600" t="str">
        <f>""</f>
        <v/>
      </c>
    </row>
    <row r="601" spans="1:9" x14ac:dyDescent="0.25">
      <c r="A601" s="6">
        <v>43411</v>
      </c>
      <c r="B601" t="s">
        <v>91</v>
      </c>
      <c r="C601">
        <v>59352</v>
      </c>
      <c r="D601" t="s">
        <v>606</v>
      </c>
      <c r="E601" s="7">
        <v>75</v>
      </c>
      <c r="F601" t="s">
        <v>20</v>
      </c>
      <c r="G601" t="s">
        <v>21</v>
      </c>
      <c r="H601" t="str">
        <f>"MEMBR FEE 11/2018"</f>
        <v>MEMBR FEE 11/2018</v>
      </c>
      <c r="I601" t="str">
        <f>"TEXAS MUNICIPAL COURTS ASSOCIA"</f>
        <v>TEXAS MUNICIPAL COURTS ASSOCIA</v>
      </c>
    </row>
    <row r="602" spans="1:9" x14ac:dyDescent="0.25">
      <c r="A602" s="6">
        <v>43411</v>
      </c>
      <c r="B602" t="s">
        <v>91</v>
      </c>
      <c r="C602">
        <v>59352</v>
      </c>
      <c r="D602" t="s">
        <v>606</v>
      </c>
      <c r="E602" s="7">
        <v>75</v>
      </c>
      <c r="F602" t="s">
        <v>20</v>
      </c>
      <c r="G602" t="s">
        <v>93</v>
      </c>
      <c r="H602" t="str">
        <f>"CHECK"</f>
        <v>CHECK</v>
      </c>
      <c r="I602" t="str">
        <f>""</f>
        <v/>
      </c>
    </row>
    <row r="603" spans="1:9" x14ac:dyDescent="0.25">
      <c r="A603" s="6">
        <v>43411</v>
      </c>
      <c r="B603" t="s">
        <v>91</v>
      </c>
      <c r="C603">
        <v>59353</v>
      </c>
      <c r="D603" t="s">
        <v>301</v>
      </c>
      <c r="E603" s="7">
        <v>61.91</v>
      </c>
      <c r="F603" t="s">
        <v>20</v>
      </c>
      <c r="G603" t="s">
        <v>21</v>
      </c>
      <c r="H603" t="str">
        <f>"1672863"</f>
        <v>1672863</v>
      </c>
      <c r="I603" t="str">
        <f>"TRUCK PARTS"</f>
        <v>TRUCK PARTS</v>
      </c>
    </row>
    <row r="604" spans="1:9" x14ac:dyDescent="0.25">
      <c r="A604" s="6">
        <v>43411</v>
      </c>
      <c r="B604" t="s">
        <v>91</v>
      </c>
      <c r="C604">
        <v>59353</v>
      </c>
      <c r="D604" t="s">
        <v>301</v>
      </c>
      <c r="E604" s="7">
        <v>61.91</v>
      </c>
      <c r="F604" t="s">
        <v>20</v>
      </c>
      <c r="G604" t="s">
        <v>21</v>
      </c>
      <c r="H604" t="str">
        <f>"Q77826"</f>
        <v>Q77826</v>
      </c>
      <c r="I604" t="str">
        <f>"TRUCK PARTS"</f>
        <v>TRUCK PARTS</v>
      </c>
    </row>
    <row r="605" spans="1:9" x14ac:dyDescent="0.25">
      <c r="A605" s="6">
        <v>43411</v>
      </c>
      <c r="B605" t="s">
        <v>91</v>
      </c>
      <c r="C605">
        <v>59353</v>
      </c>
      <c r="D605" t="s">
        <v>301</v>
      </c>
      <c r="E605" s="7">
        <v>61.91</v>
      </c>
      <c r="F605" t="s">
        <v>20</v>
      </c>
      <c r="G605" t="s">
        <v>93</v>
      </c>
      <c r="H605" t="str">
        <f>"CHECK"</f>
        <v>CHECK</v>
      </c>
      <c r="I605" t="str">
        <f>""</f>
        <v/>
      </c>
    </row>
    <row r="606" spans="1:9" x14ac:dyDescent="0.25">
      <c r="A606" s="6">
        <v>43411</v>
      </c>
      <c r="B606" t="s">
        <v>91</v>
      </c>
      <c r="C606">
        <v>59354</v>
      </c>
      <c r="D606" t="s">
        <v>69</v>
      </c>
      <c r="E606" s="7">
        <v>800.82</v>
      </c>
      <c r="F606" t="s">
        <v>20</v>
      </c>
      <c r="G606" t="s">
        <v>21</v>
      </c>
      <c r="H606" t="str">
        <f>"3393113"</f>
        <v>3393113</v>
      </c>
      <c r="I606" t="str">
        <f>"SHREDDER"</f>
        <v>SHREDDER</v>
      </c>
    </row>
    <row r="607" spans="1:9" x14ac:dyDescent="0.25">
      <c r="A607" s="6">
        <v>43411</v>
      </c>
      <c r="B607" t="s">
        <v>91</v>
      </c>
      <c r="C607">
        <v>59354</v>
      </c>
      <c r="D607" t="s">
        <v>69</v>
      </c>
      <c r="E607" s="7">
        <v>800.82</v>
      </c>
      <c r="F607" t="s">
        <v>20</v>
      </c>
      <c r="G607" t="s">
        <v>21</v>
      </c>
      <c r="H607" t="str">
        <f>"3393114"</f>
        <v>3393114</v>
      </c>
      <c r="I607" t="str">
        <f>"CEMETARY SUPPLY"</f>
        <v>CEMETARY SUPPLY</v>
      </c>
    </row>
    <row r="608" spans="1:9" x14ac:dyDescent="0.25">
      <c r="A608" s="6">
        <v>43411</v>
      </c>
      <c r="B608" t="s">
        <v>91</v>
      </c>
      <c r="C608">
        <v>59354</v>
      </c>
      <c r="D608" t="s">
        <v>69</v>
      </c>
      <c r="E608" s="7">
        <v>800.82</v>
      </c>
      <c r="F608" t="s">
        <v>20</v>
      </c>
      <c r="G608" t="s">
        <v>21</v>
      </c>
      <c r="H608" t="str">
        <f>"3393708"</f>
        <v>3393708</v>
      </c>
      <c r="I608" t="str">
        <f>"LAWNMOWER BLADES"</f>
        <v>LAWNMOWER BLADES</v>
      </c>
    </row>
    <row r="609" spans="1:9" x14ac:dyDescent="0.25">
      <c r="A609" s="6">
        <v>43411</v>
      </c>
      <c r="B609" t="s">
        <v>91</v>
      </c>
      <c r="C609">
        <v>59354</v>
      </c>
      <c r="D609" t="s">
        <v>69</v>
      </c>
      <c r="E609" s="7">
        <v>800.82</v>
      </c>
      <c r="F609" t="s">
        <v>20</v>
      </c>
      <c r="G609" t="s">
        <v>93</v>
      </c>
      <c r="H609" t="str">
        <f>"CHECK"</f>
        <v>CHECK</v>
      </c>
      <c r="I609" t="str">
        <f>""</f>
        <v/>
      </c>
    </row>
    <row r="610" spans="1:9" x14ac:dyDescent="0.25">
      <c r="A610" s="6">
        <v>43411</v>
      </c>
      <c r="B610" t="s">
        <v>26</v>
      </c>
      <c r="C610">
        <v>59355</v>
      </c>
      <c r="D610" t="s">
        <v>159</v>
      </c>
      <c r="E610" s="7">
        <v>355.97</v>
      </c>
      <c r="F610" t="s">
        <v>20</v>
      </c>
      <c r="G610" t="s">
        <v>21</v>
      </c>
      <c r="H610" t="str">
        <f>"37834"</f>
        <v>37834</v>
      </c>
      <c r="I610" t="str">
        <f>"PHOTOGRAPHS BY JIM"</f>
        <v>PHOTOGRAPHS BY JIM</v>
      </c>
    </row>
    <row r="611" spans="1:9" x14ac:dyDescent="0.25">
      <c r="A611" s="6">
        <v>43411</v>
      </c>
      <c r="B611" t="s">
        <v>26</v>
      </c>
      <c r="C611">
        <v>59355</v>
      </c>
      <c r="D611" t="s">
        <v>159</v>
      </c>
      <c r="E611" s="7">
        <v>355.97</v>
      </c>
      <c r="F611" t="s">
        <v>20</v>
      </c>
      <c r="G611" t="s">
        <v>21</v>
      </c>
      <c r="H611" t="str">
        <f>"37836"</f>
        <v>37836</v>
      </c>
      <c r="I611" t="str">
        <f>"PHOTOGRAPHS BY JIM"</f>
        <v>PHOTOGRAPHS BY JIM</v>
      </c>
    </row>
    <row r="612" spans="1:9" x14ac:dyDescent="0.25">
      <c r="A612" s="6">
        <v>43411</v>
      </c>
      <c r="B612" t="s">
        <v>26</v>
      </c>
      <c r="C612">
        <v>59356</v>
      </c>
      <c r="D612" t="s">
        <v>146</v>
      </c>
      <c r="E612" s="7">
        <v>575</v>
      </c>
      <c r="F612" t="s">
        <v>20</v>
      </c>
      <c r="G612" t="s">
        <v>21</v>
      </c>
      <c r="H612" t="str">
        <f>"557426"</f>
        <v>557426</v>
      </c>
      <c r="I612" t="str">
        <f>"LARRY SRALLA ELECTRIC"</f>
        <v>LARRY SRALLA ELECTRIC</v>
      </c>
    </row>
    <row r="613" spans="1:9" x14ac:dyDescent="0.25">
      <c r="A613" s="6">
        <v>43411</v>
      </c>
      <c r="B613" t="s">
        <v>26</v>
      </c>
      <c r="C613">
        <v>59357</v>
      </c>
      <c r="D613" t="s">
        <v>71</v>
      </c>
      <c r="E613" s="7">
        <v>64.959999999999994</v>
      </c>
      <c r="F613" t="s">
        <v>20</v>
      </c>
      <c r="G613" t="s">
        <v>21</v>
      </c>
      <c r="H613" t="str">
        <f>"4011438005"</f>
        <v>4011438005</v>
      </c>
      <c r="I613" t="str">
        <f>"CINTAS CORPORATION #087"</f>
        <v>CINTAS CORPORATION #087</v>
      </c>
    </row>
    <row r="614" spans="1:9" x14ac:dyDescent="0.25">
      <c r="A614" s="6">
        <v>43411</v>
      </c>
      <c r="B614" t="s">
        <v>91</v>
      </c>
      <c r="C614">
        <v>59358</v>
      </c>
      <c r="D614" t="s">
        <v>122</v>
      </c>
      <c r="E614" s="7">
        <v>10</v>
      </c>
      <c r="F614" t="s">
        <v>20</v>
      </c>
      <c r="G614" t="s">
        <v>21</v>
      </c>
      <c r="H614" t="str">
        <f>"079961"</f>
        <v>079961</v>
      </c>
      <c r="I614" t="str">
        <f>"FLAT TIRE REPAIR"</f>
        <v>FLAT TIRE REPAIR</v>
      </c>
    </row>
    <row r="615" spans="1:9" x14ac:dyDescent="0.25">
      <c r="A615" s="6">
        <v>43411</v>
      </c>
      <c r="B615" t="s">
        <v>91</v>
      </c>
      <c r="C615">
        <v>59358</v>
      </c>
      <c r="D615" t="s">
        <v>122</v>
      </c>
      <c r="E615" s="7">
        <v>10</v>
      </c>
      <c r="F615" t="s">
        <v>20</v>
      </c>
      <c r="G615" t="s">
        <v>93</v>
      </c>
      <c r="H615" t="str">
        <f>"CHECK"</f>
        <v>CHECK</v>
      </c>
      <c r="I615" t="str">
        <f>""</f>
        <v/>
      </c>
    </row>
    <row r="616" spans="1:9" x14ac:dyDescent="0.25">
      <c r="A616" s="6">
        <v>43411</v>
      </c>
      <c r="B616" t="s">
        <v>26</v>
      </c>
      <c r="C616">
        <v>59359</v>
      </c>
      <c r="D616" t="s">
        <v>74</v>
      </c>
      <c r="E616" s="7">
        <v>3535.09</v>
      </c>
      <c r="F616" t="s">
        <v>20</v>
      </c>
      <c r="G616" t="s">
        <v>21</v>
      </c>
      <c r="H616" t="str">
        <f>"9817130219"</f>
        <v>9817130219</v>
      </c>
      <c r="I616" t="str">
        <f>"VERIZON WIRELESS"</f>
        <v>VERIZON WIRELESS</v>
      </c>
    </row>
    <row r="617" spans="1:9" x14ac:dyDescent="0.25">
      <c r="A617" s="6">
        <v>43411</v>
      </c>
      <c r="B617" t="s">
        <v>26</v>
      </c>
      <c r="C617">
        <v>59359</v>
      </c>
      <c r="D617" t="s">
        <v>74</v>
      </c>
      <c r="E617" s="7">
        <v>3535.09</v>
      </c>
      <c r="F617" t="s">
        <v>20</v>
      </c>
      <c r="G617" t="s">
        <v>21</v>
      </c>
      <c r="H617" t="str">
        <f>"9817130220"</f>
        <v>9817130220</v>
      </c>
      <c r="I617" t="str">
        <f>"VERIZON WIRELESS"</f>
        <v>VERIZON WIRELESS</v>
      </c>
    </row>
    <row r="618" spans="1:9" x14ac:dyDescent="0.25">
      <c r="A618" s="6">
        <v>43411</v>
      </c>
      <c r="B618" t="s">
        <v>26</v>
      </c>
      <c r="C618">
        <v>59361</v>
      </c>
      <c r="D618" t="s">
        <v>170</v>
      </c>
      <c r="E618" s="7">
        <v>2308</v>
      </c>
      <c r="F618" t="s">
        <v>20</v>
      </c>
      <c r="G618" t="s">
        <v>21</v>
      </c>
      <c r="H618" t="str">
        <f>"0000030149"</f>
        <v>0000030149</v>
      </c>
      <c r="I618" t="str">
        <f>"BARRETT &amp; SONS  INC."</f>
        <v>BARRETT &amp; SONS  INC.</v>
      </c>
    </row>
    <row r="619" spans="1:9" x14ac:dyDescent="0.25">
      <c r="A619" s="6">
        <v>43411</v>
      </c>
      <c r="B619" t="s">
        <v>26</v>
      </c>
      <c r="C619">
        <v>59362</v>
      </c>
      <c r="D619" t="s">
        <v>235</v>
      </c>
      <c r="E619" s="7">
        <v>4220</v>
      </c>
      <c r="F619" t="s">
        <v>20</v>
      </c>
      <c r="G619" t="s">
        <v>21</v>
      </c>
      <c r="H619" t="str">
        <f>"FD PERMIT 10/2018"</f>
        <v>FD PERMIT 10/2018</v>
      </c>
      <c r="I619" t="str">
        <f>"WILSON COUNTY AUDITOR"</f>
        <v>WILSON COUNTY AUDITOR</v>
      </c>
    </row>
    <row r="620" spans="1:9" x14ac:dyDescent="0.25">
      <c r="A620" s="6">
        <v>43411</v>
      </c>
      <c r="B620" t="s">
        <v>26</v>
      </c>
      <c r="C620">
        <v>59362</v>
      </c>
      <c r="D620" t="s">
        <v>235</v>
      </c>
      <c r="E620" s="7">
        <v>4220</v>
      </c>
      <c r="F620" t="s">
        <v>20</v>
      </c>
      <c r="G620" t="s">
        <v>21</v>
      </c>
      <c r="H620" t="str">
        <f>"FD PERMIT 9/2018"</f>
        <v>FD PERMIT 9/2018</v>
      </c>
      <c r="I620" t="str">
        <f>"WILSON COUNTY AUDITOR"</f>
        <v>WILSON COUNTY AUDITOR</v>
      </c>
    </row>
    <row r="621" spans="1:9" x14ac:dyDescent="0.25">
      <c r="A621" s="6">
        <v>43411</v>
      </c>
      <c r="B621" t="s">
        <v>26</v>
      </c>
      <c r="C621">
        <v>59363</v>
      </c>
      <c r="D621" t="s">
        <v>123</v>
      </c>
      <c r="E621" s="7">
        <v>2859.44</v>
      </c>
      <c r="F621" t="s">
        <v>20</v>
      </c>
      <c r="G621" t="s">
        <v>21</v>
      </c>
      <c r="H621" t="str">
        <f>"206684252001"</f>
        <v>206684252001</v>
      </c>
      <c r="I621" t="str">
        <f>"OFFICE SUPPLIES"</f>
        <v>OFFICE SUPPLIES</v>
      </c>
    </row>
    <row r="622" spans="1:9" x14ac:dyDescent="0.25">
      <c r="A622" s="6">
        <v>43411</v>
      </c>
      <c r="B622" t="s">
        <v>26</v>
      </c>
      <c r="C622">
        <v>59363</v>
      </c>
      <c r="D622" t="s">
        <v>123</v>
      </c>
      <c r="E622" s="7">
        <v>2859.44</v>
      </c>
      <c r="F622" t="s">
        <v>20</v>
      </c>
      <c r="G622" t="s">
        <v>21</v>
      </c>
      <c r="H622" t="str">
        <f>"206685187001"</f>
        <v>206685187001</v>
      </c>
      <c r="I622" t="str">
        <f>"OFFICE SUPPLIES"</f>
        <v>OFFICE SUPPLIES</v>
      </c>
    </row>
    <row r="623" spans="1:9" x14ac:dyDescent="0.25">
      <c r="A623" s="6">
        <v>43411</v>
      </c>
      <c r="B623" t="s">
        <v>26</v>
      </c>
      <c r="C623">
        <v>59363</v>
      </c>
      <c r="D623" t="s">
        <v>123</v>
      </c>
      <c r="E623" s="7">
        <v>2859.44</v>
      </c>
      <c r="F623" t="s">
        <v>20</v>
      </c>
      <c r="G623" t="s">
        <v>21</v>
      </c>
      <c r="H623" t="str">
        <f>"206987548001"</f>
        <v>206987548001</v>
      </c>
      <c r="I623" t="str">
        <f>"COPY PAPER"</f>
        <v>COPY PAPER</v>
      </c>
    </row>
    <row r="624" spans="1:9" x14ac:dyDescent="0.25">
      <c r="A624" s="6">
        <v>43411</v>
      </c>
      <c r="B624" t="s">
        <v>26</v>
      </c>
      <c r="C624">
        <v>59363</v>
      </c>
      <c r="D624" t="s">
        <v>123</v>
      </c>
      <c r="E624" s="7">
        <v>2859.44</v>
      </c>
      <c r="F624" t="s">
        <v>20</v>
      </c>
      <c r="G624" t="s">
        <v>21</v>
      </c>
      <c r="H624" t="str">
        <f>"219625060001"</f>
        <v>219625060001</v>
      </c>
      <c r="I624" t="str">
        <f>"OFFICE SUPPLIES"</f>
        <v>OFFICE SUPPLIES</v>
      </c>
    </row>
    <row r="625" spans="1:9" x14ac:dyDescent="0.25">
      <c r="A625" s="6">
        <v>43411</v>
      </c>
      <c r="B625" t="s">
        <v>26</v>
      </c>
      <c r="C625">
        <v>59363</v>
      </c>
      <c r="D625" t="s">
        <v>123</v>
      </c>
      <c r="E625" s="7">
        <v>2859.44</v>
      </c>
      <c r="F625" t="s">
        <v>20</v>
      </c>
      <c r="G625" t="s">
        <v>21</v>
      </c>
      <c r="H625" t="str">
        <f>"219646901001"</f>
        <v>219646901001</v>
      </c>
      <c r="I625" t="str">
        <f>"STEEL FILE CABINET"</f>
        <v>STEEL FILE CABINET</v>
      </c>
    </row>
    <row r="626" spans="1:9" x14ac:dyDescent="0.25">
      <c r="A626" s="6">
        <v>43411</v>
      </c>
      <c r="B626" t="s">
        <v>91</v>
      </c>
      <c r="C626">
        <v>59365</v>
      </c>
      <c r="D626" t="s">
        <v>77</v>
      </c>
      <c r="E626" s="7">
        <v>2966.9</v>
      </c>
      <c r="F626" t="s">
        <v>20</v>
      </c>
      <c r="G626" t="s">
        <v>21</v>
      </c>
      <c r="H626" t="str">
        <f>"857001790-18"</f>
        <v>857001790-18</v>
      </c>
      <c r="I626" t="str">
        <f>"CHLORINE"</f>
        <v>CHLORINE</v>
      </c>
    </row>
    <row r="627" spans="1:9" x14ac:dyDescent="0.25">
      <c r="A627" s="6">
        <v>43411</v>
      </c>
      <c r="B627" t="s">
        <v>91</v>
      </c>
      <c r="C627">
        <v>59365</v>
      </c>
      <c r="D627" t="s">
        <v>77</v>
      </c>
      <c r="E627" s="7">
        <v>2966.9</v>
      </c>
      <c r="F627" t="s">
        <v>20</v>
      </c>
      <c r="G627" t="s">
        <v>21</v>
      </c>
      <c r="H627" t="str">
        <f>"857001791-18"</f>
        <v>857001791-18</v>
      </c>
      <c r="I627" t="str">
        <f>"CHLORINE"</f>
        <v>CHLORINE</v>
      </c>
    </row>
    <row r="628" spans="1:9" x14ac:dyDescent="0.25">
      <c r="A628" s="6">
        <v>43411</v>
      </c>
      <c r="B628" t="s">
        <v>91</v>
      </c>
      <c r="C628">
        <v>59365</v>
      </c>
      <c r="D628" t="s">
        <v>77</v>
      </c>
      <c r="E628" s="7">
        <v>2966.9</v>
      </c>
      <c r="F628" t="s">
        <v>20</v>
      </c>
      <c r="G628" t="s">
        <v>21</v>
      </c>
      <c r="H628" t="str">
        <f>"857001982-18"</f>
        <v>857001982-18</v>
      </c>
      <c r="I628" t="str">
        <f>"CHLORINE"</f>
        <v>CHLORINE</v>
      </c>
    </row>
    <row r="629" spans="1:9" x14ac:dyDescent="0.25">
      <c r="A629" s="6">
        <v>43411</v>
      </c>
      <c r="B629" t="s">
        <v>91</v>
      </c>
      <c r="C629">
        <v>59365</v>
      </c>
      <c r="D629" t="s">
        <v>77</v>
      </c>
      <c r="E629" s="7">
        <v>2966.9</v>
      </c>
      <c r="F629" t="s">
        <v>20</v>
      </c>
      <c r="G629" t="s">
        <v>21</v>
      </c>
      <c r="H629" t="str">
        <f>"857002021-18"</f>
        <v>857002021-18</v>
      </c>
      <c r="I629" t="str">
        <f>"CHLORINE- FUEL CHARGE"</f>
        <v>CHLORINE- FUEL CHARGE</v>
      </c>
    </row>
    <row r="630" spans="1:9" x14ac:dyDescent="0.25">
      <c r="A630" s="6">
        <v>43411</v>
      </c>
      <c r="B630" t="s">
        <v>91</v>
      </c>
      <c r="C630">
        <v>59365</v>
      </c>
      <c r="D630" t="s">
        <v>77</v>
      </c>
      <c r="E630" s="7">
        <v>2966.9</v>
      </c>
      <c r="F630" t="s">
        <v>20</v>
      </c>
      <c r="G630" t="s">
        <v>21</v>
      </c>
      <c r="H630" t="str">
        <f>"857002027-18"</f>
        <v>857002027-18</v>
      </c>
      <c r="I630" t="str">
        <f>"CALCIUM HYPOCHLORITE"</f>
        <v>CALCIUM HYPOCHLORITE</v>
      </c>
    </row>
    <row r="631" spans="1:9" x14ac:dyDescent="0.25">
      <c r="A631" s="6">
        <v>43411</v>
      </c>
      <c r="B631" t="s">
        <v>91</v>
      </c>
      <c r="C631">
        <v>59365</v>
      </c>
      <c r="D631" t="s">
        <v>77</v>
      </c>
      <c r="E631" s="7">
        <v>2966.9</v>
      </c>
      <c r="F631" t="s">
        <v>20</v>
      </c>
      <c r="G631" t="s">
        <v>93</v>
      </c>
      <c r="H631" t="str">
        <f>"CHECK"</f>
        <v>CHECK</v>
      </c>
      <c r="I631" t="str">
        <f>""</f>
        <v/>
      </c>
    </row>
    <row r="632" spans="1:9" x14ac:dyDescent="0.25">
      <c r="A632" s="6">
        <v>43411</v>
      </c>
      <c r="B632" t="s">
        <v>91</v>
      </c>
      <c r="C632">
        <v>59367</v>
      </c>
      <c r="D632" t="s">
        <v>124</v>
      </c>
      <c r="E632" s="7">
        <v>71.08</v>
      </c>
      <c r="F632" t="s">
        <v>20</v>
      </c>
      <c r="G632" t="s">
        <v>21</v>
      </c>
      <c r="H632" t="str">
        <f>"11165643"</f>
        <v>11165643</v>
      </c>
      <c r="I632" t="str">
        <f>"ROPES FOR STREET/PARKING"</f>
        <v>ROPES FOR STREET/PARKING</v>
      </c>
    </row>
    <row r="633" spans="1:9" x14ac:dyDescent="0.25">
      <c r="A633" s="6">
        <v>43411</v>
      </c>
      <c r="B633" t="s">
        <v>91</v>
      </c>
      <c r="C633">
        <v>59367</v>
      </c>
      <c r="D633" t="s">
        <v>124</v>
      </c>
      <c r="E633" s="7">
        <v>71.08</v>
      </c>
      <c r="F633" t="s">
        <v>20</v>
      </c>
      <c r="G633" t="s">
        <v>93</v>
      </c>
      <c r="H633" t="str">
        <f>"CHECK"</f>
        <v>CHECK</v>
      </c>
      <c r="I633" t="str">
        <f>""</f>
        <v/>
      </c>
    </row>
    <row r="634" spans="1:9" x14ac:dyDescent="0.25">
      <c r="A634" s="6">
        <v>43411</v>
      </c>
      <c r="B634" t="s">
        <v>26</v>
      </c>
      <c r="C634">
        <v>59368</v>
      </c>
      <c r="D634" t="s">
        <v>607</v>
      </c>
      <c r="E634" s="7">
        <v>75</v>
      </c>
      <c r="F634" t="s">
        <v>20</v>
      </c>
      <c r="G634" t="s">
        <v>21</v>
      </c>
      <c r="H634" t="str">
        <f>"43866 RENEWAL11/18"</f>
        <v>43866 RENEWAL11/18</v>
      </c>
      <c r="I634" t="str">
        <f>"TEXAS MUNICIPAL HUMAN RESOURCE"</f>
        <v>TEXAS MUNICIPAL HUMAN RESOURCE</v>
      </c>
    </row>
    <row r="635" spans="1:9" x14ac:dyDescent="0.25">
      <c r="A635" s="6">
        <v>43411</v>
      </c>
      <c r="B635" t="s">
        <v>26</v>
      </c>
      <c r="C635">
        <v>59369</v>
      </c>
      <c r="D635" t="s">
        <v>372</v>
      </c>
      <c r="E635" s="7">
        <v>60</v>
      </c>
      <c r="F635" t="s">
        <v>20</v>
      </c>
      <c r="G635" t="s">
        <v>21</v>
      </c>
      <c r="H635" t="str">
        <f>"11/3/2018"</f>
        <v>11/3/2018</v>
      </c>
      <c r="I635" t="str">
        <f>"MICHELLE DOLBERRY"</f>
        <v>MICHELLE DOLBERRY</v>
      </c>
    </row>
    <row r="636" spans="1:9" x14ac:dyDescent="0.25">
      <c r="A636" s="6">
        <v>43411</v>
      </c>
      <c r="B636" t="s">
        <v>26</v>
      </c>
      <c r="C636">
        <v>59370</v>
      </c>
      <c r="D636" t="s">
        <v>579</v>
      </c>
      <c r="E636" s="7">
        <v>60</v>
      </c>
      <c r="F636" t="s">
        <v>20</v>
      </c>
      <c r="G636" t="s">
        <v>21</v>
      </c>
      <c r="H636" t="str">
        <f>"11/3/18"</f>
        <v>11/3/18</v>
      </c>
      <c r="I636" t="str">
        <f>"NICOLE TRINIDAD"</f>
        <v>NICOLE TRINIDAD</v>
      </c>
    </row>
    <row r="637" spans="1:9" x14ac:dyDescent="0.25">
      <c r="A637" s="6">
        <v>43411</v>
      </c>
      <c r="B637" t="s">
        <v>91</v>
      </c>
      <c r="C637">
        <v>59371</v>
      </c>
      <c r="D637" t="s">
        <v>223</v>
      </c>
      <c r="E637" s="7">
        <v>75</v>
      </c>
      <c r="F637" t="s">
        <v>20</v>
      </c>
      <c r="G637" t="s">
        <v>21</v>
      </c>
      <c r="H637" t="str">
        <f>"11/2018-COUNCIL"</f>
        <v>11/2018-COUNCIL</v>
      </c>
      <c r="I637" t="str">
        <f>""</f>
        <v/>
      </c>
    </row>
    <row r="638" spans="1:9" x14ac:dyDescent="0.25">
      <c r="A638" s="6">
        <v>43411</v>
      </c>
      <c r="B638" t="s">
        <v>91</v>
      </c>
      <c r="C638">
        <v>59371</v>
      </c>
      <c r="D638" t="s">
        <v>223</v>
      </c>
      <c r="E638" s="7">
        <v>75</v>
      </c>
      <c r="F638" t="s">
        <v>20</v>
      </c>
      <c r="G638" t="s">
        <v>93</v>
      </c>
      <c r="H638" t="str">
        <f>"CHECK"</f>
        <v>CHECK</v>
      </c>
      <c r="I638" t="str">
        <f>""</f>
        <v/>
      </c>
    </row>
    <row r="639" spans="1:9" x14ac:dyDescent="0.25">
      <c r="A639" s="6">
        <v>43411</v>
      </c>
      <c r="B639" t="s">
        <v>26</v>
      </c>
      <c r="C639">
        <v>59372</v>
      </c>
      <c r="D639" t="s">
        <v>80</v>
      </c>
      <c r="E639" s="7">
        <v>1884.02</v>
      </c>
      <c r="F639" t="s">
        <v>20</v>
      </c>
      <c r="G639" t="s">
        <v>21</v>
      </c>
      <c r="H639" t="str">
        <f>"1648-20181101-1"</f>
        <v>1648-20181101-1</v>
      </c>
      <c r="I639" t="str">
        <f>"LVWIFI.COM"</f>
        <v>LVWIFI.COM</v>
      </c>
    </row>
    <row r="640" spans="1:9" x14ac:dyDescent="0.25">
      <c r="A640" s="6">
        <v>43411</v>
      </c>
      <c r="B640" t="s">
        <v>26</v>
      </c>
      <c r="C640">
        <v>59372</v>
      </c>
      <c r="D640" t="s">
        <v>80</v>
      </c>
      <c r="E640" s="7">
        <v>1884.02</v>
      </c>
      <c r="F640" t="s">
        <v>20</v>
      </c>
      <c r="G640" t="s">
        <v>21</v>
      </c>
      <c r="H640" t="str">
        <f>"2313-20181101-1"</f>
        <v>2313-20181101-1</v>
      </c>
      <c r="I640" t="str">
        <f>"LVWIFI.COM"</f>
        <v>LVWIFI.COM</v>
      </c>
    </row>
    <row r="641" spans="1:9" x14ac:dyDescent="0.25">
      <c r="A641" s="6">
        <v>43411</v>
      </c>
      <c r="B641" t="s">
        <v>26</v>
      </c>
      <c r="C641">
        <v>59372</v>
      </c>
      <c r="D641" t="s">
        <v>80</v>
      </c>
      <c r="E641" s="7">
        <v>1884.02</v>
      </c>
      <c r="F641" t="s">
        <v>20</v>
      </c>
      <c r="G641" t="s">
        <v>21</v>
      </c>
      <c r="H641" t="str">
        <f>"2314-20181101-1"</f>
        <v>2314-20181101-1</v>
      </c>
      <c r="I641" t="str">
        <f>"LVWIFI.COM"</f>
        <v>LVWIFI.COM</v>
      </c>
    </row>
    <row r="642" spans="1:9" x14ac:dyDescent="0.25">
      <c r="A642" s="6">
        <v>43411</v>
      </c>
      <c r="B642" t="s">
        <v>26</v>
      </c>
      <c r="C642">
        <v>59372</v>
      </c>
      <c r="D642" t="s">
        <v>80</v>
      </c>
      <c r="E642" s="7">
        <v>1884.02</v>
      </c>
      <c r="F642" t="s">
        <v>20</v>
      </c>
      <c r="G642" t="s">
        <v>21</v>
      </c>
      <c r="H642" t="str">
        <f>"2478-20181101-1"</f>
        <v>2478-20181101-1</v>
      </c>
      <c r="I642" t="str">
        <f>"LVWIFI.COM"</f>
        <v>LVWIFI.COM</v>
      </c>
    </row>
    <row r="643" spans="1:9" x14ac:dyDescent="0.25">
      <c r="A643" s="6">
        <v>43411</v>
      </c>
      <c r="B643" t="s">
        <v>26</v>
      </c>
      <c r="C643">
        <v>59372</v>
      </c>
      <c r="D643" t="s">
        <v>80</v>
      </c>
      <c r="E643" s="7">
        <v>1884.02</v>
      </c>
      <c r="F643" t="s">
        <v>20</v>
      </c>
      <c r="G643" t="s">
        <v>21</v>
      </c>
      <c r="H643" t="str">
        <f>"CINTAS"</f>
        <v>CINTAS</v>
      </c>
      <c r="I643" t="str">
        <f>"LVWIFI.COM"</f>
        <v>LVWIFI.COM</v>
      </c>
    </row>
    <row r="644" spans="1:9" x14ac:dyDescent="0.25">
      <c r="A644" s="6">
        <v>43411</v>
      </c>
      <c r="B644" t="s">
        <v>26</v>
      </c>
      <c r="C644">
        <v>59373</v>
      </c>
      <c r="D644" t="s">
        <v>567</v>
      </c>
      <c r="E644" s="7">
        <v>50</v>
      </c>
      <c r="F644" t="s">
        <v>20</v>
      </c>
      <c r="G644" t="s">
        <v>21</v>
      </c>
      <c r="H644" t="str">
        <f>"2645"</f>
        <v>2645</v>
      </c>
      <c r="I644" t="str">
        <f>"FREEDOM MOWING  LLC"</f>
        <v>FREEDOM MOWING  LLC</v>
      </c>
    </row>
    <row r="645" spans="1:9" x14ac:dyDescent="0.25">
      <c r="A645" s="6">
        <v>43411</v>
      </c>
      <c r="B645" t="s">
        <v>91</v>
      </c>
      <c r="C645">
        <v>59374</v>
      </c>
      <c r="D645" t="s">
        <v>129</v>
      </c>
      <c r="E645" s="7">
        <v>241.44</v>
      </c>
      <c r="F645" t="s">
        <v>20</v>
      </c>
      <c r="G645" t="s">
        <v>21</v>
      </c>
      <c r="H645" t="str">
        <f>"P41078"</f>
        <v>P41078</v>
      </c>
      <c r="I645" t="str">
        <f>"BLADES"</f>
        <v>BLADES</v>
      </c>
    </row>
    <row r="646" spans="1:9" x14ac:dyDescent="0.25">
      <c r="A646" s="6">
        <v>43411</v>
      </c>
      <c r="B646" t="s">
        <v>91</v>
      </c>
      <c r="C646">
        <v>59374</v>
      </c>
      <c r="D646" t="s">
        <v>129</v>
      </c>
      <c r="E646" s="7">
        <v>241.44</v>
      </c>
      <c r="F646" t="s">
        <v>20</v>
      </c>
      <c r="G646" t="s">
        <v>93</v>
      </c>
      <c r="H646" t="str">
        <f>"CHECK"</f>
        <v>CHECK</v>
      </c>
      <c r="I646" t="str">
        <f>""</f>
        <v/>
      </c>
    </row>
    <row r="647" spans="1:9" x14ac:dyDescent="0.25">
      <c r="A647" s="6">
        <v>43411</v>
      </c>
      <c r="B647" t="s">
        <v>91</v>
      </c>
      <c r="C647">
        <v>59375</v>
      </c>
      <c r="D647" t="s">
        <v>131</v>
      </c>
      <c r="E647" s="7">
        <v>491.53</v>
      </c>
      <c r="F647" t="s">
        <v>20</v>
      </c>
      <c r="G647" t="s">
        <v>21</v>
      </c>
      <c r="H647" t="str">
        <f>"031028"</f>
        <v>031028</v>
      </c>
      <c r="I647" t="str">
        <f>"DEF"</f>
        <v>DEF</v>
      </c>
    </row>
    <row r="648" spans="1:9" x14ac:dyDescent="0.25">
      <c r="A648" s="6">
        <v>43411</v>
      </c>
      <c r="B648" t="s">
        <v>91</v>
      </c>
      <c r="C648">
        <v>59375</v>
      </c>
      <c r="D648" t="s">
        <v>131</v>
      </c>
      <c r="E648" s="7">
        <v>491.53</v>
      </c>
      <c r="F648" t="s">
        <v>20</v>
      </c>
      <c r="G648" t="s">
        <v>21</v>
      </c>
      <c r="H648" t="str">
        <f>"031324"</f>
        <v>031324</v>
      </c>
      <c r="I648" t="str">
        <f>"BATTERY/LAMP"</f>
        <v>BATTERY/LAMP</v>
      </c>
    </row>
    <row r="649" spans="1:9" x14ac:dyDescent="0.25">
      <c r="A649" s="6">
        <v>43411</v>
      </c>
      <c r="B649" t="s">
        <v>91</v>
      </c>
      <c r="C649">
        <v>59375</v>
      </c>
      <c r="D649" t="s">
        <v>131</v>
      </c>
      <c r="E649" s="7">
        <v>491.53</v>
      </c>
      <c r="F649" t="s">
        <v>20</v>
      </c>
      <c r="G649" t="s">
        <v>21</v>
      </c>
      <c r="H649" t="str">
        <f>"30631"</f>
        <v>30631</v>
      </c>
      <c r="I649" t="str">
        <f>"BELTS"</f>
        <v>BELTS</v>
      </c>
    </row>
    <row r="650" spans="1:9" x14ac:dyDescent="0.25">
      <c r="A650" s="6">
        <v>43411</v>
      </c>
      <c r="B650" t="s">
        <v>91</v>
      </c>
      <c r="C650">
        <v>59375</v>
      </c>
      <c r="D650" t="s">
        <v>131</v>
      </c>
      <c r="E650" s="7">
        <v>491.53</v>
      </c>
      <c r="F650" t="s">
        <v>20</v>
      </c>
      <c r="G650" t="s">
        <v>21</v>
      </c>
      <c r="H650" t="str">
        <f>"31333"</f>
        <v>31333</v>
      </c>
      <c r="I650" t="str">
        <f>"ANTIFREEZE"</f>
        <v>ANTIFREEZE</v>
      </c>
    </row>
    <row r="651" spans="1:9" x14ac:dyDescent="0.25">
      <c r="A651" s="6">
        <v>43411</v>
      </c>
      <c r="B651" t="s">
        <v>91</v>
      </c>
      <c r="C651">
        <v>59375</v>
      </c>
      <c r="D651" t="s">
        <v>131</v>
      </c>
      <c r="E651" s="7">
        <v>491.53</v>
      </c>
      <c r="F651" t="s">
        <v>20</v>
      </c>
      <c r="G651" t="s">
        <v>21</v>
      </c>
      <c r="H651" t="str">
        <f>"31524"</f>
        <v>31524</v>
      </c>
      <c r="I651" t="str">
        <f>"HYDROLIC HOSES"</f>
        <v>HYDROLIC HOSES</v>
      </c>
    </row>
    <row r="652" spans="1:9" x14ac:dyDescent="0.25">
      <c r="A652" s="6">
        <v>43411</v>
      </c>
      <c r="B652" t="s">
        <v>91</v>
      </c>
      <c r="C652">
        <v>59375</v>
      </c>
      <c r="D652" t="s">
        <v>131</v>
      </c>
      <c r="E652" s="7">
        <v>491.53</v>
      </c>
      <c r="F652" t="s">
        <v>20</v>
      </c>
      <c r="G652" t="s">
        <v>93</v>
      </c>
      <c r="H652" t="str">
        <f>"CHECK"</f>
        <v>CHECK</v>
      </c>
      <c r="I652" t="str">
        <f>""</f>
        <v/>
      </c>
    </row>
    <row r="653" spans="1:9" x14ac:dyDescent="0.25">
      <c r="A653" s="6">
        <v>43411</v>
      </c>
      <c r="B653" t="s">
        <v>91</v>
      </c>
      <c r="C653">
        <v>59376</v>
      </c>
      <c r="D653" t="s">
        <v>82</v>
      </c>
      <c r="E653" s="7">
        <v>1295.17</v>
      </c>
      <c r="F653" t="s">
        <v>20</v>
      </c>
      <c r="G653" t="s">
        <v>21</v>
      </c>
      <c r="H653" t="str">
        <f>"SI-1026746"</f>
        <v>SI-1026746</v>
      </c>
      <c r="I653" t="str">
        <f>"COMPUTER MONIITOR"</f>
        <v>COMPUTER MONIITOR</v>
      </c>
    </row>
    <row r="654" spans="1:9" x14ac:dyDescent="0.25">
      <c r="A654" s="6">
        <v>43411</v>
      </c>
      <c r="B654" t="s">
        <v>91</v>
      </c>
      <c r="C654">
        <v>59376</v>
      </c>
      <c r="D654" t="s">
        <v>82</v>
      </c>
      <c r="E654" s="7">
        <v>1295.17</v>
      </c>
      <c r="F654" t="s">
        <v>20</v>
      </c>
      <c r="G654" t="s">
        <v>21</v>
      </c>
      <c r="H654" t="str">
        <f>"SI-1027063"</f>
        <v>SI-1027063</v>
      </c>
      <c r="I654" t="str">
        <f>"THINK PAD/WARRANTY"</f>
        <v>THINK PAD/WARRANTY</v>
      </c>
    </row>
    <row r="655" spans="1:9" x14ac:dyDescent="0.25">
      <c r="A655" s="6">
        <v>43411</v>
      </c>
      <c r="B655" t="s">
        <v>91</v>
      </c>
      <c r="C655">
        <v>59376</v>
      </c>
      <c r="D655" t="s">
        <v>82</v>
      </c>
      <c r="E655" s="7">
        <v>1295.17</v>
      </c>
      <c r="F655" t="s">
        <v>20</v>
      </c>
      <c r="G655" t="s">
        <v>93</v>
      </c>
      <c r="H655" t="str">
        <f>"CHECK"</f>
        <v>CHECK</v>
      </c>
      <c r="I655" t="str">
        <f>""</f>
        <v/>
      </c>
    </row>
    <row r="656" spans="1:9" x14ac:dyDescent="0.25">
      <c r="A656" s="6">
        <v>43411</v>
      </c>
      <c r="B656" t="s">
        <v>26</v>
      </c>
      <c r="C656">
        <v>59377</v>
      </c>
      <c r="D656" t="s">
        <v>85</v>
      </c>
      <c r="E656" s="7">
        <v>2053.52</v>
      </c>
      <c r="F656" t="s">
        <v>20</v>
      </c>
      <c r="G656" t="s">
        <v>21</v>
      </c>
      <c r="H656" t="str">
        <f>"2162691 11/2018"</f>
        <v>2162691 11/2018</v>
      </c>
      <c r="I656" t="str">
        <f>"FRONTIER"</f>
        <v>FRONTIER</v>
      </c>
    </row>
    <row r="657" spans="1:9" x14ac:dyDescent="0.25">
      <c r="A657" s="6">
        <v>43411</v>
      </c>
      <c r="B657" t="s">
        <v>26</v>
      </c>
      <c r="C657">
        <v>59377</v>
      </c>
      <c r="D657" t="s">
        <v>85</v>
      </c>
      <c r="E657" s="7">
        <v>2053.52</v>
      </c>
      <c r="F657" t="s">
        <v>20</v>
      </c>
      <c r="G657" t="s">
        <v>21</v>
      </c>
      <c r="H657" t="str">
        <f>"2162745 11/2018"</f>
        <v>2162745 11/2018</v>
      </c>
      <c r="I657" t="str">
        <f>"FRONTIER"</f>
        <v>FRONTIER</v>
      </c>
    </row>
    <row r="658" spans="1:9" x14ac:dyDescent="0.25">
      <c r="A658" s="6">
        <v>43411</v>
      </c>
      <c r="B658" t="s">
        <v>26</v>
      </c>
      <c r="C658">
        <v>59377</v>
      </c>
      <c r="D658" t="s">
        <v>85</v>
      </c>
      <c r="E658" s="7">
        <v>2053.52</v>
      </c>
      <c r="F658" t="s">
        <v>20</v>
      </c>
      <c r="G658" t="s">
        <v>21</v>
      </c>
      <c r="H658" t="str">
        <f>"3933718 11/2018"</f>
        <v>3933718 11/2018</v>
      </c>
      <c r="I658" t="str">
        <f>"FRONTIER"</f>
        <v>FRONTIER</v>
      </c>
    </row>
    <row r="659" spans="1:9" x14ac:dyDescent="0.25">
      <c r="A659" s="6">
        <v>43411</v>
      </c>
      <c r="B659" t="s">
        <v>26</v>
      </c>
      <c r="C659">
        <v>59377</v>
      </c>
      <c r="D659" t="s">
        <v>85</v>
      </c>
      <c r="E659" s="7">
        <v>2053.52</v>
      </c>
      <c r="F659" t="s">
        <v>20</v>
      </c>
      <c r="G659" t="s">
        <v>21</v>
      </c>
      <c r="H659" t="str">
        <f>"3937070 11/2018"</f>
        <v>3937070 11/2018</v>
      </c>
      <c r="I659" t="str">
        <f>"FRONTIER"</f>
        <v>FRONTIER</v>
      </c>
    </row>
    <row r="660" spans="1:9" x14ac:dyDescent="0.25">
      <c r="A660" s="6">
        <v>43411</v>
      </c>
      <c r="B660" t="s">
        <v>26</v>
      </c>
      <c r="C660">
        <v>59377</v>
      </c>
      <c r="D660" t="s">
        <v>85</v>
      </c>
      <c r="E660" s="7">
        <v>2053.52</v>
      </c>
      <c r="F660" t="s">
        <v>20</v>
      </c>
      <c r="G660" t="s">
        <v>21</v>
      </c>
      <c r="H660" t="str">
        <f>"8301970024 11/2018"</f>
        <v>8301970024 11/2018</v>
      </c>
      <c r="I660" t="str">
        <f>"FRONTIER"</f>
        <v>FRONTIER</v>
      </c>
    </row>
    <row r="661" spans="1:9" x14ac:dyDescent="0.25">
      <c r="A661" s="6">
        <v>43411</v>
      </c>
      <c r="B661" t="s">
        <v>91</v>
      </c>
      <c r="C661">
        <v>59378</v>
      </c>
      <c r="D661" t="s">
        <v>36</v>
      </c>
      <c r="E661" s="7">
        <v>75</v>
      </c>
      <c r="F661" t="s">
        <v>20</v>
      </c>
      <c r="G661" t="s">
        <v>21</v>
      </c>
      <c r="H661" t="str">
        <f>"11/2018-COUNCIL"</f>
        <v>11/2018-COUNCIL</v>
      </c>
      <c r="I661" t="str">
        <f>""</f>
        <v/>
      </c>
    </row>
    <row r="662" spans="1:9" x14ac:dyDescent="0.25">
      <c r="A662" s="6">
        <v>43411</v>
      </c>
      <c r="B662" t="s">
        <v>91</v>
      </c>
      <c r="C662">
        <v>59378</v>
      </c>
      <c r="D662" t="s">
        <v>36</v>
      </c>
      <c r="E662" s="7">
        <v>75</v>
      </c>
      <c r="F662" t="s">
        <v>20</v>
      </c>
      <c r="G662" t="s">
        <v>93</v>
      </c>
      <c r="H662" t="str">
        <f>"CHECK"</f>
        <v>CHECK</v>
      </c>
      <c r="I662" t="str">
        <f>""</f>
        <v/>
      </c>
    </row>
    <row r="663" spans="1:9" x14ac:dyDescent="0.25">
      <c r="A663" s="6">
        <v>43411</v>
      </c>
      <c r="B663" t="s">
        <v>91</v>
      </c>
      <c r="C663">
        <v>59379</v>
      </c>
      <c r="D663" t="s">
        <v>37</v>
      </c>
      <c r="E663" s="7">
        <v>75</v>
      </c>
      <c r="F663" t="s">
        <v>20</v>
      </c>
      <c r="G663" t="s">
        <v>21</v>
      </c>
      <c r="H663" t="str">
        <f>"11/2018-COUNCIL"</f>
        <v>11/2018-COUNCIL</v>
      </c>
      <c r="I663" t="str">
        <f>""</f>
        <v/>
      </c>
    </row>
    <row r="664" spans="1:9" x14ac:dyDescent="0.25">
      <c r="A664" s="6">
        <v>43411</v>
      </c>
      <c r="B664" t="s">
        <v>91</v>
      </c>
      <c r="C664">
        <v>59379</v>
      </c>
      <c r="D664" t="s">
        <v>37</v>
      </c>
      <c r="E664" s="7">
        <v>75</v>
      </c>
      <c r="F664" t="s">
        <v>20</v>
      </c>
      <c r="G664" t="s">
        <v>93</v>
      </c>
      <c r="H664" t="str">
        <f>"CHECK"</f>
        <v>CHECK</v>
      </c>
      <c r="I664" t="str">
        <f>""</f>
        <v/>
      </c>
    </row>
    <row r="665" spans="1:9" x14ac:dyDescent="0.25">
      <c r="A665" s="6">
        <v>43411</v>
      </c>
      <c r="B665" t="s">
        <v>26</v>
      </c>
      <c r="C665">
        <v>59380</v>
      </c>
      <c r="D665" t="s">
        <v>175</v>
      </c>
      <c r="E665" s="7">
        <v>500</v>
      </c>
      <c r="F665" t="s">
        <v>20</v>
      </c>
      <c r="G665" t="s">
        <v>21</v>
      </c>
      <c r="H665" t="str">
        <f>"151355"</f>
        <v>151355</v>
      </c>
      <c r="I665" t="str">
        <f>"AMER TECHNOLOGY  INC."</f>
        <v>AMER TECHNOLOGY  INC.</v>
      </c>
    </row>
    <row r="666" spans="1:9" x14ac:dyDescent="0.25">
      <c r="A666" s="6">
        <v>43411</v>
      </c>
      <c r="B666" t="s">
        <v>91</v>
      </c>
      <c r="C666">
        <v>59381</v>
      </c>
      <c r="D666" t="s">
        <v>38</v>
      </c>
      <c r="E666" s="7">
        <v>100</v>
      </c>
      <c r="F666" t="s">
        <v>20</v>
      </c>
      <c r="G666" t="s">
        <v>21</v>
      </c>
      <c r="H666" t="str">
        <f>"11/2018-MAYOR"</f>
        <v>11/2018-MAYOR</v>
      </c>
      <c r="I666" t="str">
        <f>""</f>
        <v/>
      </c>
    </row>
    <row r="667" spans="1:9" x14ac:dyDescent="0.25">
      <c r="A667" s="6">
        <v>43411</v>
      </c>
      <c r="B667" t="s">
        <v>91</v>
      </c>
      <c r="C667">
        <v>59381</v>
      </c>
      <c r="D667" t="s">
        <v>38</v>
      </c>
      <c r="E667" s="7">
        <v>100</v>
      </c>
      <c r="F667" t="s">
        <v>20</v>
      </c>
      <c r="G667" t="s">
        <v>93</v>
      </c>
      <c r="H667" t="str">
        <f>"CHECK"</f>
        <v>CHECK</v>
      </c>
      <c r="I667" t="str">
        <f>""</f>
        <v/>
      </c>
    </row>
    <row r="668" spans="1:9" x14ac:dyDescent="0.25">
      <c r="A668" s="6">
        <v>43411</v>
      </c>
      <c r="B668" t="s">
        <v>91</v>
      </c>
      <c r="C668">
        <v>59382</v>
      </c>
      <c r="D668" t="s">
        <v>39</v>
      </c>
      <c r="E668" s="7">
        <v>75</v>
      </c>
      <c r="F668" t="s">
        <v>20</v>
      </c>
      <c r="G668" t="s">
        <v>21</v>
      </c>
      <c r="H668" t="str">
        <f>"11/2018-COUNCIL"</f>
        <v>11/2018-COUNCIL</v>
      </c>
      <c r="I668" t="str">
        <f>""</f>
        <v/>
      </c>
    </row>
    <row r="669" spans="1:9" x14ac:dyDescent="0.25">
      <c r="A669" s="6">
        <v>43411</v>
      </c>
      <c r="B669" t="s">
        <v>91</v>
      </c>
      <c r="C669">
        <v>59382</v>
      </c>
      <c r="D669" t="s">
        <v>39</v>
      </c>
      <c r="E669" s="7">
        <v>75</v>
      </c>
      <c r="F669" t="s">
        <v>20</v>
      </c>
      <c r="G669" t="s">
        <v>93</v>
      </c>
      <c r="H669" t="str">
        <f>"CHECK"</f>
        <v>CHECK</v>
      </c>
      <c r="I669" t="str">
        <f>""</f>
        <v/>
      </c>
    </row>
    <row r="670" spans="1:9" x14ac:dyDescent="0.25">
      <c r="A670" s="6">
        <v>43411</v>
      </c>
      <c r="B670" t="s">
        <v>91</v>
      </c>
      <c r="C670">
        <v>59383</v>
      </c>
      <c r="D670" t="s">
        <v>40</v>
      </c>
      <c r="E670" s="7">
        <v>75</v>
      </c>
      <c r="F670" t="s">
        <v>20</v>
      </c>
      <c r="G670" t="s">
        <v>21</v>
      </c>
      <c r="H670" t="str">
        <f>"11/2018-COUNCIL"</f>
        <v>11/2018-COUNCIL</v>
      </c>
      <c r="I670" t="str">
        <f>""</f>
        <v/>
      </c>
    </row>
    <row r="671" spans="1:9" x14ac:dyDescent="0.25">
      <c r="A671" s="6">
        <v>43411</v>
      </c>
      <c r="B671" t="s">
        <v>91</v>
      </c>
      <c r="C671">
        <v>59383</v>
      </c>
      <c r="D671" t="s">
        <v>40</v>
      </c>
      <c r="E671" s="7">
        <v>75</v>
      </c>
      <c r="F671" t="s">
        <v>20</v>
      </c>
      <c r="G671" t="s">
        <v>93</v>
      </c>
      <c r="H671" t="str">
        <f>"CHECK"</f>
        <v>CHECK</v>
      </c>
      <c r="I671" t="str">
        <f>""</f>
        <v/>
      </c>
    </row>
    <row r="672" spans="1:9" x14ac:dyDescent="0.25">
      <c r="A672" s="6">
        <v>43411</v>
      </c>
      <c r="B672" t="s">
        <v>91</v>
      </c>
      <c r="C672">
        <v>59384</v>
      </c>
      <c r="D672" t="s">
        <v>563</v>
      </c>
      <c r="E672" s="7">
        <v>3645</v>
      </c>
      <c r="F672" t="s">
        <v>20</v>
      </c>
      <c r="G672" t="s">
        <v>21</v>
      </c>
      <c r="H672" t="str">
        <f>"940193078"</f>
        <v>940193078</v>
      </c>
      <c r="I672" t="str">
        <f>"SEAL CRACK TAR"</f>
        <v>SEAL CRACK TAR</v>
      </c>
    </row>
    <row r="673" spans="1:9" x14ac:dyDescent="0.25">
      <c r="A673" s="6">
        <v>43411</v>
      </c>
      <c r="B673" t="s">
        <v>91</v>
      </c>
      <c r="C673">
        <v>59384</v>
      </c>
      <c r="D673" t="s">
        <v>563</v>
      </c>
      <c r="E673" s="7">
        <v>3645</v>
      </c>
      <c r="F673" t="s">
        <v>20</v>
      </c>
      <c r="G673" t="s">
        <v>93</v>
      </c>
      <c r="H673" t="str">
        <f>"CHECK"</f>
        <v>CHECK</v>
      </c>
      <c r="I673" t="str">
        <f>""</f>
        <v/>
      </c>
    </row>
    <row r="674" spans="1:9" x14ac:dyDescent="0.25">
      <c r="A674" s="6">
        <v>43411</v>
      </c>
      <c r="B674" t="s">
        <v>26</v>
      </c>
      <c r="C674">
        <v>59385</v>
      </c>
      <c r="D674" t="s">
        <v>200</v>
      </c>
      <c r="E674" s="7">
        <v>3400</v>
      </c>
      <c r="F674" t="s">
        <v>20</v>
      </c>
      <c r="G674" t="s">
        <v>21</v>
      </c>
      <c r="H674" t="str">
        <f>"180527"</f>
        <v>180527</v>
      </c>
      <c r="I674" t="str">
        <f>"MARIO AVILES"</f>
        <v>MARIO AVILES</v>
      </c>
    </row>
    <row r="675" spans="1:9" x14ac:dyDescent="0.25">
      <c r="A675" s="6">
        <v>43411</v>
      </c>
      <c r="B675" t="s">
        <v>26</v>
      </c>
      <c r="C675">
        <v>59386</v>
      </c>
      <c r="D675" t="s">
        <v>345</v>
      </c>
      <c r="E675" s="7">
        <v>291.5</v>
      </c>
      <c r="F675" t="s">
        <v>20</v>
      </c>
      <c r="G675" t="s">
        <v>21</v>
      </c>
      <c r="H675" t="str">
        <f>"11/3/18"</f>
        <v>11/3/18</v>
      </c>
      <c r="I675" t="str">
        <f>"MICHAEL ISAAC MARTINEZ"</f>
        <v>MICHAEL ISAAC MARTINEZ</v>
      </c>
    </row>
    <row r="676" spans="1:9" x14ac:dyDescent="0.25">
      <c r="A676" s="6">
        <v>43411</v>
      </c>
      <c r="B676" t="s">
        <v>26</v>
      </c>
      <c r="C676">
        <v>59387</v>
      </c>
      <c r="D676" t="s">
        <v>398</v>
      </c>
      <c r="E676" s="7">
        <v>55</v>
      </c>
      <c r="F676" t="s">
        <v>20</v>
      </c>
      <c r="G676" t="s">
        <v>21</v>
      </c>
      <c r="H676" t="str">
        <f>"20181102"</f>
        <v>20181102</v>
      </c>
      <c r="I676" t="str">
        <f>"INTERCEPTOR TECHNOLOGY GROUP L"</f>
        <v>INTERCEPTOR TECHNOLOGY GROUP L</v>
      </c>
    </row>
    <row r="677" spans="1:9" x14ac:dyDescent="0.25">
      <c r="A677" s="6">
        <v>43411</v>
      </c>
      <c r="B677" t="s">
        <v>26</v>
      </c>
      <c r="C677">
        <v>59388</v>
      </c>
      <c r="D677" t="s">
        <v>443</v>
      </c>
      <c r="E677" s="7">
        <v>1806.24</v>
      </c>
      <c r="F677" t="s">
        <v>20</v>
      </c>
      <c r="G677" t="s">
        <v>21</v>
      </c>
      <c r="H677" t="str">
        <f>"10472"</f>
        <v>10472</v>
      </c>
      <c r="I677" t="str">
        <f>"RIOJAS TURF CARE  LLC"</f>
        <v>RIOJAS TURF CARE  LLC</v>
      </c>
    </row>
    <row r="678" spans="1:9" x14ac:dyDescent="0.25">
      <c r="A678" s="6">
        <v>43411</v>
      </c>
      <c r="B678" t="s">
        <v>91</v>
      </c>
      <c r="C678">
        <v>59389</v>
      </c>
      <c r="D678" t="s">
        <v>552</v>
      </c>
      <c r="E678" s="7">
        <v>1056</v>
      </c>
      <c r="F678" t="s">
        <v>20</v>
      </c>
      <c r="G678" t="s">
        <v>21</v>
      </c>
      <c r="H678" t="str">
        <f>"201811028498"</f>
        <v>201811028498</v>
      </c>
      <c r="I678" t="str">
        <f>"BASE MATERIAL"</f>
        <v>BASE MATERIAL</v>
      </c>
    </row>
    <row r="679" spans="1:9" x14ac:dyDescent="0.25">
      <c r="A679" s="6">
        <v>43411</v>
      </c>
      <c r="B679" t="s">
        <v>91</v>
      </c>
      <c r="C679">
        <v>59389</v>
      </c>
      <c r="D679" t="s">
        <v>552</v>
      </c>
      <c r="E679" s="7">
        <v>1056</v>
      </c>
      <c r="F679" t="s">
        <v>20</v>
      </c>
      <c r="G679" t="s">
        <v>93</v>
      </c>
      <c r="H679" t="str">
        <f>"CHECK"</f>
        <v>CHECK</v>
      </c>
      <c r="I679" t="str">
        <f>""</f>
        <v/>
      </c>
    </row>
    <row r="680" spans="1:9" x14ac:dyDescent="0.25">
      <c r="A680" s="6">
        <v>43411</v>
      </c>
      <c r="B680" t="s">
        <v>26</v>
      </c>
      <c r="C680">
        <v>59390</v>
      </c>
      <c r="D680" t="s">
        <v>608</v>
      </c>
      <c r="E680" s="7">
        <v>3295</v>
      </c>
      <c r="F680" t="s">
        <v>20</v>
      </c>
      <c r="G680" t="s">
        <v>21</v>
      </c>
      <c r="H680" t="str">
        <f>"FPD-18-1"</f>
        <v>FPD-18-1</v>
      </c>
      <c r="I680" t="str">
        <f>"FIREARMS"</f>
        <v>FIREARMS</v>
      </c>
    </row>
    <row r="681" spans="1:9" x14ac:dyDescent="0.25">
      <c r="A681" s="6">
        <v>43411</v>
      </c>
      <c r="B681" t="s">
        <v>26</v>
      </c>
      <c r="C681">
        <v>59391</v>
      </c>
      <c r="D681" t="s">
        <v>559</v>
      </c>
      <c r="E681" s="7">
        <v>393.16</v>
      </c>
      <c r="F681" t="s">
        <v>20</v>
      </c>
      <c r="G681" t="s">
        <v>21</v>
      </c>
      <c r="H681" t="str">
        <f>"62699"</f>
        <v>62699</v>
      </c>
      <c r="I681" t="str">
        <f>"PAGE'S PRINTING"</f>
        <v>PAGE'S PRINTING</v>
      </c>
    </row>
    <row r="682" spans="1:9" x14ac:dyDescent="0.25">
      <c r="A682" s="6">
        <v>43411</v>
      </c>
      <c r="B682" t="s">
        <v>26</v>
      </c>
      <c r="C682">
        <v>59392</v>
      </c>
      <c r="D682" t="s">
        <v>609</v>
      </c>
      <c r="E682" s="7">
        <v>463.62</v>
      </c>
      <c r="F682" t="s">
        <v>20</v>
      </c>
      <c r="G682" t="s">
        <v>21</v>
      </c>
      <c r="H682" t="str">
        <f>"31712214"</f>
        <v>31712214</v>
      </c>
      <c r="I682" t="str">
        <f>"OIL BARREL"</f>
        <v>OIL BARREL</v>
      </c>
    </row>
    <row r="683" spans="1:9" x14ac:dyDescent="0.25">
      <c r="A683" s="6">
        <v>43411</v>
      </c>
      <c r="B683" t="s">
        <v>26</v>
      </c>
      <c r="C683">
        <v>59393</v>
      </c>
      <c r="D683" t="s">
        <v>164</v>
      </c>
      <c r="E683" s="7">
        <v>455</v>
      </c>
      <c r="F683" t="s">
        <v>20</v>
      </c>
      <c r="G683" t="s">
        <v>21</v>
      </c>
      <c r="H683" t="str">
        <f>"291932"</f>
        <v>291932</v>
      </c>
      <c r="I683" t="str">
        <f>"A-Z COMMUNICATIONS"</f>
        <v>A-Z COMMUNICATIONS</v>
      </c>
    </row>
    <row r="684" spans="1:9" x14ac:dyDescent="0.25">
      <c r="A684" s="6">
        <v>43411</v>
      </c>
      <c r="B684" t="s">
        <v>26</v>
      </c>
      <c r="C684">
        <v>59394</v>
      </c>
      <c r="D684" t="s">
        <v>534</v>
      </c>
      <c r="E684" s="7">
        <v>107.17</v>
      </c>
      <c r="F684" t="s">
        <v>20</v>
      </c>
      <c r="G684" t="s">
        <v>21</v>
      </c>
      <c r="H684" t="str">
        <f>"8403878121"</f>
        <v>8403878121</v>
      </c>
      <c r="I684" t="str">
        <f>"CINTAS CORPORATION NO. 2"</f>
        <v>CINTAS CORPORATION NO. 2</v>
      </c>
    </row>
    <row r="685" spans="1:9" x14ac:dyDescent="0.25">
      <c r="A685" s="6">
        <v>43411</v>
      </c>
      <c r="B685" t="s">
        <v>26</v>
      </c>
      <c r="C685">
        <v>59395</v>
      </c>
      <c r="D685" t="s">
        <v>97</v>
      </c>
      <c r="E685" s="7">
        <v>2133.1999999999998</v>
      </c>
      <c r="F685" t="s">
        <v>20</v>
      </c>
      <c r="G685" t="s">
        <v>21</v>
      </c>
      <c r="H685" t="str">
        <f>"COBRA 11/2018"</f>
        <v>COBRA 11/2018</v>
      </c>
      <c r="I685" t="str">
        <f>"HEALTH CARE SERVICE CORPORATIO"</f>
        <v>HEALTH CARE SERVICE CORPORATIO</v>
      </c>
    </row>
    <row r="686" spans="1:9" x14ac:dyDescent="0.25">
      <c r="A686" s="6">
        <v>43411</v>
      </c>
      <c r="B686" t="s">
        <v>26</v>
      </c>
      <c r="C686">
        <v>59396</v>
      </c>
      <c r="D686" t="s">
        <v>610</v>
      </c>
      <c r="E686" s="7">
        <v>43014</v>
      </c>
      <c r="F686" t="s">
        <v>20</v>
      </c>
      <c r="G686" t="s">
        <v>21</v>
      </c>
      <c r="H686" t="str">
        <f>"10/2018"</f>
        <v>10/2018</v>
      </c>
      <c r="I686" t="str">
        <f>"TEXAS MUNICIPAL LEAGUE INTERGO"</f>
        <v>TEXAS MUNICIPAL LEAGUE INTERGO</v>
      </c>
    </row>
    <row r="687" spans="1:9" x14ac:dyDescent="0.25">
      <c r="A687" s="6">
        <v>43412</v>
      </c>
      <c r="B687" t="s">
        <v>26</v>
      </c>
      <c r="C687">
        <v>59397</v>
      </c>
      <c r="D687" t="s">
        <v>611</v>
      </c>
      <c r="E687" s="7">
        <v>1049.75</v>
      </c>
      <c r="F687" t="s">
        <v>20</v>
      </c>
      <c r="G687" t="s">
        <v>21</v>
      </c>
      <c r="H687" t="str">
        <f t="shared" ref="H687:H692" si="6">"ELECTIONS 11/2018"</f>
        <v>ELECTIONS 11/2018</v>
      </c>
      <c r="I687" t="str">
        <f>"MARY LOU TORRES"</f>
        <v>MARY LOU TORRES</v>
      </c>
    </row>
    <row r="688" spans="1:9" x14ac:dyDescent="0.25">
      <c r="A688" s="6">
        <v>43412</v>
      </c>
      <c r="B688" t="s">
        <v>26</v>
      </c>
      <c r="C688">
        <v>59398</v>
      </c>
      <c r="D688" t="s">
        <v>612</v>
      </c>
      <c r="E688" s="7">
        <v>1825</v>
      </c>
      <c r="F688" t="s">
        <v>20</v>
      </c>
      <c r="G688" t="s">
        <v>21</v>
      </c>
      <c r="H688" t="str">
        <f t="shared" si="6"/>
        <v>ELECTIONS 11/2018</v>
      </c>
      <c r="I688" t="str">
        <f>"JENNIFER MARIE MURILLO"</f>
        <v>JENNIFER MARIE MURILLO</v>
      </c>
    </row>
    <row r="689" spans="1:9" x14ac:dyDescent="0.25">
      <c r="A689" s="6">
        <v>43412</v>
      </c>
      <c r="B689" t="s">
        <v>26</v>
      </c>
      <c r="C689">
        <v>59399</v>
      </c>
      <c r="D689" t="s">
        <v>613</v>
      </c>
      <c r="E689" s="7">
        <v>1621.75</v>
      </c>
      <c r="F689" t="s">
        <v>20</v>
      </c>
      <c r="G689" t="s">
        <v>21</v>
      </c>
      <c r="H689" t="str">
        <f t="shared" si="6"/>
        <v>ELECTIONS 11/2018</v>
      </c>
      <c r="I689" t="str">
        <f>"ELDA RODRIGUEZ"</f>
        <v>ELDA RODRIGUEZ</v>
      </c>
    </row>
    <row r="690" spans="1:9" x14ac:dyDescent="0.25">
      <c r="A690" s="6">
        <v>43412</v>
      </c>
      <c r="B690" t="s">
        <v>26</v>
      </c>
      <c r="C690">
        <v>59400</v>
      </c>
      <c r="D690" t="s">
        <v>344</v>
      </c>
      <c r="E690" s="7">
        <v>189</v>
      </c>
      <c r="F690" t="s">
        <v>20</v>
      </c>
      <c r="G690" t="s">
        <v>21</v>
      </c>
      <c r="H690" t="str">
        <f t="shared" si="6"/>
        <v>ELECTIONS 11/2018</v>
      </c>
      <c r="I690" t="str">
        <f>"ALLISON RENAE LOPEZ"</f>
        <v>ALLISON RENAE LOPEZ</v>
      </c>
    </row>
    <row r="691" spans="1:9" x14ac:dyDescent="0.25">
      <c r="A691" s="6">
        <v>43412</v>
      </c>
      <c r="B691" t="s">
        <v>26</v>
      </c>
      <c r="C691">
        <v>59401</v>
      </c>
      <c r="D691" t="s">
        <v>614</v>
      </c>
      <c r="E691" s="7">
        <v>734.5</v>
      </c>
      <c r="F691" t="s">
        <v>20</v>
      </c>
      <c r="G691" t="s">
        <v>21</v>
      </c>
      <c r="H691" t="str">
        <f t="shared" si="6"/>
        <v>ELECTIONS 11/2018</v>
      </c>
      <c r="I691" t="str">
        <f>"DONNA PEREZ"</f>
        <v>DONNA PEREZ</v>
      </c>
    </row>
    <row r="692" spans="1:9" x14ac:dyDescent="0.25">
      <c r="A692" s="6">
        <v>43412</v>
      </c>
      <c r="B692" t="s">
        <v>91</v>
      </c>
      <c r="C692">
        <v>59402</v>
      </c>
      <c r="D692" t="s">
        <v>346</v>
      </c>
      <c r="E692" s="7">
        <v>1861</v>
      </c>
      <c r="F692" t="s">
        <v>20</v>
      </c>
      <c r="G692" t="s">
        <v>21</v>
      </c>
      <c r="H692" t="str">
        <f t="shared" si="6"/>
        <v>ELECTIONS 11/2018</v>
      </c>
      <c r="I692" t="str">
        <f>"SYLVIA RODRIGUEZ"</f>
        <v>SYLVIA RODRIGUEZ</v>
      </c>
    </row>
    <row r="693" spans="1:9" x14ac:dyDescent="0.25">
      <c r="A693" s="6">
        <v>43412</v>
      </c>
      <c r="B693" t="s">
        <v>91</v>
      </c>
      <c r="C693">
        <v>59402</v>
      </c>
      <c r="D693" t="s">
        <v>346</v>
      </c>
      <c r="E693" s="7">
        <v>1861</v>
      </c>
      <c r="F693" t="s">
        <v>20</v>
      </c>
      <c r="G693" t="s">
        <v>93</v>
      </c>
      <c r="H693" t="str">
        <f>"CHECK"</f>
        <v>CHECK</v>
      </c>
      <c r="I693" t="str">
        <f>""</f>
        <v/>
      </c>
    </row>
    <row r="694" spans="1:9" x14ac:dyDescent="0.25">
      <c r="A694" s="6">
        <v>43412</v>
      </c>
      <c r="B694" t="s">
        <v>26</v>
      </c>
      <c r="C694">
        <v>59403</v>
      </c>
      <c r="D694" t="s">
        <v>615</v>
      </c>
      <c r="E694" s="7">
        <v>175.5</v>
      </c>
      <c r="F694" t="s">
        <v>20</v>
      </c>
      <c r="G694" t="s">
        <v>21</v>
      </c>
      <c r="H694" t="str">
        <f>"ELECTIONS 11/2018"</f>
        <v>ELECTIONS 11/2018</v>
      </c>
      <c r="I694" t="str">
        <f>"HALEY TREVINO"</f>
        <v>HALEY TREVINO</v>
      </c>
    </row>
    <row r="695" spans="1:9" x14ac:dyDescent="0.25">
      <c r="A695" s="6">
        <v>43412</v>
      </c>
      <c r="B695" t="s">
        <v>26</v>
      </c>
      <c r="C695">
        <v>59404</v>
      </c>
      <c r="D695" t="s">
        <v>616</v>
      </c>
      <c r="E695" s="7">
        <v>175.5</v>
      </c>
      <c r="F695" t="s">
        <v>20</v>
      </c>
      <c r="G695" t="s">
        <v>21</v>
      </c>
      <c r="H695" t="str">
        <f>"ELECTIONS 11/2018"</f>
        <v>ELECTIONS 11/2018</v>
      </c>
      <c r="I695" t="str">
        <f>"SERENA VELA"</f>
        <v>SERENA VELA</v>
      </c>
    </row>
    <row r="696" spans="1:9" x14ac:dyDescent="0.25">
      <c r="A696" s="6">
        <v>43412</v>
      </c>
      <c r="B696" t="s">
        <v>26</v>
      </c>
      <c r="C696">
        <v>59405</v>
      </c>
      <c r="D696" t="s">
        <v>617</v>
      </c>
      <c r="E696" s="7">
        <v>169</v>
      </c>
      <c r="F696" t="s">
        <v>20</v>
      </c>
      <c r="G696" t="s">
        <v>21</v>
      </c>
      <c r="H696" t="str">
        <f>"ELECTIONS 11/2018"</f>
        <v>ELECTIONS 11/2018</v>
      </c>
      <c r="I696" t="str">
        <f>"KASSANDRA ARANDA"</f>
        <v>KASSANDRA ARANDA</v>
      </c>
    </row>
    <row r="697" spans="1:9" x14ac:dyDescent="0.25">
      <c r="A697" s="6">
        <v>43413</v>
      </c>
      <c r="B697" t="s">
        <v>26</v>
      </c>
      <c r="C697">
        <v>59406</v>
      </c>
      <c r="D697" t="s">
        <v>618</v>
      </c>
      <c r="E697" s="7">
        <v>1861</v>
      </c>
      <c r="F697" t="s">
        <v>20</v>
      </c>
      <c r="G697" t="s">
        <v>21</v>
      </c>
      <c r="H697" t="str">
        <f>"ELECTIONS 11/2018"</f>
        <v>ELECTIONS 11/2018</v>
      </c>
      <c r="I697" t="str">
        <f>"SYLVIA TREVINO"</f>
        <v>SYLVIA TREVINO</v>
      </c>
    </row>
    <row r="698" spans="1:9" x14ac:dyDescent="0.25">
      <c r="A698" s="6">
        <v>43418</v>
      </c>
      <c r="B698" t="s">
        <v>26</v>
      </c>
      <c r="C698">
        <v>59407</v>
      </c>
      <c r="D698" t="s">
        <v>102</v>
      </c>
      <c r="E698" s="7">
        <v>131.81</v>
      </c>
      <c r="F698" t="s">
        <v>20</v>
      </c>
      <c r="G698" t="s">
        <v>21</v>
      </c>
      <c r="H698" t="str">
        <f>"1ST ST 11/18*"</f>
        <v>1ST ST 11/18*</v>
      </c>
      <c r="I698" t="str">
        <f>"CENTERPOINT ENERGY ENTEX"</f>
        <v>CENTERPOINT ENERGY ENTEX</v>
      </c>
    </row>
    <row r="699" spans="1:9" x14ac:dyDescent="0.25">
      <c r="A699" s="6">
        <v>43418</v>
      </c>
      <c r="B699" t="s">
        <v>26</v>
      </c>
      <c r="C699">
        <v>59407</v>
      </c>
      <c r="D699" t="s">
        <v>102</v>
      </c>
      <c r="E699" s="7">
        <v>131.81</v>
      </c>
      <c r="F699" t="s">
        <v>20</v>
      </c>
      <c r="G699" t="s">
        <v>21</v>
      </c>
      <c r="H699" t="str">
        <f>"1ST. ST 11/2018"</f>
        <v>1ST. ST 11/2018</v>
      </c>
      <c r="I699" t="str">
        <f>"CENTERPOINT ENERGY ENTEX"</f>
        <v>CENTERPOINT ENERGY ENTEX</v>
      </c>
    </row>
    <row r="700" spans="1:9" x14ac:dyDescent="0.25">
      <c r="A700" s="6">
        <v>43418</v>
      </c>
      <c r="B700" t="s">
        <v>26</v>
      </c>
      <c r="C700">
        <v>59407</v>
      </c>
      <c r="D700" t="s">
        <v>102</v>
      </c>
      <c r="E700" s="7">
        <v>131.81</v>
      </c>
      <c r="F700" t="s">
        <v>20</v>
      </c>
      <c r="G700" t="s">
        <v>21</v>
      </c>
      <c r="H700" t="str">
        <f>"C ST. 11/2018"</f>
        <v>C ST. 11/2018</v>
      </c>
      <c r="I700" t="str">
        <f>"CENTERPOINT ENERGY ENTEX"</f>
        <v>CENTERPOINT ENERGY ENTEX</v>
      </c>
    </row>
    <row r="701" spans="1:9" x14ac:dyDescent="0.25">
      <c r="A701" s="6">
        <v>43418</v>
      </c>
      <c r="B701" t="s">
        <v>26</v>
      </c>
      <c r="C701">
        <v>59407</v>
      </c>
      <c r="D701" t="s">
        <v>102</v>
      </c>
      <c r="E701" s="7">
        <v>131.81</v>
      </c>
      <c r="F701" t="s">
        <v>20</v>
      </c>
      <c r="G701" t="s">
        <v>21</v>
      </c>
      <c r="H701" t="str">
        <f>"D ST. 11/2018"</f>
        <v>D ST. 11/2018</v>
      </c>
      <c r="I701" t="str">
        <f>"CENTERPOINT ENERGY ENTEX"</f>
        <v>CENTERPOINT ENERGY ENTEX</v>
      </c>
    </row>
    <row r="702" spans="1:9" x14ac:dyDescent="0.25">
      <c r="A702" s="6">
        <v>43418</v>
      </c>
      <c r="B702" t="s">
        <v>26</v>
      </c>
      <c r="C702">
        <v>59408</v>
      </c>
      <c r="D702" t="s">
        <v>150</v>
      </c>
      <c r="E702" s="7">
        <v>15000</v>
      </c>
      <c r="F702" t="s">
        <v>20</v>
      </c>
      <c r="G702" t="s">
        <v>21</v>
      </c>
      <c r="H702" t="str">
        <f>"FY2018/2019"</f>
        <v>FY2018/2019</v>
      </c>
      <c r="I702" t="str">
        <f>"FLORESVILLE CHAMBER OF COMMERC"</f>
        <v>FLORESVILLE CHAMBER OF COMMERC</v>
      </c>
    </row>
    <row r="703" spans="1:9" x14ac:dyDescent="0.25">
      <c r="A703" s="6">
        <v>43418</v>
      </c>
      <c r="B703" t="s">
        <v>26</v>
      </c>
      <c r="C703">
        <v>59409</v>
      </c>
      <c r="D703" t="s">
        <v>103</v>
      </c>
      <c r="E703" s="7">
        <v>73272.179999999993</v>
      </c>
      <c r="F703" t="s">
        <v>20</v>
      </c>
      <c r="G703" t="s">
        <v>21</v>
      </c>
      <c r="H703" t="str">
        <f>"5315FEDC"</f>
        <v>5315FEDC</v>
      </c>
      <c r="I703" t="str">
        <f>"F. E. D. C."</f>
        <v>F. E. D. C.</v>
      </c>
    </row>
    <row r="704" spans="1:9" x14ac:dyDescent="0.25">
      <c r="A704" s="6">
        <v>43418</v>
      </c>
      <c r="B704" t="s">
        <v>26</v>
      </c>
      <c r="C704">
        <v>59410</v>
      </c>
      <c r="D704" t="s">
        <v>59</v>
      </c>
      <c r="E704" s="7">
        <v>2150.83</v>
      </c>
      <c r="F704" t="s">
        <v>20</v>
      </c>
      <c r="G704" t="s">
        <v>21</v>
      </c>
      <c r="H704" t="str">
        <f>"0991403"</f>
        <v>0991403</v>
      </c>
      <c r="I704" t="str">
        <f>"PIPE/BOLTS"</f>
        <v>PIPE/BOLTS</v>
      </c>
    </row>
    <row r="705" spans="1:9" x14ac:dyDescent="0.25">
      <c r="A705" s="6">
        <v>43418</v>
      </c>
      <c r="B705" t="s">
        <v>26</v>
      </c>
      <c r="C705">
        <v>59410</v>
      </c>
      <c r="D705" t="s">
        <v>59</v>
      </c>
      <c r="E705" s="7">
        <v>2150.83</v>
      </c>
      <c r="F705" t="s">
        <v>20</v>
      </c>
      <c r="G705" t="s">
        <v>21</v>
      </c>
      <c r="H705" t="str">
        <f>"0991405"</f>
        <v>0991405</v>
      </c>
      <c r="I705" t="str">
        <f>"PIPE/BOLTS"</f>
        <v>PIPE/BOLTS</v>
      </c>
    </row>
    <row r="706" spans="1:9" x14ac:dyDescent="0.25">
      <c r="A706" s="6">
        <v>43418</v>
      </c>
      <c r="B706" t="s">
        <v>26</v>
      </c>
      <c r="C706">
        <v>59411</v>
      </c>
      <c r="D706" t="s">
        <v>105</v>
      </c>
      <c r="E706" s="7">
        <v>21</v>
      </c>
      <c r="F706" t="s">
        <v>20</v>
      </c>
      <c r="G706" t="s">
        <v>21</v>
      </c>
      <c r="H706" t="str">
        <f>"305360"</f>
        <v>305360</v>
      </c>
      <c r="I706" t="str">
        <f>"INSPECTION STICKER"</f>
        <v>INSPECTION STICKER</v>
      </c>
    </row>
    <row r="707" spans="1:9" x14ac:dyDescent="0.25">
      <c r="A707" s="6">
        <v>43418</v>
      </c>
      <c r="B707" t="s">
        <v>26</v>
      </c>
      <c r="C707">
        <v>59411</v>
      </c>
      <c r="D707" t="s">
        <v>105</v>
      </c>
      <c r="E707" s="7">
        <v>21</v>
      </c>
      <c r="F707" t="s">
        <v>20</v>
      </c>
      <c r="G707" t="s">
        <v>21</v>
      </c>
      <c r="H707" t="str">
        <f>"305361"</f>
        <v>305361</v>
      </c>
      <c r="I707" t="str">
        <f>"INSPECTION STICKER"</f>
        <v>INSPECTION STICKER</v>
      </c>
    </row>
    <row r="708" spans="1:9" x14ac:dyDescent="0.25">
      <c r="A708" s="6">
        <v>43418</v>
      </c>
      <c r="B708" t="s">
        <v>26</v>
      </c>
      <c r="C708">
        <v>59411</v>
      </c>
      <c r="D708" t="s">
        <v>105</v>
      </c>
      <c r="E708" s="7">
        <v>21</v>
      </c>
      <c r="F708" t="s">
        <v>20</v>
      </c>
      <c r="G708" t="s">
        <v>21</v>
      </c>
      <c r="H708" t="str">
        <f>"305840"</f>
        <v>305840</v>
      </c>
      <c r="I708" t="str">
        <f>"INSPECTION"</f>
        <v>INSPECTION</v>
      </c>
    </row>
    <row r="709" spans="1:9" x14ac:dyDescent="0.25">
      <c r="A709" s="6">
        <v>43418</v>
      </c>
      <c r="B709" t="s">
        <v>26</v>
      </c>
      <c r="C709">
        <v>59412</v>
      </c>
      <c r="D709" t="s">
        <v>619</v>
      </c>
      <c r="E709" s="7">
        <v>1943.32</v>
      </c>
      <c r="F709" t="s">
        <v>20</v>
      </c>
      <c r="G709" t="s">
        <v>21</v>
      </c>
      <c r="H709" t="str">
        <f>"279280"</f>
        <v>279280</v>
      </c>
      <c r="I709" t="str">
        <f>"DE LA GARZA FENCE CO.  INC"</f>
        <v>DE LA GARZA FENCE CO.  INC</v>
      </c>
    </row>
    <row r="710" spans="1:9" x14ac:dyDescent="0.25">
      <c r="A710" s="6">
        <v>43418</v>
      </c>
      <c r="B710" t="s">
        <v>91</v>
      </c>
      <c r="C710">
        <v>59413</v>
      </c>
      <c r="D710" t="s">
        <v>166</v>
      </c>
      <c r="E710" s="7">
        <v>602</v>
      </c>
      <c r="F710" t="s">
        <v>20</v>
      </c>
      <c r="G710" t="s">
        <v>21</v>
      </c>
      <c r="H710" t="str">
        <f>"SN-3162695 MTR RFL"</f>
        <v>SN-3162695 MTR RFL</v>
      </c>
      <c r="I710" t="str">
        <f>"PITNEY BOWES PURCHASE POWER"</f>
        <v>PITNEY BOWES PURCHASE POWER</v>
      </c>
    </row>
    <row r="711" spans="1:9" x14ac:dyDescent="0.25">
      <c r="A711" s="6">
        <v>43418</v>
      </c>
      <c r="B711" t="s">
        <v>91</v>
      </c>
      <c r="C711">
        <v>59413</v>
      </c>
      <c r="D711" t="s">
        <v>166</v>
      </c>
      <c r="E711" s="7">
        <v>602</v>
      </c>
      <c r="F711" t="s">
        <v>20</v>
      </c>
      <c r="G711" t="s">
        <v>93</v>
      </c>
      <c r="H711" t="str">
        <f>"CHECK"</f>
        <v>CHECK</v>
      </c>
      <c r="I711" t="str">
        <f>""</f>
        <v/>
      </c>
    </row>
    <row r="712" spans="1:9" x14ac:dyDescent="0.25">
      <c r="A712" s="6">
        <v>43418</v>
      </c>
      <c r="B712" t="s">
        <v>26</v>
      </c>
      <c r="C712">
        <v>59414</v>
      </c>
      <c r="D712" t="s">
        <v>273</v>
      </c>
      <c r="E712" s="7">
        <v>4448.79</v>
      </c>
      <c r="F712" t="s">
        <v>20</v>
      </c>
      <c r="G712" t="s">
        <v>21</v>
      </c>
      <c r="H712" t="str">
        <f>"5119-000085766"</f>
        <v>5119-000085766</v>
      </c>
      <c r="I712" t="str">
        <f>"REPUBLIC SERVICES TESSMAN ROAD"</f>
        <v>REPUBLIC SERVICES TESSMAN ROAD</v>
      </c>
    </row>
    <row r="713" spans="1:9" x14ac:dyDescent="0.25">
      <c r="A713" s="6">
        <v>43418</v>
      </c>
      <c r="B713" t="s">
        <v>26</v>
      </c>
      <c r="C713">
        <v>59415</v>
      </c>
      <c r="D713" t="s">
        <v>180</v>
      </c>
      <c r="E713" s="7">
        <v>25.82</v>
      </c>
      <c r="F713" t="s">
        <v>20</v>
      </c>
      <c r="G713" t="s">
        <v>21</v>
      </c>
      <c r="H713" t="str">
        <f>"120858"</f>
        <v>120858</v>
      </c>
      <c r="I713" t="str">
        <f>"WATER METER PARTS"</f>
        <v>WATER METER PARTS</v>
      </c>
    </row>
    <row r="714" spans="1:9" x14ac:dyDescent="0.25">
      <c r="A714" s="6">
        <v>43418</v>
      </c>
      <c r="B714" t="s">
        <v>26</v>
      </c>
      <c r="C714">
        <v>59416</v>
      </c>
      <c r="D714" t="s">
        <v>203</v>
      </c>
      <c r="E714" s="7">
        <v>548.89</v>
      </c>
      <c r="F714" t="s">
        <v>20</v>
      </c>
      <c r="G714" t="s">
        <v>21</v>
      </c>
      <c r="H714" t="str">
        <f>"719600"</f>
        <v>719600</v>
      </c>
      <c r="I714" t="str">
        <f>"VARIOUS ITEMS FOR WWTF"</f>
        <v>VARIOUS ITEMS FOR WWTF</v>
      </c>
    </row>
    <row r="715" spans="1:9" x14ac:dyDescent="0.25">
      <c r="A715" s="6">
        <v>43418</v>
      </c>
      <c r="B715" t="s">
        <v>26</v>
      </c>
      <c r="C715">
        <v>59416</v>
      </c>
      <c r="D715" t="s">
        <v>203</v>
      </c>
      <c r="E715" s="7">
        <v>548.89</v>
      </c>
      <c r="F715" t="s">
        <v>20</v>
      </c>
      <c r="G715" t="s">
        <v>21</v>
      </c>
      <c r="H715" t="str">
        <f>"720758"</f>
        <v>720758</v>
      </c>
      <c r="I715" t="str">
        <f>"VARIOUS ITEMS FOR WWTF"</f>
        <v>VARIOUS ITEMS FOR WWTF</v>
      </c>
    </row>
    <row r="716" spans="1:9" x14ac:dyDescent="0.25">
      <c r="A716" s="6">
        <v>43418</v>
      </c>
      <c r="B716" t="s">
        <v>26</v>
      </c>
      <c r="C716">
        <v>59417</v>
      </c>
      <c r="D716" t="s">
        <v>340</v>
      </c>
      <c r="E716" s="7">
        <v>929.9</v>
      </c>
      <c r="F716" t="s">
        <v>20</v>
      </c>
      <c r="G716" t="s">
        <v>21</v>
      </c>
      <c r="H716" t="str">
        <f>"1810-352926"</f>
        <v>1810-352926</v>
      </c>
      <c r="I716" t="str">
        <f>"BATTERY"</f>
        <v>BATTERY</v>
      </c>
    </row>
    <row r="717" spans="1:9" x14ac:dyDescent="0.25">
      <c r="A717" s="6">
        <v>43418</v>
      </c>
      <c r="B717" t="s">
        <v>26</v>
      </c>
      <c r="C717">
        <v>59417</v>
      </c>
      <c r="D717" t="s">
        <v>340</v>
      </c>
      <c r="E717" s="7">
        <v>929.9</v>
      </c>
      <c r="F717" t="s">
        <v>20</v>
      </c>
      <c r="G717" t="s">
        <v>21</v>
      </c>
      <c r="H717" t="str">
        <f>"1810-352927"</f>
        <v>1810-352927</v>
      </c>
      <c r="I717" t="str">
        <f>"BATTERY"</f>
        <v>BATTERY</v>
      </c>
    </row>
    <row r="718" spans="1:9" x14ac:dyDescent="0.25">
      <c r="A718" s="6">
        <v>43418</v>
      </c>
      <c r="B718" t="s">
        <v>26</v>
      </c>
      <c r="C718">
        <v>59417</v>
      </c>
      <c r="D718" t="s">
        <v>340</v>
      </c>
      <c r="E718" s="7">
        <v>929.9</v>
      </c>
      <c r="F718" t="s">
        <v>20</v>
      </c>
      <c r="G718" t="s">
        <v>21</v>
      </c>
      <c r="H718" t="str">
        <f>"1810-352930"</f>
        <v>1810-352930</v>
      </c>
      <c r="I718" t="str">
        <f>"VEHICLE REPAIRS"</f>
        <v>VEHICLE REPAIRS</v>
      </c>
    </row>
    <row r="719" spans="1:9" x14ac:dyDescent="0.25">
      <c r="A719" s="6">
        <v>43418</v>
      </c>
      <c r="B719" t="s">
        <v>26</v>
      </c>
      <c r="C719">
        <v>59417</v>
      </c>
      <c r="D719" t="s">
        <v>340</v>
      </c>
      <c r="E719" s="7">
        <v>929.9</v>
      </c>
      <c r="F719" t="s">
        <v>20</v>
      </c>
      <c r="G719" t="s">
        <v>21</v>
      </c>
      <c r="H719" t="str">
        <f>"1810-354074"</f>
        <v>1810-354074</v>
      </c>
      <c r="I719" t="str">
        <f>"STARTER"</f>
        <v>STARTER</v>
      </c>
    </row>
    <row r="720" spans="1:9" x14ac:dyDescent="0.25">
      <c r="A720" s="6">
        <v>43418</v>
      </c>
      <c r="B720" t="s">
        <v>26</v>
      </c>
      <c r="C720">
        <v>59417</v>
      </c>
      <c r="D720" t="s">
        <v>340</v>
      </c>
      <c r="E720" s="7">
        <v>929.9</v>
      </c>
      <c r="F720" t="s">
        <v>20</v>
      </c>
      <c r="G720" t="s">
        <v>21</v>
      </c>
      <c r="H720" t="str">
        <f>"1810-354322"</f>
        <v>1810-354322</v>
      </c>
      <c r="I720" t="str">
        <f>"GEAR OIL"</f>
        <v>GEAR OIL</v>
      </c>
    </row>
    <row r="721" spans="1:9" x14ac:dyDescent="0.25">
      <c r="A721" s="6">
        <v>43418</v>
      </c>
      <c r="B721" t="s">
        <v>26</v>
      </c>
      <c r="C721">
        <v>59417</v>
      </c>
      <c r="D721" t="s">
        <v>340</v>
      </c>
      <c r="E721" s="7">
        <v>929.9</v>
      </c>
      <c r="F721" t="s">
        <v>20</v>
      </c>
      <c r="G721" t="s">
        <v>21</v>
      </c>
      <c r="H721" t="str">
        <f>"1810-354324"</f>
        <v>1810-354324</v>
      </c>
      <c r="I721" t="str">
        <f>"OIL FILTER"</f>
        <v>OIL FILTER</v>
      </c>
    </row>
    <row r="722" spans="1:9" x14ac:dyDescent="0.25">
      <c r="A722" s="6">
        <v>43418</v>
      </c>
      <c r="B722" t="s">
        <v>26</v>
      </c>
      <c r="C722">
        <v>59417</v>
      </c>
      <c r="D722" t="s">
        <v>340</v>
      </c>
      <c r="E722" s="7">
        <v>929.9</v>
      </c>
      <c r="F722" t="s">
        <v>20</v>
      </c>
      <c r="G722" t="s">
        <v>21</v>
      </c>
      <c r="H722" t="str">
        <f>"1810-354369"</f>
        <v>1810-354369</v>
      </c>
      <c r="I722" t="str">
        <f>"BRAKE PADS"</f>
        <v>BRAKE PADS</v>
      </c>
    </row>
    <row r="723" spans="1:9" x14ac:dyDescent="0.25">
      <c r="A723" s="6">
        <v>43418</v>
      </c>
      <c r="B723" t="s">
        <v>26</v>
      </c>
      <c r="C723">
        <v>59417</v>
      </c>
      <c r="D723" t="s">
        <v>340</v>
      </c>
      <c r="E723" s="7">
        <v>929.9</v>
      </c>
      <c r="F723" t="s">
        <v>20</v>
      </c>
      <c r="G723" t="s">
        <v>21</v>
      </c>
      <c r="H723" t="str">
        <f>"1810-354548"</f>
        <v>1810-354548</v>
      </c>
      <c r="I723" t="str">
        <f>"BRAKE ROTER"</f>
        <v>BRAKE ROTER</v>
      </c>
    </row>
    <row r="724" spans="1:9" x14ac:dyDescent="0.25">
      <c r="A724" s="6">
        <v>43418</v>
      </c>
      <c r="B724" t="s">
        <v>26</v>
      </c>
      <c r="C724">
        <v>59417</v>
      </c>
      <c r="D724" t="s">
        <v>340</v>
      </c>
      <c r="E724" s="7">
        <v>929.9</v>
      </c>
      <c r="F724" t="s">
        <v>20</v>
      </c>
      <c r="G724" t="s">
        <v>21</v>
      </c>
      <c r="H724" t="str">
        <f>"1810-354660"</f>
        <v>1810-354660</v>
      </c>
      <c r="I724" t="str">
        <f>"BELT-AIR COMPRESOR"</f>
        <v>BELT-AIR COMPRESOR</v>
      </c>
    </row>
    <row r="725" spans="1:9" x14ac:dyDescent="0.25">
      <c r="A725" s="6">
        <v>43418</v>
      </c>
      <c r="B725" t="s">
        <v>26</v>
      </c>
      <c r="C725">
        <v>59419</v>
      </c>
      <c r="D725" t="s">
        <v>620</v>
      </c>
      <c r="E725" s="7">
        <v>600</v>
      </c>
      <c r="F725" t="s">
        <v>20</v>
      </c>
      <c r="G725" t="s">
        <v>21</v>
      </c>
      <c r="H725" t="str">
        <f>"REFUND 11/2018"</f>
        <v>REFUND 11/2018</v>
      </c>
      <c r="I725" t="str">
        <f>"REFUND"</f>
        <v>REFUND</v>
      </c>
    </row>
    <row r="726" spans="1:9" x14ac:dyDescent="0.25">
      <c r="A726" s="6">
        <v>43418</v>
      </c>
      <c r="B726" t="s">
        <v>26</v>
      </c>
      <c r="C726">
        <v>59420</v>
      </c>
      <c r="D726" t="s">
        <v>621</v>
      </c>
      <c r="E726" s="7">
        <v>600</v>
      </c>
      <c r="F726" t="s">
        <v>20</v>
      </c>
      <c r="G726" t="s">
        <v>21</v>
      </c>
      <c r="H726" t="str">
        <f>"REFUND 2 11/2018"</f>
        <v>REFUND 2 11/2018</v>
      </c>
      <c r="I726" t="str">
        <f>"REFUND"</f>
        <v>REFUND</v>
      </c>
    </row>
    <row r="727" spans="1:9" x14ac:dyDescent="0.25">
      <c r="A727" s="6">
        <v>43418</v>
      </c>
      <c r="B727" t="s">
        <v>26</v>
      </c>
      <c r="C727">
        <v>59421</v>
      </c>
      <c r="D727" t="s">
        <v>0</v>
      </c>
      <c r="E727" s="7">
        <v>2652.06</v>
      </c>
      <c r="F727" t="s">
        <v>20</v>
      </c>
      <c r="G727" t="s">
        <v>21</v>
      </c>
      <c r="H727" t="str">
        <f>"11/2018"</f>
        <v>11/2018</v>
      </c>
      <c r="I727" t="str">
        <f>"CITY OF FLORESVILLE"</f>
        <v>CITY OF FLORESVILLE</v>
      </c>
    </row>
    <row r="728" spans="1:9" x14ac:dyDescent="0.25">
      <c r="A728" s="6">
        <v>43418</v>
      </c>
      <c r="B728" t="s">
        <v>26</v>
      </c>
      <c r="C728">
        <v>59422</v>
      </c>
      <c r="D728" t="s">
        <v>168</v>
      </c>
      <c r="E728" s="7">
        <v>897</v>
      </c>
      <c r="F728" t="s">
        <v>20</v>
      </c>
      <c r="G728" t="s">
        <v>21</v>
      </c>
      <c r="H728" t="str">
        <f>"LI-5974"</f>
        <v>LI-5974</v>
      </c>
      <c r="I728" t="str">
        <f>"BEXAR COUNTY AUDITOR/ATTN:CRIM"</f>
        <v>BEXAR COUNTY AUDITOR/ATTN:CRIM</v>
      </c>
    </row>
    <row r="729" spans="1:9" x14ac:dyDescent="0.25">
      <c r="A729" s="6">
        <v>43418</v>
      </c>
      <c r="B729" t="s">
        <v>26</v>
      </c>
      <c r="C729">
        <v>59422</v>
      </c>
      <c r="D729" t="s">
        <v>168</v>
      </c>
      <c r="E729" s="7">
        <v>897</v>
      </c>
      <c r="F729" t="s">
        <v>20</v>
      </c>
      <c r="G729" t="s">
        <v>21</v>
      </c>
      <c r="H729" t="str">
        <f>"LI-5975"</f>
        <v>LI-5975</v>
      </c>
      <c r="I729" t="str">
        <f>"BEXAR COUNTY AUDITOR/ATTN:CRIM"</f>
        <v>BEXAR COUNTY AUDITOR/ATTN:CRIM</v>
      </c>
    </row>
    <row r="730" spans="1:9" x14ac:dyDescent="0.25">
      <c r="A730" s="6">
        <v>43418</v>
      </c>
      <c r="B730" t="s">
        <v>26</v>
      </c>
      <c r="C730">
        <v>59423</v>
      </c>
      <c r="D730" t="s">
        <v>63</v>
      </c>
      <c r="E730" s="7">
        <v>938.4</v>
      </c>
      <c r="F730" t="s">
        <v>20</v>
      </c>
      <c r="G730" t="s">
        <v>21</v>
      </c>
      <c r="H730" t="str">
        <f>"8403871133"</f>
        <v>8403871133</v>
      </c>
      <c r="I730" t="str">
        <f>"CINTAS CORPORATION"</f>
        <v>CINTAS CORPORATION</v>
      </c>
    </row>
    <row r="731" spans="1:9" x14ac:dyDescent="0.25">
      <c r="A731" s="6">
        <v>43418</v>
      </c>
      <c r="B731" t="s">
        <v>26</v>
      </c>
      <c r="C731">
        <v>59423</v>
      </c>
      <c r="D731" t="s">
        <v>63</v>
      </c>
      <c r="E731" s="7">
        <v>938.4</v>
      </c>
      <c r="F731" t="s">
        <v>20</v>
      </c>
      <c r="G731" t="s">
        <v>21</v>
      </c>
      <c r="H731" t="str">
        <f>"8403886842"</f>
        <v>8403886842</v>
      </c>
      <c r="I731" t="str">
        <f>"CINTAS CORPORATION"</f>
        <v>CINTAS CORPORATION</v>
      </c>
    </row>
    <row r="732" spans="1:9" x14ac:dyDescent="0.25">
      <c r="A732" s="6">
        <v>43418</v>
      </c>
      <c r="B732" t="s">
        <v>26</v>
      </c>
      <c r="C732">
        <v>59424</v>
      </c>
      <c r="D732" t="s">
        <v>186</v>
      </c>
      <c r="E732" s="7">
        <v>7632.08</v>
      </c>
      <c r="F732" t="s">
        <v>20</v>
      </c>
      <c r="G732" t="s">
        <v>21</v>
      </c>
      <c r="H732" t="str">
        <f>"1ST QRT 2019"</f>
        <v>1ST QRT 2019</v>
      </c>
      <c r="I732" t="str">
        <f>"WILSON COUNTY APPRAISAL DISTRI"</f>
        <v>WILSON COUNTY APPRAISAL DISTRI</v>
      </c>
    </row>
    <row r="733" spans="1:9" x14ac:dyDescent="0.25">
      <c r="A733" s="6">
        <v>43418</v>
      </c>
      <c r="B733" t="s">
        <v>26</v>
      </c>
      <c r="C733">
        <v>59425</v>
      </c>
      <c r="D733" t="s">
        <v>569</v>
      </c>
      <c r="E733" s="7">
        <v>3508</v>
      </c>
      <c r="F733" t="s">
        <v>20</v>
      </c>
      <c r="G733" t="s">
        <v>21</v>
      </c>
      <c r="H733" t="str">
        <f>"WS18807"</f>
        <v>WS18807</v>
      </c>
      <c r="I733" t="str">
        <f>"SEAL CRACH MACHINE REPAIR"</f>
        <v>SEAL CRACH MACHINE REPAIR</v>
      </c>
    </row>
    <row r="734" spans="1:9" x14ac:dyDescent="0.25">
      <c r="A734" s="6">
        <v>43418</v>
      </c>
      <c r="B734" t="s">
        <v>26</v>
      </c>
      <c r="C734">
        <v>59426</v>
      </c>
      <c r="D734" t="s">
        <v>66</v>
      </c>
      <c r="E734" s="7">
        <v>1040.3800000000001</v>
      </c>
      <c r="F734" t="s">
        <v>20</v>
      </c>
      <c r="G734" t="s">
        <v>21</v>
      </c>
      <c r="H734" t="str">
        <f>"53612"</f>
        <v>53612</v>
      </c>
      <c r="I734" t="str">
        <f>"LOPEZ EXTERMINATING SERVICE  I"</f>
        <v>LOPEZ EXTERMINATING SERVICE  I</v>
      </c>
    </row>
    <row r="735" spans="1:9" x14ac:dyDescent="0.25">
      <c r="A735" s="6">
        <v>43418</v>
      </c>
      <c r="B735" t="s">
        <v>26</v>
      </c>
      <c r="C735">
        <v>59426</v>
      </c>
      <c r="D735" t="s">
        <v>66</v>
      </c>
      <c r="E735" s="7">
        <v>1040.3800000000001</v>
      </c>
      <c r="F735" t="s">
        <v>20</v>
      </c>
      <c r="G735" t="s">
        <v>21</v>
      </c>
      <c r="H735" t="str">
        <f>"53922"</f>
        <v>53922</v>
      </c>
      <c r="I735" t="str">
        <f>"LOPEZ EXTERMINATING SERVICE  I"</f>
        <v>LOPEZ EXTERMINATING SERVICE  I</v>
      </c>
    </row>
    <row r="736" spans="1:9" x14ac:dyDescent="0.25">
      <c r="A736" s="6">
        <v>43418</v>
      </c>
      <c r="B736" t="s">
        <v>26</v>
      </c>
      <c r="C736">
        <v>59426</v>
      </c>
      <c r="D736" t="s">
        <v>66</v>
      </c>
      <c r="E736" s="7">
        <v>1040.3800000000001</v>
      </c>
      <c r="F736" t="s">
        <v>20</v>
      </c>
      <c r="G736" t="s">
        <v>21</v>
      </c>
      <c r="H736" t="str">
        <f>"53923"</f>
        <v>53923</v>
      </c>
      <c r="I736" t="str">
        <f>"LOPEZ EXTERMINATING SERVICE  I"</f>
        <v>LOPEZ EXTERMINATING SERVICE  I</v>
      </c>
    </row>
    <row r="737" spans="1:9" x14ac:dyDescent="0.25">
      <c r="A737" s="6">
        <v>43418</v>
      </c>
      <c r="B737" t="s">
        <v>26</v>
      </c>
      <c r="C737">
        <v>59426</v>
      </c>
      <c r="D737" t="s">
        <v>66</v>
      </c>
      <c r="E737" s="7">
        <v>1040.3800000000001</v>
      </c>
      <c r="F737" t="s">
        <v>20</v>
      </c>
      <c r="G737" t="s">
        <v>21</v>
      </c>
      <c r="H737" t="str">
        <f>"53988"</f>
        <v>53988</v>
      </c>
      <c r="I737" t="str">
        <f>"LOPEZ EXTERMINATING SERVICE  I"</f>
        <v>LOPEZ EXTERMINATING SERVICE  I</v>
      </c>
    </row>
    <row r="738" spans="1:9" x14ac:dyDescent="0.25">
      <c r="A738" s="6">
        <v>43418</v>
      </c>
      <c r="B738" t="s">
        <v>26</v>
      </c>
      <c r="C738">
        <v>59427</v>
      </c>
      <c r="D738" t="s">
        <v>622</v>
      </c>
      <c r="E738" s="7">
        <v>240</v>
      </c>
      <c r="F738" t="s">
        <v>20</v>
      </c>
      <c r="G738" t="s">
        <v>21</v>
      </c>
      <c r="H738" t="str">
        <f>"3-T1002360"</f>
        <v>3-T1002360</v>
      </c>
      <c r="I738" t="str">
        <f>"STAKES"</f>
        <v>STAKES</v>
      </c>
    </row>
    <row r="739" spans="1:9" x14ac:dyDescent="0.25">
      <c r="A739" s="6">
        <v>43418</v>
      </c>
      <c r="B739" t="s">
        <v>26</v>
      </c>
      <c r="C739">
        <v>59428</v>
      </c>
      <c r="D739" t="s">
        <v>301</v>
      </c>
      <c r="E739" s="7">
        <v>55.52</v>
      </c>
      <c r="F739" t="s">
        <v>20</v>
      </c>
      <c r="G739" t="s">
        <v>21</v>
      </c>
      <c r="H739" t="str">
        <f>"1699729"</f>
        <v>1699729</v>
      </c>
      <c r="I739" t="str">
        <f>"CLUTCH PEDAL"</f>
        <v>CLUTCH PEDAL</v>
      </c>
    </row>
    <row r="740" spans="1:9" x14ac:dyDescent="0.25">
      <c r="A740" s="6">
        <v>43418</v>
      </c>
      <c r="B740" t="s">
        <v>26</v>
      </c>
      <c r="C740">
        <v>59429</v>
      </c>
      <c r="D740" t="s">
        <v>120</v>
      </c>
      <c r="E740" s="7">
        <v>1813.66</v>
      </c>
      <c r="F740" t="s">
        <v>20</v>
      </c>
      <c r="G740" t="s">
        <v>21</v>
      </c>
      <c r="H740" t="str">
        <f>"70960061"</f>
        <v>70960061</v>
      </c>
      <c r="I740" t="str">
        <f>"VERIZON BUSINESS"</f>
        <v>VERIZON BUSINESS</v>
      </c>
    </row>
    <row r="741" spans="1:9" x14ac:dyDescent="0.25">
      <c r="A741" s="6">
        <v>43418</v>
      </c>
      <c r="B741" t="s">
        <v>26</v>
      </c>
      <c r="C741">
        <v>59429</v>
      </c>
      <c r="D741" t="s">
        <v>120</v>
      </c>
      <c r="E741" s="7">
        <v>1813.66</v>
      </c>
      <c r="F741" t="s">
        <v>20</v>
      </c>
      <c r="G741" t="s">
        <v>21</v>
      </c>
      <c r="H741" t="str">
        <f>"70960066"</f>
        <v>70960066</v>
      </c>
      <c r="I741" t="str">
        <f>"VERIZON BUSINESS"</f>
        <v>VERIZON BUSINESS</v>
      </c>
    </row>
    <row r="742" spans="1:9" x14ac:dyDescent="0.25">
      <c r="A742" s="6">
        <v>43418</v>
      </c>
      <c r="B742" t="s">
        <v>26</v>
      </c>
      <c r="C742">
        <v>59430</v>
      </c>
      <c r="D742" t="s">
        <v>248</v>
      </c>
      <c r="E742" s="7">
        <v>602</v>
      </c>
      <c r="F742" t="s">
        <v>20</v>
      </c>
      <c r="G742" t="s">
        <v>21</v>
      </c>
      <c r="H742" t="str">
        <f>"11/2018"</f>
        <v>11/2018</v>
      </c>
      <c r="I742" t="str">
        <f>"PITNEY BOWES"</f>
        <v>PITNEY BOWES</v>
      </c>
    </row>
    <row r="743" spans="1:9" x14ac:dyDescent="0.25">
      <c r="A743" s="6">
        <v>43418</v>
      </c>
      <c r="B743" t="s">
        <v>26</v>
      </c>
      <c r="C743">
        <v>59431</v>
      </c>
      <c r="D743" t="s">
        <v>122</v>
      </c>
      <c r="E743" s="7">
        <v>10</v>
      </c>
      <c r="F743" t="s">
        <v>20</v>
      </c>
      <c r="G743" t="s">
        <v>21</v>
      </c>
      <c r="H743" t="str">
        <f>"122779"</f>
        <v>122779</v>
      </c>
      <c r="I743" t="str">
        <f>"VILLA TIRES"</f>
        <v>VILLA TIRES</v>
      </c>
    </row>
    <row r="744" spans="1:9" x14ac:dyDescent="0.25">
      <c r="A744" s="6">
        <v>43418</v>
      </c>
      <c r="B744" t="s">
        <v>26</v>
      </c>
      <c r="C744">
        <v>59432</v>
      </c>
      <c r="D744" t="s">
        <v>123</v>
      </c>
      <c r="E744" s="7">
        <v>110.85</v>
      </c>
      <c r="F744" t="s">
        <v>20</v>
      </c>
      <c r="G744" t="s">
        <v>21</v>
      </c>
      <c r="H744" t="str">
        <f>"18-00618 PRT 11/18"</f>
        <v>18-00618 PRT 11/18</v>
      </c>
      <c r="I744" t="str">
        <f>"OFFICE DEPOT  INC."</f>
        <v>OFFICE DEPOT  INC.</v>
      </c>
    </row>
    <row r="745" spans="1:9" x14ac:dyDescent="0.25">
      <c r="A745" s="6">
        <v>43418</v>
      </c>
      <c r="B745" t="s">
        <v>26</v>
      </c>
      <c r="C745">
        <v>59432</v>
      </c>
      <c r="D745" t="s">
        <v>123</v>
      </c>
      <c r="E745" s="7">
        <v>110.85</v>
      </c>
      <c r="F745" t="s">
        <v>20</v>
      </c>
      <c r="G745" t="s">
        <v>21</v>
      </c>
      <c r="H745" t="str">
        <f>"224932827001"</f>
        <v>224932827001</v>
      </c>
      <c r="I745" t="str">
        <f>"BUSINESS CARDS/SUPPLIES"</f>
        <v>BUSINESS CARDS/SUPPLIES</v>
      </c>
    </row>
    <row r="746" spans="1:9" x14ac:dyDescent="0.25">
      <c r="A746" s="6">
        <v>43418</v>
      </c>
      <c r="B746" t="s">
        <v>26</v>
      </c>
      <c r="C746">
        <v>59433</v>
      </c>
      <c r="D746" t="s">
        <v>137</v>
      </c>
      <c r="E746" s="7">
        <v>51.95</v>
      </c>
      <c r="F746" t="s">
        <v>20</v>
      </c>
      <c r="G746" t="s">
        <v>21</v>
      </c>
      <c r="H746" t="str">
        <f>"1492"</f>
        <v>1492</v>
      </c>
      <c r="I746" t="str">
        <f>"OMNIBUS-M  INC.D.B.A."</f>
        <v>OMNIBUS-M  INC.D.B.A.</v>
      </c>
    </row>
    <row r="747" spans="1:9" x14ac:dyDescent="0.25">
      <c r="A747" s="6">
        <v>43418</v>
      </c>
      <c r="B747" t="s">
        <v>26</v>
      </c>
      <c r="C747">
        <v>59434</v>
      </c>
      <c r="D747" t="s">
        <v>77</v>
      </c>
      <c r="E747" s="7">
        <v>1246.2</v>
      </c>
      <c r="F747" t="s">
        <v>20</v>
      </c>
      <c r="G747" t="s">
        <v>21</v>
      </c>
      <c r="H747" t="str">
        <f>"857002116-18"</f>
        <v>857002116-18</v>
      </c>
      <c r="I747" t="str">
        <f>"CHLORINE"</f>
        <v>CHLORINE</v>
      </c>
    </row>
    <row r="748" spans="1:9" x14ac:dyDescent="0.25">
      <c r="A748" s="6">
        <v>43418</v>
      </c>
      <c r="B748" t="s">
        <v>26</v>
      </c>
      <c r="C748">
        <v>59434</v>
      </c>
      <c r="D748" t="s">
        <v>77</v>
      </c>
      <c r="E748" s="7">
        <v>1246.2</v>
      </c>
      <c r="F748" t="s">
        <v>20</v>
      </c>
      <c r="G748" t="s">
        <v>21</v>
      </c>
      <c r="H748" t="str">
        <f>"DE85002482-18"</f>
        <v>DE85002482-18</v>
      </c>
      <c r="I748" t="str">
        <f>"DPC INDUSTRIES  INC."</f>
        <v>DPC INDUSTRIES  INC.</v>
      </c>
    </row>
    <row r="749" spans="1:9" x14ac:dyDescent="0.25">
      <c r="A749" s="6">
        <v>43418</v>
      </c>
      <c r="B749" t="s">
        <v>26</v>
      </c>
      <c r="C749">
        <v>59434</v>
      </c>
      <c r="D749" t="s">
        <v>77</v>
      </c>
      <c r="E749" s="7">
        <v>1246.2</v>
      </c>
      <c r="F749" t="s">
        <v>20</v>
      </c>
      <c r="G749" t="s">
        <v>21</v>
      </c>
      <c r="H749" t="str">
        <f>"DE85002690-18"</f>
        <v>DE85002690-18</v>
      </c>
      <c r="I749" t="str">
        <f>"DPC INDUSTRIES  INC."</f>
        <v>DPC INDUSTRIES  INC.</v>
      </c>
    </row>
    <row r="750" spans="1:9" x14ac:dyDescent="0.25">
      <c r="A750" s="6">
        <v>43418</v>
      </c>
      <c r="B750" t="s">
        <v>26</v>
      </c>
      <c r="C750">
        <v>59435</v>
      </c>
      <c r="D750" t="s">
        <v>124</v>
      </c>
      <c r="E750" s="7">
        <v>94.91</v>
      </c>
      <c r="F750" t="s">
        <v>20</v>
      </c>
      <c r="G750" t="s">
        <v>21</v>
      </c>
      <c r="H750" t="str">
        <f>"11166379"</f>
        <v>11166379</v>
      </c>
      <c r="I750" t="str">
        <f>"AIR SOCK INSTALL-SAFETY"</f>
        <v>AIR SOCK INSTALL-SAFETY</v>
      </c>
    </row>
    <row r="751" spans="1:9" x14ac:dyDescent="0.25">
      <c r="A751" s="6">
        <v>43418</v>
      </c>
      <c r="B751" t="s">
        <v>26</v>
      </c>
      <c r="C751">
        <v>59435</v>
      </c>
      <c r="D751" t="s">
        <v>124</v>
      </c>
      <c r="E751" s="7">
        <v>94.91</v>
      </c>
      <c r="F751" t="s">
        <v>20</v>
      </c>
      <c r="G751" t="s">
        <v>21</v>
      </c>
      <c r="H751" t="str">
        <f>"11166494"</f>
        <v>11166494</v>
      </c>
      <c r="I751" t="str">
        <f>"WIC BUILING DOOR LO/LOCK"</f>
        <v>WIC BUILING DOOR LO/LOCK</v>
      </c>
    </row>
    <row r="752" spans="1:9" x14ac:dyDescent="0.25">
      <c r="A752" s="6">
        <v>43418</v>
      </c>
      <c r="B752" t="s">
        <v>26</v>
      </c>
      <c r="C752">
        <v>59436</v>
      </c>
      <c r="D752" t="s">
        <v>125</v>
      </c>
      <c r="E752" s="7">
        <v>540</v>
      </c>
      <c r="F752" t="s">
        <v>20</v>
      </c>
      <c r="G752" t="s">
        <v>21</v>
      </c>
      <c r="H752" t="str">
        <f>"18-1243 11/2018"</f>
        <v>18-1243 11/2018</v>
      </c>
      <c r="I752" t="str">
        <f>"INTREPID SURVEYING CORPORATION"</f>
        <v>INTREPID SURVEYING CORPORATION</v>
      </c>
    </row>
    <row r="753" spans="1:9" x14ac:dyDescent="0.25">
      <c r="A753" s="6">
        <v>43418</v>
      </c>
      <c r="B753" t="s">
        <v>26</v>
      </c>
      <c r="C753">
        <v>59437</v>
      </c>
      <c r="D753" t="s">
        <v>126</v>
      </c>
      <c r="E753" s="7">
        <v>85566.15</v>
      </c>
      <c r="F753" t="s">
        <v>20</v>
      </c>
      <c r="G753" t="s">
        <v>21</v>
      </c>
      <c r="H753" t="str">
        <f>"0859-002162630"</f>
        <v>0859-002162630</v>
      </c>
      <c r="I753" t="str">
        <f>"REPUBLIC SERVICES #859"</f>
        <v>REPUBLIC SERVICES #859</v>
      </c>
    </row>
    <row r="754" spans="1:9" x14ac:dyDescent="0.25">
      <c r="A754" s="6">
        <v>43418</v>
      </c>
      <c r="B754" t="s">
        <v>26</v>
      </c>
      <c r="C754">
        <v>59437</v>
      </c>
      <c r="D754" t="s">
        <v>126</v>
      </c>
      <c r="E754" s="7">
        <v>85566.15</v>
      </c>
      <c r="F754" t="s">
        <v>20</v>
      </c>
      <c r="G754" t="s">
        <v>21</v>
      </c>
      <c r="H754" t="str">
        <f>"0859-00216460"</f>
        <v>0859-00216460</v>
      </c>
      <c r="I754" t="str">
        <f>"REPUBLIC SERVICES #859"</f>
        <v>REPUBLIC SERVICES #859</v>
      </c>
    </row>
    <row r="755" spans="1:9" x14ac:dyDescent="0.25">
      <c r="A755" s="6">
        <v>43418</v>
      </c>
      <c r="B755" t="s">
        <v>26</v>
      </c>
      <c r="C755">
        <v>59438</v>
      </c>
      <c r="D755" t="s">
        <v>79</v>
      </c>
      <c r="E755" s="7">
        <v>45.77</v>
      </c>
      <c r="F755" t="s">
        <v>20</v>
      </c>
      <c r="G755" t="s">
        <v>21</v>
      </c>
      <c r="H755" t="str">
        <f>"6-356-26713"</f>
        <v>6-356-26713</v>
      </c>
      <c r="I755" t="str">
        <f>"FEDEX"</f>
        <v>FEDEX</v>
      </c>
    </row>
    <row r="756" spans="1:9" x14ac:dyDescent="0.25">
      <c r="A756" s="6">
        <v>43418</v>
      </c>
      <c r="B756" t="s">
        <v>26</v>
      </c>
      <c r="C756">
        <v>59438</v>
      </c>
      <c r="D756" t="s">
        <v>79</v>
      </c>
      <c r="E756" s="7">
        <v>45.77</v>
      </c>
      <c r="F756" t="s">
        <v>20</v>
      </c>
      <c r="G756" t="s">
        <v>21</v>
      </c>
      <c r="H756" t="str">
        <f>"6-362-66499"</f>
        <v>6-362-66499</v>
      </c>
      <c r="I756" t="str">
        <f>"FEDEX"</f>
        <v>FEDEX</v>
      </c>
    </row>
    <row r="757" spans="1:9" x14ac:dyDescent="0.25">
      <c r="A757" s="6">
        <v>43418</v>
      </c>
      <c r="B757" t="s">
        <v>26</v>
      </c>
      <c r="C757">
        <v>59439</v>
      </c>
      <c r="D757" t="s">
        <v>139</v>
      </c>
      <c r="E757" s="7">
        <v>65</v>
      </c>
      <c r="F757" t="s">
        <v>20</v>
      </c>
      <c r="G757" t="s">
        <v>21</v>
      </c>
      <c r="H757" t="str">
        <f>"24923"</f>
        <v>24923</v>
      </c>
      <c r="I757" t="str">
        <f>"ANGEL FIRE &amp; SAFETY"</f>
        <v>ANGEL FIRE &amp; SAFETY</v>
      </c>
    </row>
    <row r="758" spans="1:9" x14ac:dyDescent="0.25">
      <c r="A758" s="6">
        <v>43418</v>
      </c>
      <c r="B758" t="s">
        <v>26</v>
      </c>
      <c r="C758">
        <v>59440</v>
      </c>
      <c r="D758" t="s">
        <v>191</v>
      </c>
      <c r="E758" s="7">
        <v>3400</v>
      </c>
      <c r="F758" t="s">
        <v>20</v>
      </c>
      <c r="G758" t="s">
        <v>21</v>
      </c>
      <c r="H758" t="str">
        <f>"INV06-04291"</f>
        <v>INV06-04291</v>
      </c>
      <c r="I758" t="str">
        <f>"MUNISERVICES  LLC"</f>
        <v>MUNISERVICES  LLC</v>
      </c>
    </row>
    <row r="759" spans="1:9" x14ac:dyDescent="0.25">
      <c r="A759" s="6">
        <v>43418</v>
      </c>
      <c r="B759" t="s">
        <v>26</v>
      </c>
      <c r="C759">
        <v>59441</v>
      </c>
      <c r="D759" t="s">
        <v>387</v>
      </c>
      <c r="E759" s="7">
        <v>26105.47</v>
      </c>
      <c r="F759" t="s">
        <v>20</v>
      </c>
      <c r="G759" t="s">
        <v>21</v>
      </c>
      <c r="H759" t="str">
        <f>"F02913-SA*"</f>
        <v>F02913-SA*</v>
      </c>
      <c r="I759" t="str">
        <f>"BARCO PUMP"</f>
        <v>BARCO PUMP</v>
      </c>
    </row>
    <row r="760" spans="1:9" x14ac:dyDescent="0.25">
      <c r="A760" s="6">
        <v>43418</v>
      </c>
      <c r="B760" t="s">
        <v>26</v>
      </c>
      <c r="C760">
        <v>59441</v>
      </c>
      <c r="D760" t="s">
        <v>387</v>
      </c>
      <c r="E760" s="7">
        <v>26105.47</v>
      </c>
      <c r="F760" t="s">
        <v>20</v>
      </c>
      <c r="G760" t="s">
        <v>21</v>
      </c>
      <c r="H760" t="str">
        <f>"F02921-SA*"</f>
        <v>F02921-SA*</v>
      </c>
      <c r="I760" t="str">
        <f>"BARCO PUMP"</f>
        <v>BARCO PUMP</v>
      </c>
    </row>
    <row r="761" spans="1:9" x14ac:dyDescent="0.25">
      <c r="A761" s="6">
        <v>43418</v>
      </c>
      <c r="B761" t="s">
        <v>26</v>
      </c>
      <c r="C761">
        <v>59442</v>
      </c>
      <c r="D761" t="s">
        <v>31</v>
      </c>
      <c r="E761" s="7">
        <v>2000</v>
      </c>
      <c r="F761" t="s">
        <v>20</v>
      </c>
      <c r="G761" t="s">
        <v>21</v>
      </c>
      <c r="H761" t="str">
        <f>"20148207"</f>
        <v>20148207</v>
      </c>
      <c r="I761" t="str">
        <f>"THE LAW OFFICE OF TOM CALDWELL"</f>
        <v>THE LAW OFFICE OF TOM CALDWELL</v>
      </c>
    </row>
    <row r="762" spans="1:9" x14ac:dyDescent="0.25">
      <c r="A762" s="6">
        <v>43418</v>
      </c>
      <c r="B762" t="s">
        <v>91</v>
      </c>
      <c r="C762">
        <v>59443</v>
      </c>
      <c r="D762" t="s">
        <v>130</v>
      </c>
      <c r="E762" s="7">
        <v>7600.42</v>
      </c>
      <c r="F762" t="s">
        <v>20</v>
      </c>
      <c r="G762" t="s">
        <v>21</v>
      </c>
      <c r="H762" t="str">
        <f>"23687088"</f>
        <v>23687088</v>
      </c>
      <c r="I762" t="str">
        <f>"DOCUMATION"</f>
        <v>DOCUMATION</v>
      </c>
    </row>
    <row r="763" spans="1:9" x14ac:dyDescent="0.25">
      <c r="A763" s="6">
        <v>43418</v>
      </c>
      <c r="B763" t="s">
        <v>91</v>
      </c>
      <c r="C763">
        <v>59443</v>
      </c>
      <c r="D763" t="s">
        <v>130</v>
      </c>
      <c r="E763" s="7">
        <v>7600.42</v>
      </c>
      <c r="F763" t="s">
        <v>20</v>
      </c>
      <c r="G763" t="s">
        <v>93</v>
      </c>
      <c r="H763" t="str">
        <f>"CHECK"</f>
        <v>CHECK</v>
      </c>
      <c r="I763" t="str">
        <f>""</f>
        <v/>
      </c>
    </row>
    <row r="764" spans="1:9" x14ac:dyDescent="0.25">
      <c r="A764" s="6">
        <v>43418</v>
      </c>
      <c r="B764" t="s">
        <v>26</v>
      </c>
      <c r="C764">
        <v>59444</v>
      </c>
      <c r="D764" t="s">
        <v>82</v>
      </c>
      <c r="E764" s="7">
        <v>587.07000000000005</v>
      </c>
      <c r="F764" t="s">
        <v>20</v>
      </c>
      <c r="G764" t="s">
        <v>21</v>
      </c>
      <c r="H764" t="str">
        <f>"SI-1030305"</f>
        <v>SI-1030305</v>
      </c>
      <c r="I764" t="str">
        <f>"COMPUTER"</f>
        <v>COMPUTER</v>
      </c>
    </row>
    <row r="765" spans="1:9" x14ac:dyDescent="0.25">
      <c r="A765" s="6">
        <v>43418</v>
      </c>
      <c r="B765" t="s">
        <v>26</v>
      </c>
      <c r="C765">
        <v>59445</v>
      </c>
      <c r="D765" t="s">
        <v>153</v>
      </c>
      <c r="E765" s="7">
        <v>1500</v>
      </c>
      <c r="F765" t="s">
        <v>20</v>
      </c>
      <c r="G765" t="s">
        <v>21</v>
      </c>
      <c r="H765" t="str">
        <f>"120118"</f>
        <v>120118</v>
      </c>
      <c r="I765" t="str">
        <f>"FULLER COMPANY"</f>
        <v>FULLER COMPANY</v>
      </c>
    </row>
    <row r="766" spans="1:9" x14ac:dyDescent="0.25">
      <c r="A766" s="6">
        <v>43418</v>
      </c>
      <c r="B766" t="s">
        <v>26</v>
      </c>
      <c r="C766">
        <v>59446</v>
      </c>
      <c r="D766" t="s">
        <v>85</v>
      </c>
      <c r="E766" s="7">
        <v>321.60000000000002</v>
      </c>
      <c r="F766" t="s">
        <v>20</v>
      </c>
      <c r="G766" t="s">
        <v>21</v>
      </c>
      <c r="H766" t="str">
        <f>"3930579 11/2018"</f>
        <v>3930579 11/2018</v>
      </c>
      <c r="I766" t="str">
        <f>"FRONTIER"</f>
        <v>FRONTIER</v>
      </c>
    </row>
    <row r="767" spans="1:9" x14ac:dyDescent="0.25">
      <c r="A767" s="6">
        <v>43418</v>
      </c>
      <c r="B767" t="s">
        <v>26</v>
      </c>
      <c r="C767">
        <v>59446</v>
      </c>
      <c r="D767" t="s">
        <v>85</v>
      </c>
      <c r="E767" s="7">
        <v>321.60000000000002</v>
      </c>
      <c r="F767" t="s">
        <v>20</v>
      </c>
      <c r="G767" t="s">
        <v>21</v>
      </c>
      <c r="H767" t="str">
        <f>"3933108 11/2018"</f>
        <v>3933108 11/2018</v>
      </c>
      <c r="I767" t="str">
        <f>"FRONTIER"</f>
        <v>FRONTIER</v>
      </c>
    </row>
    <row r="768" spans="1:9" x14ac:dyDescent="0.25">
      <c r="A768" s="6">
        <v>43418</v>
      </c>
      <c r="B768" t="s">
        <v>26</v>
      </c>
      <c r="C768">
        <v>59446</v>
      </c>
      <c r="D768" t="s">
        <v>85</v>
      </c>
      <c r="E768" s="7">
        <v>321.60000000000002</v>
      </c>
      <c r="F768" t="s">
        <v>20</v>
      </c>
      <c r="G768" t="s">
        <v>21</v>
      </c>
      <c r="H768" t="str">
        <f>"3938193 11/2018"</f>
        <v>3938193 11/2018</v>
      </c>
      <c r="I768" t="str">
        <f>"FRONTIER"</f>
        <v>FRONTIER</v>
      </c>
    </row>
    <row r="769" spans="1:9" x14ac:dyDescent="0.25">
      <c r="A769" s="6">
        <v>43418</v>
      </c>
      <c r="B769" t="s">
        <v>26</v>
      </c>
      <c r="C769">
        <v>59446</v>
      </c>
      <c r="D769" t="s">
        <v>85</v>
      </c>
      <c r="E769" s="7">
        <v>321.60000000000002</v>
      </c>
      <c r="F769" t="s">
        <v>20</v>
      </c>
      <c r="G769" t="s">
        <v>21</v>
      </c>
      <c r="H769" t="str">
        <f>"3939791 11/2018"</f>
        <v>3939791 11/2018</v>
      </c>
      <c r="I769" t="str">
        <f>"FRONTIER"</f>
        <v>FRONTIER</v>
      </c>
    </row>
    <row r="770" spans="1:9" x14ac:dyDescent="0.25">
      <c r="A770" s="6">
        <v>43418</v>
      </c>
      <c r="B770" t="s">
        <v>26</v>
      </c>
      <c r="C770">
        <v>59447</v>
      </c>
      <c r="D770" t="s">
        <v>623</v>
      </c>
      <c r="E770" s="7">
        <v>244</v>
      </c>
      <c r="F770" t="s">
        <v>20</v>
      </c>
      <c r="G770" t="s">
        <v>21</v>
      </c>
      <c r="H770" t="str">
        <f>"3VRGZ9 GFOAT TRNG"</f>
        <v>3VRGZ9 GFOAT TRNG</v>
      </c>
      <c r="I770" t="str">
        <f>"ENTERPRISE RENT -A- CAR COMPAN"</f>
        <v>ENTERPRISE RENT -A- CAR COMPAN</v>
      </c>
    </row>
    <row r="771" spans="1:9" x14ac:dyDescent="0.25">
      <c r="A771" s="6">
        <v>43418</v>
      </c>
      <c r="B771" t="s">
        <v>26</v>
      </c>
      <c r="C771">
        <v>59448</v>
      </c>
      <c r="D771" t="s">
        <v>46</v>
      </c>
      <c r="E771" s="7">
        <v>5060</v>
      </c>
      <c r="F771" t="s">
        <v>20</v>
      </c>
      <c r="G771" t="s">
        <v>21</v>
      </c>
      <c r="H771" t="str">
        <f>"9532"</f>
        <v>9532</v>
      </c>
      <c r="I771" t="str">
        <f>"HAYES ENGINEERING  INC"</f>
        <v>HAYES ENGINEERING  INC</v>
      </c>
    </row>
    <row r="772" spans="1:9" x14ac:dyDescent="0.25">
      <c r="A772" s="6">
        <v>43418</v>
      </c>
      <c r="B772" t="s">
        <v>26</v>
      </c>
      <c r="C772">
        <v>59449</v>
      </c>
      <c r="D772" t="s">
        <v>326</v>
      </c>
      <c r="E772" s="7">
        <v>26</v>
      </c>
      <c r="F772" t="s">
        <v>20</v>
      </c>
      <c r="G772" t="s">
        <v>21</v>
      </c>
      <c r="H772" t="str">
        <f>"18574388"</f>
        <v>18574388</v>
      </c>
      <c r="I772" t="str">
        <f>"MATHESON TRI-GAS INC"</f>
        <v>MATHESON TRI-GAS INC</v>
      </c>
    </row>
    <row r="773" spans="1:9" x14ac:dyDescent="0.25">
      <c r="A773" s="6">
        <v>43418</v>
      </c>
      <c r="B773" t="s">
        <v>26</v>
      </c>
      <c r="C773">
        <v>59450</v>
      </c>
      <c r="D773" t="s">
        <v>197</v>
      </c>
      <c r="E773" s="7">
        <v>2700</v>
      </c>
      <c r="F773" t="s">
        <v>20</v>
      </c>
      <c r="G773" t="s">
        <v>21</v>
      </c>
      <c r="H773" t="str">
        <f>"184335"</f>
        <v>184335</v>
      </c>
      <c r="I773" t="str">
        <f>"DRUMS"</f>
        <v>DRUMS</v>
      </c>
    </row>
    <row r="774" spans="1:9" x14ac:dyDescent="0.25">
      <c r="A774" s="6">
        <v>43418</v>
      </c>
      <c r="B774" t="s">
        <v>26</v>
      </c>
      <c r="C774">
        <v>59451</v>
      </c>
      <c r="D774" t="s">
        <v>443</v>
      </c>
      <c r="E774" s="7">
        <v>4550</v>
      </c>
      <c r="F774" t="s">
        <v>20</v>
      </c>
      <c r="G774" t="s">
        <v>21</v>
      </c>
      <c r="H774" t="str">
        <f>"10502"</f>
        <v>10502</v>
      </c>
      <c r="I774" t="str">
        <f>"RIOJAS TURF CARE  LLC"</f>
        <v>RIOJAS TURF CARE  LLC</v>
      </c>
    </row>
    <row r="775" spans="1:9" x14ac:dyDescent="0.25">
      <c r="A775" s="6">
        <v>43418</v>
      </c>
      <c r="B775" t="s">
        <v>26</v>
      </c>
      <c r="C775">
        <v>59452</v>
      </c>
      <c r="D775" t="s">
        <v>528</v>
      </c>
      <c r="E775" s="7">
        <v>116.85</v>
      </c>
      <c r="F775" t="s">
        <v>20</v>
      </c>
      <c r="G775" t="s">
        <v>21</v>
      </c>
      <c r="H775" t="str">
        <f>"1904461"</f>
        <v>1904461</v>
      </c>
      <c r="I775" t="str">
        <f>"PROSTAR SERVICES INC"</f>
        <v>PROSTAR SERVICES INC</v>
      </c>
    </row>
    <row r="776" spans="1:9" x14ac:dyDescent="0.25">
      <c r="A776" s="6">
        <v>43418</v>
      </c>
      <c r="B776" t="s">
        <v>26</v>
      </c>
      <c r="C776">
        <v>59453</v>
      </c>
      <c r="D776" t="s">
        <v>554</v>
      </c>
      <c r="E776" s="7">
        <v>74.95</v>
      </c>
      <c r="F776" t="s">
        <v>20</v>
      </c>
      <c r="G776" t="s">
        <v>21</v>
      </c>
      <c r="H776" t="str">
        <f>"AA03236"</f>
        <v>AA03236</v>
      </c>
      <c r="I776" t="str">
        <f>"TEXAS WIRED MUSIC"</f>
        <v>TEXAS WIRED MUSIC</v>
      </c>
    </row>
    <row r="777" spans="1:9" x14ac:dyDescent="0.25">
      <c r="A777" s="6">
        <v>43419</v>
      </c>
      <c r="B777" t="s">
        <v>26</v>
      </c>
      <c r="C777">
        <v>59454</v>
      </c>
      <c r="D777" t="s">
        <v>92</v>
      </c>
      <c r="E777" s="7">
        <v>43610.8</v>
      </c>
      <c r="F777" t="s">
        <v>20</v>
      </c>
      <c r="G777" t="s">
        <v>329</v>
      </c>
      <c r="H777" t="str">
        <f>"TMRS 10/2018"</f>
        <v>TMRS 10/2018</v>
      </c>
      <c r="I777" t="str">
        <f>"TEXAS MUNICIPAL RETIREMENT SYS"</f>
        <v>TEXAS MUNICIPAL RETIREMENT SYS</v>
      </c>
    </row>
    <row r="778" spans="1:9" x14ac:dyDescent="0.25">
      <c r="A778" s="6">
        <v>43419</v>
      </c>
      <c r="B778" t="s">
        <v>26</v>
      </c>
      <c r="C778">
        <v>59454</v>
      </c>
      <c r="D778" t="s">
        <v>92</v>
      </c>
      <c r="E778" s="7">
        <v>43610.8</v>
      </c>
      <c r="F778" t="s">
        <v>20</v>
      </c>
      <c r="G778" t="s">
        <v>21</v>
      </c>
      <c r="H778" t="str">
        <f>"RET201811068499"</f>
        <v>RET201811068499</v>
      </c>
      <c r="I778" t="str">
        <f>"TMRS CITY OF FLORESVILLE"</f>
        <v>TMRS CITY OF FLORESVILLE</v>
      </c>
    </row>
    <row r="779" spans="1:9" x14ac:dyDescent="0.25">
      <c r="A779" s="6">
        <v>43419</v>
      </c>
      <c r="B779" t="s">
        <v>26</v>
      </c>
      <c r="C779">
        <v>59457</v>
      </c>
      <c r="D779" t="s">
        <v>345</v>
      </c>
      <c r="E779" s="7">
        <v>236.5</v>
      </c>
      <c r="F779" t="s">
        <v>20</v>
      </c>
      <c r="G779" t="s">
        <v>21</v>
      </c>
      <c r="H779" t="str">
        <f>"11/10/18"</f>
        <v>11/10/18</v>
      </c>
      <c r="I779" t="str">
        <f>"MICHAEL ISAAC MARTINEZ"</f>
        <v>MICHAEL ISAAC MARTINEZ</v>
      </c>
    </row>
    <row r="780" spans="1:9" x14ac:dyDescent="0.25">
      <c r="A780" s="6">
        <v>43419</v>
      </c>
      <c r="B780" t="s">
        <v>26</v>
      </c>
      <c r="C780">
        <v>59458</v>
      </c>
      <c r="D780" t="s">
        <v>465</v>
      </c>
      <c r="E780" s="7">
        <v>87</v>
      </c>
      <c r="F780" t="s">
        <v>20</v>
      </c>
      <c r="G780" t="s">
        <v>21</v>
      </c>
      <c r="H780" t="str">
        <f>"11/10/18"</f>
        <v>11/10/18</v>
      </c>
      <c r="I780" t="str">
        <f>"ALEXIS RIOJAS"</f>
        <v>ALEXIS RIOJAS</v>
      </c>
    </row>
    <row r="781" spans="1:9" x14ac:dyDescent="0.25">
      <c r="A781" s="6">
        <v>43419</v>
      </c>
      <c r="B781" t="s">
        <v>26</v>
      </c>
      <c r="C781">
        <v>59459</v>
      </c>
      <c r="D781" t="s">
        <v>624</v>
      </c>
      <c r="E781" s="7">
        <v>250</v>
      </c>
      <c r="F781" t="s">
        <v>20</v>
      </c>
      <c r="G781" t="s">
        <v>21</v>
      </c>
      <c r="H781" t="str">
        <f>"11/14/18"</f>
        <v>11/14/18</v>
      </c>
      <c r="I781" t="str">
        <f>"LARRY GUERRERO"</f>
        <v>LARRY GUERRERO</v>
      </c>
    </row>
    <row r="782" spans="1:9" x14ac:dyDescent="0.25">
      <c r="A782" s="6">
        <v>43423</v>
      </c>
      <c r="B782" t="s">
        <v>26</v>
      </c>
      <c r="C782">
        <v>59460</v>
      </c>
      <c r="D782" t="s">
        <v>618</v>
      </c>
      <c r="E782" s="7">
        <v>420</v>
      </c>
      <c r="F782" t="s">
        <v>20</v>
      </c>
      <c r="G782" t="s">
        <v>21</v>
      </c>
      <c r="H782" t="str">
        <f>"11/15/18"</f>
        <v>11/15/18</v>
      </c>
      <c r="I782" t="str">
        <f>"SYLVIA TREVINO"</f>
        <v>SYLVIA TREVINO</v>
      </c>
    </row>
    <row r="783" spans="1:9" x14ac:dyDescent="0.25">
      <c r="A783" s="6">
        <v>43423</v>
      </c>
      <c r="B783" t="s">
        <v>26</v>
      </c>
      <c r="C783">
        <v>59461</v>
      </c>
      <c r="D783" t="s">
        <v>625</v>
      </c>
      <c r="E783" s="7">
        <v>80</v>
      </c>
      <c r="F783" t="s">
        <v>20</v>
      </c>
      <c r="G783" t="s">
        <v>21</v>
      </c>
      <c r="H783" t="str">
        <f>"11/06/2018ELECTION"</f>
        <v>11/06/2018ELECTION</v>
      </c>
      <c r="I783" t="str">
        <f>"LAJUANA NEWNAM LEUS"</f>
        <v>LAJUANA NEWNAM LEUS</v>
      </c>
    </row>
    <row r="784" spans="1:9" x14ac:dyDescent="0.25">
      <c r="A784" s="6">
        <v>43423</v>
      </c>
      <c r="B784" t="s">
        <v>26</v>
      </c>
      <c r="C784">
        <v>59462</v>
      </c>
      <c r="D784" t="s">
        <v>626</v>
      </c>
      <c r="E784" s="7">
        <v>80</v>
      </c>
      <c r="F784" t="s">
        <v>20</v>
      </c>
      <c r="G784" t="s">
        <v>21</v>
      </c>
      <c r="H784" t="str">
        <f>"11/6/2018 ELECTION"</f>
        <v>11/6/2018 ELECTION</v>
      </c>
      <c r="I784" t="str">
        <f>"SYLVIA J. BARRERA"</f>
        <v>SYLVIA J. BARRERA</v>
      </c>
    </row>
    <row r="785" spans="1:9" x14ac:dyDescent="0.25">
      <c r="A785" s="6">
        <v>43423</v>
      </c>
      <c r="B785" t="s">
        <v>26</v>
      </c>
      <c r="C785">
        <v>59463</v>
      </c>
      <c r="D785" t="s">
        <v>627</v>
      </c>
      <c r="E785" s="7">
        <v>80</v>
      </c>
      <c r="F785" t="s">
        <v>20</v>
      </c>
      <c r="G785" t="s">
        <v>21</v>
      </c>
      <c r="H785" t="str">
        <f>"11/6/2018 ELECTION"</f>
        <v>11/6/2018 ELECTION</v>
      </c>
      <c r="I785" t="str">
        <f>"SARITA JIMENEZ"</f>
        <v>SARITA JIMENEZ</v>
      </c>
    </row>
    <row r="786" spans="1:9" x14ac:dyDescent="0.25">
      <c r="A786" s="6">
        <v>43423</v>
      </c>
      <c r="B786" t="s">
        <v>26</v>
      </c>
      <c r="C786">
        <v>59464</v>
      </c>
      <c r="D786" t="s">
        <v>345</v>
      </c>
      <c r="E786" s="7">
        <v>192.5</v>
      </c>
      <c r="F786" t="s">
        <v>20</v>
      </c>
      <c r="G786" t="s">
        <v>21</v>
      </c>
      <c r="H786" t="str">
        <f>"11/19/2018"</f>
        <v>11/19/2018</v>
      </c>
      <c r="I786" t="str">
        <f>"MICHAEL ISAAC MARTINEZ"</f>
        <v>MICHAEL ISAAC MARTINEZ</v>
      </c>
    </row>
    <row r="787" spans="1:9" x14ac:dyDescent="0.25">
      <c r="A787" s="6">
        <v>43423</v>
      </c>
      <c r="B787" t="s">
        <v>26</v>
      </c>
      <c r="C787">
        <v>59473</v>
      </c>
      <c r="D787" t="s">
        <v>51</v>
      </c>
      <c r="E787" s="7">
        <v>309.37</v>
      </c>
      <c r="F787" t="s">
        <v>20</v>
      </c>
      <c r="G787" t="s">
        <v>21</v>
      </c>
      <c r="H787" t="str">
        <f>"CLE201811198501"</f>
        <v>CLE201811198501</v>
      </c>
      <c r="I787" t="str">
        <f>"CLEAT ONLY DUES"</f>
        <v>CLEAT ONLY DUES</v>
      </c>
    </row>
    <row r="788" spans="1:9" x14ac:dyDescent="0.25">
      <c r="A788" s="6">
        <v>43423</v>
      </c>
      <c r="B788" t="s">
        <v>26</v>
      </c>
      <c r="C788">
        <v>59473</v>
      </c>
      <c r="D788" t="s">
        <v>51</v>
      </c>
      <c r="E788" s="7">
        <v>309.37</v>
      </c>
      <c r="F788" t="s">
        <v>20</v>
      </c>
      <c r="G788" t="s">
        <v>21</v>
      </c>
      <c r="H788" t="str">
        <f>"PDD201811198501"</f>
        <v>PDD201811198501</v>
      </c>
      <c r="I788" t="str">
        <f>"POLICE OFFICERS ASSOC DUES"</f>
        <v>POLICE OFFICERS ASSOC DUES</v>
      </c>
    </row>
    <row r="789" spans="1:9" x14ac:dyDescent="0.25">
      <c r="A789" s="6">
        <v>43423</v>
      </c>
      <c r="B789" t="s">
        <v>91</v>
      </c>
      <c r="C789">
        <v>59474</v>
      </c>
      <c r="D789" t="s">
        <v>90</v>
      </c>
      <c r="E789" s="7">
        <v>101.1</v>
      </c>
      <c r="F789" t="s">
        <v>20</v>
      </c>
      <c r="G789" t="s">
        <v>21</v>
      </c>
      <c r="H789" t="str">
        <f>"AFS201811198501"</f>
        <v>AFS201811198501</v>
      </c>
      <c r="I789" t="str">
        <f>"AFLAC STD"</f>
        <v>AFLAC STD</v>
      </c>
    </row>
    <row r="790" spans="1:9" x14ac:dyDescent="0.25">
      <c r="A790" s="6">
        <v>43423</v>
      </c>
      <c r="B790" t="s">
        <v>91</v>
      </c>
      <c r="C790">
        <v>59474</v>
      </c>
      <c r="D790" t="s">
        <v>90</v>
      </c>
      <c r="E790" s="7">
        <v>101.1</v>
      </c>
      <c r="F790" t="s">
        <v>20</v>
      </c>
      <c r="G790" t="s">
        <v>93</v>
      </c>
      <c r="H790" t="str">
        <f>"CHECK"</f>
        <v>CHECK</v>
      </c>
      <c r="I790" t="str">
        <f>""</f>
        <v/>
      </c>
    </row>
    <row r="791" spans="1:9" x14ac:dyDescent="0.25">
      <c r="A791" s="6">
        <v>43423</v>
      </c>
      <c r="B791" t="s">
        <v>26</v>
      </c>
      <c r="C791">
        <v>59475</v>
      </c>
      <c r="D791" t="s">
        <v>52</v>
      </c>
      <c r="E791" s="7">
        <v>1123.9100000000001</v>
      </c>
      <c r="F791" t="s">
        <v>20</v>
      </c>
      <c r="G791" t="s">
        <v>21</v>
      </c>
      <c r="H791" t="str">
        <f>"CPS201811198501"</f>
        <v>CPS201811198501</v>
      </c>
      <c r="I791" t="str">
        <f>"G MENDOZA 00123012032010EM5054"</f>
        <v>G MENDOZA 00123012032010EM5054</v>
      </c>
    </row>
    <row r="792" spans="1:9" x14ac:dyDescent="0.25">
      <c r="A792" s="6">
        <v>43423</v>
      </c>
      <c r="B792" t="s">
        <v>26</v>
      </c>
      <c r="C792">
        <v>59475</v>
      </c>
      <c r="D792" t="s">
        <v>52</v>
      </c>
      <c r="E792" s="7">
        <v>1123.9100000000001</v>
      </c>
      <c r="F792" t="s">
        <v>20</v>
      </c>
      <c r="G792" t="s">
        <v>21</v>
      </c>
      <c r="H792" t="str">
        <f>"CS 201811198501"</f>
        <v>CS 201811198501</v>
      </c>
      <c r="I792" t="str">
        <f>"CAUSE#98EM504113 PEGGY RIVAS"</f>
        <v>CAUSE#98EM504113 PEGGY RIVAS</v>
      </c>
    </row>
    <row r="793" spans="1:9" x14ac:dyDescent="0.25">
      <c r="A793" s="6">
        <v>43423</v>
      </c>
      <c r="B793" t="s">
        <v>26</v>
      </c>
      <c r="C793">
        <v>59475</v>
      </c>
      <c r="D793" t="s">
        <v>52</v>
      </c>
      <c r="E793" s="7">
        <v>1123.9100000000001</v>
      </c>
      <c r="F793" t="s">
        <v>20</v>
      </c>
      <c r="G793" t="s">
        <v>21</v>
      </c>
      <c r="H793" t="str">
        <f>"CSJ201811198501"</f>
        <v>CSJ201811198501</v>
      </c>
      <c r="I793" t="str">
        <f>"CAUSE# 0010185272 MARIANN GUTI"</f>
        <v>CAUSE# 0010185272 MARIANN GUTI</v>
      </c>
    </row>
    <row r="794" spans="1:9" x14ac:dyDescent="0.25">
      <c r="A794" s="6">
        <v>43423</v>
      </c>
      <c r="B794" t="s">
        <v>26</v>
      </c>
      <c r="C794">
        <v>59476</v>
      </c>
      <c r="D794" t="s">
        <v>53</v>
      </c>
      <c r="E794" s="7">
        <v>99.1</v>
      </c>
      <c r="F794" t="s">
        <v>20</v>
      </c>
      <c r="G794" t="s">
        <v>21</v>
      </c>
      <c r="H794" t="str">
        <f>"MCO201811198501"</f>
        <v>MCO201811198501</v>
      </c>
      <c r="I794" t="str">
        <f>"MONICA CORDOVA"</f>
        <v>MONICA CORDOVA</v>
      </c>
    </row>
    <row r="795" spans="1:9" x14ac:dyDescent="0.25">
      <c r="A795" s="6">
        <v>43423</v>
      </c>
      <c r="B795" t="s">
        <v>26</v>
      </c>
      <c r="C795">
        <v>59477</v>
      </c>
      <c r="D795" t="s">
        <v>54</v>
      </c>
      <c r="E795" s="7">
        <v>977.1</v>
      </c>
      <c r="F795" t="s">
        <v>20</v>
      </c>
      <c r="G795" t="s">
        <v>21</v>
      </c>
      <c r="H795" t="str">
        <f>"457201811198501"</f>
        <v>457201811198501</v>
      </c>
      <c r="I795" t="str">
        <f>"CASE # 180-60751 457B DEDUCT"</f>
        <v>CASE # 180-60751 457B DEDUCT</v>
      </c>
    </row>
    <row r="796" spans="1:9" x14ac:dyDescent="0.25">
      <c r="A796" s="6">
        <v>43433</v>
      </c>
      <c r="B796" t="s">
        <v>91</v>
      </c>
      <c r="C796">
        <v>59478</v>
      </c>
      <c r="D796" t="s">
        <v>150</v>
      </c>
      <c r="E796" s="7">
        <v>15000</v>
      </c>
      <c r="F796" t="s">
        <v>20</v>
      </c>
      <c r="G796" t="s">
        <v>21</v>
      </c>
      <c r="H796" t="str">
        <f>"11/2018"</f>
        <v>11/2018</v>
      </c>
      <c r="I796" t="str">
        <f>"FLORESVILLE CHAMBER OF COMMERC"</f>
        <v>FLORESVILLE CHAMBER OF COMMERC</v>
      </c>
    </row>
    <row r="797" spans="1:9" x14ac:dyDescent="0.25">
      <c r="A797" s="6">
        <v>43433</v>
      </c>
      <c r="B797" t="s">
        <v>91</v>
      </c>
      <c r="C797">
        <v>59478</v>
      </c>
      <c r="D797" t="s">
        <v>150</v>
      </c>
      <c r="E797" s="7">
        <v>15000</v>
      </c>
      <c r="F797" t="s">
        <v>20</v>
      </c>
      <c r="G797" t="s">
        <v>93</v>
      </c>
      <c r="H797" t="str">
        <f>"CHECK"</f>
        <v>CHECK</v>
      </c>
      <c r="I797" t="str">
        <f>""</f>
        <v/>
      </c>
    </row>
    <row r="798" spans="1:9" x14ac:dyDescent="0.25">
      <c r="A798" s="6">
        <v>43433</v>
      </c>
      <c r="B798" t="s">
        <v>26</v>
      </c>
      <c r="C798">
        <v>59479</v>
      </c>
      <c r="D798" t="s">
        <v>59</v>
      </c>
      <c r="E798" s="7">
        <v>1657.31</v>
      </c>
      <c r="F798" t="s">
        <v>20</v>
      </c>
      <c r="G798" t="s">
        <v>21</v>
      </c>
      <c r="H798" t="str">
        <f>"09914031"</f>
        <v>09914031</v>
      </c>
      <c r="I798" t="str">
        <f>"PIPE/BOLTS"</f>
        <v>PIPE/BOLTS</v>
      </c>
    </row>
    <row r="799" spans="1:9" x14ac:dyDescent="0.25">
      <c r="A799" s="6">
        <v>43433</v>
      </c>
      <c r="B799" t="s">
        <v>26</v>
      </c>
      <c r="C799">
        <v>59479</v>
      </c>
      <c r="D799" t="s">
        <v>59</v>
      </c>
      <c r="E799" s="7">
        <v>1657.31</v>
      </c>
      <c r="F799" t="s">
        <v>20</v>
      </c>
      <c r="G799" t="s">
        <v>21</v>
      </c>
      <c r="H799" t="str">
        <f>"0992178"</f>
        <v>0992178</v>
      </c>
      <c r="I799" t="str">
        <f>"VALVE &amp; HOSES"</f>
        <v>VALVE &amp; HOSES</v>
      </c>
    </row>
    <row r="800" spans="1:9" x14ac:dyDescent="0.25">
      <c r="A800" s="6">
        <v>43433</v>
      </c>
      <c r="B800" t="s">
        <v>26</v>
      </c>
      <c r="C800">
        <v>59479</v>
      </c>
      <c r="D800" t="s">
        <v>59</v>
      </c>
      <c r="E800" s="7">
        <v>1657.31</v>
      </c>
      <c r="F800" t="s">
        <v>20</v>
      </c>
      <c r="G800" t="s">
        <v>21</v>
      </c>
      <c r="H800" t="str">
        <f>"0992853"</f>
        <v>0992853</v>
      </c>
      <c r="I800" t="str">
        <f>"BLT GASKET"</f>
        <v>BLT GASKET</v>
      </c>
    </row>
    <row r="801" spans="1:9" x14ac:dyDescent="0.25">
      <c r="A801" s="6">
        <v>43433</v>
      </c>
      <c r="B801" t="s">
        <v>26</v>
      </c>
      <c r="C801">
        <v>59479</v>
      </c>
      <c r="D801" t="s">
        <v>59</v>
      </c>
      <c r="E801" s="7">
        <v>1657.31</v>
      </c>
      <c r="F801" t="s">
        <v>20</v>
      </c>
      <c r="G801" t="s">
        <v>21</v>
      </c>
      <c r="H801" t="str">
        <f>"0992853*"</f>
        <v>0992853*</v>
      </c>
      <c r="I801" t="str">
        <f>"FERGUSON WATERWORKS - MUNICIPA"</f>
        <v>FERGUSON WATERWORKS - MUNICIPA</v>
      </c>
    </row>
    <row r="802" spans="1:9" x14ac:dyDescent="0.25">
      <c r="A802" s="6">
        <v>43433</v>
      </c>
      <c r="B802" t="s">
        <v>26</v>
      </c>
      <c r="C802">
        <v>59479</v>
      </c>
      <c r="D802" t="s">
        <v>59</v>
      </c>
      <c r="E802" s="7">
        <v>1657.31</v>
      </c>
      <c r="F802" t="s">
        <v>20</v>
      </c>
      <c r="G802" t="s">
        <v>21</v>
      </c>
      <c r="H802" t="str">
        <f>"0993474"</f>
        <v>0993474</v>
      </c>
      <c r="I802" t="str">
        <f>"HOSES"</f>
        <v>HOSES</v>
      </c>
    </row>
    <row r="803" spans="1:9" x14ac:dyDescent="0.25">
      <c r="A803" s="6">
        <v>43433</v>
      </c>
      <c r="B803" t="s">
        <v>26</v>
      </c>
      <c r="C803">
        <v>59481</v>
      </c>
      <c r="D803" t="s">
        <v>577</v>
      </c>
      <c r="E803" s="7">
        <v>6534.15</v>
      </c>
      <c r="F803" t="s">
        <v>20</v>
      </c>
      <c r="G803" t="s">
        <v>21</v>
      </c>
      <c r="H803" t="str">
        <f>"PHS08184824"</f>
        <v>PHS08184824</v>
      </c>
      <c r="I803" t="str">
        <f>"TCEQ - OCCUPATIONAL LICENSING"</f>
        <v>TCEQ - OCCUPATIONAL LICENSING</v>
      </c>
    </row>
    <row r="804" spans="1:9" x14ac:dyDescent="0.25">
      <c r="A804" s="6">
        <v>43433</v>
      </c>
      <c r="B804" t="s">
        <v>26</v>
      </c>
      <c r="C804">
        <v>59482</v>
      </c>
      <c r="D804" t="s">
        <v>179</v>
      </c>
      <c r="E804" s="7">
        <v>192.37</v>
      </c>
      <c r="F804" t="s">
        <v>20</v>
      </c>
      <c r="G804" t="s">
        <v>21</v>
      </c>
      <c r="H804" t="str">
        <f>"54097F"</f>
        <v>54097F</v>
      </c>
      <c r="I804" t="str">
        <f>"DOOR LATCH/REAR TAIL LT"</f>
        <v>DOOR LATCH/REAR TAIL LT</v>
      </c>
    </row>
    <row r="805" spans="1:9" x14ac:dyDescent="0.25">
      <c r="A805" s="6">
        <v>43433</v>
      </c>
      <c r="B805" t="s">
        <v>26</v>
      </c>
      <c r="C805">
        <v>59483</v>
      </c>
      <c r="D805" t="s">
        <v>340</v>
      </c>
      <c r="E805" s="7">
        <v>141.19999999999999</v>
      </c>
      <c r="F805" t="s">
        <v>20</v>
      </c>
      <c r="G805" t="s">
        <v>21</v>
      </c>
      <c r="H805" t="str">
        <f>"1810-355446"</f>
        <v>1810-355446</v>
      </c>
      <c r="I805" t="str">
        <f>"O'REILLY AUTOMOTIVE  INC."</f>
        <v>O'REILLY AUTOMOTIVE  INC.</v>
      </c>
    </row>
    <row r="806" spans="1:9" x14ac:dyDescent="0.25">
      <c r="A806" s="6">
        <v>43433</v>
      </c>
      <c r="B806" t="s">
        <v>26</v>
      </c>
      <c r="C806">
        <v>59484</v>
      </c>
      <c r="D806" t="s">
        <v>184</v>
      </c>
      <c r="E806" s="7">
        <v>1123</v>
      </c>
      <c r="F806" t="s">
        <v>20</v>
      </c>
      <c r="G806" t="s">
        <v>21</v>
      </c>
      <c r="H806" t="str">
        <f>"1052-683"</f>
        <v>1052-683</v>
      </c>
      <c r="I806" t="str">
        <f>"POLLUTION CONTROL SERVICES"</f>
        <v>POLLUTION CONTROL SERVICES</v>
      </c>
    </row>
    <row r="807" spans="1:9" x14ac:dyDescent="0.25">
      <c r="A807" s="6">
        <v>43433</v>
      </c>
      <c r="B807" t="s">
        <v>26</v>
      </c>
      <c r="C807">
        <v>59484</v>
      </c>
      <c r="D807" t="s">
        <v>184</v>
      </c>
      <c r="E807" s="7">
        <v>1123</v>
      </c>
      <c r="F807" t="s">
        <v>20</v>
      </c>
      <c r="G807" t="s">
        <v>21</v>
      </c>
      <c r="H807" t="str">
        <f>"1052-684"</f>
        <v>1052-684</v>
      </c>
      <c r="I807" t="str">
        <f>"POLLUTION CONTROL SERVICES"</f>
        <v>POLLUTION CONTROL SERVICES</v>
      </c>
    </row>
    <row r="808" spans="1:9" x14ac:dyDescent="0.25">
      <c r="A808" s="6">
        <v>43433</v>
      </c>
      <c r="B808" t="s">
        <v>26</v>
      </c>
      <c r="C808">
        <v>59485</v>
      </c>
      <c r="D808" t="s">
        <v>62</v>
      </c>
      <c r="E808" s="7">
        <v>777.26</v>
      </c>
      <c r="F808" t="s">
        <v>20</v>
      </c>
      <c r="G808" t="s">
        <v>21</v>
      </c>
      <c r="H808" t="str">
        <f>"60884"</f>
        <v>60884</v>
      </c>
      <c r="I808" t="str">
        <f>"PROFICIENT BENEFIT SOLUTIONS"</f>
        <v>PROFICIENT BENEFIT SOLUTIONS</v>
      </c>
    </row>
    <row r="809" spans="1:9" x14ac:dyDescent="0.25">
      <c r="A809" s="6">
        <v>43433</v>
      </c>
      <c r="B809" t="s">
        <v>26</v>
      </c>
      <c r="C809">
        <v>59485</v>
      </c>
      <c r="D809" t="s">
        <v>62</v>
      </c>
      <c r="E809" s="7">
        <v>777.26</v>
      </c>
      <c r="F809" t="s">
        <v>20</v>
      </c>
      <c r="G809" t="s">
        <v>21</v>
      </c>
      <c r="H809" t="str">
        <f>"ELI T 11/2018"</f>
        <v>ELI T 11/2018</v>
      </c>
      <c r="I809" t="str">
        <f>"PROFICIENT BENEFIT SOLUTIONS"</f>
        <v>PROFICIENT BENEFIT SOLUTIONS</v>
      </c>
    </row>
    <row r="810" spans="1:9" x14ac:dyDescent="0.25">
      <c r="A810" s="6">
        <v>43433</v>
      </c>
      <c r="B810" t="s">
        <v>26</v>
      </c>
      <c r="C810">
        <v>59486</v>
      </c>
      <c r="D810" t="s">
        <v>63</v>
      </c>
      <c r="E810" s="7">
        <v>332.4</v>
      </c>
      <c r="F810" t="s">
        <v>20</v>
      </c>
      <c r="G810" t="s">
        <v>21</v>
      </c>
      <c r="H810" t="str">
        <f>"8403900528"</f>
        <v>8403900528</v>
      </c>
      <c r="I810" t="str">
        <f>"CINTAS CORPORATION"</f>
        <v>CINTAS CORPORATION</v>
      </c>
    </row>
    <row r="811" spans="1:9" x14ac:dyDescent="0.25">
      <c r="A811" s="6">
        <v>43433</v>
      </c>
      <c r="B811" t="s">
        <v>26</v>
      </c>
      <c r="C811">
        <v>59487</v>
      </c>
      <c r="D811" t="s">
        <v>117</v>
      </c>
      <c r="E811" s="7">
        <v>3880.31</v>
      </c>
      <c r="F811" t="s">
        <v>20</v>
      </c>
      <c r="G811" t="s">
        <v>21</v>
      </c>
      <c r="H811" t="str">
        <f>"9/2018"</f>
        <v>9/2018</v>
      </c>
      <c r="I811" t="str">
        <f>"LINEBARGER GOGGAN BLAIR &amp; SAMP"</f>
        <v>LINEBARGER GOGGAN BLAIR &amp; SAMP</v>
      </c>
    </row>
    <row r="812" spans="1:9" x14ac:dyDescent="0.25">
      <c r="A812" s="6">
        <v>43433</v>
      </c>
      <c r="B812" t="s">
        <v>26</v>
      </c>
      <c r="C812">
        <v>59487</v>
      </c>
      <c r="D812" t="s">
        <v>117</v>
      </c>
      <c r="E812" s="7">
        <v>3880.31</v>
      </c>
      <c r="F812" t="s">
        <v>20</v>
      </c>
      <c r="G812" t="s">
        <v>21</v>
      </c>
      <c r="H812" t="str">
        <f>"JULY/AUG 2018"</f>
        <v>JULY/AUG 2018</v>
      </c>
      <c r="I812" t="str">
        <f>"LINEBARGER GOGGAN BLAIR &amp; SAMP"</f>
        <v>LINEBARGER GOGGAN BLAIR &amp; SAMP</v>
      </c>
    </row>
    <row r="813" spans="1:9" x14ac:dyDescent="0.25">
      <c r="A813" s="6">
        <v>43433</v>
      </c>
      <c r="B813" t="s">
        <v>26</v>
      </c>
      <c r="C813">
        <v>59487</v>
      </c>
      <c r="D813" t="s">
        <v>117</v>
      </c>
      <c r="E813" s="7">
        <v>3880.31</v>
      </c>
      <c r="F813" t="s">
        <v>20</v>
      </c>
      <c r="G813" t="s">
        <v>21</v>
      </c>
      <c r="H813" t="str">
        <f>"OCT 2018"</f>
        <v>OCT 2018</v>
      </c>
      <c r="I813" t="str">
        <f>"LINEBARGER GOGGAN BLAIR &amp; SAMP"</f>
        <v>LINEBARGER GOGGAN BLAIR &amp; SAMP</v>
      </c>
    </row>
    <row r="814" spans="1:9" x14ac:dyDescent="0.25">
      <c r="A814" s="6">
        <v>43433</v>
      </c>
      <c r="B814" t="s">
        <v>26</v>
      </c>
      <c r="C814">
        <v>59488</v>
      </c>
      <c r="D814" t="s">
        <v>628</v>
      </c>
      <c r="E814" s="7">
        <v>15</v>
      </c>
      <c r="F814" t="s">
        <v>20</v>
      </c>
      <c r="G814" t="s">
        <v>21</v>
      </c>
      <c r="H814" t="str">
        <f>"513725"</f>
        <v>513725</v>
      </c>
      <c r="I814" t="str">
        <f>"PROPANE TANK REFILS"</f>
        <v>PROPANE TANK REFILS</v>
      </c>
    </row>
    <row r="815" spans="1:9" x14ac:dyDescent="0.25">
      <c r="A815" s="6">
        <v>43433</v>
      </c>
      <c r="B815" t="s">
        <v>26</v>
      </c>
      <c r="C815">
        <v>59489</v>
      </c>
      <c r="D815" t="s">
        <v>622</v>
      </c>
      <c r="E815" s="7">
        <v>74.88</v>
      </c>
      <c r="F815" t="s">
        <v>20</v>
      </c>
      <c r="G815" t="s">
        <v>21</v>
      </c>
      <c r="H815" t="str">
        <f>"3-T1002379"</f>
        <v>3-T1002379</v>
      </c>
      <c r="I815" t="str">
        <f>"EASY DRIVE"</f>
        <v>EASY DRIVE</v>
      </c>
    </row>
    <row r="816" spans="1:9" x14ac:dyDescent="0.25">
      <c r="A816" s="6">
        <v>43433</v>
      </c>
      <c r="B816" t="s">
        <v>26</v>
      </c>
      <c r="C816">
        <v>59490</v>
      </c>
      <c r="D816" t="s">
        <v>118</v>
      </c>
      <c r="E816" s="7">
        <v>473</v>
      </c>
      <c r="F816" t="s">
        <v>20</v>
      </c>
      <c r="G816" t="s">
        <v>21</v>
      </c>
      <c r="H816" t="str">
        <f>"11189"</f>
        <v>11189</v>
      </c>
      <c r="I816" t="str">
        <f>"BRYAN AIR CONDITIONING &amp; HEATI"</f>
        <v>BRYAN AIR CONDITIONING &amp; HEATI</v>
      </c>
    </row>
    <row r="817" spans="1:9" x14ac:dyDescent="0.25">
      <c r="A817" s="6">
        <v>43433</v>
      </c>
      <c r="B817" t="s">
        <v>26</v>
      </c>
      <c r="C817">
        <v>59491</v>
      </c>
      <c r="D817" t="s">
        <v>159</v>
      </c>
      <c r="E817" s="7">
        <v>9286.9500000000007</v>
      </c>
      <c r="F817" t="s">
        <v>20</v>
      </c>
      <c r="G817" t="s">
        <v>21</v>
      </c>
      <c r="H817" t="str">
        <f>"37822"</f>
        <v>37822</v>
      </c>
      <c r="I817" t="str">
        <f>"PHOTOGRAPHS BY JIM"</f>
        <v>PHOTOGRAPHS BY JIM</v>
      </c>
    </row>
    <row r="818" spans="1:9" x14ac:dyDescent="0.25">
      <c r="A818" s="6">
        <v>43433</v>
      </c>
      <c r="B818" t="s">
        <v>26</v>
      </c>
      <c r="C818">
        <v>59491</v>
      </c>
      <c r="D818" t="s">
        <v>159</v>
      </c>
      <c r="E818" s="7">
        <v>9286.9500000000007</v>
      </c>
      <c r="F818" t="s">
        <v>20</v>
      </c>
      <c r="G818" t="s">
        <v>21</v>
      </c>
      <c r="H818" t="str">
        <f>"37843"</f>
        <v>37843</v>
      </c>
      <c r="I818" t="str">
        <f>"PHOTOGRAPHS BY JIM"</f>
        <v>PHOTOGRAPHS BY JIM</v>
      </c>
    </row>
    <row r="819" spans="1:9" x14ac:dyDescent="0.25">
      <c r="A819" s="6">
        <v>43433</v>
      </c>
      <c r="B819" t="s">
        <v>26</v>
      </c>
      <c r="C819">
        <v>59491</v>
      </c>
      <c r="D819" t="s">
        <v>159</v>
      </c>
      <c r="E819" s="7">
        <v>9286.9500000000007</v>
      </c>
      <c r="F819" t="s">
        <v>20</v>
      </c>
      <c r="G819" t="s">
        <v>21</v>
      </c>
      <c r="H819" t="str">
        <f>"37849"</f>
        <v>37849</v>
      </c>
      <c r="I819" t="str">
        <f>"PHOTOGRAPHS BY JIM"</f>
        <v>PHOTOGRAPHS BY JIM</v>
      </c>
    </row>
    <row r="820" spans="1:9" x14ac:dyDescent="0.25">
      <c r="A820" s="6">
        <v>43433</v>
      </c>
      <c r="B820" t="s">
        <v>26</v>
      </c>
      <c r="C820">
        <v>59492</v>
      </c>
      <c r="D820" t="s">
        <v>29</v>
      </c>
      <c r="E820" s="7">
        <v>8362.86</v>
      </c>
      <c r="F820" t="s">
        <v>20</v>
      </c>
      <c r="G820" t="s">
        <v>21</v>
      </c>
      <c r="H820" t="str">
        <f>"33898"</f>
        <v>33898</v>
      </c>
      <c r="I820" t="str">
        <f>"M &amp; S ENGINEERING  LLC"</f>
        <v>M &amp; S ENGINEERING  LLC</v>
      </c>
    </row>
    <row r="821" spans="1:9" x14ac:dyDescent="0.25">
      <c r="A821" s="6">
        <v>43433</v>
      </c>
      <c r="B821" t="s">
        <v>26</v>
      </c>
      <c r="C821">
        <v>59493</v>
      </c>
      <c r="D821" t="s">
        <v>74</v>
      </c>
      <c r="E821" s="7">
        <v>3.65</v>
      </c>
      <c r="F821" t="s">
        <v>20</v>
      </c>
      <c r="G821" t="s">
        <v>21</v>
      </c>
      <c r="H821" t="str">
        <f>"9817954317"</f>
        <v>9817954317</v>
      </c>
      <c r="I821" t="str">
        <f>"VERIZON WIRELESS"</f>
        <v>VERIZON WIRELESS</v>
      </c>
    </row>
    <row r="822" spans="1:9" x14ac:dyDescent="0.25">
      <c r="A822" s="6">
        <v>43433</v>
      </c>
      <c r="B822" t="s">
        <v>26</v>
      </c>
      <c r="C822">
        <v>59494</v>
      </c>
      <c r="D822" t="s">
        <v>371</v>
      </c>
      <c r="E822" s="7">
        <v>4500</v>
      </c>
      <c r="F822" t="s">
        <v>20</v>
      </c>
      <c r="G822" t="s">
        <v>21</v>
      </c>
      <c r="H822" t="str">
        <f>"7003"</f>
        <v>7003</v>
      </c>
      <c r="I822" t="str">
        <f>"ELEGUN ELECTRIC MOTOR AND SERV"</f>
        <v>ELEGUN ELECTRIC MOTOR AND SERV</v>
      </c>
    </row>
    <row r="823" spans="1:9" x14ac:dyDescent="0.25">
      <c r="A823" s="6">
        <v>43433</v>
      </c>
      <c r="B823" t="s">
        <v>26</v>
      </c>
      <c r="C823">
        <v>59495</v>
      </c>
      <c r="D823" t="s">
        <v>123</v>
      </c>
      <c r="E823" s="7">
        <v>2710.17</v>
      </c>
      <c r="F823" t="s">
        <v>20</v>
      </c>
      <c r="G823" t="s">
        <v>21</v>
      </c>
      <c r="H823" t="str">
        <f>"224932490001"</f>
        <v>224932490001</v>
      </c>
      <c r="I823" t="str">
        <f>"OFFICE DEPOT  INC."</f>
        <v>OFFICE DEPOT  INC.</v>
      </c>
    </row>
    <row r="824" spans="1:9" x14ac:dyDescent="0.25">
      <c r="A824" s="6">
        <v>43433</v>
      </c>
      <c r="B824" t="s">
        <v>26</v>
      </c>
      <c r="C824">
        <v>59495</v>
      </c>
      <c r="D824" t="s">
        <v>123</v>
      </c>
      <c r="E824" s="7">
        <v>2710.17</v>
      </c>
      <c r="F824" t="s">
        <v>20</v>
      </c>
      <c r="G824" t="s">
        <v>21</v>
      </c>
      <c r="H824" t="str">
        <f>"226742094001"</f>
        <v>226742094001</v>
      </c>
      <c r="I824" t="str">
        <f>"OFFICE DEPOT  INC."</f>
        <v>OFFICE DEPOT  INC.</v>
      </c>
    </row>
    <row r="825" spans="1:9" x14ac:dyDescent="0.25">
      <c r="A825" s="6">
        <v>43433</v>
      </c>
      <c r="B825" t="s">
        <v>26</v>
      </c>
      <c r="C825">
        <v>59495</v>
      </c>
      <c r="D825" t="s">
        <v>123</v>
      </c>
      <c r="E825" s="7">
        <v>2710.17</v>
      </c>
      <c r="F825" t="s">
        <v>20</v>
      </c>
      <c r="G825" t="s">
        <v>21</v>
      </c>
      <c r="H825" t="str">
        <f>"226745930001"</f>
        <v>226745930001</v>
      </c>
      <c r="I825" t="str">
        <f>"OFFICE DEPOT  INC."</f>
        <v>OFFICE DEPOT  INC.</v>
      </c>
    </row>
    <row r="826" spans="1:9" x14ac:dyDescent="0.25">
      <c r="A826" s="6">
        <v>43433</v>
      </c>
      <c r="B826" t="s">
        <v>26</v>
      </c>
      <c r="C826">
        <v>59495</v>
      </c>
      <c r="D826" t="s">
        <v>123</v>
      </c>
      <c r="E826" s="7">
        <v>2710.17</v>
      </c>
      <c r="F826" t="s">
        <v>20</v>
      </c>
      <c r="G826" t="s">
        <v>21</v>
      </c>
      <c r="H826" t="str">
        <f>"228118127001"</f>
        <v>228118127001</v>
      </c>
      <c r="I826" t="str">
        <f>"OFFICE SUPPLIES"</f>
        <v>OFFICE SUPPLIES</v>
      </c>
    </row>
    <row r="827" spans="1:9" x14ac:dyDescent="0.25">
      <c r="A827" s="6">
        <v>43433</v>
      </c>
      <c r="B827" t="s">
        <v>26</v>
      </c>
      <c r="C827">
        <v>59495</v>
      </c>
      <c r="D827" t="s">
        <v>123</v>
      </c>
      <c r="E827" s="7">
        <v>2710.17</v>
      </c>
      <c r="F827" t="s">
        <v>20</v>
      </c>
      <c r="G827" t="s">
        <v>21</v>
      </c>
      <c r="H827" t="str">
        <f>"228118127002"</f>
        <v>228118127002</v>
      </c>
      <c r="I827" t="str">
        <f>"OFFICE SUPPLIES"</f>
        <v>OFFICE SUPPLIES</v>
      </c>
    </row>
    <row r="828" spans="1:9" x14ac:dyDescent="0.25">
      <c r="A828" s="6">
        <v>43433</v>
      </c>
      <c r="B828" t="s">
        <v>26</v>
      </c>
      <c r="C828">
        <v>59495</v>
      </c>
      <c r="D828" t="s">
        <v>123</v>
      </c>
      <c r="E828" s="7">
        <v>2710.17</v>
      </c>
      <c r="F828" t="s">
        <v>20</v>
      </c>
      <c r="G828" t="s">
        <v>21</v>
      </c>
      <c r="H828" t="str">
        <f>"228118886001"</f>
        <v>228118886001</v>
      </c>
      <c r="I828" t="str">
        <f>"OFFICE SUPPLIES"</f>
        <v>OFFICE SUPPLIES</v>
      </c>
    </row>
    <row r="829" spans="1:9" x14ac:dyDescent="0.25">
      <c r="A829" s="6">
        <v>43433</v>
      </c>
      <c r="B829" t="s">
        <v>26</v>
      </c>
      <c r="C829">
        <v>59495</v>
      </c>
      <c r="D829" t="s">
        <v>123</v>
      </c>
      <c r="E829" s="7">
        <v>2710.17</v>
      </c>
      <c r="F829" t="s">
        <v>20</v>
      </c>
      <c r="G829" t="s">
        <v>21</v>
      </c>
      <c r="H829" t="str">
        <f>"228118894001"</f>
        <v>228118894001</v>
      </c>
      <c r="I829" t="str">
        <f>"OFFICE SUPPLIES"</f>
        <v>OFFICE SUPPLIES</v>
      </c>
    </row>
    <row r="830" spans="1:9" x14ac:dyDescent="0.25">
      <c r="A830" s="6">
        <v>43433</v>
      </c>
      <c r="B830" t="s">
        <v>26</v>
      </c>
      <c r="C830">
        <v>59495</v>
      </c>
      <c r="D830" t="s">
        <v>123</v>
      </c>
      <c r="E830" s="7">
        <v>2710.17</v>
      </c>
      <c r="F830" t="s">
        <v>20</v>
      </c>
      <c r="G830" t="s">
        <v>21</v>
      </c>
      <c r="H830" t="str">
        <f>"228129564001"</f>
        <v>228129564001</v>
      </c>
      <c r="I830" t="str">
        <f>"OFFICE DEPOT  INC."</f>
        <v>OFFICE DEPOT  INC.</v>
      </c>
    </row>
    <row r="831" spans="1:9" x14ac:dyDescent="0.25">
      <c r="A831" s="6">
        <v>43433</v>
      </c>
      <c r="B831" t="s">
        <v>26</v>
      </c>
      <c r="C831">
        <v>59495</v>
      </c>
      <c r="D831" t="s">
        <v>123</v>
      </c>
      <c r="E831" s="7">
        <v>2710.17</v>
      </c>
      <c r="F831" t="s">
        <v>20</v>
      </c>
      <c r="G831" t="s">
        <v>21</v>
      </c>
      <c r="H831" t="str">
        <f>"228991139001"</f>
        <v>228991139001</v>
      </c>
      <c r="I831" t="str">
        <f>"OFFICE DEPOT  INC."</f>
        <v>OFFICE DEPOT  INC.</v>
      </c>
    </row>
    <row r="832" spans="1:9" x14ac:dyDescent="0.25">
      <c r="A832" s="6">
        <v>43433</v>
      </c>
      <c r="B832" t="s">
        <v>26</v>
      </c>
      <c r="C832">
        <v>59495</v>
      </c>
      <c r="D832" t="s">
        <v>123</v>
      </c>
      <c r="E832" s="7">
        <v>2710.17</v>
      </c>
      <c r="F832" t="s">
        <v>20</v>
      </c>
      <c r="G832" t="s">
        <v>21</v>
      </c>
      <c r="H832" t="str">
        <f>"228992367001"</f>
        <v>228992367001</v>
      </c>
      <c r="I832" t="str">
        <f>"OFFICE DEPOT  INC."</f>
        <v>OFFICE DEPOT  INC.</v>
      </c>
    </row>
    <row r="833" spans="1:9" x14ac:dyDescent="0.25">
      <c r="A833" s="6">
        <v>43433</v>
      </c>
      <c r="B833" t="s">
        <v>26</v>
      </c>
      <c r="C833">
        <v>59495</v>
      </c>
      <c r="D833" t="s">
        <v>123</v>
      </c>
      <c r="E833" s="7">
        <v>2710.17</v>
      </c>
      <c r="F833" t="s">
        <v>20</v>
      </c>
      <c r="G833" t="s">
        <v>21</v>
      </c>
      <c r="H833" t="str">
        <f>"228992368001"</f>
        <v>228992368001</v>
      </c>
      <c r="I833" t="str">
        <f>"OFFICE DEPOT  INC."</f>
        <v>OFFICE DEPOT  INC.</v>
      </c>
    </row>
    <row r="834" spans="1:9" x14ac:dyDescent="0.25">
      <c r="A834" s="6">
        <v>43433</v>
      </c>
      <c r="B834" t="s">
        <v>26</v>
      </c>
      <c r="C834">
        <v>59495</v>
      </c>
      <c r="D834" t="s">
        <v>123</v>
      </c>
      <c r="E834" s="7">
        <v>2710.17</v>
      </c>
      <c r="F834" t="s">
        <v>20</v>
      </c>
      <c r="G834" t="s">
        <v>21</v>
      </c>
      <c r="H834" t="str">
        <f>"229406287001"</f>
        <v>229406287001</v>
      </c>
      <c r="I834" t="str">
        <f>"JANITORIAL SUPPLIES"</f>
        <v>JANITORIAL SUPPLIES</v>
      </c>
    </row>
    <row r="835" spans="1:9" x14ac:dyDescent="0.25">
      <c r="A835" s="6">
        <v>43433</v>
      </c>
      <c r="B835" t="s">
        <v>26</v>
      </c>
      <c r="C835">
        <v>59495</v>
      </c>
      <c r="D835" t="s">
        <v>123</v>
      </c>
      <c r="E835" s="7">
        <v>2710.17</v>
      </c>
      <c r="F835" t="s">
        <v>20</v>
      </c>
      <c r="G835" t="s">
        <v>21</v>
      </c>
      <c r="H835" t="str">
        <f>"229426024001"</f>
        <v>229426024001</v>
      </c>
      <c r="I835" t="str">
        <f>"JANITORIAL SUPPLIES"</f>
        <v>JANITORIAL SUPPLIES</v>
      </c>
    </row>
    <row r="836" spans="1:9" x14ac:dyDescent="0.25">
      <c r="A836" s="6">
        <v>43433</v>
      </c>
      <c r="B836" t="s">
        <v>26</v>
      </c>
      <c r="C836">
        <v>59495</v>
      </c>
      <c r="D836" t="s">
        <v>123</v>
      </c>
      <c r="E836" s="7">
        <v>2710.17</v>
      </c>
      <c r="F836" t="s">
        <v>20</v>
      </c>
      <c r="G836" t="s">
        <v>21</v>
      </c>
      <c r="H836" t="str">
        <f>"229426025001"</f>
        <v>229426025001</v>
      </c>
      <c r="I836" t="str">
        <f>"JANITORIAL SUPPLIES"</f>
        <v>JANITORIAL SUPPLIES</v>
      </c>
    </row>
    <row r="837" spans="1:9" x14ac:dyDescent="0.25">
      <c r="A837" s="6">
        <v>43433</v>
      </c>
      <c r="B837" t="s">
        <v>26</v>
      </c>
      <c r="C837">
        <v>59500</v>
      </c>
      <c r="D837" t="s">
        <v>137</v>
      </c>
      <c r="E837" s="7">
        <v>121.9</v>
      </c>
      <c r="F837" t="s">
        <v>20</v>
      </c>
      <c r="G837" t="s">
        <v>21</v>
      </c>
      <c r="H837" t="str">
        <f>"4958"</f>
        <v>4958</v>
      </c>
      <c r="I837" t="str">
        <f>"OMNIBUS-M  INC.D.B.A."</f>
        <v>OMNIBUS-M  INC.D.B.A.</v>
      </c>
    </row>
    <row r="838" spans="1:9" x14ac:dyDescent="0.25">
      <c r="A838" s="6">
        <v>43433</v>
      </c>
      <c r="B838" t="s">
        <v>26</v>
      </c>
      <c r="C838">
        <v>59500</v>
      </c>
      <c r="D838" t="s">
        <v>137</v>
      </c>
      <c r="E838" s="7">
        <v>121.9</v>
      </c>
      <c r="F838" t="s">
        <v>20</v>
      </c>
      <c r="G838" t="s">
        <v>21</v>
      </c>
      <c r="H838" t="str">
        <f>"4959"</f>
        <v>4959</v>
      </c>
      <c r="I838" t="str">
        <f>"OMNIBUS-M  INC.D.B.A."</f>
        <v>OMNIBUS-M  INC.D.B.A.</v>
      </c>
    </row>
    <row r="839" spans="1:9" x14ac:dyDescent="0.25">
      <c r="A839" s="6">
        <v>43433</v>
      </c>
      <c r="B839" t="s">
        <v>26</v>
      </c>
      <c r="C839">
        <v>59501</v>
      </c>
      <c r="D839" t="s">
        <v>190</v>
      </c>
      <c r="E839" s="7">
        <v>39</v>
      </c>
      <c r="F839" t="s">
        <v>20</v>
      </c>
      <c r="G839" t="s">
        <v>21</v>
      </c>
      <c r="H839" t="str">
        <f>"15883"</f>
        <v>15883</v>
      </c>
      <c r="I839" t="str">
        <f>"NASASP"</f>
        <v>NASASP</v>
      </c>
    </row>
    <row r="840" spans="1:9" x14ac:dyDescent="0.25">
      <c r="A840" s="6">
        <v>43433</v>
      </c>
      <c r="B840" t="s">
        <v>26</v>
      </c>
      <c r="C840">
        <v>59502</v>
      </c>
      <c r="D840" t="s">
        <v>160</v>
      </c>
      <c r="E840" s="7">
        <v>41.92</v>
      </c>
      <c r="F840" t="s">
        <v>20</v>
      </c>
      <c r="G840" t="s">
        <v>21</v>
      </c>
      <c r="H840" t="str">
        <f>"11/21/18"</f>
        <v>11/21/18</v>
      </c>
      <c r="I840" t="str">
        <f>"MONICA CORDOVA"</f>
        <v>MONICA CORDOVA</v>
      </c>
    </row>
    <row r="841" spans="1:9" x14ac:dyDescent="0.25">
      <c r="A841" s="6">
        <v>43433</v>
      </c>
      <c r="B841" t="s">
        <v>26</v>
      </c>
      <c r="C841">
        <v>59503</v>
      </c>
      <c r="D841" t="s">
        <v>125</v>
      </c>
      <c r="E841" s="7">
        <v>600</v>
      </c>
      <c r="F841" t="s">
        <v>20</v>
      </c>
      <c r="G841" t="s">
        <v>21</v>
      </c>
      <c r="H841" t="str">
        <f>"18-0865"</f>
        <v>18-0865</v>
      </c>
      <c r="I841" t="str">
        <f>"INTREPID SURVEYING CORPORATION"</f>
        <v>INTREPID SURVEYING CORPORATION</v>
      </c>
    </row>
    <row r="842" spans="1:9" x14ac:dyDescent="0.25">
      <c r="A842" s="6">
        <v>43433</v>
      </c>
      <c r="B842" t="s">
        <v>26</v>
      </c>
      <c r="C842">
        <v>59504</v>
      </c>
      <c r="D842" t="s">
        <v>386</v>
      </c>
      <c r="E842" s="7">
        <v>52.65</v>
      </c>
      <c r="F842" t="s">
        <v>20</v>
      </c>
      <c r="G842" t="s">
        <v>21</v>
      </c>
      <c r="H842" t="str">
        <f>"2018BEXAR CONF."</f>
        <v>2018BEXAR CONF.</v>
      </c>
      <c r="I842" t="str">
        <f>"HENRIETTA TURNER"</f>
        <v>HENRIETTA TURNER</v>
      </c>
    </row>
    <row r="843" spans="1:9" x14ac:dyDescent="0.25">
      <c r="A843" s="6">
        <v>43433</v>
      </c>
      <c r="B843" t="s">
        <v>26</v>
      </c>
      <c r="C843">
        <v>59505</v>
      </c>
      <c r="D843" t="s">
        <v>79</v>
      </c>
      <c r="E843" s="7">
        <v>6.25</v>
      </c>
      <c r="F843" t="s">
        <v>20</v>
      </c>
      <c r="G843" t="s">
        <v>21</v>
      </c>
      <c r="H843" t="str">
        <f>"6-370-31928"</f>
        <v>6-370-31928</v>
      </c>
      <c r="I843" t="str">
        <f>"FEDEX"</f>
        <v>FEDEX</v>
      </c>
    </row>
    <row r="844" spans="1:9" x14ac:dyDescent="0.25">
      <c r="A844" s="6">
        <v>43433</v>
      </c>
      <c r="B844" t="s">
        <v>26</v>
      </c>
      <c r="C844">
        <v>59506</v>
      </c>
      <c r="D844" t="s">
        <v>81</v>
      </c>
      <c r="E844" s="7">
        <v>50.15</v>
      </c>
      <c r="F844" t="s">
        <v>20</v>
      </c>
      <c r="G844" t="s">
        <v>21</v>
      </c>
      <c r="H844" t="str">
        <f>"11/16/18 ANDREA"</f>
        <v>11/16/18 ANDREA</v>
      </c>
      <c r="I844" t="str">
        <f>"CITY OF FLORESVILLE -PETTY CAS"</f>
        <v>CITY OF FLORESVILLE -PETTY CAS</v>
      </c>
    </row>
    <row r="845" spans="1:9" x14ac:dyDescent="0.25">
      <c r="A845" s="6">
        <v>43433</v>
      </c>
      <c r="B845" t="s">
        <v>26</v>
      </c>
      <c r="C845">
        <v>59507</v>
      </c>
      <c r="D845" t="s">
        <v>83</v>
      </c>
      <c r="E845" s="7">
        <v>1044</v>
      </c>
      <c r="F845" t="s">
        <v>20</v>
      </c>
      <c r="G845" t="s">
        <v>21</v>
      </c>
      <c r="H845" t="str">
        <f>"564085"</f>
        <v>564085</v>
      </c>
      <c r="I845" t="str">
        <f>"APPRIVER"</f>
        <v>APPRIVER</v>
      </c>
    </row>
    <row r="846" spans="1:9" x14ac:dyDescent="0.25">
      <c r="A846" s="6">
        <v>43433</v>
      </c>
      <c r="B846" t="s">
        <v>26</v>
      </c>
      <c r="C846">
        <v>59508</v>
      </c>
      <c r="D846" t="s">
        <v>85</v>
      </c>
      <c r="E846" s="7">
        <v>203.19</v>
      </c>
      <c r="F846" t="s">
        <v>20</v>
      </c>
      <c r="G846" t="s">
        <v>21</v>
      </c>
      <c r="H846" t="str">
        <f>"3932801 11/18"</f>
        <v>3932801 11/18</v>
      </c>
      <c r="I846" t="str">
        <f>"FRONTIER"</f>
        <v>FRONTIER</v>
      </c>
    </row>
    <row r="847" spans="1:9" x14ac:dyDescent="0.25">
      <c r="A847" s="6">
        <v>43433</v>
      </c>
      <c r="B847" t="s">
        <v>26</v>
      </c>
      <c r="C847">
        <v>59508</v>
      </c>
      <c r="D847" t="s">
        <v>85</v>
      </c>
      <c r="E847" s="7">
        <v>203.19</v>
      </c>
      <c r="F847" t="s">
        <v>20</v>
      </c>
      <c r="G847" t="s">
        <v>21</v>
      </c>
      <c r="H847" t="str">
        <f>"3936794 11/18"</f>
        <v>3936794 11/18</v>
      </c>
      <c r="I847" t="str">
        <f>"FRONTIER"</f>
        <v>FRONTIER</v>
      </c>
    </row>
    <row r="848" spans="1:9" x14ac:dyDescent="0.25">
      <c r="A848" s="6">
        <v>43433</v>
      </c>
      <c r="B848" t="s">
        <v>26</v>
      </c>
      <c r="C848">
        <v>59508</v>
      </c>
      <c r="D848" t="s">
        <v>85</v>
      </c>
      <c r="E848" s="7">
        <v>203.19</v>
      </c>
      <c r="F848" t="s">
        <v>20</v>
      </c>
      <c r="G848" t="s">
        <v>21</v>
      </c>
      <c r="H848" t="str">
        <f>"8302162733 11/18"</f>
        <v>8302162733 11/18</v>
      </c>
      <c r="I848" t="str">
        <f>"FRONTIER"</f>
        <v>FRONTIER</v>
      </c>
    </row>
    <row r="849" spans="1:9" x14ac:dyDescent="0.25">
      <c r="A849" s="6">
        <v>43433</v>
      </c>
      <c r="B849" t="s">
        <v>26</v>
      </c>
      <c r="C849">
        <v>59508</v>
      </c>
      <c r="D849" t="s">
        <v>85</v>
      </c>
      <c r="E849" s="7">
        <v>203.19</v>
      </c>
      <c r="F849" t="s">
        <v>20</v>
      </c>
      <c r="G849" t="s">
        <v>21</v>
      </c>
      <c r="H849" t="str">
        <f>"830216275511/18"</f>
        <v>830216275511/18</v>
      </c>
      <c r="I849" t="str">
        <f>"FRONTIER"</f>
        <v>FRONTIER</v>
      </c>
    </row>
    <row r="850" spans="1:9" x14ac:dyDescent="0.25">
      <c r="A850" s="6">
        <v>43433</v>
      </c>
      <c r="B850" t="s">
        <v>26</v>
      </c>
      <c r="C850">
        <v>59509</v>
      </c>
      <c r="D850" t="s">
        <v>310</v>
      </c>
      <c r="E850" s="7">
        <v>291.75</v>
      </c>
      <c r="F850" t="s">
        <v>20</v>
      </c>
      <c r="G850" t="s">
        <v>21</v>
      </c>
      <c r="H850" t="str">
        <f>"PWR1726"</f>
        <v>PWR1726</v>
      </c>
      <c r="I850" t="str">
        <f>"RECEIPT PAPER"</f>
        <v>RECEIPT PAPER</v>
      </c>
    </row>
    <row r="851" spans="1:9" x14ac:dyDescent="0.25">
      <c r="A851" s="6">
        <v>43433</v>
      </c>
      <c r="B851" t="s">
        <v>26</v>
      </c>
      <c r="C851">
        <v>59510</v>
      </c>
      <c r="D851" t="s">
        <v>230</v>
      </c>
      <c r="E851" s="7">
        <v>29.23</v>
      </c>
      <c r="F851" t="s">
        <v>20</v>
      </c>
      <c r="G851" t="s">
        <v>21</v>
      </c>
      <c r="H851" t="str">
        <f>"11/26/18"</f>
        <v>11/26/18</v>
      </c>
      <c r="I851" t="str">
        <f>"ELODIA RAMOS"</f>
        <v>ELODIA RAMOS</v>
      </c>
    </row>
    <row r="852" spans="1:9" x14ac:dyDescent="0.25">
      <c r="A852" s="6">
        <v>43433</v>
      </c>
      <c r="B852" t="s">
        <v>26</v>
      </c>
      <c r="C852">
        <v>59511</v>
      </c>
      <c r="D852" t="s">
        <v>381</v>
      </c>
      <c r="E852" s="7">
        <v>31.92</v>
      </c>
      <c r="F852" t="s">
        <v>20</v>
      </c>
      <c r="G852" t="s">
        <v>21</v>
      </c>
      <c r="H852" t="str">
        <f>"11/15/18"</f>
        <v>11/15/18</v>
      </c>
      <c r="I852" t="str">
        <f>"LISA TREJO"</f>
        <v>LISA TREJO</v>
      </c>
    </row>
    <row r="853" spans="1:9" x14ac:dyDescent="0.25">
      <c r="A853" s="6">
        <v>43433</v>
      </c>
      <c r="B853" t="s">
        <v>26</v>
      </c>
      <c r="C853">
        <v>59512</v>
      </c>
      <c r="D853" t="s">
        <v>275</v>
      </c>
      <c r="E853" s="7">
        <v>1285</v>
      </c>
      <c r="F853" t="s">
        <v>20</v>
      </c>
      <c r="G853" t="s">
        <v>21</v>
      </c>
      <c r="H853" t="str">
        <f>"40568"</f>
        <v>40568</v>
      </c>
      <c r="I853" t="str">
        <f>"CORTEZ LIQUID WASTE SERVICES"</f>
        <v>CORTEZ LIQUID WASTE SERVICES</v>
      </c>
    </row>
    <row r="854" spans="1:9" x14ac:dyDescent="0.25">
      <c r="A854" s="6">
        <v>43433</v>
      </c>
      <c r="B854" t="s">
        <v>26</v>
      </c>
      <c r="C854">
        <v>59513</v>
      </c>
      <c r="D854" t="s">
        <v>195</v>
      </c>
      <c r="E854" s="7">
        <v>1535.6</v>
      </c>
      <c r="F854" t="s">
        <v>20</v>
      </c>
      <c r="G854" t="s">
        <v>21</v>
      </c>
      <c r="H854" t="str">
        <f>"1565201811"</f>
        <v>1565201811</v>
      </c>
      <c r="I854" t="str">
        <f>"ARISTA INFORMATION SYSTEMS  IN"</f>
        <v>ARISTA INFORMATION SYSTEMS  IN</v>
      </c>
    </row>
    <row r="855" spans="1:9" x14ac:dyDescent="0.25">
      <c r="A855" s="6">
        <v>43433</v>
      </c>
      <c r="B855" t="s">
        <v>26</v>
      </c>
      <c r="C855">
        <v>59513</v>
      </c>
      <c r="D855" t="s">
        <v>195</v>
      </c>
      <c r="E855" s="7">
        <v>1535.6</v>
      </c>
      <c r="F855" t="s">
        <v>20</v>
      </c>
      <c r="G855" t="s">
        <v>21</v>
      </c>
      <c r="H855" t="str">
        <f>"26429"</f>
        <v>26429</v>
      </c>
      <c r="I855" t="str">
        <f>"ARISTA INFORMATION SYSTEMS  IN"</f>
        <v>ARISTA INFORMATION SYSTEMS  IN</v>
      </c>
    </row>
    <row r="856" spans="1:9" x14ac:dyDescent="0.25">
      <c r="A856" s="6">
        <v>43433</v>
      </c>
      <c r="B856" t="s">
        <v>26</v>
      </c>
      <c r="C856">
        <v>59514</v>
      </c>
      <c r="D856" t="s">
        <v>293</v>
      </c>
      <c r="E856" s="7">
        <v>4500</v>
      </c>
      <c r="F856" t="s">
        <v>20</v>
      </c>
      <c r="G856" t="s">
        <v>21</v>
      </c>
      <c r="H856" t="str">
        <f>"3771"</f>
        <v>3771</v>
      </c>
      <c r="I856" t="str">
        <f>"CASTILLON CONSTRUCTION INC"</f>
        <v>CASTILLON CONSTRUCTION INC</v>
      </c>
    </row>
    <row r="857" spans="1:9" x14ac:dyDescent="0.25">
      <c r="A857" s="6">
        <v>43433</v>
      </c>
      <c r="B857" t="s">
        <v>26</v>
      </c>
      <c r="C857">
        <v>59515</v>
      </c>
      <c r="D857" t="s">
        <v>346</v>
      </c>
      <c r="E857" s="7">
        <v>13750</v>
      </c>
      <c r="F857" t="s">
        <v>20</v>
      </c>
      <c r="G857" t="s">
        <v>21</v>
      </c>
      <c r="H857" t="str">
        <f>"10/11-11/11 2018"</f>
        <v>10/11-11/11 2018</v>
      </c>
      <c r="I857" t="str">
        <f>"SYLVIA RODRIGUEZ"</f>
        <v>SYLVIA RODRIGUEZ</v>
      </c>
    </row>
    <row r="858" spans="1:9" x14ac:dyDescent="0.25">
      <c r="A858" s="6">
        <v>43433</v>
      </c>
      <c r="B858" t="s">
        <v>26</v>
      </c>
      <c r="C858">
        <v>59516</v>
      </c>
      <c r="D858" t="s">
        <v>398</v>
      </c>
      <c r="E858" s="7">
        <v>125</v>
      </c>
      <c r="F858" t="s">
        <v>20</v>
      </c>
      <c r="G858" t="s">
        <v>21</v>
      </c>
      <c r="H858" t="str">
        <f>"20181119"</f>
        <v>20181119</v>
      </c>
      <c r="I858" t="str">
        <f>"INTERCEPTOR TECHNOLOGY GROUP L"</f>
        <v>INTERCEPTOR TECHNOLOGY GROUP L</v>
      </c>
    </row>
    <row r="859" spans="1:9" x14ac:dyDescent="0.25">
      <c r="A859" s="6">
        <v>43433</v>
      </c>
      <c r="B859" t="s">
        <v>26</v>
      </c>
      <c r="C859">
        <v>59517</v>
      </c>
      <c r="D859" t="s">
        <v>629</v>
      </c>
      <c r="E859" s="7">
        <v>924.5</v>
      </c>
      <c r="F859" t="s">
        <v>20</v>
      </c>
      <c r="G859" t="s">
        <v>21</v>
      </c>
      <c r="H859" t="str">
        <f>"36105"</f>
        <v>36105</v>
      </c>
      <c r="I859" t="str">
        <f>"STREET SIGNS"</f>
        <v>STREET SIGNS</v>
      </c>
    </row>
    <row r="860" spans="1:9" x14ac:dyDescent="0.25">
      <c r="A860" s="6">
        <v>43433</v>
      </c>
      <c r="B860" t="s">
        <v>26</v>
      </c>
      <c r="C860">
        <v>59518</v>
      </c>
      <c r="D860" t="s">
        <v>630</v>
      </c>
      <c r="E860" s="7">
        <v>1748.47</v>
      </c>
      <c r="F860" t="s">
        <v>20</v>
      </c>
      <c r="G860" t="s">
        <v>21</v>
      </c>
      <c r="H860" t="str">
        <f>"22007"</f>
        <v>22007</v>
      </c>
      <c r="I860" t="str">
        <f>"METERS"</f>
        <v>METERS</v>
      </c>
    </row>
    <row r="861" spans="1:9" x14ac:dyDescent="0.25">
      <c r="A861" s="6">
        <v>43433</v>
      </c>
      <c r="B861" t="s">
        <v>91</v>
      </c>
      <c r="C861">
        <v>59519</v>
      </c>
      <c r="D861" t="s">
        <v>631</v>
      </c>
      <c r="E861" s="7">
        <v>52.65</v>
      </c>
      <c r="F861" t="s">
        <v>20</v>
      </c>
      <c r="G861" t="s">
        <v>21</v>
      </c>
      <c r="H861" t="str">
        <f>"2018 BEXAS CONF."</f>
        <v>2018 BEXAS CONF.</v>
      </c>
      <c r="I861" t="str">
        <f>"JOHNNY RODRIGUEZ"</f>
        <v>JOHNNY RODRIGUEZ</v>
      </c>
    </row>
    <row r="862" spans="1:9" x14ac:dyDescent="0.25">
      <c r="A862" s="6">
        <v>43433</v>
      </c>
      <c r="B862" t="s">
        <v>91</v>
      </c>
      <c r="C862">
        <v>59519</v>
      </c>
      <c r="D862" t="s">
        <v>631</v>
      </c>
      <c r="E862" s="7">
        <v>52.65</v>
      </c>
      <c r="F862" t="s">
        <v>20</v>
      </c>
      <c r="G862" t="s">
        <v>93</v>
      </c>
      <c r="H862" t="str">
        <f>"CHECK"</f>
        <v>CHECK</v>
      </c>
      <c r="I862" t="str">
        <f>""</f>
        <v/>
      </c>
    </row>
    <row r="863" spans="1:9" x14ac:dyDescent="0.25">
      <c r="A863" s="6">
        <v>43433</v>
      </c>
      <c r="B863" t="s">
        <v>26</v>
      </c>
      <c r="C863">
        <v>59520</v>
      </c>
      <c r="D863" t="s">
        <v>59</v>
      </c>
      <c r="E863" s="7">
        <v>661.49</v>
      </c>
      <c r="F863" t="s">
        <v>20</v>
      </c>
      <c r="G863" t="s">
        <v>21</v>
      </c>
      <c r="H863" t="str">
        <f>"0992178-1"</f>
        <v>0992178-1</v>
      </c>
      <c r="I863" t="str">
        <f>"FERGUSON WATERWORKS - MUNICIPA"</f>
        <v>FERGUSON WATERWORKS - MUNICIPA</v>
      </c>
    </row>
    <row r="864" spans="1:9" x14ac:dyDescent="0.25">
      <c r="A864" s="6">
        <v>43433</v>
      </c>
      <c r="B864" t="s">
        <v>26</v>
      </c>
      <c r="C864">
        <v>59520</v>
      </c>
      <c r="D864" t="s">
        <v>59</v>
      </c>
      <c r="E864" s="7">
        <v>661.49</v>
      </c>
      <c r="F864" t="s">
        <v>20</v>
      </c>
      <c r="G864" t="s">
        <v>21</v>
      </c>
      <c r="H864" t="str">
        <f>"0992754"</f>
        <v>0992754</v>
      </c>
      <c r="I864" t="str">
        <f>"JACKETS"</f>
        <v>JACKETS</v>
      </c>
    </row>
    <row r="865" spans="1:9" x14ac:dyDescent="0.25">
      <c r="A865" s="6">
        <v>43433</v>
      </c>
      <c r="B865" t="s">
        <v>26</v>
      </c>
      <c r="C865">
        <v>59520</v>
      </c>
      <c r="D865" t="s">
        <v>59</v>
      </c>
      <c r="E865" s="7">
        <v>661.49</v>
      </c>
      <c r="F865" t="s">
        <v>20</v>
      </c>
      <c r="G865" t="s">
        <v>21</v>
      </c>
      <c r="H865" t="str">
        <f>"0992755"</f>
        <v>0992755</v>
      </c>
      <c r="I865" t="str">
        <f>"WATER BOOTS"</f>
        <v>WATER BOOTS</v>
      </c>
    </row>
    <row r="866" spans="1:9" x14ac:dyDescent="0.25">
      <c r="A866" s="6">
        <v>43433</v>
      </c>
      <c r="B866" t="s">
        <v>26</v>
      </c>
      <c r="C866">
        <v>59520</v>
      </c>
      <c r="D866" t="s">
        <v>59</v>
      </c>
      <c r="E866" s="7">
        <v>661.49</v>
      </c>
      <c r="F866" t="s">
        <v>20</v>
      </c>
      <c r="G866" t="s">
        <v>21</v>
      </c>
      <c r="H866" t="str">
        <f>"0993474*1"</f>
        <v>0993474*1</v>
      </c>
      <c r="I866" t="str">
        <f>"FERGUSON WATERWORKS - MUNICIPA"</f>
        <v>FERGUSON WATERWORKS - MUNICIPA</v>
      </c>
    </row>
    <row r="867" spans="1:9" x14ac:dyDescent="0.25">
      <c r="A867" s="6">
        <v>43433</v>
      </c>
      <c r="B867" t="s">
        <v>26</v>
      </c>
      <c r="C867">
        <v>59521</v>
      </c>
      <c r="D867" t="s">
        <v>29</v>
      </c>
      <c r="E867" s="7">
        <v>28355</v>
      </c>
      <c r="F867" t="s">
        <v>20</v>
      </c>
      <c r="G867" t="s">
        <v>21</v>
      </c>
      <c r="H867" t="str">
        <f>"34579"</f>
        <v>34579</v>
      </c>
      <c r="I867" t="str">
        <f>"M &amp; S ENGINEERING  LLC"</f>
        <v>M &amp; S ENGINEERING  LLC</v>
      </c>
    </row>
    <row r="868" spans="1:9" x14ac:dyDescent="0.25">
      <c r="A868" s="6">
        <v>43433</v>
      </c>
      <c r="B868" t="s">
        <v>26</v>
      </c>
      <c r="C868">
        <v>59522</v>
      </c>
      <c r="D868" t="s">
        <v>160</v>
      </c>
      <c r="E868" s="7">
        <v>112.54</v>
      </c>
      <c r="F868" t="s">
        <v>20</v>
      </c>
      <c r="G868" t="s">
        <v>21</v>
      </c>
      <c r="H868" t="str">
        <f>"12/3/18"</f>
        <v>12/3/18</v>
      </c>
      <c r="I868" t="str">
        <f>"MONICA CORDOVA"</f>
        <v>MONICA CORDOVA</v>
      </c>
    </row>
    <row r="869" spans="1:9" x14ac:dyDescent="0.25">
      <c r="A869" s="6">
        <v>43433</v>
      </c>
      <c r="B869" t="s">
        <v>26</v>
      </c>
      <c r="C869">
        <v>59523</v>
      </c>
      <c r="D869" t="s">
        <v>372</v>
      </c>
      <c r="E869" s="7">
        <v>70</v>
      </c>
      <c r="F869" t="s">
        <v>20</v>
      </c>
      <c r="G869" t="s">
        <v>21</v>
      </c>
      <c r="H869" t="str">
        <f>"11/24/18"</f>
        <v>11/24/18</v>
      </c>
      <c r="I869" t="str">
        <f>"MICHELLE DOLBERRY"</f>
        <v>MICHELLE DOLBERRY</v>
      </c>
    </row>
    <row r="870" spans="1:9" x14ac:dyDescent="0.25">
      <c r="A870" s="6">
        <v>43433</v>
      </c>
      <c r="B870" t="s">
        <v>26</v>
      </c>
      <c r="C870">
        <v>59524</v>
      </c>
      <c r="D870" t="s">
        <v>579</v>
      </c>
      <c r="E870" s="7">
        <v>70</v>
      </c>
      <c r="F870" t="s">
        <v>20</v>
      </c>
      <c r="G870" t="s">
        <v>21</v>
      </c>
      <c r="H870" t="str">
        <f>"11/24/18"</f>
        <v>11/24/18</v>
      </c>
      <c r="I870" t="str">
        <f>"NICOLE TRINIDAD"</f>
        <v>NICOLE TRINIDAD</v>
      </c>
    </row>
    <row r="871" spans="1:9" x14ac:dyDescent="0.25">
      <c r="A871" s="6">
        <v>43433</v>
      </c>
      <c r="B871" t="s">
        <v>26</v>
      </c>
      <c r="C871">
        <v>59525</v>
      </c>
      <c r="D871" t="s">
        <v>45</v>
      </c>
      <c r="E871" s="7">
        <v>74</v>
      </c>
      <c r="F871" t="s">
        <v>20</v>
      </c>
      <c r="G871" t="s">
        <v>21</v>
      </c>
      <c r="H871" t="str">
        <f>"TML TRNG 12/7/18"</f>
        <v>TML TRNG 12/7/18</v>
      </c>
      <c r="I871" t="str">
        <f>"CONNIE MORENO"</f>
        <v>CONNIE MORENO</v>
      </c>
    </row>
    <row r="872" spans="1:9" x14ac:dyDescent="0.25">
      <c r="A872" s="6">
        <v>43433</v>
      </c>
      <c r="B872" t="s">
        <v>26</v>
      </c>
      <c r="C872">
        <v>59526</v>
      </c>
      <c r="D872" t="s">
        <v>386</v>
      </c>
      <c r="E872" s="7">
        <v>143</v>
      </c>
      <c r="F872" t="s">
        <v>20</v>
      </c>
      <c r="G872" t="s">
        <v>21</v>
      </c>
      <c r="H872" t="str">
        <f>"TML TRNG 12/7/18"</f>
        <v>TML TRNG 12/7/18</v>
      </c>
      <c r="I872" t="str">
        <f>"HENRIETTA TURNER"</f>
        <v>HENRIETTA TURNER</v>
      </c>
    </row>
    <row r="873" spans="1:9" x14ac:dyDescent="0.25">
      <c r="A873" s="6">
        <v>43433</v>
      </c>
      <c r="B873" t="s">
        <v>26</v>
      </c>
      <c r="C873">
        <v>59527</v>
      </c>
      <c r="D873" t="s">
        <v>381</v>
      </c>
      <c r="E873" s="7">
        <v>112.54</v>
      </c>
      <c r="F873" t="s">
        <v>20</v>
      </c>
      <c r="G873" t="s">
        <v>21</v>
      </c>
      <c r="H873" t="str">
        <f>"12/3/18"</f>
        <v>12/3/18</v>
      </c>
      <c r="I873" t="str">
        <f>"LISA TREJO"</f>
        <v>LISA TREJO</v>
      </c>
    </row>
    <row r="874" spans="1:9" x14ac:dyDescent="0.25">
      <c r="A874" s="6">
        <v>43433</v>
      </c>
      <c r="B874" t="s">
        <v>26</v>
      </c>
      <c r="C874">
        <v>59528</v>
      </c>
      <c r="D874" t="s">
        <v>345</v>
      </c>
      <c r="E874" s="7">
        <v>176</v>
      </c>
      <c r="F874" t="s">
        <v>20</v>
      </c>
      <c r="G874" t="s">
        <v>21</v>
      </c>
      <c r="H874" t="str">
        <f>"11/26/18"</f>
        <v>11/26/18</v>
      </c>
      <c r="I874" t="str">
        <f>"MICHAEL ISAAC MARTINEZ"</f>
        <v>MICHAEL ISAAC MARTINEZ</v>
      </c>
    </row>
    <row r="875" spans="1:9" x14ac:dyDescent="0.25">
      <c r="A875" s="6">
        <v>43433</v>
      </c>
      <c r="B875" t="s">
        <v>26</v>
      </c>
      <c r="C875">
        <v>59529</v>
      </c>
      <c r="D875" t="s">
        <v>452</v>
      </c>
      <c r="E875" s="7">
        <v>180</v>
      </c>
      <c r="F875" t="s">
        <v>20</v>
      </c>
      <c r="G875" t="s">
        <v>21</v>
      </c>
      <c r="H875" t="str">
        <f>"11/26/18"</f>
        <v>11/26/18</v>
      </c>
      <c r="I875" t="str">
        <f>"DESIREE PEREZ"</f>
        <v>DESIREE PEREZ</v>
      </c>
    </row>
    <row r="876" spans="1:9" x14ac:dyDescent="0.25">
      <c r="A876" s="6">
        <v>43433</v>
      </c>
      <c r="B876" t="s">
        <v>26</v>
      </c>
      <c r="C876">
        <v>59530</v>
      </c>
      <c r="D876" t="s">
        <v>27</v>
      </c>
      <c r="E876" s="7">
        <v>112.54</v>
      </c>
      <c r="F876" t="s">
        <v>20</v>
      </c>
      <c r="G876" t="s">
        <v>21</v>
      </c>
      <c r="H876" t="str">
        <f>"12/6/18"</f>
        <v>12/6/18</v>
      </c>
      <c r="I876" t="str">
        <f>"RICARDO CARRASCO"</f>
        <v>RICARDO CARRASCO</v>
      </c>
    </row>
    <row r="877" spans="1:9" x14ac:dyDescent="0.25">
      <c r="A877" s="6">
        <v>43433</v>
      </c>
      <c r="B877" t="s">
        <v>26</v>
      </c>
      <c r="C877">
        <v>59531</v>
      </c>
      <c r="D877" t="s">
        <v>182</v>
      </c>
      <c r="E877" s="7">
        <v>112.54</v>
      </c>
      <c r="F877" t="s">
        <v>20</v>
      </c>
      <c r="G877" t="s">
        <v>21</v>
      </c>
      <c r="H877" t="str">
        <f>"12/6/18"</f>
        <v>12/6/18</v>
      </c>
      <c r="I877" t="str">
        <f>"DAVID INOUYE"</f>
        <v>DAVID INOUYE</v>
      </c>
    </row>
    <row r="878" spans="1:9" x14ac:dyDescent="0.25">
      <c r="A878" s="6">
        <v>43433</v>
      </c>
      <c r="B878" t="s">
        <v>26</v>
      </c>
      <c r="C878">
        <v>59532</v>
      </c>
      <c r="D878" t="s">
        <v>29</v>
      </c>
      <c r="E878" s="7">
        <v>14163.9</v>
      </c>
      <c r="F878" t="s">
        <v>20</v>
      </c>
      <c r="G878" t="s">
        <v>21</v>
      </c>
      <c r="H878" t="str">
        <f>"34217"</f>
        <v>34217</v>
      </c>
      <c r="I878" t="str">
        <f>"M &amp; S ENGINEERING  LLC"</f>
        <v>M &amp; S ENGINEERING  LLC</v>
      </c>
    </row>
    <row r="879" spans="1:9" x14ac:dyDescent="0.25">
      <c r="A879" s="6">
        <v>43438</v>
      </c>
      <c r="B879" t="s">
        <v>91</v>
      </c>
      <c r="C879">
        <v>59533</v>
      </c>
      <c r="D879" t="s">
        <v>90</v>
      </c>
      <c r="E879" s="7">
        <v>915.04</v>
      </c>
      <c r="F879" t="s">
        <v>20</v>
      </c>
      <c r="G879" t="s">
        <v>21</v>
      </c>
      <c r="H879" t="str">
        <f>"ACA201811068499"</f>
        <v>ACA201811068499</v>
      </c>
      <c r="I879" t="str">
        <f>"AFLAC INSURANCE"</f>
        <v>AFLAC INSURANCE</v>
      </c>
    </row>
    <row r="880" spans="1:9" x14ac:dyDescent="0.25">
      <c r="A880" s="6">
        <v>43438</v>
      </c>
      <c r="B880" t="s">
        <v>91</v>
      </c>
      <c r="C880">
        <v>59533</v>
      </c>
      <c r="D880" t="s">
        <v>90</v>
      </c>
      <c r="E880" s="7">
        <v>915.04</v>
      </c>
      <c r="F880" t="s">
        <v>20</v>
      </c>
      <c r="G880" t="s">
        <v>21</v>
      </c>
      <c r="H880" t="str">
        <f>"AD2201811068499"</f>
        <v>AD2201811068499</v>
      </c>
      <c r="I880" t="str">
        <f>"AFLAC INSURANCE"</f>
        <v>AFLAC INSURANCE</v>
      </c>
    </row>
    <row r="881" spans="1:9" x14ac:dyDescent="0.25">
      <c r="A881" s="6">
        <v>43438</v>
      </c>
      <c r="B881" t="s">
        <v>91</v>
      </c>
      <c r="C881">
        <v>59533</v>
      </c>
      <c r="D881" t="s">
        <v>90</v>
      </c>
      <c r="E881" s="7">
        <v>915.04</v>
      </c>
      <c r="F881" t="s">
        <v>20</v>
      </c>
      <c r="G881" t="s">
        <v>21</v>
      </c>
      <c r="H881" t="str">
        <f>"ADR201811068499"</f>
        <v>ADR201811068499</v>
      </c>
      <c r="I881" t="str">
        <f>"INSURANCE"</f>
        <v>INSURANCE</v>
      </c>
    </row>
    <row r="882" spans="1:9" x14ac:dyDescent="0.25">
      <c r="A882" s="6">
        <v>43438</v>
      </c>
      <c r="B882" t="s">
        <v>91</v>
      </c>
      <c r="C882">
        <v>59533</v>
      </c>
      <c r="D882" t="s">
        <v>90</v>
      </c>
      <c r="E882" s="7">
        <v>915.04</v>
      </c>
      <c r="F882" t="s">
        <v>20</v>
      </c>
      <c r="G882" t="s">
        <v>21</v>
      </c>
      <c r="H882" t="str">
        <f>"AF1201811068499"</f>
        <v>AF1201811068499</v>
      </c>
      <c r="I882" t="str">
        <f>"AFLAC INSURANCE"</f>
        <v>AFLAC INSURANCE</v>
      </c>
    </row>
    <row r="883" spans="1:9" x14ac:dyDescent="0.25">
      <c r="A883" s="6">
        <v>43438</v>
      </c>
      <c r="B883" t="s">
        <v>91</v>
      </c>
      <c r="C883">
        <v>59533</v>
      </c>
      <c r="D883" t="s">
        <v>90</v>
      </c>
      <c r="E883" s="7">
        <v>915.04</v>
      </c>
      <c r="F883" t="s">
        <v>20</v>
      </c>
      <c r="G883" t="s">
        <v>21</v>
      </c>
      <c r="H883" t="str">
        <f>"ASP201811068499"</f>
        <v>ASP201811068499</v>
      </c>
      <c r="I883" t="str">
        <f>"AFLAC INSURANCE"</f>
        <v>AFLAC INSURANCE</v>
      </c>
    </row>
    <row r="884" spans="1:9" x14ac:dyDescent="0.25">
      <c r="A884" s="6">
        <v>43438</v>
      </c>
      <c r="B884" t="s">
        <v>91</v>
      </c>
      <c r="C884">
        <v>59533</v>
      </c>
      <c r="D884" t="s">
        <v>90</v>
      </c>
      <c r="E884" s="7">
        <v>915.04</v>
      </c>
      <c r="F884" t="s">
        <v>20</v>
      </c>
      <c r="G884" t="s">
        <v>21</v>
      </c>
      <c r="H884" t="str">
        <f>"HCO201811068499"</f>
        <v>HCO201811068499</v>
      </c>
      <c r="I884" t="str">
        <f>"AFLAC INSURANCE"</f>
        <v>AFLAC INSURANCE</v>
      </c>
    </row>
    <row r="885" spans="1:9" x14ac:dyDescent="0.25">
      <c r="A885" s="6">
        <v>43438</v>
      </c>
      <c r="B885" t="s">
        <v>91</v>
      </c>
      <c r="C885">
        <v>59533</v>
      </c>
      <c r="D885" t="s">
        <v>90</v>
      </c>
      <c r="E885" s="7">
        <v>915.04</v>
      </c>
      <c r="F885" t="s">
        <v>20</v>
      </c>
      <c r="G885" t="s">
        <v>93</v>
      </c>
      <c r="H885" t="str">
        <f>"CHECK"</f>
        <v>CHECK</v>
      </c>
      <c r="I885" t="str">
        <f>""</f>
        <v/>
      </c>
    </row>
    <row r="886" spans="1:9" x14ac:dyDescent="0.25">
      <c r="A886" s="6">
        <v>43438</v>
      </c>
      <c r="B886" t="s">
        <v>26</v>
      </c>
      <c r="C886">
        <v>59535</v>
      </c>
      <c r="D886" t="s">
        <v>95</v>
      </c>
      <c r="E886" s="7">
        <v>64.959999999999994</v>
      </c>
      <c r="F886" t="s">
        <v>20</v>
      </c>
      <c r="G886" t="s">
        <v>329</v>
      </c>
      <c r="H886" t="str">
        <f>"16676"</f>
        <v>16676</v>
      </c>
      <c r="I886" t="str">
        <f>"LEGAL PLANS"</f>
        <v>LEGAL PLANS</v>
      </c>
    </row>
    <row r="887" spans="1:9" x14ac:dyDescent="0.25">
      <c r="A887" s="6">
        <v>43438</v>
      </c>
      <c r="B887" t="s">
        <v>26</v>
      </c>
      <c r="C887">
        <v>59535</v>
      </c>
      <c r="D887" t="s">
        <v>95</v>
      </c>
      <c r="E887" s="7">
        <v>64.959999999999994</v>
      </c>
      <c r="F887" t="s">
        <v>20</v>
      </c>
      <c r="G887" t="s">
        <v>21</v>
      </c>
      <c r="H887" t="str">
        <f>"LEA201811068499"</f>
        <v>LEA201811068499</v>
      </c>
      <c r="I887" t="str">
        <f>"INSURANCE"</f>
        <v>INSURANCE</v>
      </c>
    </row>
    <row r="888" spans="1:9" x14ac:dyDescent="0.25">
      <c r="A888" s="6">
        <v>43438</v>
      </c>
      <c r="B888" t="s">
        <v>26</v>
      </c>
      <c r="C888">
        <v>59536</v>
      </c>
      <c r="D888" t="s">
        <v>96</v>
      </c>
      <c r="E888" s="7">
        <v>426.4</v>
      </c>
      <c r="F888" t="s">
        <v>20</v>
      </c>
      <c r="G888" t="s">
        <v>329</v>
      </c>
      <c r="H888" t="str">
        <f>"12/18"</f>
        <v>12/18</v>
      </c>
      <c r="I888" t="str">
        <f>"LEGALSHIELD"</f>
        <v>LEGALSHIELD</v>
      </c>
    </row>
    <row r="889" spans="1:9" x14ac:dyDescent="0.25">
      <c r="A889" s="6">
        <v>43438</v>
      </c>
      <c r="B889" t="s">
        <v>26</v>
      </c>
      <c r="C889">
        <v>59536</v>
      </c>
      <c r="D889" t="s">
        <v>96</v>
      </c>
      <c r="E889" s="7">
        <v>426.4</v>
      </c>
      <c r="F889" t="s">
        <v>20</v>
      </c>
      <c r="G889" t="s">
        <v>21</v>
      </c>
      <c r="H889" t="str">
        <f>"PPL201811068499"</f>
        <v>PPL201811068499</v>
      </c>
      <c r="I889" t="str">
        <f>"INSURANCE"</f>
        <v>INSURANCE</v>
      </c>
    </row>
    <row r="890" spans="1:9" x14ac:dyDescent="0.25">
      <c r="A890" s="6">
        <v>43438</v>
      </c>
      <c r="B890" t="s">
        <v>26</v>
      </c>
      <c r="C890">
        <v>59537</v>
      </c>
      <c r="D890" t="s">
        <v>97</v>
      </c>
      <c r="E890" s="7">
        <v>38377.879999999997</v>
      </c>
      <c r="F890" t="s">
        <v>20</v>
      </c>
      <c r="G890" t="s">
        <v>329</v>
      </c>
      <c r="H890" t="str">
        <f>"12/18"</f>
        <v>12/18</v>
      </c>
      <c r="I890" t="str">
        <f>"HEALTH CARE SERVICE CORPORATIO"</f>
        <v>HEALTH CARE SERVICE CORPORATIO</v>
      </c>
    </row>
    <row r="891" spans="1:9" x14ac:dyDescent="0.25">
      <c r="A891" s="6">
        <v>43438</v>
      </c>
      <c r="B891" t="s">
        <v>26</v>
      </c>
      <c r="C891">
        <v>59537</v>
      </c>
      <c r="D891" t="s">
        <v>97</v>
      </c>
      <c r="E891" s="7">
        <v>38377.879999999997</v>
      </c>
      <c r="F891" t="s">
        <v>20</v>
      </c>
      <c r="G891" t="s">
        <v>21</v>
      </c>
      <c r="H891" t="str">
        <f>"DEN201811068499"</f>
        <v>DEN201811068499</v>
      </c>
      <c r="I891" t="str">
        <f>"DENTAL INSURANCE"</f>
        <v>DENTAL INSURANCE</v>
      </c>
    </row>
    <row r="892" spans="1:9" x14ac:dyDescent="0.25">
      <c r="A892" s="6">
        <v>43438</v>
      </c>
      <c r="B892" t="s">
        <v>26</v>
      </c>
      <c r="C892">
        <v>59537</v>
      </c>
      <c r="D892" t="s">
        <v>97</v>
      </c>
      <c r="E892" s="7">
        <v>38377.879999999997</v>
      </c>
      <c r="F892" t="s">
        <v>20</v>
      </c>
      <c r="G892" t="s">
        <v>21</v>
      </c>
      <c r="H892" t="str">
        <f>"MED201811068499"</f>
        <v>MED201811068499</v>
      </c>
      <c r="I892" t="str">
        <f>"HEALTH &amp; DENTAL INSURANCE"</f>
        <v>HEALTH &amp; DENTAL INSURANCE</v>
      </c>
    </row>
    <row r="893" spans="1:9" x14ac:dyDescent="0.25">
      <c r="A893" s="6">
        <v>43438</v>
      </c>
      <c r="B893" t="s">
        <v>26</v>
      </c>
      <c r="C893">
        <v>59540</v>
      </c>
      <c r="D893" t="s">
        <v>98</v>
      </c>
      <c r="E893" s="7">
        <v>3744.98</v>
      </c>
      <c r="F893" t="s">
        <v>20</v>
      </c>
      <c r="G893" t="s">
        <v>329</v>
      </c>
      <c r="H893" t="str">
        <f>"12/18"</f>
        <v>12/18</v>
      </c>
      <c r="I893" t="str">
        <f>"DEARBORN NATIONAL"</f>
        <v>DEARBORN NATIONAL</v>
      </c>
    </row>
    <row r="894" spans="1:9" x14ac:dyDescent="0.25">
      <c r="A894" s="6">
        <v>43438</v>
      </c>
      <c r="B894" t="s">
        <v>26</v>
      </c>
      <c r="C894">
        <v>59540</v>
      </c>
      <c r="D894" t="s">
        <v>98</v>
      </c>
      <c r="E894" s="7">
        <v>3744.98</v>
      </c>
      <c r="F894" t="s">
        <v>20</v>
      </c>
      <c r="G894" t="s">
        <v>21</v>
      </c>
      <c r="H894" t="str">
        <f>"STD201811068499"</f>
        <v>STD201811068499</v>
      </c>
      <c r="I894" t="str">
        <f>"SHORT TERM DISABILITY"</f>
        <v>SHORT TERM DISABILITY</v>
      </c>
    </row>
    <row r="895" spans="1:9" x14ac:dyDescent="0.25">
      <c r="A895" s="6">
        <v>43438</v>
      </c>
      <c r="B895" t="s">
        <v>26</v>
      </c>
      <c r="C895">
        <v>59540</v>
      </c>
      <c r="D895" t="s">
        <v>98</v>
      </c>
      <c r="E895" s="7">
        <v>3744.98</v>
      </c>
      <c r="F895" t="s">
        <v>20</v>
      </c>
      <c r="G895" t="s">
        <v>21</v>
      </c>
      <c r="H895" t="str">
        <f>"VIS201811068499"</f>
        <v>VIS201811068499</v>
      </c>
      <c r="I895" t="str">
        <f>"VISION INSURANCE"</f>
        <v>VISION INSURANCE</v>
      </c>
    </row>
    <row r="896" spans="1:9" x14ac:dyDescent="0.25">
      <c r="A896" s="6">
        <v>43438</v>
      </c>
      <c r="B896" t="s">
        <v>26</v>
      </c>
      <c r="C896">
        <v>59540</v>
      </c>
      <c r="D896" t="s">
        <v>98</v>
      </c>
      <c r="E896" s="7">
        <v>3744.98</v>
      </c>
      <c r="F896" t="s">
        <v>20</v>
      </c>
      <c r="G896" t="s">
        <v>21</v>
      </c>
      <c r="H896" t="str">
        <f>"VLC201811068499"</f>
        <v>VLC201811068499</v>
      </c>
      <c r="I896" t="str">
        <f>"CHILD LIFE INSURANCE"</f>
        <v>CHILD LIFE INSURANCE</v>
      </c>
    </row>
    <row r="897" spans="1:9" x14ac:dyDescent="0.25">
      <c r="A897" s="6">
        <v>43438</v>
      </c>
      <c r="B897" t="s">
        <v>26</v>
      </c>
      <c r="C897">
        <v>59540</v>
      </c>
      <c r="D897" t="s">
        <v>98</v>
      </c>
      <c r="E897" s="7">
        <v>3744.98</v>
      </c>
      <c r="F897" t="s">
        <v>20</v>
      </c>
      <c r="G897" t="s">
        <v>21</v>
      </c>
      <c r="H897" t="str">
        <f>"VLS201811068499"</f>
        <v>VLS201811068499</v>
      </c>
      <c r="I897" t="str">
        <f>"SPOUSE LIFE"</f>
        <v>SPOUSE LIFE</v>
      </c>
    </row>
    <row r="898" spans="1:9" x14ac:dyDescent="0.25">
      <c r="A898" s="6">
        <v>43438</v>
      </c>
      <c r="B898" t="s">
        <v>26</v>
      </c>
      <c r="C898">
        <v>59540</v>
      </c>
      <c r="D898" t="s">
        <v>98</v>
      </c>
      <c r="E898" s="7">
        <v>3744.98</v>
      </c>
      <c r="F898" t="s">
        <v>20</v>
      </c>
      <c r="G898" t="s">
        <v>21</v>
      </c>
      <c r="H898" t="str">
        <f>"VOE201811068499"</f>
        <v>VOE201811068499</v>
      </c>
      <c r="I898" t="str">
        <f>"EMPLOYEE LIFE"</f>
        <v>EMPLOYEE LIFE</v>
      </c>
    </row>
    <row r="899" spans="1:9" x14ac:dyDescent="0.25">
      <c r="A899" s="6">
        <v>43438</v>
      </c>
      <c r="B899" t="s">
        <v>26</v>
      </c>
      <c r="C899">
        <v>59540</v>
      </c>
      <c r="D899" t="s">
        <v>98</v>
      </c>
      <c r="E899" s="7">
        <v>3744.98</v>
      </c>
      <c r="F899" t="s">
        <v>20</v>
      </c>
      <c r="G899" t="s">
        <v>21</v>
      </c>
      <c r="H899" t="str">
        <f>"VOL201811068499"</f>
        <v>VOL201811068499</v>
      </c>
      <c r="I899" t="str">
        <f>"LIFE"</f>
        <v>LIFE</v>
      </c>
    </row>
    <row r="900" spans="1:9" x14ac:dyDescent="0.25">
      <c r="A900" s="6">
        <v>43441</v>
      </c>
      <c r="B900" t="s">
        <v>26</v>
      </c>
      <c r="C900">
        <v>59553</v>
      </c>
      <c r="D900" t="s">
        <v>51</v>
      </c>
      <c r="E900" s="7">
        <v>309.37</v>
      </c>
      <c r="F900" t="s">
        <v>20</v>
      </c>
      <c r="G900" t="s">
        <v>21</v>
      </c>
      <c r="H900" t="str">
        <f>"CLE201812048502"</f>
        <v>CLE201812048502</v>
      </c>
      <c r="I900" t="str">
        <f>"CLEAT ONLY DUES"</f>
        <v>CLEAT ONLY DUES</v>
      </c>
    </row>
    <row r="901" spans="1:9" x14ac:dyDescent="0.25">
      <c r="A901" s="6">
        <v>43441</v>
      </c>
      <c r="B901" t="s">
        <v>26</v>
      </c>
      <c r="C901">
        <v>59553</v>
      </c>
      <c r="D901" t="s">
        <v>51</v>
      </c>
      <c r="E901" s="7">
        <v>309.37</v>
      </c>
      <c r="F901" t="s">
        <v>20</v>
      </c>
      <c r="G901" t="s">
        <v>21</v>
      </c>
      <c r="H901" t="str">
        <f>"PDD201812048502"</f>
        <v>PDD201812048502</v>
      </c>
      <c r="I901" t="str">
        <f>"POLICE OFFICERS ASSOC DUES"</f>
        <v>POLICE OFFICERS ASSOC DUES</v>
      </c>
    </row>
    <row r="902" spans="1:9" x14ac:dyDescent="0.25">
      <c r="A902" s="6">
        <v>43441</v>
      </c>
      <c r="B902" t="s">
        <v>91</v>
      </c>
      <c r="C902">
        <v>59554</v>
      </c>
      <c r="D902" t="s">
        <v>90</v>
      </c>
      <c r="E902" s="7">
        <v>101.1</v>
      </c>
      <c r="F902" t="s">
        <v>20</v>
      </c>
      <c r="G902" t="s">
        <v>21</v>
      </c>
      <c r="H902" t="str">
        <f>"AFS201812048502"</f>
        <v>AFS201812048502</v>
      </c>
      <c r="I902" t="str">
        <f>"AFLAC STD"</f>
        <v>AFLAC STD</v>
      </c>
    </row>
    <row r="903" spans="1:9" x14ac:dyDescent="0.25">
      <c r="A903" s="6">
        <v>43441</v>
      </c>
      <c r="B903" t="s">
        <v>91</v>
      </c>
      <c r="C903">
        <v>59554</v>
      </c>
      <c r="D903" t="s">
        <v>90</v>
      </c>
      <c r="E903" s="7">
        <v>101.1</v>
      </c>
      <c r="F903" t="s">
        <v>20</v>
      </c>
      <c r="G903" t="s">
        <v>93</v>
      </c>
      <c r="H903" t="str">
        <f>"CHECK"</f>
        <v>CHECK</v>
      </c>
      <c r="I903" t="str">
        <f>""</f>
        <v/>
      </c>
    </row>
    <row r="904" spans="1:9" x14ac:dyDescent="0.25">
      <c r="A904" s="6">
        <v>43441</v>
      </c>
      <c r="B904" t="s">
        <v>26</v>
      </c>
      <c r="C904">
        <v>59555</v>
      </c>
      <c r="D904" t="s">
        <v>52</v>
      </c>
      <c r="E904" s="7">
        <v>1123.9100000000001</v>
      </c>
      <c r="F904" t="s">
        <v>20</v>
      </c>
      <c r="G904" t="s">
        <v>21</v>
      </c>
      <c r="H904" t="str">
        <f>"CPS201812048502"</f>
        <v>CPS201812048502</v>
      </c>
      <c r="I904" t="str">
        <f>"G MENDOZA 00123012032010EM5054"</f>
        <v>G MENDOZA 00123012032010EM5054</v>
      </c>
    </row>
    <row r="905" spans="1:9" x14ac:dyDescent="0.25">
      <c r="A905" s="6">
        <v>43441</v>
      </c>
      <c r="B905" t="s">
        <v>26</v>
      </c>
      <c r="C905">
        <v>59555</v>
      </c>
      <c r="D905" t="s">
        <v>52</v>
      </c>
      <c r="E905" s="7">
        <v>1123.9100000000001</v>
      </c>
      <c r="F905" t="s">
        <v>20</v>
      </c>
      <c r="G905" t="s">
        <v>21</v>
      </c>
      <c r="H905" t="str">
        <f>"CS 201812048502"</f>
        <v>CS 201812048502</v>
      </c>
      <c r="I905" t="str">
        <f>"CAUSE#98EM504113 PEGGY RIVAS"</f>
        <v>CAUSE#98EM504113 PEGGY RIVAS</v>
      </c>
    </row>
    <row r="906" spans="1:9" x14ac:dyDescent="0.25">
      <c r="A906" s="6">
        <v>43441</v>
      </c>
      <c r="B906" t="s">
        <v>26</v>
      </c>
      <c r="C906">
        <v>59555</v>
      </c>
      <c r="D906" t="s">
        <v>52</v>
      </c>
      <c r="E906" s="7">
        <v>1123.9100000000001</v>
      </c>
      <c r="F906" t="s">
        <v>20</v>
      </c>
      <c r="G906" t="s">
        <v>21</v>
      </c>
      <c r="H906" t="str">
        <f>"CSJ201812048502"</f>
        <v>CSJ201812048502</v>
      </c>
      <c r="I906" t="str">
        <f>"CAUSE# 0010185272 MARIANN GUTI"</f>
        <v>CAUSE# 0010185272 MARIANN GUTI</v>
      </c>
    </row>
    <row r="907" spans="1:9" x14ac:dyDescent="0.25">
      <c r="A907" s="6">
        <v>43441</v>
      </c>
      <c r="B907" t="s">
        <v>26</v>
      </c>
      <c r="C907">
        <v>59556</v>
      </c>
      <c r="D907" t="s">
        <v>53</v>
      </c>
      <c r="E907" s="7">
        <v>99.1</v>
      </c>
      <c r="F907" t="s">
        <v>20</v>
      </c>
      <c r="G907" t="s">
        <v>21</v>
      </c>
      <c r="H907" t="str">
        <f>"MCO201812048502"</f>
        <v>MCO201812048502</v>
      </c>
      <c r="I907" t="str">
        <f>"MONICA CORDOVA"</f>
        <v>MONICA CORDOVA</v>
      </c>
    </row>
    <row r="908" spans="1:9" x14ac:dyDescent="0.25">
      <c r="A908" s="6">
        <v>43441</v>
      </c>
      <c r="B908" t="s">
        <v>26</v>
      </c>
      <c r="C908">
        <v>59557</v>
      </c>
      <c r="D908" t="s">
        <v>54</v>
      </c>
      <c r="E908" s="7">
        <v>977.1</v>
      </c>
      <c r="F908" t="s">
        <v>20</v>
      </c>
      <c r="G908" t="s">
        <v>21</v>
      </c>
      <c r="H908" t="str">
        <f>"457201812048502"</f>
        <v>457201812048502</v>
      </c>
      <c r="I908" t="str">
        <f>"CASE # 180-60751 457B DEDUCT"</f>
        <v>CASE # 180-60751 457B DEDUCT</v>
      </c>
    </row>
    <row r="909" spans="1:9" x14ac:dyDescent="0.25">
      <c r="A909" s="6">
        <v>43439</v>
      </c>
      <c r="B909" t="s">
        <v>26</v>
      </c>
      <c r="C909">
        <v>59558</v>
      </c>
      <c r="D909" t="s">
        <v>56</v>
      </c>
      <c r="E909" s="7">
        <v>45</v>
      </c>
      <c r="F909" t="s">
        <v>20</v>
      </c>
      <c r="G909" t="s">
        <v>21</v>
      </c>
      <c r="H909" t="str">
        <f>"170795"</f>
        <v>170795</v>
      </c>
      <c r="I909" t="str">
        <f>"DOG FOOD"</f>
        <v>DOG FOOD</v>
      </c>
    </row>
    <row r="910" spans="1:9" x14ac:dyDescent="0.25">
      <c r="A910" s="6">
        <v>43439</v>
      </c>
      <c r="B910" t="s">
        <v>91</v>
      </c>
      <c r="C910">
        <v>59559</v>
      </c>
      <c r="D910" t="s">
        <v>57</v>
      </c>
      <c r="E910" s="7">
        <v>30308.27</v>
      </c>
      <c r="F910" t="s">
        <v>20</v>
      </c>
      <c r="G910" t="s">
        <v>21</v>
      </c>
      <c r="H910" t="str">
        <f>"0170"</f>
        <v>0170</v>
      </c>
      <c r="I910" t="str">
        <f>"F.E.L.P.S."</f>
        <v>F.E.L.P.S.</v>
      </c>
    </row>
    <row r="911" spans="1:9" x14ac:dyDescent="0.25">
      <c r="A911" s="6">
        <v>43439</v>
      </c>
      <c r="B911" t="s">
        <v>91</v>
      </c>
      <c r="C911">
        <v>59559</v>
      </c>
      <c r="D911" t="s">
        <v>57</v>
      </c>
      <c r="E911" s="7">
        <v>30308.27</v>
      </c>
      <c r="F911" t="s">
        <v>20</v>
      </c>
      <c r="G911" t="s">
        <v>21</v>
      </c>
      <c r="H911" t="str">
        <f>"12/15/18"</f>
        <v>12/15/18</v>
      </c>
      <c r="I911" t="str">
        <f>"F.E.L.P.S."</f>
        <v>F.E.L.P.S.</v>
      </c>
    </row>
    <row r="912" spans="1:9" x14ac:dyDescent="0.25">
      <c r="A912" s="6">
        <v>43439</v>
      </c>
      <c r="B912" t="s">
        <v>91</v>
      </c>
      <c r="C912">
        <v>59559</v>
      </c>
      <c r="D912" t="s">
        <v>57</v>
      </c>
      <c r="E912" s="7">
        <v>30308.27</v>
      </c>
      <c r="F912" t="s">
        <v>20</v>
      </c>
      <c r="G912" t="s">
        <v>93</v>
      </c>
      <c r="H912" t="str">
        <f>"CHECK"</f>
        <v>CHECK</v>
      </c>
      <c r="I912" t="str">
        <f>""</f>
        <v/>
      </c>
    </row>
    <row r="913" spans="1:9" x14ac:dyDescent="0.25">
      <c r="A913" s="6">
        <v>43439</v>
      </c>
      <c r="B913" t="s">
        <v>26</v>
      </c>
      <c r="C913">
        <v>59560</v>
      </c>
      <c r="D913" t="s">
        <v>249</v>
      </c>
      <c r="E913" s="7">
        <v>218.8</v>
      </c>
      <c r="F913" t="s">
        <v>20</v>
      </c>
      <c r="G913" t="s">
        <v>21</v>
      </c>
      <c r="H913" t="str">
        <f>"47880"</f>
        <v>47880</v>
      </c>
      <c r="I913" t="str">
        <f>"PRUSKI'S SERVICE CENTER  INC."</f>
        <v>PRUSKI'S SERVICE CENTER  INC.</v>
      </c>
    </row>
    <row r="914" spans="1:9" x14ac:dyDescent="0.25">
      <c r="A914" s="6">
        <v>43439</v>
      </c>
      <c r="B914" t="s">
        <v>26</v>
      </c>
      <c r="C914">
        <v>59561</v>
      </c>
      <c r="D914" t="s">
        <v>250</v>
      </c>
      <c r="E914" s="7">
        <v>176.04</v>
      </c>
      <c r="F914" t="s">
        <v>20</v>
      </c>
      <c r="G914" t="s">
        <v>21</v>
      </c>
      <c r="H914" t="str">
        <f>"C118669"</f>
        <v>C118669</v>
      </c>
      <c r="I914" t="str">
        <f>"JANITORIAL"</f>
        <v>JANITORIAL</v>
      </c>
    </row>
    <row r="915" spans="1:9" x14ac:dyDescent="0.25">
      <c r="A915" s="6">
        <v>43439</v>
      </c>
      <c r="B915" t="s">
        <v>26</v>
      </c>
      <c r="C915">
        <v>59562</v>
      </c>
      <c r="D915" t="s">
        <v>273</v>
      </c>
      <c r="E915" s="7">
        <v>1164.45</v>
      </c>
      <c r="F915" t="s">
        <v>20</v>
      </c>
      <c r="G915" t="s">
        <v>21</v>
      </c>
      <c r="H915" t="str">
        <f>"5119-000085994"</f>
        <v>5119-000085994</v>
      </c>
      <c r="I915" t="str">
        <f>"REPUBLIC SERVICES TESSMAN ROAD"</f>
        <v>REPUBLIC SERVICES TESSMAN ROAD</v>
      </c>
    </row>
    <row r="916" spans="1:9" x14ac:dyDescent="0.25">
      <c r="A916" s="6">
        <v>43439</v>
      </c>
      <c r="B916" t="s">
        <v>26</v>
      </c>
      <c r="C916">
        <v>59563</v>
      </c>
      <c r="D916" t="s">
        <v>108</v>
      </c>
      <c r="E916" s="7">
        <v>1485.2</v>
      </c>
      <c r="F916" t="s">
        <v>20</v>
      </c>
      <c r="G916" t="s">
        <v>21</v>
      </c>
      <c r="H916" t="str">
        <f>"041295609921"</f>
        <v>041295609921</v>
      </c>
      <c r="I916" t="str">
        <f>"POOLSURE"</f>
        <v>POOLSURE</v>
      </c>
    </row>
    <row r="917" spans="1:9" x14ac:dyDescent="0.25">
      <c r="A917" s="6">
        <v>43439</v>
      </c>
      <c r="B917" t="s">
        <v>26</v>
      </c>
      <c r="C917">
        <v>59564</v>
      </c>
      <c r="D917" t="s">
        <v>203</v>
      </c>
      <c r="E917" s="7">
        <v>404.85</v>
      </c>
      <c r="F917" t="s">
        <v>20</v>
      </c>
      <c r="G917" t="s">
        <v>21</v>
      </c>
      <c r="H917" t="str">
        <f>"740587"</f>
        <v>740587</v>
      </c>
      <c r="I917" t="str">
        <f>"VARIOUS ITEMS FOR WWTF"</f>
        <v>VARIOUS ITEMS FOR WWTF</v>
      </c>
    </row>
    <row r="918" spans="1:9" x14ac:dyDescent="0.25">
      <c r="A918" s="6">
        <v>43439</v>
      </c>
      <c r="B918" t="s">
        <v>26</v>
      </c>
      <c r="C918">
        <v>59565</v>
      </c>
      <c r="D918" t="s">
        <v>340</v>
      </c>
      <c r="E918" s="7">
        <v>206.64</v>
      </c>
      <c r="F918" t="s">
        <v>20</v>
      </c>
      <c r="G918" t="s">
        <v>21</v>
      </c>
      <c r="H918" t="str">
        <f>"1810-355716"</f>
        <v>1810-355716</v>
      </c>
      <c r="I918" t="str">
        <f>"BATTERY"</f>
        <v>BATTERY</v>
      </c>
    </row>
    <row r="919" spans="1:9" x14ac:dyDescent="0.25">
      <c r="A919" s="6">
        <v>43439</v>
      </c>
      <c r="B919" t="s">
        <v>26</v>
      </c>
      <c r="C919">
        <v>59565</v>
      </c>
      <c r="D919" t="s">
        <v>340</v>
      </c>
      <c r="E919" s="7">
        <v>206.64</v>
      </c>
      <c r="F919" t="s">
        <v>20</v>
      </c>
      <c r="G919" t="s">
        <v>21</v>
      </c>
      <c r="H919" t="str">
        <f>"1810-356360"</f>
        <v>1810-356360</v>
      </c>
      <c r="I919" t="str">
        <f>"BATTERY"</f>
        <v>BATTERY</v>
      </c>
    </row>
    <row r="920" spans="1:9" x14ac:dyDescent="0.25">
      <c r="A920" s="6">
        <v>43439</v>
      </c>
      <c r="B920" t="s">
        <v>26</v>
      </c>
      <c r="C920">
        <v>59566</v>
      </c>
      <c r="D920" t="s">
        <v>61</v>
      </c>
      <c r="E920" s="7">
        <v>2802.88</v>
      </c>
      <c r="F920" t="s">
        <v>20</v>
      </c>
      <c r="G920" t="s">
        <v>21</v>
      </c>
      <c r="H920" t="str">
        <f>"025-241908"</f>
        <v>025-241908</v>
      </c>
      <c r="I920" t="str">
        <f>"TYLER TECHNOLOGIES  INC."</f>
        <v>TYLER TECHNOLOGIES  INC.</v>
      </c>
    </row>
    <row r="921" spans="1:9" x14ac:dyDescent="0.25">
      <c r="A921" s="6">
        <v>43439</v>
      </c>
      <c r="B921" t="s">
        <v>26</v>
      </c>
      <c r="C921">
        <v>59566</v>
      </c>
      <c r="D921" t="s">
        <v>61</v>
      </c>
      <c r="E921" s="7">
        <v>2802.88</v>
      </c>
      <c r="F921" t="s">
        <v>20</v>
      </c>
      <c r="G921" t="s">
        <v>21</v>
      </c>
      <c r="H921" t="str">
        <f>"025-242648"</f>
        <v>025-242648</v>
      </c>
      <c r="I921" t="str">
        <f>"TYLER TECHNOLOGIES  INC."</f>
        <v>TYLER TECHNOLOGIES  INC.</v>
      </c>
    </row>
    <row r="922" spans="1:9" x14ac:dyDescent="0.25">
      <c r="A922" s="6">
        <v>43439</v>
      </c>
      <c r="B922" t="s">
        <v>26</v>
      </c>
      <c r="C922">
        <v>59567</v>
      </c>
      <c r="D922" t="s">
        <v>0</v>
      </c>
      <c r="E922" s="7">
        <v>4021.66</v>
      </c>
      <c r="F922" t="s">
        <v>20</v>
      </c>
      <c r="G922" t="s">
        <v>21</v>
      </c>
      <c r="H922" t="str">
        <f>"12/18"</f>
        <v>12/18</v>
      </c>
      <c r="I922" t="str">
        <f>"CITY OF FLORESVILLE"</f>
        <v>CITY OF FLORESVILLE</v>
      </c>
    </row>
    <row r="923" spans="1:9" x14ac:dyDescent="0.25">
      <c r="A923" s="6">
        <v>43439</v>
      </c>
      <c r="B923" t="s">
        <v>26</v>
      </c>
      <c r="C923">
        <v>59568</v>
      </c>
      <c r="D923" t="s">
        <v>64</v>
      </c>
      <c r="E923" s="7">
        <v>3602</v>
      </c>
      <c r="F923" t="s">
        <v>20</v>
      </c>
      <c r="G923" t="s">
        <v>21</v>
      </c>
      <c r="H923" t="str">
        <f>"7677"</f>
        <v>7677</v>
      </c>
      <c r="I923" t="str">
        <f>"DREWA DESIGNS  INC."</f>
        <v>DREWA DESIGNS  INC.</v>
      </c>
    </row>
    <row r="924" spans="1:9" x14ac:dyDescent="0.25">
      <c r="A924" s="6">
        <v>43439</v>
      </c>
      <c r="B924" t="s">
        <v>26</v>
      </c>
      <c r="C924">
        <v>59569</v>
      </c>
      <c r="D924" t="s">
        <v>65</v>
      </c>
      <c r="E924" s="7">
        <v>45</v>
      </c>
      <c r="F924" t="s">
        <v>20</v>
      </c>
      <c r="G924" t="s">
        <v>21</v>
      </c>
      <c r="H924" t="str">
        <f>"12/2018"</f>
        <v>12/2018</v>
      </c>
      <c r="I924" t="str">
        <f>"SAM'S CLUB/SYNCHRONY BANK"</f>
        <v>SAM'S CLUB/SYNCHRONY BANK</v>
      </c>
    </row>
    <row r="925" spans="1:9" x14ac:dyDescent="0.25">
      <c r="A925" s="6">
        <v>43439</v>
      </c>
      <c r="B925" t="s">
        <v>26</v>
      </c>
      <c r="C925">
        <v>59570</v>
      </c>
      <c r="D925" t="s">
        <v>66</v>
      </c>
      <c r="E925" s="7">
        <v>120</v>
      </c>
      <c r="F925" t="s">
        <v>20</v>
      </c>
      <c r="G925" t="s">
        <v>21</v>
      </c>
      <c r="H925" t="str">
        <f>"53684"</f>
        <v>53684</v>
      </c>
      <c r="I925" t="str">
        <f>"LOPEZ EXTERMINATING SERVICE  I"</f>
        <v>LOPEZ EXTERMINATING SERVICE  I</v>
      </c>
    </row>
    <row r="926" spans="1:9" x14ac:dyDescent="0.25">
      <c r="A926" s="6">
        <v>43439</v>
      </c>
      <c r="B926" t="s">
        <v>26</v>
      </c>
      <c r="C926">
        <v>59571</v>
      </c>
      <c r="D926" t="s">
        <v>118</v>
      </c>
      <c r="E926" s="7">
        <v>1551.21</v>
      </c>
      <c r="F926" t="s">
        <v>20</v>
      </c>
      <c r="G926" t="s">
        <v>21</v>
      </c>
      <c r="H926" t="str">
        <f>"11204"</f>
        <v>11204</v>
      </c>
      <c r="I926" t="str">
        <f>"BRYAN AIR CONDITIONING &amp; HEATI"</f>
        <v>BRYAN AIR CONDITIONING &amp; HEATI</v>
      </c>
    </row>
    <row r="927" spans="1:9" x14ac:dyDescent="0.25">
      <c r="A927" s="6">
        <v>43439</v>
      </c>
      <c r="B927" t="s">
        <v>26</v>
      </c>
      <c r="C927">
        <v>59571</v>
      </c>
      <c r="D927" t="s">
        <v>118</v>
      </c>
      <c r="E927" s="7">
        <v>1551.21</v>
      </c>
      <c r="F927" t="s">
        <v>20</v>
      </c>
      <c r="G927" t="s">
        <v>21</v>
      </c>
      <c r="H927" t="str">
        <f>"11205"</f>
        <v>11205</v>
      </c>
      <c r="I927" t="str">
        <f>"BRYAN AIR CONDITIONING &amp; HEATI"</f>
        <v>BRYAN AIR CONDITIONING &amp; HEATI</v>
      </c>
    </row>
    <row r="928" spans="1:9" x14ac:dyDescent="0.25">
      <c r="A928" s="6">
        <v>43439</v>
      </c>
      <c r="B928" t="s">
        <v>26</v>
      </c>
      <c r="C928">
        <v>59572</v>
      </c>
      <c r="D928" t="s">
        <v>214</v>
      </c>
      <c r="E928" s="7">
        <v>379.22</v>
      </c>
      <c r="F928" t="s">
        <v>20</v>
      </c>
      <c r="G928" t="s">
        <v>21</v>
      </c>
      <c r="H928" t="str">
        <f>"0016416-IN"</f>
        <v>0016416-IN</v>
      </c>
      <c r="I928" t="str">
        <f>"FLAGS"</f>
        <v>FLAGS</v>
      </c>
    </row>
    <row r="929" spans="1:9" x14ac:dyDescent="0.25">
      <c r="A929" s="6">
        <v>43439</v>
      </c>
      <c r="B929" t="s">
        <v>26</v>
      </c>
      <c r="C929">
        <v>59573</v>
      </c>
      <c r="D929" t="s">
        <v>69</v>
      </c>
      <c r="E929" s="7">
        <v>1163.44</v>
      </c>
      <c r="F929" t="s">
        <v>20</v>
      </c>
      <c r="G929" t="s">
        <v>21</v>
      </c>
      <c r="H929" t="str">
        <f>"394066"</f>
        <v>394066</v>
      </c>
      <c r="I929" t="str">
        <f>"EWALD TRACTOR SUPPLY"</f>
        <v>EWALD TRACTOR SUPPLY</v>
      </c>
    </row>
    <row r="930" spans="1:9" x14ac:dyDescent="0.25">
      <c r="A930" s="6">
        <v>43439</v>
      </c>
      <c r="B930" t="s">
        <v>26</v>
      </c>
      <c r="C930">
        <v>59574</v>
      </c>
      <c r="D930" t="s">
        <v>145</v>
      </c>
      <c r="E930" s="7">
        <v>5818.97</v>
      </c>
      <c r="F930" t="s">
        <v>20</v>
      </c>
      <c r="G930" t="s">
        <v>21</v>
      </c>
      <c r="H930" t="str">
        <f>"IN180010700"</f>
        <v>IN180010700</v>
      </c>
      <c r="I930" t="str">
        <f>"SUPPLIES"</f>
        <v>SUPPLIES</v>
      </c>
    </row>
    <row r="931" spans="1:9" x14ac:dyDescent="0.25">
      <c r="A931" s="6">
        <v>43439</v>
      </c>
      <c r="B931" t="s">
        <v>26</v>
      </c>
      <c r="C931">
        <v>59574</v>
      </c>
      <c r="D931" t="s">
        <v>145</v>
      </c>
      <c r="E931" s="7">
        <v>5818.97</v>
      </c>
      <c r="F931" t="s">
        <v>20</v>
      </c>
      <c r="G931" t="s">
        <v>21</v>
      </c>
      <c r="H931" t="str">
        <f>"IV180010693"</f>
        <v>IV180010693</v>
      </c>
      <c r="I931" t="str">
        <f>"MAINTENANCE SUPPLIES"</f>
        <v>MAINTENANCE SUPPLIES</v>
      </c>
    </row>
    <row r="932" spans="1:9" x14ac:dyDescent="0.25">
      <c r="A932" s="6">
        <v>43439</v>
      </c>
      <c r="B932" t="s">
        <v>26</v>
      </c>
      <c r="C932">
        <v>59575</v>
      </c>
      <c r="D932" t="s">
        <v>146</v>
      </c>
      <c r="E932" s="7">
        <v>336</v>
      </c>
      <c r="F932" t="s">
        <v>20</v>
      </c>
      <c r="G932" t="s">
        <v>21</v>
      </c>
      <c r="H932" t="str">
        <f>"557438"</f>
        <v>557438</v>
      </c>
      <c r="I932" t="str">
        <f>"LARRY SRALLA ELECTRIC"</f>
        <v>LARRY SRALLA ELECTRIC</v>
      </c>
    </row>
    <row r="933" spans="1:9" x14ac:dyDescent="0.25">
      <c r="A933" s="6">
        <v>43439</v>
      </c>
      <c r="B933" t="s">
        <v>26</v>
      </c>
      <c r="C933">
        <v>59575</v>
      </c>
      <c r="D933" t="s">
        <v>146</v>
      </c>
      <c r="E933" s="7">
        <v>336</v>
      </c>
      <c r="F933" t="s">
        <v>20</v>
      </c>
      <c r="G933" t="s">
        <v>21</v>
      </c>
      <c r="H933" t="str">
        <f>"557439"</f>
        <v>557439</v>
      </c>
      <c r="I933" t="str">
        <f>"LARRY SRALLA ELECTRIC"</f>
        <v>LARRY SRALLA ELECTRIC</v>
      </c>
    </row>
    <row r="934" spans="1:9" x14ac:dyDescent="0.25">
      <c r="A934" s="6">
        <v>43439</v>
      </c>
      <c r="B934" t="s">
        <v>26</v>
      </c>
      <c r="C934">
        <v>59576</v>
      </c>
      <c r="D934" t="s">
        <v>71</v>
      </c>
      <c r="E934" s="7">
        <v>1795.7</v>
      </c>
      <c r="F934" t="s">
        <v>20</v>
      </c>
      <c r="G934" t="s">
        <v>21</v>
      </c>
      <c r="H934" t="str">
        <f>"087186889"</f>
        <v>087186889</v>
      </c>
      <c r="I934" t="str">
        <f t="shared" ref="I934:I943" si="7">"CINTAS CORPORATION #087"</f>
        <v>CINTAS CORPORATION #087</v>
      </c>
    </row>
    <row r="935" spans="1:9" x14ac:dyDescent="0.25">
      <c r="A935" s="6">
        <v>43439</v>
      </c>
      <c r="B935" t="s">
        <v>26</v>
      </c>
      <c r="C935">
        <v>59576</v>
      </c>
      <c r="D935" t="s">
        <v>71</v>
      </c>
      <c r="E935" s="7">
        <v>1795.7</v>
      </c>
      <c r="F935" t="s">
        <v>20</v>
      </c>
      <c r="G935" t="s">
        <v>21</v>
      </c>
      <c r="H935" t="str">
        <f>"087190824"</f>
        <v>087190824</v>
      </c>
      <c r="I935" t="str">
        <f t="shared" si="7"/>
        <v>CINTAS CORPORATION #087</v>
      </c>
    </row>
    <row r="936" spans="1:9" x14ac:dyDescent="0.25">
      <c r="A936" s="6">
        <v>43439</v>
      </c>
      <c r="B936" t="s">
        <v>26</v>
      </c>
      <c r="C936">
        <v>59576</v>
      </c>
      <c r="D936" t="s">
        <v>71</v>
      </c>
      <c r="E936" s="7">
        <v>1795.7</v>
      </c>
      <c r="F936" t="s">
        <v>20</v>
      </c>
      <c r="G936" t="s">
        <v>21</v>
      </c>
      <c r="H936" t="str">
        <f>"087194743"</f>
        <v>087194743</v>
      </c>
      <c r="I936" t="str">
        <f t="shared" si="7"/>
        <v>CINTAS CORPORATION #087</v>
      </c>
    </row>
    <row r="937" spans="1:9" x14ac:dyDescent="0.25">
      <c r="A937" s="6">
        <v>43439</v>
      </c>
      <c r="B937" t="s">
        <v>26</v>
      </c>
      <c r="C937">
        <v>59576</v>
      </c>
      <c r="D937" t="s">
        <v>71</v>
      </c>
      <c r="E937" s="7">
        <v>1795.7</v>
      </c>
      <c r="F937" t="s">
        <v>20</v>
      </c>
      <c r="G937" t="s">
        <v>21</v>
      </c>
      <c r="H937" t="str">
        <f>"4009161268"</f>
        <v>4009161268</v>
      </c>
      <c r="I937" t="str">
        <f t="shared" si="7"/>
        <v>CINTAS CORPORATION #087</v>
      </c>
    </row>
    <row r="938" spans="1:9" x14ac:dyDescent="0.25">
      <c r="A938" s="6">
        <v>43439</v>
      </c>
      <c r="B938" t="s">
        <v>26</v>
      </c>
      <c r="C938">
        <v>59576</v>
      </c>
      <c r="D938" t="s">
        <v>71</v>
      </c>
      <c r="E938" s="7">
        <v>1795.7</v>
      </c>
      <c r="F938" t="s">
        <v>20</v>
      </c>
      <c r="G938" t="s">
        <v>21</v>
      </c>
      <c r="H938" t="str">
        <f>"4009538719"</f>
        <v>4009538719</v>
      </c>
      <c r="I938" t="str">
        <f t="shared" si="7"/>
        <v>CINTAS CORPORATION #087</v>
      </c>
    </row>
    <row r="939" spans="1:9" x14ac:dyDescent="0.25">
      <c r="A939" s="6">
        <v>43439</v>
      </c>
      <c r="B939" t="s">
        <v>26</v>
      </c>
      <c r="C939">
        <v>59576</v>
      </c>
      <c r="D939" t="s">
        <v>71</v>
      </c>
      <c r="E939" s="7">
        <v>1795.7</v>
      </c>
      <c r="F939" t="s">
        <v>20</v>
      </c>
      <c r="G939" t="s">
        <v>21</v>
      </c>
      <c r="H939" t="str">
        <f>"4009782581"</f>
        <v>4009782581</v>
      </c>
      <c r="I939" t="str">
        <f t="shared" si="7"/>
        <v>CINTAS CORPORATION #087</v>
      </c>
    </row>
    <row r="940" spans="1:9" x14ac:dyDescent="0.25">
      <c r="A940" s="6">
        <v>43439</v>
      </c>
      <c r="B940" t="s">
        <v>26</v>
      </c>
      <c r="C940">
        <v>59576</v>
      </c>
      <c r="D940" t="s">
        <v>71</v>
      </c>
      <c r="E940" s="7">
        <v>1795.7</v>
      </c>
      <c r="F940" t="s">
        <v>20</v>
      </c>
      <c r="G940" t="s">
        <v>21</v>
      </c>
      <c r="H940" t="str">
        <f>"4010037327"</f>
        <v>4010037327</v>
      </c>
      <c r="I940" t="str">
        <f t="shared" si="7"/>
        <v>CINTAS CORPORATION #087</v>
      </c>
    </row>
    <row r="941" spans="1:9" x14ac:dyDescent="0.25">
      <c r="A941" s="6">
        <v>43439</v>
      </c>
      <c r="B941" t="s">
        <v>26</v>
      </c>
      <c r="C941">
        <v>59576</v>
      </c>
      <c r="D941" t="s">
        <v>71</v>
      </c>
      <c r="E941" s="7">
        <v>1795.7</v>
      </c>
      <c r="F941" t="s">
        <v>20</v>
      </c>
      <c r="G941" t="s">
        <v>21</v>
      </c>
      <c r="H941" t="str">
        <f>"4010587687"</f>
        <v>4010587687</v>
      </c>
      <c r="I941" t="str">
        <f t="shared" si="7"/>
        <v>CINTAS CORPORATION #087</v>
      </c>
    </row>
    <row r="942" spans="1:9" x14ac:dyDescent="0.25">
      <c r="A942" s="6">
        <v>43439</v>
      </c>
      <c r="B942" t="s">
        <v>26</v>
      </c>
      <c r="C942">
        <v>59576</v>
      </c>
      <c r="D942" t="s">
        <v>71</v>
      </c>
      <c r="E942" s="7">
        <v>1795.7</v>
      </c>
      <c r="F942" t="s">
        <v>20</v>
      </c>
      <c r="G942" t="s">
        <v>21</v>
      </c>
      <c r="H942" t="str">
        <f>"4011150855"</f>
        <v>4011150855</v>
      </c>
      <c r="I942" t="str">
        <f t="shared" si="7"/>
        <v>CINTAS CORPORATION #087</v>
      </c>
    </row>
    <row r="943" spans="1:9" x14ac:dyDescent="0.25">
      <c r="A943" s="6">
        <v>43439</v>
      </c>
      <c r="B943" t="s">
        <v>26</v>
      </c>
      <c r="C943">
        <v>59576</v>
      </c>
      <c r="D943" t="s">
        <v>71</v>
      </c>
      <c r="E943" s="7">
        <v>1795.7</v>
      </c>
      <c r="F943" t="s">
        <v>20</v>
      </c>
      <c r="G943" t="s">
        <v>21</v>
      </c>
      <c r="H943" t="str">
        <f>"4011438065"</f>
        <v>4011438065</v>
      </c>
      <c r="I943" t="str">
        <f t="shared" si="7"/>
        <v>CINTAS CORPORATION #087</v>
      </c>
    </row>
    <row r="944" spans="1:9" x14ac:dyDescent="0.25">
      <c r="A944" s="6">
        <v>43439</v>
      </c>
      <c r="B944" t="s">
        <v>26</v>
      </c>
      <c r="C944">
        <v>59578</v>
      </c>
      <c r="D944" t="s">
        <v>632</v>
      </c>
      <c r="E944" s="7">
        <v>325</v>
      </c>
      <c r="F944" t="s">
        <v>20</v>
      </c>
      <c r="G944" t="s">
        <v>21</v>
      </c>
      <c r="H944" t="str">
        <f>"234884"</f>
        <v>234884</v>
      </c>
      <c r="I944" t="str">
        <f>"PUBLIC AGENCY TRAINING COUNCIL"</f>
        <v>PUBLIC AGENCY TRAINING COUNCIL</v>
      </c>
    </row>
    <row r="945" spans="1:9" x14ac:dyDescent="0.25">
      <c r="A945" s="6">
        <v>43439</v>
      </c>
      <c r="B945" t="s">
        <v>26</v>
      </c>
      <c r="C945">
        <v>59579</v>
      </c>
      <c r="D945" t="s">
        <v>74</v>
      </c>
      <c r="E945" s="7">
        <v>92.44</v>
      </c>
      <c r="F945" t="s">
        <v>20</v>
      </c>
      <c r="G945" t="s">
        <v>21</v>
      </c>
      <c r="H945" t="str">
        <f>"9819026107"</f>
        <v>9819026107</v>
      </c>
      <c r="I945" t="str">
        <f>"VERIZON WIRELESS"</f>
        <v>VERIZON WIRELESS</v>
      </c>
    </row>
    <row r="946" spans="1:9" x14ac:dyDescent="0.25">
      <c r="A946" s="6">
        <v>43439</v>
      </c>
      <c r="B946" t="s">
        <v>26</v>
      </c>
      <c r="C946">
        <v>59580</v>
      </c>
      <c r="D946" t="s">
        <v>123</v>
      </c>
      <c r="E946" s="7">
        <v>217.92</v>
      </c>
      <c r="F946" t="s">
        <v>20</v>
      </c>
      <c r="G946" t="s">
        <v>21</v>
      </c>
      <c r="H946" t="str">
        <f>"228129564002"</f>
        <v>228129564002</v>
      </c>
      <c r="I946" t="str">
        <f>"OFFICE SUPPLIES"</f>
        <v>OFFICE SUPPLIES</v>
      </c>
    </row>
    <row r="947" spans="1:9" x14ac:dyDescent="0.25">
      <c r="A947" s="6">
        <v>43439</v>
      </c>
      <c r="B947" t="s">
        <v>26</v>
      </c>
      <c r="C947">
        <v>59580</v>
      </c>
      <c r="D947" t="s">
        <v>123</v>
      </c>
      <c r="E947" s="7">
        <v>217.92</v>
      </c>
      <c r="F947" t="s">
        <v>20</v>
      </c>
      <c r="G947" t="s">
        <v>21</v>
      </c>
      <c r="H947" t="str">
        <f>"233412744001"</f>
        <v>233412744001</v>
      </c>
      <c r="I947" t="str">
        <f>"OFFICE SUPPLIES"</f>
        <v>OFFICE SUPPLIES</v>
      </c>
    </row>
    <row r="948" spans="1:9" x14ac:dyDescent="0.25">
      <c r="A948" s="6">
        <v>43439</v>
      </c>
      <c r="B948" t="s">
        <v>26</v>
      </c>
      <c r="C948">
        <v>59580</v>
      </c>
      <c r="D948" t="s">
        <v>123</v>
      </c>
      <c r="E948" s="7">
        <v>217.92</v>
      </c>
      <c r="F948" t="s">
        <v>20</v>
      </c>
      <c r="G948" t="s">
        <v>21</v>
      </c>
      <c r="H948" t="str">
        <f>"233413013001"</f>
        <v>233413013001</v>
      </c>
      <c r="I948" t="str">
        <f>"OFFICE SUPPLIES"</f>
        <v>OFFICE SUPPLIES</v>
      </c>
    </row>
    <row r="949" spans="1:9" x14ac:dyDescent="0.25">
      <c r="A949" s="6">
        <v>43439</v>
      </c>
      <c r="B949" t="s">
        <v>26</v>
      </c>
      <c r="C949">
        <v>59581</v>
      </c>
      <c r="D949" t="s">
        <v>633</v>
      </c>
      <c r="E949" s="7">
        <v>1127.5999999999999</v>
      </c>
      <c r="F949" t="s">
        <v>20</v>
      </c>
      <c r="G949" t="s">
        <v>21</v>
      </c>
      <c r="H949" t="str">
        <f>"0096538192"</f>
        <v>0096538192</v>
      </c>
      <c r="I949" t="str">
        <f>"CINTAS FIRE 636525"</f>
        <v>CINTAS FIRE 636525</v>
      </c>
    </row>
    <row r="950" spans="1:9" x14ac:dyDescent="0.25">
      <c r="A950" s="6">
        <v>43439</v>
      </c>
      <c r="B950" t="s">
        <v>26</v>
      </c>
      <c r="C950">
        <v>59582</v>
      </c>
      <c r="D950" t="s">
        <v>81</v>
      </c>
      <c r="E950" s="7">
        <v>68.42</v>
      </c>
      <c r="F950" t="s">
        <v>20</v>
      </c>
      <c r="G950" t="s">
        <v>21</v>
      </c>
      <c r="H950" t="str">
        <f>"CHEZ PETTY CASH"</f>
        <v>CHEZ PETTY CASH</v>
      </c>
      <c r="I950" t="str">
        <f>"CITY OF FLORESVILLE -PETTY CAS"</f>
        <v>CITY OF FLORESVILLE -PETTY CAS</v>
      </c>
    </row>
    <row r="951" spans="1:9" x14ac:dyDescent="0.25">
      <c r="A951" s="6">
        <v>43439</v>
      </c>
      <c r="B951" t="s">
        <v>91</v>
      </c>
      <c r="C951">
        <v>59583</v>
      </c>
      <c r="D951" t="s">
        <v>634</v>
      </c>
      <c r="E951" s="7">
        <v>4702.5600000000004</v>
      </c>
      <c r="F951" t="s">
        <v>20</v>
      </c>
      <c r="G951" t="s">
        <v>21</v>
      </c>
      <c r="H951" t="str">
        <f>"ONLINE PTMT12/4/18"</f>
        <v>ONLINE PTMT12/4/18</v>
      </c>
      <c r="I951" t="str">
        <f>"WELLS FARGO"</f>
        <v>WELLS FARGO</v>
      </c>
    </row>
    <row r="952" spans="1:9" x14ac:dyDescent="0.25">
      <c r="A952" s="6">
        <v>43439</v>
      </c>
      <c r="B952" t="s">
        <v>91</v>
      </c>
      <c r="C952">
        <v>59583</v>
      </c>
      <c r="D952" t="s">
        <v>634</v>
      </c>
      <c r="E952" s="7">
        <v>4702.5600000000004</v>
      </c>
      <c r="F952" t="s">
        <v>20</v>
      </c>
      <c r="G952" t="s">
        <v>93</v>
      </c>
      <c r="H952" t="str">
        <f>"CHECK"</f>
        <v>CHECK</v>
      </c>
      <c r="I952" t="str">
        <f>""</f>
        <v/>
      </c>
    </row>
    <row r="953" spans="1:9" x14ac:dyDescent="0.25">
      <c r="A953" s="6">
        <v>43439</v>
      </c>
      <c r="B953" t="s">
        <v>26</v>
      </c>
      <c r="C953">
        <v>59584</v>
      </c>
      <c r="D953" t="s">
        <v>85</v>
      </c>
      <c r="E953" s="7">
        <v>2662.66</v>
      </c>
      <c r="F953" t="s">
        <v>20</v>
      </c>
      <c r="G953" t="s">
        <v>21</v>
      </c>
      <c r="H953" t="str">
        <f>"3932056 11/18"</f>
        <v>3932056 11/18</v>
      </c>
      <c r="I953" t="str">
        <f t="shared" ref="I953:I958" si="8">"FRONTIER"</f>
        <v>FRONTIER</v>
      </c>
    </row>
    <row r="954" spans="1:9" x14ac:dyDescent="0.25">
      <c r="A954" s="6">
        <v>43439</v>
      </c>
      <c r="B954" t="s">
        <v>26</v>
      </c>
      <c r="C954">
        <v>59584</v>
      </c>
      <c r="D954" t="s">
        <v>85</v>
      </c>
      <c r="E954" s="7">
        <v>2662.66</v>
      </c>
      <c r="F954" t="s">
        <v>20</v>
      </c>
      <c r="G954" t="s">
        <v>21</v>
      </c>
      <c r="H954" t="str">
        <f>"3933186 11/18"</f>
        <v>3933186 11/18</v>
      </c>
      <c r="I954" t="str">
        <f t="shared" si="8"/>
        <v>FRONTIER</v>
      </c>
    </row>
    <row r="955" spans="1:9" x14ac:dyDescent="0.25">
      <c r="A955" s="6">
        <v>43439</v>
      </c>
      <c r="B955" t="s">
        <v>26</v>
      </c>
      <c r="C955">
        <v>59584</v>
      </c>
      <c r="D955" t="s">
        <v>85</v>
      </c>
      <c r="E955" s="7">
        <v>2662.66</v>
      </c>
      <c r="F955" t="s">
        <v>20</v>
      </c>
      <c r="G955" t="s">
        <v>21</v>
      </c>
      <c r="H955" t="str">
        <f>"3936616 11/18"</f>
        <v>3936616 11/18</v>
      </c>
      <c r="I955" t="str">
        <f t="shared" si="8"/>
        <v>FRONTIER</v>
      </c>
    </row>
    <row r="956" spans="1:9" x14ac:dyDescent="0.25">
      <c r="A956" s="6">
        <v>43439</v>
      </c>
      <c r="B956" t="s">
        <v>26</v>
      </c>
      <c r="C956">
        <v>59584</v>
      </c>
      <c r="D956" t="s">
        <v>85</v>
      </c>
      <c r="E956" s="7">
        <v>2662.66</v>
      </c>
      <c r="F956" t="s">
        <v>20</v>
      </c>
      <c r="G956" t="s">
        <v>21</v>
      </c>
      <c r="H956" t="str">
        <f>"3939456 11/18"</f>
        <v>3939456 11/18</v>
      </c>
      <c r="I956" t="str">
        <f t="shared" si="8"/>
        <v>FRONTIER</v>
      </c>
    </row>
    <row r="957" spans="1:9" x14ac:dyDescent="0.25">
      <c r="A957" s="6">
        <v>43439</v>
      </c>
      <c r="B957" t="s">
        <v>26</v>
      </c>
      <c r="C957">
        <v>59584</v>
      </c>
      <c r="D957" t="s">
        <v>85</v>
      </c>
      <c r="E957" s="7">
        <v>2662.66</v>
      </c>
      <c r="F957" t="s">
        <v>20</v>
      </c>
      <c r="G957" t="s">
        <v>21</v>
      </c>
      <c r="H957" t="str">
        <f>"8301970021 11/18"</f>
        <v>8301970021 11/18</v>
      </c>
      <c r="I957" t="str">
        <f t="shared" si="8"/>
        <v>FRONTIER</v>
      </c>
    </row>
    <row r="958" spans="1:9" x14ac:dyDescent="0.25">
      <c r="A958" s="6">
        <v>43439</v>
      </c>
      <c r="B958" t="s">
        <v>26</v>
      </c>
      <c r="C958">
        <v>59584</v>
      </c>
      <c r="D958" t="s">
        <v>85</v>
      </c>
      <c r="E958" s="7">
        <v>2662.66</v>
      </c>
      <c r="F958" t="s">
        <v>20</v>
      </c>
      <c r="G958" t="s">
        <v>21</v>
      </c>
      <c r="H958" t="str">
        <f>"8301970024 11/18"</f>
        <v>8301970024 11/18</v>
      </c>
      <c r="I958" t="str">
        <f t="shared" si="8"/>
        <v>FRONTIER</v>
      </c>
    </row>
    <row r="959" spans="1:9" x14ac:dyDescent="0.25">
      <c r="A959" s="6">
        <v>43439</v>
      </c>
      <c r="B959" t="s">
        <v>26</v>
      </c>
      <c r="C959">
        <v>59585</v>
      </c>
      <c r="D959" t="s">
        <v>194</v>
      </c>
      <c r="E959" s="7">
        <v>1272.47</v>
      </c>
      <c r="F959" t="s">
        <v>20</v>
      </c>
      <c r="G959" t="s">
        <v>21</v>
      </c>
      <c r="H959" t="str">
        <f>"011196319"</f>
        <v>011196319</v>
      </c>
      <c r="I959" t="str">
        <f t="shared" ref="I959:I966" si="9">"GALLS  LLC-D.B.A. STERLING'S U"</f>
        <v>GALLS  LLC-D.B.A. STERLING'S U</v>
      </c>
    </row>
    <row r="960" spans="1:9" x14ac:dyDescent="0.25">
      <c r="A960" s="6">
        <v>43439</v>
      </c>
      <c r="B960" t="s">
        <v>26</v>
      </c>
      <c r="C960">
        <v>59585</v>
      </c>
      <c r="D960" t="s">
        <v>194</v>
      </c>
      <c r="E960" s="7">
        <v>1272.47</v>
      </c>
      <c r="F960" t="s">
        <v>20</v>
      </c>
      <c r="G960" t="s">
        <v>21</v>
      </c>
      <c r="H960" t="str">
        <f>"011217760"</f>
        <v>011217760</v>
      </c>
      <c r="I960" t="str">
        <f t="shared" si="9"/>
        <v>GALLS  LLC-D.B.A. STERLING'S U</v>
      </c>
    </row>
    <row r="961" spans="1:9" x14ac:dyDescent="0.25">
      <c r="A961" s="6">
        <v>43439</v>
      </c>
      <c r="B961" t="s">
        <v>26</v>
      </c>
      <c r="C961">
        <v>59585</v>
      </c>
      <c r="D961" t="s">
        <v>194</v>
      </c>
      <c r="E961" s="7">
        <v>1272.47</v>
      </c>
      <c r="F961" t="s">
        <v>20</v>
      </c>
      <c r="G961" t="s">
        <v>21</v>
      </c>
      <c r="H961" t="str">
        <f>"011217787"</f>
        <v>011217787</v>
      </c>
      <c r="I961" t="str">
        <f t="shared" si="9"/>
        <v>GALLS  LLC-D.B.A. STERLING'S U</v>
      </c>
    </row>
    <row r="962" spans="1:9" x14ac:dyDescent="0.25">
      <c r="A962" s="6">
        <v>43439</v>
      </c>
      <c r="B962" t="s">
        <v>26</v>
      </c>
      <c r="C962">
        <v>59585</v>
      </c>
      <c r="D962" t="s">
        <v>194</v>
      </c>
      <c r="E962" s="7">
        <v>1272.47</v>
      </c>
      <c r="F962" t="s">
        <v>20</v>
      </c>
      <c r="G962" t="s">
        <v>21</v>
      </c>
      <c r="H962" t="str">
        <f>"011217798"</f>
        <v>011217798</v>
      </c>
      <c r="I962" t="str">
        <f t="shared" si="9"/>
        <v>GALLS  LLC-D.B.A. STERLING'S U</v>
      </c>
    </row>
    <row r="963" spans="1:9" x14ac:dyDescent="0.25">
      <c r="A963" s="6">
        <v>43439</v>
      </c>
      <c r="B963" t="s">
        <v>26</v>
      </c>
      <c r="C963">
        <v>59585</v>
      </c>
      <c r="D963" t="s">
        <v>194</v>
      </c>
      <c r="E963" s="7">
        <v>1272.47</v>
      </c>
      <c r="F963" t="s">
        <v>20</v>
      </c>
      <c r="G963" t="s">
        <v>21</v>
      </c>
      <c r="H963" t="str">
        <f>"011217817"</f>
        <v>011217817</v>
      </c>
      <c r="I963" t="str">
        <f t="shared" si="9"/>
        <v>GALLS  LLC-D.B.A. STERLING'S U</v>
      </c>
    </row>
    <row r="964" spans="1:9" x14ac:dyDescent="0.25">
      <c r="A964" s="6">
        <v>43439</v>
      </c>
      <c r="B964" t="s">
        <v>26</v>
      </c>
      <c r="C964">
        <v>59585</v>
      </c>
      <c r="D964" t="s">
        <v>194</v>
      </c>
      <c r="E964" s="7">
        <v>1272.47</v>
      </c>
      <c r="F964" t="s">
        <v>20</v>
      </c>
      <c r="G964" t="s">
        <v>21</v>
      </c>
      <c r="H964" t="str">
        <f>"011232415"</f>
        <v>011232415</v>
      </c>
      <c r="I964" t="str">
        <f t="shared" si="9"/>
        <v>GALLS  LLC-D.B.A. STERLING'S U</v>
      </c>
    </row>
    <row r="965" spans="1:9" x14ac:dyDescent="0.25">
      <c r="A965" s="6">
        <v>43439</v>
      </c>
      <c r="B965" t="s">
        <v>26</v>
      </c>
      <c r="C965">
        <v>59585</v>
      </c>
      <c r="D965" t="s">
        <v>194</v>
      </c>
      <c r="E965" s="7">
        <v>1272.47</v>
      </c>
      <c r="F965" t="s">
        <v>20</v>
      </c>
      <c r="G965" t="s">
        <v>21</v>
      </c>
      <c r="H965" t="str">
        <f>"011289263"</f>
        <v>011289263</v>
      </c>
      <c r="I965" t="str">
        <f t="shared" si="9"/>
        <v>GALLS  LLC-D.B.A. STERLING'S U</v>
      </c>
    </row>
    <row r="966" spans="1:9" x14ac:dyDescent="0.25">
      <c r="A966" s="6">
        <v>43439</v>
      </c>
      <c r="B966" t="s">
        <v>26</v>
      </c>
      <c r="C966">
        <v>59585</v>
      </c>
      <c r="D966" t="s">
        <v>194</v>
      </c>
      <c r="E966" s="7">
        <v>1272.47</v>
      </c>
      <c r="F966" t="s">
        <v>20</v>
      </c>
      <c r="G966" t="s">
        <v>21</v>
      </c>
      <c r="H966" t="str">
        <f>"011289277"</f>
        <v>011289277</v>
      </c>
      <c r="I966" t="str">
        <f t="shared" si="9"/>
        <v>GALLS  LLC-D.B.A. STERLING'S U</v>
      </c>
    </row>
    <row r="967" spans="1:9" x14ac:dyDescent="0.25">
      <c r="A967" s="6">
        <v>43439</v>
      </c>
      <c r="B967" t="s">
        <v>26</v>
      </c>
      <c r="C967">
        <v>59587</v>
      </c>
      <c r="D967" t="s">
        <v>405</v>
      </c>
      <c r="E967" s="7">
        <v>50</v>
      </c>
      <c r="F967" t="s">
        <v>20</v>
      </c>
      <c r="G967" t="s">
        <v>21</v>
      </c>
      <c r="H967" t="str">
        <f>"11/17 REFUND"</f>
        <v>11/17 REFUND</v>
      </c>
      <c r="I967" t="str">
        <f>"ALL CITY YOUTH PROGRAMS"</f>
        <v>ALL CITY YOUTH PROGRAMS</v>
      </c>
    </row>
    <row r="968" spans="1:9" x14ac:dyDescent="0.25">
      <c r="A968" s="6">
        <v>43439</v>
      </c>
      <c r="B968" t="s">
        <v>26</v>
      </c>
      <c r="C968">
        <v>59588</v>
      </c>
      <c r="D968" t="s">
        <v>436</v>
      </c>
      <c r="E968" s="7">
        <v>5300</v>
      </c>
      <c r="F968" t="s">
        <v>20</v>
      </c>
      <c r="G968" t="s">
        <v>21</v>
      </c>
      <c r="H968" t="str">
        <f>"HOLIDAY EXT. 12/15"</f>
        <v>HOLIDAY EXT. 12/15</v>
      </c>
      <c r="I968" t="str">
        <f>"UNIVISION RECEIVABLES CO LLC"</f>
        <v>UNIVISION RECEIVABLES CO LLC</v>
      </c>
    </row>
    <row r="969" spans="1:9" x14ac:dyDescent="0.25">
      <c r="A969" s="6">
        <v>43439</v>
      </c>
      <c r="B969" t="s">
        <v>26</v>
      </c>
      <c r="C969">
        <v>59589</v>
      </c>
      <c r="D969" t="s">
        <v>345</v>
      </c>
      <c r="E969" s="7">
        <v>220</v>
      </c>
      <c r="F969" t="s">
        <v>20</v>
      </c>
      <c r="G969" t="s">
        <v>21</v>
      </c>
      <c r="H969" t="str">
        <f>"12/3/18"</f>
        <v>12/3/18</v>
      </c>
      <c r="I969" t="str">
        <f>"MICHAEL ISAAC MARTINEZ"</f>
        <v>MICHAEL ISAAC MARTINEZ</v>
      </c>
    </row>
    <row r="970" spans="1:9" x14ac:dyDescent="0.25">
      <c r="A970" s="6">
        <v>43439</v>
      </c>
      <c r="B970" t="s">
        <v>26</v>
      </c>
      <c r="C970">
        <v>59590</v>
      </c>
      <c r="D970" t="s">
        <v>446</v>
      </c>
      <c r="E970" s="7">
        <v>210</v>
      </c>
      <c r="F970" t="s">
        <v>20</v>
      </c>
      <c r="G970" t="s">
        <v>21</v>
      </c>
      <c r="H970" t="str">
        <f>"HLDY EXT 12/15/18"</f>
        <v>HLDY EXT 12/15/18</v>
      </c>
      <c r="I970" t="str">
        <f>"ISAIAH BARRIENTEZ"</f>
        <v>ISAIAH BARRIENTEZ</v>
      </c>
    </row>
    <row r="971" spans="1:9" x14ac:dyDescent="0.25">
      <c r="A971" s="6">
        <v>43439</v>
      </c>
      <c r="B971" t="s">
        <v>26</v>
      </c>
      <c r="C971">
        <v>59591</v>
      </c>
      <c r="D971" t="s">
        <v>448</v>
      </c>
      <c r="E971" s="7">
        <v>210</v>
      </c>
      <c r="F971" t="s">
        <v>20</v>
      </c>
      <c r="G971" t="s">
        <v>21</v>
      </c>
      <c r="H971" t="str">
        <f>"HLDY EXT 12/15/18"</f>
        <v>HLDY EXT 12/15/18</v>
      </c>
      <c r="I971" t="str">
        <f>"KEVIN SWINEHART"</f>
        <v>KEVIN SWINEHART</v>
      </c>
    </row>
    <row r="972" spans="1:9" x14ac:dyDescent="0.25">
      <c r="A972" s="6">
        <v>43439</v>
      </c>
      <c r="B972" t="s">
        <v>26</v>
      </c>
      <c r="C972">
        <v>59592</v>
      </c>
      <c r="D972" t="s">
        <v>618</v>
      </c>
      <c r="E972" s="7">
        <v>546</v>
      </c>
      <c r="F972" t="s">
        <v>20</v>
      </c>
      <c r="G972" t="s">
        <v>21</v>
      </c>
      <c r="H972" t="str">
        <f>"11/19-11/29 2018"</f>
        <v>11/19-11/29 2018</v>
      </c>
      <c r="I972" t="str">
        <f>"SYLVIA TREVINO"</f>
        <v>SYLVIA TREVINO</v>
      </c>
    </row>
    <row r="973" spans="1:9" x14ac:dyDescent="0.25">
      <c r="A973" s="6">
        <v>43439</v>
      </c>
      <c r="B973" t="s">
        <v>26</v>
      </c>
      <c r="C973">
        <v>59593</v>
      </c>
      <c r="D973" t="s">
        <v>635</v>
      </c>
      <c r="E973" s="7">
        <v>150</v>
      </c>
      <c r="F973" t="s">
        <v>20</v>
      </c>
      <c r="G973" t="s">
        <v>21</v>
      </c>
      <c r="H973" t="str">
        <f>"11/29/18"</f>
        <v>11/29/18</v>
      </c>
      <c r="I973" t="str">
        <f>"CHRISTINE NAVARRO"</f>
        <v>CHRISTINE NAVARRO</v>
      </c>
    </row>
    <row r="974" spans="1:9" x14ac:dyDescent="0.25">
      <c r="A974" s="6">
        <v>43439</v>
      </c>
      <c r="B974" t="s">
        <v>26</v>
      </c>
      <c r="C974">
        <v>59594</v>
      </c>
      <c r="D974" t="s">
        <v>299</v>
      </c>
      <c r="E974" s="7">
        <v>19.5</v>
      </c>
      <c r="F974" t="s">
        <v>20</v>
      </c>
      <c r="G974" t="s">
        <v>21</v>
      </c>
      <c r="H974" t="str">
        <f>"PETTY CASH REFUND"</f>
        <v>PETTY CASH REFUND</v>
      </c>
      <c r="I974" t="str">
        <f>"CHEZARE PEREZ"</f>
        <v>CHEZARE PEREZ</v>
      </c>
    </row>
    <row r="975" spans="1:9" x14ac:dyDescent="0.25">
      <c r="A975" s="6">
        <v>43439</v>
      </c>
      <c r="B975" t="s">
        <v>26</v>
      </c>
      <c r="C975">
        <v>59595</v>
      </c>
      <c r="D975" t="s">
        <v>636</v>
      </c>
      <c r="E975" s="7">
        <v>210</v>
      </c>
      <c r="F975" t="s">
        <v>20</v>
      </c>
      <c r="G975" t="s">
        <v>21</v>
      </c>
      <c r="H975" t="str">
        <f>"HLDY EXT 12/15/18"</f>
        <v>HLDY EXT 12/15/18</v>
      </c>
      <c r="I975" t="str">
        <f>"MATTHEW REDD"</f>
        <v>MATTHEW REDD</v>
      </c>
    </row>
    <row r="976" spans="1:9" x14ac:dyDescent="0.25">
      <c r="A976" s="6">
        <v>43439</v>
      </c>
      <c r="B976" t="s">
        <v>26</v>
      </c>
      <c r="C976">
        <v>59596</v>
      </c>
      <c r="D976" t="s">
        <v>57</v>
      </c>
      <c r="E976" s="7">
        <v>26308.27</v>
      </c>
      <c r="F976" t="s">
        <v>20</v>
      </c>
      <c r="G976" t="s">
        <v>21</v>
      </c>
      <c r="H976" t="str">
        <f>"DEC 2018*"</f>
        <v>DEC 2018*</v>
      </c>
      <c r="I976" t="str">
        <f>"F.E.L.P.S."</f>
        <v>F.E.L.P.S.</v>
      </c>
    </row>
    <row r="977" spans="1:9" x14ac:dyDescent="0.25">
      <c r="A977" s="6">
        <v>43439</v>
      </c>
      <c r="B977" t="s">
        <v>26</v>
      </c>
      <c r="C977">
        <v>59597</v>
      </c>
      <c r="D977" t="s">
        <v>57</v>
      </c>
      <c r="E977" s="7">
        <v>4000</v>
      </c>
      <c r="F977" t="s">
        <v>20</v>
      </c>
      <c r="G977" t="s">
        <v>21</v>
      </c>
      <c r="H977" t="str">
        <f>"0170*"</f>
        <v>0170*</v>
      </c>
      <c r="I977" t="str">
        <f>"F.E.L.P.S."</f>
        <v>F.E.L.P.S.</v>
      </c>
    </row>
    <row r="978" spans="1:9" x14ac:dyDescent="0.25">
      <c r="A978" s="6">
        <v>43439</v>
      </c>
      <c r="B978" t="s">
        <v>26</v>
      </c>
      <c r="C978">
        <v>59598</v>
      </c>
      <c r="D978" t="s">
        <v>637</v>
      </c>
      <c r="E978" s="7">
        <v>75</v>
      </c>
      <c r="F978" t="s">
        <v>20</v>
      </c>
      <c r="G978" t="s">
        <v>21</v>
      </c>
      <c r="H978" t="str">
        <f>"12/2018-COUNCIL"</f>
        <v>12/2018-COUNCIL</v>
      </c>
      <c r="I978" t="str">
        <f>"SALARIES"</f>
        <v>SALARIES</v>
      </c>
    </row>
    <row r="979" spans="1:9" x14ac:dyDescent="0.25">
      <c r="A979" s="6">
        <v>43439</v>
      </c>
      <c r="B979" t="s">
        <v>26</v>
      </c>
      <c r="C979">
        <v>59599</v>
      </c>
      <c r="D979" t="s">
        <v>223</v>
      </c>
      <c r="E979" s="7">
        <v>75</v>
      </c>
      <c r="F979" t="s">
        <v>20</v>
      </c>
      <c r="G979" t="s">
        <v>21</v>
      </c>
      <c r="H979" t="str">
        <f>"12/2018-COUNCIL"</f>
        <v>12/2018-COUNCIL</v>
      </c>
      <c r="I979" t="str">
        <f>""</f>
        <v/>
      </c>
    </row>
    <row r="980" spans="1:9" x14ac:dyDescent="0.25">
      <c r="A980" s="6">
        <v>43439</v>
      </c>
      <c r="B980" t="s">
        <v>26</v>
      </c>
      <c r="C980">
        <v>59600</v>
      </c>
      <c r="D980" t="s">
        <v>36</v>
      </c>
      <c r="E980" s="7">
        <v>75</v>
      </c>
      <c r="F980" t="s">
        <v>20</v>
      </c>
      <c r="G980" t="s">
        <v>21</v>
      </c>
      <c r="H980" t="str">
        <f>"12/2018-COUNCIL"</f>
        <v>12/2018-COUNCIL</v>
      </c>
      <c r="I980" t="str">
        <f>""</f>
        <v/>
      </c>
    </row>
    <row r="981" spans="1:9" x14ac:dyDescent="0.25">
      <c r="A981" s="6">
        <v>43439</v>
      </c>
      <c r="B981" t="s">
        <v>26</v>
      </c>
      <c r="C981">
        <v>59601</v>
      </c>
      <c r="D981" t="s">
        <v>37</v>
      </c>
      <c r="E981" s="7">
        <v>75</v>
      </c>
      <c r="F981" t="s">
        <v>20</v>
      </c>
      <c r="G981" t="s">
        <v>21</v>
      </c>
      <c r="H981" t="str">
        <f>"12/2018-COUNCIL"</f>
        <v>12/2018-COUNCIL</v>
      </c>
      <c r="I981" t="str">
        <f>""</f>
        <v/>
      </c>
    </row>
    <row r="982" spans="1:9" x14ac:dyDescent="0.25">
      <c r="A982" s="6">
        <v>43439</v>
      </c>
      <c r="B982" t="s">
        <v>26</v>
      </c>
      <c r="C982">
        <v>59602</v>
      </c>
      <c r="D982" t="s">
        <v>38</v>
      </c>
      <c r="E982" s="7">
        <v>100</v>
      </c>
      <c r="F982" t="s">
        <v>20</v>
      </c>
      <c r="G982" t="s">
        <v>21</v>
      </c>
      <c r="H982" t="str">
        <f>"12/2018-MAYOR"</f>
        <v>12/2018-MAYOR</v>
      </c>
      <c r="I982" t="str">
        <f>""</f>
        <v/>
      </c>
    </row>
    <row r="983" spans="1:9" x14ac:dyDescent="0.25">
      <c r="A983" s="6">
        <v>43439</v>
      </c>
      <c r="B983" t="s">
        <v>26</v>
      </c>
      <c r="C983">
        <v>59603</v>
      </c>
      <c r="D983" t="s">
        <v>558</v>
      </c>
      <c r="E983" s="7">
        <v>75</v>
      </c>
      <c r="F983" t="s">
        <v>20</v>
      </c>
      <c r="G983" t="s">
        <v>21</v>
      </c>
      <c r="H983" t="str">
        <f>"12/2018-COUNCIL"</f>
        <v>12/2018-COUNCIL</v>
      </c>
      <c r="I983" t="str">
        <f>"SALARIES"</f>
        <v>SALARIES</v>
      </c>
    </row>
    <row r="984" spans="1:9" x14ac:dyDescent="0.25">
      <c r="A984" s="6">
        <v>43445</v>
      </c>
      <c r="B984" t="s">
        <v>26</v>
      </c>
      <c r="C984">
        <v>59604</v>
      </c>
      <c r="D984" t="s">
        <v>58</v>
      </c>
      <c r="E984" s="7">
        <v>197.98</v>
      </c>
      <c r="F984" t="s">
        <v>20</v>
      </c>
      <c r="G984" t="s">
        <v>21</v>
      </c>
      <c r="H984" t="str">
        <f>"549682"</f>
        <v>549682</v>
      </c>
      <c r="I984" t="str">
        <f>"DEASON ANIMAL HOSPITAL"</f>
        <v>DEASON ANIMAL HOSPITAL</v>
      </c>
    </row>
    <row r="985" spans="1:9" x14ac:dyDescent="0.25">
      <c r="A985" s="6">
        <v>43445</v>
      </c>
      <c r="B985" t="s">
        <v>26</v>
      </c>
      <c r="C985">
        <v>59604</v>
      </c>
      <c r="D985" t="s">
        <v>58</v>
      </c>
      <c r="E985" s="7">
        <v>197.98</v>
      </c>
      <c r="F985" t="s">
        <v>20</v>
      </c>
      <c r="G985" t="s">
        <v>21</v>
      </c>
      <c r="H985" t="str">
        <f>"549926"</f>
        <v>549926</v>
      </c>
      <c r="I985" t="str">
        <f>"DEASON ANIMAL HOSPITAL"</f>
        <v>DEASON ANIMAL HOSPITAL</v>
      </c>
    </row>
    <row r="986" spans="1:9" x14ac:dyDescent="0.25">
      <c r="A986" s="6">
        <v>43445</v>
      </c>
      <c r="B986" t="s">
        <v>26</v>
      </c>
      <c r="C986">
        <v>59604</v>
      </c>
      <c r="D986" t="s">
        <v>58</v>
      </c>
      <c r="E986" s="7">
        <v>197.98</v>
      </c>
      <c r="F986" t="s">
        <v>20</v>
      </c>
      <c r="G986" t="s">
        <v>21</v>
      </c>
      <c r="H986" t="str">
        <f>"549971"</f>
        <v>549971</v>
      </c>
      <c r="I986" t="str">
        <f>"DEASON ANIMAL HOSPITAL"</f>
        <v>DEASON ANIMAL HOSPITAL</v>
      </c>
    </row>
    <row r="987" spans="1:9" x14ac:dyDescent="0.25">
      <c r="A987" s="6">
        <v>43445</v>
      </c>
      <c r="B987" t="s">
        <v>91</v>
      </c>
      <c r="C987">
        <v>59605</v>
      </c>
      <c r="D987" t="s">
        <v>637</v>
      </c>
      <c r="E987" s="7">
        <v>75</v>
      </c>
      <c r="F987" t="s">
        <v>20</v>
      </c>
      <c r="G987" t="s">
        <v>21</v>
      </c>
      <c r="H987" t="str">
        <f>"PE12/1-COUNCIL"</f>
        <v>PE12/1-COUNCIL</v>
      </c>
      <c r="I987" t="str">
        <f>"SALARIES"</f>
        <v>SALARIES</v>
      </c>
    </row>
    <row r="988" spans="1:9" x14ac:dyDescent="0.25">
      <c r="A988" s="6">
        <v>43445</v>
      </c>
      <c r="B988" t="s">
        <v>91</v>
      </c>
      <c r="C988">
        <v>59605</v>
      </c>
      <c r="D988" t="s">
        <v>637</v>
      </c>
      <c r="E988" s="7">
        <v>75</v>
      </c>
      <c r="F988" t="s">
        <v>20</v>
      </c>
      <c r="G988" t="s">
        <v>93</v>
      </c>
      <c r="H988" t="str">
        <f>"CHECK"</f>
        <v>CHECK</v>
      </c>
      <c r="I988" t="str">
        <f>""</f>
        <v/>
      </c>
    </row>
    <row r="989" spans="1:9" x14ac:dyDescent="0.25">
      <c r="A989" s="6">
        <v>43445</v>
      </c>
      <c r="B989" t="s">
        <v>26</v>
      </c>
      <c r="C989">
        <v>59606</v>
      </c>
      <c r="D989" t="s">
        <v>0</v>
      </c>
      <c r="E989" s="7">
        <v>300</v>
      </c>
      <c r="F989" t="s">
        <v>20</v>
      </c>
      <c r="G989" t="s">
        <v>21</v>
      </c>
      <c r="H989" t="str">
        <f>"001 HOLD. EXTR2018"</f>
        <v>001 HOLD. EXTR2018</v>
      </c>
      <c r="I989" t="str">
        <f>"CITY OF FLORESVILLE"</f>
        <v>CITY OF FLORESVILLE</v>
      </c>
    </row>
    <row r="990" spans="1:9" x14ac:dyDescent="0.25">
      <c r="A990" s="6">
        <v>43445</v>
      </c>
      <c r="B990" t="s">
        <v>91</v>
      </c>
      <c r="C990">
        <v>59607</v>
      </c>
      <c r="D990" t="s">
        <v>95</v>
      </c>
      <c r="E990" s="7">
        <v>29.99</v>
      </c>
      <c r="F990" t="s">
        <v>20</v>
      </c>
      <c r="G990" t="s">
        <v>21</v>
      </c>
      <c r="H990" t="str">
        <f>"LEA201812048502"</f>
        <v>LEA201812048502</v>
      </c>
      <c r="I990" t="str">
        <f>"INSURANCE"</f>
        <v>INSURANCE</v>
      </c>
    </row>
    <row r="991" spans="1:9" x14ac:dyDescent="0.25">
      <c r="A991" s="6">
        <v>43445</v>
      </c>
      <c r="B991" t="s">
        <v>91</v>
      </c>
      <c r="C991">
        <v>59607</v>
      </c>
      <c r="D991" t="s">
        <v>95</v>
      </c>
      <c r="E991" s="7">
        <v>29.99</v>
      </c>
      <c r="F991" t="s">
        <v>20</v>
      </c>
      <c r="G991" t="s">
        <v>93</v>
      </c>
      <c r="H991" t="str">
        <f>"CHECK"</f>
        <v>CHECK</v>
      </c>
      <c r="I991" t="str">
        <f>""</f>
        <v/>
      </c>
    </row>
    <row r="992" spans="1:9" x14ac:dyDescent="0.25">
      <c r="A992" s="6">
        <v>43445</v>
      </c>
      <c r="B992" t="s">
        <v>91</v>
      </c>
      <c r="C992">
        <v>59608</v>
      </c>
      <c r="D992" t="s">
        <v>96</v>
      </c>
      <c r="E992" s="7">
        <v>142.19999999999999</v>
      </c>
      <c r="F992" t="s">
        <v>20</v>
      </c>
      <c r="G992" t="s">
        <v>21</v>
      </c>
      <c r="H992" t="str">
        <f>"PPL201812048502"</f>
        <v>PPL201812048502</v>
      </c>
      <c r="I992" t="str">
        <f>"INSURANCE"</f>
        <v>INSURANCE</v>
      </c>
    </row>
    <row r="993" spans="1:9" x14ac:dyDescent="0.25">
      <c r="A993" s="6">
        <v>43445</v>
      </c>
      <c r="B993" t="s">
        <v>91</v>
      </c>
      <c r="C993">
        <v>59608</v>
      </c>
      <c r="D993" t="s">
        <v>96</v>
      </c>
      <c r="E993" s="7">
        <v>142.19999999999999</v>
      </c>
      <c r="F993" t="s">
        <v>20</v>
      </c>
      <c r="G993" t="s">
        <v>93</v>
      </c>
      <c r="H993" t="str">
        <f>"CHECK"</f>
        <v>CHECK</v>
      </c>
      <c r="I993" t="str">
        <f>""</f>
        <v/>
      </c>
    </row>
    <row r="994" spans="1:9" x14ac:dyDescent="0.25">
      <c r="A994" s="6">
        <v>43445</v>
      </c>
      <c r="B994" t="s">
        <v>26</v>
      </c>
      <c r="C994">
        <v>59609</v>
      </c>
      <c r="D994" t="s">
        <v>638</v>
      </c>
      <c r="E994" s="7">
        <v>1196</v>
      </c>
      <c r="F994" t="s">
        <v>20</v>
      </c>
      <c r="G994" t="s">
        <v>21</v>
      </c>
      <c r="H994" t="str">
        <f>"HOLD. EXTR.2018"</f>
        <v>HOLD. EXTR.2018</v>
      </c>
      <c r="I994" t="str">
        <f>"ELVA CAMARILLO"</f>
        <v>ELVA CAMARILLO</v>
      </c>
    </row>
    <row r="995" spans="1:9" x14ac:dyDescent="0.25">
      <c r="A995" s="6">
        <v>43445</v>
      </c>
      <c r="B995" t="s">
        <v>26</v>
      </c>
      <c r="C995">
        <v>59610</v>
      </c>
      <c r="D995" t="s">
        <v>156</v>
      </c>
      <c r="E995" s="7">
        <v>1206.75</v>
      </c>
      <c r="F995" t="s">
        <v>20</v>
      </c>
      <c r="G995" t="s">
        <v>21</v>
      </c>
      <c r="H995" t="str">
        <f>"HOLD. EXTR 2018"</f>
        <v>HOLD. EXTR 2018</v>
      </c>
      <c r="I995" t="str">
        <f>"GLI DISTRIBUTING"</f>
        <v>GLI DISTRIBUTING</v>
      </c>
    </row>
    <row r="996" spans="1:9" x14ac:dyDescent="0.25">
      <c r="A996" s="6">
        <v>43445</v>
      </c>
      <c r="B996" t="s">
        <v>26</v>
      </c>
      <c r="C996">
        <v>59611</v>
      </c>
      <c r="D996" t="s">
        <v>123</v>
      </c>
      <c r="E996" s="7">
        <v>2397.23</v>
      </c>
      <c r="F996" t="s">
        <v>20</v>
      </c>
      <c r="G996" t="s">
        <v>21</v>
      </c>
      <c r="H996" t="str">
        <f>"228118888001"</f>
        <v>228118888001</v>
      </c>
      <c r="I996" t="str">
        <f>"OFFICE DEPOT  INC."</f>
        <v>OFFICE DEPOT  INC.</v>
      </c>
    </row>
    <row r="997" spans="1:9" x14ac:dyDescent="0.25">
      <c r="A997" s="6">
        <v>43445</v>
      </c>
      <c r="B997" t="s">
        <v>26</v>
      </c>
      <c r="C997">
        <v>59611</v>
      </c>
      <c r="D997" t="s">
        <v>123</v>
      </c>
      <c r="E997" s="7">
        <v>2397.23</v>
      </c>
      <c r="F997" t="s">
        <v>20</v>
      </c>
      <c r="G997" t="s">
        <v>21</v>
      </c>
      <c r="H997" t="str">
        <f>"228992366001"</f>
        <v>228992366001</v>
      </c>
      <c r="I997" t="str">
        <f>"OFFICE SUPPLIES"</f>
        <v>OFFICE SUPPLIES</v>
      </c>
    </row>
    <row r="998" spans="1:9" x14ac:dyDescent="0.25">
      <c r="A998" s="6">
        <v>43445</v>
      </c>
      <c r="B998" t="s">
        <v>26</v>
      </c>
      <c r="C998">
        <v>59611</v>
      </c>
      <c r="D998" t="s">
        <v>123</v>
      </c>
      <c r="E998" s="7">
        <v>2397.23</v>
      </c>
      <c r="F998" t="s">
        <v>20</v>
      </c>
      <c r="G998" t="s">
        <v>21</v>
      </c>
      <c r="H998" t="str">
        <f>"229857542001"</f>
        <v>229857542001</v>
      </c>
      <c r="I998" t="str">
        <f>"OFFICE SUPPLIES"</f>
        <v>OFFICE SUPPLIES</v>
      </c>
    </row>
    <row r="999" spans="1:9" x14ac:dyDescent="0.25">
      <c r="A999" s="6">
        <v>43445</v>
      </c>
      <c r="B999" t="s">
        <v>26</v>
      </c>
      <c r="C999">
        <v>59611</v>
      </c>
      <c r="D999" t="s">
        <v>123</v>
      </c>
      <c r="E999" s="7">
        <v>2397.23</v>
      </c>
      <c r="F999" t="s">
        <v>20</v>
      </c>
      <c r="G999" t="s">
        <v>21</v>
      </c>
      <c r="H999" t="str">
        <f>"229891662001"</f>
        <v>229891662001</v>
      </c>
      <c r="I999" t="str">
        <f>"OFFICE SUPPLIES"</f>
        <v>OFFICE SUPPLIES</v>
      </c>
    </row>
    <row r="1000" spans="1:9" x14ac:dyDescent="0.25">
      <c r="A1000" s="6">
        <v>43445</v>
      </c>
      <c r="B1000" t="s">
        <v>26</v>
      </c>
      <c r="C1000">
        <v>59611</v>
      </c>
      <c r="D1000" t="s">
        <v>123</v>
      </c>
      <c r="E1000" s="7">
        <v>2397.23</v>
      </c>
      <c r="F1000" t="s">
        <v>20</v>
      </c>
      <c r="G1000" t="s">
        <v>21</v>
      </c>
      <c r="H1000" t="str">
        <f>"230129397001"</f>
        <v>230129397001</v>
      </c>
      <c r="I1000" t="str">
        <f>"OFFICE SUPPLIES"</f>
        <v>OFFICE SUPPLIES</v>
      </c>
    </row>
    <row r="1001" spans="1:9" x14ac:dyDescent="0.25">
      <c r="A1001" s="6">
        <v>43445</v>
      </c>
      <c r="B1001" t="s">
        <v>26</v>
      </c>
      <c r="C1001">
        <v>59611</v>
      </c>
      <c r="D1001" t="s">
        <v>123</v>
      </c>
      <c r="E1001" s="7">
        <v>2397.23</v>
      </c>
      <c r="F1001" t="s">
        <v>20</v>
      </c>
      <c r="G1001" t="s">
        <v>21</v>
      </c>
      <c r="H1001" t="str">
        <f>"230173936001"</f>
        <v>230173936001</v>
      </c>
      <c r="I1001" t="str">
        <f>"OFFICE SUPPLIES"</f>
        <v>OFFICE SUPPLIES</v>
      </c>
    </row>
    <row r="1002" spans="1:9" x14ac:dyDescent="0.25">
      <c r="A1002" s="6">
        <v>43445</v>
      </c>
      <c r="B1002" t="s">
        <v>26</v>
      </c>
      <c r="C1002">
        <v>59611</v>
      </c>
      <c r="D1002" t="s">
        <v>123</v>
      </c>
      <c r="E1002" s="7">
        <v>2397.23</v>
      </c>
      <c r="F1002" t="s">
        <v>20</v>
      </c>
      <c r="G1002" t="s">
        <v>21</v>
      </c>
      <c r="H1002" t="str">
        <f>"234737287001"</f>
        <v>234737287001</v>
      </c>
      <c r="I1002" t="str">
        <f>"JANITORIAL"</f>
        <v>JANITORIAL</v>
      </c>
    </row>
    <row r="1003" spans="1:9" x14ac:dyDescent="0.25">
      <c r="A1003" s="6">
        <v>43445</v>
      </c>
      <c r="B1003" t="s">
        <v>26</v>
      </c>
      <c r="C1003">
        <v>59611</v>
      </c>
      <c r="D1003" t="s">
        <v>123</v>
      </c>
      <c r="E1003" s="7">
        <v>2397.23</v>
      </c>
      <c r="F1003" t="s">
        <v>20</v>
      </c>
      <c r="G1003" t="s">
        <v>21</v>
      </c>
      <c r="H1003" t="str">
        <f>"234738109001"</f>
        <v>234738109001</v>
      </c>
      <c r="I1003" t="str">
        <f>"JANITORIAL"</f>
        <v>JANITORIAL</v>
      </c>
    </row>
    <row r="1004" spans="1:9" x14ac:dyDescent="0.25">
      <c r="A1004" s="6">
        <v>43445</v>
      </c>
      <c r="B1004" t="s">
        <v>26</v>
      </c>
      <c r="C1004">
        <v>59611</v>
      </c>
      <c r="D1004" t="s">
        <v>123</v>
      </c>
      <c r="E1004" s="7">
        <v>2397.23</v>
      </c>
      <c r="F1004" t="s">
        <v>20</v>
      </c>
      <c r="G1004" t="s">
        <v>21</v>
      </c>
      <c r="H1004" t="str">
        <f>"235730188001"</f>
        <v>235730188001</v>
      </c>
      <c r="I1004" t="str">
        <f>"OFFICE SUPPLIES"</f>
        <v>OFFICE SUPPLIES</v>
      </c>
    </row>
    <row r="1005" spans="1:9" x14ac:dyDescent="0.25">
      <c r="A1005" s="6">
        <v>43445</v>
      </c>
      <c r="B1005" t="s">
        <v>26</v>
      </c>
      <c r="C1005">
        <v>59611</v>
      </c>
      <c r="D1005" t="s">
        <v>123</v>
      </c>
      <c r="E1005" s="7">
        <v>2397.23</v>
      </c>
      <c r="F1005" t="s">
        <v>20</v>
      </c>
      <c r="G1005" t="s">
        <v>21</v>
      </c>
      <c r="H1005" t="str">
        <f>"238856375001"</f>
        <v>238856375001</v>
      </c>
      <c r="I1005" t="str">
        <f>"OFFICE SUPPLIES"</f>
        <v>OFFICE SUPPLIES</v>
      </c>
    </row>
    <row r="1006" spans="1:9" x14ac:dyDescent="0.25">
      <c r="A1006" s="6">
        <v>43445</v>
      </c>
      <c r="B1006" t="s">
        <v>26</v>
      </c>
      <c r="C1006">
        <v>59611</v>
      </c>
      <c r="D1006" t="s">
        <v>123</v>
      </c>
      <c r="E1006" s="7">
        <v>2397.23</v>
      </c>
      <c r="F1006" t="s">
        <v>20</v>
      </c>
      <c r="G1006" t="s">
        <v>21</v>
      </c>
      <c r="H1006" t="str">
        <f>"238861796001"</f>
        <v>238861796001</v>
      </c>
      <c r="I1006" t="str">
        <f>"OFFICE SUPPLIES"</f>
        <v>OFFICE SUPPLIES</v>
      </c>
    </row>
    <row r="1007" spans="1:9" x14ac:dyDescent="0.25">
      <c r="A1007" s="6">
        <v>43445</v>
      </c>
      <c r="B1007" t="s">
        <v>26</v>
      </c>
      <c r="C1007">
        <v>59611</v>
      </c>
      <c r="D1007" t="s">
        <v>123</v>
      </c>
      <c r="E1007" s="7">
        <v>2397.23</v>
      </c>
      <c r="F1007" t="s">
        <v>20</v>
      </c>
      <c r="G1007" t="s">
        <v>21</v>
      </c>
      <c r="H1007" t="str">
        <f>"238861797001"</f>
        <v>238861797001</v>
      </c>
      <c r="I1007" t="str">
        <f>"OFFICE SUPPLIES"</f>
        <v>OFFICE SUPPLIES</v>
      </c>
    </row>
    <row r="1008" spans="1:9" x14ac:dyDescent="0.25">
      <c r="A1008" s="6">
        <v>43445</v>
      </c>
      <c r="B1008" t="s">
        <v>26</v>
      </c>
      <c r="C1008">
        <v>59611</v>
      </c>
      <c r="D1008" t="s">
        <v>123</v>
      </c>
      <c r="E1008" s="7">
        <v>2397.23</v>
      </c>
      <c r="F1008" t="s">
        <v>20</v>
      </c>
      <c r="G1008" t="s">
        <v>21</v>
      </c>
      <c r="H1008" t="str">
        <f>"23889083001"</f>
        <v>23889083001</v>
      </c>
      <c r="I1008" t="str">
        <f>"FOLDERS WITH 1 FASTENER"</f>
        <v>FOLDERS WITH 1 FASTENER</v>
      </c>
    </row>
    <row r="1009" spans="1:9" x14ac:dyDescent="0.25">
      <c r="A1009" s="6">
        <v>43445</v>
      </c>
      <c r="B1009" t="s">
        <v>26</v>
      </c>
      <c r="C1009">
        <v>59611</v>
      </c>
      <c r="D1009" t="s">
        <v>123</v>
      </c>
      <c r="E1009" s="7">
        <v>2397.23</v>
      </c>
      <c r="F1009" t="s">
        <v>20</v>
      </c>
      <c r="G1009" t="s">
        <v>21</v>
      </c>
      <c r="H1009" t="str">
        <f>"239289936001"</f>
        <v>239289936001</v>
      </c>
      <c r="I1009" t="str">
        <f>"SHREDDER"</f>
        <v>SHREDDER</v>
      </c>
    </row>
    <row r="1010" spans="1:9" x14ac:dyDescent="0.25">
      <c r="A1010" s="6">
        <v>43445</v>
      </c>
      <c r="B1010" t="s">
        <v>26</v>
      </c>
      <c r="C1010">
        <v>59611</v>
      </c>
      <c r="D1010" t="s">
        <v>123</v>
      </c>
      <c r="E1010" s="7">
        <v>2397.23</v>
      </c>
      <c r="F1010" t="s">
        <v>20</v>
      </c>
      <c r="G1010" t="s">
        <v>21</v>
      </c>
      <c r="H1010" t="str">
        <f>"239615403001"</f>
        <v>239615403001</v>
      </c>
      <c r="I1010" t="str">
        <f>"JANITORIAL"</f>
        <v>JANITORIAL</v>
      </c>
    </row>
    <row r="1011" spans="1:9" x14ac:dyDescent="0.25">
      <c r="A1011" s="6">
        <v>43445</v>
      </c>
      <c r="B1011" t="s">
        <v>26</v>
      </c>
      <c r="C1011">
        <v>59611</v>
      </c>
      <c r="D1011" t="s">
        <v>123</v>
      </c>
      <c r="E1011" s="7">
        <v>2397.23</v>
      </c>
      <c r="F1011" t="s">
        <v>20</v>
      </c>
      <c r="G1011" t="s">
        <v>21</v>
      </c>
      <c r="H1011" t="str">
        <f>"239616575001"</f>
        <v>239616575001</v>
      </c>
      <c r="I1011" t="str">
        <f>"JANITORIAL"</f>
        <v>JANITORIAL</v>
      </c>
    </row>
    <row r="1012" spans="1:9" x14ac:dyDescent="0.25">
      <c r="A1012" s="6">
        <v>43445</v>
      </c>
      <c r="B1012" t="s">
        <v>26</v>
      </c>
      <c r="C1012">
        <v>59611</v>
      </c>
      <c r="D1012" t="s">
        <v>123</v>
      </c>
      <c r="E1012" s="7">
        <v>2397.23</v>
      </c>
      <c r="F1012" t="s">
        <v>20</v>
      </c>
      <c r="G1012" t="s">
        <v>21</v>
      </c>
      <c r="H1012" t="str">
        <f>"239616576001"</f>
        <v>239616576001</v>
      </c>
      <c r="I1012" t="str">
        <f>"JANITORIAL"</f>
        <v>JANITORIAL</v>
      </c>
    </row>
    <row r="1013" spans="1:9" x14ac:dyDescent="0.25">
      <c r="A1013" s="6">
        <v>43445</v>
      </c>
      <c r="B1013" t="s">
        <v>26</v>
      </c>
      <c r="C1013">
        <v>59617</v>
      </c>
      <c r="D1013" t="s">
        <v>157</v>
      </c>
      <c r="E1013" s="7">
        <v>1100</v>
      </c>
      <c r="F1013" t="s">
        <v>20</v>
      </c>
      <c r="G1013" t="s">
        <v>21</v>
      </c>
      <c r="H1013" t="str">
        <f>"HOLD. EXTR.2018"</f>
        <v>HOLD. EXTR.2018</v>
      </c>
      <c r="I1013" t="str">
        <f>"GLAZIERS"</f>
        <v>GLAZIERS</v>
      </c>
    </row>
    <row r="1014" spans="1:9" x14ac:dyDescent="0.25">
      <c r="A1014" s="6">
        <v>43445</v>
      </c>
      <c r="B1014" t="s">
        <v>91</v>
      </c>
      <c r="C1014">
        <v>59618</v>
      </c>
      <c r="D1014" t="s">
        <v>223</v>
      </c>
      <c r="E1014" s="7">
        <v>150</v>
      </c>
      <c r="F1014" t="s">
        <v>20</v>
      </c>
      <c r="G1014" t="s">
        <v>21</v>
      </c>
      <c r="H1014" t="str">
        <f>"12/5/18-COUNCIL"</f>
        <v>12/5/18-COUNCIL</v>
      </c>
      <c r="I1014" t="str">
        <f>""</f>
        <v/>
      </c>
    </row>
    <row r="1015" spans="1:9" x14ac:dyDescent="0.25">
      <c r="A1015" s="6">
        <v>43445</v>
      </c>
      <c r="B1015" t="s">
        <v>91</v>
      </c>
      <c r="C1015">
        <v>59618</v>
      </c>
      <c r="D1015" t="s">
        <v>223</v>
      </c>
      <c r="E1015" s="7">
        <v>150</v>
      </c>
      <c r="F1015" t="s">
        <v>20</v>
      </c>
      <c r="G1015" t="s">
        <v>21</v>
      </c>
      <c r="H1015" t="str">
        <f>"PE12/1-COUNCIL"</f>
        <v>PE12/1-COUNCIL</v>
      </c>
      <c r="I1015" t="str">
        <f>""</f>
        <v/>
      </c>
    </row>
    <row r="1016" spans="1:9" x14ac:dyDescent="0.25">
      <c r="A1016" s="6">
        <v>43445</v>
      </c>
      <c r="B1016" t="s">
        <v>91</v>
      </c>
      <c r="C1016">
        <v>59618</v>
      </c>
      <c r="D1016" t="s">
        <v>223</v>
      </c>
      <c r="E1016" s="7">
        <v>150</v>
      </c>
      <c r="F1016" t="s">
        <v>20</v>
      </c>
      <c r="G1016" t="s">
        <v>93</v>
      </c>
      <c r="H1016" t="str">
        <f>"CHECK"</f>
        <v>CHECK</v>
      </c>
      <c r="I1016" t="str">
        <f>""</f>
        <v/>
      </c>
    </row>
    <row r="1017" spans="1:9" x14ac:dyDescent="0.25">
      <c r="A1017" s="6">
        <v>43445</v>
      </c>
      <c r="B1017" t="s">
        <v>91</v>
      </c>
      <c r="C1017">
        <v>59619</v>
      </c>
      <c r="D1017" t="s">
        <v>36</v>
      </c>
      <c r="E1017" s="7">
        <v>150</v>
      </c>
      <c r="F1017" t="s">
        <v>20</v>
      </c>
      <c r="G1017" t="s">
        <v>21</v>
      </c>
      <c r="H1017" t="str">
        <f>"12/5/18-COUNCIL"</f>
        <v>12/5/18-COUNCIL</v>
      </c>
      <c r="I1017" t="str">
        <f>""</f>
        <v/>
      </c>
    </row>
    <row r="1018" spans="1:9" x14ac:dyDescent="0.25">
      <c r="A1018" s="6">
        <v>43445</v>
      </c>
      <c r="B1018" t="s">
        <v>91</v>
      </c>
      <c r="C1018">
        <v>59619</v>
      </c>
      <c r="D1018" t="s">
        <v>36</v>
      </c>
      <c r="E1018" s="7">
        <v>150</v>
      </c>
      <c r="F1018" t="s">
        <v>20</v>
      </c>
      <c r="G1018" t="s">
        <v>21</v>
      </c>
      <c r="H1018" t="str">
        <f>"PE12/1-COUNCIL"</f>
        <v>PE12/1-COUNCIL</v>
      </c>
      <c r="I1018" t="str">
        <f>""</f>
        <v/>
      </c>
    </row>
    <row r="1019" spans="1:9" x14ac:dyDescent="0.25">
      <c r="A1019" s="6">
        <v>43445</v>
      </c>
      <c r="B1019" t="s">
        <v>91</v>
      </c>
      <c r="C1019">
        <v>59619</v>
      </c>
      <c r="D1019" t="s">
        <v>36</v>
      </c>
      <c r="E1019" s="7">
        <v>150</v>
      </c>
      <c r="F1019" t="s">
        <v>20</v>
      </c>
      <c r="G1019" t="s">
        <v>93</v>
      </c>
      <c r="H1019" t="str">
        <f>"CHECK"</f>
        <v>CHECK</v>
      </c>
      <c r="I1019" t="str">
        <f>""</f>
        <v/>
      </c>
    </row>
    <row r="1020" spans="1:9" x14ac:dyDescent="0.25">
      <c r="A1020" s="6">
        <v>43445</v>
      </c>
      <c r="B1020" t="s">
        <v>91</v>
      </c>
      <c r="C1020">
        <v>59620</v>
      </c>
      <c r="D1020" t="s">
        <v>37</v>
      </c>
      <c r="E1020" s="7">
        <v>150</v>
      </c>
      <c r="F1020" t="s">
        <v>20</v>
      </c>
      <c r="G1020" t="s">
        <v>21</v>
      </c>
      <c r="H1020" t="str">
        <f>"12/5/18-COUNCIL"</f>
        <v>12/5/18-COUNCIL</v>
      </c>
      <c r="I1020" t="str">
        <f>""</f>
        <v/>
      </c>
    </row>
    <row r="1021" spans="1:9" x14ac:dyDescent="0.25">
      <c r="A1021" s="6">
        <v>43445</v>
      </c>
      <c r="B1021" t="s">
        <v>91</v>
      </c>
      <c r="C1021">
        <v>59620</v>
      </c>
      <c r="D1021" t="s">
        <v>37</v>
      </c>
      <c r="E1021" s="7">
        <v>150</v>
      </c>
      <c r="F1021" t="s">
        <v>20</v>
      </c>
      <c r="G1021" t="s">
        <v>21</v>
      </c>
      <c r="H1021" t="str">
        <f>"PE12/1-COUNCIL"</f>
        <v>PE12/1-COUNCIL</v>
      </c>
      <c r="I1021" t="str">
        <f>""</f>
        <v/>
      </c>
    </row>
    <row r="1022" spans="1:9" x14ac:dyDescent="0.25">
      <c r="A1022" s="6">
        <v>43445</v>
      </c>
      <c r="B1022" t="s">
        <v>91</v>
      </c>
      <c r="C1022">
        <v>59620</v>
      </c>
      <c r="D1022" t="s">
        <v>37</v>
      </c>
      <c r="E1022" s="7">
        <v>150</v>
      </c>
      <c r="F1022" t="s">
        <v>20</v>
      </c>
      <c r="G1022" t="s">
        <v>93</v>
      </c>
      <c r="H1022" t="str">
        <f>"CHECK"</f>
        <v>CHECK</v>
      </c>
      <c r="I1022" t="str">
        <f>""</f>
        <v/>
      </c>
    </row>
    <row r="1023" spans="1:9" x14ac:dyDescent="0.25">
      <c r="A1023" s="6">
        <v>43445</v>
      </c>
      <c r="B1023" t="s">
        <v>26</v>
      </c>
      <c r="C1023">
        <v>59621</v>
      </c>
      <c r="D1023" t="s">
        <v>332</v>
      </c>
      <c r="E1023" s="7">
        <v>1000</v>
      </c>
      <c r="F1023" t="s">
        <v>20</v>
      </c>
      <c r="G1023" t="s">
        <v>21</v>
      </c>
      <c r="H1023" t="str">
        <f>"HOLD. EXTR.2018"</f>
        <v>HOLD. EXTR.2018</v>
      </c>
      <c r="I1023" t="str">
        <f>"JESSE CASTRO"</f>
        <v>JESSE CASTRO</v>
      </c>
    </row>
    <row r="1024" spans="1:9" x14ac:dyDescent="0.25">
      <c r="A1024" s="6">
        <v>43445</v>
      </c>
      <c r="B1024" t="s">
        <v>91</v>
      </c>
      <c r="C1024">
        <v>59622</v>
      </c>
      <c r="D1024" t="s">
        <v>38</v>
      </c>
      <c r="E1024" s="7">
        <v>200</v>
      </c>
      <c r="F1024" t="s">
        <v>20</v>
      </c>
      <c r="G1024" t="s">
        <v>21</v>
      </c>
      <c r="H1024" t="str">
        <f>"12/5/18-MAYOR"</f>
        <v>12/5/18-MAYOR</v>
      </c>
      <c r="I1024" t="str">
        <f>""</f>
        <v/>
      </c>
    </row>
    <row r="1025" spans="1:9" x14ac:dyDescent="0.25">
      <c r="A1025" s="6">
        <v>43445</v>
      </c>
      <c r="B1025" t="s">
        <v>91</v>
      </c>
      <c r="C1025">
        <v>59622</v>
      </c>
      <c r="D1025" t="s">
        <v>38</v>
      </c>
      <c r="E1025" s="7">
        <v>200</v>
      </c>
      <c r="F1025" t="s">
        <v>20</v>
      </c>
      <c r="G1025" t="s">
        <v>21</v>
      </c>
      <c r="H1025" t="str">
        <f>"PE12/1-MAYOR"</f>
        <v>PE12/1-MAYOR</v>
      </c>
      <c r="I1025" t="str">
        <f>""</f>
        <v/>
      </c>
    </row>
    <row r="1026" spans="1:9" x14ac:dyDescent="0.25">
      <c r="A1026" s="6">
        <v>43445</v>
      </c>
      <c r="B1026" t="s">
        <v>91</v>
      </c>
      <c r="C1026">
        <v>59622</v>
      </c>
      <c r="D1026" t="s">
        <v>38</v>
      </c>
      <c r="E1026" s="7">
        <v>200</v>
      </c>
      <c r="F1026" t="s">
        <v>20</v>
      </c>
      <c r="G1026" t="s">
        <v>93</v>
      </c>
      <c r="H1026" t="str">
        <f>"CHECK"</f>
        <v>CHECK</v>
      </c>
      <c r="I1026" t="str">
        <f>""</f>
        <v/>
      </c>
    </row>
    <row r="1027" spans="1:9" x14ac:dyDescent="0.25">
      <c r="A1027" s="6">
        <v>43445</v>
      </c>
      <c r="B1027" t="s">
        <v>26</v>
      </c>
      <c r="C1027">
        <v>59623</v>
      </c>
      <c r="D1027" t="s">
        <v>345</v>
      </c>
      <c r="E1027" s="7">
        <v>412.5</v>
      </c>
      <c r="F1027" t="s">
        <v>20</v>
      </c>
      <c r="G1027" t="s">
        <v>21</v>
      </c>
      <c r="H1027" t="str">
        <f>"12/10/18"</f>
        <v>12/10/18</v>
      </c>
      <c r="I1027" t="str">
        <f>"MICHAEL ISAAC MARTINEZ"</f>
        <v>MICHAEL ISAAC MARTINEZ</v>
      </c>
    </row>
    <row r="1028" spans="1:9" x14ac:dyDescent="0.25">
      <c r="A1028" s="6">
        <v>43445</v>
      </c>
      <c r="B1028" t="s">
        <v>91</v>
      </c>
      <c r="C1028">
        <v>59624</v>
      </c>
      <c r="D1028" t="s">
        <v>558</v>
      </c>
      <c r="E1028" s="7">
        <v>75</v>
      </c>
      <c r="F1028" t="s">
        <v>20</v>
      </c>
      <c r="G1028" t="s">
        <v>21</v>
      </c>
      <c r="H1028" t="str">
        <f>"PE12/1-COUNCIL"</f>
        <v>PE12/1-COUNCIL</v>
      </c>
      <c r="I1028" t="str">
        <f>"SALARIES"</f>
        <v>SALARIES</v>
      </c>
    </row>
    <row r="1029" spans="1:9" x14ac:dyDescent="0.25">
      <c r="A1029" s="6">
        <v>43445</v>
      </c>
      <c r="B1029" t="s">
        <v>91</v>
      </c>
      <c r="C1029">
        <v>59624</v>
      </c>
      <c r="D1029" t="s">
        <v>558</v>
      </c>
      <c r="E1029" s="7">
        <v>75</v>
      </c>
      <c r="F1029" t="s">
        <v>20</v>
      </c>
      <c r="G1029" t="s">
        <v>93</v>
      </c>
      <c r="H1029" t="str">
        <f>"CHECK"</f>
        <v>CHECK</v>
      </c>
      <c r="I1029" t="str">
        <f>""</f>
        <v/>
      </c>
    </row>
    <row r="1030" spans="1:9" x14ac:dyDescent="0.25">
      <c r="A1030" s="6">
        <v>43445</v>
      </c>
      <c r="B1030" t="s">
        <v>26</v>
      </c>
      <c r="C1030">
        <v>59625</v>
      </c>
      <c r="D1030" t="s">
        <v>639</v>
      </c>
      <c r="E1030" s="7">
        <v>321</v>
      </c>
      <c r="F1030" t="s">
        <v>20</v>
      </c>
      <c r="G1030" t="s">
        <v>21</v>
      </c>
      <c r="H1030" t="str">
        <f>"1207518"</f>
        <v>1207518</v>
      </c>
      <c r="I1030" t="str">
        <f>"NEXT LEVEL STAFFING"</f>
        <v>NEXT LEVEL STAFFING</v>
      </c>
    </row>
    <row r="1031" spans="1:9" x14ac:dyDescent="0.25">
      <c r="A1031" s="6">
        <v>43445</v>
      </c>
      <c r="B1031" t="s">
        <v>26</v>
      </c>
      <c r="C1031">
        <v>59626</v>
      </c>
      <c r="D1031" t="s">
        <v>640</v>
      </c>
      <c r="E1031" s="7">
        <v>4750</v>
      </c>
      <c r="F1031" t="s">
        <v>20</v>
      </c>
      <c r="G1031" t="s">
        <v>21</v>
      </c>
      <c r="H1031" t="str">
        <f>"59301"</f>
        <v>59301</v>
      </c>
      <c r="I1031" t="str">
        <f>"TEXAS WEDDINGS  LTD"</f>
        <v>TEXAS WEDDINGS  LTD</v>
      </c>
    </row>
    <row r="1032" spans="1:9" x14ac:dyDescent="0.25">
      <c r="A1032" s="6">
        <v>43445</v>
      </c>
      <c r="B1032" t="s">
        <v>26</v>
      </c>
      <c r="C1032">
        <v>59626</v>
      </c>
      <c r="D1032" t="s">
        <v>640</v>
      </c>
      <c r="E1032" s="7">
        <v>4750</v>
      </c>
      <c r="F1032" t="s">
        <v>20</v>
      </c>
      <c r="G1032" t="s">
        <v>21</v>
      </c>
      <c r="H1032" t="str">
        <f>"59408"</f>
        <v>59408</v>
      </c>
      <c r="I1032" t="str">
        <f>"TEXAS WEDDINGS  LTD"</f>
        <v>TEXAS WEDDINGS  LTD</v>
      </c>
    </row>
    <row r="1033" spans="1:9" x14ac:dyDescent="0.25">
      <c r="A1033" s="6">
        <v>43445</v>
      </c>
      <c r="B1033" t="s">
        <v>26</v>
      </c>
      <c r="C1033">
        <v>59627</v>
      </c>
      <c r="D1033" t="s">
        <v>143</v>
      </c>
      <c r="E1033" s="7">
        <v>421.03</v>
      </c>
      <c r="F1033" t="s">
        <v>20</v>
      </c>
      <c r="G1033" t="s">
        <v>21</v>
      </c>
      <c r="H1033" t="str">
        <f>"9401964653"</f>
        <v>9401964653</v>
      </c>
      <c r="I1033" t="str">
        <f>"OIL"</f>
        <v>OIL</v>
      </c>
    </row>
    <row r="1034" spans="1:9" x14ac:dyDescent="0.25">
      <c r="A1034" s="6">
        <v>43445</v>
      </c>
      <c r="B1034" t="s">
        <v>26</v>
      </c>
      <c r="C1034">
        <v>59628</v>
      </c>
      <c r="D1034" t="s">
        <v>201</v>
      </c>
      <c r="E1034" s="7">
        <v>1303.2</v>
      </c>
      <c r="F1034" t="s">
        <v>20</v>
      </c>
      <c r="G1034" t="s">
        <v>21</v>
      </c>
      <c r="H1034" t="str">
        <f>"11/20/2018"</f>
        <v>11/20/2018</v>
      </c>
      <c r="I1034" t="str">
        <f>"WILSON COUNTY HARDWARE"</f>
        <v>WILSON COUNTY HARDWARE</v>
      </c>
    </row>
    <row r="1035" spans="1:9" x14ac:dyDescent="0.25">
      <c r="A1035" s="6">
        <v>43445</v>
      </c>
      <c r="B1035" t="s">
        <v>26</v>
      </c>
      <c r="C1035">
        <v>59629</v>
      </c>
      <c r="D1035" t="s">
        <v>104</v>
      </c>
      <c r="E1035" s="7">
        <v>2678.84</v>
      </c>
      <c r="F1035" t="s">
        <v>20</v>
      </c>
      <c r="G1035" t="s">
        <v>21</v>
      </c>
      <c r="H1035" t="str">
        <f>"1346871010"</f>
        <v>1346871010</v>
      </c>
      <c r="I1035" t="str">
        <f>"WILSON COUNTY NEWS"</f>
        <v>WILSON COUNTY NEWS</v>
      </c>
    </row>
    <row r="1036" spans="1:9" x14ac:dyDescent="0.25">
      <c r="A1036" s="6">
        <v>43445</v>
      </c>
      <c r="B1036" t="s">
        <v>26</v>
      </c>
      <c r="C1036">
        <v>59629</v>
      </c>
      <c r="D1036" t="s">
        <v>104</v>
      </c>
      <c r="E1036" s="7">
        <v>2678.84</v>
      </c>
      <c r="F1036" t="s">
        <v>20</v>
      </c>
      <c r="G1036" t="s">
        <v>21</v>
      </c>
      <c r="H1036" t="str">
        <f>"5026977689"</f>
        <v>5026977689</v>
      </c>
      <c r="I1036" t="str">
        <f>"WILSON COUNTY NEWS"</f>
        <v>WILSON COUNTY NEWS</v>
      </c>
    </row>
    <row r="1037" spans="1:9" x14ac:dyDescent="0.25">
      <c r="A1037" s="6">
        <v>43445</v>
      </c>
      <c r="B1037" t="s">
        <v>26</v>
      </c>
      <c r="C1037">
        <v>59630</v>
      </c>
      <c r="D1037" t="s">
        <v>59</v>
      </c>
      <c r="E1037" s="7">
        <v>1373.78</v>
      </c>
      <c r="F1037" t="s">
        <v>20</v>
      </c>
      <c r="G1037" t="s">
        <v>21</v>
      </c>
      <c r="H1037" t="str">
        <f>"0994625"</f>
        <v>0994625</v>
      </c>
      <c r="I1037" t="str">
        <f>"WATER FAUCET"</f>
        <v>WATER FAUCET</v>
      </c>
    </row>
    <row r="1038" spans="1:9" x14ac:dyDescent="0.25">
      <c r="A1038" s="6">
        <v>43445</v>
      </c>
      <c r="B1038" t="s">
        <v>26</v>
      </c>
      <c r="C1038">
        <v>59630</v>
      </c>
      <c r="D1038" t="s">
        <v>59</v>
      </c>
      <c r="E1038" s="7">
        <v>1373.78</v>
      </c>
      <c r="F1038" t="s">
        <v>20</v>
      </c>
      <c r="G1038" t="s">
        <v>21</v>
      </c>
      <c r="H1038" t="str">
        <f>"0995014"</f>
        <v>0995014</v>
      </c>
      <c r="I1038" t="str">
        <f>"VALVE &amp; HOSES"</f>
        <v>VALVE &amp; HOSES</v>
      </c>
    </row>
    <row r="1039" spans="1:9" x14ac:dyDescent="0.25">
      <c r="A1039" s="6">
        <v>43445</v>
      </c>
      <c r="B1039" t="s">
        <v>26</v>
      </c>
      <c r="C1039">
        <v>59631</v>
      </c>
      <c r="D1039" t="s">
        <v>105</v>
      </c>
      <c r="E1039" s="7">
        <v>14</v>
      </c>
      <c r="F1039" t="s">
        <v>20</v>
      </c>
      <c r="G1039" t="s">
        <v>21</v>
      </c>
      <c r="H1039" t="str">
        <f>"293011"</f>
        <v>293011</v>
      </c>
      <c r="I1039" t="str">
        <f>"LUBE WORKS"</f>
        <v>LUBE WORKS</v>
      </c>
    </row>
    <row r="1040" spans="1:9" x14ac:dyDescent="0.25">
      <c r="A1040" s="6">
        <v>43445</v>
      </c>
      <c r="B1040" t="s">
        <v>26</v>
      </c>
      <c r="C1040">
        <v>59631</v>
      </c>
      <c r="D1040" t="s">
        <v>105</v>
      </c>
      <c r="E1040" s="7">
        <v>14</v>
      </c>
      <c r="F1040" t="s">
        <v>20</v>
      </c>
      <c r="G1040" t="s">
        <v>21</v>
      </c>
      <c r="H1040" t="str">
        <f>"293012"</f>
        <v>293012</v>
      </c>
      <c r="I1040" t="str">
        <f>"LUBE WORKS"</f>
        <v>LUBE WORKS</v>
      </c>
    </row>
    <row r="1041" spans="1:9" x14ac:dyDescent="0.25">
      <c r="A1041" s="6">
        <v>43445</v>
      </c>
      <c r="B1041" t="s">
        <v>26</v>
      </c>
      <c r="C1041">
        <v>59632</v>
      </c>
      <c r="D1041" t="s">
        <v>202</v>
      </c>
      <c r="E1041" s="7">
        <v>3358.16</v>
      </c>
      <c r="F1041" t="s">
        <v>20</v>
      </c>
      <c r="G1041" t="s">
        <v>21</v>
      </c>
      <c r="H1041" t="str">
        <f>"61825832"</f>
        <v>61825832</v>
      </c>
      <c r="I1041" t="str">
        <f>"asphalt"</f>
        <v>asphalt</v>
      </c>
    </row>
    <row r="1042" spans="1:9" x14ac:dyDescent="0.25">
      <c r="A1042" s="6">
        <v>43445</v>
      </c>
      <c r="B1042" t="s">
        <v>26</v>
      </c>
      <c r="C1042">
        <v>59632</v>
      </c>
      <c r="D1042" t="s">
        <v>202</v>
      </c>
      <c r="E1042" s="7">
        <v>3358.16</v>
      </c>
      <c r="F1042" t="s">
        <v>20</v>
      </c>
      <c r="G1042" t="s">
        <v>21</v>
      </c>
      <c r="H1042" t="str">
        <f>"61825833"</f>
        <v>61825833</v>
      </c>
      <c r="I1042" t="str">
        <f>"asphalt"</f>
        <v>asphalt</v>
      </c>
    </row>
    <row r="1043" spans="1:9" x14ac:dyDescent="0.25">
      <c r="A1043" s="6">
        <v>43445</v>
      </c>
      <c r="B1043" t="s">
        <v>26</v>
      </c>
      <c r="C1043">
        <v>59633</v>
      </c>
      <c r="D1043" t="s">
        <v>240</v>
      </c>
      <c r="E1043" s="7">
        <v>2219.0700000000002</v>
      </c>
      <c r="F1043" t="s">
        <v>20</v>
      </c>
      <c r="G1043" t="s">
        <v>21</v>
      </c>
      <c r="H1043" t="str">
        <f>"0155710-IN"</f>
        <v>0155710-IN</v>
      </c>
      <c r="I1043" t="str">
        <f>"UNIFORM"</f>
        <v>UNIFORM</v>
      </c>
    </row>
    <row r="1044" spans="1:9" x14ac:dyDescent="0.25">
      <c r="A1044" s="6">
        <v>43445</v>
      </c>
      <c r="B1044" t="s">
        <v>26</v>
      </c>
      <c r="C1044">
        <v>59633</v>
      </c>
      <c r="D1044" t="s">
        <v>240</v>
      </c>
      <c r="E1044" s="7">
        <v>2219.0700000000002</v>
      </c>
      <c r="F1044" t="s">
        <v>20</v>
      </c>
      <c r="G1044" t="s">
        <v>21</v>
      </c>
      <c r="H1044" t="str">
        <f>"0155712-IN"</f>
        <v>0155712-IN</v>
      </c>
      <c r="I1044" t="str">
        <f>"UNIFORM"</f>
        <v>UNIFORM</v>
      </c>
    </row>
    <row r="1045" spans="1:9" x14ac:dyDescent="0.25">
      <c r="A1045" s="6">
        <v>43445</v>
      </c>
      <c r="B1045" t="s">
        <v>26</v>
      </c>
      <c r="C1045">
        <v>59633</v>
      </c>
      <c r="D1045" t="s">
        <v>240</v>
      </c>
      <c r="E1045" s="7">
        <v>2219.0700000000002</v>
      </c>
      <c r="F1045" t="s">
        <v>20</v>
      </c>
      <c r="G1045" t="s">
        <v>21</v>
      </c>
      <c r="H1045" t="str">
        <f>"0155713-IN"</f>
        <v>0155713-IN</v>
      </c>
      <c r="I1045" t="str">
        <f>"UNIFORM"</f>
        <v>UNIFORM</v>
      </c>
    </row>
    <row r="1046" spans="1:9" x14ac:dyDescent="0.25">
      <c r="A1046" s="6">
        <v>43445</v>
      </c>
      <c r="B1046" t="s">
        <v>26</v>
      </c>
      <c r="C1046">
        <v>59634</v>
      </c>
      <c r="D1046" t="s">
        <v>110</v>
      </c>
      <c r="E1046" s="7">
        <v>2858.89</v>
      </c>
      <c r="F1046" t="s">
        <v>20</v>
      </c>
      <c r="G1046" t="s">
        <v>21</v>
      </c>
      <c r="H1046" t="str">
        <f>"1443095"</f>
        <v>1443095</v>
      </c>
      <c r="I1046" t="str">
        <f t="shared" ref="I1046:I1054" si="10">"BUREAU VERITAS NORTH AMERICA"</f>
        <v>BUREAU VERITAS NORTH AMERICA</v>
      </c>
    </row>
    <row r="1047" spans="1:9" x14ac:dyDescent="0.25">
      <c r="A1047" s="6">
        <v>43445</v>
      </c>
      <c r="B1047" t="s">
        <v>26</v>
      </c>
      <c r="C1047">
        <v>59634</v>
      </c>
      <c r="D1047" t="s">
        <v>110</v>
      </c>
      <c r="E1047" s="7">
        <v>2858.89</v>
      </c>
      <c r="F1047" t="s">
        <v>20</v>
      </c>
      <c r="G1047" t="s">
        <v>21</v>
      </c>
      <c r="H1047" t="str">
        <f>"1443096"</f>
        <v>1443096</v>
      </c>
      <c r="I1047" t="str">
        <f t="shared" si="10"/>
        <v>BUREAU VERITAS NORTH AMERICA</v>
      </c>
    </row>
    <row r="1048" spans="1:9" x14ac:dyDescent="0.25">
      <c r="A1048" s="6">
        <v>43445</v>
      </c>
      <c r="B1048" t="s">
        <v>26</v>
      </c>
      <c r="C1048">
        <v>59634</v>
      </c>
      <c r="D1048" t="s">
        <v>110</v>
      </c>
      <c r="E1048" s="7">
        <v>2858.89</v>
      </c>
      <c r="F1048" t="s">
        <v>20</v>
      </c>
      <c r="G1048" t="s">
        <v>21</v>
      </c>
      <c r="H1048" t="str">
        <f>"1443097"</f>
        <v>1443097</v>
      </c>
      <c r="I1048" t="str">
        <f t="shared" si="10"/>
        <v>BUREAU VERITAS NORTH AMERICA</v>
      </c>
    </row>
    <row r="1049" spans="1:9" x14ac:dyDescent="0.25">
      <c r="A1049" s="6">
        <v>43445</v>
      </c>
      <c r="B1049" t="s">
        <v>26</v>
      </c>
      <c r="C1049">
        <v>59634</v>
      </c>
      <c r="D1049" t="s">
        <v>110</v>
      </c>
      <c r="E1049" s="7">
        <v>2858.89</v>
      </c>
      <c r="F1049" t="s">
        <v>20</v>
      </c>
      <c r="G1049" t="s">
        <v>21</v>
      </c>
      <c r="H1049" t="str">
        <f>"1443098"</f>
        <v>1443098</v>
      </c>
      <c r="I1049" t="str">
        <f t="shared" si="10"/>
        <v>BUREAU VERITAS NORTH AMERICA</v>
      </c>
    </row>
    <row r="1050" spans="1:9" x14ac:dyDescent="0.25">
      <c r="A1050" s="6">
        <v>43445</v>
      </c>
      <c r="B1050" t="s">
        <v>26</v>
      </c>
      <c r="C1050">
        <v>59634</v>
      </c>
      <c r="D1050" t="s">
        <v>110</v>
      </c>
      <c r="E1050" s="7">
        <v>2858.89</v>
      </c>
      <c r="F1050" t="s">
        <v>20</v>
      </c>
      <c r="G1050" t="s">
        <v>21</v>
      </c>
      <c r="H1050" t="str">
        <f>"1443099"</f>
        <v>1443099</v>
      </c>
      <c r="I1050" t="str">
        <f t="shared" si="10"/>
        <v>BUREAU VERITAS NORTH AMERICA</v>
      </c>
    </row>
    <row r="1051" spans="1:9" x14ac:dyDescent="0.25">
      <c r="A1051" s="6">
        <v>43445</v>
      </c>
      <c r="B1051" t="s">
        <v>26</v>
      </c>
      <c r="C1051">
        <v>59634</v>
      </c>
      <c r="D1051" t="s">
        <v>110</v>
      </c>
      <c r="E1051" s="7">
        <v>2858.89</v>
      </c>
      <c r="F1051" t="s">
        <v>20</v>
      </c>
      <c r="G1051" t="s">
        <v>21</v>
      </c>
      <c r="H1051" t="str">
        <f>"1443100"</f>
        <v>1443100</v>
      </c>
      <c r="I1051" t="str">
        <f t="shared" si="10"/>
        <v>BUREAU VERITAS NORTH AMERICA</v>
      </c>
    </row>
    <row r="1052" spans="1:9" x14ac:dyDescent="0.25">
      <c r="A1052" s="6">
        <v>43445</v>
      </c>
      <c r="B1052" t="s">
        <v>26</v>
      </c>
      <c r="C1052">
        <v>59634</v>
      </c>
      <c r="D1052" t="s">
        <v>110</v>
      </c>
      <c r="E1052" s="7">
        <v>2858.89</v>
      </c>
      <c r="F1052" t="s">
        <v>20</v>
      </c>
      <c r="G1052" t="s">
        <v>21</v>
      </c>
      <c r="H1052" t="str">
        <f>"1443101"</f>
        <v>1443101</v>
      </c>
      <c r="I1052" t="str">
        <f t="shared" si="10"/>
        <v>BUREAU VERITAS NORTH AMERICA</v>
      </c>
    </row>
    <row r="1053" spans="1:9" x14ac:dyDescent="0.25">
      <c r="A1053" s="6">
        <v>43445</v>
      </c>
      <c r="B1053" t="s">
        <v>26</v>
      </c>
      <c r="C1053">
        <v>59634</v>
      </c>
      <c r="D1053" t="s">
        <v>110</v>
      </c>
      <c r="E1053" s="7">
        <v>2858.89</v>
      </c>
      <c r="F1053" t="s">
        <v>20</v>
      </c>
      <c r="G1053" t="s">
        <v>21</v>
      </c>
      <c r="H1053" t="str">
        <f>"1443102"</f>
        <v>1443102</v>
      </c>
      <c r="I1053" t="str">
        <f t="shared" si="10"/>
        <v>BUREAU VERITAS NORTH AMERICA</v>
      </c>
    </row>
    <row r="1054" spans="1:9" x14ac:dyDescent="0.25">
      <c r="A1054" s="6">
        <v>43445</v>
      </c>
      <c r="B1054" t="s">
        <v>26</v>
      </c>
      <c r="C1054">
        <v>59634</v>
      </c>
      <c r="D1054" t="s">
        <v>110</v>
      </c>
      <c r="E1054" s="7">
        <v>2858.89</v>
      </c>
      <c r="F1054" t="s">
        <v>20</v>
      </c>
      <c r="G1054" t="s">
        <v>21</v>
      </c>
      <c r="H1054" t="str">
        <f>"1443103"</f>
        <v>1443103</v>
      </c>
      <c r="I1054" t="str">
        <f t="shared" si="10"/>
        <v>BUREAU VERITAS NORTH AMERICA</v>
      </c>
    </row>
    <row r="1055" spans="1:9" x14ac:dyDescent="0.25">
      <c r="A1055" s="6">
        <v>43445</v>
      </c>
      <c r="B1055" t="s">
        <v>26</v>
      </c>
      <c r="C1055">
        <v>59636</v>
      </c>
      <c r="D1055" t="s">
        <v>340</v>
      </c>
      <c r="E1055" s="7">
        <v>570</v>
      </c>
      <c r="F1055" t="s">
        <v>20</v>
      </c>
      <c r="G1055" t="s">
        <v>21</v>
      </c>
      <c r="H1055" t="str">
        <f>"1810-353487"</f>
        <v>1810-353487</v>
      </c>
      <c r="I1055" t="str">
        <f>"O'REILLY AUTOMOTIVE  INC."</f>
        <v>O'REILLY AUTOMOTIVE  INC.</v>
      </c>
    </row>
    <row r="1056" spans="1:9" x14ac:dyDescent="0.25">
      <c r="A1056" s="6">
        <v>43445</v>
      </c>
      <c r="B1056" t="s">
        <v>26</v>
      </c>
      <c r="C1056">
        <v>59636</v>
      </c>
      <c r="D1056" t="s">
        <v>340</v>
      </c>
      <c r="E1056" s="7">
        <v>570</v>
      </c>
      <c r="F1056" t="s">
        <v>20</v>
      </c>
      <c r="G1056" t="s">
        <v>21</v>
      </c>
      <c r="H1056" t="str">
        <f>"1810-358722"</f>
        <v>1810-358722</v>
      </c>
      <c r="I1056" t="str">
        <f>"BRAKE CALIPERS"</f>
        <v>BRAKE CALIPERS</v>
      </c>
    </row>
    <row r="1057" spans="1:9" x14ac:dyDescent="0.25">
      <c r="A1057" s="6">
        <v>43445</v>
      </c>
      <c r="B1057" t="s">
        <v>26</v>
      </c>
      <c r="C1057">
        <v>59636</v>
      </c>
      <c r="D1057" t="s">
        <v>340</v>
      </c>
      <c r="E1057" s="7">
        <v>570</v>
      </c>
      <c r="F1057" t="s">
        <v>20</v>
      </c>
      <c r="G1057" t="s">
        <v>21</v>
      </c>
      <c r="H1057" t="str">
        <f>"1810-358724"</f>
        <v>1810-358724</v>
      </c>
      <c r="I1057" t="str">
        <f>"FREON BRAKE FLUID"</f>
        <v>FREON BRAKE FLUID</v>
      </c>
    </row>
    <row r="1058" spans="1:9" x14ac:dyDescent="0.25">
      <c r="A1058" s="6">
        <v>43445</v>
      </c>
      <c r="B1058" t="s">
        <v>26</v>
      </c>
      <c r="C1058">
        <v>59636</v>
      </c>
      <c r="D1058" t="s">
        <v>340</v>
      </c>
      <c r="E1058" s="7">
        <v>570</v>
      </c>
      <c r="F1058" t="s">
        <v>20</v>
      </c>
      <c r="G1058" t="s">
        <v>21</v>
      </c>
      <c r="H1058" t="str">
        <f>"1810-359282"</f>
        <v>1810-359282</v>
      </c>
      <c r="I1058" t="str">
        <f>"MASTER CYLINDER"</f>
        <v>MASTER CYLINDER</v>
      </c>
    </row>
    <row r="1059" spans="1:9" x14ac:dyDescent="0.25">
      <c r="A1059" s="6">
        <v>43445</v>
      </c>
      <c r="B1059" t="s">
        <v>26</v>
      </c>
      <c r="C1059">
        <v>59636</v>
      </c>
      <c r="D1059" t="s">
        <v>340</v>
      </c>
      <c r="E1059" s="7">
        <v>570</v>
      </c>
      <c r="F1059" t="s">
        <v>20</v>
      </c>
      <c r="G1059" t="s">
        <v>21</v>
      </c>
      <c r="H1059" t="str">
        <f>"1810-359284"</f>
        <v>1810-359284</v>
      </c>
      <c r="I1059" t="str">
        <f>"DEF FLUID/AIR HOSE"</f>
        <v>DEF FLUID/AIR HOSE</v>
      </c>
    </row>
    <row r="1060" spans="1:9" x14ac:dyDescent="0.25">
      <c r="A1060" s="6">
        <v>43445</v>
      </c>
      <c r="B1060" t="s">
        <v>26</v>
      </c>
      <c r="C1060">
        <v>59637</v>
      </c>
      <c r="D1060" t="s">
        <v>181</v>
      </c>
      <c r="E1060" s="7">
        <v>43.02</v>
      </c>
      <c r="F1060" t="s">
        <v>20</v>
      </c>
      <c r="G1060" t="s">
        <v>21</v>
      </c>
      <c r="H1060" t="str">
        <f>"8303933186 11/18"</f>
        <v>8303933186 11/18</v>
      </c>
      <c r="I1060" t="str">
        <f>"AT&amp;T"</f>
        <v>AT&amp;T</v>
      </c>
    </row>
    <row r="1061" spans="1:9" x14ac:dyDescent="0.25">
      <c r="A1061" s="6">
        <v>43445</v>
      </c>
      <c r="B1061" t="s">
        <v>91</v>
      </c>
      <c r="C1061">
        <v>59638</v>
      </c>
      <c r="D1061" t="s">
        <v>92</v>
      </c>
      <c r="E1061" s="7">
        <v>20420.080000000002</v>
      </c>
      <c r="F1061" t="s">
        <v>20</v>
      </c>
      <c r="G1061" t="s">
        <v>21</v>
      </c>
      <c r="H1061" t="str">
        <f>"RET201812048502"</f>
        <v>RET201812048502</v>
      </c>
      <c r="I1061" t="str">
        <f>"TMRS CITY OF FLORESVILLE"</f>
        <v>TMRS CITY OF FLORESVILLE</v>
      </c>
    </row>
    <row r="1062" spans="1:9" x14ac:dyDescent="0.25">
      <c r="A1062" s="6">
        <v>43445</v>
      </c>
      <c r="B1062" t="s">
        <v>91</v>
      </c>
      <c r="C1062">
        <v>59638</v>
      </c>
      <c r="D1062" t="s">
        <v>92</v>
      </c>
      <c r="E1062" s="7">
        <v>20420.080000000002</v>
      </c>
      <c r="F1062" t="s">
        <v>20</v>
      </c>
      <c r="G1062" t="s">
        <v>93</v>
      </c>
      <c r="H1062" t="str">
        <f>"CHECK"</f>
        <v>CHECK</v>
      </c>
      <c r="I1062" t="str">
        <f>""</f>
        <v/>
      </c>
    </row>
    <row r="1063" spans="1:9" x14ac:dyDescent="0.25">
      <c r="A1063" s="6">
        <v>43445</v>
      </c>
      <c r="B1063" t="s">
        <v>26</v>
      </c>
      <c r="C1063">
        <v>59640</v>
      </c>
      <c r="D1063" t="s">
        <v>62</v>
      </c>
      <c r="E1063" s="7">
        <v>191</v>
      </c>
      <c r="F1063" t="s">
        <v>20</v>
      </c>
      <c r="G1063" t="s">
        <v>21</v>
      </c>
      <c r="H1063" t="str">
        <f>"61704"</f>
        <v>61704</v>
      </c>
      <c r="I1063" t="str">
        <f>"PROFICIENT BENEFIT SOLUTIONS"</f>
        <v>PROFICIENT BENEFIT SOLUTIONS</v>
      </c>
    </row>
    <row r="1064" spans="1:9" x14ac:dyDescent="0.25">
      <c r="A1064" s="6">
        <v>43445</v>
      </c>
      <c r="B1064" t="s">
        <v>26</v>
      </c>
      <c r="C1064">
        <v>59640</v>
      </c>
      <c r="D1064" t="s">
        <v>62</v>
      </c>
      <c r="E1064" s="7">
        <v>191</v>
      </c>
      <c r="F1064" t="s">
        <v>20</v>
      </c>
      <c r="G1064" t="s">
        <v>21</v>
      </c>
      <c r="H1064" t="str">
        <f>"FC2040"</f>
        <v>FC2040</v>
      </c>
      <c r="I1064" t="str">
        <f>"PROFICIENT BENEFIT SOLUTIONS"</f>
        <v>PROFICIENT BENEFIT SOLUTIONS</v>
      </c>
    </row>
    <row r="1065" spans="1:9" x14ac:dyDescent="0.25">
      <c r="A1065" s="6">
        <v>43445</v>
      </c>
      <c r="B1065" t="s">
        <v>26</v>
      </c>
      <c r="C1065">
        <v>59641</v>
      </c>
      <c r="D1065" t="s">
        <v>204</v>
      </c>
      <c r="E1065" s="7">
        <v>630</v>
      </c>
      <c r="F1065" t="s">
        <v>20</v>
      </c>
      <c r="G1065" t="s">
        <v>21</v>
      </c>
      <c r="H1065" t="str">
        <f>"003160"</f>
        <v>003160</v>
      </c>
      <c r="I1065" t="str">
        <f>"PROCESS CONTROL CALIBRATION"</f>
        <v>PROCESS CONTROL CALIBRATION</v>
      </c>
    </row>
    <row r="1066" spans="1:9" x14ac:dyDescent="0.25">
      <c r="A1066" s="6">
        <v>43445</v>
      </c>
      <c r="B1066" t="s">
        <v>26</v>
      </c>
      <c r="C1066">
        <v>59642</v>
      </c>
      <c r="D1066" t="s">
        <v>63</v>
      </c>
      <c r="E1066" s="7">
        <v>327.69</v>
      </c>
      <c r="F1066" t="s">
        <v>20</v>
      </c>
      <c r="G1066" t="s">
        <v>21</v>
      </c>
      <c r="H1066" t="str">
        <f>"8403923701"</f>
        <v>8403923701</v>
      </c>
      <c r="I1066" t="str">
        <f>"CINTAS CORPORATION"</f>
        <v>CINTAS CORPORATION</v>
      </c>
    </row>
    <row r="1067" spans="1:9" x14ac:dyDescent="0.25">
      <c r="A1067" s="6">
        <v>43445</v>
      </c>
      <c r="B1067" t="s">
        <v>26</v>
      </c>
      <c r="C1067">
        <v>59643</v>
      </c>
      <c r="D1067" t="s">
        <v>119</v>
      </c>
      <c r="E1067" s="7">
        <v>534.48</v>
      </c>
      <c r="F1067" t="s">
        <v>20</v>
      </c>
      <c r="G1067" t="s">
        <v>21</v>
      </c>
      <c r="H1067" t="str">
        <f>"47880"</f>
        <v>47880</v>
      </c>
      <c r="I1067" t="str">
        <f>"PRUSKI'S TIRE SHOP  L.L.C."</f>
        <v>PRUSKI'S TIRE SHOP  L.L.C.</v>
      </c>
    </row>
    <row r="1068" spans="1:9" x14ac:dyDescent="0.25">
      <c r="A1068" s="6">
        <v>43445</v>
      </c>
      <c r="B1068" t="s">
        <v>26</v>
      </c>
      <c r="C1068">
        <v>59643</v>
      </c>
      <c r="D1068" t="s">
        <v>119</v>
      </c>
      <c r="E1068" s="7">
        <v>534.48</v>
      </c>
      <c r="F1068" t="s">
        <v>20</v>
      </c>
      <c r="G1068" t="s">
        <v>21</v>
      </c>
      <c r="H1068" t="str">
        <f>"48196"</f>
        <v>48196</v>
      </c>
      <c r="I1068" t="str">
        <f>"TIRE"</f>
        <v>TIRE</v>
      </c>
    </row>
    <row r="1069" spans="1:9" x14ac:dyDescent="0.25">
      <c r="A1069" s="6">
        <v>43445</v>
      </c>
      <c r="B1069" t="s">
        <v>26</v>
      </c>
      <c r="C1069">
        <v>59643</v>
      </c>
      <c r="D1069" t="s">
        <v>119</v>
      </c>
      <c r="E1069" s="7">
        <v>534.48</v>
      </c>
      <c r="F1069" t="s">
        <v>20</v>
      </c>
      <c r="G1069" t="s">
        <v>21</v>
      </c>
      <c r="H1069" t="str">
        <f>"48278"</f>
        <v>48278</v>
      </c>
      <c r="I1069" t="str">
        <f>"PRUSKI'S TIRE SHOP  L.L.C."</f>
        <v>PRUSKI'S TIRE SHOP  L.L.C.</v>
      </c>
    </row>
    <row r="1070" spans="1:9" x14ac:dyDescent="0.25">
      <c r="A1070" s="6">
        <v>43445</v>
      </c>
      <c r="B1070" t="s">
        <v>26</v>
      </c>
      <c r="C1070">
        <v>59644</v>
      </c>
      <c r="D1070" t="s">
        <v>69</v>
      </c>
      <c r="E1070" s="7">
        <v>490</v>
      </c>
      <c r="F1070" t="s">
        <v>20</v>
      </c>
      <c r="G1070" t="s">
        <v>21</v>
      </c>
      <c r="H1070" t="str">
        <f>"3393334*"</f>
        <v>3393334*</v>
      </c>
      <c r="I1070" t="str">
        <f>"EWALD TRACTOR SUPPLY"</f>
        <v>EWALD TRACTOR SUPPLY</v>
      </c>
    </row>
    <row r="1071" spans="1:9" x14ac:dyDescent="0.25">
      <c r="A1071" s="6">
        <v>43445</v>
      </c>
      <c r="B1071" t="s">
        <v>26</v>
      </c>
      <c r="C1071">
        <v>59645</v>
      </c>
      <c r="D1071" t="s">
        <v>394</v>
      </c>
      <c r="E1071" s="7">
        <v>10915</v>
      </c>
      <c r="F1071" t="s">
        <v>20</v>
      </c>
      <c r="G1071" t="s">
        <v>21</v>
      </c>
      <c r="H1071" t="str">
        <f>"10489"</f>
        <v>10489</v>
      </c>
      <c r="I1071" t="str">
        <f>"U.S. UNDERWATER SERVICES  LLC"</f>
        <v>U.S. UNDERWATER SERVICES  LLC</v>
      </c>
    </row>
    <row r="1072" spans="1:9" x14ac:dyDescent="0.25">
      <c r="A1072" s="6">
        <v>43445</v>
      </c>
      <c r="B1072" t="s">
        <v>26</v>
      </c>
      <c r="C1072">
        <v>59645</v>
      </c>
      <c r="D1072" t="s">
        <v>394</v>
      </c>
      <c r="E1072" s="7">
        <v>10915</v>
      </c>
      <c r="F1072" t="s">
        <v>20</v>
      </c>
      <c r="G1072" t="s">
        <v>21</v>
      </c>
      <c r="H1072" t="str">
        <f>"10490"</f>
        <v>10490</v>
      </c>
      <c r="I1072" t="str">
        <f>"U.S. UNDERWATER SERVICES  LLC"</f>
        <v>U.S. UNDERWATER SERVICES  LLC</v>
      </c>
    </row>
    <row r="1073" spans="1:9" x14ac:dyDescent="0.25">
      <c r="A1073" s="6">
        <v>43445</v>
      </c>
      <c r="B1073" t="s">
        <v>26</v>
      </c>
      <c r="C1073">
        <v>59646</v>
      </c>
      <c r="D1073" t="s">
        <v>305</v>
      </c>
      <c r="E1073" s="7">
        <v>2388</v>
      </c>
      <c r="F1073" t="s">
        <v>20</v>
      </c>
      <c r="G1073" t="s">
        <v>21</v>
      </c>
      <c r="H1073" t="str">
        <f>"4850"</f>
        <v>4850</v>
      </c>
      <c r="I1073" t="str">
        <f>"CHEM EQUIPMENT"</f>
        <v>CHEM EQUIPMENT</v>
      </c>
    </row>
    <row r="1074" spans="1:9" x14ac:dyDescent="0.25">
      <c r="A1074" s="6">
        <v>43445</v>
      </c>
      <c r="B1074" t="s">
        <v>26</v>
      </c>
      <c r="C1074">
        <v>59647</v>
      </c>
      <c r="D1074" t="s">
        <v>77</v>
      </c>
      <c r="E1074" s="7">
        <v>3140.8</v>
      </c>
      <c r="F1074" t="s">
        <v>20</v>
      </c>
      <c r="G1074" t="s">
        <v>21</v>
      </c>
      <c r="H1074" t="str">
        <f>"857002208-18"</f>
        <v>857002208-18</v>
      </c>
      <c r="I1074" t="str">
        <f>"DPC INDUSTRIES  INC."</f>
        <v>DPC INDUSTRIES  INC.</v>
      </c>
    </row>
    <row r="1075" spans="1:9" x14ac:dyDescent="0.25">
      <c r="A1075" s="6">
        <v>43445</v>
      </c>
      <c r="B1075" t="s">
        <v>26</v>
      </c>
      <c r="C1075">
        <v>59647</v>
      </c>
      <c r="D1075" t="s">
        <v>77</v>
      </c>
      <c r="E1075" s="7">
        <v>3140.8</v>
      </c>
      <c r="F1075" t="s">
        <v>20</v>
      </c>
      <c r="G1075" t="s">
        <v>21</v>
      </c>
      <c r="H1075" t="str">
        <f>"857002243-18"</f>
        <v>857002243-18</v>
      </c>
      <c r="I1075" t="str">
        <f>"DRY HTH"</f>
        <v>DRY HTH</v>
      </c>
    </row>
    <row r="1076" spans="1:9" x14ac:dyDescent="0.25">
      <c r="A1076" s="6">
        <v>43445</v>
      </c>
      <c r="B1076" t="s">
        <v>26</v>
      </c>
      <c r="C1076">
        <v>59647</v>
      </c>
      <c r="D1076" t="s">
        <v>77</v>
      </c>
      <c r="E1076" s="7">
        <v>3140.8</v>
      </c>
      <c r="F1076" t="s">
        <v>20</v>
      </c>
      <c r="G1076" t="s">
        <v>21</v>
      </c>
      <c r="H1076" t="str">
        <f>"857002262-18"</f>
        <v>857002262-18</v>
      </c>
      <c r="I1076" t="str">
        <f>"CHLORINE"</f>
        <v>CHLORINE</v>
      </c>
    </row>
    <row r="1077" spans="1:9" x14ac:dyDescent="0.25">
      <c r="A1077" s="6">
        <v>43445</v>
      </c>
      <c r="B1077" t="s">
        <v>26</v>
      </c>
      <c r="C1077">
        <v>59648</v>
      </c>
      <c r="D1077" t="s">
        <v>124</v>
      </c>
      <c r="E1077" s="7">
        <v>1159.92</v>
      </c>
      <c r="F1077" t="s">
        <v>20</v>
      </c>
      <c r="G1077" t="s">
        <v>21</v>
      </c>
      <c r="H1077" t="str">
        <f>"111-11167404"</f>
        <v>111-11167404</v>
      </c>
      <c r="I1077" t="str">
        <f>"PLANT MAINTENANCE"</f>
        <v>PLANT MAINTENANCE</v>
      </c>
    </row>
    <row r="1078" spans="1:9" x14ac:dyDescent="0.25">
      <c r="A1078" s="6">
        <v>43445</v>
      </c>
      <c r="B1078" t="s">
        <v>26</v>
      </c>
      <c r="C1078">
        <v>59648</v>
      </c>
      <c r="D1078" t="s">
        <v>124</v>
      </c>
      <c r="E1078" s="7">
        <v>1159.92</v>
      </c>
      <c r="F1078" t="s">
        <v>20</v>
      </c>
      <c r="G1078" t="s">
        <v>21</v>
      </c>
      <c r="H1078" t="str">
        <f>"11167404"</f>
        <v>11167404</v>
      </c>
      <c r="I1078" t="str">
        <f>"MCCOY'S CORPORATION"</f>
        <v>MCCOY'S CORPORATION</v>
      </c>
    </row>
    <row r="1079" spans="1:9" x14ac:dyDescent="0.25">
      <c r="A1079" s="6">
        <v>43445</v>
      </c>
      <c r="B1079" t="s">
        <v>26</v>
      </c>
      <c r="C1079">
        <v>59649</v>
      </c>
      <c r="D1079" t="s">
        <v>534</v>
      </c>
      <c r="E1079" s="7">
        <v>107.17</v>
      </c>
      <c r="F1079" t="s">
        <v>20</v>
      </c>
      <c r="G1079" t="s">
        <v>21</v>
      </c>
      <c r="H1079" t="str">
        <f>"8403924613"</f>
        <v>8403924613</v>
      </c>
      <c r="I1079" t="str">
        <f>"CINTAS CORPORATION NO. 2"</f>
        <v>CINTAS CORPORATION NO. 2</v>
      </c>
    </row>
    <row r="1080" spans="1:9" x14ac:dyDescent="0.25">
      <c r="A1080" s="6">
        <v>43445</v>
      </c>
      <c r="B1080" t="s">
        <v>26</v>
      </c>
      <c r="C1080">
        <v>59650</v>
      </c>
      <c r="D1080" t="s">
        <v>80</v>
      </c>
      <c r="E1080" s="7">
        <v>973.33</v>
      </c>
      <c r="F1080" t="s">
        <v>20</v>
      </c>
      <c r="G1080" t="s">
        <v>21</v>
      </c>
      <c r="H1080" t="str">
        <f>"1648-20181201-1"</f>
        <v>1648-20181201-1</v>
      </c>
      <c r="I1080" t="str">
        <f>"LVWIFI.COM"</f>
        <v>LVWIFI.COM</v>
      </c>
    </row>
    <row r="1081" spans="1:9" x14ac:dyDescent="0.25">
      <c r="A1081" s="6">
        <v>43445</v>
      </c>
      <c r="B1081" t="s">
        <v>26</v>
      </c>
      <c r="C1081">
        <v>59650</v>
      </c>
      <c r="D1081" t="s">
        <v>80</v>
      </c>
      <c r="E1081" s="7">
        <v>973.33</v>
      </c>
      <c r="F1081" t="s">
        <v>20</v>
      </c>
      <c r="G1081" t="s">
        <v>21</v>
      </c>
      <c r="H1081" t="str">
        <f>"2314-20181201-1"</f>
        <v>2314-20181201-1</v>
      </c>
      <c r="I1081" t="str">
        <f>"LVWIFI.COM"</f>
        <v>LVWIFI.COM</v>
      </c>
    </row>
    <row r="1082" spans="1:9" x14ac:dyDescent="0.25">
      <c r="A1082" s="6">
        <v>43445</v>
      </c>
      <c r="B1082" t="s">
        <v>26</v>
      </c>
      <c r="C1082">
        <v>59650</v>
      </c>
      <c r="D1082" t="s">
        <v>80</v>
      </c>
      <c r="E1082" s="7">
        <v>973.33</v>
      </c>
      <c r="F1082" t="s">
        <v>20</v>
      </c>
      <c r="G1082" t="s">
        <v>21</v>
      </c>
      <c r="H1082" t="str">
        <f>"2478-20181201-1"</f>
        <v>2478-20181201-1</v>
      </c>
      <c r="I1082" t="str">
        <f>"LVWIFI.COM"</f>
        <v>LVWIFI.COM</v>
      </c>
    </row>
    <row r="1083" spans="1:9" x14ac:dyDescent="0.25">
      <c r="A1083" s="6">
        <v>43445</v>
      </c>
      <c r="B1083" t="s">
        <v>26</v>
      </c>
      <c r="C1083">
        <v>59651</v>
      </c>
      <c r="D1083" t="s">
        <v>139</v>
      </c>
      <c r="E1083" s="7">
        <v>1623.25</v>
      </c>
      <c r="F1083" t="s">
        <v>20</v>
      </c>
      <c r="G1083" t="s">
        <v>21</v>
      </c>
      <c r="H1083" t="str">
        <f>"25078"</f>
        <v>25078</v>
      </c>
      <c r="I1083" t="str">
        <f>"ANGEL FIRE &amp; SAFETY"</f>
        <v>ANGEL FIRE &amp; SAFETY</v>
      </c>
    </row>
    <row r="1084" spans="1:9" x14ac:dyDescent="0.25">
      <c r="A1084" s="6">
        <v>43445</v>
      </c>
      <c r="B1084" t="s">
        <v>26</v>
      </c>
      <c r="C1084">
        <v>59651</v>
      </c>
      <c r="D1084" t="s">
        <v>139</v>
      </c>
      <c r="E1084" s="7">
        <v>1623.25</v>
      </c>
      <c r="F1084" t="s">
        <v>20</v>
      </c>
      <c r="G1084" t="s">
        <v>21</v>
      </c>
      <c r="H1084" t="str">
        <f>"25134"</f>
        <v>25134</v>
      </c>
      <c r="I1084" t="str">
        <f>"ANGEL FIRE &amp; SAFETY"</f>
        <v>ANGEL FIRE &amp; SAFETY</v>
      </c>
    </row>
    <row r="1085" spans="1:9" x14ac:dyDescent="0.25">
      <c r="A1085" s="6">
        <v>43445</v>
      </c>
      <c r="B1085" t="s">
        <v>26</v>
      </c>
      <c r="C1085">
        <v>59651</v>
      </c>
      <c r="D1085" t="s">
        <v>139</v>
      </c>
      <c r="E1085" s="7">
        <v>1623.25</v>
      </c>
      <c r="F1085" t="s">
        <v>20</v>
      </c>
      <c r="G1085" t="s">
        <v>21</v>
      </c>
      <c r="H1085" t="str">
        <f>"25211"</f>
        <v>25211</v>
      </c>
      <c r="I1085" t="str">
        <f>"ANGEL FIRE &amp; SAFETY"</f>
        <v>ANGEL FIRE &amp; SAFETY</v>
      </c>
    </row>
    <row r="1086" spans="1:9" x14ac:dyDescent="0.25">
      <c r="A1086" s="6">
        <v>43445</v>
      </c>
      <c r="B1086" t="s">
        <v>26</v>
      </c>
      <c r="C1086">
        <v>59652</v>
      </c>
      <c r="D1086" t="s">
        <v>31</v>
      </c>
      <c r="E1086" s="7">
        <v>2610</v>
      </c>
      <c r="F1086" t="s">
        <v>20</v>
      </c>
      <c r="G1086" t="s">
        <v>21</v>
      </c>
      <c r="H1086" t="str">
        <f>"2018208"</f>
        <v>2018208</v>
      </c>
      <c r="I1086" t="str">
        <f>"THE LAW OFFICE OF TOM CALDWELL"</f>
        <v>THE LAW OFFICE OF TOM CALDWELL</v>
      </c>
    </row>
    <row r="1087" spans="1:9" x14ac:dyDescent="0.25">
      <c r="A1087" s="6">
        <v>43445</v>
      </c>
      <c r="B1087" t="s">
        <v>91</v>
      </c>
      <c r="C1087">
        <v>59653</v>
      </c>
      <c r="D1087" t="s">
        <v>97</v>
      </c>
      <c r="E1087" s="7">
        <v>33266.28</v>
      </c>
      <c r="F1087" t="s">
        <v>20</v>
      </c>
      <c r="G1087" t="s">
        <v>21</v>
      </c>
      <c r="H1087" t="str">
        <f>"DEN201812048502"</f>
        <v>DEN201812048502</v>
      </c>
      <c r="I1087" t="str">
        <f>"DENTAL INSURANCE"</f>
        <v>DENTAL INSURANCE</v>
      </c>
    </row>
    <row r="1088" spans="1:9" x14ac:dyDescent="0.25">
      <c r="A1088" s="6">
        <v>43445</v>
      </c>
      <c r="B1088" t="s">
        <v>91</v>
      </c>
      <c r="C1088">
        <v>59653</v>
      </c>
      <c r="D1088" t="s">
        <v>97</v>
      </c>
      <c r="E1088" s="7">
        <v>33266.28</v>
      </c>
      <c r="F1088" t="s">
        <v>20</v>
      </c>
      <c r="G1088" t="s">
        <v>21</v>
      </c>
      <c r="H1088" t="str">
        <f>"MED201812048502"</f>
        <v>MED201812048502</v>
      </c>
      <c r="I1088" t="str">
        <f>"HEALTH &amp; DENTAL INSURANCE"</f>
        <v>HEALTH &amp; DENTAL INSURANCE</v>
      </c>
    </row>
    <row r="1089" spans="1:9" x14ac:dyDescent="0.25">
      <c r="A1089" s="6">
        <v>43445</v>
      </c>
      <c r="B1089" t="s">
        <v>91</v>
      </c>
      <c r="C1089">
        <v>59653</v>
      </c>
      <c r="D1089" t="s">
        <v>97</v>
      </c>
      <c r="E1089" s="7">
        <v>33266.28</v>
      </c>
      <c r="F1089" t="s">
        <v>20</v>
      </c>
      <c r="G1089" t="s">
        <v>93</v>
      </c>
      <c r="H1089" t="str">
        <f>"CHECK"</f>
        <v>CHECK</v>
      </c>
      <c r="I1089" t="str">
        <f>""</f>
        <v/>
      </c>
    </row>
    <row r="1090" spans="1:9" x14ac:dyDescent="0.25">
      <c r="A1090" s="6">
        <v>43445</v>
      </c>
      <c r="B1090" t="s">
        <v>26</v>
      </c>
      <c r="C1090">
        <v>59655</v>
      </c>
      <c r="D1090" t="s">
        <v>641</v>
      </c>
      <c r="E1090" s="7">
        <v>100</v>
      </c>
      <c r="F1090" t="s">
        <v>20</v>
      </c>
      <c r="G1090" t="s">
        <v>21</v>
      </c>
      <c r="H1090" t="str">
        <f>"MEMBER FEE 12/18"</f>
        <v>MEMBER FEE 12/18</v>
      </c>
      <c r="I1090" t="str">
        <f>"TMCA  INC."</f>
        <v>TMCA  INC.</v>
      </c>
    </row>
    <row r="1091" spans="1:9" x14ac:dyDescent="0.25">
      <c r="A1091" s="6">
        <v>43445</v>
      </c>
      <c r="B1091" t="s">
        <v>26</v>
      </c>
      <c r="C1091">
        <v>59656</v>
      </c>
      <c r="D1091" t="s">
        <v>84</v>
      </c>
      <c r="E1091" s="7">
        <v>11381.66</v>
      </c>
      <c r="F1091" t="s">
        <v>20</v>
      </c>
      <c r="G1091" t="s">
        <v>21</v>
      </c>
      <c r="H1091" t="str">
        <f>"1406374"</f>
        <v>1406374</v>
      </c>
      <c r="I1091" t="str">
        <f>"STANTEC CONSULTING SERVICES IN"</f>
        <v>STANTEC CONSULTING SERVICES IN</v>
      </c>
    </row>
    <row r="1092" spans="1:9" x14ac:dyDescent="0.25">
      <c r="A1092" s="6">
        <v>43445</v>
      </c>
      <c r="B1092" t="s">
        <v>26</v>
      </c>
      <c r="C1092">
        <v>59657</v>
      </c>
      <c r="D1092" t="s">
        <v>85</v>
      </c>
      <c r="E1092" s="7">
        <v>5057.5</v>
      </c>
      <c r="F1092" t="s">
        <v>20</v>
      </c>
      <c r="G1092" t="s">
        <v>21</v>
      </c>
      <c r="H1092" t="str">
        <f>"3937070 12/18"</f>
        <v>3937070 12/18</v>
      </c>
      <c r="I1092" t="str">
        <f>"FRONTIER"</f>
        <v>FRONTIER</v>
      </c>
    </row>
    <row r="1093" spans="1:9" x14ac:dyDescent="0.25">
      <c r="A1093" s="6">
        <v>43445</v>
      </c>
      <c r="B1093" t="s">
        <v>26</v>
      </c>
      <c r="C1093">
        <v>59657</v>
      </c>
      <c r="D1093" t="s">
        <v>85</v>
      </c>
      <c r="E1093" s="7">
        <v>5057.5</v>
      </c>
      <c r="F1093" t="s">
        <v>20</v>
      </c>
      <c r="G1093" t="s">
        <v>21</v>
      </c>
      <c r="H1093" t="str">
        <f>"8302162691 12/18"</f>
        <v>8302162691 12/18</v>
      </c>
      <c r="I1093" t="str">
        <f>"FRONTIER"</f>
        <v>FRONTIER</v>
      </c>
    </row>
    <row r="1094" spans="1:9" x14ac:dyDescent="0.25">
      <c r="A1094" s="6">
        <v>43445</v>
      </c>
      <c r="B1094" t="s">
        <v>26</v>
      </c>
      <c r="C1094">
        <v>59657</v>
      </c>
      <c r="D1094" t="s">
        <v>85</v>
      </c>
      <c r="E1094" s="7">
        <v>5057.5</v>
      </c>
      <c r="F1094" t="s">
        <v>20</v>
      </c>
      <c r="G1094" t="s">
        <v>21</v>
      </c>
      <c r="H1094" t="str">
        <f>"8302162745 12/18"</f>
        <v>8302162745 12/18</v>
      </c>
      <c r="I1094" t="str">
        <f>"FRONTIER"</f>
        <v>FRONTIER</v>
      </c>
    </row>
    <row r="1095" spans="1:9" x14ac:dyDescent="0.25">
      <c r="A1095" s="6">
        <v>43445</v>
      </c>
      <c r="B1095" t="s">
        <v>26</v>
      </c>
      <c r="C1095">
        <v>59657</v>
      </c>
      <c r="D1095" t="s">
        <v>85</v>
      </c>
      <c r="E1095" s="7">
        <v>5057.5</v>
      </c>
      <c r="F1095" t="s">
        <v>20</v>
      </c>
      <c r="G1095" t="s">
        <v>21</v>
      </c>
      <c r="H1095" t="str">
        <f>"8303933718 12/18"</f>
        <v>8303933718 12/18</v>
      </c>
      <c r="I1095" t="str">
        <f>"FRONTIER"</f>
        <v>FRONTIER</v>
      </c>
    </row>
    <row r="1096" spans="1:9" x14ac:dyDescent="0.25">
      <c r="A1096" s="6">
        <v>43445</v>
      </c>
      <c r="B1096" t="s">
        <v>26</v>
      </c>
      <c r="C1096">
        <v>59657</v>
      </c>
      <c r="D1096" t="s">
        <v>85</v>
      </c>
      <c r="E1096" s="7">
        <v>5057.5</v>
      </c>
      <c r="F1096" t="s">
        <v>20</v>
      </c>
      <c r="G1096" t="s">
        <v>21</v>
      </c>
      <c r="H1096" t="str">
        <f>"983-711-0024 12/18"</f>
        <v>983-711-0024 12/18</v>
      </c>
      <c r="I1096" t="str">
        <f>"FRONTIER"</f>
        <v>FRONTIER</v>
      </c>
    </row>
    <row r="1097" spans="1:9" x14ac:dyDescent="0.25">
      <c r="A1097" s="6">
        <v>43445</v>
      </c>
      <c r="B1097" t="s">
        <v>26</v>
      </c>
      <c r="C1097">
        <v>59658</v>
      </c>
      <c r="D1097" t="s">
        <v>175</v>
      </c>
      <c r="E1097" s="7">
        <v>500</v>
      </c>
      <c r="F1097" t="s">
        <v>20</v>
      </c>
      <c r="G1097" t="s">
        <v>21</v>
      </c>
      <c r="H1097" t="str">
        <f>"151374"</f>
        <v>151374</v>
      </c>
      <c r="I1097" t="str">
        <f>"AMER TECHNOLOGY  INC."</f>
        <v>AMER TECHNOLOGY  INC.</v>
      </c>
    </row>
    <row r="1098" spans="1:9" x14ac:dyDescent="0.25">
      <c r="A1098" s="6">
        <v>43445</v>
      </c>
      <c r="B1098" t="s">
        <v>26</v>
      </c>
      <c r="C1098">
        <v>59659</v>
      </c>
      <c r="D1098" t="s">
        <v>46</v>
      </c>
      <c r="E1098" s="7">
        <v>3740</v>
      </c>
      <c r="F1098" t="s">
        <v>20</v>
      </c>
      <c r="G1098" t="s">
        <v>21</v>
      </c>
      <c r="H1098" t="str">
        <f>"9581"</f>
        <v>9581</v>
      </c>
      <c r="I1098" t="str">
        <f>"HAYES ENGINEERING  INC"</f>
        <v>HAYES ENGINEERING  INC</v>
      </c>
    </row>
    <row r="1099" spans="1:9" x14ac:dyDescent="0.25">
      <c r="A1099" s="6">
        <v>43445</v>
      </c>
      <c r="B1099" t="s">
        <v>26</v>
      </c>
      <c r="C1099">
        <v>59660</v>
      </c>
      <c r="D1099" t="s">
        <v>326</v>
      </c>
      <c r="E1099" s="7">
        <v>312</v>
      </c>
      <c r="F1099" t="s">
        <v>20</v>
      </c>
      <c r="G1099" t="s">
        <v>21</v>
      </c>
      <c r="H1099" t="str">
        <f>"18742954"</f>
        <v>18742954</v>
      </c>
      <c r="I1099" t="str">
        <f>"CYLINDER RENTAL"</f>
        <v>CYLINDER RENTAL</v>
      </c>
    </row>
    <row r="1100" spans="1:9" x14ac:dyDescent="0.25">
      <c r="A1100" s="6">
        <v>43445</v>
      </c>
      <c r="B1100" t="s">
        <v>26</v>
      </c>
      <c r="C1100">
        <v>59661</v>
      </c>
      <c r="D1100" t="s">
        <v>642</v>
      </c>
      <c r="E1100" s="7">
        <v>43.02</v>
      </c>
      <c r="F1100" t="s">
        <v>20</v>
      </c>
      <c r="G1100" t="s">
        <v>21</v>
      </c>
      <c r="H1100" t="str">
        <f>"12/2018"</f>
        <v>12/2018</v>
      </c>
      <c r="I1100" t="str">
        <f>"KARCHER NORTH AMERICA"</f>
        <v>KARCHER NORTH AMERICA</v>
      </c>
    </row>
    <row r="1101" spans="1:9" x14ac:dyDescent="0.25">
      <c r="A1101" s="6">
        <v>43445</v>
      </c>
      <c r="B1101" t="s">
        <v>26</v>
      </c>
      <c r="C1101">
        <v>59662</v>
      </c>
      <c r="D1101" t="s">
        <v>407</v>
      </c>
      <c r="E1101" s="7">
        <v>672.48</v>
      </c>
      <c r="F1101" t="s">
        <v>20</v>
      </c>
      <c r="G1101" t="s">
        <v>21</v>
      </c>
      <c r="H1101" t="str">
        <f>"9129637"</f>
        <v>9129637</v>
      </c>
      <c r="I1101" t="str">
        <f>"TARPS"</f>
        <v>TARPS</v>
      </c>
    </row>
    <row r="1102" spans="1:9" x14ac:dyDescent="0.25">
      <c r="A1102" s="6">
        <v>43445</v>
      </c>
      <c r="B1102" t="s">
        <v>26</v>
      </c>
      <c r="C1102">
        <v>59663</v>
      </c>
      <c r="D1102" t="s">
        <v>208</v>
      </c>
      <c r="E1102" s="7">
        <v>10890</v>
      </c>
      <c r="F1102" t="s">
        <v>20</v>
      </c>
      <c r="G1102" t="s">
        <v>21</v>
      </c>
      <c r="H1102" t="str">
        <f>"426086"</f>
        <v>426086</v>
      </c>
      <c r="I1102" t="str">
        <f>"CARLOS ORTIZ"</f>
        <v>CARLOS ORTIZ</v>
      </c>
    </row>
    <row r="1103" spans="1:9" x14ac:dyDescent="0.25">
      <c r="A1103" s="6">
        <v>43445</v>
      </c>
      <c r="B1103" t="s">
        <v>26</v>
      </c>
      <c r="C1103">
        <v>59664</v>
      </c>
      <c r="D1103" t="s">
        <v>398</v>
      </c>
      <c r="E1103" s="7">
        <v>110</v>
      </c>
      <c r="F1103" t="s">
        <v>20</v>
      </c>
      <c r="G1103" t="s">
        <v>21</v>
      </c>
      <c r="H1103" t="str">
        <f>"2011204"</f>
        <v>2011204</v>
      </c>
      <c r="I1103" t="str">
        <f>"INTERCEPTOR TECHNOLOGY GROUP L"</f>
        <v>INTERCEPTOR TECHNOLOGY GROUP L</v>
      </c>
    </row>
    <row r="1104" spans="1:9" x14ac:dyDescent="0.25">
      <c r="A1104" s="6">
        <v>43445</v>
      </c>
      <c r="B1104" t="s">
        <v>26</v>
      </c>
      <c r="C1104">
        <v>59664</v>
      </c>
      <c r="D1104" t="s">
        <v>398</v>
      </c>
      <c r="E1104" s="7">
        <v>110</v>
      </c>
      <c r="F1104" t="s">
        <v>20</v>
      </c>
      <c r="G1104" t="s">
        <v>21</v>
      </c>
      <c r="H1104" t="str">
        <f>"20181204"</f>
        <v>20181204</v>
      </c>
      <c r="I1104" t="str">
        <f>"INTERCEPTOR TECHNOLOGY GROUP L"</f>
        <v>INTERCEPTOR TECHNOLOGY GROUP L</v>
      </c>
    </row>
    <row r="1105" spans="1:9" x14ac:dyDescent="0.25">
      <c r="A1105" s="6">
        <v>43445</v>
      </c>
      <c r="B1105" t="s">
        <v>26</v>
      </c>
      <c r="C1105">
        <v>59665</v>
      </c>
      <c r="D1105" t="s">
        <v>415</v>
      </c>
      <c r="E1105" s="7">
        <v>303.25</v>
      </c>
      <c r="F1105" t="s">
        <v>20</v>
      </c>
      <c r="G1105" t="s">
        <v>21</v>
      </c>
      <c r="H1105" t="str">
        <f>"18025488"</f>
        <v>18025488</v>
      </c>
      <c r="I1105" t="str">
        <f>"TEXDOOR LTD"</f>
        <v>TEXDOOR LTD</v>
      </c>
    </row>
    <row r="1106" spans="1:9" x14ac:dyDescent="0.25">
      <c r="A1106" s="6">
        <v>43445</v>
      </c>
      <c r="B1106" t="s">
        <v>26</v>
      </c>
      <c r="C1106">
        <v>59666</v>
      </c>
      <c r="D1106" t="s">
        <v>528</v>
      </c>
      <c r="E1106" s="7">
        <v>147</v>
      </c>
      <c r="F1106" t="s">
        <v>20</v>
      </c>
      <c r="G1106" t="s">
        <v>21</v>
      </c>
      <c r="H1106" t="str">
        <f>"1927422"</f>
        <v>1927422</v>
      </c>
      <c r="I1106" t="str">
        <f>"PROSTAR SERVICES INC"</f>
        <v>PROSTAR SERVICES INC</v>
      </c>
    </row>
    <row r="1107" spans="1:9" x14ac:dyDescent="0.25">
      <c r="A1107" s="6">
        <v>43445</v>
      </c>
      <c r="B1107" t="s">
        <v>26</v>
      </c>
      <c r="C1107">
        <v>59667</v>
      </c>
      <c r="D1107" t="s">
        <v>554</v>
      </c>
      <c r="E1107" s="7">
        <v>74.95</v>
      </c>
      <c r="F1107" t="s">
        <v>20</v>
      </c>
      <c r="G1107" t="s">
        <v>21</v>
      </c>
      <c r="H1107" t="str">
        <f>"AA07290"</f>
        <v>AA07290</v>
      </c>
      <c r="I1107" t="str">
        <f>"TEXAS WIRED MUSIC"</f>
        <v>TEXAS WIRED MUSIC</v>
      </c>
    </row>
    <row r="1108" spans="1:9" x14ac:dyDescent="0.25">
      <c r="A1108" s="6">
        <v>43445</v>
      </c>
      <c r="B1108" t="s">
        <v>26</v>
      </c>
      <c r="C1108">
        <v>59668</v>
      </c>
      <c r="D1108" t="s">
        <v>643</v>
      </c>
      <c r="E1108" s="7">
        <v>645</v>
      </c>
      <c r="F1108" t="s">
        <v>20</v>
      </c>
      <c r="G1108" t="s">
        <v>21</v>
      </c>
      <c r="H1108" t="str">
        <f>"1128"</f>
        <v>1128</v>
      </c>
      <c r="I1108" t="str">
        <f>"MONIK FUNPICS CORPORATION"</f>
        <v>MONIK FUNPICS CORPORATION</v>
      </c>
    </row>
    <row r="1109" spans="1:9" x14ac:dyDescent="0.25">
      <c r="A1109" s="6">
        <v>43445</v>
      </c>
      <c r="B1109" t="s">
        <v>26</v>
      </c>
      <c r="C1109">
        <v>59669</v>
      </c>
      <c r="D1109" t="s">
        <v>644</v>
      </c>
      <c r="E1109" s="7">
        <v>575.88</v>
      </c>
      <c r="F1109" t="s">
        <v>20</v>
      </c>
      <c r="G1109" t="s">
        <v>21</v>
      </c>
      <c r="H1109" t="str">
        <f>"8213248439"</f>
        <v>8213248439</v>
      </c>
      <c r="I1109" t="str">
        <f t="shared" ref="I1109:I1114" si="11">"UNIFIRST CORPORATION"</f>
        <v>UNIFIRST CORPORATION</v>
      </c>
    </row>
    <row r="1110" spans="1:9" x14ac:dyDescent="0.25">
      <c r="A1110" s="6">
        <v>43445</v>
      </c>
      <c r="B1110" t="s">
        <v>26</v>
      </c>
      <c r="C1110">
        <v>59669</v>
      </c>
      <c r="D1110" t="s">
        <v>644</v>
      </c>
      <c r="E1110" s="7">
        <v>575.88</v>
      </c>
      <c r="F1110" t="s">
        <v>20</v>
      </c>
      <c r="G1110" t="s">
        <v>21</v>
      </c>
      <c r="H1110" t="str">
        <f>"8213248441"</f>
        <v>8213248441</v>
      </c>
      <c r="I1110" t="str">
        <f t="shared" si="11"/>
        <v>UNIFIRST CORPORATION</v>
      </c>
    </row>
    <row r="1111" spans="1:9" x14ac:dyDescent="0.25">
      <c r="A1111" s="6">
        <v>43445</v>
      </c>
      <c r="B1111" t="s">
        <v>26</v>
      </c>
      <c r="C1111">
        <v>59669</v>
      </c>
      <c r="D1111" t="s">
        <v>644</v>
      </c>
      <c r="E1111" s="7">
        <v>575.88</v>
      </c>
      <c r="F1111" t="s">
        <v>20</v>
      </c>
      <c r="G1111" t="s">
        <v>21</v>
      </c>
      <c r="H1111" t="str">
        <f>"8213248442"</f>
        <v>8213248442</v>
      </c>
      <c r="I1111" t="str">
        <f t="shared" si="11"/>
        <v>UNIFIRST CORPORATION</v>
      </c>
    </row>
    <row r="1112" spans="1:9" x14ac:dyDescent="0.25">
      <c r="A1112" s="6">
        <v>43445</v>
      </c>
      <c r="B1112" t="s">
        <v>26</v>
      </c>
      <c r="C1112">
        <v>59669</v>
      </c>
      <c r="D1112" t="s">
        <v>644</v>
      </c>
      <c r="E1112" s="7">
        <v>575.88</v>
      </c>
      <c r="F1112" t="s">
        <v>20</v>
      </c>
      <c r="G1112" t="s">
        <v>21</v>
      </c>
      <c r="H1112" t="str">
        <f>"8213248443"</f>
        <v>8213248443</v>
      </c>
      <c r="I1112" t="str">
        <f t="shared" si="11"/>
        <v>UNIFIRST CORPORATION</v>
      </c>
    </row>
    <row r="1113" spans="1:9" x14ac:dyDescent="0.25">
      <c r="A1113" s="6">
        <v>43445</v>
      </c>
      <c r="B1113" t="s">
        <v>26</v>
      </c>
      <c r="C1113">
        <v>59669</v>
      </c>
      <c r="D1113" t="s">
        <v>644</v>
      </c>
      <c r="E1113" s="7">
        <v>575.88</v>
      </c>
      <c r="F1113" t="s">
        <v>20</v>
      </c>
      <c r="G1113" t="s">
        <v>21</v>
      </c>
      <c r="H1113" t="str">
        <f>"8213248444"</f>
        <v>8213248444</v>
      </c>
      <c r="I1113" t="str">
        <f t="shared" si="11"/>
        <v>UNIFIRST CORPORATION</v>
      </c>
    </row>
    <row r="1114" spans="1:9" x14ac:dyDescent="0.25">
      <c r="A1114" s="6">
        <v>43445</v>
      </c>
      <c r="B1114" t="s">
        <v>26</v>
      </c>
      <c r="C1114">
        <v>59669</v>
      </c>
      <c r="D1114" t="s">
        <v>644</v>
      </c>
      <c r="E1114" s="7">
        <v>575.88</v>
      </c>
      <c r="F1114" t="s">
        <v>20</v>
      </c>
      <c r="G1114" t="s">
        <v>21</v>
      </c>
      <c r="H1114" t="str">
        <f>"8213248445"</f>
        <v>8213248445</v>
      </c>
      <c r="I1114" t="str">
        <f t="shared" si="11"/>
        <v>UNIFIRST CORPORATION</v>
      </c>
    </row>
    <row r="1115" spans="1:9" x14ac:dyDescent="0.25">
      <c r="A1115" s="6">
        <v>43446</v>
      </c>
      <c r="B1115" t="s">
        <v>26</v>
      </c>
      <c r="C1115">
        <v>59670</v>
      </c>
      <c r="D1115" t="s">
        <v>57</v>
      </c>
      <c r="E1115" s="7">
        <v>3000</v>
      </c>
      <c r="F1115" t="s">
        <v>20</v>
      </c>
      <c r="G1115" t="s">
        <v>21</v>
      </c>
      <c r="H1115" t="str">
        <f>"I0035652"</f>
        <v>I0035652</v>
      </c>
      <c r="I1115" t="str">
        <f>"F.E.L.P.S."</f>
        <v>F.E.L.P.S.</v>
      </c>
    </row>
    <row r="1116" spans="1:9" x14ac:dyDescent="0.25">
      <c r="A1116" s="6">
        <v>43446</v>
      </c>
      <c r="B1116" t="s">
        <v>26</v>
      </c>
      <c r="C1116">
        <v>59671</v>
      </c>
      <c r="D1116" t="s">
        <v>81</v>
      </c>
      <c r="E1116" s="7">
        <v>9800</v>
      </c>
      <c r="F1116" t="s">
        <v>20</v>
      </c>
      <c r="G1116" t="s">
        <v>21</v>
      </c>
      <c r="H1116" t="str">
        <f>"HOLIDAY EXTR. 2018"</f>
        <v>HOLIDAY EXTR. 2018</v>
      </c>
      <c r="I1116" t="str">
        <f>"CITY OF FLORESVILLE -PETTY CAS"</f>
        <v>CITY OF FLORESVILLE -PETTY CAS</v>
      </c>
    </row>
    <row r="1117" spans="1:9" x14ac:dyDescent="0.25">
      <c r="A1117" s="6">
        <v>43446</v>
      </c>
      <c r="B1117" t="s">
        <v>26</v>
      </c>
      <c r="C1117">
        <v>59672</v>
      </c>
      <c r="D1117" t="s">
        <v>308</v>
      </c>
      <c r="E1117" s="7">
        <v>256.35000000000002</v>
      </c>
      <c r="F1117" t="s">
        <v>20</v>
      </c>
      <c r="G1117" t="s">
        <v>21</v>
      </c>
      <c r="H1117" t="str">
        <f>"CDL TRNG 12/18"</f>
        <v>CDL TRNG 12/18</v>
      </c>
      <c r="I1117" t="str">
        <f>"JOHNNY VILLARREAL"</f>
        <v>JOHNNY VILLARREAL</v>
      </c>
    </row>
    <row r="1118" spans="1:9" x14ac:dyDescent="0.25">
      <c r="A1118" s="6">
        <v>43447</v>
      </c>
      <c r="B1118" t="s">
        <v>26</v>
      </c>
      <c r="C1118">
        <v>59673</v>
      </c>
      <c r="D1118" t="s">
        <v>205</v>
      </c>
      <c r="E1118" s="7">
        <v>2089.1999999999998</v>
      </c>
      <c r="F1118" t="s">
        <v>20</v>
      </c>
      <c r="G1118" t="s">
        <v>21</v>
      </c>
      <c r="H1118" t="str">
        <f>"12/15/18"</f>
        <v>12/15/18</v>
      </c>
      <c r="I1118" t="str">
        <f>"SILVER EAGLE DISTRIBUTORS"</f>
        <v>SILVER EAGLE DISTRIBUTORS</v>
      </c>
    </row>
    <row r="1119" spans="1:9" x14ac:dyDescent="0.25">
      <c r="A1119" s="6">
        <v>43451</v>
      </c>
      <c r="B1119" t="s">
        <v>26</v>
      </c>
      <c r="C1119">
        <v>59674</v>
      </c>
      <c r="D1119" t="s">
        <v>335</v>
      </c>
      <c r="E1119" s="7">
        <v>210</v>
      </c>
      <c r="F1119" t="s">
        <v>20</v>
      </c>
      <c r="G1119" t="s">
        <v>21</v>
      </c>
      <c r="H1119" t="str">
        <f>"HOLIDAY EXTR. 2018"</f>
        <v>HOLIDAY EXTR. 2018</v>
      </c>
      <c r="I1119" t="str">
        <f>"DEVIN KEEN"</f>
        <v>DEVIN KEEN</v>
      </c>
    </row>
    <row r="1120" spans="1:9" x14ac:dyDescent="0.25">
      <c r="A1120" s="6">
        <v>43452</v>
      </c>
      <c r="B1120" t="s">
        <v>26</v>
      </c>
      <c r="C1120">
        <v>59683</v>
      </c>
      <c r="D1120" t="s">
        <v>51</v>
      </c>
      <c r="E1120" s="7">
        <v>309.37</v>
      </c>
      <c r="F1120" t="s">
        <v>20</v>
      </c>
      <c r="G1120" t="s">
        <v>21</v>
      </c>
      <c r="H1120" t="str">
        <f>"CLE201812188503"</f>
        <v>CLE201812188503</v>
      </c>
      <c r="I1120" t="str">
        <f>"CLEAT ONLY DUES"</f>
        <v>CLEAT ONLY DUES</v>
      </c>
    </row>
    <row r="1121" spans="1:9" x14ac:dyDescent="0.25">
      <c r="A1121" s="6">
        <v>43452</v>
      </c>
      <c r="B1121" t="s">
        <v>26</v>
      </c>
      <c r="C1121">
        <v>59683</v>
      </c>
      <c r="D1121" t="s">
        <v>51</v>
      </c>
      <c r="E1121" s="7">
        <v>309.37</v>
      </c>
      <c r="F1121" t="s">
        <v>20</v>
      </c>
      <c r="G1121" t="s">
        <v>21</v>
      </c>
      <c r="H1121" t="str">
        <f>"PDD201812188503"</f>
        <v>PDD201812188503</v>
      </c>
      <c r="I1121" t="str">
        <f>"POLICE OFFICERS ASSOC DUES"</f>
        <v>POLICE OFFICERS ASSOC DUES</v>
      </c>
    </row>
    <row r="1122" spans="1:9" x14ac:dyDescent="0.25">
      <c r="A1122" s="6">
        <v>43452</v>
      </c>
      <c r="B1122" t="s">
        <v>91</v>
      </c>
      <c r="C1122">
        <v>59684</v>
      </c>
      <c r="D1122" t="s">
        <v>90</v>
      </c>
      <c r="E1122" s="7">
        <v>101.1</v>
      </c>
      <c r="F1122" t="s">
        <v>20</v>
      </c>
      <c r="G1122" t="s">
        <v>21</v>
      </c>
      <c r="H1122" t="str">
        <f>"AFS201812188503"</f>
        <v>AFS201812188503</v>
      </c>
      <c r="I1122" t="str">
        <f>"AFLAC STD"</f>
        <v>AFLAC STD</v>
      </c>
    </row>
    <row r="1123" spans="1:9" x14ac:dyDescent="0.25">
      <c r="A1123" s="6">
        <v>43452</v>
      </c>
      <c r="B1123" t="s">
        <v>91</v>
      </c>
      <c r="C1123">
        <v>59684</v>
      </c>
      <c r="D1123" t="s">
        <v>90</v>
      </c>
      <c r="E1123" s="7">
        <v>101.1</v>
      </c>
      <c r="F1123" t="s">
        <v>20</v>
      </c>
      <c r="G1123" t="s">
        <v>93</v>
      </c>
      <c r="H1123" t="str">
        <f>"CHECK"</f>
        <v>CHECK</v>
      </c>
      <c r="I1123" t="str">
        <f>""</f>
        <v/>
      </c>
    </row>
    <row r="1124" spans="1:9" x14ac:dyDescent="0.25">
      <c r="A1124" s="6">
        <v>43452</v>
      </c>
      <c r="B1124" t="s">
        <v>26</v>
      </c>
      <c r="C1124">
        <v>59685</v>
      </c>
      <c r="D1124" t="s">
        <v>52</v>
      </c>
      <c r="E1124" s="7">
        <v>1438.22</v>
      </c>
      <c r="F1124" t="s">
        <v>20</v>
      </c>
      <c r="G1124" t="s">
        <v>21</v>
      </c>
      <c r="H1124" t="str">
        <f>"CJD201812188503"</f>
        <v>CJD201812188503</v>
      </c>
      <c r="I1124" t="str">
        <f>"1371990918080637CV RUBI MUNOZ"</f>
        <v>1371990918080637CV RUBI MUNOZ</v>
      </c>
    </row>
    <row r="1125" spans="1:9" x14ac:dyDescent="0.25">
      <c r="A1125" s="6">
        <v>43452</v>
      </c>
      <c r="B1125" t="s">
        <v>26</v>
      </c>
      <c r="C1125">
        <v>59685</v>
      </c>
      <c r="D1125" t="s">
        <v>52</v>
      </c>
      <c r="E1125" s="7">
        <v>1438.22</v>
      </c>
      <c r="F1125" t="s">
        <v>20</v>
      </c>
      <c r="G1125" t="s">
        <v>21</v>
      </c>
      <c r="H1125" t="str">
        <f>"CPS201812188503"</f>
        <v>CPS201812188503</v>
      </c>
      <c r="I1125" t="str">
        <f>"G MENDOZA 00123012032010EM5054"</f>
        <v>G MENDOZA 00123012032010EM5054</v>
      </c>
    </row>
    <row r="1126" spans="1:9" x14ac:dyDescent="0.25">
      <c r="A1126" s="6">
        <v>43452</v>
      </c>
      <c r="B1126" t="s">
        <v>26</v>
      </c>
      <c r="C1126">
        <v>59685</v>
      </c>
      <c r="D1126" t="s">
        <v>52</v>
      </c>
      <c r="E1126" s="7">
        <v>1438.22</v>
      </c>
      <c r="F1126" t="s">
        <v>20</v>
      </c>
      <c r="G1126" t="s">
        <v>21</v>
      </c>
      <c r="H1126" t="str">
        <f>"CS 201812188503"</f>
        <v>CS 201812188503</v>
      </c>
      <c r="I1126" t="str">
        <f>"CAUSE#98EM504113 PEGGY RIVAS"</f>
        <v>CAUSE#98EM504113 PEGGY RIVAS</v>
      </c>
    </row>
    <row r="1127" spans="1:9" x14ac:dyDescent="0.25">
      <c r="A1127" s="6">
        <v>43452</v>
      </c>
      <c r="B1127" t="s">
        <v>26</v>
      </c>
      <c r="C1127">
        <v>59685</v>
      </c>
      <c r="D1127" t="s">
        <v>52</v>
      </c>
      <c r="E1127" s="7">
        <v>1438.22</v>
      </c>
      <c r="F1127" t="s">
        <v>20</v>
      </c>
      <c r="G1127" t="s">
        <v>21</v>
      </c>
      <c r="H1127" t="str">
        <f>"CSJ201812188503"</f>
        <v>CSJ201812188503</v>
      </c>
      <c r="I1127" t="str">
        <f>"CAUSE# 0010185272 MARIANN GUTI"</f>
        <v>CAUSE# 0010185272 MARIANN GUTI</v>
      </c>
    </row>
    <row r="1128" spans="1:9" x14ac:dyDescent="0.25">
      <c r="A1128" s="6">
        <v>43452</v>
      </c>
      <c r="B1128" t="s">
        <v>26</v>
      </c>
      <c r="C1128">
        <v>59686</v>
      </c>
      <c r="D1128" t="s">
        <v>53</v>
      </c>
      <c r="E1128" s="7">
        <v>99.1</v>
      </c>
      <c r="F1128" t="s">
        <v>20</v>
      </c>
      <c r="G1128" t="s">
        <v>21</v>
      </c>
      <c r="H1128" t="str">
        <f>"MCO201812188503"</f>
        <v>MCO201812188503</v>
      </c>
      <c r="I1128" t="str">
        <f>"MONICA CORDOVA"</f>
        <v>MONICA CORDOVA</v>
      </c>
    </row>
    <row r="1129" spans="1:9" x14ac:dyDescent="0.25">
      <c r="A1129" s="6">
        <v>43452</v>
      </c>
      <c r="B1129" t="s">
        <v>26</v>
      </c>
      <c r="C1129">
        <v>59687</v>
      </c>
      <c r="D1129" t="s">
        <v>54</v>
      </c>
      <c r="E1129" s="7">
        <v>977.1</v>
      </c>
      <c r="F1129" t="s">
        <v>20</v>
      </c>
      <c r="G1129" t="s">
        <v>21</v>
      </c>
      <c r="H1129" t="str">
        <f>"457201812188503"</f>
        <v>457201812188503</v>
      </c>
      <c r="I1129" t="str">
        <f>"CASE # 180-60751 457B DEDUCT"</f>
        <v>CASE # 180-60751 457B DEDUCT</v>
      </c>
    </row>
    <row r="1130" spans="1:9" x14ac:dyDescent="0.25">
      <c r="A1130" s="6">
        <v>43452</v>
      </c>
      <c r="B1130" t="s">
        <v>26</v>
      </c>
      <c r="C1130">
        <v>59688</v>
      </c>
      <c r="D1130" t="s">
        <v>102</v>
      </c>
      <c r="E1130" s="7">
        <v>338.84</v>
      </c>
      <c r="F1130" t="s">
        <v>20</v>
      </c>
      <c r="G1130" t="s">
        <v>21</v>
      </c>
      <c r="H1130" t="str">
        <f>"1ST ST 12/18"</f>
        <v>1ST ST 12/18</v>
      </c>
      <c r="I1130" t="str">
        <f>"CENTERPOINT ENERGY ENTEX"</f>
        <v>CENTERPOINT ENERGY ENTEX</v>
      </c>
    </row>
    <row r="1131" spans="1:9" x14ac:dyDescent="0.25">
      <c r="A1131" s="6">
        <v>43452</v>
      </c>
      <c r="B1131" t="s">
        <v>26</v>
      </c>
      <c r="C1131">
        <v>59688</v>
      </c>
      <c r="D1131" t="s">
        <v>102</v>
      </c>
      <c r="E1131" s="7">
        <v>338.84</v>
      </c>
      <c r="F1131" t="s">
        <v>20</v>
      </c>
      <c r="G1131" t="s">
        <v>21</v>
      </c>
      <c r="H1131" t="str">
        <f>"1ST STREET 12/18"</f>
        <v>1ST STREET 12/18</v>
      </c>
      <c r="I1131" t="str">
        <f>"CENTERPOINT ENERGY ENTEX"</f>
        <v>CENTERPOINT ENERGY ENTEX</v>
      </c>
    </row>
    <row r="1132" spans="1:9" x14ac:dyDescent="0.25">
      <c r="A1132" s="6">
        <v>43452</v>
      </c>
      <c r="B1132" t="s">
        <v>26</v>
      </c>
      <c r="C1132">
        <v>59688</v>
      </c>
      <c r="D1132" t="s">
        <v>102</v>
      </c>
      <c r="E1132" s="7">
        <v>338.84</v>
      </c>
      <c r="F1132" t="s">
        <v>20</v>
      </c>
      <c r="G1132" t="s">
        <v>21</v>
      </c>
      <c r="H1132" t="str">
        <f>"C ST. 12/18"</f>
        <v>C ST. 12/18</v>
      </c>
      <c r="I1132" t="str">
        <f>"CENTERPOINT ENERGY ENTEX"</f>
        <v>CENTERPOINT ENERGY ENTEX</v>
      </c>
    </row>
    <row r="1133" spans="1:9" x14ac:dyDescent="0.25">
      <c r="A1133" s="6">
        <v>43452</v>
      </c>
      <c r="B1133" t="s">
        <v>26</v>
      </c>
      <c r="C1133">
        <v>59688</v>
      </c>
      <c r="D1133" t="s">
        <v>102</v>
      </c>
      <c r="E1133" s="7">
        <v>338.84</v>
      </c>
      <c r="F1133" t="s">
        <v>20</v>
      </c>
      <c r="G1133" t="s">
        <v>21</v>
      </c>
      <c r="H1133" t="str">
        <f>"D ST. 12/18"</f>
        <v>D ST. 12/18</v>
      </c>
      <c r="I1133" t="str">
        <f>"CENTERPOINT ENERGY ENTEX"</f>
        <v>CENTERPOINT ENERGY ENTEX</v>
      </c>
    </row>
    <row r="1134" spans="1:9" x14ac:dyDescent="0.25">
      <c r="A1134" s="6">
        <v>43452</v>
      </c>
      <c r="B1134" t="s">
        <v>26</v>
      </c>
      <c r="C1134">
        <v>59689</v>
      </c>
      <c r="D1134" t="s">
        <v>57</v>
      </c>
      <c r="E1134" s="7">
        <v>6483.28</v>
      </c>
      <c r="F1134" t="s">
        <v>20</v>
      </c>
      <c r="G1134" t="s">
        <v>21</v>
      </c>
      <c r="H1134" t="str">
        <f>"11617 12/18"</f>
        <v>11617 12/18</v>
      </c>
      <c r="I1134" t="str">
        <f>"F.E.L.P.S."</f>
        <v>F.E.L.P.S.</v>
      </c>
    </row>
    <row r="1135" spans="1:9" x14ac:dyDescent="0.25">
      <c r="A1135" s="6">
        <v>43452</v>
      </c>
      <c r="B1135" t="s">
        <v>26</v>
      </c>
      <c r="C1135">
        <v>59689</v>
      </c>
      <c r="D1135" t="s">
        <v>57</v>
      </c>
      <c r="E1135" s="7">
        <v>6483.28</v>
      </c>
      <c r="F1135" t="s">
        <v>20</v>
      </c>
      <c r="G1135" t="s">
        <v>21</v>
      </c>
      <c r="H1135" t="str">
        <f>"33062 12/18"</f>
        <v>33062 12/18</v>
      </c>
      <c r="I1135" t="str">
        <f>"F.E.L.P.S."</f>
        <v>F.E.L.P.S.</v>
      </c>
    </row>
    <row r="1136" spans="1:9" x14ac:dyDescent="0.25">
      <c r="A1136" s="6">
        <v>43452</v>
      </c>
      <c r="B1136" t="s">
        <v>26</v>
      </c>
      <c r="C1136">
        <v>59690</v>
      </c>
      <c r="D1136" t="s">
        <v>103</v>
      </c>
      <c r="E1136" s="7">
        <v>81212</v>
      </c>
      <c r="F1136" t="s">
        <v>20</v>
      </c>
      <c r="G1136" t="s">
        <v>21</v>
      </c>
      <c r="H1136" t="str">
        <f>"5418FEDC SALES TAX"</f>
        <v>5418FEDC SALES TAX</v>
      </c>
      <c r="I1136" t="str">
        <f>"F. E. D. C."</f>
        <v>F. E. D. C.</v>
      </c>
    </row>
    <row r="1137" spans="1:9" x14ac:dyDescent="0.25">
      <c r="A1137" s="6">
        <v>43452</v>
      </c>
      <c r="B1137" t="s">
        <v>91</v>
      </c>
      <c r="C1137">
        <v>59691</v>
      </c>
      <c r="D1137" t="s">
        <v>104</v>
      </c>
      <c r="E1137" s="7">
        <v>954</v>
      </c>
      <c r="F1137" t="s">
        <v>20</v>
      </c>
      <c r="G1137" t="s">
        <v>21</v>
      </c>
      <c r="H1137" t="str">
        <f>"1346871010*"</f>
        <v>1346871010*</v>
      </c>
      <c r="I1137" t="str">
        <f>"WILSON COUNTY NEWS"</f>
        <v>WILSON COUNTY NEWS</v>
      </c>
    </row>
    <row r="1138" spans="1:9" x14ac:dyDescent="0.25">
      <c r="A1138" s="6">
        <v>43452</v>
      </c>
      <c r="B1138" t="s">
        <v>91</v>
      </c>
      <c r="C1138">
        <v>59691</v>
      </c>
      <c r="D1138" t="s">
        <v>104</v>
      </c>
      <c r="E1138" s="7">
        <v>954</v>
      </c>
      <c r="F1138" t="s">
        <v>20</v>
      </c>
      <c r="G1138" t="s">
        <v>93</v>
      </c>
      <c r="H1138" t="str">
        <f>"CHECK"</f>
        <v>CHECK</v>
      </c>
      <c r="I1138" t="str">
        <f>""</f>
        <v/>
      </c>
    </row>
    <row r="1139" spans="1:9" x14ac:dyDescent="0.25">
      <c r="A1139" s="6">
        <v>43452</v>
      </c>
      <c r="B1139" t="s">
        <v>26</v>
      </c>
      <c r="C1139">
        <v>59692</v>
      </c>
      <c r="D1139" t="s">
        <v>59</v>
      </c>
      <c r="E1139" s="7">
        <v>5610.29</v>
      </c>
      <c r="F1139" t="s">
        <v>20</v>
      </c>
      <c r="G1139" t="s">
        <v>21</v>
      </c>
      <c r="H1139" t="str">
        <f>"0992753"</f>
        <v>0992753</v>
      </c>
      <c r="I1139" t="str">
        <f>"PIPES  CONNECTIONS  ETC."</f>
        <v>PIPES  CONNECTIONS  ETC.</v>
      </c>
    </row>
    <row r="1140" spans="1:9" x14ac:dyDescent="0.25">
      <c r="A1140" s="6">
        <v>43452</v>
      </c>
      <c r="B1140" t="s">
        <v>26</v>
      </c>
      <c r="C1140">
        <v>59692</v>
      </c>
      <c r="D1140" t="s">
        <v>59</v>
      </c>
      <c r="E1140" s="7">
        <v>5610.29</v>
      </c>
      <c r="F1140" t="s">
        <v>20</v>
      </c>
      <c r="G1140" t="s">
        <v>21</v>
      </c>
      <c r="H1140" t="str">
        <f>"0993171"</f>
        <v>0993171</v>
      </c>
      <c r="I1140" t="str">
        <f>"BOOTS FOR STAFF"</f>
        <v>BOOTS FOR STAFF</v>
      </c>
    </row>
    <row r="1141" spans="1:9" x14ac:dyDescent="0.25">
      <c r="A1141" s="6">
        <v>43452</v>
      </c>
      <c r="B1141" t="s">
        <v>26</v>
      </c>
      <c r="C1141">
        <v>59695</v>
      </c>
      <c r="D1141" t="s">
        <v>105</v>
      </c>
      <c r="E1141" s="7">
        <v>49</v>
      </c>
      <c r="F1141" t="s">
        <v>20</v>
      </c>
      <c r="G1141" t="s">
        <v>21</v>
      </c>
      <c r="H1141" t="str">
        <f>"308151"</f>
        <v>308151</v>
      </c>
      <c r="I1141" t="str">
        <f>"INSPECTION STICKERS"</f>
        <v>INSPECTION STICKERS</v>
      </c>
    </row>
    <row r="1142" spans="1:9" x14ac:dyDescent="0.25">
      <c r="A1142" s="6">
        <v>43452</v>
      </c>
      <c r="B1142" t="s">
        <v>26</v>
      </c>
      <c r="C1142">
        <v>59695</v>
      </c>
      <c r="D1142" t="s">
        <v>105</v>
      </c>
      <c r="E1142" s="7">
        <v>49</v>
      </c>
      <c r="F1142" t="s">
        <v>20</v>
      </c>
      <c r="G1142" t="s">
        <v>21</v>
      </c>
      <c r="H1142" t="str">
        <f>"308509"</f>
        <v>308509</v>
      </c>
      <c r="I1142" t="str">
        <f>"INSPECTION STICKERS"</f>
        <v>INSPECTION STICKERS</v>
      </c>
    </row>
    <row r="1143" spans="1:9" x14ac:dyDescent="0.25">
      <c r="A1143" s="6">
        <v>43452</v>
      </c>
      <c r="B1143" t="s">
        <v>26</v>
      </c>
      <c r="C1143">
        <v>59695</v>
      </c>
      <c r="D1143" t="s">
        <v>105</v>
      </c>
      <c r="E1143" s="7">
        <v>49</v>
      </c>
      <c r="F1143" t="s">
        <v>20</v>
      </c>
      <c r="G1143" t="s">
        <v>21</v>
      </c>
      <c r="H1143" t="str">
        <f>"308521"</f>
        <v>308521</v>
      </c>
      <c r="I1143" t="str">
        <f>"INSPECTION STICKERS"</f>
        <v>INSPECTION STICKERS</v>
      </c>
    </row>
    <row r="1144" spans="1:9" x14ac:dyDescent="0.25">
      <c r="A1144" s="6">
        <v>43452</v>
      </c>
      <c r="B1144" t="s">
        <v>26</v>
      </c>
      <c r="C1144">
        <v>59695</v>
      </c>
      <c r="D1144" t="s">
        <v>105</v>
      </c>
      <c r="E1144" s="7">
        <v>49</v>
      </c>
      <c r="F1144" t="s">
        <v>20</v>
      </c>
      <c r="G1144" t="s">
        <v>21</v>
      </c>
      <c r="H1144" t="str">
        <f>"308544"</f>
        <v>308544</v>
      </c>
      <c r="I1144" t="str">
        <f>"INSPECTION STICKERS"</f>
        <v>INSPECTION STICKERS</v>
      </c>
    </row>
    <row r="1145" spans="1:9" x14ac:dyDescent="0.25">
      <c r="A1145" s="6">
        <v>43452</v>
      </c>
      <c r="B1145" t="s">
        <v>26</v>
      </c>
      <c r="C1145">
        <v>59695</v>
      </c>
      <c r="D1145" t="s">
        <v>105</v>
      </c>
      <c r="E1145" s="7">
        <v>49</v>
      </c>
      <c r="F1145" t="s">
        <v>20</v>
      </c>
      <c r="G1145" t="s">
        <v>21</v>
      </c>
      <c r="H1145" t="str">
        <f>"308545"</f>
        <v>308545</v>
      </c>
      <c r="I1145" t="str">
        <f>"INSPECTION STICKERS"</f>
        <v>INSPECTION STICKERS</v>
      </c>
    </row>
    <row r="1146" spans="1:9" x14ac:dyDescent="0.25">
      <c r="A1146" s="6">
        <v>43452</v>
      </c>
      <c r="B1146" t="s">
        <v>26</v>
      </c>
      <c r="C1146">
        <v>59695</v>
      </c>
      <c r="D1146" t="s">
        <v>105</v>
      </c>
      <c r="E1146" s="7">
        <v>49</v>
      </c>
      <c r="F1146" t="s">
        <v>20</v>
      </c>
      <c r="G1146" t="s">
        <v>21</v>
      </c>
      <c r="H1146" t="str">
        <f>"308958"</f>
        <v>308958</v>
      </c>
      <c r="I1146" t="str">
        <f>"STATE INSPECTION"</f>
        <v>STATE INSPECTION</v>
      </c>
    </row>
    <row r="1147" spans="1:9" x14ac:dyDescent="0.25">
      <c r="A1147" s="6">
        <v>43452</v>
      </c>
      <c r="B1147" t="s">
        <v>26</v>
      </c>
      <c r="C1147">
        <v>59695</v>
      </c>
      <c r="D1147" t="s">
        <v>105</v>
      </c>
      <c r="E1147" s="7">
        <v>49</v>
      </c>
      <c r="F1147" t="s">
        <v>20</v>
      </c>
      <c r="G1147" t="s">
        <v>21</v>
      </c>
      <c r="H1147" t="str">
        <f>"309356"</f>
        <v>309356</v>
      </c>
      <c r="I1147" t="str">
        <f>"INSPECTION STICKERS"</f>
        <v>INSPECTION STICKERS</v>
      </c>
    </row>
    <row r="1148" spans="1:9" x14ac:dyDescent="0.25">
      <c r="A1148" s="6">
        <v>43452</v>
      </c>
      <c r="B1148" t="s">
        <v>26</v>
      </c>
      <c r="C1148">
        <v>59697</v>
      </c>
      <c r="D1148" t="s">
        <v>250</v>
      </c>
      <c r="E1148" s="7">
        <v>485.31</v>
      </c>
      <c r="F1148" t="s">
        <v>20</v>
      </c>
      <c r="G1148" t="s">
        <v>21</v>
      </c>
      <c r="H1148" t="str">
        <f>"C119071"</f>
        <v>C119071</v>
      </c>
      <c r="I1148" t="str">
        <f>"MATERA PAPER CO  LTD."</f>
        <v>MATERA PAPER CO  LTD.</v>
      </c>
    </row>
    <row r="1149" spans="1:9" x14ac:dyDescent="0.25">
      <c r="A1149" s="6">
        <v>43452</v>
      </c>
      <c r="B1149" t="s">
        <v>26</v>
      </c>
      <c r="C1149">
        <v>59697</v>
      </c>
      <c r="D1149" t="s">
        <v>250</v>
      </c>
      <c r="E1149" s="7">
        <v>485.31</v>
      </c>
      <c r="F1149" t="s">
        <v>20</v>
      </c>
      <c r="G1149" t="s">
        <v>21</v>
      </c>
      <c r="H1149" t="str">
        <f>"C119071A"</f>
        <v>C119071A</v>
      </c>
      <c r="I1149" t="str">
        <f>"MATERA PAPER CO  LTD."</f>
        <v>MATERA PAPER CO  LTD.</v>
      </c>
    </row>
    <row r="1150" spans="1:9" x14ac:dyDescent="0.25">
      <c r="A1150" s="6">
        <v>43452</v>
      </c>
      <c r="B1150" t="s">
        <v>26</v>
      </c>
      <c r="C1150">
        <v>59697</v>
      </c>
      <c r="D1150" t="s">
        <v>250</v>
      </c>
      <c r="E1150" s="7">
        <v>485.31</v>
      </c>
      <c r="F1150" t="s">
        <v>20</v>
      </c>
      <c r="G1150" t="s">
        <v>21</v>
      </c>
      <c r="H1150" t="str">
        <f>"C119213"</f>
        <v>C119213</v>
      </c>
      <c r="I1150" t="str">
        <f>"MATERA PAPER CO  LTD."</f>
        <v>MATERA PAPER CO  LTD.</v>
      </c>
    </row>
    <row r="1151" spans="1:9" x14ac:dyDescent="0.25">
      <c r="A1151" s="6">
        <v>43452</v>
      </c>
      <c r="B1151" t="s">
        <v>26</v>
      </c>
      <c r="C1151">
        <v>59698</v>
      </c>
      <c r="D1151" t="s">
        <v>273</v>
      </c>
      <c r="E1151" s="7">
        <v>1981.57</v>
      </c>
      <c r="F1151" t="s">
        <v>20</v>
      </c>
      <c r="G1151" t="s">
        <v>21</v>
      </c>
      <c r="H1151" t="str">
        <f>"5119-000086182"</f>
        <v>5119-000086182</v>
      </c>
      <c r="I1151" t="str">
        <f>"REPUBLIC SERVICES TESSMAN ROAD"</f>
        <v>REPUBLIC SERVICES TESSMAN ROAD</v>
      </c>
    </row>
    <row r="1152" spans="1:9" x14ac:dyDescent="0.25">
      <c r="A1152" s="6">
        <v>43452</v>
      </c>
      <c r="B1152" t="s">
        <v>26</v>
      </c>
      <c r="C1152">
        <v>59699</v>
      </c>
      <c r="D1152" t="s">
        <v>180</v>
      </c>
      <c r="E1152" s="7">
        <v>193.45</v>
      </c>
      <c r="F1152" t="s">
        <v>20</v>
      </c>
      <c r="G1152" t="s">
        <v>21</v>
      </c>
      <c r="H1152" t="str">
        <f>"121719-121720"</f>
        <v>121719-121720</v>
      </c>
      <c r="I1152" t="str">
        <f>"PLUMBING PARTS"</f>
        <v>PLUMBING PARTS</v>
      </c>
    </row>
    <row r="1153" spans="1:9" x14ac:dyDescent="0.25">
      <c r="A1153" s="6">
        <v>43452</v>
      </c>
      <c r="B1153" t="s">
        <v>26</v>
      </c>
      <c r="C1153">
        <v>59700</v>
      </c>
      <c r="D1153" t="s">
        <v>203</v>
      </c>
      <c r="E1153" s="7">
        <v>105.67</v>
      </c>
      <c r="F1153" t="s">
        <v>20</v>
      </c>
      <c r="G1153" t="s">
        <v>21</v>
      </c>
      <c r="H1153" t="str">
        <f>"722622"</f>
        <v>722622</v>
      </c>
      <c r="I1153" t="str">
        <f>"USA BLUEBOOK"</f>
        <v>USA BLUEBOOK</v>
      </c>
    </row>
    <row r="1154" spans="1:9" x14ac:dyDescent="0.25">
      <c r="A1154" s="6">
        <v>43452</v>
      </c>
      <c r="B1154" t="s">
        <v>26</v>
      </c>
      <c r="C1154">
        <v>59701</v>
      </c>
      <c r="D1154" t="s">
        <v>340</v>
      </c>
      <c r="E1154" s="7">
        <v>315.54000000000002</v>
      </c>
      <c r="F1154" t="s">
        <v>20</v>
      </c>
      <c r="G1154" t="s">
        <v>21</v>
      </c>
      <c r="H1154" t="str">
        <f>"181-360529"</f>
        <v>181-360529</v>
      </c>
      <c r="I1154" t="str">
        <f>"WHEEL CYLINDERS"</f>
        <v>WHEEL CYLINDERS</v>
      </c>
    </row>
    <row r="1155" spans="1:9" x14ac:dyDescent="0.25">
      <c r="A1155" s="6">
        <v>43452</v>
      </c>
      <c r="B1155" t="s">
        <v>26</v>
      </c>
      <c r="C1155">
        <v>59701</v>
      </c>
      <c r="D1155" t="s">
        <v>340</v>
      </c>
      <c r="E1155" s="7">
        <v>315.54000000000002</v>
      </c>
      <c r="F1155" t="s">
        <v>20</v>
      </c>
      <c r="G1155" t="s">
        <v>21</v>
      </c>
      <c r="H1155" t="str">
        <f>"1810-360533"</f>
        <v>1810-360533</v>
      </c>
      <c r="I1155" t="str">
        <f>"BATTERY GEAR LUBE"</f>
        <v>BATTERY GEAR LUBE</v>
      </c>
    </row>
    <row r="1156" spans="1:9" x14ac:dyDescent="0.25">
      <c r="A1156" s="6">
        <v>43452</v>
      </c>
      <c r="B1156" t="s">
        <v>26</v>
      </c>
      <c r="C1156">
        <v>59702</v>
      </c>
      <c r="D1156" t="s">
        <v>63</v>
      </c>
      <c r="E1156" s="7">
        <v>297</v>
      </c>
      <c r="F1156" t="s">
        <v>20</v>
      </c>
      <c r="G1156" t="s">
        <v>21</v>
      </c>
      <c r="H1156" t="str">
        <f>"8403937201"</f>
        <v>8403937201</v>
      </c>
      <c r="I1156" t="str">
        <f>"CINTAS CORPORATION"</f>
        <v>CINTAS CORPORATION</v>
      </c>
    </row>
    <row r="1157" spans="1:9" x14ac:dyDescent="0.25">
      <c r="A1157" s="6">
        <v>43452</v>
      </c>
      <c r="B1157" t="s">
        <v>26</v>
      </c>
      <c r="C1157">
        <v>59703</v>
      </c>
      <c r="D1157" t="s">
        <v>569</v>
      </c>
      <c r="E1157" s="7">
        <v>365.08</v>
      </c>
      <c r="F1157" t="s">
        <v>20</v>
      </c>
      <c r="G1157" t="s">
        <v>21</v>
      </c>
      <c r="H1157" t="str">
        <f>"IN47983"</f>
        <v>IN47983</v>
      </c>
      <c r="I1157" t="str">
        <f>"CRACKSEALER"</f>
        <v>CRACKSEALER</v>
      </c>
    </row>
    <row r="1158" spans="1:9" x14ac:dyDescent="0.25">
      <c r="A1158" s="6">
        <v>43452</v>
      </c>
      <c r="B1158" t="s">
        <v>26</v>
      </c>
      <c r="C1158">
        <v>59704</v>
      </c>
      <c r="D1158" t="s">
        <v>213</v>
      </c>
      <c r="E1158" s="7">
        <v>222498.16</v>
      </c>
      <c r="F1158" t="s">
        <v>20</v>
      </c>
      <c r="G1158" t="s">
        <v>21</v>
      </c>
      <c r="H1158" t="str">
        <f>"NOV 2018"</f>
        <v>NOV 2018</v>
      </c>
      <c r="I1158" t="str">
        <f>"RIVER BEND COMMUNITY DEVELOPME"</f>
        <v>RIVER BEND COMMUNITY DEVELOPME</v>
      </c>
    </row>
    <row r="1159" spans="1:9" x14ac:dyDescent="0.25">
      <c r="A1159" s="6">
        <v>43452</v>
      </c>
      <c r="B1159" t="s">
        <v>26</v>
      </c>
      <c r="C1159">
        <v>59704</v>
      </c>
      <c r="D1159" t="s">
        <v>213</v>
      </c>
      <c r="E1159" s="7">
        <v>222498.16</v>
      </c>
      <c r="F1159" t="s">
        <v>20</v>
      </c>
      <c r="G1159" t="s">
        <v>21</v>
      </c>
      <c r="H1159" t="str">
        <f>"OCT 2018"</f>
        <v>OCT 2018</v>
      </c>
      <c r="I1159" t="str">
        <f>"RIVER BEND COMMUNITY DEVELOPME"</f>
        <v>RIVER BEND COMMUNITY DEVELOPME</v>
      </c>
    </row>
    <row r="1160" spans="1:9" x14ac:dyDescent="0.25">
      <c r="A1160" s="6">
        <v>43452</v>
      </c>
      <c r="B1160" t="s">
        <v>26</v>
      </c>
      <c r="C1160">
        <v>59705</v>
      </c>
      <c r="D1160" t="s">
        <v>66</v>
      </c>
      <c r="E1160" s="7">
        <v>340</v>
      </c>
      <c r="F1160" t="s">
        <v>20</v>
      </c>
      <c r="G1160" t="s">
        <v>21</v>
      </c>
      <c r="H1160" t="str">
        <f>"54153"</f>
        <v>54153</v>
      </c>
      <c r="I1160" t="str">
        <f>"LOPEZ EXTERMINATING SERVICE  I"</f>
        <v>LOPEZ EXTERMINATING SERVICE  I</v>
      </c>
    </row>
    <row r="1161" spans="1:9" x14ac:dyDescent="0.25">
      <c r="A1161" s="6">
        <v>43452</v>
      </c>
      <c r="B1161" t="s">
        <v>26</v>
      </c>
      <c r="C1161">
        <v>59706</v>
      </c>
      <c r="D1161" t="s">
        <v>119</v>
      </c>
      <c r="E1161" s="7">
        <v>695.56</v>
      </c>
      <c r="F1161" t="s">
        <v>20</v>
      </c>
      <c r="G1161" t="s">
        <v>21</v>
      </c>
      <c r="H1161" t="str">
        <f>"48806"</f>
        <v>48806</v>
      </c>
      <c r="I1161" t="str">
        <f>"TIRES"</f>
        <v>TIRES</v>
      </c>
    </row>
    <row r="1162" spans="1:9" x14ac:dyDescent="0.25">
      <c r="A1162" s="6">
        <v>43452</v>
      </c>
      <c r="B1162" t="s">
        <v>26</v>
      </c>
      <c r="C1162">
        <v>59707</v>
      </c>
      <c r="D1162" t="s">
        <v>120</v>
      </c>
      <c r="E1162" s="7">
        <v>1813.66</v>
      </c>
      <c r="F1162" t="s">
        <v>20</v>
      </c>
      <c r="G1162" t="s">
        <v>21</v>
      </c>
      <c r="H1162" t="str">
        <f>"70979023"</f>
        <v>70979023</v>
      </c>
      <c r="I1162" t="str">
        <f>"VERIZON BUSINESS"</f>
        <v>VERIZON BUSINESS</v>
      </c>
    </row>
    <row r="1163" spans="1:9" x14ac:dyDescent="0.25">
      <c r="A1163" s="6">
        <v>43452</v>
      </c>
      <c r="B1163" t="s">
        <v>26</v>
      </c>
      <c r="C1163">
        <v>59707</v>
      </c>
      <c r="D1163" t="s">
        <v>120</v>
      </c>
      <c r="E1163" s="7">
        <v>1813.66</v>
      </c>
      <c r="F1163" t="s">
        <v>20</v>
      </c>
      <c r="G1163" t="s">
        <v>21</v>
      </c>
      <c r="H1163" t="str">
        <f>"70979024"</f>
        <v>70979024</v>
      </c>
      <c r="I1163" t="str">
        <f>"VERIZON BUSINESS"</f>
        <v>VERIZON BUSINESS</v>
      </c>
    </row>
    <row r="1164" spans="1:9" x14ac:dyDescent="0.25">
      <c r="A1164" s="6">
        <v>43452</v>
      </c>
      <c r="B1164" t="s">
        <v>26</v>
      </c>
      <c r="C1164">
        <v>59708</v>
      </c>
      <c r="D1164" t="s">
        <v>248</v>
      </c>
      <c r="E1164" s="7">
        <v>180</v>
      </c>
      <c r="F1164" t="s">
        <v>20</v>
      </c>
      <c r="G1164" t="s">
        <v>21</v>
      </c>
      <c r="H1164" t="str">
        <f>"1010532352"</f>
        <v>1010532352</v>
      </c>
      <c r="I1164" t="str">
        <f>"PITNEY BOWES"</f>
        <v>PITNEY BOWES</v>
      </c>
    </row>
    <row r="1165" spans="1:9" x14ac:dyDescent="0.25">
      <c r="A1165" s="6">
        <v>43452</v>
      </c>
      <c r="B1165" t="s">
        <v>26</v>
      </c>
      <c r="C1165">
        <v>59709</v>
      </c>
      <c r="D1165" t="s">
        <v>159</v>
      </c>
      <c r="E1165" s="7">
        <v>776.4</v>
      </c>
      <c r="F1165" t="s">
        <v>20</v>
      </c>
      <c r="G1165" t="s">
        <v>21</v>
      </c>
      <c r="H1165" t="str">
        <f>"37859"</f>
        <v>37859</v>
      </c>
      <c r="I1165" t="str">
        <f>"PHOTOGRAPHS BY JIM"</f>
        <v>PHOTOGRAPHS BY JIM</v>
      </c>
    </row>
    <row r="1166" spans="1:9" x14ac:dyDescent="0.25">
      <c r="A1166" s="6">
        <v>43452</v>
      </c>
      <c r="B1166" t="s">
        <v>26</v>
      </c>
      <c r="C1166">
        <v>59710</v>
      </c>
      <c r="D1166" t="s">
        <v>71</v>
      </c>
      <c r="E1166" s="7">
        <v>475.89</v>
      </c>
      <c r="F1166" t="s">
        <v>20</v>
      </c>
      <c r="G1166" t="s">
        <v>21</v>
      </c>
      <c r="H1166" t="str">
        <f>"4012999240"</f>
        <v>4012999240</v>
      </c>
      <c r="I1166" t="str">
        <f>"CINTAS CORPORATION #087"</f>
        <v>CINTAS CORPORATION #087</v>
      </c>
    </row>
    <row r="1167" spans="1:9" x14ac:dyDescent="0.25">
      <c r="A1167" s="6">
        <v>43452</v>
      </c>
      <c r="B1167" t="s">
        <v>26</v>
      </c>
      <c r="C1167">
        <v>59710</v>
      </c>
      <c r="D1167" t="s">
        <v>71</v>
      </c>
      <c r="E1167" s="7">
        <v>475.89</v>
      </c>
      <c r="F1167" t="s">
        <v>20</v>
      </c>
      <c r="G1167" t="s">
        <v>21</v>
      </c>
      <c r="H1167" t="str">
        <f>"4012999924"</f>
        <v>4012999924</v>
      </c>
      <c r="I1167" t="str">
        <f>"CINTAS CORPORATION #087"</f>
        <v>CINTAS CORPORATION #087</v>
      </c>
    </row>
    <row r="1168" spans="1:9" x14ac:dyDescent="0.25">
      <c r="A1168" s="6">
        <v>43452</v>
      </c>
      <c r="B1168" t="s">
        <v>26</v>
      </c>
      <c r="C1168">
        <v>59710</v>
      </c>
      <c r="D1168" t="s">
        <v>71</v>
      </c>
      <c r="E1168" s="7">
        <v>475.89</v>
      </c>
      <c r="F1168" t="s">
        <v>20</v>
      </c>
      <c r="G1168" t="s">
        <v>21</v>
      </c>
      <c r="H1168" t="str">
        <f>"4013312521"</f>
        <v>4013312521</v>
      </c>
      <c r="I1168" t="str">
        <f>"CINTAS CORPORATION #087"</f>
        <v>CINTAS CORPORATION #087</v>
      </c>
    </row>
    <row r="1169" spans="1:9" x14ac:dyDescent="0.25">
      <c r="A1169" s="6">
        <v>43452</v>
      </c>
      <c r="B1169" t="s">
        <v>26</v>
      </c>
      <c r="C1169">
        <v>59710</v>
      </c>
      <c r="D1169" t="s">
        <v>71</v>
      </c>
      <c r="E1169" s="7">
        <v>475.89</v>
      </c>
      <c r="F1169" t="s">
        <v>20</v>
      </c>
      <c r="G1169" t="s">
        <v>21</v>
      </c>
      <c r="H1169" t="str">
        <f>"4013312569"</f>
        <v>4013312569</v>
      </c>
      <c r="I1169" t="str">
        <f>"CINTAS CORPORATION #087"</f>
        <v>CINTAS CORPORATION #087</v>
      </c>
    </row>
    <row r="1170" spans="1:9" x14ac:dyDescent="0.25">
      <c r="A1170" s="6">
        <v>43452</v>
      </c>
      <c r="B1170" t="s">
        <v>26</v>
      </c>
      <c r="C1170">
        <v>59711</v>
      </c>
      <c r="D1170" t="s">
        <v>74</v>
      </c>
      <c r="E1170" s="7">
        <v>4128.03</v>
      </c>
      <c r="F1170" t="s">
        <v>20</v>
      </c>
      <c r="G1170" t="s">
        <v>21</v>
      </c>
      <c r="H1170" t="str">
        <f>"9819026106"</f>
        <v>9819026106</v>
      </c>
      <c r="I1170" t="str">
        <f>"VERIZON WIRELESS"</f>
        <v>VERIZON WIRELESS</v>
      </c>
    </row>
    <row r="1171" spans="1:9" x14ac:dyDescent="0.25">
      <c r="A1171" s="6">
        <v>43452</v>
      </c>
      <c r="B1171" t="s">
        <v>26</v>
      </c>
      <c r="C1171">
        <v>59711</v>
      </c>
      <c r="D1171" t="s">
        <v>74</v>
      </c>
      <c r="E1171" s="7">
        <v>4128.03</v>
      </c>
      <c r="F1171" t="s">
        <v>20</v>
      </c>
      <c r="G1171" t="s">
        <v>21</v>
      </c>
      <c r="H1171" t="str">
        <f>"9819862100"</f>
        <v>9819862100</v>
      </c>
      <c r="I1171" t="str">
        <f>"VERIZON WIRELESS"</f>
        <v>VERIZON WIRELESS</v>
      </c>
    </row>
    <row r="1172" spans="1:9" x14ac:dyDescent="0.25">
      <c r="A1172" s="6">
        <v>43452</v>
      </c>
      <c r="B1172" t="s">
        <v>26</v>
      </c>
      <c r="C1172">
        <v>59713</v>
      </c>
      <c r="D1172" t="s">
        <v>123</v>
      </c>
      <c r="E1172" s="7">
        <v>55.2</v>
      </c>
      <c r="F1172" t="s">
        <v>20</v>
      </c>
      <c r="G1172" t="s">
        <v>21</v>
      </c>
      <c r="H1172" t="str">
        <f>"241841198001"</f>
        <v>241841198001</v>
      </c>
      <c r="I1172" t="str">
        <f>"OFFICE SUPPLIES"</f>
        <v>OFFICE SUPPLIES</v>
      </c>
    </row>
    <row r="1173" spans="1:9" x14ac:dyDescent="0.25">
      <c r="A1173" s="6">
        <v>43452</v>
      </c>
      <c r="B1173" t="s">
        <v>26</v>
      </c>
      <c r="C1173">
        <v>59714</v>
      </c>
      <c r="D1173" t="s">
        <v>77</v>
      </c>
      <c r="E1173" s="7">
        <v>400</v>
      </c>
      <c r="F1173" t="s">
        <v>20</v>
      </c>
      <c r="G1173" t="s">
        <v>21</v>
      </c>
      <c r="H1173" t="str">
        <f>"DE85002742-18"</f>
        <v>DE85002742-18</v>
      </c>
      <c r="I1173" t="str">
        <f>"DPC INDUSTRIES  INC."</f>
        <v>DPC INDUSTRIES  INC.</v>
      </c>
    </row>
    <row r="1174" spans="1:9" x14ac:dyDescent="0.25">
      <c r="A1174" s="6">
        <v>43452</v>
      </c>
      <c r="B1174" t="s">
        <v>26</v>
      </c>
      <c r="C1174">
        <v>59714</v>
      </c>
      <c r="D1174" t="s">
        <v>77</v>
      </c>
      <c r="E1174" s="7">
        <v>400</v>
      </c>
      <c r="F1174" t="s">
        <v>20</v>
      </c>
      <c r="G1174" t="s">
        <v>21</v>
      </c>
      <c r="H1174" t="str">
        <f>"DE85002951-18"</f>
        <v>DE85002951-18</v>
      </c>
      <c r="I1174" t="str">
        <f>"DPC INDUSTRIES  INC."</f>
        <v>DPC INDUSTRIES  INC.</v>
      </c>
    </row>
    <row r="1175" spans="1:9" x14ac:dyDescent="0.25">
      <c r="A1175" s="6">
        <v>43452</v>
      </c>
      <c r="B1175" t="s">
        <v>26</v>
      </c>
      <c r="C1175">
        <v>59715</v>
      </c>
      <c r="D1175" t="s">
        <v>124</v>
      </c>
      <c r="E1175" s="7">
        <v>700.69</v>
      </c>
      <c r="F1175" t="s">
        <v>20</v>
      </c>
      <c r="G1175" t="s">
        <v>21</v>
      </c>
      <c r="H1175" t="str">
        <f>"11167595"</f>
        <v>11167595</v>
      </c>
      <c r="I1175" t="str">
        <f>"CONCRETE MIX"</f>
        <v>CONCRETE MIX</v>
      </c>
    </row>
    <row r="1176" spans="1:9" x14ac:dyDescent="0.25">
      <c r="A1176" s="6">
        <v>43452</v>
      </c>
      <c r="B1176" t="s">
        <v>26</v>
      </c>
      <c r="C1176">
        <v>59715</v>
      </c>
      <c r="D1176" t="s">
        <v>124</v>
      </c>
      <c r="E1176" s="7">
        <v>700.69</v>
      </c>
      <c r="F1176" t="s">
        <v>20</v>
      </c>
      <c r="G1176" t="s">
        <v>21</v>
      </c>
      <c r="H1176" t="str">
        <f>"11167657"</f>
        <v>11167657</v>
      </c>
      <c r="I1176" t="str">
        <f>"BUILDING MAINT."</f>
        <v>BUILDING MAINT.</v>
      </c>
    </row>
    <row r="1177" spans="1:9" x14ac:dyDescent="0.25">
      <c r="A1177" s="6">
        <v>43452</v>
      </c>
      <c r="B1177" t="s">
        <v>26</v>
      </c>
      <c r="C1177">
        <v>59716</v>
      </c>
      <c r="D1177" t="s">
        <v>126</v>
      </c>
      <c r="E1177" s="7">
        <v>85360.87</v>
      </c>
      <c r="F1177" t="s">
        <v>20</v>
      </c>
      <c r="G1177" t="s">
        <v>21</v>
      </c>
      <c r="H1177" t="str">
        <f>"0859-002179304"</f>
        <v>0859-002179304</v>
      </c>
      <c r="I1177" t="str">
        <f>"REPUBLIC SERVICES #859"</f>
        <v>REPUBLIC SERVICES #859</v>
      </c>
    </row>
    <row r="1178" spans="1:9" x14ac:dyDescent="0.25">
      <c r="A1178" s="6">
        <v>43452</v>
      </c>
      <c r="B1178" t="s">
        <v>26</v>
      </c>
      <c r="C1178">
        <v>59716</v>
      </c>
      <c r="D1178" t="s">
        <v>126</v>
      </c>
      <c r="E1178" s="7">
        <v>85360.87</v>
      </c>
      <c r="F1178" t="s">
        <v>20</v>
      </c>
      <c r="G1178" t="s">
        <v>21</v>
      </c>
      <c r="H1178" t="str">
        <f>"0859-002183116"</f>
        <v>0859-002183116</v>
      </c>
      <c r="I1178" t="str">
        <f>"REPUBLIC SERVICES #859"</f>
        <v>REPUBLIC SERVICES #859</v>
      </c>
    </row>
    <row r="1179" spans="1:9" x14ac:dyDescent="0.25">
      <c r="A1179" s="6">
        <v>43452</v>
      </c>
      <c r="B1179" t="s">
        <v>26</v>
      </c>
      <c r="C1179">
        <v>59717</v>
      </c>
      <c r="D1179" t="s">
        <v>79</v>
      </c>
      <c r="E1179" s="7">
        <v>6.25</v>
      </c>
      <c r="F1179" t="s">
        <v>20</v>
      </c>
      <c r="G1179" t="s">
        <v>21</v>
      </c>
      <c r="H1179" t="str">
        <f>"6-390-50221"</f>
        <v>6-390-50221</v>
      </c>
      <c r="I1179" t="str">
        <f>"FEDEX"</f>
        <v>FEDEX</v>
      </c>
    </row>
    <row r="1180" spans="1:9" x14ac:dyDescent="0.25">
      <c r="A1180" s="6">
        <v>43452</v>
      </c>
      <c r="B1180" t="s">
        <v>26</v>
      </c>
      <c r="C1180">
        <v>59718</v>
      </c>
      <c r="D1180" t="s">
        <v>80</v>
      </c>
      <c r="E1180" s="7">
        <v>696.41</v>
      </c>
      <c r="F1180" t="s">
        <v>20</v>
      </c>
      <c r="G1180" t="s">
        <v>21</v>
      </c>
      <c r="H1180" t="str">
        <f>"2313-20181201-1"</f>
        <v>2313-20181201-1</v>
      </c>
      <c r="I1180" t="str">
        <f>"LVWIFI.COM"</f>
        <v>LVWIFI.COM</v>
      </c>
    </row>
    <row r="1181" spans="1:9" x14ac:dyDescent="0.25">
      <c r="A1181" s="6">
        <v>43452</v>
      </c>
      <c r="B1181" t="s">
        <v>26</v>
      </c>
      <c r="C1181">
        <v>59719</v>
      </c>
      <c r="D1181" t="s">
        <v>139</v>
      </c>
      <c r="E1181" s="7">
        <v>247.9</v>
      </c>
      <c r="F1181" t="s">
        <v>20</v>
      </c>
      <c r="G1181" t="s">
        <v>21</v>
      </c>
      <c r="H1181" t="str">
        <f>"25234"</f>
        <v>25234</v>
      </c>
      <c r="I1181" t="str">
        <f>"ANGEL FIRE &amp; SAFETY"</f>
        <v>ANGEL FIRE &amp; SAFETY</v>
      </c>
    </row>
    <row r="1182" spans="1:9" x14ac:dyDescent="0.25">
      <c r="A1182" s="6">
        <v>43452</v>
      </c>
      <c r="B1182" t="s">
        <v>26</v>
      </c>
      <c r="C1182">
        <v>59720</v>
      </c>
      <c r="D1182" t="s">
        <v>81</v>
      </c>
      <c r="E1182" s="7">
        <v>209.2</v>
      </c>
      <c r="F1182" t="s">
        <v>20</v>
      </c>
      <c r="G1182" t="s">
        <v>21</v>
      </c>
      <c r="H1182" t="str">
        <f>"B.CANTU 12/12/18"</f>
        <v>B.CANTU 12/12/18</v>
      </c>
      <c r="I1182" t="str">
        <f>"CITY OF FLORESVILLE -PETTY CAS"</f>
        <v>CITY OF FLORESVILLE -PETTY CAS</v>
      </c>
    </row>
    <row r="1183" spans="1:9" x14ac:dyDescent="0.25">
      <c r="A1183" s="6">
        <v>43452</v>
      </c>
      <c r="B1183" t="s">
        <v>26</v>
      </c>
      <c r="C1183">
        <v>59721</v>
      </c>
      <c r="D1183" t="s">
        <v>130</v>
      </c>
      <c r="E1183" s="7">
        <v>1244.01</v>
      </c>
      <c r="F1183" t="s">
        <v>20</v>
      </c>
      <c r="G1183" t="s">
        <v>21</v>
      </c>
      <c r="H1183" t="str">
        <f>"IN610924"</f>
        <v>IN610924</v>
      </c>
      <c r="I1183" t="str">
        <f>"DOCUMATION"</f>
        <v>DOCUMATION</v>
      </c>
    </row>
    <row r="1184" spans="1:9" x14ac:dyDescent="0.25">
      <c r="A1184" s="6">
        <v>43452</v>
      </c>
      <c r="B1184" t="s">
        <v>26</v>
      </c>
      <c r="C1184">
        <v>59722</v>
      </c>
      <c r="D1184" t="s">
        <v>373</v>
      </c>
      <c r="E1184" s="7">
        <v>2646</v>
      </c>
      <c r="F1184" t="s">
        <v>20</v>
      </c>
      <c r="G1184" t="s">
        <v>21</v>
      </c>
      <c r="H1184" t="str">
        <f>"2482"</f>
        <v>2482</v>
      </c>
      <c r="I1184" t="str">
        <f>"DOUBLE WASH SAND"</f>
        <v>DOUBLE WASH SAND</v>
      </c>
    </row>
    <row r="1185" spans="1:9" x14ac:dyDescent="0.25">
      <c r="A1185" s="6">
        <v>43452</v>
      </c>
      <c r="B1185" t="s">
        <v>26</v>
      </c>
      <c r="C1185">
        <v>59723</v>
      </c>
      <c r="D1185" t="s">
        <v>131</v>
      </c>
      <c r="E1185" s="7">
        <v>13.29</v>
      </c>
      <c r="F1185" t="s">
        <v>20</v>
      </c>
      <c r="G1185" t="s">
        <v>21</v>
      </c>
      <c r="H1185" t="str">
        <f>"035714"</f>
        <v>035714</v>
      </c>
      <c r="I1185" t="str">
        <f>"HOSE FITTINGS"</f>
        <v>HOSE FITTINGS</v>
      </c>
    </row>
    <row r="1186" spans="1:9" x14ac:dyDescent="0.25">
      <c r="A1186" s="6">
        <v>43452</v>
      </c>
      <c r="B1186" t="s">
        <v>26</v>
      </c>
      <c r="C1186">
        <v>59724</v>
      </c>
      <c r="D1186" t="s">
        <v>85</v>
      </c>
      <c r="E1186" s="7">
        <v>456.09</v>
      </c>
      <c r="F1186" t="s">
        <v>20</v>
      </c>
      <c r="G1186" t="s">
        <v>21</v>
      </c>
      <c r="H1186" t="str">
        <f>"8302162733 12/18"</f>
        <v>8302162733 12/18</v>
      </c>
      <c r="I1186" t="str">
        <f t="shared" ref="I1186:I1193" si="12">"FRONTIER"</f>
        <v>FRONTIER</v>
      </c>
    </row>
    <row r="1187" spans="1:9" x14ac:dyDescent="0.25">
      <c r="A1187" s="6">
        <v>43452</v>
      </c>
      <c r="B1187" t="s">
        <v>26</v>
      </c>
      <c r="C1187">
        <v>59724</v>
      </c>
      <c r="D1187" t="s">
        <v>85</v>
      </c>
      <c r="E1187" s="7">
        <v>456.09</v>
      </c>
      <c r="F1187" t="s">
        <v>20</v>
      </c>
      <c r="G1187" t="s">
        <v>21</v>
      </c>
      <c r="H1187" t="str">
        <f>"8302162755 12/18"</f>
        <v>8302162755 12/18</v>
      </c>
      <c r="I1187" t="str">
        <f t="shared" si="12"/>
        <v>FRONTIER</v>
      </c>
    </row>
    <row r="1188" spans="1:9" x14ac:dyDescent="0.25">
      <c r="A1188" s="6">
        <v>43452</v>
      </c>
      <c r="B1188" t="s">
        <v>26</v>
      </c>
      <c r="C1188">
        <v>59724</v>
      </c>
      <c r="D1188" t="s">
        <v>85</v>
      </c>
      <c r="E1188" s="7">
        <v>456.09</v>
      </c>
      <c r="F1188" t="s">
        <v>20</v>
      </c>
      <c r="G1188" t="s">
        <v>21</v>
      </c>
      <c r="H1188" t="str">
        <f>"8303930579 12/18"</f>
        <v>8303930579 12/18</v>
      </c>
      <c r="I1188" t="str">
        <f t="shared" si="12"/>
        <v>FRONTIER</v>
      </c>
    </row>
    <row r="1189" spans="1:9" x14ac:dyDescent="0.25">
      <c r="A1189" s="6">
        <v>43452</v>
      </c>
      <c r="B1189" t="s">
        <v>26</v>
      </c>
      <c r="C1189">
        <v>59724</v>
      </c>
      <c r="D1189" t="s">
        <v>85</v>
      </c>
      <c r="E1189" s="7">
        <v>456.09</v>
      </c>
      <c r="F1189" t="s">
        <v>20</v>
      </c>
      <c r="G1189" t="s">
        <v>21</v>
      </c>
      <c r="H1189" t="str">
        <f>"8303932804 12/18"</f>
        <v>8303932804 12/18</v>
      </c>
      <c r="I1189" t="str">
        <f t="shared" si="12"/>
        <v>FRONTIER</v>
      </c>
    </row>
    <row r="1190" spans="1:9" x14ac:dyDescent="0.25">
      <c r="A1190" s="6">
        <v>43452</v>
      </c>
      <c r="B1190" t="s">
        <v>26</v>
      </c>
      <c r="C1190">
        <v>59724</v>
      </c>
      <c r="D1190" t="s">
        <v>85</v>
      </c>
      <c r="E1190" s="7">
        <v>456.09</v>
      </c>
      <c r="F1190" t="s">
        <v>20</v>
      </c>
      <c r="G1190" t="s">
        <v>21</v>
      </c>
      <c r="H1190" t="str">
        <f>"8303933108 12/18"</f>
        <v>8303933108 12/18</v>
      </c>
      <c r="I1190" t="str">
        <f t="shared" si="12"/>
        <v>FRONTIER</v>
      </c>
    </row>
    <row r="1191" spans="1:9" x14ac:dyDescent="0.25">
      <c r="A1191" s="6">
        <v>43452</v>
      </c>
      <c r="B1191" t="s">
        <v>26</v>
      </c>
      <c r="C1191">
        <v>59724</v>
      </c>
      <c r="D1191" t="s">
        <v>85</v>
      </c>
      <c r="E1191" s="7">
        <v>456.09</v>
      </c>
      <c r="F1191" t="s">
        <v>20</v>
      </c>
      <c r="G1191" t="s">
        <v>21</v>
      </c>
      <c r="H1191" t="str">
        <f>"8303936794 12/18"</f>
        <v>8303936794 12/18</v>
      </c>
      <c r="I1191" t="str">
        <f t="shared" si="12"/>
        <v>FRONTIER</v>
      </c>
    </row>
    <row r="1192" spans="1:9" x14ac:dyDescent="0.25">
      <c r="A1192" s="6">
        <v>43452</v>
      </c>
      <c r="B1192" t="s">
        <v>26</v>
      </c>
      <c r="C1192">
        <v>59724</v>
      </c>
      <c r="D1192" t="s">
        <v>85</v>
      </c>
      <c r="E1192" s="7">
        <v>456.09</v>
      </c>
      <c r="F1192" t="s">
        <v>20</v>
      </c>
      <c r="G1192" t="s">
        <v>21</v>
      </c>
      <c r="H1192" t="str">
        <f>"8303938193 12/18"</f>
        <v>8303938193 12/18</v>
      </c>
      <c r="I1192" t="str">
        <f t="shared" si="12"/>
        <v>FRONTIER</v>
      </c>
    </row>
    <row r="1193" spans="1:9" x14ac:dyDescent="0.25">
      <c r="A1193" s="6">
        <v>43452</v>
      </c>
      <c r="B1193" t="s">
        <v>26</v>
      </c>
      <c r="C1193">
        <v>59724</v>
      </c>
      <c r="D1193" t="s">
        <v>85</v>
      </c>
      <c r="E1193" s="7">
        <v>456.09</v>
      </c>
      <c r="F1193" t="s">
        <v>20</v>
      </c>
      <c r="G1193" t="s">
        <v>21</v>
      </c>
      <c r="H1193" t="str">
        <f>"8303939791 12/18"</f>
        <v>8303939791 12/18</v>
      </c>
      <c r="I1193" t="str">
        <f t="shared" si="12"/>
        <v>FRONTIER</v>
      </c>
    </row>
    <row r="1194" spans="1:9" x14ac:dyDescent="0.25">
      <c r="A1194" s="6">
        <v>43452</v>
      </c>
      <c r="B1194" t="s">
        <v>26</v>
      </c>
      <c r="C1194">
        <v>59726</v>
      </c>
      <c r="D1194" t="s">
        <v>245</v>
      </c>
      <c r="E1194" s="7">
        <v>1275</v>
      </c>
      <c r="F1194" t="s">
        <v>20</v>
      </c>
      <c r="G1194" t="s">
        <v>21</v>
      </c>
      <c r="H1194" t="str">
        <f>"SEWER PLANT 12/18"</f>
        <v>SEWER PLANT 12/18</v>
      </c>
      <c r="I1194" t="str">
        <f>"LJ PLUMBING"</f>
        <v>LJ PLUMBING</v>
      </c>
    </row>
    <row r="1195" spans="1:9" x14ac:dyDescent="0.25">
      <c r="A1195" s="6">
        <v>43452</v>
      </c>
      <c r="B1195" t="s">
        <v>26</v>
      </c>
      <c r="C1195">
        <v>59727</v>
      </c>
      <c r="D1195" t="s">
        <v>345</v>
      </c>
      <c r="E1195" s="7">
        <v>770</v>
      </c>
      <c r="F1195" t="s">
        <v>20</v>
      </c>
      <c r="G1195" t="s">
        <v>21</v>
      </c>
      <c r="H1195" t="str">
        <f>"12/17/18"</f>
        <v>12/17/18</v>
      </c>
      <c r="I1195" t="str">
        <f>"MICHAEL ISAAC MARTINEZ"</f>
        <v>MICHAEL ISAAC MARTINEZ</v>
      </c>
    </row>
    <row r="1196" spans="1:9" x14ac:dyDescent="0.25">
      <c r="A1196" s="6">
        <v>43452</v>
      </c>
      <c r="B1196" t="s">
        <v>26</v>
      </c>
      <c r="C1196">
        <v>59727</v>
      </c>
      <c r="D1196" t="s">
        <v>345</v>
      </c>
      <c r="E1196" s="7">
        <v>770</v>
      </c>
      <c r="F1196" t="s">
        <v>20</v>
      </c>
      <c r="G1196" t="s">
        <v>21</v>
      </c>
      <c r="H1196" t="str">
        <f>"12/24/18"</f>
        <v>12/24/18</v>
      </c>
      <c r="I1196" t="str">
        <f>"MICHAEL ISAAC MARTINEZ"</f>
        <v>MICHAEL ISAAC MARTINEZ</v>
      </c>
    </row>
    <row r="1197" spans="1:9" x14ac:dyDescent="0.25">
      <c r="A1197" s="6">
        <v>43452</v>
      </c>
      <c r="B1197" t="s">
        <v>26</v>
      </c>
      <c r="C1197">
        <v>59728</v>
      </c>
      <c r="D1197" t="s">
        <v>134</v>
      </c>
      <c r="E1197" s="7">
        <v>2950.57</v>
      </c>
      <c r="F1197" t="s">
        <v>20</v>
      </c>
      <c r="G1197" t="s">
        <v>21</v>
      </c>
      <c r="H1197" t="str">
        <f>"2017-118.12*"</f>
        <v>2017-118.12*</v>
      </c>
      <c r="I1197" t="str">
        <f>"MOODY ENGINEERING GROUP INC."</f>
        <v>MOODY ENGINEERING GROUP INC.</v>
      </c>
    </row>
    <row r="1198" spans="1:9" x14ac:dyDescent="0.25">
      <c r="A1198" s="6">
        <v>43452</v>
      </c>
      <c r="B1198" t="s">
        <v>26</v>
      </c>
      <c r="C1198">
        <v>59728</v>
      </c>
      <c r="D1198" t="s">
        <v>134</v>
      </c>
      <c r="E1198" s="7">
        <v>2950.57</v>
      </c>
      <c r="F1198" t="s">
        <v>20</v>
      </c>
      <c r="G1198" t="s">
        <v>21</v>
      </c>
      <c r="H1198" t="str">
        <f>"2017-118.13"</f>
        <v>2017-118.13</v>
      </c>
      <c r="I1198" t="str">
        <f>"MOODY ENGINEERING GROUP INC."</f>
        <v>MOODY ENGINEERING GROUP INC.</v>
      </c>
    </row>
    <row r="1199" spans="1:9" x14ac:dyDescent="0.25">
      <c r="A1199" s="6">
        <v>43452</v>
      </c>
      <c r="B1199" t="s">
        <v>26</v>
      </c>
      <c r="C1199">
        <v>59728</v>
      </c>
      <c r="D1199" t="s">
        <v>134</v>
      </c>
      <c r="E1199" s="7">
        <v>2950.57</v>
      </c>
      <c r="F1199" t="s">
        <v>20</v>
      </c>
      <c r="G1199" t="s">
        <v>21</v>
      </c>
      <c r="H1199" t="str">
        <f>"2017-118.14"</f>
        <v>2017-118.14</v>
      </c>
      <c r="I1199" t="str">
        <f>"MOODY ENGINEERING GROUP INC."</f>
        <v>MOODY ENGINEERING GROUP INC.</v>
      </c>
    </row>
    <row r="1200" spans="1:9" x14ac:dyDescent="0.25">
      <c r="A1200" s="6">
        <v>43452</v>
      </c>
      <c r="B1200" t="s">
        <v>26</v>
      </c>
      <c r="C1200">
        <v>59729</v>
      </c>
      <c r="D1200" t="s">
        <v>584</v>
      </c>
      <c r="E1200" s="7">
        <v>70</v>
      </c>
      <c r="F1200" t="s">
        <v>20</v>
      </c>
      <c r="G1200" t="s">
        <v>21</v>
      </c>
      <c r="H1200" t="str">
        <f>"12/15/18 HOLD EXTR"</f>
        <v>12/15/18 HOLD EXTR</v>
      </c>
      <c r="I1200" t="str">
        <f>"AMANDA SENDEJO"</f>
        <v>AMANDA SENDEJO</v>
      </c>
    </row>
    <row r="1201" spans="1:9" x14ac:dyDescent="0.25">
      <c r="A1201" s="6">
        <v>43452</v>
      </c>
      <c r="B1201" t="s">
        <v>26</v>
      </c>
      <c r="C1201">
        <v>59730</v>
      </c>
      <c r="D1201" t="s">
        <v>452</v>
      </c>
      <c r="E1201" s="7">
        <v>450</v>
      </c>
      <c r="F1201" t="s">
        <v>20</v>
      </c>
      <c r="G1201" t="s">
        <v>21</v>
      </c>
      <c r="H1201" t="str">
        <f>"12/10/18"</f>
        <v>12/10/18</v>
      </c>
      <c r="I1201" t="str">
        <f>"DESIREE PEREZ"</f>
        <v>DESIREE PEREZ</v>
      </c>
    </row>
    <row r="1202" spans="1:9" x14ac:dyDescent="0.25">
      <c r="A1202" s="6">
        <v>43452</v>
      </c>
      <c r="B1202" t="s">
        <v>26</v>
      </c>
      <c r="C1202">
        <v>59730</v>
      </c>
      <c r="D1202" t="s">
        <v>452</v>
      </c>
      <c r="E1202" s="7">
        <v>450</v>
      </c>
      <c r="F1202" t="s">
        <v>20</v>
      </c>
      <c r="G1202" t="s">
        <v>21</v>
      </c>
      <c r="H1202" t="str">
        <f>"12/15/18 HOLD EXTR"</f>
        <v>12/15/18 HOLD EXTR</v>
      </c>
      <c r="I1202" t="str">
        <f>"DESIREE PEREZ"</f>
        <v>DESIREE PEREZ</v>
      </c>
    </row>
    <row r="1203" spans="1:9" x14ac:dyDescent="0.25">
      <c r="A1203" s="6">
        <v>43452</v>
      </c>
      <c r="B1203" t="s">
        <v>26</v>
      </c>
      <c r="C1203">
        <v>59731</v>
      </c>
      <c r="D1203" t="s">
        <v>443</v>
      </c>
      <c r="E1203" s="7">
        <v>4550</v>
      </c>
      <c r="F1203" t="s">
        <v>20</v>
      </c>
      <c r="G1203" t="s">
        <v>21</v>
      </c>
      <c r="H1203" t="str">
        <f>"10519"</f>
        <v>10519</v>
      </c>
      <c r="I1203" t="str">
        <f>"RIOJAS TURF CARE  LLC"</f>
        <v>RIOJAS TURF CARE  LLC</v>
      </c>
    </row>
    <row r="1204" spans="1:9" x14ac:dyDescent="0.25">
      <c r="A1204" s="6">
        <v>43452</v>
      </c>
      <c r="B1204" t="s">
        <v>26</v>
      </c>
      <c r="C1204">
        <v>59732</v>
      </c>
      <c r="D1204" t="s">
        <v>596</v>
      </c>
      <c r="E1204" s="7">
        <v>70</v>
      </c>
      <c r="F1204" t="s">
        <v>20</v>
      </c>
      <c r="G1204" t="s">
        <v>21</v>
      </c>
      <c r="H1204" t="str">
        <f>"12/15/18 HOLD EXTR"</f>
        <v>12/15/18 HOLD EXTR</v>
      </c>
      <c r="I1204" t="str">
        <f>"GRACE PIERCE"</f>
        <v>GRACE PIERCE</v>
      </c>
    </row>
    <row r="1205" spans="1:9" x14ac:dyDescent="0.25">
      <c r="A1205" s="6">
        <v>43452</v>
      </c>
      <c r="B1205" t="s">
        <v>26</v>
      </c>
      <c r="C1205">
        <v>59733</v>
      </c>
      <c r="D1205" t="s">
        <v>597</v>
      </c>
      <c r="E1205" s="7">
        <v>70</v>
      </c>
      <c r="F1205" t="s">
        <v>20</v>
      </c>
      <c r="G1205" t="s">
        <v>21</v>
      </c>
      <c r="H1205" t="str">
        <f>"12/15/18 HOLD EXTR"</f>
        <v>12/15/18 HOLD EXTR</v>
      </c>
      <c r="I1205" t="str">
        <f>"ADRIAN SANCHEZ"</f>
        <v>ADRIAN SANCHEZ</v>
      </c>
    </row>
    <row r="1206" spans="1:9" x14ac:dyDescent="0.25">
      <c r="A1206" s="6">
        <v>43452</v>
      </c>
      <c r="B1206" t="s">
        <v>26</v>
      </c>
      <c r="C1206">
        <v>59734</v>
      </c>
      <c r="D1206" t="s">
        <v>645</v>
      </c>
      <c r="E1206" s="7">
        <v>17100</v>
      </c>
      <c r="F1206" t="s">
        <v>20</v>
      </c>
      <c r="G1206" t="s">
        <v>21</v>
      </c>
      <c r="H1206" t="str">
        <f>"12/12/18"</f>
        <v>12/12/18</v>
      </c>
      <c r="I1206" t="str">
        <f>"MOBILE HOME MOVING"</f>
        <v>MOBILE HOME MOVING</v>
      </c>
    </row>
    <row r="1207" spans="1:9" x14ac:dyDescent="0.25">
      <c r="A1207" s="6">
        <v>43452</v>
      </c>
      <c r="B1207" t="s">
        <v>26</v>
      </c>
      <c r="C1207">
        <v>59735</v>
      </c>
      <c r="D1207" t="s">
        <v>299</v>
      </c>
      <c r="E1207" s="7">
        <v>260.36</v>
      </c>
      <c r="F1207" t="s">
        <v>20</v>
      </c>
      <c r="G1207" t="s">
        <v>21</v>
      </c>
      <c r="H1207" t="str">
        <f>"TRAV EXP 11/2-12/4"</f>
        <v>TRAV EXP 11/2-12/4</v>
      </c>
      <c r="I1207" t="str">
        <f>"CHEZARE PEREZ"</f>
        <v>CHEZARE PEREZ</v>
      </c>
    </row>
    <row r="1208" spans="1:9" x14ac:dyDescent="0.25">
      <c r="A1208" s="6">
        <v>43452</v>
      </c>
      <c r="B1208" t="s">
        <v>91</v>
      </c>
      <c r="C1208">
        <v>59736</v>
      </c>
      <c r="D1208" t="s">
        <v>646</v>
      </c>
      <c r="E1208" s="7">
        <v>800</v>
      </c>
      <c r="F1208" t="s">
        <v>20</v>
      </c>
      <c r="G1208" t="s">
        <v>21</v>
      </c>
      <c r="H1208" t="str">
        <f>"0121718"</f>
        <v>0121718</v>
      </c>
      <c r="I1208" t="str">
        <f>"JOHN D. BROWN"</f>
        <v>JOHN D. BROWN</v>
      </c>
    </row>
    <row r="1209" spans="1:9" x14ac:dyDescent="0.25">
      <c r="A1209" s="6">
        <v>43452</v>
      </c>
      <c r="B1209" t="s">
        <v>91</v>
      </c>
      <c r="C1209">
        <v>59736</v>
      </c>
      <c r="D1209" t="s">
        <v>646</v>
      </c>
      <c r="E1209" s="7">
        <v>800</v>
      </c>
      <c r="F1209" t="s">
        <v>20</v>
      </c>
      <c r="G1209" t="s">
        <v>93</v>
      </c>
      <c r="H1209" t="str">
        <f>"CHECK"</f>
        <v>CHECK</v>
      </c>
      <c r="I1209" t="str">
        <f>""</f>
        <v/>
      </c>
    </row>
    <row r="1210" spans="1:9" x14ac:dyDescent="0.25">
      <c r="A1210" s="6">
        <v>43452</v>
      </c>
      <c r="B1210" t="s">
        <v>26</v>
      </c>
      <c r="C1210">
        <v>59737</v>
      </c>
      <c r="D1210" t="s">
        <v>644</v>
      </c>
      <c r="E1210" s="7">
        <v>1921.38</v>
      </c>
      <c r="F1210" t="s">
        <v>20</v>
      </c>
      <c r="G1210" t="s">
        <v>21</v>
      </c>
      <c r="H1210" t="str">
        <f>"8213253973"</f>
        <v>8213253973</v>
      </c>
      <c r="I1210" t="str">
        <f t="shared" ref="I1210:I1230" si="13">"UNIFIRST CORPORATION"</f>
        <v>UNIFIRST CORPORATION</v>
      </c>
    </row>
    <row r="1211" spans="1:9" x14ac:dyDescent="0.25">
      <c r="A1211" s="6">
        <v>43452</v>
      </c>
      <c r="B1211" t="s">
        <v>26</v>
      </c>
      <c r="C1211">
        <v>59737</v>
      </c>
      <c r="D1211" t="s">
        <v>644</v>
      </c>
      <c r="E1211" s="7">
        <v>1921.38</v>
      </c>
      <c r="F1211" t="s">
        <v>20</v>
      </c>
      <c r="G1211" t="s">
        <v>21</v>
      </c>
      <c r="H1211" t="str">
        <f>"8213253974"</f>
        <v>8213253974</v>
      </c>
      <c r="I1211" t="str">
        <f t="shared" si="13"/>
        <v>UNIFIRST CORPORATION</v>
      </c>
    </row>
    <row r="1212" spans="1:9" x14ac:dyDescent="0.25">
      <c r="A1212" s="6">
        <v>43452</v>
      </c>
      <c r="B1212" t="s">
        <v>26</v>
      </c>
      <c r="C1212">
        <v>59737</v>
      </c>
      <c r="D1212" t="s">
        <v>644</v>
      </c>
      <c r="E1212" s="7">
        <v>1921.38</v>
      </c>
      <c r="F1212" t="s">
        <v>20</v>
      </c>
      <c r="G1212" t="s">
        <v>21</v>
      </c>
      <c r="H1212" t="str">
        <f>"8213253975"</f>
        <v>8213253975</v>
      </c>
      <c r="I1212" t="str">
        <f t="shared" si="13"/>
        <v>UNIFIRST CORPORATION</v>
      </c>
    </row>
    <row r="1213" spans="1:9" x14ac:dyDescent="0.25">
      <c r="A1213" s="6">
        <v>43452</v>
      </c>
      <c r="B1213" t="s">
        <v>26</v>
      </c>
      <c r="C1213">
        <v>59737</v>
      </c>
      <c r="D1213" t="s">
        <v>644</v>
      </c>
      <c r="E1213" s="7">
        <v>1921.38</v>
      </c>
      <c r="F1213" t="s">
        <v>20</v>
      </c>
      <c r="G1213" t="s">
        <v>21</v>
      </c>
      <c r="H1213" t="str">
        <f>"8213253976"</f>
        <v>8213253976</v>
      </c>
      <c r="I1213" t="str">
        <f t="shared" si="13"/>
        <v>UNIFIRST CORPORATION</v>
      </c>
    </row>
    <row r="1214" spans="1:9" x14ac:dyDescent="0.25">
      <c r="A1214" s="6">
        <v>43452</v>
      </c>
      <c r="B1214" t="s">
        <v>26</v>
      </c>
      <c r="C1214">
        <v>59737</v>
      </c>
      <c r="D1214" t="s">
        <v>644</v>
      </c>
      <c r="E1214" s="7">
        <v>1921.38</v>
      </c>
      <c r="F1214" t="s">
        <v>20</v>
      </c>
      <c r="G1214" t="s">
        <v>21</v>
      </c>
      <c r="H1214" t="str">
        <f>"8213253977"</f>
        <v>8213253977</v>
      </c>
      <c r="I1214" t="str">
        <f t="shared" si="13"/>
        <v>UNIFIRST CORPORATION</v>
      </c>
    </row>
    <row r="1215" spans="1:9" x14ac:dyDescent="0.25">
      <c r="A1215" s="6">
        <v>43452</v>
      </c>
      <c r="B1215" t="s">
        <v>26</v>
      </c>
      <c r="C1215">
        <v>59737</v>
      </c>
      <c r="D1215" t="s">
        <v>644</v>
      </c>
      <c r="E1215" s="7">
        <v>1921.38</v>
      </c>
      <c r="F1215" t="s">
        <v>20</v>
      </c>
      <c r="G1215" t="s">
        <v>21</v>
      </c>
      <c r="H1215" t="str">
        <f>"8213253978"</f>
        <v>8213253978</v>
      </c>
      <c r="I1215" t="str">
        <f t="shared" si="13"/>
        <v>UNIFIRST CORPORATION</v>
      </c>
    </row>
    <row r="1216" spans="1:9" x14ac:dyDescent="0.25">
      <c r="A1216" s="6">
        <v>43452</v>
      </c>
      <c r="B1216" t="s">
        <v>26</v>
      </c>
      <c r="C1216">
        <v>59737</v>
      </c>
      <c r="D1216" t="s">
        <v>644</v>
      </c>
      <c r="E1216" s="7">
        <v>1921.38</v>
      </c>
      <c r="F1216" t="s">
        <v>20</v>
      </c>
      <c r="G1216" t="s">
        <v>21</v>
      </c>
      <c r="H1216" t="str">
        <f>"8213253979"</f>
        <v>8213253979</v>
      </c>
      <c r="I1216" t="str">
        <f t="shared" si="13"/>
        <v>UNIFIRST CORPORATION</v>
      </c>
    </row>
    <row r="1217" spans="1:9" x14ac:dyDescent="0.25">
      <c r="A1217" s="6">
        <v>43452</v>
      </c>
      <c r="B1217" t="s">
        <v>26</v>
      </c>
      <c r="C1217">
        <v>59737</v>
      </c>
      <c r="D1217" t="s">
        <v>644</v>
      </c>
      <c r="E1217" s="7">
        <v>1921.38</v>
      </c>
      <c r="F1217" t="s">
        <v>20</v>
      </c>
      <c r="G1217" t="s">
        <v>21</v>
      </c>
      <c r="H1217" t="str">
        <f>"8213256890"</f>
        <v>8213256890</v>
      </c>
      <c r="I1217" t="str">
        <f t="shared" si="13"/>
        <v>UNIFIRST CORPORATION</v>
      </c>
    </row>
    <row r="1218" spans="1:9" x14ac:dyDescent="0.25">
      <c r="A1218" s="6">
        <v>43452</v>
      </c>
      <c r="B1218" t="s">
        <v>26</v>
      </c>
      <c r="C1218">
        <v>59737</v>
      </c>
      <c r="D1218" t="s">
        <v>644</v>
      </c>
      <c r="E1218" s="7">
        <v>1921.38</v>
      </c>
      <c r="F1218" t="s">
        <v>20</v>
      </c>
      <c r="G1218" t="s">
        <v>21</v>
      </c>
      <c r="H1218" t="str">
        <f>"8213256891"</f>
        <v>8213256891</v>
      </c>
      <c r="I1218" t="str">
        <f t="shared" si="13"/>
        <v>UNIFIRST CORPORATION</v>
      </c>
    </row>
    <row r="1219" spans="1:9" x14ac:dyDescent="0.25">
      <c r="A1219" s="6">
        <v>43452</v>
      </c>
      <c r="B1219" t="s">
        <v>26</v>
      </c>
      <c r="C1219">
        <v>59737</v>
      </c>
      <c r="D1219" t="s">
        <v>644</v>
      </c>
      <c r="E1219" s="7">
        <v>1921.38</v>
      </c>
      <c r="F1219" t="s">
        <v>20</v>
      </c>
      <c r="G1219" t="s">
        <v>21</v>
      </c>
      <c r="H1219" t="str">
        <f>"8213256892"</f>
        <v>8213256892</v>
      </c>
      <c r="I1219" t="str">
        <f t="shared" si="13"/>
        <v>UNIFIRST CORPORATION</v>
      </c>
    </row>
    <row r="1220" spans="1:9" x14ac:dyDescent="0.25">
      <c r="A1220" s="6">
        <v>43452</v>
      </c>
      <c r="B1220" t="s">
        <v>26</v>
      </c>
      <c r="C1220">
        <v>59737</v>
      </c>
      <c r="D1220" t="s">
        <v>644</v>
      </c>
      <c r="E1220" s="7">
        <v>1921.38</v>
      </c>
      <c r="F1220" t="s">
        <v>20</v>
      </c>
      <c r="G1220" t="s">
        <v>21</v>
      </c>
      <c r="H1220" t="str">
        <f>"8213256893"</f>
        <v>8213256893</v>
      </c>
      <c r="I1220" t="str">
        <f t="shared" si="13"/>
        <v>UNIFIRST CORPORATION</v>
      </c>
    </row>
    <row r="1221" spans="1:9" x14ac:dyDescent="0.25">
      <c r="A1221" s="6">
        <v>43452</v>
      </c>
      <c r="B1221" t="s">
        <v>26</v>
      </c>
      <c r="C1221">
        <v>59737</v>
      </c>
      <c r="D1221" t="s">
        <v>644</v>
      </c>
      <c r="E1221" s="7">
        <v>1921.38</v>
      </c>
      <c r="F1221" t="s">
        <v>20</v>
      </c>
      <c r="G1221" t="s">
        <v>21</v>
      </c>
      <c r="H1221" t="str">
        <f>"8213256894"</f>
        <v>8213256894</v>
      </c>
      <c r="I1221" t="str">
        <f t="shared" si="13"/>
        <v>UNIFIRST CORPORATION</v>
      </c>
    </row>
    <row r="1222" spans="1:9" x14ac:dyDescent="0.25">
      <c r="A1222" s="6">
        <v>43452</v>
      </c>
      <c r="B1222" t="s">
        <v>26</v>
      </c>
      <c r="C1222">
        <v>59737</v>
      </c>
      <c r="D1222" t="s">
        <v>644</v>
      </c>
      <c r="E1222" s="7">
        <v>1921.38</v>
      </c>
      <c r="F1222" t="s">
        <v>20</v>
      </c>
      <c r="G1222" t="s">
        <v>21</v>
      </c>
      <c r="H1222" t="str">
        <f>"8213256895"</f>
        <v>8213256895</v>
      </c>
      <c r="I1222" t="str">
        <f t="shared" si="13"/>
        <v>UNIFIRST CORPORATION</v>
      </c>
    </row>
    <row r="1223" spans="1:9" x14ac:dyDescent="0.25">
      <c r="A1223" s="6">
        <v>43452</v>
      </c>
      <c r="B1223" t="s">
        <v>26</v>
      </c>
      <c r="C1223">
        <v>59737</v>
      </c>
      <c r="D1223" t="s">
        <v>644</v>
      </c>
      <c r="E1223" s="7">
        <v>1921.38</v>
      </c>
      <c r="F1223" t="s">
        <v>20</v>
      </c>
      <c r="G1223" t="s">
        <v>21</v>
      </c>
      <c r="H1223" t="str">
        <f>"8213256896"</f>
        <v>8213256896</v>
      </c>
      <c r="I1223" t="str">
        <f t="shared" si="13"/>
        <v>UNIFIRST CORPORATION</v>
      </c>
    </row>
    <row r="1224" spans="1:9" x14ac:dyDescent="0.25">
      <c r="A1224" s="6">
        <v>43452</v>
      </c>
      <c r="B1224" t="s">
        <v>26</v>
      </c>
      <c r="C1224">
        <v>59737</v>
      </c>
      <c r="D1224" t="s">
        <v>644</v>
      </c>
      <c r="E1224" s="7">
        <v>1921.38</v>
      </c>
      <c r="F1224" t="s">
        <v>20</v>
      </c>
      <c r="G1224" t="s">
        <v>21</v>
      </c>
      <c r="H1224" t="str">
        <f>"8213259641"</f>
        <v>8213259641</v>
      </c>
      <c r="I1224" t="str">
        <f t="shared" si="13"/>
        <v>UNIFIRST CORPORATION</v>
      </c>
    </row>
    <row r="1225" spans="1:9" x14ac:dyDescent="0.25">
      <c r="A1225" s="6">
        <v>43452</v>
      </c>
      <c r="B1225" t="s">
        <v>26</v>
      </c>
      <c r="C1225">
        <v>59737</v>
      </c>
      <c r="D1225" t="s">
        <v>644</v>
      </c>
      <c r="E1225" s="7">
        <v>1921.38</v>
      </c>
      <c r="F1225" t="s">
        <v>20</v>
      </c>
      <c r="G1225" t="s">
        <v>21</v>
      </c>
      <c r="H1225" t="str">
        <f>"8213259642"</f>
        <v>8213259642</v>
      </c>
      <c r="I1225" t="str">
        <f t="shared" si="13"/>
        <v>UNIFIRST CORPORATION</v>
      </c>
    </row>
    <row r="1226" spans="1:9" x14ac:dyDescent="0.25">
      <c r="A1226" s="6">
        <v>43452</v>
      </c>
      <c r="B1226" t="s">
        <v>26</v>
      </c>
      <c r="C1226">
        <v>59737</v>
      </c>
      <c r="D1226" t="s">
        <v>644</v>
      </c>
      <c r="E1226" s="7">
        <v>1921.38</v>
      </c>
      <c r="F1226" t="s">
        <v>20</v>
      </c>
      <c r="G1226" t="s">
        <v>21</v>
      </c>
      <c r="H1226" t="str">
        <f>"8213259643"</f>
        <v>8213259643</v>
      </c>
      <c r="I1226" t="str">
        <f t="shared" si="13"/>
        <v>UNIFIRST CORPORATION</v>
      </c>
    </row>
    <row r="1227" spans="1:9" x14ac:dyDescent="0.25">
      <c r="A1227" s="6">
        <v>43452</v>
      </c>
      <c r="B1227" t="s">
        <v>26</v>
      </c>
      <c r="C1227">
        <v>59737</v>
      </c>
      <c r="D1227" t="s">
        <v>644</v>
      </c>
      <c r="E1227" s="7">
        <v>1921.38</v>
      </c>
      <c r="F1227" t="s">
        <v>20</v>
      </c>
      <c r="G1227" t="s">
        <v>21</v>
      </c>
      <c r="H1227" t="str">
        <f>"8213259644"</f>
        <v>8213259644</v>
      </c>
      <c r="I1227" t="str">
        <f t="shared" si="13"/>
        <v>UNIFIRST CORPORATION</v>
      </c>
    </row>
    <row r="1228" spans="1:9" x14ac:dyDescent="0.25">
      <c r="A1228" s="6">
        <v>43452</v>
      </c>
      <c r="B1228" t="s">
        <v>26</v>
      </c>
      <c r="C1228">
        <v>59737</v>
      </c>
      <c r="D1228" t="s">
        <v>644</v>
      </c>
      <c r="E1228" s="7">
        <v>1921.38</v>
      </c>
      <c r="F1228" t="s">
        <v>20</v>
      </c>
      <c r="G1228" t="s">
        <v>21</v>
      </c>
      <c r="H1228" t="str">
        <f>"8213259645"</f>
        <v>8213259645</v>
      </c>
      <c r="I1228" t="str">
        <f t="shared" si="13"/>
        <v>UNIFIRST CORPORATION</v>
      </c>
    </row>
    <row r="1229" spans="1:9" x14ac:dyDescent="0.25">
      <c r="A1229" s="6">
        <v>43452</v>
      </c>
      <c r="B1229" t="s">
        <v>26</v>
      </c>
      <c r="C1229">
        <v>59737</v>
      </c>
      <c r="D1229" t="s">
        <v>644</v>
      </c>
      <c r="E1229" s="7">
        <v>1921.38</v>
      </c>
      <c r="F1229" t="s">
        <v>20</v>
      </c>
      <c r="G1229" t="s">
        <v>21</v>
      </c>
      <c r="H1229" t="str">
        <f>"8213259646"</f>
        <v>8213259646</v>
      </c>
      <c r="I1229" t="str">
        <f t="shared" si="13"/>
        <v>UNIFIRST CORPORATION</v>
      </c>
    </row>
    <row r="1230" spans="1:9" x14ac:dyDescent="0.25">
      <c r="A1230" s="6">
        <v>43452</v>
      </c>
      <c r="B1230" t="s">
        <v>26</v>
      </c>
      <c r="C1230">
        <v>59737</v>
      </c>
      <c r="D1230" t="s">
        <v>644</v>
      </c>
      <c r="E1230" s="7">
        <v>1921.38</v>
      </c>
      <c r="F1230" t="s">
        <v>20</v>
      </c>
      <c r="G1230" t="s">
        <v>21</v>
      </c>
      <c r="H1230" t="str">
        <f>"8213259647"</f>
        <v>8213259647</v>
      </c>
      <c r="I1230" t="str">
        <f t="shared" si="13"/>
        <v>UNIFIRST CORPORATION</v>
      </c>
    </row>
    <row r="1231" spans="1:9" x14ac:dyDescent="0.25">
      <c r="A1231" s="6">
        <v>43452</v>
      </c>
      <c r="B1231" t="s">
        <v>26</v>
      </c>
      <c r="C1231">
        <v>59741</v>
      </c>
      <c r="D1231" t="s">
        <v>647</v>
      </c>
      <c r="E1231" s="7">
        <v>770.66</v>
      </c>
      <c r="F1231" t="s">
        <v>20</v>
      </c>
      <c r="G1231" t="s">
        <v>21</v>
      </c>
      <c r="H1231" t="str">
        <f>"23687088"</f>
        <v>23687088</v>
      </c>
      <c r="I1231" t="str">
        <f>"DOCUMATION  INC."</f>
        <v>DOCUMATION  INC.</v>
      </c>
    </row>
    <row r="1232" spans="1:9" x14ac:dyDescent="0.25">
      <c r="A1232" s="6">
        <v>43452</v>
      </c>
      <c r="B1232" t="s">
        <v>26</v>
      </c>
      <c r="C1232">
        <v>59741</v>
      </c>
      <c r="D1232" t="s">
        <v>647</v>
      </c>
      <c r="E1232" s="7">
        <v>770.66</v>
      </c>
      <c r="F1232" t="s">
        <v>20</v>
      </c>
      <c r="G1232" t="s">
        <v>21</v>
      </c>
      <c r="H1232" t="str">
        <f>"23861885"</f>
        <v>23861885</v>
      </c>
      <c r="I1232" t="str">
        <f>"DOCUMATION  INC."</f>
        <v>DOCUMATION  INC.</v>
      </c>
    </row>
    <row r="1233" spans="1:9" x14ac:dyDescent="0.25">
      <c r="A1233" s="6">
        <v>43452</v>
      </c>
      <c r="B1233" t="s">
        <v>26</v>
      </c>
      <c r="C1233">
        <v>59742</v>
      </c>
      <c r="D1233" t="s">
        <v>648</v>
      </c>
      <c r="E1233" s="7">
        <v>10872.92</v>
      </c>
      <c r="F1233" t="s">
        <v>20</v>
      </c>
      <c r="G1233" t="s">
        <v>21</v>
      </c>
      <c r="H1233" t="str">
        <f>"PENALTY CHGE 12/18"</f>
        <v>PENALTY CHGE 12/18</v>
      </c>
      <c r="I1233" t="str">
        <f>"UNITED STATES TREASURY- IRS"</f>
        <v>UNITED STATES TREASURY- IRS</v>
      </c>
    </row>
    <row r="1234" spans="1:9" x14ac:dyDescent="0.25">
      <c r="A1234" s="6">
        <v>43452</v>
      </c>
      <c r="B1234" t="s">
        <v>26</v>
      </c>
      <c r="C1234">
        <v>59744</v>
      </c>
      <c r="D1234" t="s">
        <v>649</v>
      </c>
      <c r="E1234" s="7">
        <v>70</v>
      </c>
      <c r="F1234" t="s">
        <v>20</v>
      </c>
      <c r="G1234" t="s">
        <v>21</v>
      </c>
      <c r="H1234" t="str">
        <f t="shared" ref="H1234:H1243" si="14">"12/15/18 HOLD EXTR"</f>
        <v>12/15/18 HOLD EXTR</v>
      </c>
      <c r="I1234" t="str">
        <f>"ERIC VALDEZ"</f>
        <v>ERIC VALDEZ</v>
      </c>
    </row>
    <row r="1235" spans="1:9" x14ac:dyDescent="0.25">
      <c r="A1235" s="6">
        <v>43452</v>
      </c>
      <c r="B1235" t="s">
        <v>26</v>
      </c>
      <c r="C1235">
        <v>59745</v>
      </c>
      <c r="D1235" t="s">
        <v>650</v>
      </c>
      <c r="E1235" s="7">
        <v>70</v>
      </c>
      <c r="F1235" t="s">
        <v>20</v>
      </c>
      <c r="G1235" t="s">
        <v>21</v>
      </c>
      <c r="H1235" t="str">
        <f t="shared" si="14"/>
        <v>12/15/18 HOLD EXTR</v>
      </c>
      <c r="I1235" t="str">
        <f>"ROBERT RAMIREZ"</f>
        <v>ROBERT RAMIREZ</v>
      </c>
    </row>
    <row r="1236" spans="1:9" x14ac:dyDescent="0.25">
      <c r="A1236" s="6">
        <v>43452</v>
      </c>
      <c r="B1236" t="s">
        <v>26</v>
      </c>
      <c r="C1236">
        <v>59746</v>
      </c>
      <c r="D1236" t="s">
        <v>651</v>
      </c>
      <c r="E1236" s="7">
        <v>70</v>
      </c>
      <c r="F1236" t="s">
        <v>20</v>
      </c>
      <c r="G1236" t="s">
        <v>21</v>
      </c>
      <c r="H1236" t="str">
        <f t="shared" si="14"/>
        <v>12/15/18 HOLD EXTR</v>
      </c>
      <c r="I1236" t="str">
        <f>"NAZARETH RAMIREZ"</f>
        <v>NAZARETH RAMIREZ</v>
      </c>
    </row>
    <row r="1237" spans="1:9" x14ac:dyDescent="0.25">
      <c r="A1237" s="6">
        <v>43452</v>
      </c>
      <c r="B1237" t="s">
        <v>26</v>
      </c>
      <c r="C1237">
        <v>59747</v>
      </c>
      <c r="D1237" t="s">
        <v>652</v>
      </c>
      <c r="E1237" s="7">
        <v>90</v>
      </c>
      <c r="F1237" t="s">
        <v>20</v>
      </c>
      <c r="G1237" t="s">
        <v>21</v>
      </c>
      <c r="H1237" t="str">
        <f t="shared" si="14"/>
        <v>12/15/18 HOLD EXTR</v>
      </c>
      <c r="I1237" t="str">
        <f>"ALICIA SANCHEZ"</f>
        <v>ALICIA SANCHEZ</v>
      </c>
    </row>
    <row r="1238" spans="1:9" x14ac:dyDescent="0.25">
      <c r="A1238" s="6">
        <v>43452</v>
      </c>
      <c r="B1238" t="s">
        <v>26</v>
      </c>
      <c r="C1238">
        <v>59748</v>
      </c>
      <c r="D1238" t="s">
        <v>653</v>
      </c>
      <c r="E1238" s="7">
        <v>90</v>
      </c>
      <c r="F1238" t="s">
        <v>20</v>
      </c>
      <c r="G1238" t="s">
        <v>21</v>
      </c>
      <c r="H1238" t="str">
        <f t="shared" si="14"/>
        <v>12/15/18 HOLD EXTR</v>
      </c>
      <c r="I1238" t="str">
        <f>"PATRICIA ALCOSER"</f>
        <v>PATRICIA ALCOSER</v>
      </c>
    </row>
    <row r="1239" spans="1:9" x14ac:dyDescent="0.25">
      <c r="A1239" s="6">
        <v>43452</v>
      </c>
      <c r="B1239" t="s">
        <v>26</v>
      </c>
      <c r="C1239">
        <v>59749</v>
      </c>
      <c r="D1239" t="s">
        <v>654</v>
      </c>
      <c r="E1239" s="7">
        <v>90</v>
      </c>
      <c r="F1239" t="s">
        <v>20</v>
      </c>
      <c r="G1239" t="s">
        <v>21</v>
      </c>
      <c r="H1239" t="str">
        <f t="shared" si="14"/>
        <v>12/15/18 HOLD EXTR</v>
      </c>
      <c r="I1239" t="str">
        <f>"ALEXIS B. LOPEZ"</f>
        <v>ALEXIS B. LOPEZ</v>
      </c>
    </row>
    <row r="1240" spans="1:9" x14ac:dyDescent="0.25">
      <c r="A1240" s="6">
        <v>43452</v>
      </c>
      <c r="B1240" t="s">
        <v>26</v>
      </c>
      <c r="C1240">
        <v>59750</v>
      </c>
      <c r="D1240" t="s">
        <v>655</v>
      </c>
      <c r="E1240" s="7">
        <v>90</v>
      </c>
      <c r="F1240" t="s">
        <v>20</v>
      </c>
      <c r="G1240" t="s">
        <v>21</v>
      </c>
      <c r="H1240" t="str">
        <f t="shared" si="14"/>
        <v>12/15/18 HOLD EXTR</v>
      </c>
      <c r="I1240" t="str">
        <f>"ZELDA M. LOPEZ"</f>
        <v>ZELDA M. LOPEZ</v>
      </c>
    </row>
    <row r="1241" spans="1:9" x14ac:dyDescent="0.25">
      <c r="A1241" s="6">
        <v>43452</v>
      </c>
      <c r="B1241" t="s">
        <v>26</v>
      </c>
      <c r="C1241">
        <v>59751</v>
      </c>
      <c r="D1241" t="s">
        <v>656</v>
      </c>
      <c r="E1241" s="7">
        <v>70</v>
      </c>
      <c r="F1241" t="s">
        <v>20</v>
      </c>
      <c r="G1241" t="s">
        <v>21</v>
      </c>
      <c r="H1241" t="str">
        <f t="shared" si="14"/>
        <v>12/15/18 HOLD EXTR</v>
      </c>
      <c r="I1241" t="str">
        <f>"SONIA ESTRADA"</f>
        <v>SONIA ESTRADA</v>
      </c>
    </row>
    <row r="1242" spans="1:9" x14ac:dyDescent="0.25">
      <c r="A1242" s="6">
        <v>43452</v>
      </c>
      <c r="B1242" t="s">
        <v>26</v>
      </c>
      <c r="C1242">
        <v>59752</v>
      </c>
      <c r="D1242" t="s">
        <v>657</v>
      </c>
      <c r="E1242" s="7">
        <v>120</v>
      </c>
      <c r="F1242" t="s">
        <v>20</v>
      </c>
      <c r="G1242" t="s">
        <v>21</v>
      </c>
      <c r="H1242" t="str">
        <f t="shared" si="14"/>
        <v>12/15/18 HOLD EXTR</v>
      </c>
      <c r="I1242" t="str">
        <f>"VALERIE VALERIO"</f>
        <v>VALERIE VALERIO</v>
      </c>
    </row>
    <row r="1243" spans="1:9" x14ac:dyDescent="0.25">
      <c r="A1243" s="6">
        <v>43452</v>
      </c>
      <c r="B1243" t="s">
        <v>26</v>
      </c>
      <c r="C1243">
        <v>59753</v>
      </c>
      <c r="D1243" t="s">
        <v>658</v>
      </c>
      <c r="E1243" s="7">
        <v>90</v>
      </c>
      <c r="F1243" t="s">
        <v>20</v>
      </c>
      <c r="G1243" t="s">
        <v>21</v>
      </c>
      <c r="H1243" t="str">
        <f t="shared" si="14"/>
        <v>12/15/18 HOLD EXTR</v>
      </c>
      <c r="I1243" t="str">
        <f>"MARIA O. TEJADA"</f>
        <v>MARIA O. TEJADA</v>
      </c>
    </row>
    <row r="1244" spans="1:9" x14ac:dyDescent="0.25">
      <c r="A1244" s="6">
        <v>43453</v>
      </c>
      <c r="B1244" t="s">
        <v>26</v>
      </c>
      <c r="C1244">
        <v>59754</v>
      </c>
      <c r="D1244" t="s">
        <v>59</v>
      </c>
      <c r="E1244" s="7">
        <v>3863.98</v>
      </c>
      <c r="F1244" t="s">
        <v>20</v>
      </c>
      <c r="G1244" t="s">
        <v>21</v>
      </c>
      <c r="H1244" t="str">
        <f>"0996371"</f>
        <v>0996371</v>
      </c>
      <c r="I1244" t="str">
        <f>"FERGUSON WATERWORKS - MUNICIPA"</f>
        <v>FERGUSON WATERWORKS - MUNICIPA</v>
      </c>
    </row>
    <row r="1245" spans="1:9" x14ac:dyDescent="0.25">
      <c r="A1245" s="6">
        <v>43453</v>
      </c>
      <c r="B1245" t="s">
        <v>26</v>
      </c>
      <c r="C1245">
        <v>59755</v>
      </c>
      <c r="D1245" t="s">
        <v>250</v>
      </c>
      <c r="E1245" s="7">
        <v>418.57</v>
      </c>
      <c r="F1245" t="s">
        <v>20</v>
      </c>
      <c r="G1245" t="s">
        <v>21</v>
      </c>
      <c r="H1245" t="str">
        <f>"C119410"</f>
        <v>C119410</v>
      </c>
      <c r="I1245" t="str">
        <f>"MATERA PAPER CO  LTD."</f>
        <v>MATERA PAPER CO  LTD.</v>
      </c>
    </row>
    <row r="1246" spans="1:9" x14ac:dyDescent="0.25">
      <c r="A1246" s="6">
        <v>43453</v>
      </c>
      <c r="B1246" t="s">
        <v>26</v>
      </c>
      <c r="C1246">
        <v>59756</v>
      </c>
      <c r="D1246" t="s">
        <v>264</v>
      </c>
      <c r="E1246" s="7">
        <v>42</v>
      </c>
      <c r="F1246" t="s">
        <v>20</v>
      </c>
      <c r="G1246" t="s">
        <v>21</v>
      </c>
      <c r="H1246" t="str">
        <f>"MEMBERSHIP 12/18"</f>
        <v>MEMBERSHIP 12/18</v>
      </c>
      <c r="I1246" t="str">
        <f>"ERS - TEXAS SOCIAL SECURITY PR"</f>
        <v>ERS - TEXAS SOCIAL SECURITY PR</v>
      </c>
    </row>
    <row r="1247" spans="1:9" x14ac:dyDescent="0.25">
      <c r="A1247" s="6">
        <v>43453</v>
      </c>
      <c r="B1247" t="s">
        <v>26</v>
      </c>
      <c r="C1247">
        <v>59757</v>
      </c>
      <c r="D1247" t="s">
        <v>419</v>
      </c>
      <c r="E1247" s="7">
        <v>150.31</v>
      </c>
      <c r="F1247" t="s">
        <v>20</v>
      </c>
      <c r="G1247" t="s">
        <v>21</v>
      </c>
      <c r="H1247" t="str">
        <f>"MANAGING PROPERT"</f>
        <v>MANAGING PROPERT</v>
      </c>
      <c r="I1247" t="str">
        <f>"GEORGE ORTIZ"</f>
        <v>GEORGE ORTIZ</v>
      </c>
    </row>
    <row r="1248" spans="1:9" x14ac:dyDescent="0.25">
      <c r="A1248" s="6">
        <v>43453</v>
      </c>
      <c r="B1248" t="s">
        <v>26</v>
      </c>
      <c r="C1248">
        <v>59758</v>
      </c>
      <c r="D1248" t="s">
        <v>29</v>
      </c>
      <c r="E1248" s="7">
        <v>3787.5</v>
      </c>
      <c r="F1248" t="s">
        <v>20</v>
      </c>
      <c r="G1248" t="s">
        <v>21</v>
      </c>
      <c r="H1248" t="str">
        <f>"34751"</f>
        <v>34751</v>
      </c>
      <c r="I1248" t="str">
        <f>"M &amp; S ENGINEERING  LLC"</f>
        <v>M &amp; S ENGINEERING  LLC</v>
      </c>
    </row>
    <row r="1249" spans="1:9" x14ac:dyDescent="0.25">
      <c r="A1249" s="6">
        <v>43453</v>
      </c>
      <c r="B1249" t="s">
        <v>26</v>
      </c>
      <c r="C1249">
        <v>59758</v>
      </c>
      <c r="D1249" t="s">
        <v>29</v>
      </c>
      <c r="E1249" s="7">
        <v>3787.5</v>
      </c>
      <c r="F1249" t="s">
        <v>20</v>
      </c>
      <c r="G1249" t="s">
        <v>21</v>
      </c>
      <c r="H1249" t="str">
        <f>"34752"</f>
        <v>34752</v>
      </c>
      <c r="I1249" t="str">
        <f>"M &amp; S ENGINEERING  LLC"</f>
        <v>M &amp; S ENGINEERING  LLC</v>
      </c>
    </row>
    <row r="1250" spans="1:9" x14ac:dyDescent="0.25">
      <c r="A1250" s="6">
        <v>43453</v>
      </c>
      <c r="B1250" t="s">
        <v>26</v>
      </c>
      <c r="C1250">
        <v>59759</v>
      </c>
      <c r="D1250" t="s">
        <v>122</v>
      </c>
      <c r="E1250" s="7">
        <v>15</v>
      </c>
      <c r="F1250" t="s">
        <v>20</v>
      </c>
      <c r="G1250" t="s">
        <v>21</v>
      </c>
      <c r="H1250" t="str">
        <f>"122793"</f>
        <v>122793</v>
      </c>
      <c r="I1250" t="str">
        <f>"VILLA TIRES"</f>
        <v>VILLA TIRES</v>
      </c>
    </row>
    <row r="1251" spans="1:9" x14ac:dyDescent="0.25">
      <c r="A1251" s="6">
        <v>43453</v>
      </c>
      <c r="B1251" t="s">
        <v>26</v>
      </c>
      <c r="C1251">
        <v>59760</v>
      </c>
      <c r="D1251" t="s">
        <v>137</v>
      </c>
      <c r="E1251" s="7">
        <v>121.9</v>
      </c>
      <c r="F1251" t="s">
        <v>20</v>
      </c>
      <c r="G1251" t="s">
        <v>21</v>
      </c>
      <c r="H1251" t="str">
        <f>"6102"</f>
        <v>6102</v>
      </c>
      <c r="I1251" t="str">
        <f>"OMNIBUS-M  INC.D.B.A."</f>
        <v>OMNIBUS-M  INC.D.B.A.</v>
      </c>
    </row>
    <row r="1252" spans="1:9" x14ac:dyDescent="0.25">
      <c r="A1252" s="6">
        <v>43453</v>
      </c>
      <c r="B1252" t="s">
        <v>26</v>
      </c>
      <c r="C1252">
        <v>59760</v>
      </c>
      <c r="D1252" t="s">
        <v>137</v>
      </c>
      <c r="E1252" s="7">
        <v>121.9</v>
      </c>
      <c r="F1252" t="s">
        <v>20</v>
      </c>
      <c r="G1252" t="s">
        <v>21</v>
      </c>
      <c r="H1252" t="str">
        <f>"6103"</f>
        <v>6103</v>
      </c>
      <c r="I1252" t="str">
        <f>"OMNIBUS-M  INC.D.B.A."</f>
        <v>OMNIBUS-M  INC.D.B.A.</v>
      </c>
    </row>
    <row r="1253" spans="1:9" x14ac:dyDescent="0.25">
      <c r="A1253" s="6">
        <v>43453</v>
      </c>
      <c r="B1253" t="s">
        <v>26</v>
      </c>
      <c r="C1253">
        <v>59761</v>
      </c>
      <c r="D1253" t="s">
        <v>79</v>
      </c>
      <c r="E1253" s="7">
        <v>6.1</v>
      </c>
      <c r="F1253" t="s">
        <v>20</v>
      </c>
      <c r="G1253" t="s">
        <v>21</v>
      </c>
      <c r="H1253" t="str">
        <f>"6-398-48662"</f>
        <v>6-398-48662</v>
      </c>
      <c r="I1253" t="str">
        <f>"FEDEX"</f>
        <v>FEDEX</v>
      </c>
    </row>
    <row r="1254" spans="1:9" x14ac:dyDescent="0.25">
      <c r="A1254" s="6">
        <v>43453</v>
      </c>
      <c r="B1254" t="s">
        <v>26</v>
      </c>
      <c r="C1254">
        <v>59762</v>
      </c>
      <c r="D1254" t="s">
        <v>512</v>
      </c>
      <c r="E1254" s="7">
        <v>157.84</v>
      </c>
      <c r="F1254" t="s">
        <v>20</v>
      </c>
      <c r="G1254" t="s">
        <v>21</v>
      </c>
      <c r="H1254" t="str">
        <f>"110467496"</f>
        <v>110467496</v>
      </c>
      <c r="I1254" t="str">
        <f>"PENS"</f>
        <v>PENS</v>
      </c>
    </row>
    <row r="1255" spans="1:9" x14ac:dyDescent="0.25">
      <c r="A1255" s="6">
        <v>43453</v>
      </c>
      <c r="B1255" t="s">
        <v>26</v>
      </c>
      <c r="C1255">
        <v>59763</v>
      </c>
      <c r="D1255" t="s">
        <v>131</v>
      </c>
      <c r="E1255" s="7">
        <v>35.46</v>
      </c>
      <c r="F1255" t="s">
        <v>20</v>
      </c>
      <c r="G1255" t="s">
        <v>21</v>
      </c>
      <c r="H1255" t="str">
        <f>"035859"</f>
        <v>035859</v>
      </c>
      <c r="I1255" t="str">
        <f>"AIRHOSE"</f>
        <v>AIRHOSE</v>
      </c>
    </row>
    <row r="1256" spans="1:9" x14ac:dyDescent="0.25">
      <c r="A1256" s="6">
        <v>43453</v>
      </c>
      <c r="B1256" t="s">
        <v>91</v>
      </c>
      <c r="C1256">
        <v>59764</v>
      </c>
      <c r="D1256" t="s">
        <v>85</v>
      </c>
      <c r="E1256" s="7">
        <v>3913.01</v>
      </c>
      <c r="F1256" t="s">
        <v>20</v>
      </c>
      <c r="G1256" t="s">
        <v>21</v>
      </c>
      <c r="H1256" t="str">
        <f>"8301970021 12/18"</f>
        <v>8301970021 12/18</v>
      </c>
      <c r="I1256" t="str">
        <f>"FRONTIER"</f>
        <v>FRONTIER</v>
      </c>
    </row>
    <row r="1257" spans="1:9" x14ac:dyDescent="0.25">
      <c r="A1257" s="6">
        <v>43453</v>
      </c>
      <c r="B1257" t="s">
        <v>91</v>
      </c>
      <c r="C1257">
        <v>59764</v>
      </c>
      <c r="D1257" t="s">
        <v>85</v>
      </c>
      <c r="E1257" s="7">
        <v>3913.01</v>
      </c>
      <c r="F1257" t="s">
        <v>20</v>
      </c>
      <c r="G1257" t="s">
        <v>21</v>
      </c>
      <c r="H1257" t="str">
        <f>"8303934055 12/18"</f>
        <v>8303934055 12/18</v>
      </c>
      <c r="I1257" t="str">
        <f>"FRONTIER"</f>
        <v>FRONTIER</v>
      </c>
    </row>
    <row r="1258" spans="1:9" x14ac:dyDescent="0.25">
      <c r="A1258" s="6">
        <v>43453</v>
      </c>
      <c r="B1258" t="s">
        <v>91</v>
      </c>
      <c r="C1258">
        <v>59764</v>
      </c>
      <c r="D1258" t="s">
        <v>85</v>
      </c>
      <c r="E1258" s="7">
        <v>3913.01</v>
      </c>
      <c r="F1258" t="s">
        <v>20</v>
      </c>
      <c r="G1258" t="s">
        <v>21</v>
      </c>
      <c r="H1258" t="str">
        <f>"LICENCES 12/2018"</f>
        <v>LICENCES 12/2018</v>
      </c>
      <c r="I1258" t="str">
        <f>"FRONTIER"</f>
        <v>FRONTIER</v>
      </c>
    </row>
    <row r="1259" spans="1:9" x14ac:dyDescent="0.25">
      <c r="A1259" s="6">
        <v>43453</v>
      </c>
      <c r="B1259" t="s">
        <v>91</v>
      </c>
      <c r="C1259">
        <v>59764</v>
      </c>
      <c r="D1259" t="s">
        <v>85</v>
      </c>
      <c r="E1259" s="7">
        <v>3913.01</v>
      </c>
      <c r="F1259" t="s">
        <v>20</v>
      </c>
      <c r="G1259" t="s">
        <v>93</v>
      </c>
      <c r="H1259" t="str">
        <f>"CHECK"</f>
        <v>CHECK</v>
      </c>
      <c r="I1259" t="str">
        <f>""</f>
        <v/>
      </c>
    </row>
    <row r="1260" spans="1:9" x14ac:dyDescent="0.25">
      <c r="A1260" s="6">
        <v>43453</v>
      </c>
      <c r="B1260" t="s">
        <v>26</v>
      </c>
      <c r="C1260">
        <v>59765</v>
      </c>
      <c r="D1260" t="s">
        <v>194</v>
      </c>
      <c r="E1260" s="7">
        <v>1011.83</v>
      </c>
      <c r="F1260" t="s">
        <v>20</v>
      </c>
      <c r="G1260" t="s">
        <v>21</v>
      </c>
      <c r="H1260" t="str">
        <f>"011344023"</f>
        <v>011344023</v>
      </c>
      <c r="I1260" t="str">
        <f>"GALLS  LLC-D.B.A. STERLING'S U"</f>
        <v>GALLS  LLC-D.B.A. STERLING'S U</v>
      </c>
    </row>
    <row r="1261" spans="1:9" x14ac:dyDescent="0.25">
      <c r="A1261" s="6">
        <v>43453</v>
      </c>
      <c r="B1261" t="s">
        <v>26</v>
      </c>
      <c r="C1261">
        <v>59765</v>
      </c>
      <c r="D1261" t="s">
        <v>194</v>
      </c>
      <c r="E1261" s="7">
        <v>1011.83</v>
      </c>
      <c r="F1261" t="s">
        <v>20</v>
      </c>
      <c r="G1261" t="s">
        <v>21</v>
      </c>
      <c r="H1261" t="str">
        <f>"011344060"</f>
        <v>011344060</v>
      </c>
      <c r="I1261" t="str">
        <f>"GALLS  LLC-D.B.A. STERLING'S U"</f>
        <v>GALLS  LLC-D.B.A. STERLING'S U</v>
      </c>
    </row>
    <row r="1262" spans="1:9" x14ac:dyDescent="0.25">
      <c r="A1262" s="6">
        <v>43453</v>
      </c>
      <c r="B1262" t="s">
        <v>26</v>
      </c>
      <c r="C1262">
        <v>59765</v>
      </c>
      <c r="D1262" t="s">
        <v>194</v>
      </c>
      <c r="E1262" s="7">
        <v>1011.83</v>
      </c>
      <c r="F1262" t="s">
        <v>20</v>
      </c>
      <c r="G1262" t="s">
        <v>21</v>
      </c>
      <c r="H1262" t="str">
        <f>"011382336"</f>
        <v>011382336</v>
      </c>
      <c r="I1262" t="str">
        <f>"GALLS  LLC-D.B.A. STERLING'S U"</f>
        <v>GALLS  LLC-D.B.A. STERLING'S U</v>
      </c>
    </row>
    <row r="1263" spans="1:9" x14ac:dyDescent="0.25">
      <c r="A1263" s="6">
        <v>43453</v>
      </c>
      <c r="B1263" t="s">
        <v>26</v>
      </c>
      <c r="C1263">
        <v>59765</v>
      </c>
      <c r="D1263" t="s">
        <v>194</v>
      </c>
      <c r="E1263" s="7">
        <v>1011.83</v>
      </c>
      <c r="F1263" t="s">
        <v>20</v>
      </c>
      <c r="G1263" t="s">
        <v>21</v>
      </c>
      <c r="H1263" t="str">
        <f>"BC0719996"</f>
        <v>BC0719996</v>
      </c>
      <c r="I1263" t="str">
        <f>"GALLS  LLC-D.B.A. STERLING'S U"</f>
        <v>GALLS  LLC-D.B.A. STERLING'S U</v>
      </c>
    </row>
    <row r="1264" spans="1:9" x14ac:dyDescent="0.25">
      <c r="A1264" s="6">
        <v>43453</v>
      </c>
      <c r="B1264" t="s">
        <v>26</v>
      </c>
      <c r="C1264">
        <v>59766</v>
      </c>
      <c r="D1264" t="s">
        <v>208</v>
      </c>
      <c r="E1264" s="7">
        <v>19610</v>
      </c>
      <c r="F1264" t="s">
        <v>20</v>
      </c>
      <c r="G1264" t="s">
        <v>21</v>
      </c>
      <c r="H1264" t="str">
        <f>"426086-2"</f>
        <v>426086-2</v>
      </c>
      <c r="I1264" t="str">
        <f>"CARLOS ORTIZ"</f>
        <v>CARLOS ORTIZ</v>
      </c>
    </row>
    <row r="1265" spans="1:9" x14ac:dyDescent="0.25">
      <c r="A1265" s="6">
        <v>43453</v>
      </c>
      <c r="B1265" t="s">
        <v>26</v>
      </c>
      <c r="C1265">
        <v>59766</v>
      </c>
      <c r="D1265" t="s">
        <v>208</v>
      </c>
      <c r="E1265" s="7">
        <v>19610</v>
      </c>
      <c r="F1265" t="s">
        <v>20</v>
      </c>
      <c r="G1265" t="s">
        <v>21</v>
      </c>
      <c r="H1265" t="str">
        <f>"426087"</f>
        <v>426087</v>
      </c>
      <c r="I1265" t="str">
        <f>"CARLOS ORTIZ"</f>
        <v>CARLOS ORTIZ</v>
      </c>
    </row>
    <row r="1266" spans="1:9" x14ac:dyDescent="0.25">
      <c r="A1266" s="6">
        <v>43453</v>
      </c>
      <c r="B1266" t="s">
        <v>26</v>
      </c>
      <c r="C1266">
        <v>59767</v>
      </c>
      <c r="D1266" t="s">
        <v>276</v>
      </c>
      <c r="E1266" s="7">
        <v>93.75</v>
      </c>
      <c r="F1266" t="s">
        <v>20</v>
      </c>
      <c r="G1266" t="s">
        <v>21</v>
      </c>
      <c r="H1266" t="str">
        <f>"00002770"</f>
        <v>00002770</v>
      </c>
      <c r="I1266" t="str">
        <f>"BELT CLIPS"</f>
        <v>BELT CLIPS</v>
      </c>
    </row>
    <row r="1267" spans="1:9" x14ac:dyDescent="0.25">
      <c r="A1267" s="6">
        <v>43453</v>
      </c>
      <c r="B1267" t="s">
        <v>26</v>
      </c>
      <c r="C1267">
        <v>59768</v>
      </c>
      <c r="D1267" t="s">
        <v>618</v>
      </c>
      <c r="E1267" s="7">
        <v>1001</v>
      </c>
      <c r="F1267" t="s">
        <v>20</v>
      </c>
      <c r="G1267" t="s">
        <v>21</v>
      </c>
      <c r="H1267" t="str">
        <f>"12/19/18"</f>
        <v>12/19/18</v>
      </c>
      <c r="I1267" t="str">
        <f>"SYLVIA TREVINO"</f>
        <v>SYLVIA TREVINO</v>
      </c>
    </row>
    <row r="1268" spans="1:9" x14ac:dyDescent="0.25">
      <c r="A1268" s="6">
        <v>43453</v>
      </c>
      <c r="B1268" t="s">
        <v>26</v>
      </c>
      <c r="C1268">
        <v>59769</v>
      </c>
      <c r="D1268" t="s">
        <v>92</v>
      </c>
      <c r="E1268" s="7">
        <v>40926.660000000003</v>
      </c>
      <c r="F1268" t="s">
        <v>20</v>
      </c>
      <c r="G1268" t="s">
        <v>24</v>
      </c>
      <c r="H1268" t="str">
        <f>"TMRS 12/2018"</f>
        <v>TMRS 12/2018</v>
      </c>
      <c r="I1268" t="str">
        <f>"TEXAS MUNICIPAL RETIREMENT SYS"</f>
        <v>TEXAS MUNICIPAL RETIREMENT SYS</v>
      </c>
    </row>
    <row r="1269" spans="1:9" x14ac:dyDescent="0.25">
      <c r="A1269" s="6">
        <v>43453</v>
      </c>
      <c r="B1269" t="s">
        <v>26</v>
      </c>
      <c r="C1269">
        <v>59769</v>
      </c>
      <c r="D1269" t="s">
        <v>92</v>
      </c>
      <c r="E1269" s="7">
        <v>40926.660000000003</v>
      </c>
      <c r="F1269" t="s">
        <v>20</v>
      </c>
      <c r="G1269" t="s">
        <v>21</v>
      </c>
      <c r="H1269" t="str">
        <f>"11/2018"</f>
        <v>11/2018</v>
      </c>
      <c r="I1269" t="str">
        <f>"TEXAS MUNICIPAL RETIREMENT SYS"</f>
        <v>TEXAS MUNICIPAL RETIREMENT SYS</v>
      </c>
    </row>
    <row r="1270" spans="1:9" x14ac:dyDescent="0.25">
      <c r="A1270" s="6">
        <v>43453</v>
      </c>
      <c r="B1270" t="s">
        <v>26</v>
      </c>
      <c r="C1270">
        <v>59769</v>
      </c>
      <c r="D1270" t="s">
        <v>92</v>
      </c>
      <c r="E1270" s="7">
        <v>40926.660000000003</v>
      </c>
      <c r="F1270" t="s">
        <v>20</v>
      </c>
      <c r="G1270" t="s">
        <v>21</v>
      </c>
      <c r="H1270" t="str">
        <f>"RET201812188503"</f>
        <v>RET201812188503</v>
      </c>
      <c r="I1270" t="str">
        <f>"TMRS CITY OF FLORESVILLE"</f>
        <v>TMRS CITY OF FLORESVILLE</v>
      </c>
    </row>
    <row r="1271" spans="1:9" x14ac:dyDescent="0.25">
      <c r="A1271" s="6">
        <v>43453</v>
      </c>
      <c r="B1271" t="s">
        <v>26</v>
      </c>
      <c r="C1271">
        <v>59773</v>
      </c>
      <c r="D1271" t="s">
        <v>192</v>
      </c>
      <c r="E1271" s="7">
        <v>2409.62</v>
      </c>
      <c r="F1271" t="s">
        <v>20</v>
      </c>
      <c r="G1271" t="s">
        <v>21</v>
      </c>
      <c r="H1271" t="str">
        <f>"61798270"</f>
        <v>61798270</v>
      </c>
      <c r="I1271" t="str">
        <f>"DE LAGE LANDEN PUBLIC FINANCE"</f>
        <v>DE LAGE LANDEN PUBLIC FINANCE</v>
      </c>
    </row>
    <row r="1272" spans="1:9" x14ac:dyDescent="0.25">
      <c r="A1272" s="6">
        <v>43460</v>
      </c>
      <c r="B1272" t="s">
        <v>26</v>
      </c>
      <c r="C1272">
        <v>59774</v>
      </c>
      <c r="D1272" t="s">
        <v>158</v>
      </c>
      <c r="E1272" s="7">
        <v>950</v>
      </c>
      <c r="F1272" t="s">
        <v>20</v>
      </c>
      <c r="G1272" t="s">
        <v>21</v>
      </c>
      <c r="H1272" t="str">
        <f>"JAN/FEB 2019 BRDL"</f>
        <v>JAN/FEB 2019 BRDL</v>
      </c>
      <c r="I1272" t="str">
        <f>"GEORGE NICKLAS SILVA"</f>
        <v>GEORGE NICKLAS SILVA</v>
      </c>
    </row>
    <row r="1273" spans="1:9" x14ac:dyDescent="0.25">
      <c r="A1273" s="6">
        <v>43467</v>
      </c>
      <c r="B1273" t="s">
        <v>26</v>
      </c>
      <c r="C1273">
        <v>59775</v>
      </c>
      <c r="D1273" t="s">
        <v>90</v>
      </c>
      <c r="E1273" s="7">
        <v>2169.6</v>
      </c>
      <c r="F1273" t="s">
        <v>20</v>
      </c>
      <c r="G1273" t="s">
        <v>329</v>
      </c>
      <c r="H1273" t="str">
        <f>"1/2/19"</f>
        <v>1/2/19</v>
      </c>
      <c r="I1273" t="str">
        <f>"AFLAC"</f>
        <v>AFLAC</v>
      </c>
    </row>
    <row r="1274" spans="1:9" x14ac:dyDescent="0.25">
      <c r="A1274" s="6">
        <v>43467</v>
      </c>
      <c r="B1274" t="s">
        <v>26</v>
      </c>
      <c r="C1274">
        <v>59775</v>
      </c>
      <c r="D1274" t="s">
        <v>90</v>
      </c>
      <c r="E1274" s="7">
        <v>2169.6</v>
      </c>
      <c r="F1274" t="s">
        <v>20</v>
      </c>
      <c r="G1274" t="s">
        <v>21</v>
      </c>
      <c r="H1274" t="str">
        <f>"ACA201812048502"</f>
        <v>ACA201812048502</v>
      </c>
      <c r="I1274" t="str">
        <f>"AFLAC INSURANCE"</f>
        <v>AFLAC INSURANCE</v>
      </c>
    </row>
    <row r="1275" spans="1:9" x14ac:dyDescent="0.25">
      <c r="A1275" s="6">
        <v>43467</v>
      </c>
      <c r="B1275" t="s">
        <v>26</v>
      </c>
      <c r="C1275">
        <v>59775</v>
      </c>
      <c r="D1275" t="s">
        <v>90</v>
      </c>
      <c r="E1275" s="7">
        <v>2169.6</v>
      </c>
      <c r="F1275" t="s">
        <v>20</v>
      </c>
      <c r="G1275" t="s">
        <v>21</v>
      </c>
      <c r="H1275" t="str">
        <f>"ACA201812188503"</f>
        <v>ACA201812188503</v>
      </c>
      <c r="I1275" t="str">
        <f>"AFLAC INSURANCE"</f>
        <v>AFLAC INSURANCE</v>
      </c>
    </row>
    <row r="1276" spans="1:9" x14ac:dyDescent="0.25">
      <c r="A1276" s="6">
        <v>43467</v>
      </c>
      <c r="B1276" t="s">
        <v>26</v>
      </c>
      <c r="C1276">
        <v>59775</v>
      </c>
      <c r="D1276" t="s">
        <v>90</v>
      </c>
      <c r="E1276" s="7">
        <v>2169.6</v>
      </c>
      <c r="F1276" t="s">
        <v>20</v>
      </c>
      <c r="G1276" t="s">
        <v>21</v>
      </c>
      <c r="H1276" t="str">
        <f>"AD2201812048502"</f>
        <v>AD2201812048502</v>
      </c>
      <c r="I1276" t="str">
        <f>"AFLAC INSURANCE"</f>
        <v>AFLAC INSURANCE</v>
      </c>
    </row>
    <row r="1277" spans="1:9" x14ac:dyDescent="0.25">
      <c r="A1277" s="6">
        <v>43467</v>
      </c>
      <c r="B1277" t="s">
        <v>26</v>
      </c>
      <c r="C1277">
        <v>59775</v>
      </c>
      <c r="D1277" t="s">
        <v>90</v>
      </c>
      <c r="E1277" s="7">
        <v>2169.6</v>
      </c>
      <c r="F1277" t="s">
        <v>20</v>
      </c>
      <c r="G1277" t="s">
        <v>21</v>
      </c>
      <c r="H1277" t="str">
        <f>"AD2201812188503"</f>
        <v>AD2201812188503</v>
      </c>
      <c r="I1277" t="str">
        <f>"AFLAC INSURANCE"</f>
        <v>AFLAC INSURANCE</v>
      </c>
    </row>
    <row r="1278" spans="1:9" x14ac:dyDescent="0.25">
      <c r="A1278" s="6">
        <v>43467</v>
      </c>
      <c r="B1278" t="s">
        <v>26</v>
      </c>
      <c r="C1278">
        <v>59775</v>
      </c>
      <c r="D1278" t="s">
        <v>90</v>
      </c>
      <c r="E1278" s="7">
        <v>2169.6</v>
      </c>
      <c r="F1278" t="s">
        <v>20</v>
      </c>
      <c r="G1278" t="s">
        <v>21</v>
      </c>
      <c r="H1278" t="str">
        <f>"ADR201812048502"</f>
        <v>ADR201812048502</v>
      </c>
      <c r="I1278" t="str">
        <f>"INSURANCE"</f>
        <v>INSURANCE</v>
      </c>
    </row>
    <row r="1279" spans="1:9" x14ac:dyDescent="0.25">
      <c r="A1279" s="6">
        <v>43467</v>
      </c>
      <c r="B1279" t="s">
        <v>26</v>
      </c>
      <c r="C1279">
        <v>59775</v>
      </c>
      <c r="D1279" t="s">
        <v>90</v>
      </c>
      <c r="E1279" s="7">
        <v>2169.6</v>
      </c>
      <c r="F1279" t="s">
        <v>20</v>
      </c>
      <c r="G1279" t="s">
        <v>21</v>
      </c>
      <c r="H1279" t="str">
        <f>"ADR201812188503"</f>
        <v>ADR201812188503</v>
      </c>
      <c r="I1279" t="str">
        <f>"INSURANCE"</f>
        <v>INSURANCE</v>
      </c>
    </row>
    <row r="1280" spans="1:9" x14ac:dyDescent="0.25">
      <c r="A1280" s="6">
        <v>43467</v>
      </c>
      <c r="B1280" t="s">
        <v>26</v>
      </c>
      <c r="C1280">
        <v>59775</v>
      </c>
      <c r="D1280" t="s">
        <v>90</v>
      </c>
      <c r="E1280" s="7">
        <v>2169.6</v>
      </c>
      <c r="F1280" t="s">
        <v>20</v>
      </c>
      <c r="G1280" t="s">
        <v>21</v>
      </c>
      <c r="H1280" t="str">
        <f>"AF1201812048502"</f>
        <v>AF1201812048502</v>
      </c>
      <c r="I1280" t="str">
        <f t="shared" ref="I1280:I1285" si="15">"AFLAC INSURANCE"</f>
        <v>AFLAC INSURANCE</v>
      </c>
    </row>
    <row r="1281" spans="1:9" x14ac:dyDescent="0.25">
      <c r="A1281" s="6">
        <v>43467</v>
      </c>
      <c r="B1281" t="s">
        <v>26</v>
      </c>
      <c r="C1281">
        <v>59775</v>
      </c>
      <c r="D1281" t="s">
        <v>90</v>
      </c>
      <c r="E1281" s="7">
        <v>2169.6</v>
      </c>
      <c r="F1281" t="s">
        <v>20</v>
      </c>
      <c r="G1281" t="s">
        <v>21</v>
      </c>
      <c r="H1281" t="str">
        <f>"AF1201812188503"</f>
        <v>AF1201812188503</v>
      </c>
      <c r="I1281" t="str">
        <f t="shared" si="15"/>
        <v>AFLAC INSURANCE</v>
      </c>
    </row>
    <row r="1282" spans="1:9" x14ac:dyDescent="0.25">
      <c r="A1282" s="6">
        <v>43467</v>
      </c>
      <c r="B1282" t="s">
        <v>26</v>
      </c>
      <c r="C1282">
        <v>59775</v>
      </c>
      <c r="D1282" t="s">
        <v>90</v>
      </c>
      <c r="E1282" s="7">
        <v>2169.6</v>
      </c>
      <c r="F1282" t="s">
        <v>20</v>
      </c>
      <c r="G1282" t="s">
        <v>21</v>
      </c>
      <c r="H1282" t="str">
        <f>"ASP201812048502"</f>
        <v>ASP201812048502</v>
      </c>
      <c r="I1282" t="str">
        <f t="shared" si="15"/>
        <v>AFLAC INSURANCE</v>
      </c>
    </row>
    <row r="1283" spans="1:9" x14ac:dyDescent="0.25">
      <c r="A1283" s="6">
        <v>43467</v>
      </c>
      <c r="B1283" t="s">
        <v>26</v>
      </c>
      <c r="C1283">
        <v>59775</v>
      </c>
      <c r="D1283" t="s">
        <v>90</v>
      </c>
      <c r="E1283" s="7">
        <v>2169.6</v>
      </c>
      <c r="F1283" t="s">
        <v>20</v>
      </c>
      <c r="G1283" t="s">
        <v>21</v>
      </c>
      <c r="H1283" t="str">
        <f>"ASP201812188503"</f>
        <v>ASP201812188503</v>
      </c>
      <c r="I1283" t="str">
        <f t="shared" si="15"/>
        <v>AFLAC INSURANCE</v>
      </c>
    </row>
    <row r="1284" spans="1:9" x14ac:dyDescent="0.25">
      <c r="A1284" s="6">
        <v>43467</v>
      </c>
      <c r="B1284" t="s">
        <v>26</v>
      </c>
      <c r="C1284">
        <v>59775</v>
      </c>
      <c r="D1284" t="s">
        <v>90</v>
      </c>
      <c r="E1284" s="7">
        <v>2169.6</v>
      </c>
      <c r="F1284" t="s">
        <v>20</v>
      </c>
      <c r="G1284" t="s">
        <v>21</v>
      </c>
      <c r="H1284" t="str">
        <f>"HCO201812048502"</f>
        <v>HCO201812048502</v>
      </c>
      <c r="I1284" t="str">
        <f t="shared" si="15"/>
        <v>AFLAC INSURANCE</v>
      </c>
    </row>
    <row r="1285" spans="1:9" x14ac:dyDescent="0.25">
      <c r="A1285" s="6">
        <v>43467</v>
      </c>
      <c r="B1285" t="s">
        <v>26</v>
      </c>
      <c r="C1285">
        <v>59775</v>
      </c>
      <c r="D1285" t="s">
        <v>90</v>
      </c>
      <c r="E1285" s="7">
        <v>2169.6</v>
      </c>
      <c r="F1285" t="s">
        <v>20</v>
      </c>
      <c r="G1285" t="s">
        <v>21</v>
      </c>
      <c r="H1285" t="str">
        <f>"HCO201812188503"</f>
        <v>HCO201812188503</v>
      </c>
      <c r="I1285" t="str">
        <f t="shared" si="15"/>
        <v>AFLAC INSURANCE</v>
      </c>
    </row>
    <row r="1286" spans="1:9" x14ac:dyDescent="0.25">
      <c r="A1286" s="6">
        <v>43467</v>
      </c>
      <c r="B1286" t="s">
        <v>26</v>
      </c>
      <c r="C1286">
        <v>59780</v>
      </c>
      <c r="D1286" t="s">
        <v>95</v>
      </c>
      <c r="E1286" s="7">
        <v>64.959999999999994</v>
      </c>
      <c r="F1286" t="s">
        <v>20</v>
      </c>
      <c r="G1286" t="s">
        <v>329</v>
      </c>
      <c r="H1286" t="str">
        <f>"1/2/19"</f>
        <v>1/2/19</v>
      </c>
      <c r="I1286" t="str">
        <f>"LEGAL PLANS"</f>
        <v>LEGAL PLANS</v>
      </c>
    </row>
    <row r="1287" spans="1:9" x14ac:dyDescent="0.25">
      <c r="A1287" s="6">
        <v>43467</v>
      </c>
      <c r="B1287" t="s">
        <v>26</v>
      </c>
      <c r="C1287">
        <v>59780</v>
      </c>
      <c r="D1287" t="s">
        <v>95</v>
      </c>
      <c r="E1287" s="7">
        <v>64.959999999999994</v>
      </c>
      <c r="F1287" t="s">
        <v>20</v>
      </c>
      <c r="G1287" t="s">
        <v>21</v>
      </c>
      <c r="H1287" t="str">
        <f>"LEA201812188503"</f>
        <v>LEA201812188503</v>
      </c>
      <c r="I1287" t="str">
        <f>"INSURANCE"</f>
        <v>INSURANCE</v>
      </c>
    </row>
    <row r="1288" spans="1:9" x14ac:dyDescent="0.25">
      <c r="A1288" s="6">
        <v>43467</v>
      </c>
      <c r="B1288" t="s">
        <v>26</v>
      </c>
      <c r="C1288">
        <v>59781</v>
      </c>
      <c r="D1288" t="s">
        <v>96</v>
      </c>
      <c r="E1288" s="7">
        <v>426.32</v>
      </c>
      <c r="F1288" t="s">
        <v>20</v>
      </c>
      <c r="G1288" t="s">
        <v>329</v>
      </c>
      <c r="H1288" t="str">
        <f>"1/2/19"</f>
        <v>1/2/19</v>
      </c>
      <c r="I1288" t="str">
        <f>"LEGALSHIELD"</f>
        <v>LEGALSHIELD</v>
      </c>
    </row>
    <row r="1289" spans="1:9" x14ac:dyDescent="0.25">
      <c r="A1289" s="6">
        <v>43467</v>
      </c>
      <c r="B1289" t="s">
        <v>26</v>
      </c>
      <c r="C1289">
        <v>59781</v>
      </c>
      <c r="D1289" t="s">
        <v>96</v>
      </c>
      <c r="E1289" s="7">
        <v>426.32</v>
      </c>
      <c r="F1289" t="s">
        <v>20</v>
      </c>
      <c r="G1289" t="s">
        <v>21</v>
      </c>
      <c r="H1289" t="str">
        <f>"PPL201812188503"</f>
        <v>PPL201812188503</v>
      </c>
      <c r="I1289" t="str">
        <f>"INSURANCE"</f>
        <v>INSURANCE</v>
      </c>
    </row>
    <row r="1290" spans="1:9" x14ac:dyDescent="0.25">
      <c r="A1290" s="6">
        <v>43467</v>
      </c>
      <c r="B1290" t="s">
        <v>26</v>
      </c>
      <c r="C1290">
        <v>59782</v>
      </c>
      <c r="D1290" t="s">
        <v>97</v>
      </c>
      <c r="E1290" s="7">
        <v>2331.42</v>
      </c>
      <c r="F1290" t="s">
        <v>20</v>
      </c>
      <c r="G1290" t="s">
        <v>24</v>
      </c>
      <c r="H1290" t="str">
        <f>"1/2/19"</f>
        <v>1/2/19</v>
      </c>
      <c r="I1290" t="str">
        <f>"HEALTH CARE SERVICE CORPORATIO"</f>
        <v>HEALTH CARE SERVICE CORPORATIO</v>
      </c>
    </row>
    <row r="1291" spans="1:9" x14ac:dyDescent="0.25">
      <c r="A1291" s="6">
        <v>43467</v>
      </c>
      <c r="B1291" t="s">
        <v>26</v>
      </c>
      <c r="C1291">
        <v>59782</v>
      </c>
      <c r="D1291" t="s">
        <v>97</v>
      </c>
      <c r="E1291" s="7">
        <v>2331.42</v>
      </c>
      <c r="F1291" t="s">
        <v>20</v>
      </c>
      <c r="G1291" t="s">
        <v>21</v>
      </c>
      <c r="H1291" t="str">
        <f>"DEN201812188503"</f>
        <v>DEN201812188503</v>
      </c>
      <c r="I1291" t="str">
        <f>"DENTAL INSURANCE"</f>
        <v>DENTAL INSURANCE</v>
      </c>
    </row>
    <row r="1292" spans="1:9" x14ac:dyDescent="0.25">
      <c r="A1292" s="6">
        <v>43467</v>
      </c>
      <c r="B1292" t="s">
        <v>26</v>
      </c>
      <c r="C1292">
        <v>59782</v>
      </c>
      <c r="D1292" t="s">
        <v>97</v>
      </c>
      <c r="E1292" s="7">
        <v>2331.42</v>
      </c>
      <c r="F1292" t="s">
        <v>20</v>
      </c>
      <c r="G1292" t="s">
        <v>21</v>
      </c>
      <c r="H1292" t="str">
        <f>"MED201812188503"</f>
        <v>MED201812188503</v>
      </c>
      <c r="I1292" t="str">
        <f>"HEALTH &amp; DENTAL INSURANCE"</f>
        <v>HEALTH &amp; DENTAL INSURANCE</v>
      </c>
    </row>
    <row r="1293" spans="1:9" x14ac:dyDescent="0.25">
      <c r="A1293" s="6">
        <v>43467</v>
      </c>
      <c r="B1293" t="s">
        <v>26</v>
      </c>
      <c r="C1293">
        <v>59785</v>
      </c>
      <c r="D1293" t="s">
        <v>98</v>
      </c>
      <c r="E1293" s="7">
        <v>3950.55</v>
      </c>
      <c r="F1293" t="s">
        <v>20</v>
      </c>
      <c r="G1293" t="s">
        <v>24</v>
      </c>
      <c r="H1293" t="str">
        <f>"1/2/19"</f>
        <v>1/2/19</v>
      </c>
      <c r="I1293" t="str">
        <f>"DEARBORN NATIONAL"</f>
        <v>DEARBORN NATIONAL</v>
      </c>
    </row>
    <row r="1294" spans="1:9" x14ac:dyDescent="0.25">
      <c r="A1294" s="6">
        <v>43467</v>
      </c>
      <c r="B1294" t="s">
        <v>26</v>
      </c>
      <c r="C1294">
        <v>59785</v>
      </c>
      <c r="D1294" t="s">
        <v>98</v>
      </c>
      <c r="E1294" s="7">
        <v>3950.55</v>
      </c>
      <c r="F1294" t="s">
        <v>20</v>
      </c>
      <c r="G1294" t="s">
        <v>21</v>
      </c>
      <c r="H1294" t="str">
        <f>"STD201812048502"</f>
        <v>STD201812048502</v>
      </c>
      <c r="I1294" t="str">
        <f>"SHORT TERM DISABILITY"</f>
        <v>SHORT TERM DISABILITY</v>
      </c>
    </row>
    <row r="1295" spans="1:9" x14ac:dyDescent="0.25">
      <c r="A1295" s="6">
        <v>43467</v>
      </c>
      <c r="B1295" t="s">
        <v>26</v>
      </c>
      <c r="C1295">
        <v>59785</v>
      </c>
      <c r="D1295" t="s">
        <v>98</v>
      </c>
      <c r="E1295" s="7">
        <v>3950.55</v>
      </c>
      <c r="F1295" t="s">
        <v>20</v>
      </c>
      <c r="G1295" t="s">
        <v>21</v>
      </c>
      <c r="H1295" t="str">
        <f>"STD201812188503"</f>
        <v>STD201812188503</v>
      </c>
      <c r="I1295" t="str">
        <f>"SHORT TERM DISABILITY"</f>
        <v>SHORT TERM DISABILITY</v>
      </c>
    </row>
    <row r="1296" spans="1:9" x14ac:dyDescent="0.25">
      <c r="A1296" s="6">
        <v>43467</v>
      </c>
      <c r="B1296" t="s">
        <v>26</v>
      </c>
      <c r="C1296">
        <v>59785</v>
      </c>
      <c r="D1296" t="s">
        <v>98</v>
      </c>
      <c r="E1296" s="7">
        <v>3950.55</v>
      </c>
      <c r="F1296" t="s">
        <v>20</v>
      </c>
      <c r="G1296" t="s">
        <v>21</v>
      </c>
      <c r="H1296" t="str">
        <f>"VIS201812048502"</f>
        <v>VIS201812048502</v>
      </c>
      <c r="I1296" t="str">
        <f>"VISION INSURANCE"</f>
        <v>VISION INSURANCE</v>
      </c>
    </row>
    <row r="1297" spans="1:9" x14ac:dyDescent="0.25">
      <c r="A1297" s="6">
        <v>43467</v>
      </c>
      <c r="B1297" t="s">
        <v>26</v>
      </c>
      <c r="C1297">
        <v>59785</v>
      </c>
      <c r="D1297" t="s">
        <v>98</v>
      </c>
      <c r="E1297" s="7">
        <v>3950.55</v>
      </c>
      <c r="F1297" t="s">
        <v>20</v>
      </c>
      <c r="G1297" t="s">
        <v>21</v>
      </c>
      <c r="H1297" t="str">
        <f>"VIS201812188503"</f>
        <v>VIS201812188503</v>
      </c>
      <c r="I1297" t="str">
        <f>"VISION INSURANCE"</f>
        <v>VISION INSURANCE</v>
      </c>
    </row>
    <row r="1298" spans="1:9" x14ac:dyDescent="0.25">
      <c r="A1298" s="6">
        <v>43467</v>
      </c>
      <c r="B1298" t="s">
        <v>26</v>
      </c>
      <c r="C1298">
        <v>59785</v>
      </c>
      <c r="D1298" t="s">
        <v>98</v>
      </c>
      <c r="E1298" s="7">
        <v>3950.55</v>
      </c>
      <c r="F1298" t="s">
        <v>20</v>
      </c>
      <c r="G1298" t="s">
        <v>21</v>
      </c>
      <c r="H1298" t="str">
        <f>"VLC201812048502"</f>
        <v>VLC201812048502</v>
      </c>
      <c r="I1298" t="str">
        <f>"CHILD LIFE INSURANCE"</f>
        <v>CHILD LIFE INSURANCE</v>
      </c>
    </row>
    <row r="1299" spans="1:9" x14ac:dyDescent="0.25">
      <c r="A1299" s="6">
        <v>43467</v>
      </c>
      <c r="B1299" t="s">
        <v>26</v>
      </c>
      <c r="C1299">
        <v>59785</v>
      </c>
      <c r="D1299" t="s">
        <v>98</v>
      </c>
      <c r="E1299" s="7">
        <v>3950.55</v>
      </c>
      <c r="F1299" t="s">
        <v>20</v>
      </c>
      <c r="G1299" t="s">
        <v>21</v>
      </c>
      <c r="H1299" t="str">
        <f>"VLC201812188503"</f>
        <v>VLC201812188503</v>
      </c>
      <c r="I1299" t="str">
        <f>"CHILD LIFE INSURANCE"</f>
        <v>CHILD LIFE INSURANCE</v>
      </c>
    </row>
    <row r="1300" spans="1:9" x14ac:dyDescent="0.25">
      <c r="A1300" s="6">
        <v>43467</v>
      </c>
      <c r="B1300" t="s">
        <v>26</v>
      </c>
      <c r="C1300">
        <v>59785</v>
      </c>
      <c r="D1300" t="s">
        <v>98</v>
      </c>
      <c r="E1300" s="7">
        <v>3950.55</v>
      </c>
      <c r="F1300" t="s">
        <v>20</v>
      </c>
      <c r="G1300" t="s">
        <v>21</v>
      </c>
      <c r="H1300" t="str">
        <f>"VLS201812048502"</f>
        <v>VLS201812048502</v>
      </c>
      <c r="I1300" t="str">
        <f>"SPOUSE LIFE"</f>
        <v>SPOUSE LIFE</v>
      </c>
    </row>
    <row r="1301" spans="1:9" x14ac:dyDescent="0.25">
      <c r="A1301" s="6">
        <v>43467</v>
      </c>
      <c r="B1301" t="s">
        <v>26</v>
      </c>
      <c r="C1301">
        <v>59785</v>
      </c>
      <c r="D1301" t="s">
        <v>98</v>
      </c>
      <c r="E1301" s="7">
        <v>3950.55</v>
      </c>
      <c r="F1301" t="s">
        <v>20</v>
      </c>
      <c r="G1301" t="s">
        <v>21</v>
      </c>
      <c r="H1301" t="str">
        <f>"VLS201812188503"</f>
        <v>VLS201812188503</v>
      </c>
      <c r="I1301" t="str">
        <f>"SPOUSE LIFE"</f>
        <v>SPOUSE LIFE</v>
      </c>
    </row>
    <row r="1302" spans="1:9" x14ac:dyDescent="0.25">
      <c r="A1302" s="6">
        <v>43467</v>
      </c>
      <c r="B1302" t="s">
        <v>26</v>
      </c>
      <c r="C1302">
        <v>59785</v>
      </c>
      <c r="D1302" t="s">
        <v>98</v>
      </c>
      <c r="E1302" s="7">
        <v>3950.55</v>
      </c>
      <c r="F1302" t="s">
        <v>20</v>
      </c>
      <c r="G1302" t="s">
        <v>21</v>
      </c>
      <c r="H1302" t="str">
        <f>"VOE201812048502"</f>
        <v>VOE201812048502</v>
      </c>
      <c r="I1302" t="str">
        <f>"EMPLOYEE LIFE"</f>
        <v>EMPLOYEE LIFE</v>
      </c>
    </row>
    <row r="1303" spans="1:9" x14ac:dyDescent="0.25">
      <c r="A1303" s="6">
        <v>43467</v>
      </c>
      <c r="B1303" t="s">
        <v>26</v>
      </c>
      <c r="C1303">
        <v>59785</v>
      </c>
      <c r="D1303" t="s">
        <v>98</v>
      </c>
      <c r="E1303" s="7">
        <v>3950.55</v>
      </c>
      <c r="F1303" t="s">
        <v>20</v>
      </c>
      <c r="G1303" t="s">
        <v>21</v>
      </c>
      <c r="H1303" t="str">
        <f>"VOE201812188503"</f>
        <v>VOE201812188503</v>
      </c>
      <c r="I1303" t="str">
        <f>"EMPLOYEE LIFE"</f>
        <v>EMPLOYEE LIFE</v>
      </c>
    </row>
    <row r="1304" spans="1:9" x14ac:dyDescent="0.25">
      <c r="A1304" s="6">
        <v>43467</v>
      </c>
      <c r="B1304" t="s">
        <v>26</v>
      </c>
      <c r="C1304">
        <v>59785</v>
      </c>
      <c r="D1304" t="s">
        <v>98</v>
      </c>
      <c r="E1304" s="7">
        <v>3950.55</v>
      </c>
      <c r="F1304" t="s">
        <v>20</v>
      </c>
      <c r="G1304" t="s">
        <v>21</v>
      </c>
      <c r="H1304" t="str">
        <f>"VOL201812048502"</f>
        <v>VOL201812048502</v>
      </c>
      <c r="I1304" t="str">
        <f>"LIFE"</f>
        <v>LIFE</v>
      </c>
    </row>
    <row r="1305" spans="1:9" x14ac:dyDescent="0.25">
      <c r="A1305" s="6">
        <v>43467</v>
      </c>
      <c r="B1305" t="s">
        <v>26</v>
      </c>
      <c r="C1305">
        <v>59785</v>
      </c>
      <c r="D1305" t="s">
        <v>98</v>
      </c>
      <c r="E1305" s="7">
        <v>3950.55</v>
      </c>
      <c r="F1305" t="s">
        <v>20</v>
      </c>
      <c r="G1305" t="s">
        <v>21</v>
      </c>
      <c r="H1305" t="str">
        <f>"VOL201812188503"</f>
        <v>VOL201812188503</v>
      </c>
      <c r="I1305" t="str">
        <f>"LIFE"</f>
        <v>LIFE</v>
      </c>
    </row>
    <row r="1306" spans="1:9" x14ac:dyDescent="0.25">
      <c r="A1306" s="6">
        <v>43469</v>
      </c>
      <c r="B1306" t="s">
        <v>26</v>
      </c>
      <c r="C1306">
        <v>59810</v>
      </c>
      <c r="D1306" t="s">
        <v>51</v>
      </c>
      <c r="E1306" s="7">
        <v>309.37</v>
      </c>
      <c r="F1306" t="s">
        <v>20</v>
      </c>
      <c r="G1306" t="s">
        <v>21</v>
      </c>
      <c r="H1306" t="str">
        <f>"CLE201901028504"</f>
        <v>CLE201901028504</v>
      </c>
      <c r="I1306" t="str">
        <f>"CLEAT ONLY DUES"</f>
        <v>CLEAT ONLY DUES</v>
      </c>
    </row>
    <row r="1307" spans="1:9" x14ac:dyDescent="0.25">
      <c r="A1307" s="6">
        <v>43469</v>
      </c>
      <c r="B1307" t="s">
        <v>26</v>
      </c>
      <c r="C1307">
        <v>59810</v>
      </c>
      <c r="D1307" t="s">
        <v>51</v>
      </c>
      <c r="E1307" s="7">
        <v>309.37</v>
      </c>
      <c r="F1307" t="s">
        <v>20</v>
      </c>
      <c r="G1307" t="s">
        <v>21</v>
      </c>
      <c r="H1307" t="str">
        <f>"PDD201901028504"</f>
        <v>PDD201901028504</v>
      </c>
      <c r="I1307" t="str">
        <f>"POLICE OFFICERS ASSOC DUES"</f>
        <v>POLICE OFFICERS ASSOC DUES</v>
      </c>
    </row>
    <row r="1308" spans="1:9" x14ac:dyDescent="0.25">
      <c r="A1308" s="6">
        <v>43469</v>
      </c>
      <c r="B1308" t="s">
        <v>91</v>
      </c>
      <c r="C1308">
        <v>59811</v>
      </c>
      <c r="D1308" t="s">
        <v>90</v>
      </c>
      <c r="E1308" s="7">
        <v>101.1</v>
      </c>
      <c r="F1308" t="s">
        <v>20</v>
      </c>
      <c r="G1308" t="s">
        <v>21</v>
      </c>
      <c r="H1308" t="str">
        <f>"AFS201901028504"</f>
        <v>AFS201901028504</v>
      </c>
      <c r="I1308" t="str">
        <f>"AFLAC STD"</f>
        <v>AFLAC STD</v>
      </c>
    </row>
    <row r="1309" spans="1:9" x14ac:dyDescent="0.25">
      <c r="A1309" s="6">
        <v>43469</v>
      </c>
      <c r="B1309" t="s">
        <v>91</v>
      </c>
      <c r="C1309">
        <v>59811</v>
      </c>
      <c r="D1309" t="s">
        <v>90</v>
      </c>
      <c r="E1309" s="7">
        <v>101.1</v>
      </c>
      <c r="F1309" t="s">
        <v>20</v>
      </c>
      <c r="G1309" t="s">
        <v>93</v>
      </c>
      <c r="H1309" t="str">
        <f>"CHECK"</f>
        <v>CHECK</v>
      </c>
      <c r="I1309" t="str">
        <f>""</f>
        <v/>
      </c>
    </row>
    <row r="1310" spans="1:9" x14ac:dyDescent="0.25">
      <c r="A1310" s="6">
        <v>43469</v>
      </c>
      <c r="B1310" t="s">
        <v>26</v>
      </c>
      <c r="C1310">
        <v>59812</v>
      </c>
      <c r="D1310" t="s">
        <v>52</v>
      </c>
      <c r="E1310" s="7">
        <v>1438.22</v>
      </c>
      <c r="F1310" t="s">
        <v>20</v>
      </c>
      <c r="G1310" t="s">
        <v>21</v>
      </c>
      <c r="H1310" t="str">
        <f>"CJD201901028504"</f>
        <v>CJD201901028504</v>
      </c>
      <c r="I1310" t="str">
        <f>"1371990918080637CV RUBI MUNOZ"</f>
        <v>1371990918080637CV RUBI MUNOZ</v>
      </c>
    </row>
    <row r="1311" spans="1:9" x14ac:dyDescent="0.25">
      <c r="A1311" s="6">
        <v>43469</v>
      </c>
      <c r="B1311" t="s">
        <v>26</v>
      </c>
      <c r="C1311">
        <v>59812</v>
      </c>
      <c r="D1311" t="s">
        <v>52</v>
      </c>
      <c r="E1311" s="7">
        <v>1438.22</v>
      </c>
      <c r="F1311" t="s">
        <v>20</v>
      </c>
      <c r="G1311" t="s">
        <v>21</v>
      </c>
      <c r="H1311" t="str">
        <f>"CPS201901028504"</f>
        <v>CPS201901028504</v>
      </c>
      <c r="I1311" t="str">
        <f>"G MENDOZA 00123012032010EM5054"</f>
        <v>G MENDOZA 00123012032010EM5054</v>
      </c>
    </row>
    <row r="1312" spans="1:9" x14ac:dyDescent="0.25">
      <c r="A1312" s="6">
        <v>43469</v>
      </c>
      <c r="B1312" t="s">
        <v>26</v>
      </c>
      <c r="C1312">
        <v>59812</v>
      </c>
      <c r="D1312" t="s">
        <v>52</v>
      </c>
      <c r="E1312" s="7">
        <v>1438.22</v>
      </c>
      <c r="F1312" t="s">
        <v>20</v>
      </c>
      <c r="G1312" t="s">
        <v>21</v>
      </c>
      <c r="H1312" t="str">
        <f>"CS 201901028504"</f>
        <v>CS 201901028504</v>
      </c>
      <c r="I1312" t="str">
        <f>"CAUSE#98EM504113 PEGGY RIVAS"</f>
        <v>CAUSE#98EM504113 PEGGY RIVAS</v>
      </c>
    </row>
    <row r="1313" spans="1:9" x14ac:dyDescent="0.25">
      <c r="A1313" s="6">
        <v>43469</v>
      </c>
      <c r="B1313" t="s">
        <v>26</v>
      </c>
      <c r="C1313">
        <v>59812</v>
      </c>
      <c r="D1313" t="s">
        <v>52</v>
      </c>
      <c r="E1313" s="7">
        <v>1438.22</v>
      </c>
      <c r="F1313" t="s">
        <v>20</v>
      </c>
      <c r="G1313" t="s">
        <v>21</v>
      </c>
      <c r="H1313" t="str">
        <f>"CSJ201901028504"</f>
        <v>CSJ201901028504</v>
      </c>
      <c r="I1313" t="str">
        <f>"CAUSE# 0010185272 MARIANN GUTI"</f>
        <v>CAUSE# 0010185272 MARIANN GUTI</v>
      </c>
    </row>
    <row r="1314" spans="1:9" x14ac:dyDescent="0.25">
      <c r="A1314" s="6">
        <v>43469</v>
      </c>
      <c r="B1314" t="s">
        <v>26</v>
      </c>
      <c r="C1314">
        <v>59813</v>
      </c>
      <c r="D1314" t="s">
        <v>53</v>
      </c>
      <c r="E1314" s="7">
        <v>99.1</v>
      </c>
      <c r="F1314" t="s">
        <v>20</v>
      </c>
      <c r="G1314" t="s">
        <v>21</v>
      </c>
      <c r="H1314" t="str">
        <f>"MCO201901028504"</f>
        <v>MCO201901028504</v>
      </c>
      <c r="I1314" t="str">
        <f>"MONICA CORDOVA"</f>
        <v>MONICA CORDOVA</v>
      </c>
    </row>
    <row r="1315" spans="1:9" x14ac:dyDescent="0.25">
      <c r="A1315" s="6">
        <v>43469</v>
      </c>
      <c r="B1315" t="s">
        <v>26</v>
      </c>
      <c r="C1315">
        <v>59814</v>
      </c>
      <c r="D1315" t="s">
        <v>54</v>
      </c>
      <c r="E1315" s="7">
        <v>977.1</v>
      </c>
      <c r="F1315" t="s">
        <v>20</v>
      </c>
      <c r="G1315" t="s">
        <v>21</v>
      </c>
      <c r="H1315" t="str">
        <f>"457201901028504"</f>
        <v>457201901028504</v>
      </c>
      <c r="I1315" t="str">
        <f>"CASE # 180-60751 457B DEDUCT"</f>
        <v>CASE # 180-60751 457B DEDUCT</v>
      </c>
    </row>
    <row r="1316" spans="1:9" x14ac:dyDescent="0.25">
      <c r="A1316" s="6">
        <v>43467</v>
      </c>
      <c r="B1316" t="s">
        <v>26</v>
      </c>
      <c r="C1316">
        <v>59815</v>
      </c>
      <c r="D1316" t="s">
        <v>181</v>
      </c>
      <c r="E1316" s="7">
        <v>43.02</v>
      </c>
      <c r="F1316" t="s">
        <v>20</v>
      </c>
      <c r="G1316" t="s">
        <v>21</v>
      </c>
      <c r="H1316" t="str">
        <f>"8303933186 1/2/19"</f>
        <v>8303933186 1/2/19</v>
      </c>
      <c r="I1316" t="str">
        <f>"AT&amp;T"</f>
        <v>AT&amp;T</v>
      </c>
    </row>
    <row r="1317" spans="1:9" x14ac:dyDescent="0.25">
      <c r="A1317" s="6">
        <v>43467</v>
      </c>
      <c r="B1317" t="s">
        <v>91</v>
      </c>
      <c r="C1317">
        <v>59816</v>
      </c>
      <c r="D1317" t="s">
        <v>659</v>
      </c>
      <c r="E1317" s="7">
        <v>25</v>
      </c>
      <c r="F1317" t="s">
        <v>20</v>
      </c>
      <c r="G1317" t="s">
        <v>21</v>
      </c>
      <c r="H1317" t="str">
        <f>"REIMBURSMT CDL FEE"</f>
        <v>REIMBURSMT CDL FEE</v>
      </c>
      <c r="I1317" t="str">
        <f>"JOHNNY VILLARREAL JR."</f>
        <v>JOHNNY VILLARREAL JR.</v>
      </c>
    </row>
    <row r="1318" spans="1:9" x14ac:dyDescent="0.25">
      <c r="A1318" s="6">
        <v>43467</v>
      </c>
      <c r="B1318" t="s">
        <v>91</v>
      </c>
      <c r="C1318">
        <v>59816</v>
      </c>
      <c r="D1318" t="s">
        <v>659</v>
      </c>
      <c r="E1318" s="7">
        <v>25</v>
      </c>
      <c r="F1318" t="s">
        <v>20</v>
      </c>
      <c r="G1318" t="s">
        <v>93</v>
      </c>
      <c r="H1318" t="str">
        <f>"CHECK"</f>
        <v>CHECK</v>
      </c>
      <c r="I1318" t="str">
        <f>""</f>
        <v/>
      </c>
    </row>
    <row r="1319" spans="1:9" x14ac:dyDescent="0.25">
      <c r="A1319" s="6">
        <v>43467</v>
      </c>
      <c r="B1319" t="s">
        <v>26</v>
      </c>
      <c r="C1319">
        <v>59817</v>
      </c>
      <c r="D1319" t="s">
        <v>345</v>
      </c>
      <c r="E1319" s="7">
        <v>418</v>
      </c>
      <c r="F1319" t="s">
        <v>20</v>
      </c>
      <c r="G1319" t="s">
        <v>21</v>
      </c>
      <c r="H1319" t="str">
        <f>"1/2/19"</f>
        <v>1/2/19</v>
      </c>
      <c r="I1319" t="str">
        <f>"MICHAEL ISAAC MARTINEZ"</f>
        <v>MICHAEL ISAAC MARTINEZ</v>
      </c>
    </row>
    <row r="1320" spans="1:9" x14ac:dyDescent="0.25">
      <c r="A1320" s="6">
        <v>43467</v>
      </c>
      <c r="B1320" t="s">
        <v>26</v>
      </c>
      <c r="C1320">
        <v>59818</v>
      </c>
      <c r="D1320" t="s">
        <v>452</v>
      </c>
      <c r="E1320" s="7">
        <v>280</v>
      </c>
      <c r="F1320" t="s">
        <v>20</v>
      </c>
      <c r="G1320" t="s">
        <v>21</v>
      </c>
      <c r="H1320" t="str">
        <f>"12/29/18"</f>
        <v>12/29/18</v>
      </c>
      <c r="I1320" t="str">
        <f>"DESIREE PEREZ"</f>
        <v>DESIREE PEREZ</v>
      </c>
    </row>
    <row r="1321" spans="1:9" x14ac:dyDescent="0.25">
      <c r="A1321" s="6">
        <v>43467</v>
      </c>
      <c r="B1321" t="s">
        <v>26</v>
      </c>
      <c r="C1321">
        <v>59819</v>
      </c>
      <c r="D1321" t="s">
        <v>346</v>
      </c>
      <c r="E1321" s="7">
        <v>13750</v>
      </c>
      <c r="F1321" t="s">
        <v>20</v>
      </c>
      <c r="G1321" t="s">
        <v>21</v>
      </c>
      <c r="H1321" t="str">
        <f>"11/11-12/11/2018"</f>
        <v>11/11-12/11/2018</v>
      </c>
      <c r="I1321" t="str">
        <f>"SYLVIA RODRIGUEZ"</f>
        <v>SYLVIA RODRIGUEZ</v>
      </c>
    </row>
    <row r="1322" spans="1:9" x14ac:dyDescent="0.25">
      <c r="A1322" s="6">
        <v>43467</v>
      </c>
      <c r="B1322" t="s">
        <v>26</v>
      </c>
      <c r="C1322">
        <v>59820</v>
      </c>
      <c r="D1322" t="s">
        <v>657</v>
      </c>
      <c r="E1322" s="7">
        <v>100</v>
      </c>
      <c r="F1322" t="s">
        <v>20</v>
      </c>
      <c r="G1322" t="s">
        <v>21</v>
      </c>
      <c r="H1322" t="str">
        <f>"12/29/18"</f>
        <v>12/29/18</v>
      </c>
      <c r="I1322" t="str">
        <f>"VALERIE VALERIO"</f>
        <v>VALERIE VALERIO</v>
      </c>
    </row>
    <row r="1323" spans="1:9" x14ac:dyDescent="0.25">
      <c r="A1323" s="6">
        <v>43468</v>
      </c>
      <c r="B1323" t="s">
        <v>91</v>
      </c>
      <c r="C1323">
        <v>59822</v>
      </c>
      <c r="D1323" t="s">
        <v>51</v>
      </c>
      <c r="E1323" s="7">
        <v>18.47</v>
      </c>
      <c r="F1323" t="s">
        <v>20</v>
      </c>
      <c r="G1323" t="s">
        <v>21</v>
      </c>
      <c r="H1323" t="str">
        <f>"PDD201901028505"</f>
        <v>PDD201901028505</v>
      </c>
      <c r="I1323" t="str">
        <f>"POLICE OFFICERS ASSOC DUES"</f>
        <v>POLICE OFFICERS ASSOC DUES</v>
      </c>
    </row>
    <row r="1324" spans="1:9" x14ac:dyDescent="0.25">
      <c r="A1324" s="6">
        <v>43468</v>
      </c>
      <c r="B1324" t="s">
        <v>91</v>
      </c>
      <c r="C1324">
        <v>59822</v>
      </c>
      <c r="D1324" t="s">
        <v>51</v>
      </c>
      <c r="E1324" s="7">
        <v>18.47</v>
      </c>
      <c r="F1324" t="s">
        <v>20</v>
      </c>
      <c r="G1324" t="s">
        <v>93</v>
      </c>
      <c r="H1324" t="str">
        <f>"CHECK"</f>
        <v>CHECK</v>
      </c>
      <c r="I1324" t="str">
        <f>""</f>
        <v/>
      </c>
    </row>
    <row r="1325" spans="1:9" x14ac:dyDescent="0.25">
      <c r="A1325" s="6">
        <v>43468</v>
      </c>
      <c r="B1325" t="s">
        <v>26</v>
      </c>
      <c r="C1325">
        <v>59823</v>
      </c>
      <c r="D1325" t="s">
        <v>637</v>
      </c>
      <c r="E1325" s="7">
        <v>75</v>
      </c>
      <c r="F1325" t="s">
        <v>20</v>
      </c>
      <c r="G1325" t="s">
        <v>21</v>
      </c>
      <c r="H1325" t="str">
        <f>"1/3/19-COUNCIL"</f>
        <v>1/3/19-COUNCIL</v>
      </c>
      <c r="I1325" t="str">
        <f>"SALARIES"</f>
        <v>SALARIES</v>
      </c>
    </row>
    <row r="1326" spans="1:9" x14ac:dyDescent="0.25">
      <c r="A1326" s="6">
        <v>43468</v>
      </c>
      <c r="B1326" t="s">
        <v>26</v>
      </c>
      <c r="C1326">
        <v>59824</v>
      </c>
      <c r="D1326" t="s">
        <v>223</v>
      </c>
      <c r="E1326" s="7">
        <v>75</v>
      </c>
      <c r="F1326" t="s">
        <v>20</v>
      </c>
      <c r="G1326" t="s">
        <v>21</v>
      </c>
      <c r="H1326" t="str">
        <f>"1/3/19-COUNCIL"</f>
        <v>1/3/19-COUNCIL</v>
      </c>
      <c r="I1326" t="str">
        <f>""</f>
        <v/>
      </c>
    </row>
    <row r="1327" spans="1:9" x14ac:dyDescent="0.25">
      <c r="A1327" s="6">
        <v>43468</v>
      </c>
      <c r="B1327" t="s">
        <v>26</v>
      </c>
      <c r="C1327">
        <v>59825</v>
      </c>
      <c r="D1327" t="s">
        <v>36</v>
      </c>
      <c r="E1327" s="7">
        <v>75</v>
      </c>
      <c r="F1327" t="s">
        <v>20</v>
      </c>
      <c r="G1327" t="s">
        <v>21</v>
      </c>
      <c r="H1327" t="str">
        <f>"1/3/19-COUNCIL"</f>
        <v>1/3/19-COUNCIL</v>
      </c>
      <c r="I1327" t="str">
        <f>""</f>
        <v/>
      </c>
    </row>
    <row r="1328" spans="1:9" x14ac:dyDescent="0.25">
      <c r="A1328" s="6">
        <v>43468</v>
      </c>
      <c r="B1328" t="s">
        <v>26</v>
      </c>
      <c r="C1328">
        <v>59826</v>
      </c>
      <c r="D1328" t="s">
        <v>37</v>
      </c>
      <c r="E1328" s="7">
        <v>75</v>
      </c>
      <c r="F1328" t="s">
        <v>20</v>
      </c>
      <c r="G1328" t="s">
        <v>21</v>
      </c>
      <c r="H1328" t="str">
        <f>"1/3/19-COUNCIL"</f>
        <v>1/3/19-COUNCIL</v>
      </c>
      <c r="I1328" t="str">
        <f>""</f>
        <v/>
      </c>
    </row>
    <row r="1329" spans="1:9" x14ac:dyDescent="0.25">
      <c r="A1329" s="6">
        <v>43468</v>
      </c>
      <c r="B1329" t="s">
        <v>26</v>
      </c>
      <c r="C1329">
        <v>59827</v>
      </c>
      <c r="D1329" t="s">
        <v>38</v>
      </c>
      <c r="E1329" s="7">
        <v>100</v>
      </c>
      <c r="F1329" t="s">
        <v>20</v>
      </c>
      <c r="G1329" t="s">
        <v>21</v>
      </c>
      <c r="H1329" t="str">
        <f>"1/3/19-MAYOR"</f>
        <v>1/3/19-MAYOR</v>
      </c>
      <c r="I1329" t="str">
        <f>""</f>
        <v/>
      </c>
    </row>
    <row r="1330" spans="1:9" x14ac:dyDescent="0.25">
      <c r="A1330" s="6">
        <v>43468</v>
      </c>
      <c r="B1330" t="s">
        <v>26</v>
      </c>
      <c r="C1330">
        <v>59828</v>
      </c>
      <c r="D1330" t="s">
        <v>558</v>
      </c>
      <c r="E1330" s="7">
        <v>75</v>
      </c>
      <c r="F1330" t="s">
        <v>20</v>
      </c>
      <c r="G1330" t="s">
        <v>21</v>
      </c>
      <c r="H1330" t="str">
        <f>"1/3/19-COUNCIL"</f>
        <v>1/3/19-COUNCIL</v>
      </c>
      <c r="I1330" t="str">
        <f>"SALARIES"</f>
        <v>SALARIES</v>
      </c>
    </row>
    <row r="1331" spans="1:9" x14ac:dyDescent="0.25">
      <c r="A1331" s="6">
        <v>43468</v>
      </c>
      <c r="B1331" t="s">
        <v>26</v>
      </c>
      <c r="C1331">
        <v>59829</v>
      </c>
      <c r="D1331" t="s">
        <v>81</v>
      </c>
      <c r="E1331" s="7">
        <v>221.68</v>
      </c>
      <c r="F1331" t="s">
        <v>20</v>
      </c>
      <c r="G1331" t="s">
        <v>21</v>
      </c>
      <c r="H1331" t="str">
        <f>"B.CANTU 1/3/19"</f>
        <v>B.CANTU 1/3/19</v>
      </c>
      <c r="I1331" t="str">
        <f>"CITY OF FLORESVILLE -PETTY CAS"</f>
        <v>CITY OF FLORESVILLE -PETTY CAS</v>
      </c>
    </row>
    <row r="1332" spans="1:9" x14ac:dyDescent="0.25">
      <c r="A1332" s="6">
        <v>43468</v>
      </c>
      <c r="B1332" t="s">
        <v>26</v>
      </c>
      <c r="C1332">
        <v>59830</v>
      </c>
      <c r="D1332" t="s">
        <v>84</v>
      </c>
      <c r="E1332" s="7">
        <v>7253.96</v>
      </c>
      <c r="F1332" t="s">
        <v>20</v>
      </c>
      <c r="G1332" t="s">
        <v>21</v>
      </c>
      <c r="H1332" t="str">
        <f>"1428779"</f>
        <v>1428779</v>
      </c>
      <c r="I1332" t="str">
        <f>"STANTEC CONSULTING SERVICES IN"</f>
        <v>STANTEC CONSULTING SERVICES IN</v>
      </c>
    </row>
    <row r="1333" spans="1:9" x14ac:dyDescent="0.25">
      <c r="A1333" s="6">
        <v>43468</v>
      </c>
      <c r="B1333" t="s">
        <v>26</v>
      </c>
      <c r="C1333">
        <v>59831</v>
      </c>
      <c r="D1333" t="s">
        <v>176</v>
      </c>
      <c r="E1333" s="7">
        <v>85380.76</v>
      </c>
      <c r="F1333" t="s">
        <v>20</v>
      </c>
      <c r="G1333" t="s">
        <v>21</v>
      </c>
      <c r="H1333" t="str">
        <f>"APP 23"</f>
        <v>APP 23</v>
      </c>
      <c r="I1333" t="str">
        <f>"PEPPER-LAWSON WATERWORKS"</f>
        <v>PEPPER-LAWSON WATERWORKS</v>
      </c>
    </row>
    <row r="1334" spans="1:9" x14ac:dyDescent="0.25">
      <c r="A1334" s="6">
        <v>43468</v>
      </c>
      <c r="B1334" t="s">
        <v>26</v>
      </c>
      <c r="C1334">
        <v>59832</v>
      </c>
      <c r="D1334" t="s">
        <v>176</v>
      </c>
      <c r="E1334" s="7">
        <v>63337.97</v>
      </c>
      <c r="F1334" t="s">
        <v>20</v>
      </c>
      <c r="G1334" t="s">
        <v>21</v>
      </c>
      <c r="H1334" t="str">
        <f>"PAY APP.24"</f>
        <v>PAY APP.24</v>
      </c>
      <c r="I1334" t="str">
        <f>"PEPPER-LAWSON WATERWORKS"</f>
        <v>PEPPER-LAWSON WATERWORKS</v>
      </c>
    </row>
    <row r="1335" spans="1:9" x14ac:dyDescent="0.25">
      <c r="A1335" s="6">
        <v>43469</v>
      </c>
      <c r="B1335" t="s">
        <v>26</v>
      </c>
      <c r="C1335">
        <v>59833</v>
      </c>
      <c r="D1335" t="s">
        <v>229</v>
      </c>
      <c r="E1335" s="7">
        <v>135.13999999999999</v>
      </c>
      <c r="F1335" t="s">
        <v>20</v>
      </c>
      <c r="G1335" t="s">
        <v>21</v>
      </c>
      <c r="H1335" t="str">
        <f>"1/9/19 SEMINAR"</f>
        <v>1/9/19 SEMINAR</v>
      </c>
      <c r="I1335" t="str">
        <f>"JOE XIMENEZ"</f>
        <v>JOE XIMENEZ</v>
      </c>
    </row>
    <row r="1336" spans="1:9" x14ac:dyDescent="0.25">
      <c r="A1336" s="6">
        <v>43473</v>
      </c>
      <c r="B1336" t="s">
        <v>26</v>
      </c>
      <c r="C1336">
        <v>59834</v>
      </c>
      <c r="D1336" t="s">
        <v>660</v>
      </c>
      <c r="E1336" s="7">
        <v>7500</v>
      </c>
      <c r="F1336" t="s">
        <v>20</v>
      </c>
      <c r="G1336" t="s">
        <v>21</v>
      </c>
      <c r="H1336" t="str">
        <f>"01022019"</f>
        <v>01022019</v>
      </c>
      <c r="I1336" t="str">
        <f>"STEVE GUERRERO"</f>
        <v>STEVE GUERRERO</v>
      </c>
    </row>
    <row r="1337" spans="1:9" x14ac:dyDescent="0.25">
      <c r="A1337" s="6">
        <v>43473</v>
      </c>
      <c r="B1337" t="s">
        <v>91</v>
      </c>
      <c r="C1337">
        <v>59835</v>
      </c>
      <c r="D1337" t="s">
        <v>57</v>
      </c>
      <c r="E1337" s="7">
        <v>23099.78</v>
      </c>
      <c r="F1337" t="s">
        <v>20</v>
      </c>
      <c r="G1337" t="s">
        <v>21</v>
      </c>
      <c r="H1337" t="str">
        <f>"11617 01/2019"</f>
        <v>11617 01/2019</v>
      </c>
      <c r="I1337" t="str">
        <f>"F.E.L.P.S."</f>
        <v>F.E.L.P.S.</v>
      </c>
    </row>
    <row r="1338" spans="1:9" x14ac:dyDescent="0.25">
      <c r="A1338" s="6">
        <v>43473</v>
      </c>
      <c r="B1338" t="s">
        <v>91</v>
      </c>
      <c r="C1338">
        <v>59835</v>
      </c>
      <c r="D1338" t="s">
        <v>57</v>
      </c>
      <c r="E1338" s="7">
        <v>23099.78</v>
      </c>
      <c r="F1338" t="s">
        <v>20</v>
      </c>
      <c r="G1338" t="s">
        <v>21</v>
      </c>
      <c r="H1338" t="str">
        <f>"11617-030 1/2019"</f>
        <v>11617-030 1/2019</v>
      </c>
      <c r="I1338" t="str">
        <f>"F.E.L.P.S."</f>
        <v>F.E.L.P.S.</v>
      </c>
    </row>
    <row r="1339" spans="1:9" x14ac:dyDescent="0.25">
      <c r="A1339" s="6">
        <v>43473</v>
      </c>
      <c r="B1339" t="s">
        <v>91</v>
      </c>
      <c r="C1339">
        <v>59835</v>
      </c>
      <c r="D1339" t="s">
        <v>57</v>
      </c>
      <c r="E1339" s="7">
        <v>23099.78</v>
      </c>
      <c r="F1339" t="s">
        <v>20</v>
      </c>
      <c r="G1339" t="s">
        <v>93</v>
      </c>
      <c r="H1339" t="str">
        <f>"CHECK"</f>
        <v>CHECK</v>
      </c>
      <c r="I1339" t="str">
        <f>""</f>
        <v/>
      </c>
    </row>
    <row r="1340" spans="1:9" x14ac:dyDescent="0.25">
      <c r="A1340" s="6">
        <v>43473</v>
      </c>
      <c r="B1340" t="s">
        <v>91</v>
      </c>
      <c r="C1340">
        <v>59836</v>
      </c>
      <c r="D1340" t="s">
        <v>201</v>
      </c>
      <c r="E1340" s="7">
        <v>680.26</v>
      </c>
      <c r="F1340" t="s">
        <v>20</v>
      </c>
      <c r="G1340" t="s">
        <v>21</v>
      </c>
      <c r="H1340" t="str">
        <f>"12.19.2018"</f>
        <v>12.19.2018</v>
      </c>
      <c r="I1340" t="str">
        <f>"WILSON COUNTY HARDWARE"</f>
        <v>WILSON COUNTY HARDWARE</v>
      </c>
    </row>
    <row r="1341" spans="1:9" x14ac:dyDescent="0.25">
      <c r="A1341" s="6">
        <v>43473</v>
      </c>
      <c r="B1341" t="s">
        <v>91</v>
      </c>
      <c r="C1341">
        <v>59836</v>
      </c>
      <c r="D1341" t="s">
        <v>201</v>
      </c>
      <c r="E1341" s="7">
        <v>680.26</v>
      </c>
      <c r="F1341" t="s">
        <v>20</v>
      </c>
      <c r="G1341" t="s">
        <v>93</v>
      </c>
      <c r="H1341" t="str">
        <f>"CHECK"</f>
        <v>CHECK</v>
      </c>
      <c r="I1341" t="str">
        <f>""</f>
        <v/>
      </c>
    </row>
    <row r="1342" spans="1:9" x14ac:dyDescent="0.25">
      <c r="A1342" s="6">
        <v>43473</v>
      </c>
      <c r="B1342" t="s">
        <v>91</v>
      </c>
      <c r="C1342">
        <v>59837</v>
      </c>
      <c r="D1342" t="s">
        <v>104</v>
      </c>
      <c r="E1342" s="7">
        <v>2630.28</v>
      </c>
      <c r="F1342" t="s">
        <v>20</v>
      </c>
      <c r="G1342" t="s">
        <v>21</v>
      </c>
      <c r="H1342" t="str">
        <f>"1340200801"</f>
        <v>1340200801</v>
      </c>
      <c r="I1342" t="str">
        <f t="shared" ref="I1342:I1347" si="16">"WILSON COUNTY NEWS"</f>
        <v>WILSON COUNTY NEWS</v>
      </c>
    </row>
    <row r="1343" spans="1:9" x14ac:dyDescent="0.25">
      <c r="A1343" s="6">
        <v>43473</v>
      </c>
      <c r="B1343" t="s">
        <v>91</v>
      </c>
      <c r="C1343">
        <v>59837</v>
      </c>
      <c r="D1343" t="s">
        <v>104</v>
      </c>
      <c r="E1343" s="7">
        <v>2630.28</v>
      </c>
      <c r="F1343" t="s">
        <v>20</v>
      </c>
      <c r="G1343" t="s">
        <v>21</v>
      </c>
      <c r="H1343" t="str">
        <f>"1342840815"</f>
        <v>1342840815</v>
      </c>
      <c r="I1343" t="str">
        <f t="shared" si="16"/>
        <v>WILSON COUNTY NEWS</v>
      </c>
    </row>
    <row r="1344" spans="1:9" x14ac:dyDescent="0.25">
      <c r="A1344" s="6">
        <v>43473</v>
      </c>
      <c r="B1344" t="s">
        <v>91</v>
      </c>
      <c r="C1344">
        <v>59837</v>
      </c>
      <c r="D1344" t="s">
        <v>104</v>
      </c>
      <c r="E1344" s="7">
        <v>2630.28</v>
      </c>
      <c r="F1344" t="s">
        <v>20</v>
      </c>
      <c r="G1344" t="s">
        <v>21</v>
      </c>
      <c r="H1344" t="str">
        <f>"1357381205"</f>
        <v>1357381205</v>
      </c>
      <c r="I1344" t="str">
        <f t="shared" si="16"/>
        <v>WILSON COUNTY NEWS</v>
      </c>
    </row>
    <row r="1345" spans="1:9" x14ac:dyDescent="0.25">
      <c r="A1345" s="6">
        <v>43473</v>
      </c>
      <c r="B1345" t="s">
        <v>91</v>
      </c>
      <c r="C1345">
        <v>59837</v>
      </c>
      <c r="D1345" t="s">
        <v>104</v>
      </c>
      <c r="E1345" s="7">
        <v>2630.28</v>
      </c>
      <c r="F1345" t="s">
        <v>20</v>
      </c>
      <c r="G1345" t="s">
        <v>21</v>
      </c>
      <c r="H1345" t="str">
        <f>"1358581212"</f>
        <v>1358581212</v>
      </c>
      <c r="I1345" t="str">
        <f t="shared" si="16"/>
        <v>WILSON COUNTY NEWS</v>
      </c>
    </row>
    <row r="1346" spans="1:9" x14ac:dyDescent="0.25">
      <c r="A1346" s="6">
        <v>43473</v>
      </c>
      <c r="B1346" t="s">
        <v>91</v>
      </c>
      <c r="C1346">
        <v>59837</v>
      </c>
      <c r="D1346" t="s">
        <v>104</v>
      </c>
      <c r="E1346" s="7">
        <v>2630.28</v>
      </c>
      <c r="F1346" t="s">
        <v>20</v>
      </c>
      <c r="G1346" t="s">
        <v>21</v>
      </c>
      <c r="H1346" t="str">
        <f>"1359151219"</f>
        <v>1359151219</v>
      </c>
      <c r="I1346" t="str">
        <f t="shared" si="16"/>
        <v>WILSON COUNTY NEWS</v>
      </c>
    </row>
    <row r="1347" spans="1:9" x14ac:dyDescent="0.25">
      <c r="A1347" s="6">
        <v>43473</v>
      </c>
      <c r="B1347" t="s">
        <v>91</v>
      </c>
      <c r="C1347">
        <v>59837</v>
      </c>
      <c r="D1347" t="s">
        <v>104</v>
      </c>
      <c r="E1347" s="7">
        <v>2630.28</v>
      </c>
      <c r="F1347" t="s">
        <v>20</v>
      </c>
      <c r="G1347" t="s">
        <v>21</v>
      </c>
      <c r="H1347" t="str">
        <f>"1360091226"</f>
        <v>1360091226</v>
      </c>
      <c r="I1347" t="str">
        <f t="shared" si="16"/>
        <v>WILSON COUNTY NEWS</v>
      </c>
    </row>
    <row r="1348" spans="1:9" x14ac:dyDescent="0.25">
      <c r="A1348" s="6">
        <v>43473</v>
      </c>
      <c r="B1348" t="s">
        <v>91</v>
      </c>
      <c r="C1348">
        <v>59837</v>
      </c>
      <c r="D1348" t="s">
        <v>104</v>
      </c>
      <c r="E1348" s="7">
        <v>2630.28</v>
      </c>
      <c r="F1348" t="s">
        <v>20</v>
      </c>
      <c r="G1348" t="s">
        <v>93</v>
      </c>
      <c r="H1348" t="str">
        <f>"CHECK"</f>
        <v>CHECK</v>
      </c>
      <c r="I1348" t="str">
        <f>""</f>
        <v/>
      </c>
    </row>
    <row r="1349" spans="1:9" x14ac:dyDescent="0.25">
      <c r="A1349" s="6">
        <v>43473</v>
      </c>
      <c r="B1349" t="s">
        <v>91</v>
      </c>
      <c r="C1349">
        <v>59838</v>
      </c>
      <c r="D1349" t="s">
        <v>59</v>
      </c>
      <c r="E1349" s="7">
        <v>134.99</v>
      </c>
      <c r="F1349" t="s">
        <v>20</v>
      </c>
      <c r="G1349" t="s">
        <v>21</v>
      </c>
      <c r="H1349" t="str">
        <f>"0996264-1"</f>
        <v>0996264-1</v>
      </c>
      <c r="I1349" t="str">
        <f>"FERGUSON WATERWORKS - MUNICIPA"</f>
        <v>FERGUSON WATERWORKS - MUNICIPA</v>
      </c>
    </row>
    <row r="1350" spans="1:9" x14ac:dyDescent="0.25">
      <c r="A1350" s="6">
        <v>43473</v>
      </c>
      <c r="B1350" t="s">
        <v>91</v>
      </c>
      <c r="C1350">
        <v>59838</v>
      </c>
      <c r="D1350" t="s">
        <v>59</v>
      </c>
      <c r="E1350" s="7">
        <v>134.99</v>
      </c>
      <c r="F1350" t="s">
        <v>20</v>
      </c>
      <c r="G1350" t="s">
        <v>93</v>
      </c>
      <c r="H1350" t="str">
        <f>"CHECK"</f>
        <v>CHECK</v>
      </c>
      <c r="I1350" t="str">
        <f>""</f>
        <v/>
      </c>
    </row>
    <row r="1351" spans="1:9" x14ac:dyDescent="0.25">
      <c r="A1351" s="6">
        <v>43473</v>
      </c>
      <c r="B1351" t="s">
        <v>91</v>
      </c>
      <c r="C1351">
        <v>59839</v>
      </c>
      <c r="D1351" t="s">
        <v>619</v>
      </c>
      <c r="E1351" s="7">
        <v>8831.43</v>
      </c>
      <c r="F1351" t="s">
        <v>20</v>
      </c>
      <c r="G1351" t="s">
        <v>21</v>
      </c>
      <c r="H1351" t="str">
        <f>"281171"</f>
        <v>281171</v>
      </c>
      <c r="I1351" t="str">
        <f>"DE LA GARZA FENCE CO.  INC"</f>
        <v>DE LA GARZA FENCE CO.  INC</v>
      </c>
    </row>
    <row r="1352" spans="1:9" x14ac:dyDescent="0.25">
      <c r="A1352" s="6">
        <v>43473</v>
      </c>
      <c r="B1352" t="s">
        <v>91</v>
      </c>
      <c r="C1352">
        <v>59839</v>
      </c>
      <c r="D1352" t="s">
        <v>619</v>
      </c>
      <c r="E1352" s="7">
        <v>8831.43</v>
      </c>
      <c r="F1352" t="s">
        <v>20</v>
      </c>
      <c r="G1352" t="s">
        <v>21</v>
      </c>
      <c r="H1352" t="str">
        <f>"281174"</f>
        <v>281174</v>
      </c>
      <c r="I1352" t="str">
        <f>"DE LA GARZA FENCE CO.  INC"</f>
        <v>DE LA GARZA FENCE CO.  INC</v>
      </c>
    </row>
    <row r="1353" spans="1:9" x14ac:dyDescent="0.25">
      <c r="A1353" s="6">
        <v>43473</v>
      </c>
      <c r="B1353" t="s">
        <v>91</v>
      </c>
      <c r="C1353">
        <v>59839</v>
      </c>
      <c r="D1353" t="s">
        <v>619</v>
      </c>
      <c r="E1353" s="7">
        <v>8831.43</v>
      </c>
      <c r="F1353" t="s">
        <v>20</v>
      </c>
      <c r="G1353" t="s">
        <v>21</v>
      </c>
      <c r="H1353" t="str">
        <f>"281375"</f>
        <v>281375</v>
      </c>
      <c r="I1353" t="str">
        <f>"DE LA GARZA FENCE CO.  INC"</f>
        <v>DE LA GARZA FENCE CO.  INC</v>
      </c>
    </row>
    <row r="1354" spans="1:9" x14ac:dyDescent="0.25">
      <c r="A1354" s="6">
        <v>43473</v>
      </c>
      <c r="B1354" t="s">
        <v>91</v>
      </c>
      <c r="C1354">
        <v>59839</v>
      </c>
      <c r="D1354" t="s">
        <v>619</v>
      </c>
      <c r="E1354" s="7">
        <v>8831.43</v>
      </c>
      <c r="F1354" t="s">
        <v>20</v>
      </c>
      <c r="G1354" t="s">
        <v>93</v>
      </c>
      <c r="H1354" t="str">
        <f>"CHECK"</f>
        <v>CHECK</v>
      </c>
      <c r="I1354" t="str">
        <f>""</f>
        <v/>
      </c>
    </row>
    <row r="1355" spans="1:9" x14ac:dyDescent="0.25">
      <c r="A1355" s="6">
        <v>43473</v>
      </c>
      <c r="B1355" t="s">
        <v>91</v>
      </c>
      <c r="C1355">
        <v>59840</v>
      </c>
      <c r="D1355" t="s">
        <v>366</v>
      </c>
      <c r="E1355" s="7">
        <v>400.95</v>
      </c>
      <c r="F1355" t="s">
        <v>20</v>
      </c>
      <c r="G1355" t="s">
        <v>21</v>
      </c>
      <c r="H1355" t="str">
        <f>"CHD SAF FEE 9/18"</f>
        <v>CHD SAF FEE 9/18</v>
      </c>
      <c r="I1355" t="str">
        <f>"COMPTROLLER OF PUBLIC ACCOUNTS"</f>
        <v>COMPTROLLER OF PUBLIC ACCOUNTS</v>
      </c>
    </row>
    <row r="1356" spans="1:9" x14ac:dyDescent="0.25">
      <c r="A1356" s="6">
        <v>43473</v>
      </c>
      <c r="B1356" t="s">
        <v>91</v>
      </c>
      <c r="C1356">
        <v>59840</v>
      </c>
      <c r="D1356" t="s">
        <v>366</v>
      </c>
      <c r="E1356" s="7">
        <v>400.95</v>
      </c>
      <c r="F1356" t="s">
        <v>20</v>
      </c>
      <c r="G1356" t="s">
        <v>93</v>
      </c>
      <c r="H1356" t="str">
        <f>"CHECK"</f>
        <v>CHECK</v>
      </c>
      <c r="I1356" t="str">
        <f>""</f>
        <v/>
      </c>
    </row>
    <row r="1357" spans="1:9" x14ac:dyDescent="0.25">
      <c r="A1357" s="6">
        <v>43473</v>
      </c>
      <c r="B1357" t="s">
        <v>91</v>
      </c>
      <c r="C1357">
        <v>59841</v>
      </c>
      <c r="D1357" t="s">
        <v>179</v>
      </c>
      <c r="E1357" s="7">
        <v>63.31</v>
      </c>
      <c r="F1357" t="s">
        <v>20</v>
      </c>
      <c r="G1357" t="s">
        <v>21</v>
      </c>
      <c r="H1357" t="str">
        <f>"55149F"</f>
        <v>55149F</v>
      </c>
      <c r="I1357" t="str">
        <f>"ANCIRA FORD-MERCURY"</f>
        <v>ANCIRA FORD-MERCURY</v>
      </c>
    </row>
    <row r="1358" spans="1:9" x14ac:dyDescent="0.25">
      <c r="A1358" s="6">
        <v>43473</v>
      </c>
      <c r="B1358" t="s">
        <v>91</v>
      </c>
      <c r="C1358">
        <v>59841</v>
      </c>
      <c r="D1358" t="s">
        <v>179</v>
      </c>
      <c r="E1358" s="7">
        <v>63.31</v>
      </c>
      <c r="F1358" t="s">
        <v>20</v>
      </c>
      <c r="G1358" t="s">
        <v>93</v>
      </c>
      <c r="H1358" t="str">
        <f>"CHECK"</f>
        <v>CHECK</v>
      </c>
      <c r="I1358" t="str">
        <f>""</f>
        <v/>
      </c>
    </row>
    <row r="1359" spans="1:9" x14ac:dyDescent="0.25">
      <c r="A1359" s="6">
        <v>43473</v>
      </c>
      <c r="B1359" t="s">
        <v>91</v>
      </c>
      <c r="C1359">
        <v>59842</v>
      </c>
      <c r="D1359" t="s">
        <v>273</v>
      </c>
      <c r="E1359" s="7">
        <v>3781.48</v>
      </c>
      <c r="F1359" t="s">
        <v>20</v>
      </c>
      <c r="G1359" t="s">
        <v>21</v>
      </c>
      <c r="H1359" t="str">
        <f>"5119-000086399"</f>
        <v>5119-000086399</v>
      </c>
      <c r="I1359" t="str">
        <f>"REPUBLIC SERVICES TESSMAN ROAD"</f>
        <v>REPUBLIC SERVICES TESSMAN ROAD</v>
      </c>
    </row>
    <row r="1360" spans="1:9" x14ac:dyDescent="0.25">
      <c r="A1360" s="6">
        <v>43473</v>
      </c>
      <c r="B1360" t="s">
        <v>91</v>
      </c>
      <c r="C1360">
        <v>59842</v>
      </c>
      <c r="D1360" t="s">
        <v>273</v>
      </c>
      <c r="E1360" s="7">
        <v>3781.48</v>
      </c>
      <c r="F1360" t="s">
        <v>20</v>
      </c>
      <c r="G1360" t="s">
        <v>93</v>
      </c>
      <c r="H1360" t="str">
        <f>"CHECK"</f>
        <v>CHECK</v>
      </c>
      <c r="I1360" t="str">
        <f>""</f>
        <v/>
      </c>
    </row>
    <row r="1361" spans="1:9" x14ac:dyDescent="0.25">
      <c r="A1361" s="6">
        <v>43473</v>
      </c>
      <c r="B1361" t="s">
        <v>91</v>
      </c>
      <c r="C1361">
        <v>59843</v>
      </c>
      <c r="D1361" t="s">
        <v>108</v>
      </c>
      <c r="E1361" s="7">
        <v>1485.2</v>
      </c>
      <c r="F1361" t="s">
        <v>20</v>
      </c>
      <c r="G1361" t="s">
        <v>21</v>
      </c>
      <c r="H1361" t="str">
        <f>"041295611945"</f>
        <v>041295611945</v>
      </c>
      <c r="I1361" t="str">
        <f>"POOLSURE"</f>
        <v>POOLSURE</v>
      </c>
    </row>
    <row r="1362" spans="1:9" x14ac:dyDescent="0.25">
      <c r="A1362" s="6">
        <v>43473</v>
      </c>
      <c r="B1362" t="s">
        <v>91</v>
      </c>
      <c r="C1362">
        <v>59843</v>
      </c>
      <c r="D1362" t="s">
        <v>108</v>
      </c>
      <c r="E1362" s="7">
        <v>1485.2</v>
      </c>
      <c r="F1362" t="s">
        <v>20</v>
      </c>
      <c r="G1362" t="s">
        <v>93</v>
      </c>
      <c r="H1362" t="str">
        <f>"CHECK"</f>
        <v>CHECK</v>
      </c>
      <c r="I1362" t="str">
        <f>""</f>
        <v/>
      </c>
    </row>
    <row r="1363" spans="1:9" x14ac:dyDescent="0.25">
      <c r="A1363" s="6">
        <v>43473</v>
      </c>
      <c r="B1363" t="s">
        <v>91</v>
      </c>
      <c r="C1363">
        <v>59844</v>
      </c>
      <c r="D1363" t="s">
        <v>203</v>
      </c>
      <c r="E1363" s="7">
        <v>105.67</v>
      </c>
      <c r="F1363" t="s">
        <v>20</v>
      </c>
      <c r="G1363" t="s">
        <v>21</v>
      </c>
      <c r="H1363" t="str">
        <f>"719600*"</f>
        <v>719600*</v>
      </c>
      <c r="I1363" t="str">
        <f>"USA BLUEBOOK"</f>
        <v>USA BLUEBOOK</v>
      </c>
    </row>
    <row r="1364" spans="1:9" x14ac:dyDescent="0.25">
      <c r="A1364" s="6">
        <v>43473</v>
      </c>
      <c r="B1364" t="s">
        <v>91</v>
      </c>
      <c r="C1364">
        <v>59844</v>
      </c>
      <c r="D1364" t="s">
        <v>203</v>
      </c>
      <c r="E1364" s="7">
        <v>105.67</v>
      </c>
      <c r="F1364" t="s">
        <v>20</v>
      </c>
      <c r="G1364" t="s">
        <v>93</v>
      </c>
      <c r="H1364" t="str">
        <f>"CHECK"</f>
        <v>CHECK</v>
      </c>
      <c r="I1364" t="str">
        <f>""</f>
        <v/>
      </c>
    </row>
    <row r="1365" spans="1:9" x14ac:dyDescent="0.25">
      <c r="A1365" s="6">
        <v>43473</v>
      </c>
      <c r="B1365" t="s">
        <v>91</v>
      </c>
      <c r="C1365">
        <v>59845</v>
      </c>
      <c r="D1365" t="s">
        <v>240</v>
      </c>
      <c r="E1365" s="7">
        <v>59.95</v>
      </c>
      <c r="F1365" t="s">
        <v>20</v>
      </c>
      <c r="G1365" t="s">
        <v>21</v>
      </c>
      <c r="H1365" t="str">
        <f>"0157724-IN"</f>
        <v>0157724-IN</v>
      </c>
      <c r="I1365" t="str">
        <f>"NARDIS PUBLIC SAFETY"</f>
        <v>NARDIS PUBLIC SAFETY</v>
      </c>
    </row>
    <row r="1366" spans="1:9" x14ac:dyDescent="0.25">
      <c r="A1366" s="6">
        <v>43473</v>
      </c>
      <c r="B1366" t="s">
        <v>91</v>
      </c>
      <c r="C1366">
        <v>59845</v>
      </c>
      <c r="D1366" t="s">
        <v>240</v>
      </c>
      <c r="E1366" s="7">
        <v>59.95</v>
      </c>
      <c r="F1366" t="s">
        <v>20</v>
      </c>
      <c r="G1366" t="s">
        <v>93</v>
      </c>
      <c r="H1366" t="str">
        <f>"CHECK"</f>
        <v>CHECK</v>
      </c>
      <c r="I1366" t="str">
        <f>""</f>
        <v/>
      </c>
    </row>
    <row r="1367" spans="1:9" x14ac:dyDescent="0.25">
      <c r="A1367" s="6">
        <v>43473</v>
      </c>
      <c r="B1367" t="s">
        <v>91</v>
      </c>
      <c r="C1367">
        <v>59846</v>
      </c>
      <c r="D1367" t="s">
        <v>110</v>
      </c>
      <c r="E1367" s="7">
        <v>2766.23</v>
      </c>
      <c r="F1367" t="s">
        <v>20</v>
      </c>
      <c r="G1367" t="s">
        <v>21</v>
      </c>
      <c r="H1367" t="str">
        <f>"1447509"</f>
        <v>1447509</v>
      </c>
      <c r="I1367" t="str">
        <f t="shared" ref="I1367:I1378" si="17">"BUREAU VERITAS NORTH AMERICA"</f>
        <v>BUREAU VERITAS NORTH AMERICA</v>
      </c>
    </row>
    <row r="1368" spans="1:9" x14ac:dyDescent="0.25">
      <c r="A1368" s="6">
        <v>43473</v>
      </c>
      <c r="B1368" t="s">
        <v>91</v>
      </c>
      <c r="C1368">
        <v>59846</v>
      </c>
      <c r="D1368" t="s">
        <v>110</v>
      </c>
      <c r="E1368" s="7">
        <v>2766.23</v>
      </c>
      <c r="F1368" t="s">
        <v>20</v>
      </c>
      <c r="G1368" t="s">
        <v>21</v>
      </c>
      <c r="H1368" t="str">
        <f>"1447510"</f>
        <v>1447510</v>
      </c>
      <c r="I1368" t="str">
        <f t="shared" si="17"/>
        <v>BUREAU VERITAS NORTH AMERICA</v>
      </c>
    </row>
    <row r="1369" spans="1:9" x14ac:dyDescent="0.25">
      <c r="A1369" s="6">
        <v>43473</v>
      </c>
      <c r="B1369" t="s">
        <v>91</v>
      </c>
      <c r="C1369">
        <v>59846</v>
      </c>
      <c r="D1369" t="s">
        <v>110</v>
      </c>
      <c r="E1369" s="7">
        <v>2766.23</v>
      </c>
      <c r="F1369" t="s">
        <v>20</v>
      </c>
      <c r="G1369" t="s">
        <v>21</v>
      </c>
      <c r="H1369" t="str">
        <f>"1447511"</f>
        <v>1447511</v>
      </c>
      <c r="I1369" t="str">
        <f t="shared" si="17"/>
        <v>BUREAU VERITAS NORTH AMERICA</v>
      </c>
    </row>
    <row r="1370" spans="1:9" x14ac:dyDescent="0.25">
      <c r="A1370" s="6">
        <v>43473</v>
      </c>
      <c r="B1370" t="s">
        <v>91</v>
      </c>
      <c r="C1370">
        <v>59846</v>
      </c>
      <c r="D1370" t="s">
        <v>110</v>
      </c>
      <c r="E1370" s="7">
        <v>2766.23</v>
      </c>
      <c r="F1370" t="s">
        <v>20</v>
      </c>
      <c r="G1370" t="s">
        <v>21</v>
      </c>
      <c r="H1370" t="str">
        <f>"1447512"</f>
        <v>1447512</v>
      </c>
      <c r="I1370" t="str">
        <f t="shared" si="17"/>
        <v>BUREAU VERITAS NORTH AMERICA</v>
      </c>
    </row>
    <row r="1371" spans="1:9" x14ac:dyDescent="0.25">
      <c r="A1371" s="6">
        <v>43473</v>
      </c>
      <c r="B1371" t="s">
        <v>91</v>
      </c>
      <c r="C1371">
        <v>59846</v>
      </c>
      <c r="D1371" t="s">
        <v>110</v>
      </c>
      <c r="E1371" s="7">
        <v>2766.23</v>
      </c>
      <c r="F1371" t="s">
        <v>20</v>
      </c>
      <c r="G1371" t="s">
        <v>21</v>
      </c>
      <c r="H1371" t="str">
        <f>"1447513"</f>
        <v>1447513</v>
      </c>
      <c r="I1371" t="str">
        <f t="shared" si="17"/>
        <v>BUREAU VERITAS NORTH AMERICA</v>
      </c>
    </row>
    <row r="1372" spans="1:9" x14ac:dyDescent="0.25">
      <c r="A1372" s="6">
        <v>43473</v>
      </c>
      <c r="B1372" t="s">
        <v>91</v>
      </c>
      <c r="C1372">
        <v>59846</v>
      </c>
      <c r="D1372" t="s">
        <v>110</v>
      </c>
      <c r="E1372" s="7">
        <v>2766.23</v>
      </c>
      <c r="F1372" t="s">
        <v>20</v>
      </c>
      <c r="G1372" t="s">
        <v>21</v>
      </c>
      <c r="H1372" t="str">
        <f>"1447514"</f>
        <v>1447514</v>
      </c>
      <c r="I1372" t="str">
        <f t="shared" si="17"/>
        <v>BUREAU VERITAS NORTH AMERICA</v>
      </c>
    </row>
    <row r="1373" spans="1:9" x14ac:dyDescent="0.25">
      <c r="A1373" s="6">
        <v>43473</v>
      </c>
      <c r="B1373" t="s">
        <v>91</v>
      </c>
      <c r="C1373">
        <v>59846</v>
      </c>
      <c r="D1373" t="s">
        <v>110</v>
      </c>
      <c r="E1373" s="7">
        <v>2766.23</v>
      </c>
      <c r="F1373" t="s">
        <v>20</v>
      </c>
      <c r="G1373" t="s">
        <v>21</v>
      </c>
      <c r="H1373" t="str">
        <f>"1447515"</f>
        <v>1447515</v>
      </c>
      <c r="I1373" t="str">
        <f t="shared" si="17"/>
        <v>BUREAU VERITAS NORTH AMERICA</v>
      </c>
    </row>
    <row r="1374" spans="1:9" x14ac:dyDescent="0.25">
      <c r="A1374" s="6">
        <v>43473</v>
      </c>
      <c r="B1374" t="s">
        <v>91</v>
      </c>
      <c r="C1374">
        <v>59846</v>
      </c>
      <c r="D1374" t="s">
        <v>110</v>
      </c>
      <c r="E1374" s="7">
        <v>2766.23</v>
      </c>
      <c r="F1374" t="s">
        <v>20</v>
      </c>
      <c r="G1374" t="s">
        <v>21</v>
      </c>
      <c r="H1374" t="str">
        <f>"1447516"</f>
        <v>1447516</v>
      </c>
      <c r="I1374" t="str">
        <f t="shared" si="17"/>
        <v>BUREAU VERITAS NORTH AMERICA</v>
      </c>
    </row>
    <row r="1375" spans="1:9" x14ac:dyDescent="0.25">
      <c r="A1375" s="6">
        <v>43473</v>
      </c>
      <c r="B1375" t="s">
        <v>91</v>
      </c>
      <c r="C1375">
        <v>59846</v>
      </c>
      <c r="D1375" t="s">
        <v>110</v>
      </c>
      <c r="E1375" s="7">
        <v>2766.23</v>
      </c>
      <c r="F1375" t="s">
        <v>20</v>
      </c>
      <c r="G1375" t="s">
        <v>21</v>
      </c>
      <c r="H1375" t="str">
        <f>"1447517"</f>
        <v>1447517</v>
      </c>
      <c r="I1375" t="str">
        <f t="shared" si="17"/>
        <v>BUREAU VERITAS NORTH AMERICA</v>
      </c>
    </row>
    <row r="1376" spans="1:9" x14ac:dyDescent="0.25">
      <c r="A1376" s="6">
        <v>43473</v>
      </c>
      <c r="B1376" t="s">
        <v>91</v>
      </c>
      <c r="C1376">
        <v>59846</v>
      </c>
      <c r="D1376" t="s">
        <v>110</v>
      </c>
      <c r="E1376" s="7">
        <v>2766.23</v>
      </c>
      <c r="F1376" t="s">
        <v>20</v>
      </c>
      <c r="G1376" t="s">
        <v>21</v>
      </c>
      <c r="H1376" t="str">
        <f>"1447518"</f>
        <v>1447518</v>
      </c>
      <c r="I1376" t="str">
        <f t="shared" si="17"/>
        <v>BUREAU VERITAS NORTH AMERICA</v>
      </c>
    </row>
    <row r="1377" spans="1:9" x14ac:dyDescent="0.25">
      <c r="A1377" s="6">
        <v>43473</v>
      </c>
      <c r="B1377" t="s">
        <v>91</v>
      </c>
      <c r="C1377">
        <v>59846</v>
      </c>
      <c r="D1377" t="s">
        <v>110</v>
      </c>
      <c r="E1377" s="7">
        <v>2766.23</v>
      </c>
      <c r="F1377" t="s">
        <v>20</v>
      </c>
      <c r="G1377" t="s">
        <v>21</v>
      </c>
      <c r="H1377" t="str">
        <f>"1447519"</f>
        <v>1447519</v>
      </c>
      <c r="I1377" t="str">
        <f t="shared" si="17"/>
        <v>BUREAU VERITAS NORTH AMERICA</v>
      </c>
    </row>
    <row r="1378" spans="1:9" x14ac:dyDescent="0.25">
      <c r="A1378" s="6">
        <v>43473</v>
      </c>
      <c r="B1378" t="s">
        <v>91</v>
      </c>
      <c r="C1378">
        <v>59846</v>
      </c>
      <c r="D1378" t="s">
        <v>110</v>
      </c>
      <c r="E1378" s="7">
        <v>2766.23</v>
      </c>
      <c r="F1378" t="s">
        <v>20</v>
      </c>
      <c r="G1378" t="s">
        <v>21</v>
      </c>
      <c r="H1378" t="str">
        <f>"1447520"</f>
        <v>1447520</v>
      </c>
      <c r="I1378" t="str">
        <f t="shared" si="17"/>
        <v>BUREAU VERITAS NORTH AMERICA</v>
      </c>
    </row>
    <row r="1379" spans="1:9" x14ac:dyDescent="0.25">
      <c r="A1379" s="6">
        <v>43473</v>
      </c>
      <c r="B1379" t="s">
        <v>91</v>
      </c>
      <c r="C1379">
        <v>59846</v>
      </c>
      <c r="D1379" t="s">
        <v>110</v>
      </c>
      <c r="E1379" s="7">
        <v>2766.23</v>
      </c>
      <c r="F1379" t="s">
        <v>20</v>
      </c>
      <c r="G1379" t="s">
        <v>93</v>
      </c>
      <c r="H1379" t="str">
        <f>"CHECK"</f>
        <v>CHECK</v>
      </c>
      <c r="I1379" t="str">
        <f>""</f>
        <v/>
      </c>
    </row>
    <row r="1380" spans="1:9" x14ac:dyDescent="0.25">
      <c r="A1380" s="6">
        <v>43473</v>
      </c>
      <c r="B1380" t="s">
        <v>91</v>
      </c>
      <c r="C1380">
        <v>59848</v>
      </c>
      <c r="D1380" t="s">
        <v>340</v>
      </c>
      <c r="E1380" s="7">
        <v>20.25</v>
      </c>
      <c r="F1380" t="s">
        <v>20</v>
      </c>
      <c r="G1380" t="s">
        <v>21</v>
      </c>
      <c r="H1380" t="str">
        <f>"1810-346304"</f>
        <v>1810-346304</v>
      </c>
      <c r="I1380" t="str">
        <f>"O'REILLY AUTOMOTIVE  INC."</f>
        <v>O'REILLY AUTOMOTIVE  INC.</v>
      </c>
    </row>
    <row r="1381" spans="1:9" x14ac:dyDescent="0.25">
      <c r="A1381" s="6">
        <v>43473</v>
      </c>
      <c r="B1381" t="s">
        <v>91</v>
      </c>
      <c r="C1381">
        <v>59848</v>
      </c>
      <c r="D1381" t="s">
        <v>340</v>
      </c>
      <c r="E1381" s="7">
        <v>20.25</v>
      </c>
      <c r="F1381" t="s">
        <v>20</v>
      </c>
      <c r="G1381" t="s">
        <v>93</v>
      </c>
      <c r="H1381" t="str">
        <f>"CHECK"</f>
        <v>CHECK</v>
      </c>
      <c r="I1381" t="str">
        <f>""</f>
        <v/>
      </c>
    </row>
    <row r="1382" spans="1:9" x14ac:dyDescent="0.25">
      <c r="A1382" s="6">
        <v>43473</v>
      </c>
      <c r="B1382" t="s">
        <v>91</v>
      </c>
      <c r="C1382">
        <v>59849</v>
      </c>
      <c r="D1382" t="s">
        <v>61</v>
      </c>
      <c r="E1382" s="7">
        <v>2616.33</v>
      </c>
      <c r="F1382" t="s">
        <v>20</v>
      </c>
      <c r="G1382" t="s">
        <v>21</v>
      </c>
      <c r="H1382" t="str">
        <f>"025-244730"</f>
        <v>025-244730</v>
      </c>
      <c r="I1382" t="str">
        <f>"TYLER TECHNOLOGIES  INC."</f>
        <v>TYLER TECHNOLOGIES  INC.</v>
      </c>
    </row>
    <row r="1383" spans="1:9" x14ac:dyDescent="0.25">
      <c r="A1383" s="6">
        <v>43473</v>
      </c>
      <c r="B1383" t="s">
        <v>91</v>
      </c>
      <c r="C1383">
        <v>59849</v>
      </c>
      <c r="D1383" t="s">
        <v>61</v>
      </c>
      <c r="E1383" s="7">
        <v>2616.33</v>
      </c>
      <c r="F1383" t="s">
        <v>20</v>
      </c>
      <c r="G1383" t="s">
        <v>21</v>
      </c>
      <c r="H1383" t="str">
        <f>"025-244731"</f>
        <v>025-244731</v>
      </c>
      <c r="I1383" t="str">
        <f>"TYLER TECHNOLOGIES  INC."</f>
        <v>TYLER TECHNOLOGIES  INC.</v>
      </c>
    </row>
    <row r="1384" spans="1:9" x14ac:dyDescent="0.25">
      <c r="A1384" s="6">
        <v>43473</v>
      </c>
      <c r="B1384" t="s">
        <v>91</v>
      </c>
      <c r="C1384">
        <v>59849</v>
      </c>
      <c r="D1384" t="s">
        <v>61</v>
      </c>
      <c r="E1384" s="7">
        <v>2616.33</v>
      </c>
      <c r="F1384" t="s">
        <v>20</v>
      </c>
      <c r="G1384" t="s">
        <v>21</v>
      </c>
      <c r="H1384" t="str">
        <f>"025-245234"</f>
        <v>025-245234</v>
      </c>
      <c r="I1384" t="str">
        <f>"TYLER TECHNOLOGIES  INC."</f>
        <v>TYLER TECHNOLOGIES  INC.</v>
      </c>
    </row>
    <row r="1385" spans="1:9" x14ac:dyDescent="0.25">
      <c r="A1385" s="6">
        <v>43473</v>
      </c>
      <c r="B1385" t="s">
        <v>91</v>
      </c>
      <c r="C1385">
        <v>59849</v>
      </c>
      <c r="D1385" t="s">
        <v>61</v>
      </c>
      <c r="E1385" s="7">
        <v>2616.33</v>
      </c>
      <c r="F1385" t="s">
        <v>20</v>
      </c>
      <c r="G1385" t="s">
        <v>93</v>
      </c>
      <c r="H1385" t="str">
        <f>"CHECK"</f>
        <v>CHECK</v>
      </c>
      <c r="I1385" t="str">
        <f>""</f>
        <v/>
      </c>
    </row>
    <row r="1386" spans="1:9" x14ac:dyDescent="0.25">
      <c r="A1386" s="6">
        <v>43473</v>
      </c>
      <c r="B1386" t="s">
        <v>91</v>
      </c>
      <c r="C1386">
        <v>59850</v>
      </c>
      <c r="D1386" t="s">
        <v>212</v>
      </c>
      <c r="E1386" s="7">
        <v>170</v>
      </c>
      <c r="F1386" t="s">
        <v>20</v>
      </c>
      <c r="G1386" t="s">
        <v>21</v>
      </c>
      <c r="H1386" t="str">
        <f>"03667"</f>
        <v>03667</v>
      </c>
      <c r="I1386" t="str">
        <f>"AACOG"</f>
        <v>AACOG</v>
      </c>
    </row>
    <row r="1387" spans="1:9" x14ac:dyDescent="0.25">
      <c r="A1387" s="6">
        <v>43473</v>
      </c>
      <c r="B1387" t="s">
        <v>91</v>
      </c>
      <c r="C1387">
        <v>59850</v>
      </c>
      <c r="D1387" t="s">
        <v>212</v>
      </c>
      <c r="E1387" s="7">
        <v>170</v>
      </c>
      <c r="F1387" t="s">
        <v>20</v>
      </c>
      <c r="G1387" t="s">
        <v>21</v>
      </c>
      <c r="H1387" t="str">
        <f>"03671"</f>
        <v>03671</v>
      </c>
      <c r="I1387" t="str">
        <f>"AACOG"</f>
        <v>AACOG</v>
      </c>
    </row>
    <row r="1388" spans="1:9" x14ac:dyDescent="0.25">
      <c r="A1388" s="6">
        <v>43473</v>
      </c>
      <c r="B1388" t="s">
        <v>91</v>
      </c>
      <c r="C1388">
        <v>59850</v>
      </c>
      <c r="D1388" t="s">
        <v>212</v>
      </c>
      <c r="E1388" s="7">
        <v>170</v>
      </c>
      <c r="F1388" t="s">
        <v>20</v>
      </c>
      <c r="G1388" t="s">
        <v>21</v>
      </c>
      <c r="H1388" t="str">
        <f>"03679"</f>
        <v>03679</v>
      </c>
      <c r="I1388" t="str">
        <f>"AACOG"</f>
        <v>AACOG</v>
      </c>
    </row>
    <row r="1389" spans="1:9" x14ac:dyDescent="0.25">
      <c r="A1389" s="6">
        <v>43473</v>
      </c>
      <c r="B1389" t="s">
        <v>91</v>
      </c>
      <c r="C1389">
        <v>59850</v>
      </c>
      <c r="D1389" t="s">
        <v>212</v>
      </c>
      <c r="E1389" s="7">
        <v>170</v>
      </c>
      <c r="F1389" t="s">
        <v>20</v>
      </c>
      <c r="G1389" t="s">
        <v>93</v>
      </c>
      <c r="H1389" t="str">
        <f>"CHECK"</f>
        <v>CHECK</v>
      </c>
      <c r="I1389" t="str">
        <f>""</f>
        <v/>
      </c>
    </row>
    <row r="1390" spans="1:9" x14ac:dyDescent="0.25">
      <c r="A1390" s="6">
        <v>43473</v>
      </c>
      <c r="B1390" t="s">
        <v>91</v>
      </c>
      <c r="C1390">
        <v>59851</v>
      </c>
      <c r="D1390" t="s">
        <v>63</v>
      </c>
      <c r="E1390" s="7">
        <v>811.19</v>
      </c>
      <c r="F1390" t="s">
        <v>20</v>
      </c>
      <c r="G1390" t="s">
        <v>21</v>
      </c>
      <c r="H1390" t="str">
        <f>"8403953235"</f>
        <v>8403953235</v>
      </c>
      <c r="I1390" t="str">
        <f>"CINTAS CORPORATION"</f>
        <v>CINTAS CORPORATION</v>
      </c>
    </row>
    <row r="1391" spans="1:9" x14ac:dyDescent="0.25">
      <c r="A1391" s="6">
        <v>43473</v>
      </c>
      <c r="B1391" t="s">
        <v>91</v>
      </c>
      <c r="C1391">
        <v>59851</v>
      </c>
      <c r="D1391" t="s">
        <v>63</v>
      </c>
      <c r="E1391" s="7">
        <v>811.19</v>
      </c>
      <c r="F1391" t="s">
        <v>20</v>
      </c>
      <c r="G1391" t="s">
        <v>93</v>
      </c>
      <c r="H1391" t="str">
        <f>"CHECK"</f>
        <v>CHECK</v>
      </c>
      <c r="I1391" t="str">
        <f>""</f>
        <v/>
      </c>
    </row>
    <row r="1392" spans="1:9" x14ac:dyDescent="0.25">
      <c r="A1392" s="6">
        <v>43473</v>
      </c>
      <c r="B1392" t="s">
        <v>91</v>
      </c>
      <c r="C1392">
        <v>59852</v>
      </c>
      <c r="D1392" t="s">
        <v>64</v>
      </c>
      <c r="E1392" s="7">
        <v>4433.3999999999996</v>
      </c>
      <c r="F1392" t="s">
        <v>20</v>
      </c>
      <c r="G1392" t="s">
        <v>21</v>
      </c>
      <c r="H1392" t="str">
        <f>"7702"</f>
        <v>7702</v>
      </c>
      <c r="I1392" t="str">
        <f>"DREWA DESIGNS  INC."</f>
        <v>DREWA DESIGNS  INC.</v>
      </c>
    </row>
    <row r="1393" spans="1:9" x14ac:dyDescent="0.25">
      <c r="A1393" s="6">
        <v>43473</v>
      </c>
      <c r="B1393" t="s">
        <v>91</v>
      </c>
      <c r="C1393">
        <v>59852</v>
      </c>
      <c r="D1393" t="s">
        <v>64</v>
      </c>
      <c r="E1393" s="7">
        <v>4433.3999999999996</v>
      </c>
      <c r="F1393" t="s">
        <v>20</v>
      </c>
      <c r="G1393" t="s">
        <v>93</v>
      </c>
      <c r="H1393" t="str">
        <f>"CHECK"</f>
        <v>CHECK</v>
      </c>
      <c r="I1393" t="str">
        <f>""</f>
        <v/>
      </c>
    </row>
    <row r="1394" spans="1:9" x14ac:dyDescent="0.25">
      <c r="A1394" s="6">
        <v>43473</v>
      </c>
      <c r="B1394" t="s">
        <v>91</v>
      </c>
      <c r="C1394">
        <v>59853</v>
      </c>
      <c r="D1394" t="s">
        <v>117</v>
      </c>
      <c r="E1394" s="7">
        <v>549.29999999999995</v>
      </c>
      <c r="F1394" t="s">
        <v>20</v>
      </c>
      <c r="G1394" t="s">
        <v>21</v>
      </c>
      <c r="H1394" t="str">
        <f>"10/2018"</f>
        <v>10/2018</v>
      </c>
      <c r="I1394" t="str">
        <f>"LINEBARGER GOGGAN BLAIR &amp; SAMP"</f>
        <v>LINEBARGER GOGGAN BLAIR &amp; SAMP</v>
      </c>
    </row>
    <row r="1395" spans="1:9" x14ac:dyDescent="0.25">
      <c r="A1395" s="6">
        <v>43473</v>
      </c>
      <c r="B1395" t="s">
        <v>91</v>
      </c>
      <c r="C1395">
        <v>59853</v>
      </c>
      <c r="D1395" t="s">
        <v>117</v>
      </c>
      <c r="E1395" s="7">
        <v>549.29999999999995</v>
      </c>
      <c r="F1395" t="s">
        <v>20</v>
      </c>
      <c r="G1395" t="s">
        <v>93</v>
      </c>
      <c r="H1395" t="str">
        <f>"CHECK"</f>
        <v>CHECK</v>
      </c>
      <c r="I1395" t="str">
        <f>""</f>
        <v/>
      </c>
    </row>
    <row r="1396" spans="1:9" x14ac:dyDescent="0.25">
      <c r="A1396" s="6">
        <v>43473</v>
      </c>
      <c r="B1396" t="s">
        <v>91</v>
      </c>
      <c r="C1396">
        <v>59854</v>
      </c>
      <c r="D1396" t="s">
        <v>255</v>
      </c>
      <c r="E1396" s="7">
        <v>150.97999999999999</v>
      </c>
      <c r="F1396" t="s">
        <v>20</v>
      </c>
      <c r="G1396" t="s">
        <v>21</v>
      </c>
      <c r="H1396" t="str">
        <f>"202735664 12/18"</f>
        <v>202735664 12/18</v>
      </c>
      <c r="I1396" t="str">
        <f>"ADT SECURITY SERVICES"</f>
        <v>ADT SECURITY SERVICES</v>
      </c>
    </row>
    <row r="1397" spans="1:9" x14ac:dyDescent="0.25">
      <c r="A1397" s="6">
        <v>43473</v>
      </c>
      <c r="B1397" t="s">
        <v>91</v>
      </c>
      <c r="C1397">
        <v>59854</v>
      </c>
      <c r="D1397" t="s">
        <v>255</v>
      </c>
      <c r="E1397" s="7">
        <v>150.97999999999999</v>
      </c>
      <c r="F1397" t="s">
        <v>20</v>
      </c>
      <c r="G1397" t="s">
        <v>93</v>
      </c>
      <c r="H1397" t="str">
        <f>"CHECK"</f>
        <v>CHECK</v>
      </c>
      <c r="I1397" t="str">
        <f>""</f>
        <v/>
      </c>
    </row>
    <row r="1398" spans="1:9" x14ac:dyDescent="0.25">
      <c r="A1398" s="6">
        <v>43473</v>
      </c>
      <c r="B1398" t="s">
        <v>91</v>
      </c>
      <c r="C1398">
        <v>59855</v>
      </c>
      <c r="D1398" t="s">
        <v>74</v>
      </c>
      <c r="E1398" s="7">
        <v>3600.44</v>
      </c>
      <c r="F1398" t="s">
        <v>20</v>
      </c>
      <c r="G1398" t="s">
        <v>21</v>
      </c>
      <c r="H1398" t="str">
        <f>"9820954708"</f>
        <v>9820954708</v>
      </c>
      <c r="I1398" t="str">
        <f>"VERIZON WIRELESS"</f>
        <v>VERIZON WIRELESS</v>
      </c>
    </row>
    <row r="1399" spans="1:9" x14ac:dyDescent="0.25">
      <c r="A1399" s="6">
        <v>43473</v>
      </c>
      <c r="B1399" t="s">
        <v>91</v>
      </c>
      <c r="C1399">
        <v>59855</v>
      </c>
      <c r="D1399" t="s">
        <v>74</v>
      </c>
      <c r="E1399" s="7">
        <v>3600.44</v>
      </c>
      <c r="F1399" t="s">
        <v>20</v>
      </c>
      <c r="G1399" t="s">
        <v>21</v>
      </c>
      <c r="H1399" t="str">
        <f>"9820954709"</f>
        <v>9820954709</v>
      </c>
      <c r="I1399" t="str">
        <f>"VERIZON WIRELESS"</f>
        <v>VERIZON WIRELESS</v>
      </c>
    </row>
    <row r="1400" spans="1:9" x14ac:dyDescent="0.25">
      <c r="A1400" s="6">
        <v>43473</v>
      </c>
      <c r="B1400" t="s">
        <v>91</v>
      </c>
      <c r="C1400">
        <v>59855</v>
      </c>
      <c r="D1400" t="s">
        <v>74</v>
      </c>
      <c r="E1400" s="7">
        <v>3600.44</v>
      </c>
      <c r="F1400" t="s">
        <v>20</v>
      </c>
      <c r="G1400" t="s">
        <v>93</v>
      </c>
      <c r="H1400" t="str">
        <f>"CHECK"</f>
        <v>CHECK</v>
      </c>
      <c r="I1400" t="str">
        <f>""</f>
        <v/>
      </c>
    </row>
    <row r="1401" spans="1:9" x14ac:dyDescent="0.25">
      <c r="A1401" s="6">
        <v>43473</v>
      </c>
      <c r="B1401" t="s">
        <v>91</v>
      </c>
      <c r="C1401">
        <v>59857</v>
      </c>
      <c r="D1401" t="s">
        <v>661</v>
      </c>
      <c r="E1401" s="7">
        <v>107.17</v>
      </c>
      <c r="F1401" t="s">
        <v>20</v>
      </c>
      <c r="G1401" t="s">
        <v>21</v>
      </c>
      <c r="H1401" t="str">
        <f>"8403966062"</f>
        <v>8403966062</v>
      </c>
      <c r="I1401" t="str">
        <f>"CINTAS FAS LOCKBOX 631025"</f>
        <v>CINTAS FAS LOCKBOX 631025</v>
      </c>
    </row>
    <row r="1402" spans="1:9" x14ac:dyDescent="0.25">
      <c r="A1402" s="6">
        <v>43473</v>
      </c>
      <c r="B1402" t="s">
        <v>91</v>
      </c>
      <c r="C1402">
        <v>59857</v>
      </c>
      <c r="D1402" t="s">
        <v>661</v>
      </c>
      <c r="E1402" s="7">
        <v>107.17</v>
      </c>
      <c r="F1402" t="s">
        <v>20</v>
      </c>
      <c r="G1402" t="s">
        <v>93</v>
      </c>
      <c r="H1402" t="str">
        <f>"CHECK"</f>
        <v>CHECK</v>
      </c>
      <c r="I1402" t="str">
        <f>""</f>
        <v/>
      </c>
    </row>
    <row r="1403" spans="1:9" x14ac:dyDescent="0.25">
      <c r="A1403" s="6">
        <v>43473</v>
      </c>
      <c r="B1403" t="s">
        <v>91</v>
      </c>
      <c r="C1403">
        <v>59858</v>
      </c>
      <c r="D1403" t="s">
        <v>147</v>
      </c>
      <c r="E1403" s="7">
        <v>1621.46</v>
      </c>
      <c r="F1403" t="s">
        <v>20</v>
      </c>
      <c r="G1403" t="s">
        <v>21</v>
      </c>
      <c r="H1403" t="str">
        <f>"1006"</f>
        <v>1006</v>
      </c>
      <c r="I1403" t="str">
        <f>"SRALLA ELECTRIC"</f>
        <v>SRALLA ELECTRIC</v>
      </c>
    </row>
    <row r="1404" spans="1:9" x14ac:dyDescent="0.25">
      <c r="A1404" s="6">
        <v>43473</v>
      </c>
      <c r="B1404" t="s">
        <v>91</v>
      </c>
      <c r="C1404">
        <v>59858</v>
      </c>
      <c r="D1404" t="s">
        <v>147</v>
      </c>
      <c r="E1404" s="7">
        <v>1621.46</v>
      </c>
      <c r="F1404" t="s">
        <v>20</v>
      </c>
      <c r="G1404" t="s">
        <v>21</v>
      </c>
      <c r="H1404" t="str">
        <f>"1009"</f>
        <v>1009</v>
      </c>
      <c r="I1404" t="str">
        <f>"SRALLA ELECTRIC"</f>
        <v>SRALLA ELECTRIC</v>
      </c>
    </row>
    <row r="1405" spans="1:9" x14ac:dyDescent="0.25">
      <c r="A1405" s="6">
        <v>43473</v>
      </c>
      <c r="B1405" t="s">
        <v>91</v>
      </c>
      <c r="C1405">
        <v>59858</v>
      </c>
      <c r="D1405" t="s">
        <v>147</v>
      </c>
      <c r="E1405" s="7">
        <v>1621.46</v>
      </c>
      <c r="F1405" t="s">
        <v>20</v>
      </c>
      <c r="G1405" t="s">
        <v>93</v>
      </c>
      <c r="H1405" t="str">
        <f>"CHECK"</f>
        <v>CHECK</v>
      </c>
      <c r="I1405" t="str">
        <f>""</f>
        <v/>
      </c>
    </row>
    <row r="1406" spans="1:9" x14ac:dyDescent="0.25">
      <c r="A1406" s="6">
        <v>43473</v>
      </c>
      <c r="B1406" t="s">
        <v>91</v>
      </c>
      <c r="C1406">
        <v>59859</v>
      </c>
      <c r="D1406" t="s">
        <v>79</v>
      </c>
      <c r="E1406" s="7">
        <v>40.94</v>
      </c>
      <c r="F1406" t="s">
        <v>20</v>
      </c>
      <c r="G1406" t="s">
        <v>21</v>
      </c>
      <c r="H1406" t="str">
        <f>"6-413-33068"</f>
        <v>6-413-33068</v>
      </c>
      <c r="I1406" t="str">
        <f>"FEDEX"</f>
        <v>FEDEX</v>
      </c>
    </row>
    <row r="1407" spans="1:9" x14ac:dyDescent="0.25">
      <c r="A1407" s="6">
        <v>43473</v>
      </c>
      <c r="B1407" t="s">
        <v>91</v>
      </c>
      <c r="C1407">
        <v>59859</v>
      </c>
      <c r="D1407" t="s">
        <v>79</v>
      </c>
      <c r="E1407" s="7">
        <v>40.94</v>
      </c>
      <c r="F1407" t="s">
        <v>20</v>
      </c>
      <c r="G1407" t="s">
        <v>93</v>
      </c>
      <c r="H1407" t="str">
        <f>"CHECK"</f>
        <v>CHECK</v>
      </c>
      <c r="I1407" t="str">
        <f>""</f>
        <v/>
      </c>
    </row>
    <row r="1408" spans="1:9" x14ac:dyDescent="0.25">
      <c r="A1408" s="6">
        <v>43473</v>
      </c>
      <c r="B1408" t="s">
        <v>91</v>
      </c>
      <c r="C1408">
        <v>59860</v>
      </c>
      <c r="D1408" t="s">
        <v>80</v>
      </c>
      <c r="E1408" s="7">
        <v>1786.91</v>
      </c>
      <c r="F1408" t="s">
        <v>20</v>
      </c>
      <c r="G1408" t="s">
        <v>21</v>
      </c>
      <c r="H1408" t="str">
        <f>"1648-20190101-1"</f>
        <v>1648-20190101-1</v>
      </c>
      <c r="I1408" t="str">
        <f>"LVWIFI.COM"</f>
        <v>LVWIFI.COM</v>
      </c>
    </row>
    <row r="1409" spans="1:9" x14ac:dyDescent="0.25">
      <c r="A1409" s="6">
        <v>43473</v>
      </c>
      <c r="B1409" t="s">
        <v>91</v>
      </c>
      <c r="C1409">
        <v>59860</v>
      </c>
      <c r="D1409" t="s">
        <v>80</v>
      </c>
      <c r="E1409" s="7">
        <v>1786.91</v>
      </c>
      <c r="F1409" t="s">
        <v>20</v>
      </c>
      <c r="G1409" t="s">
        <v>21</v>
      </c>
      <c r="H1409" t="str">
        <f>"2313-20190101-1"</f>
        <v>2313-20190101-1</v>
      </c>
      <c r="I1409" t="str">
        <f>"LVWIFI.COM"</f>
        <v>LVWIFI.COM</v>
      </c>
    </row>
    <row r="1410" spans="1:9" x14ac:dyDescent="0.25">
      <c r="A1410" s="6">
        <v>43473</v>
      </c>
      <c r="B1410" t="s">
        <v>91</v>
      </c>
      <c r="C1410">
        <v>59860</v>
      </c>
      <c r="D1410" t="s">
        <v>80</v>
      </c>
      <c r="E1410" s="7">
        <v>1786.91</v>
      </c>
      <c r="F1410" t="s">
        <v>20</v>
      </c>
      <c r="G1410" t="s">
        <v>21</v>
      </c>
      <c r="H1410" t="str">
        <f>"2314-20190101-1"</f>
        <v>2314-20190101-1</v>
      </c>
      <c r="I1410" t="str">
        <f>"LVWIFI.COM"</f>
        <v>LVWIFI.COM</v>
      </c>
    </row>
    <row r="1411" spans="1:9" x14ac:dyDescent="0.25">
      <c r="A1411" s="6">
        <v>43473</v>
      </c>
      <c r="B1411" t="s">
        <v>91</v>
      </c>
      <c r="C1411">
        <v>59860</v>
      </c>
      <c r="D1411" t="s">
        <v>80</v>
      </c>
      <c r="E1411" s="7">
        <v>1786.91</v>
      </c>
      <c r="F1411" t="s">
        <v>20</v>
      </c>
      <c r="G1411" t="s">
        <v>21</v>
      </c>
      <c r="H1411" t="str">
        <f>"2478-20190101-1"</f>
        <v>2478-20190101-1</v>
      </c>
      <c r="I1411" t="str">
        <f>"LVWIFI.COM"</f>
        <v>LVWIFI.COM</v>
      </c>
    </row>
    <row r="1412" spans="1:9" x14ac:dyDescent="0.25">
      <c r="A1412" s="6">
        <v>43473</v>
      </c>
      <c r="B1412" t="s">
        <v>91</v>
      </c>
      <c r="C1412">
        <v>59860</v>
      </c>
      <c r="D1412" t="s">
        <v>80</v>
      </c>
      <c r="E1412" s="7">
        <v>1786.91</v>
      </c>
      <c r="F1412" t="s">
        <v>20</v>
      </c>
      <c r="G1412" t="s">
        <v>93</v>
      </c>
      <c r="H1412" t="str">
        <f>"CHECK"</f>
        <v>CHECK</v>
      </c>
      <c r="I1412" t="str">
        <f>""</f>
        <v/>
      </c>
    </row>
    <row r="1413" spans="1:9" x14ac:dyDescent="0.25">
      <c r="A1413" s="6">
        <v>43473</v>
      </c>
      <c r="B1413" t="s">
        <v>91</v>
      </c>
      <c r="C1413">
        <v>59861</v>
      </c>
      <c r="D1413" t="s">
        <v>139</v>
      </c>
      <c r="E1413" s="7">
        <v>65</v>
      </c>
      <c r="F1413" t="s">
        <v>20</v>
      </c>
      <c r="G1413" t="s">
        <v>21</v>
      </c>
      <c r="H1413" t="str">
        <f>"25332"</f>
        <v>25332</v>
      </c>
      <c r="I1413" t="str">
        <f>"ANGEL FIRE &amp; SAFETY"</f>
        <v>ANGEL FIRE &amp; SAFETY</v>
      </c>
    </row>
    <row r="1414" spans="1:9" x14ac:dyDescent="0.25">
      <c r="A1414" s="6">
        <v>43473</v>
      </c>
      <c r="B1414" t="s">
        <v>91</v>
      </c>
      <c r="C1414">
        <v>59861</v>
      </c>
      <c r="D1414" t="s">
        <v>139</v>
      </c>
      <c r="E1414" s="7">
        <v>65</v>
      </c>
      <c r="F1414" t="s">
        <v>20</v>
      </c>
      <c r="G1414" t="s">
        <v>93</v>
      </c>
      <c r="H1414" t="str">
        <f>"CHECK"</f>
        <v>CHECK</v>
      </c>
      <c r="I1414" t="str">
        <f>""</f>
        <v/>
      </c>
    </row>
    <row r="1415" spans="1:9" x14ac:dyDescent="0.25">
      <c r="A1415" s="6">
        <v>43473</v>
      </c>
      <c r="B1415" t="s">
        <v>91</v>
      </c>
      <c r="C1415">
        <v>59862</v>
      </c>
      <c r="D1415" t="s">
        <v>31</v>
      </c>
      <c r="E1415" s="7">
        <v>2000</v>
      </c>
      <c r="F1415" t="s">
        <v>20</v>
      </c>
      <c r="G1415" t="s">
        <v>21</v>
      </c>
      <c r="H1415" t="str">
        <f>"2019210"</f>
        <v>2019210</v>
      </c>
      <c r="I1415" t="str">
        <f>"THE LAW OFFICE OF TOM CALDWELL"</f>
        <v>THE LAW OFFICE OF TOM CALDWELL</v>
      </c>
    </row>
    <row r="1416" spans="1:9" x14ac:dyDescent="0.25">
      <c r="A1416" s="6">
        <v>43473</v>
      </c>
      <c r="B1416" t="s">
        <v>91</v>
      </c>
      <c r="C1416">
        <v>59862</v>
      </c>
      <c r="D1416" t="s">
        <v>31</v>
      </c>
      <c r="E1416" s="7">
        <v>2000</v>
      </c>
      <c r="F1416" t="s">
        <v>20</v>
      </c>
      <c r="G1416" t="s">
        <v>93</v>
      </c>
      <c r="H1416" t="str">
        <f>"CHECK"</f>
        <v>CHECK</v>
      </c>
      <c r="I1416" t="str">
        <f>""</f>
        <v/>
      </c>
    </row>
    <row r="1417" spans="1:9" x14ac:dyDescent="0.25">
      <c r="A1417" s="6">
        <v>43473</v>
      </c>
      <c r="B1417" t="s">
        <v>91</v>
      </c>
      <c r="C1417">
        <v>59863</v>
      </c>
      <c r="D1417" t="s">
        <v>83</v>
      </c>
      <c r="E1417" s="7">
        <v>1044</v>
      </c>
      <c r="F1417" t="s">
        <v>20</v>
      </c>
      <c r="G1417" t="s">
        <v>21</v>
      </c>
      <c r="H1417" t="str">
        <f>"595183"</f>
        <v>595183</v>
      </c>
      <c r="I1417" t="str">
        <f>"APPRIVER"</f>
        <v>APPRIVER</v>
      </c>
    </row>
    <row r="1418" spans="1:9" x14ac:dyDescent="0.25">
      <c r="A1418" s="6">
        <v>43473</v>
      </c>
      <c r="B1418" t="s">
        <v>91</v>
      </c>
      <c r="C1418">
        <v>59863</v>
      </c>
      <c r="D1418" t="s">
        <v>83</v>
      </c>
      <c r="E1418" s="7">
        <v>1044</v>
      </c>
      <c r="F1418" t="s">
        <v>20</v>
      </c>
      <c r="G1418" t="s">
        <v>93</v>
      </c>
      <c r="H1418" t="str">
        <f>"CHECK"</f>
        <v>CHECK</v>
      </c>
      <c r="I1418" t="str">
        <f>""</f>
        <v/>
      </c>
    </row>
    <row r="1419" spans="1:9" x14ac:dyDescent="0.25">
      <c r="A1419" s="6">
        <v>43473</v>
      </c>
      <c r="B1419" t="s">
        <v>91</v>
      </c>
      <c r="C1419">
        <v>59864</v>
      </c>
      <c r="D1419" t="s">
        <v>85</v>
      </c>
      <c r="E1419" s="7">
        <v>4511.1000000000004</v>
      </c>
      <c r="F1419" t="s">
        <v>20</v>
      </c>
      <c r="G1419" t="s">
        <v>21</v>
      </c>
      <c r="H1419" t="str">
        <f>"2162691 1/2019"</f>
        <v>2162691 1/2019</v>
      </c>
      <c r="I1419" t="str">
        <f t="shared" ref="I1419:I1428" si="18">"FRONTIER"</f>
        <v>FRONTIER</v>
      </c>
    </row>
    <row r="1420" spans="1:9" x14ac:dyDescent="0.25">
      <c r="A1420" s="6">
        <v>43473</v>
      </c>
      <c r="B1420" t="s">
        <v>91</v>
      </c>
      <c r="C1420">
        <v>59864</v>
      </c>
      <c r="D1420" t="s">
        <v>85</v>
      </c>
      <c r="E1420" s="7">
        <v>4511.1000000000004</v>
      </c>
      <c r="F1420" t="s">
        <v>20</v>
      </c>
      <c r="G1420" t="s">
        <v>21</v>
      </c>
      <c r="H1420" t="str">
        <f>"2162745 1/19"</f>
        <v>2162745 1/19</v>
      </c>
      <c r="I1420" t="str">
        <f t="shared" si="18"/>
        <v>FRONTIER</v>
      </c>
    </row>
    <row r="1421" spans="1:9" x14ac:dyDescent="0.25">
      <c r="A1421" s="6">
        <v>43473</v>
      </c>
      <c r="B1421" t="s">
        <v>91</v>
      </c>
      <c r="C1421">
        <v>59864</v>
      </c>
      <c r="D1421" t="s">
        <v>85</v>
      </c>
      <c r="E1421" s="7">
        <v>4511.1000000000004</v>
      </c>
      <c r="F1421" t="s">
        <v>20</v>
      </c>
      <c r="G1421" t="s">
        <v>21</v>
      </c>
      <c r="H1421" t="str">
        <f>"3932056 1/2019"</f>
        <v>3932056 1/2019</v>
      </c>
      <c r="I1421" t="str">
        <f t="shared" si="18"/>
        <v>FRONTIER</v>
      </c>
    </row>
    <row r="1422" spans="1:9" x14ac:dyDescent="0.25">
      <c r="A1422" s="6">
        <v>43473</v>
      </c>
      <c r="B1422" t="s">
        <v>91</v>
      </c>
      <c r="C1422">
        <v>59864</v>
      </c>
      <c r="D1422" t="s">
        <v>85</v>
      </c>
      <c r="E1422" s="7">
        <v>4511.1000000000004</v>
      </c>
      <c r="F1422" t="s">
        <v>20</v>
      </c>
      <c r="G1422" t="s">
        <v>21</v>
      </c>
      <c r="H1422" t="str">
        <f>"3933105 1/2019"</f>
        <v>3933105 1/2019</v>
      </c>
      <c r="I1422" t="str">
        <f t="shared" si="18"/>
        <v>FRONTIER</v>
      </c>
    </row>
    <row r="1423" spans="1:9" x14ac:dyDescent="0.25">
      <c r="A1423" s="6">
        <v>43473</v>
      </c>
      <c r="B1423" t="s">
        <v>91</v>
      </c>
      <c r="C1423">
        <v>59864</v>
      </c>
      <c r="D1423" t="s">
        <v>85</v>
      </c>
      <c r="E1423" s="7">
        <v>4511.1000000000004</v>
      </c>
      <c r="F1423" t="s">
        <v>20</v>
      </c>
      <c r="G1423" t="s">
        <v>21</v>
      </c>
      <c r="H1423" t="str">
        <f>"3933186 1/2019"</f>
        <v>3933186 1/2019</v>
      </c>
      <c r="I1423" t="str">
        <f t="shared" si="18"/>
        <v>FRONTIER</v>
      </c>
    </row>
    <row r="1424" spans="1:9" x14ac:dyDescent="0.25">
      <c r="A1424" s="6">
        <v>43473</v>
      </c>
      <c r="B1424" t="s">
        <v>91</v>
      </c>
      <c r="C1424">
        <v>59864</v>
      </c>
      <c r="D1424" t="s">
        <v>85</v>
      </c>
      <c r="E1424" s="7">
        <v>4511.1000000000004</v>
      </c>
      <c r="F1424" t="s">
        <v>20</v>
      </c>
      <c r="G1424" t="s">
        <v>21</v>
      </c>
      <c r="H1424" t="str">
        <f>"3933718 1/19"</f>
        <v>3933718 1/19</v>
      </c>
      <c r="I1424" t="str">
        <f t="shared" si="18"/>
        <v>FRONTIER</v>
      </c>
    </row>
    <row r="1425" spans="1:9" x14ac:dyDescent="0.25">
      <c r="A1425" s="6">
        <v>43473</v>
      </c>
      <c r="B1425" t="s">
        <v>91</v>
      </c>
      <c r="C1425">
        <v>59864</v>
      </c>
      <c r="D1425" t="s">
        <v>85</v>
      </c>
      <c r="E1425" s="7">
        <v>4511.1000000000004</v>
      </c>
      <c r="F1425" t="s">
        <v>20</v>
      </c>
      <c r="G1425" t="s">
        <v>21</v>
      </c>
      <c r="H1425" t="str">
        <f>"3936616 1/2019"</f>
        <v>3936616 1/2019</v>
      </c>
      <c r="I1425" t="str">
        <f t="shared" si="18"/>
        <v>FRONTIER</v>
      </c>
    </row>
    <row r="1426" spans="1:9" x14ac:dyDescent="0.25">
      <c r="A1426" s="6">
        <v>43473</v>
      </c>
      <c r="B1426" t="s">
        <v>91</v>
      </c>
      <c r="C1426">
        <v>59864</v>
      </c>
      <c r="D1426" t="s">
        <v>85</v>
      </c>
      <c r="E1426" s="7">
        <v>4511.1000000000004</v>
      </c>
      <c r="F1426" t="s">
        <v>20</v>
      </c>
      <c r="G1426" t="s">
        <v>21</v>
      </c>
      <c r="H1426" t="str">
        <f>"3937070 1/19"</f>
        <v>3937070 1/19</v>
      </c>
      <c r="I1426" t="str">
        <f t="shared" si="18"/>
        <v>FRONTIER</v>
      </c>
    </row>
    <row r="1427" spans="1:9" x14ac:dyDescent="0.25">
      <c r="A1427" s="6">
        <v>43473</v>
      </c>
      <c r="B1427" t="s">
        <v>91</v>
      </c>
      <c r="C1427">
        <v>59864</v>
      </c>
      <c r="D1427" t="s">
        <v>85</v>
      </c>
      <c r="E1427" s="7">
        <v>4511.1000000000004</v>
      </c>
      <c r="F1427" t="s">
        <v>20</v>
      </c>
      <c r="G1427" t="s">
        <v>21</v>
      </c>
      <c r="H1427" t="str">
        <f>"3939456 1/2019"</f>
        <v>3939456 1/2019</v>
      </c>
      <c r="I1427" t="str">
        <f t="shared" si="18"/>
        <v>FRONTIER</v>
      </c>
    </row>
    <row r="1428" spans="1:9" x14ac:dyDescent="0.25">
      <c r="A1428" s="6">
        <v>43473</v>
      </c>
      <c r="B1428" t="s">
        <v>91</v>
      </c>
      <c r="C1428">
        <v>59864</v>
      </c>
      <c r="D1428" t="s">
        <v>85</v>
      </c>
      <c r="E1428" s="7">
        <v>4511.1000000000004</v>
      </c>
      <c r="F1428" t="s">
        <v>20</v>
      </c>
      <c r="G1428" t="s">
        <v>21</v>
      </c>
      <c r="H1428" t="str">
        <f>"9837110024 1/19"</f>
        <v>9837110024 1/19</v>
      </c>
      <c r="I1428" t="str">
        <f t="shared" si="18"/>
        <v>FRONTIER</v>
      </c>
    </row>
    <row r="1429" spans="1:9" x14ac:dyDescent="0.25">
      <c r="A1429" s="6">
        <v>43473</v>
      </c>
      <c r="B1429" t="s">
        <v>91</v>
      </c>
      <c r="C1429">
        <v>59864</v>
      </c>
      <c r="D1429" t="s">
        <v>85</v>
      </c>
      <c r="E1429" s="7">
        <v>4511.1000000000004</v>
      </c>
      <c r="F1429" t="s">
        <v>20</v>
      </c>
      <c r="G1429" t="s">
        <v>93</v>
      </c>
      <c r="H1429" t="str">
        <f>"CHECK"</f>
        <v>CHECK</v>
      </c>
      <c r="I1429" t="str">
        <f>""</f>
        <v/>
      </c>
    </row>
    <row r="1430" spans="1:9" x14ac:dyDescent="0.25">
      <c r="A1430" s="6">
        <v>43473</v>
      </c>
      <c r="B1430" t="s">
        <v>91</v>
      </c>
      <c r="C1430">
        <v>59866</v>
      </c>
      <c r="D1430" t="s">
        <v>195</v>
      </c>
      <c r="E1430" s="7">
        <v>1604.53</v>
      </c>
      <c r="F1430" t="s">
        <v>20</v>
      </c>
      <c r="G1430" t="s">
        <v>21</v>
      </c>
      <c r="H1430" t="str">
        <f>"1565201812"</f>
        <v>1565201812</v>
      </c>
      <c r="I1430" t="str">
        <f>"ARISTA INFORMATION SYSTEMS  IN"</f>
        <v>ARISTA INFORMATION SYSTEMS  IN</v>
      </c>
    </row>
    <row r="1431" spans="1:9" x14ac:dyDescent="0.25">
      <c r="A1431" s="6">
        <v>43473</v>
      </c>
      <c r="B1431" t="s">
        <v>91</v>
      </c>
      <c r="C1431">
        <v>59866</v>
      </c>
      <c r="D1431" t="s">
        <v>195</v>
      </c>
      <c r="E1431" s="7">
        <v>1604.53</v>
      </c>
      <c r="F1431" t="s">
        <v>20</v>
      </c>
      <c r="G1431" t="s">
        <v>21</v>
      </c>
      <c r="H1431" t="str">
        <f>"26610"</f>
        <v>26610</v>
      </c>
      <c r="I1431" t="str">
        <f>"ARISTA INFORMATION SYSTEMS  IN"</f>
        <v>ARISTA INFORMATION SYSTEMS  IN</v>
      </c>
    </row>
    <row r="1432" spans="1:9" x14ac:dyDescent="0.25">
      <c r="A1432" s="6">
        <v>43473</v>
      </c>
      <c r="B1432" t="s">
        <v>91</v>
      </c>
      <c r="C1432">
        <v>59866</v>
      </c>
      <c r="D1432" t="s">
        <v>195</v>
      </c>
      <c r="E1432" s="7">
        <v>1604.53</v>
      </c>
      <c r="F1432" t="s">
        <v>20</v>
      </c>
      <c r="G1432" t="s">
        <v>93</v>
      </c>
      <c r="H1432" t="str">
        <f>"CHECK"</f>
        <v>CHECK</v>
      </c>
      <c r="I1432" t="str">
        <f>""</f>
        <v/>
      </c>
    </row>
    <row r="1433" spans="1:9" x14ac:dyDescent="0.25">
      <c r="A1433" s="6">
        <v>43473</v>
      </c>
      <c r="B1433" t="s">
        <v>91</v>
      </c>
      <c r="C1433">
        <v>59867</v>
      </c>
      <c r="D1433" t="s">
        <v>345</v>
      </c>
      <c r="E1433" s="7">
        <v>242</v>
      </c>
      <c r="F1433" t="s">
        <v>20</v>
      </c>
      <c r="G1433" t="s">
        <v>21</v>
      </c>
      <c r="H1433" t="str">
        <f>"1/7/19"</f>
        <v>1/7/19</v>
      </c>
      <c r="I1433" t="str">
        <f>"MICHAEL ISAAC MARTINEZ"</f>
        <v>MICHAEL ISAAC MARTINEZ</v>
      </c>
    </row>
    <row r="1434" spans="1:9" x14ac:dyDescent="0.25">
      <c r="A1434" s="6">
        <v>43473</v>
      </c>
      <c r="B1434" t="s">
        <v>91</v>
      </c>
      <c r="C1434">
        <v>59867</v>
      </c>
      <c r="D1434" t="s">
        <v>345</v>
      </c>
      <c r="E1434" s="7">
        <v>242</v>
      </c>
      <c r="F1434" t="s">
        <v>20</v>
      </c>
      <c r="G1434" t="s">
        <v>93</v>
      </c>
      <c r="H1434" t="str">
        <f>"CHECK"</f>
        <v>CHECK</v>
      </c>
      <c r="I1434" t="str">
        <f>""</f>
        <v/>
      </c>
    </row>
    <row r="1435" spans="1:9" x14ac:dyDescent="0.25">
      <c r="A1435" s="6">
        <v>43473</v>
      </c>
      <c r="B1435" t="s">
        <v>91</v>
      </c>
      <c r="C1435">
        <v>59868</v>
      </c>
      <c r="D1435" t="s">
        <v>644</v>
      </c>
      <c r="E1435" s="7">
        <v>398.66</v>
      </c>
      <c r="F1435" t="s">
        <v>20</v>
      </c>
      <c r="G1435" t="s">
        <v>21</v>
      </c>
      <c r="H1435" t="str">
        <f>"8213265133"</f>
        <v>8213265133</v>
      </c>
      <c r="I1435" t="str">
        <f t="shared" ref="I1435:I1440" si="19">"UNIFIRST CORPORATION"</f>
        <v>UNIFIRST CORPORATION</v>
      </c>
    </row>
    <row r="1436" spans="1:9" x14ac:dyDescent="0.25">
      <c r="A1436" s="6">
        <v>43473</v>
      </c>
      <c r="B1436" t="s">
        <v>91</v>
      </c>
      <c r="C1436">
        <v>59868</v>
      </c>
      <c r="D1436" t="s">
        <v>644</v>
      </c>
      <c r="E1436" s="7">
        <v>398.66</v>
      </c>
      <c r="F1436" t="s">
        <v>20</v>
      </c>
      <c r="G1436" t="s">
        <v>21</v>
      </c>
      <c r="H1436" t="str">
        <f>"8213265134"</f>
        <v>8213265134</v>
      </c>
      <c r="I1436" t="str">
        <f t="shared" si="19"/>
        <v>UNIFIRST CORPORATION</v>
      </c>
    </row>
    <row r="1437" spans="1:9" x14ac:dyDescent="0.25">
      <c r="A1437" s="6">
        <v>43473</v>
      </c>
      <c r="B1437" t="s">
        <v>91</v>
      </c>
      <c r="C1437">
        <v>59868</v>
      </c>
      <c r="D1437" t="s">
        <v>644</v>
      </c>
      <c r="E1437" s="7">
        <v>398.66</v>
      </c>
      <c r="F1437" t="s">
        <v>20</v>
      </c>
      <c r="G1437" t="s">
        <v>21</v>
      </c>
      <c r="H1437" t="str">
        <f>"8213265135"</f>
        <v>8213265135</v>
      </c>
      <c r="I1437" t="str">
        <f t="shared" si="19"/>
        <v>UNIFIRST CORPORATION</v>
      </c>
    </row>
    <row r="1438" spans="1:9" x14ac:dyDescent="0.25">
      <c r="A1438" s="6">
        <v>43473</v>
      </c>
      <c r="B1438" t="s">
        <v>91</v>
      </c>
      <c r="C1438">
        <v>59868</v>
      </c>
      <c r="D1438" t="s">
        <v>644</v>
      </c>
      <c r="E1438" s="7">
        <v>398.66</v>
      </c>
      <c r="F1438" t="s">
        <v>20</v>
      </c>
      <c r="G1438" t="s">
        <v>21</v>
      </c>
      <c r="H1438" t="str">
        <f>"8213265136"</f>
        <v>8213265136</v>
      </c>
      <c r="I1438" t="str">
        <f t="shared" si="19"/>
        <v>UNIFIRST CORPORATION</v>
      </c>
    </row>
    <row r="1439" spans="1:9" x14ac:dyDescent="0.25">
      <c r="A1439" s="6">
        <v>43473</v>
      </c>
      <c r="B1439" t="s">
        <v>91</v>
      </c>
      <c r="C1439">
        <v>59868</v>
      </c>
      <c r="D1439" t="s">
        <v>644</v>
      </c>
      <c r="E1439" s="7">
        <v>398.66</v>
      </c>
      <c r="F1439" t="s">
        <v>20</v>
      </c>
      <c r="G1439" t="s">
        <v>21</v>
      </c>
      <c r="H1439" t="str">
        <f>"8213265137"</f>
        <v>8213265137</v>
      </c>
      <c r="I1439" t="str">
        <f t="shared" si="19"/>
        <v>UNIFIRST CORPORATION</v>
      </c>
    </row>
    <row r="1440" spans="1:9" x14ac:dyDescent="0.25">
      <c r="A1440" s="6">
        <v>43473</v>
      </c>
      <c r="B1440" t="s">
        <v>91</v>
      </c>
      <c r="C1440">
        <v>59868</v>
      </c>
      <c r="D1440" t="s">
        <v>644</v>
      </c>
      <c r="E1440" s="7">
        <v>398.66</v>
      </c>
      <c r="F1440" t="s">
        <v>20</v>
      </c>
      <c r="G1440" t="s">
        <v>21</v>
      </c>
      <c r="H1440" t="str">
        <f>"8213265138"</f>
        <v>8213265138</v>
      </c>
      <c r="I1440" t="str">
        <f t="shared" si="19"/>
        <v>UNIFIRST CORPORATION</v>
      </c>
    </row>
    <row r="1441" spans="1:9" x14ac:dyDescent="0.25">
      <c r="A1441" s="6">
        <v>43473</v>
      </c>
      <c r="B1441" t="s">
        <v>91</v>
      </c>
      <c r="C1441">
        <v>59868</v>
      </c>
      <c r="D1441" t="s">
        <v>644</v>
      </c>
      <c r="E1441" s="7">
        <v>398.66</v>
      </c>
      <c r="F1441" t="s">
        <v>20</v>
      </c>
      <c r="G1441" t="s">
        <v>93</v>
      </c>
      <c r="H1441" t="str">
        <f>"CHECK"</f>
        <v>CHECK</v>
      </c>
      <c r="I1441" t="str">
        <f>""</f>
        <v/>
      </c>
    </row>
    <row r="1442" spans="1:9" x14ac:dyDescent="0.25">
      <c r="A1442" s="6">
        <v>43473</v>
      </c>
      <c r="B1442" t="s">
        <v>26</v>
      </c>
      <c r="C1442">
        <v>59869</v>
      </c>
      <c r="D1442" t="s">
        <v>57</v>
      </c>
      <c r="E1442" s="7">
        <v>28411.77</v>
      </c>
      <c r="F1442" t="s">
        <v>20</v>
      </c>
      <c r="G1442" t="s">
        <v>21</v>
      </c>
      <c r="H1442" t="str">
        <f>"11617 01/2019*"</f>
        <v>11617 01/2019*</v>
      </c>
      <c r="I1442" t="str">
        <f>"F.E.L.P.S."</f>
        <v>F.E.L.P.S.</v>
      </c>
    </row>
    <row r="1443" spans="1:9" x14ac:dyDescent="0.25">
      <c r="A1443" s="6">
        <v>43473</v>
      </c>
      <c r="B1443" t="s">
        <v>26</v>
      </c>
      <c r="C1443">
        <v>59869</v>
      </c>
      <c r="D1443" t="s">
        <v>57</v>
      </c>
      <c r="E1443" s="7">
        <v>28411.77</v>
      </c>
      <c r="F1443" t="s">
        <v>20</v>
      </c>
      <c r="G1443" t="s">
        <v>21</v>
      </c>
      <c r="H1443" t="str">
        <f>"11617 12/2018"</f>
        <v>11617 12/2018</v>
      </c>
      <c r="I1443" t="str">
        <f>"F.E.L.P.S."</f>
        <v>F.E.L.P.S.</v>
      </c>
    </row>
    <row r="1444" spans="1:9" x14ac:dyDescent="0.25">
      <c r="A1444" s="6">
        <v>43473</v>
      </c>
      <c r="B1444" t="s">
        <v>26</v>
      </c>
      <c r="C1444">
        <v>59869</v>
      </c>
      <c r="D1444" t="s">
        <v>57</v>
      </c>
      <c r="E1444" s="7">
        <v>28411.77</v>
      </c>
      <c r="F1444" t="s">
        <v>20</v>
      </c>
      <c r="G1444" t="s">
        <v>21</v>
      </c>
      <c r="H1444" t="str">
        <f>"11617-030 1/19"</f>
        <v>11617-030 1/19</v>
      </c>
      <c r="I1444" t="str">
        <f>"F.E.L.P.S."</f>
        <v>F.E.L.P.S.</v>
      </c>
    </row>
    <row r="1445" spans="1:9" x14ac:dyDescent="0.25">
      <c r="A1445" s="6">
        <v>43473</v>
      </c>
      <c r="B1445" t="s">
        <v>26</v>
      </c>
      <c r="C1445">
        <v>59869</v>
      </c>
      <c r="D1445" t="s">
        <v>57</v>
      </c>
      <c r="E1445" s="7">
        <v>28411.77</v>
      </c>
      <c r="F1445" t="s">
        <v>20</v>
      </c>
      <c r="G1445" t="s">
        <v>21</v>
      </c>
      <c r="H1445" t="str">
        <f>"33062 12/2019"</f>
        <v>33062 12/2019</v>
      </c>
      <c r="I1445" t="str">
        <f>"F.E.L.P.S."</f>
        <v>F.E.L.P.S.</v>
      </c>
    </row>
    <row r="1446" spans="1:9" x14ac:dyDescent="0.25">
      <c r="A1446" s="6">
        <v>43473</v>
      </c>
      <c r="B1446" t="s">
        <v>26</v>
      </c>
      <c r="C1446">
        <v>59871</v>
      </c>
      <c r="D1446" t="s">
        <v>201</v>
      </c>
      <c r="E1446" s="7">
        <v>680.26</v>
      </c>
      <c r="F1446" t="s">
        <v>20</v>
      </c>
      <c r="G1446" t="s">
        <v>21</v>
      </c>
      <c r="H1446" t="str">
        <f>"12.19.2019*"</f>
        <v>12.19.2019*</v>
      </c>
      <c r="I1446" t="str">
        <f>"WILSON COUNTY HARDWARE"</f>
        <v>WILSON COUNTY HARDWARE</v>
      </c>
    </row>
    <row r="1447" spans="1:9" x14ac:dyDescent="0.25">
      <c r="A1447" s="6">
        <v>43473</v>
      </c>
      <c r="B1447" t="s">
        <v>26</v>
      </c>
      <c r="C1447">
        <v>59872</v>
      </c>
      <c r="D1447" t="s">
        <v>58</v>
      </c>
      <c r="E1447" s="7">
        <v>641.29</v>
      </c>
      <c r="F1447" t="s">
        <v>20</v>
      </c>
      <c r="G1447" t="s">
        <v>21</v>
      </c>
      <c r="H1447" t="str">
        <f>"551669"</f>
        <v>551669</v>
      </c>
      <c r="I1447" t="str">
        <f>"DEASON ANIMAL HOSPITAL"</f>
        <v>DEASON ANIMAL HOSPITAL</v>
      </c>
    </row>
    <row r="1448" spans="1:9" x14ac:dyDescent="0.25">
      <c r="A1448" s="6">
        <v>43473</v>
      </c>
      <c r="B1448" t="s">
        <v>26</v>
      </c>
      <c r="C1448">
        <v>59872</v>
      </c>
      <c r="D1448" t="s">
        <v>58</v>
      </c>
      <c r="E1448" s="7">
        <v>641.29</v>
      </c>
      <c r="F1448" t="s">
        <v>20</v>
      </c>
      <c r="G1448" t="s">
        <v>21</v>
      </c>
      <c r="H1448" t="str">
        <f>"552214"</f>
        <v>552214</v>
      </c>
      <c r="I1448" t="str">
        <f>"DEASON ANIMAL HOSPITAL"</f>
        <v>DEASON ANIMAL HOSPITAL</v>
      </c>
    </row>
    <row r="1449" spans="1:9" x14ac:dyDescent="0.25">
      <c r="A1449" s="6">
        <v>43473</v>
      </c>
      <c r="B1449" t="s">
        <v>26</v>
      </c>
      <c r="C1449">
        <v>59873</v>
      </c>
      <c r="D1449" t="s">
        <v>104</v>
      </c>
      <c r="E1449" s="7">
        <v>2630.28</v>
      </c>
      <c r="F1449" t="s">
        <v>20</v>
      </c>
      <c r="G1449" t="s">
        <v>21</v>
      </c>
      <c r="H1449" t="str">
        <f>"1340200801*"</f>
        <v>1340200801*</v>
      </c>
      <c r="I1449" t="str">
        <f t="shared" ref="I1449:I1454" si="20">"WILSON COUNTY NEWS"</f>
        <v>WILSON COUNTY NEWS</v>
      </c>
    </row>
    <row r="1450" spans="1:9" x14ac:dyDescent="0.25">
      <c r="A1450" s="6">
        <v>43473</v>
      </c>
      <c r="B1450" t="s">
        <v>26</v>
      </c>
      <c r="C1450">
        <v>59873</v>
      </c>
      <c r="D1450" t="s">
        <v>104</v>
      </c>
      <c r="E1450" s="7">
        <v>2630.28</v>
      </c>
      <c r="F1450" t="s">
        <v>20</v>
      </c>
      <c r="G1450" t="s">
        <v>21</v>
      </c>
      <c r="H1450" t="str">
        <f>"1342840815*"</f>
        <v>1342840815*</v>
      </c>
      <c r="I1450" t="str">
        <f t="shared" si="20"/>
        <v>WILSON COUNTY NEWS</v>
      </c>
    </row>
    <row r="1451" spans="1:9" x14ac:dyDescent="0.25">
      <c r="A1451" s="6">
        <v>43473</v>
      </c>
      <c r="B1451" t="s">
        <v>26</v>
      </c>
      <c r="C1451">
        <v>59873</v>
      </c>
      <c r="D1451" t="s">
        <v>104</v>
      </c>
      <c r="E1451" s="7">
        <v>2630.28</v>
      </c>
      <c r="F1451" t="s">
        <v>20</v>
      </c>
      <c r="G1451" t="s">
        <v>21</v>
      </c>
      <c r="H1451" t="str">
        <f>"1357381205*"</f>
        <v>1357381205*</v>
      </c>
      <c r="I1451" t="str">
        <f t="shared" si="20"/>
        <v>WILSON COUNTY NEWS</v>
      </c>
    </row>
    <row r="1452" spans="1:9" x14ac:dyDescent="0.25">
      <c r="A1452" s="6">
        <v>43473</v>
      </c>
      <c r="B1452" t="s">
        <v>26</v>
      </c>
      <c r="C1452">
        <v>59873</v>
      </c>
      <c r="D1452" t="s">
        <v>104</v>
      </c>
      <c r="E1452" s="7">
        <v>2630.28</v>
      </c>
      <c r="F1452" t="s">
        <v>20</v>
      </c>
      <c r="G1452" t="s">
        <v>21</v>
      </c>
      <c r="H1452" t="str">
        <f>"1358581212*"</f>
        <v>1358581212*</v>
      </c>
      <c r="I1452" t="str">
        <f t="shared" si="20"/>
        <v>WILSON COUNTY NEWS</v>
      </c>
    </row>
    <row r="1453" spans="1:9" x14ac:dyDescent="0.25">
      <c r="A1453" s="6">
        <v>43473</v>
      </c>
      <c r="B1453" t="s">
        <v>26</v>
      </c>
      <c r="C1453">
        <v>59873</v>
      </c>
      <c r="D1453" t="s">
        <v>104</v>
      </c>
      <c r="E1453" s="7">
        <v>2630.28</v>
      </c>
      <c r="F1453" t="s">
        <v>20</v>
      </c>
      <c r="G1453" t="s">
        <v>21</v>
      </c>
      <c r="H1453" t="str">
        <f>"1359151219*"</f>
        <v>1359151219*</v>
      </c>
      <c r="I1453" t="str">
        <f t="shared" si="20"/>
        <v>WILSON COUNTY NEWS</v>
      </c>
    </row>
    <row r="1454" spans="1:9" x14ac:dyDescent="0.25">
      <c r="A1454" s="6">
        <v>43473</v>
      </c>
      <c r="B1454" t="s">
        <v>26</v>
      </c>
      <c r="C1454">
        <v>59873</v>
      </c>
      <c r="D1454" t="s">
        <v>104</v>
      </c>
      <c r="E1454" s="7">
        <v>2630.28</v>
      </c>
      <c r="F1454" t="s">
        <v>20</v>
      </c>
      <c r="G1454" t="s">
        <v>21</v>
      </c>
      <c r="H1454" t="str">
        <f>"1360091226*"</f>
        <v>1360091226*</v>
      </c>
      <c r="I1454" t="str">
        <f t="shared" si="20"/>
        <v>WILSON COUNTY NEWS</v>
      </c>
    </row>
    <row r="1455" spans="1:9" x14ac:dyDescent="0.25">
      <c r="A1455" s="6">
        <v>43473</v>
      </c>
      <c r="B1455" t="s">
        <v>26</v>
      </c>
      <c r="C1455">
        <v>59874</v>
      </c>
      <c r="D1455" t="s">
        <v>59</v>
      </c>
      <c r="E1455" s="7">
        <v>134.99</v>
      </c>
      <c r="F1455" t="s">
        <v>20</v>
      </c>
      <c r="G1455" t="s">
        <v>21</v>
      </c>
      <c r="H1455" t="str">
        <f>"0996264-1*"</f>
        <v>0996264-1*</v>
      </c>
      <c r="I1455" t="str">
        <f>"FERGUSON WATERWORKS - MUNICIPA"</f>
        <v>FERGUSON WATERWORKS - MUNICIPA</v>
      </c>
    </row>
    <row r="1456" spans="1:9" x14ac:dyDescent="0.25">
      <c r="A1456" s="6">
        <v>43473</v>
      </c>
      <c r="B1456" t="s">
        <v>26</v>
      </c>
      <c r="C1456">
        <v>59875</v>
      </c>
      <c r="D1456" t="s">
        <v>105</v>
      </c>
      <c r="E1456" s="7">
        <v>7</v>
      </c>
      <c r="F1456" t="s">
        <v>20</v>
      </c>
      <c r="G1456" t="s">
        <v>21</v>
      </c>
      <c r="H1456" t="str">
        <f>"309767*"</f>
        <v>309767*</v>
      </c>
      <c r="I1456" t="str">
        <f>"LUBE WORKS"</f>
        <v>LUBE WORKS</v>
      </c>
    </row>
    <row r="1457" spans="1:9" x14ac:dyDescent="0.25">
      <c r="A1457" s="6">
        <v>43473</v>
      </c>
      <c r="B1457" t="s">
        <v>26</v>
      </c>
      <c r="C1457">
        <v>59876</v>
      </c>
      <c r="D1457" t="s">
        <v>619</v>
      </c>
      <c r="E1457" s="7">
        <v>8831.43</v>
      </c>
      <c r="F1457" t="s">
        <v>20</v>
      </c>
      <c r="G1457" t="s">
        <v>21</v>
      </c>
      <c r="H1457" t="str">
        <f>"281171*"</f>
        <v>281171*</v>
      </c>
      <c r="I1457" t="str">
        <f>"DE LA GARZA FENCE CO.  INC"</f>
        <v>DE LA GARZA FENCE CO.  INC</v>
      </c>
    </row>
    <row r="1458" spans="1:9" x14ac:dyDescent="0.25">
      <c r="A1458" s="6">
        <v>43473</v>
      </c>
      <c r="B1458" t="s">
        <v>26</v>
      </c>
      <c r="C1458">
        <v>59876</v>
      </c>
      <c r="D1458" t="s">
        <v>619</v>
      </c>
      <c r="E1458" s="7">
        <v>8831.43</v>
      </c>
      <c r="F1458" t="s">
        <v>20</v>
      </c>
      <c r="G1458" t="s">
        <v>21</v>
      </c>
      <c r="H1458" t="str">
        <f>"281174*"</f>
        <v>281174*</v>
      </c>
      <c r="I1458" t="str">
        <f>"DE LA GARZA FENCE CO.  INC"</f>
        <v>DE LA GARZA FENCE CO.  INC</v>
      </c>
    </row>
    <row r="1459" spans="1:9" x14ac:dyDescent="0.25">
      <c r="A1459" s="6">
        <v>43473</v>
      </c>
      <c r="B1459" t="s">
        <v>26</v>
      </c>
      <c r="C1459">
        <v>59876</v>
      </c>
      <c r="D1459" t="s">
        <v>619</v>
      </c>
      <c r="E1459" s="7">
        <v>8831.43</v>
      </c>
      <c r="F1459" t="s">
        <v>20</v>
      </c>
      <c r="G1459" t="s">
        <v>21</v>
      </c>
      <c r="H1459" t="str">
        <f>"281375*"</f>
        <v>281375*</v>
      </c>
      <c r="I1459" t="str">
        <f>"DE LA GARZA FENCE CO.  INC"</f>
        <v>DE LA GARZA FENCE CO.  INC</v>
      </c>
    </row>
    <row r="1460" spans="1:9" x14ac:dyDescent="0.25">
      <c r="A1460" s="6">
        <v>43473</v>
      </c>
      <c r="B1460" t="s">
        <v>26</v>
      </c>
      <c r="C1460">
        <v>59877</v>
      </c>
      <c r="D1460" t="s">
        <v>366</v>
      </c>
      <c r="E1460" s="7">
        <v>400.95</v>
      </c>
      <c r="F1460" t="s">
        <v>20</v>
      </c>
      <c r="G1460" t="s">
        <v>21</v>
      </c>
      <c r="H1460" t="str">
        <f>"CHILD SAF.9/2018"</f>
        <v>CHILD SAF.9/2018</v>
      </c>
      <c r="I1460" t="str">
        <f>"COMPTROLLER OF PUBLIC ACCOUNTS"</f>
        <v>COMPTROLLER OF PUBLIC ACCOUNTS</v>
      </c>
    </row>
    <row r="1461" spans="1:9" x14ac:dyDescent="0.25">
      <c r="A1461" s="6">
        <v>43473</v>
      </c>
      <c r="B1461" t="s">
        <v>26</v>
      </c>
      <c r="C1461">
        <v>59878</v>
      </c>
      <c r="D1461" t="s">
        <v>179</v>
      </c>
      <c r="E1461" s="7">
        <v>146.71</v>
      </c>
      <c r="F1461" t="s">
        <v>20</v>
      </c>
      <c r="G1461" t="s">
        <v>21</v>
      </c>
      <c r="H1461" t="str">
        <f>"55149F*"</f>
        <v>55149F*</v>
      </c>
      <c r="I1461" t="str">
        <f>"ANCIRA FORD-MERCURY"</f>
        <v>ANCIRA FORD-MERCURY</v>
      </c>
    </row>
    <row r="1462" spans="1:9" x14ac:dyDescent="0.25">
      <c r="A1462" s="6">
        <v>43473</v>
      </c>
      <c r="B1462" t="s">
        <v>26</v>
      </c>
      <c r="C1462">
        <v>59878</v>
      </c>
      <c r="D1462" t="s">
        <v>179</v>
      </c>
      <c r="E1462" s="7">
        <v>146.71</v>
      </c>
      <c r="F1462" t="s">
        <v>20</v>
      </c>
      <c r="G1462" t="s">
        <v>21</v>
      </c>
      <c r="H1462" t="str">
        <f>"W54852F*"</f>
        <v>W54852F*</v>
      </c>
      <c r="I1462" t="str">
        <f>"ANCIRA FORD-MERCURY"</f>
        <v>ANCIRA FORD-MERCURY</v>
      </c>
    </row>
    <row r="1463" spans="1:9" x14ac:dyDescent="0.25">
      <c r="A1463" s="6">
        <v>43473</v>
      </c>
      <c r="B1463" t="s">
        <v>26</v>
      </c>
      <c r="C1463">
        <v>59878</v>
      </c>
      <c r="D1463" t="s">
        <v>179</v>
      </c>
      <c r="E1463" s="7">
        <v>146.71</v>
      </c>
      <c r="F1463" t="s">
        <v>20</v>
      </c>
      <c r="G1463" t="s">
        <v>21</v>
      </c>
      <c r="H1463" t="str">
        <f>"W55149*"</f>
        <v>W55149*</v>
      </c>
      <c r="I1463" t="str">
        <f>"ANCIRA FORD-MERCURY"</f>
        <v>ANCIRA FORD-MERCURY</v>
      </c>
    </row>
    <row r="1464" spans="1:9" x14ac:dyDescent="0.25">
      <c r="A1464" s="6">
        <v>43473</v>
      </c>
      <c r="B1464" t="s">
        <v>26</v>
      </c>
      <c r="C1464">
        <v>59879</v>
      </c>
      <c r="D1464" t="s">
        <v>273</v>
      </c>
      <c r="E1464" s="7">
        <v>3781.48</v>
      </c>
      <c r="F1464" t="s">
        <v>20</v>
      </c>
      <c r="G1464" t="s">
        <v>21</v>
      </c>
      <c r="H1464" t="str">
        <f>"5119-000086399*"</f>
        <v>5119-000086399*</v>
      </c>
      <c r="I1464" t="str">
        <f>"REPUBLIC SERVICES TESSMAN ROAD"</f>
        <v>REPUBLIC SERVICES TESSMAN ROAD</v>
      </c>
    </row>
    <row r="1465" spans="1:9" x14ac:dyDescent="0.25">
      <c r="A1465" s="6">
        <v>43473</v>
      </c>
      <c r="B1465" t="s">
        <v>26</v>
      </c>
      <c r="C1465">
        <v>59880</v>
      </c>
      <c r="D1465" t="s">
        <v>108</v>
      </c>
      <c r="E1465" s="7">
        <v>1485.2</v>
      </c>
      <c r="F1465" t="s">
        <v>20</v>
      </c>
      <c r="G1465" t="s">
        <v>21</v>
      </c>
      <c r="H1465" t="str">
        <f>"041295611945*"</f>
        <v>041295611945*</v>
      </c>
      <c r="I1465" t="str">
        <f>"POOLSURE"</f>
        <v>POOLSURE</v>
      </c>
    </row>
    <row r="1466" spans="1:9" x14ac:dyDescent="0.25">
      <c r="A1466" s="6">
        <v>43473</v>
      </c>
      <c r="B1466" t="s">
        <v>91</v>
      </c>
      <c r="C1466">
        <v>59881</v>
      </c>
      <c r="D1466" t="s">
        <v>203</v>
      </c>
      <c r="E1466" s="7">
        <v>105.67</v>
      </c>
      <c r="F1466" t="s">
        <v>20</v>
      </c>
      <c r="G1466" t="s">
        <v>21</v>
      </c>
      <c r="H1466" t="str">
        <f>"719600-2"</f>
        <v>719600-2</v>
      </c>
      <c r="I1466" t="str">
        <f>"USA BLUEBOOK"</f>
        <v>USA BLUEBOOK</v>
      </c>
    </row>
    <row r="1467" spans="1:9" x14ac:dyDescent="0.25">
      <c r="A1467" s="6">
        <v>43473</v>
      </c>
      <c r="B1467" t="s">
        <v>91</v>
      </c>
      <c r="C1467">
        <v>59881</v>
      </c>
      <c r="D1467" t="s">
        <v>203</v>
      </c>
      <c r="E1467" s="7">
        <v>105.67</v>
      </c>
      <c r="F1467" t="s">
        <v>20</v>
      </c>
      <c r="G1467" t="s">
        <v>93</v>
      </c>
      <c r="H1467" t="str">
        <f>"CHECK"</f>
        <v>CHECK</v>
      </c>
      <c r="I1467" t="str">
        <f>""</f>
        <v/>
      </c>
    </row>
    <row r="1468" spans="1:9" x14ac:dyDescent="0.25">
      <c r="A1468" s="6">
        <v>43473</v>
      </c>
      <c r="B1468" t="s">
        <v>26</v>
      </c>
      <c r="C1468">
        <v>59882</v>
      </c>
      <c r="D1468" t="s">
        <v>240</v>
      </c>
      <c r="E1468" s="7">
        <v>159.88999999999999</v>
      </c>
      <c r="F1468" t="s">
        <v>20</v>
      </c>
      <c r="G1468" t="s">
        <v>21</v>
      </c>
      <c r="H1468" t="str">
        <f>"0157725-IN"</f>
        <v>0157725-IN</v>
      </c>
      <c r="I1468" t="str">
        <f>"NARDIS PUBLIC SAFETY"</f>
        <v>NARDIS PUBLIC SAFETY</v>
      </c>
    </row>
    <row r="1469" spans="1:9" x14ac:dyDescent="0.25">
      <c r="A1469" s="6">
        <v>43473</v>
      </c>
      <c r="B1469" t="s">
        <v>26</v>
      </c>
      <c r="C1469">
        <v>59882</v>
      </c>
      <c r="D1469" t="s">
        <v>240</v>
      </c>
      <c r="E1469" s="7">
        <v>159.88999999999999</v>
      </c>
      <c r="F1469" t="s">
        <v>20</v>
      </c>
      <c r="G1469" t="s">
        <v>21</v>
      </c>
      <c r="H1469" t="str">
        <f>"0158795-IN*"</f>
        <v>0158795-IN*</v>
      </c>
      <c r="I1469" t="str">
        <f>"NARDIS PUBLIC SAFETY"</f>
        <v>NARDIS PUBLIC SAFETY</v>
      </c>
    </row>
    <row r="1470" spans="1:9" x14ac:dyDescent="0.25">
      <c r="A1470" s="6">
        <v>43473</v>
      </c>
      <c r="B1470" t="s">
        <v>26</v>
      </c>
      <c r="C1470">
        <v>59883</v>
      </c>
      <c r="D1470" t="s">
        <v>110</v>
      </c>
      <c r="E1470" s="7">
        <v>2766.23</v>
      </c>
      <c r="F1470" t="s">
        <v>20</v>
      </c>
      <c r="G1470" t="s">
        <v>21</v>
      </c>
      <c r="H1470" t="str">
        <f>"1447509*"</f>
        <v>1447509*</v>
      </c>
      <c r="I1470" t="str">
        <f t="shared" ref="I1470:I1481" si="21">"BUREAU VERITAS NORTH AMERICA"</f>
        <v>BUREAU VERITAS NORTH AMERICA</v>
      </c>
    </row>
    <row r="1471" spans="1:9" x14ac:dyDescent="0.25">
      <c r="A1471" s="6">
        <v>43473</v>
      </c>
      <c r="B1471" t="s">
        <v>26</v>
      </c>
      <c r="C1471">
        <v>59883</v>
      </c>
      <c r="D1471" t="s">
        <v>110</v>
      </c>
      <c r="E1471" s="7">
        <v>2766.23</v>
      </c>
      <c r="F1471" t="s">
        <v>20</v>
      </c>
      <c r="G1471" t="s">
        <v>21</v>
      </c>
      <c r="H1471" t="str">
        <f>"1447510*"</f>
        <v>1447510*</v>
      </c>
      <c r="I1471" t="str">
        <f t="shared" si="21"/>
        <v>BUREAU VERITAS NORTH AMERICA</v>
      </c>
    </row>
    <row r="1472" spans="1:9" x14ac:dyDescent="0.25">
      <c r="A1472" s="6">
        <v>43473</v>
      </c>
      <c r="B1472" t="s">
        <v>26</v>
      </c>
      <c r="C1472">
        <v>59883</v>
      </c>
      <c r="D1472" t="s">
        <v>110</v>
      </c>
      <c r="E1472" s="7">
        <v>2766.23</v>
      </c>
      <c r="F1472" t="s">
        <v>20</v>
      </c>
      <c r="G1472" t="s">
        <v>21</v>
      </c>
      <c r="H1472" t="str">
        <f>"1447511*"</f>
        <v>1447511*</v>
      </c>
      <c r="I1472" t="str">
        <f t="shared" si="21"/>
        <v>BUREAU VERITAS NORTH AMERICA</v>
      </c>
    </row>
    <row r="1473" spans="1:9" x14ac:dyDescent="0.25">
      <c r="A1473" s="6">
        <v>43473</v>
      </c>
      <c r="B1473" t="s">
        <v>26</v>
      </c>
      <c r="C1473">
        <v>59883</v>
      </c>
      <c r="D1473" t="s">
        <v>110</v>
      </c>
      <c r="E1473" s="7">
        <v>2766.23</v>
      </c>
      <c r="F1473" t="s">
        <v>20</v>
      </c>
      <c r="G1473" t="s">
        <v>21</v>
      </c>
      <c r="H1473" t="str">
        <f>"1447512*"</f>
        <v>1447512*</v>
      </c>
      <c r="I1473" t="str">
        <f t="shared" si="21"/>
        <v>BUREAU VERITAS NORTH AMERICA</v>
      </c>
    </row>
    <row r="1474" spans="1:9" x14ac:dyDescent="0.25">
      <c r="A1474" s="6">
        <v>43473</v>
      </c>
      <c r="B1474" t="s">
        <v>26</v>
      </c>
      <c r="C1474">
        <v>59883</v>
      </c>
      <c r="D1474" t="s">
        <v>110</v>
      </c>
      <c r="E1474" s="7">
        <v>2766.23</v>
      </c>
      <c r="F1474" t="s">
        <v>20</v>
      </c>
      <c r="G1474" t="s">
        <v>21</v>
      </c>
      <c r="H1474" t="str">
        <f>"1447513*"</f>
        <v>1447513*</v>
      </c>
      <c r="I1474" t="str">
        <f t="shared" si="21"/>
        <v>BUREAU VERITAS NORTH AMERICA</v>
      </c>
    </row>
    <row r="1475" spans="1:9" x14ac:dyDescent="0.25">
      <c r="A1475" s="6">
        <v>43473</v>
      </c>
      <c r="B1475" t="s">
        <v>26</v>
      </c>
      <c r="C1475">
        <v>59883</v>
      </c>
      <c r="D1475" t="s">
        <v>110</v>
      </c>
      <c r="E1475" s="7">
        <v>2766.23</v>
      </c>
      <c r="F1475" t="s">
        <v>20</v>
      </c>
      <c r="G1475" t="s">
        <v>21</v>
      </c>
      <c r="H1475" t="str">
        <f>"1447514*"</f>
        <v>1447514*</v>
      </c>
      <c r="I1475" t="str">
        <f t="shared" si="21"/>
        <v>BUREAU VERITAS NORTH AMERICA</v>
      </c>
    </row>
    <row r="1476" spans="1:9" x14ac:dyDescent="0.25">
      <c r="A1476" s="6">
        <v>43473</v>
      </c>
      <c r="B1476" t="s">
        <v>26</v>
      </c>
      <c r="C1476">
        <v>59883</v>
      </c>
      <c r="D1476" t="s">
        <v>110</v>
      </c>
      <c r="E1476" s="7">
        <v>2766.23</v>
      </c>
      <c r="F1476" t="s">
        <v>20</v>
      </c>
      <c r="G1476" t="s">
        <v>21</v>
      </c>
      <c r="H1476" t="str">
        <f>"1447515*"</f>
        <v>1447515*</v>
      </c>
      <c r="I1476" t="str">
        <f t="shared" si="21"/>
        <v>BUREAU VERITAS NORTH AMERICA</v>
      </c>
    </row>
    <row r="1477" spans="1:9" x14ac:dyDescent="0.25">
      <c r="A1477" s="6">
        <v>43473</v>
      </c>
      <c r="B1477" t="s">
        <v>26</v>
      </c>
      <c r="C1477">
        <v>59883</v>
      </c>
      <c r="D1477" t="s">
        <v>110</v>
      </c>
      <c r="E1477" s="7">
        <v>2766.23</v>
      </c>
      <c r="F1477" t="s">
        <v>20</v>
      </c>
      <c r="G1477" t="s">
        <v>21</v>
      </c>
      <c r="H1477" t="str">
        <f>"1447516*"</f>
        <v>1447516*</v>
      </c>
      <c r="I1477" t="str">
        <f t="shared" si="21"/>
        <v>BUREAU VERITAS NORTH AMERICA</v>
      </c>
    </row>
    <row r="1478" spans="1:9" x14ac:dyDescent="0.25">
      <c r="A1478" s="6">
        <v>43473</v>
      </c>
      <c r="B1478" t="s">
        <v>26</v>
      </c>
      <c r="C1478">
        <v>59883</v>
      </c>
      <c r="D1478" t="s">
        <v>110</v>
      </c>
      <c r="E1478" s="7">
        <v>2766.23</v>
      </c>
      <c r="F1478" t="s">
        <v>20</v>
      </c>
      <c r="G1478" t="s">
        <v>21</v>
      </c>
      <c r="H1478" t="str">
        <f>"1447517*"</f>
        <v>1447517*</v>
      </c>
      <c r="I1478" t="str">
        <f t="shared" si="21"/>
        <v>BUREAU VERITAS NORTH AMERICA</v>
      </c>
    </row>
    <row r="1479" spans="1:9" x14ac:dyDescent="0.25">
      <c r="A1479" s="6">
        <v>43473</v>
      </c>
      <c r="B1479" t="s">
        <v>26</v>
      </c>
      <c r="C1479">
        <v>59883</v>
      </c>
      <c r="D1479" t="s">
        <v>110</v>
      </c>
      <c r="E1479" s="7">
        <v>2766.23</v>
      </c>
      <c r="F1479" t="s">
        <v>20</v>
      </c>
      <c r="G1479" t="s">
        <v>21</v>
      </c>
      <c r="H1479" t="str">
        <f>"1447518*"</f>
        <v>1447518*</v>
      </c>
      <c r="I1479" t="str">
        <f t="shared" si="21"/>
        <v>BUREAU VERITAS NORTH AMERICA</v>
      </c>
    </row>
    <row r="1480" spans="1:9" x14ac:dyDescent="0.25">
      <c r="A1480" s="6">
        <v>43473</v>
      </c>
      <c r="B1480" t="s">
        <v>26</v>
      </c>
      <c r="C1480">
        <v>59883</v>
      </c>
      <c r="D1480" t="s">
        <v>110</v>
      </c>
      <c r="E1480" s="7">
        <v>2766.23</v>
      </c>
      <c r="F1480" t="s">
        <v>20</v>
      </c>
      <c r="G1480" t="s">
        <v>21</v>
      </c>
      <c r="H1480" t="str">
        <f>"1447519*"</f>
        <v>1447519*</v>
      </c>
      <c r="I1480" t="str">
        <f t="shared" si="21"/>
        <v>BUREAU VERITAS NORTH AMERICA</v>
      </c>
    </row>
    <row r="1481" spans="1:9" x14ac:dyDescent="0.25">
      <c r="A1481" s="6">
        <v>43473</v>
      </c>
      <c r="B1481" t="s">
        <v>26</v>
      </c>
      <c r="C1481">
        <v>59883</v>
      </c>
      <c r="D1481" t="s">
        <v>110</v>
      </c>
      <c r="E1481" s="7">
        <v>2766.23</v>
      </c>
      <c r="F1481" t="s">
        <v>20</v>
      </c>
      <c r="G1481" t="s">
        <v>21</v>
      </c>
      <c r="H1481" t="str">
        <f>"1447520*"</f>
        <v>1447520*</v>
      </c>
      <c r="I1481" t="str">
        <f t="shared" si="21"/>
        <v>BUREAU VERITAS NORTH AMERICA</v>
      </c>
    </row>
    <row r="1482" spans="1:9" x14ac:dyDescent="0.25">
      <c r="A1482" s="6">
        <v>43473</v>
      </c>
      <c r="B1482" t="s">
        <v>26</v>
      </c>
      <c r="C1482">
        <v>59885</v>
      </c>
      <c r="D1482" t="s">
        <v>340</v>
      </c>
      <c r="E1482" s="7">
        <v>369.39</v>
      </c>
      <c r="F1482" t="s">
        <v>20</v>
      </c>
      <c r="G1482" t="s">
        <v>21</v>
      </c>
      <c r="H1482" t="str">
        <f>"181-363321*"</f>
        <v>181-363321*</v>
      </c>
      <c r="I1482" t="str">
        <f>"O'REILLY AUTOMOTIVE  INC."</f>
        <v>O'REILLY AUTOMOTIVE  INC.</v>
      </c>
    </row>
    <row r="1483" spans="1:9" x14ac:dyDescent="0.25">
      <c r="A1483" s="6">
        <v>43473</v>
      </c>
      <c r="B1483" t="s">
        <v>26</v>
      </c>
      <c r="C1483">
        <v>59885</v>
      </c>
      <c r="D1483" t="s">
        <v>340</v>
      </c>
      <c r="E1483" s="7">
        <v>369.39</v>
      </c>
      <c r="F1483" t="s">
        <v>20</v>
      </c>
      <c r="G1483" t="s">
        <v>21</v>
      </c>
      <c r="H1483" t="str">
        <f>"1810-346304*"</f>
        <v>1810-346304*</v>
      </c>
      <c r="I1483" t="str">
        <f>"O'REILLY AUTOMOTIVE  INC."</f>
        <v>O'REILLY AUTOMOTIVE  INC.</v>
      </c>
    </row>
    <row r="1484" spans="1:9" x14ac:dyDescent="0.25">
      <c r="A1484" s="6">
        <v>43473</v>
      </c>
      <c r="B1484" t="s">
        <v>26</v>
      </c>
      <c r="C1484">
        <v>59885</v>
      </c>
      <c r="D1484" t="s">
        <v>340</v>
      </c>
      <c r="E1484" s="7">
        <v>369.39</v>
      </c>
      <c r="F1484" t="s">
        <v>20</v>
      </c>
      <c r="G1484" t="s">
        <v>21</v>
      </c>
      <c r="H1484" t="str">
        <f>"1810-363318*"</f>
        <v>1810-363318*</v>
      </c>
      <c r="I1484" t="str">
        <f>"O'REILLY AUTOMOTIVE  INC."</f>
        <v>O'REILLY AUTOMOTIVE  INC.</v>
      </c>
    </row>
    <row r="1485" spans="1:9" x14ac:dyDescent="0.25">
      <c r="A1485" s="6">
        <v>43473</v>
      </c>
      <c r="B1485" t="s">
        <v>26</v>
      </c>
      <c r="C1485">
        <v>59885</v>
      </c>
      <c r="D1485" t="s">
        <v>340</v>
      </c>
      <c r="E1485" s="7">
        <v>369.39</v>
      </c>
      <c r="F1485" t="s">
        <v>20</v>
      </c>
      <c r="G1485" t="s">
        <v>21</v>
      </c>
      <c r="H1485" t="str">
        <f>"1810-363320*"</f>
        <v>1810-363320*</v>
      </c>
      <c r="I1485" t="str">
        <f>"O'REILLY AUTOMOTIVE  INC."</f>
        <v>O'REILLY AUTOMOTIVE  INC.</v>
      </c>
    </row>
    <row r="1486" spans="1:9" x14ac:dyDescent="0.25">
      <c r="A1486" s="6">
        <v>43473</v>
      </c>
      <c r="B1486" t="s">
        <v>26</v>
      </c>
      <c r="C1486">
        <v>59886</v>
      </c>
      <c r="D1486" t="s">
        <v>662</v>
      </c>
      <c r="E1486" s="7">
        <v>50</v>
      </c>
      <c r="F1486" t="s">
        <v>20</v>
      </c>
      <c r="G1486" t="s">
        <v>21</v>
      </c>
      <c r="H1486" t="str">
        <f>"DEP REFND 12/15/18"</f>
        <v>DEP REFND 12/15/18</v>
      </c>
      <c r="I1486" t="str">
        <f>"REFUND"</f>
        <v>REFUND</v>
      </c>
    </row>
    <row r="1487" spans="1:9" x14ac:dyDescent="0.25">
      <c r="A1487" s="6">
        <v>43473</v>
      </c>
      <c r="B1487" t="s">
        <v>26</v>
      </c>
      <c r="C1487">
        <v>59887</v>
      </c>
      <c r="D1487" t="s">
        <v>61</v>
      </c>
      <c r="E1487" s="7">
        <v>2616.33</v>
      </c>
      <c r="F1487" t="s">
        <v>20</v>
      </c>
      <c r="G1487" t="s">
        <v>21</v>
      </c>
      <c r="H1487" t="str">
        <f>"025-244730*"</f>
        <v>025-244730*</v>
      </c>
      <c r="I1487" t="str">
        <f>"TYLER TECHNOLOGIES  INC."</f>
        <v>TYLER TECHNOLOGIES  INC.</v>
      </c>
    </row>
    <row r="1488" spans="1:9" x14ac:dyDescent="0.25">
      <c r="A1488" s="6">
        <v>43473</v>
      </c>
      <c r="B1488" t="s">
        <v>26</v>
      </c>
      <c r="C1488">
        <v>59887</v>
      </c>
      <c r="D1488" t="s">
        <v>61</v>
      </c>
      <c r="E1488" s="7">
        <v>2616.33</v>
      </c>
      <c r="F1488" t="s">
        <v>20</v>
      </c>
      <c r="G1488" t="s">
        <v>21</v>
      </c>
      <c r="H1488" t="str">
        <f>"025-244731*"</f>
        <v>025-244731*</v>
      </c>
      <c r="I1488" t="str">
        <f>"TYLER TECHNOLOGIES  INC."</f>
        <v>TYLER TECHNOLOGIES  INC.</v>
      </c>
    </row>
    <row r="1489" spans="1:9" x14ac:dyDescent="0.25">
      <c r="A1489" s="6">
        <v>43473</v>
      </c>
      <c r="B1489" t="s">
        <v>26</v>
      </c>
      <c r="C1489">
        <v>59887</v>
      </c>
      <c r="D1489" t="s">
        <v>61</v>
      </c>
      <c r="E1489" s="7">
        <v>2616.33</v>
      </c>
      <c r="F1489" t="s">
        <v>20</v>
      </c>
      <c r="G1489" t="s">
        <v>21</v>
      </c>
      <c r="H1489" t="str">
        <f>"025-245234*"</f>
        <v>025-245234*</v>
      </c>
      <c r="I1489" t="str">
        <f>"TYLER TECHNOLOGIES  INC."</f>
        <v>TYLER TECHNOLOGIES  INC.</v>
      </c>
    </row>
    <row r="1490" spans="1:9" x14ac:dyDescent="0.25">
      <c r="A1490" s="6">
        <v>43473</v>
      </c>
      <c r="B1490" t="s">
        <v>26</v>
      </c>
      <c r="C1490">
        <v>59888</v>
      </c>
      <c r="D1490" t="s">
        <v>0</v>
      </c>
      <c r="E1490" s="7">
        <v>3330.78</v>
      </c>
      <c r="F1490" t="s">
        <v>20</v>
      </c>
      <c r="G1490" t="s">
        <v>21</v>
      </c>
      <c r="H1490" t="str">
        <f>"01-0195-00 12/2019"</f>
        <v>01-0195-00 12/2019</v>
      </c>
      <c r="I1490" t="str">
        <f>"CITY OF FLORESVILLE"</f>
        <v>CITY OF FLORESVILLE</v>
      </c>
    </row>
    <row r="1491" spans="1:9" x14ac:dyDescent="0.25">
      <c r="A1491" s="6">
        <v>43473</v>
      </c>
      <c r="B1491" t="s">
        <v>26</v>
      </c>
      <c r="C1491">
        <v>59889</v>
      </c>
      <c r="D1491" t="s">
        <v>167</v>
      </c>
      <c r="E1491" s="7">
        <v>216.42</v>
      </c>
      <c r="F1491" t="s">
        <v>20</v>
      </c>
      <c r="G1491" t="s">
        <v>21</v>
      </c>
      <c r="H1491" t="str">
        <f>"30588*"</f>
        <v>30588*</v>
      </c>
      <c r="I1491" t="str">
        <f>"DATA FLOW"</f>
        <v>DATA FLOW</v>
      </c>
    </row>
    <row r="1492" spans="1:9" x14ac:dyDescent="0.25">
      <c r="A1492" s="6">
        <v>43473</v>
      </c>
      <c r="B1492" t="s">
        <v>26</v>
      </c>
      <c r="C1492">
        <v>59890</v>
      </c>
      <c r="D1492" t="s">
        <v>212</v>
      </c>
      <c r="E1492" s="7">
        <v>170</v>
      </c>
      <c r="F1492" t="s">
        <v>20</v>
      </c>
      <c r="G1492" t="s">
        <v>21</v>
      </c>
      <c r="H1492" t="str">
        <f>"03667*"</f>
        <v>03667*</v>
      </c>
      <c r="I1492" t="str">
        <f>"AACOG"</f>
        <v>AACOG</v>
      </c>
    </row>
    <row r="1493" spans="1:9" x14ac:dyDescent="0.25">
      <c r="A1493" s="6">
        <v>43473</v>
      </c>
      <c r="B1493" t="s">
        <v>26</v>
      </c>
      <c r="C1493">
        <v>59890</v>
      </c>
      <c r="D1493" t="s">
        <v>212</v>
      </c>
      <c r="E1493" s="7">
        <v>170</v>
      </c>
      <c r="F1493" t="s">
        <v>20</v>
      </c>
      <c r="G1493" t="s">
        <v>21</v>
      </c>
      <c r="H1493" t="str">
        <f>"03671*"</f>
        <v>03671*</v>
      </c>
      <c r="I1493" t="str">
        <f>"AACOG"</f>
        <v>AACOG</v>
      </c>
    </row>
    <row r="1494" spans="1:9" x14ac:dyDescent="0.25">
      <c r="A1494" s="6">
        <v>43473</v>
      </c>
      <c r="B1494" t="s">
        <v>26</v>
      </c>
      <c r="C1494">
        <v>59890</v>
      </c>
      <c r="D1494" t="s">
        <v>212</v>
      </c>
      <c r="E1494" s="7">
        <v>170</v>
      </c>
      <c r="F1494" t="s">
        <v>20</v>
      </c>
      <c r="G1494" t="s">
        <v>21</v>
      </c>
      <c r="H1494" t="str">
        <f>"03679*"</f>
        <v>03679*</v>
      </c>
      <c r="I1494" t="str">
        <f>"AACOG"</f>
        <v>AACOG</v>
      </c>
    </row>
    <row r="1495" spans="1:9" x14ac:dyDescent="0.25">
      <c r="A1495" s="6">
        <v>43473</v>
      </c>
      <c r="B1495" t="s">
        <v>26</v>
      </c>
      <c r="C1495">
        <v>59891</v>
      </c>
      <c r="D1495" t="s">
        <v>63</v>
      </c>
      <c r="E1495" s="7">
        <v>811.19</v>
      </c>
      <c r="F1495" t="s">
        <v>20</v>
      </c>
      <c r="G1495" t="s">
        <v>21</v>
      </c>
      <c r="H1495" t="str">
        <f>"8403953235*"</f>
        <v>8403953235*</v>
      </c>
      <c r="I1495" t="str">
        <f>"CINTAS CORPORATION"</f>
        <v>CINTAS CORPORATION</v>
      </c>
    </row>
    <row r="1496" spans="1:9" x14ac:dyDescent="0.25">
      <c r="A1496" s="6">
        <v>43473</v>
      </c>
      <c r="B1496" t="s">
        <v>26</v>
      </c>
      <c r="C1496">
        <v>59892</v>
      </c>
      <c r="D1496" t="s">
        <v>64</v>
      </c>
      <c r="E1496" s="7">
        <v>4433.3999999999996</v>
      </c>
      <c r="F1496" t="s">
        <v>20</v>
      </c>
      <c r="G1496" t="s">
        <v>21</v>
      </c>
      <c r="H1496" t="str">
        <f>"7702*"</f>
        <v>7702*</v>
      </c>
      <c r="I1496" t="str">
        <f>"DREWA DESIGNS  INC."</f>
        <v>DREWA DESIGNS  INC.</v>
      </c>
    </row>
    <row r="1497" spans="1:9" x14ac:dyDescent="0.25">
      <c r="A1497" s="6">
        <v>43473</v>
      </c>
      <c r="B1497" t="s">
        <v>26</v>
      </c>
      <c r="C1497">
        <v>59893</v>
      </c>
      <c r="D1497" t="s">
        <v>117</v>
      </c>
      <c r="E1497" s="7">
        <v>2220.14</v>
      </c>
      <c r="F1497" t="s">
        <v>20</v>
      </c>
      <c r="G1497" t="s">
        <v>21</v>
      </c>
      <c r="H1497" t="str">
        <f>"10/2018*"</f>
        <v>10/2018*</v>
      </c>
      <c r="I1497" t="str">
        <f>"LINEBARGER GOGGAN BLAIR &amp; SAMP"</f>
        <v>LINEBARGER GOGGAN BLAIR &amp; SAMP</v>
      </c>
    </row>
    <row r="1498" spans="1:9" x14ac:dyDescent="0.25">
      <c r="A1498" s="6">
        <v>43473</v>
      </c>
      <c r="B1498" t="s">
        <v>26</v>
      </c>
      <c r="C1498">
        <v>59893</v>
      </c>
      <c r="D1498" t="s">
        <v>117</v>
      </c>
      <c r="E1498" s="7">
        <v>2220.14</v>
      </c>
      <c r="F1498" t="s">
        <v>20</v>
      </c>
      <c r="G1498" t="s">
        <v>21</v>
      </c>
      <c r="H1498" t="str">
        <f>"11/2018"</f>
        <v>11/2018</v>
      </c>
      <c r="I1498" t="str">
        <f>"LINEBARGER GOGGAN BLAIR &amp; SAMP"</f>
        <v>LINEBARGER GOGGAN BLAIR &amp; SAMP</v>
      </c>
    </row>
    <row r="1499" spans="1:9" x14ac:dyDescent="0.25">
      <c r="A1499" s="6">
        <v>43473</v>
      </c>
      <c r="B1499" t="s">
        <v>26</v>
      </c>
      <c r="C1499">
        <v>59894</v>
      </c>
      <c r="D1499" t="s">
        <v>214</v>
      </c>
      <c r="E1499" s="7">
        <v>337.94</v>
      </c>
      <c r="F1499" t="s">
        <v>20</v>
      </c>
      <c r="G1499" t="s">
        <v>21</v>
      </c>
      <c r="H1499" t="str">
        <f>"0016679-IN*"</f>
        <v>0016679-IN*</v>
      </c>
      <c r="I1499" t="str">
        <f>"DIXIE FLAG MANUFACTURING COMPA"</f>
        <v>DIXIE FLAG MANUFACTURING COMPA</v>
      </c>
    </row>
    <row r="1500" spans="1:9" x14ac:dyDescent="0.25">
      <c r="A1500" s="6">
        <v>43473</v>
      </c>
      <c r="B1500" t="s">
        <v>26</v>
      </c>
      <c r="C1500">
        <v>59895</v>
      </c>
      <c r="D1500" t="s">
        <v>255</v>
      </c>
      <c r="E1500" s="7">
        <v>150.97999999999999</v>
      </c>
      <c r="F1500" t="s">
        <v>20</v>
      </c>
      <c r="G1500" t="s">
        <v>21</v>
      </c>
      <c r="H1500" t="str">
        <f>"202735664 12/2018"</f>
        <v>202735664 12/2018</v>
      </c>
      <c r="I1500" t="str">
        <f>"ADT SECURITY SERVICES"</f>
        <v>ADT SECURITY SERVICES</v>
      </c>
    </row>
    <row r="1501" spans="1:9" x14ac:dyDescent="0.25">
      <c r="A1501" s="6">
        <v>43473</v>
      </c>
      <c r="B1501" t="s">
        <v>26</v>
      </c>
      <c r="C1501">
        <v>59896</v>
      </c>
      <c r="D1501" t="s">
        <v>74</v>
      </c>
      <c r="E1501" s="7">
        <v>3600.44</v>
      </c>
      <c r="F1501" t="s">
        <v>20</v>
      </c>
      <c r="G1501" t="s">
        <v>21</v>
      </c>
      <c r="H1501" t="str">
        <f>"9820954708*"</f>
        <v>9820954708*</v>
      </c>
      <c r="I1501" t="str">
        <f>"VERIZON WIRELESS"</f>
        <v>VERIZON WIRELESS</v>
      </c>
    </row>
    <row r="1502" spans="1:9" x14ac:dyDescent="0.25">
      <c r="A1502" s="6">
        <v>43473</v>
      </c>
      <c r="B1502" t="s">
        <v>26</v>
      </c>
      <c r="C1502">
        <v>59896</v>
      </c>
      <c r="D1502" t="s">
        <v>74</v>
      </c>
      <c r="E1502" s="7">
        <v>3600.44</v>
      </c>
      <c r="F1502" t="s">
        <v>20</v>
      </c>
      <c r="G1502" t="s">
        <v>21</v>
      </c>
      <c r="H1502" t="str">
        <f>"9820954709*"</f>
        <v>9820954709*</v>
      </c>
      <c r="I1502" t="str">
        <f>"VERIZON WIRELESS"</f>
        <v>VERIZON WIRELESS</v>
      </c>
    </row>
    <row r="1503" spans="1:9" x14ac:dyDescent="0.25">
      <c r="A1503" s="6">
        <v>43473</v>
      </c>
      <c r="B1503" t="s">
        <v>26</v>
      </c>
      <c r="C1503">
        <v>59898</v>
      </c>
      <c r="D1503" t="s">
        <v>123</v>
      </c>
      <c r="E1503" s="7">
        <v>448.89</v>
      </c>
      <c r="F1503" t="s">
        <v>20</v>
      </c>
      <c r="G1503" t="s">
        <v>21</v>
      </c>
      <c r="H1503" t="str">
        <f>"241842221001*"</f>
        <v>241842221001*</v>
      </c>
      <c r="I1503" t="str">
        <f>"OFFICE DEPOT  INC."</f>
        <v>OFFICE DEPOT  INC.</v>
      </c>
    </row>
    <row r="1504" spans="1:9" x14ac:dyDescent="0.25">
      <c r="A1504" s="6">
        <v>43473</v>
      </c>
      <c r="B1504" t="s">
        <v>26</v>
      </c>
      <c r="C1504">
        <v>59898</v>
      </c>
      <c r="D1504" t="s">
        <v>123</v>
      </c>
      <c r="E1504" s="7">
        <v>448.89</v>
      </c>
      <c r="F1504" t="s">
        <v>20</v>
      </c>
      <c r="G1504" t="s">
        <v>21</v>
      </c>
      <c r="H1504" t="str">
        <f>"247084406001*"</f>
        <v>247084406001*</v>
      </c>
      <c r="I1504" t="str">
        <f>"OFFICE DEPOT  INC."</f>
        <v>OFFICE DEPOT  INC.</v>
      </c>
    </row>
    <row r="1505" spans="1:9" x14ac:dyDescent="0.25">
      <c r="A1505" s="6">
        <v>43473</v>
      </c>
      <c r="B1505" t="s">
        <v>26</v>
      </c>
      <c r="C1505">
        <v>59898</v>
      </c>
      <c r="D1505" t="s">
        <v>123</v>
      </c>
      <c r="E1505" s="7">
        <v>448.89</v>
      </c>
      <c r="F1505" t="s">
        <v>20</v>
      </c>
      <c r="G1505" t="s">
        <v>21</v>
      </c>
      <c r="H1505" t="str">
        <f>"247084978001*"</f>
        <v>247084978001*</v>
      </c>
      <c r="I1505" t="str">
        <f>"OFFICE DEPOT  INC."</f>
        <v>OFFICE DEPOT  INC.</v>
      </c>
    </row>
    <row r="1506" spans="1:9" x14ac:dyDescent="0.25">
      <c r="A1506" s="6">
        <v>43473</v>
      </c>
      <c r="B1506" t="s">
        <v>26</v>
      </c>
      <c r="C1506">
        <v>59898</v>
      </c>
      <c r="D1506" t="s">
        <v>123</v>
      </c>
      <c r="E1506" s="7">
        <v>448.89</v>
      </c>
      <c r="F1506" t="s">
        <v>20</v>
      </c>
      <c r="G1506" t="s">
        <v>21</v>
      </c>
      <c r="H1506" t="str">
        <f>"250047413001*"</f>
        <v>250047413001*</v>
      </c>
      <c r="I1506" t="str">
        <f>"OFFICE DEPOT  INC."</f>
        <v>OFFICE DEPOT  INC.</v>
      </c>
    </row>
    <row r="1507" spans="1:9" x14ac:dyDescent="0.25">
      <c r="A1507" s="6">
        <v>43473</v>
      </c>
      <c r="B1507" t="s">
        <v>26</v>
      </c>
      <c r="C1507">
        <v>59899</v>
      </c>
      <c r="D1507" t="s">
        <v>534</v>
      </c>
      <c r="E1507" s="7">
        <v>107.17</v>
      </c>
      <c r="F1507" t="s">
        <v>20</v>
      </c>
      <c r="G1507" t="s">
        <v>21</v>
      </c>
      <c r="H1507" t="str">
        <f>"8403966062*"</f>
        <v>8403966062*</v>
      </c>
      <c r="I1507" t="str">
        <f>"CINTAS CORPORATION NO. 2"</f>
        <v>CINTAS CORPORATION NO. 2</v>
      </c>
    </row>
    <row r="1508" spans="1:9" x14ac:dyDescent="0.25">
      <c r="A1508" s="6">
        <v>43473</v>
      </c>
      <c r="B1508" t="s">
        <v>26</v>
      </c>
      <c r="C1508">
        <v>59900</v>
      </c>
      <c r="D1508" t="s">
        <v>125</v>
      </c>
      <c r="E1508" s="7">
        <v>1560</v>
      </c>
      <c r="F1508" t="s">
        <v>20</v>
      </c>
      <c r="G1508" t="s">
        <v>21</v>
      </c>
      <c r="H1508" t="str">
        <f>"18-0202 1/2019"</f>
        <v>18-0202 1/2019</v>
      </c>
      <c r="I1508" t="str">
        <f>"INTREPID SURVEYING CORPORATION"</f>
        <v>INTREPID SURVEYING CORPORATION</v>
      </c>
    </row>
    <row r="1509" spans="1:9" x14ac:dyDescent="0.25">
      <c r="A1509" s="6">
        <v>43473</v>
      </c>
      <c r="B1509" t="s">
        <v>26</v>
      </c>
      <c r="C1509">
        <v>59901</v>
      </c>
      <c r="D1509" t="s">
        <v>147</v>
      </c>
      <c r="E1509" s="7">
        <v>1621.46</v>
      </c>
      <c r="F1509" t="s">
        <v>20</v>
      </c>
      <c r="G1509" t="s">
        <v>21</v>
      </c>
      <c r="H1509" t="str">
        <f>"1006*"</f>
        <v>1006*</v>
      </c>
      <c r="I1509" t="str">
        <f>"SRALLA ELECTRIC"</f>
        <v>SRALLA ELECTRIC</v>
      </c>
    </row>
    <row r="1510" spans="1:9" x14ac:dyDescent="0.25">
      <c r="A1510" s="6">
        <v>43473</v>
      </c>
      <c r="B1510" t="s">
        <v>26</v>
      </c>
      <c r="C1510">
        <v>59901</v>
      </c>
      <c r="D1510" t="s">
        <v>147</v>
      </c>
      <c r="E1510" s="7">
        <v>1621.46</v>
      </c>
      <c r="F1510" t="s">
        <v>20</v>
      </c>
      <c r="G1510" t="s">
        <v>21</v>
      </c>
      <c r="H1510" t="str">
        <f>"1009*"</f>
        <v>1009*</v>
      </c>
      <c r="I1510" t="str">
        <f>"SRALLA ELECTRIC"</f>
        <v>SRALLA ELECTRIC</v>
      </c>
    </row>
    <row r="1511" spans="1:9" x14ac:dyDescent="0.25">
      <c r="A1511" s="6">
        <v>43473</v>
      </c>
      <c r="B1511" t="s">
        <v>26</v>
      </c>
      <c r="C1511">
        <v>59902</v>
      </c>
      <c r="D1511" t="s">
        <v>79</v>
      </c>
      <c r="E1511" s="7">
        <v>40.94</v>
      </c>
      <c r="F1511" t="s">
        <v>20</v>
      </c>
      <c r="G1511" t="s">
        <v>21</v>
      </c>
      <c r="H1511" t="str">
        <f>"6-413-33068*"</f>
        <v>6-413-33068*</v>
      </c>
      <c r="I1511" t="str">
        <f>"FEDEX"</f>
        <v>FEDEX</v>
      </c>
    </row>
    <row r="1512" spans="1:9" x14ac:dyDescent="0.25">
      <c r="A1512" s="6">
        <v>43473</v>
      </c>
      <c r="B1512" t="s">
        <v>26</v>
      </c>
      <c r="C1512">
        <v>59903</v>
      </c>
      <c r="D1512" t="s">
        <v>223</v>
      </c>
      <c r="E1512" s="7">
        <v>75</v>
      </c>
      <c r="F1512" t="s">
        <v>20</v>
      </c>
      <c r="G1512" t="s">
        <v>21</v>
      </c>
      <c r="H1512" t="str">
        <f>"R-ISSUE CHECK56847"</f>
        <v>R-ISSUE CHECK56847</v>
      </c>
      <c r="I1512" t="str">
        <f>"JUAN ORTIZ"</f>
        <v>JUAN ORTIZ</v>
      </c>
    </row>
    <row r="1513" spans="1:9" x14ac:dyDescent="0.25">
      <c r="A1513" s="6">
        <v>43473</v>
      </c>
      <c r="B1513" t="s">
        <v>26</v>
      </c>
      <c r="C1513">
        <v>59904</v>
      </c>
      <c r="D1513" t="s">
        <v>80</v>
      </c>
      <c r="E1513" s="7">
        <v>1786.91</v>
      </c>
      <c r="F1513" t="s">
        <v>20</v>
      </c>
      <c r="G1513" t="s">
        <v>21</v>
      </c>
      <c r="H1513" t="str">
        <f>"1648-20190101-1*"</f>
        <v>1648-20190101-1*</v>
      </c>
      <c r="I1513" t="str">
        <f>"LVWIFI.COM"</f>
        <v>LVWIFI.COM</v>
      </c>
    </row>
    <row r="1514" spans="1:9" x14ac:dyDescent="0.25">
      <c r="A1514" s="6">
        <v>43473</v>
      </c>
      <c r="B1514" t="s">
        <v>26</v>
      </c>
      <c r="C1514">
        <v>59904</v>
      </c>
      <c r="D1514" t="s">
        <v>80</v>
      </c>
      <c r="E1514" s="7">
        <v>1786.91</v>
      </c>
      <c r="F1514" t="s">
        <v>20</v>
      </c>
      <c r="G1514" t="s">
        <v>21</v>
      </c>
      <c r="H1514" t="str">
        <f>"2313-20190101-1*"</f>
        <v>2313-20190101-1*</v>
      </c>
      <c r="I1514" t="str">
        <f>"LVWIFI.COM"</f>
        <v>LVWIFI.COM</v>
      </c>
    </row>
    <row r="1515" spans="1:9" x14ac:dyDescent="0.25">
      <c r="A1515" s="6">
        <v>43473</v>
      </c>
      <c r="B1515" t="s">
        <v>26</v>
      </c>
      <c r="C1515">
        <v>59904</v>
      </c>
      <c r="D1515" t="s">
        <v>80</v>
      </c>
      <c r="E1515" s="7">
        <v>1786.91</v>
      </c>
      <c r="F1515" t="s">
        <v>20</v>
      </c>
      <c r="G1515" t="s">
        <v>21</v>
      </c>
      <c r="H1515" t="str">
        <f>"2314-20190101-1*"</f>
        <v>2314-20190101-1*</v>
      </c>
      <c r="I1515" t="str">
        <f>"LVWIFI.COM"</f>
        <v>LVWIFI.COM</v>
      </c>
    </row>
    <row r="1516" spans="1:9" x14ac:dyDescent="0.25">
      <c r="A1516" s="6">
        <v>43473</v>
      </c>
      <c r="B1516" t="s">
        <v>26</v>
      </c>
      <c r="C1516">
        <v>59904</v>
      </c>
      <c r="D1516" t="s">
        <v>80</v>
      </c>
      <c r="E1516" s="7">
        <v>1786.91</v>
      </c>
      <c r="F1516" t="s">
        <v>20</v>
      </c>
      <c r="G1516" t="s">
        <v>21</v>
      </c>
      <c r="H1516" t="str">
        <f>"2478-20190101-1*"</f>
        <v>2478-20190101-1*</v>
      </c>
      <c r="I1516" t="str">
        <f>"LVWIFI.COM"</f>
        <v>LVWIFI.COM</v>
      </c>
    </row>
    <row r="1517" spans="1:9" x14ac:dyDescent="0.25">
      <c r="A1517" s="6">
        <v>43473</v>
      </c>
      <c r="B1517" t="s">
        <v>26</v>
      </c>
      <c r="C1517">
        <v>59905</v>
      </c>
      <c r="D1517" t="s">
        <v>139</v>
      </c>
      <c r="E1517" s="7">
        <v>65</v>
      </c>
      <c r="F1517" t="s">
        <v>20</v>
      </c>
      <c r="G1517" t="s">
        <v>21</v>
      </c>
      <c r="H1517" t="str">
        <f>"25332*"</f>
        <v>25332*</v>
      </c>
      <c r="I1517" t="str">
        <f>"ANGEL FIRE &amp; SAFETY"</f>
        <v>ANGEL FIRE &amp; SAFETY</v>
      </c>
    </row>
    <row r="1518" spans="1:9" x14ac:dyDescent="0.25">
      <c r="A1518" s="6">
        <v>43473</v>
      </c>
      <c r="B1518" t="s">
        <v>26</v>
      </c>
      <c r="C1518">
        <v>59906</v>
      </c>
      <c r="D1518" t="s">
        <v>31</v>
      </c>
      <c r="E1518" s="7">
        <v>2000</v>
      </c>
      <c r="F1518" t="s">
        <v>20</v>
      </c>
      <c r="G1518" t="s">
        <v>21</v>
      </c>
      <c r="H1518" t="str">
        <f>"2019210*"</f>
        <v>2019210*</v>
      </c>
      <c r="I1518" t="str">
        <f>"THE LAW OFFICE OF TOM CALDWELL"</f>
        <v>THE LAW OFFICE OF TOM CALDWELL</v>
      </c>
    </row>
    <row r="1519" spans="1:9" x14ac:dyDescent="0.25">
      <c r="A1519" s="6">
        <v>43473</v>
      </c>
      <c r="B1519" t="s">
        <v>26</v>
      </c>
      <c r="C1519">
        <v>59907</v>
      </c>
      <c r="D1519" t="s">
        <v>81</v>
      </c>
      <c r="E1519" s="7">
        <v>150</v>
      </c>
      <c r="F1519" t="s">
        <v>20</v>
      </c>
      <c r="G1519" t="s">
        <v>21</v>
      </c>
      <c r="H1519" t="str">
        <f>"1/8/2019"</f>
        <v>1/8/2019</v>
      </c>
      <c r="I1519" t="str">
        <f>"CITY OF FLORESVILLE -PETTY CAS"</f>
        <v>CITY OF FLORESVILLE -PETTY CAS</v>
      </c>
    </row>
    <row r="1520" spans="1:9" x14ac:dyDescent="0.25">
      <c r="A1520" s="6">
        <v>43473</v>
      </c>
      <c r="B1520" t="s">
        <v>26</v>
      </c>
      <c r="C1520">
        <v>59908</v>
      </c>
      <c r="D1520" t="s">
        <v>129</v>
      </c>
      <c r="E1520" s="7">
        <v>186.08</v>
      </c>
      <c r="F1520" t="s">
        <v>20</v>
      </c>
      <c r="G1520" t="s">
        <v>21</v>
      </c>
      <c r="H1520" t="str">
        <f>"P43273*"</f>
        <v>P43273*</v>
      </c>
      <c r="I1520" t="str">
        <f>"AG-PRO COMPANIES"</f>
        <v>AG-PRO COMPANIES</v>
      </c>
    </row>
    <row r="1521" spans="1:9" x14ac:dyDescent="0.25">
      <c r="A1521" s="6">
        <v>43473</v>
      </c>
      <c r="B1521" t="s">
        <v>26</v>
      </c>
      <c r="C1521">
        <v>59909</v>
      </c>
      <c r="D1521" t="s">
        <v>83</v>
      </c>
      <c r="E1521" s="7">
        <v>1044</v>
      </c>
      <c r="F1521" t="s">
        <v>20</v>
      </c>
      <c r="G1521" t="s">
        <v>21</v>
      </c>
      <c r="H1521" t="str">
        <f>"595183*"</f>
        <v>595183*</v>
      </c>
      <c r="I1521" t="str">
        <f>"APPRIVER"</f>
        <v>APPRIVER</v>
      </c>
    </row>
    <row r="1522" spans="1:9" x14ac:dyDescent="0.25">
      <c r="A1522" s="6">
        <v>43473</v>
      </c>
      <c r="B1522" t="s">
        <v>26</v>
      </c>
      <c r="C1522">
        <v>59910</v>
      </c>
      <c r="D1522" t="s">
        <v>85</v>
      </c>
      <c r="E1522" s="7">
        <v>4511.1000000000004</v>
      </c>
      <c r="F1522" t="s">
        <v>20</v>
      </c>
      <c r="G1522" t="s">
        <v>21</v>
      </c>
      <c r="H1522" t="str">
        <f>"2162691 1/19"</f>
        <v>2162691 1/19</v>
      </c>
      <c r="I1522" t="str">
        <f t="shared" ref="I1522:I1531" si="22">"FRONTIER"</f>
        <v>FRONTIER</v>
      </c>
    </row>
    <row r="1523" spans="1:9" x14ac:dyDescent="0.25">
      <c r="A1523" s="6">
        <v>43473</v>
      </c>
      <c r="B1523" t="s">
        <v>26</v>
      </c>
      <c r="C1523">
        <v>59910</v>
      </c>
      <c r="D1523" t="s">
        <v>85</v>
      </c>
      <c r="E1523" s="7">
        <v>4511.1000000000004</v>
      </c>
      <c r="F1523" t="s">
        <v>20</v>
      </c>
      <c r="G1523" t="s">
        <v>21</v>
      </c>
      <c r="H1523" t="str">
        <f>"2162745 1/2019"</f>
        <v>2162745 1/2019</v>
      </c>
      <c r="I1523" t="str">
        <f t="shared" si="22"/>
        <v>FRONTIER</v>
      </c>
    </row>
    <row r="1524" spans="1:9" x14ac:dyDescent="0.25">
      <c r="A1524" s="6">
        <v>43473</v>
      </c>
      <c r="B1524" t="s">
        <v>26</v>
      </c>
      <c r="C1524">
        <v>59910</v>
      </c>
      <c r="D1524" t="s">
        <v>85</v>
      </c>
      <c r="E1524" s="7">
        <v>4511.1000000000004</v>
      </c>
      <c r="F1524" t="s">
        <v>20</v>
      </c>
      <c r="G1524" t="s">
        <v>21</v>
      </c>
      <c r="H1524" t="str">
        <f>"3932056 1/19"</f>
        <v>3932056 1/19</v>
      </c>
      <c r="I1524" t="str">
        <f t="shared" si="22"/>
        <v>FRONTIER</v>
      </c>
    </row>
    <row r="1525" spans="1:9" x14ac:dyDescent="0.25">
      <c r="A1525" s="6">
        <v>43473</v>
      </c>
      <c r="B1525" t="s">
        <v>26</v>
      </c>
      <c r="C1525">
        <v>59910</v>
      </c>
      <c r="D1525" t="s">
        <v>85</v>
      </c>
      <c r="E1525" s="7">
        <v>4511.1000000000004</v>
      </c>
      <c r="F1525" t="s">
        <v>20</v>
      </c>
      <c r="G1525" t="s">
        <v>21</v>
      </c>
      <c r="H1525" t="str">
        <f>"3933105 1/19"</f>
        <v>3933105 1/19</v>
      </c>
      <c r="I1525" t="str">
        <f t="shared" si="22"/>
        <v>FRONTIER</v>
      </c>
    </row>
    <row r="1526" spans="1:9" x14ac:dyDescent="0.25">
      <c r="A1526" s="6">
        <v>43473</v>
      </c>
      <c r="B1526" t="s">
        <v>26</v>
      </c>
      <c r="C1526">
        <v>59910</v>
      </c>
      <c r="D1526" t="s">
        <v>85</v>
      </c>
      <c r="E1526" s="7">
        <v>4511.1000000000004</v>
      </c>
      <c r="F1526" t="s">
        <v>20</v>
      </c>
      <c r="G1526" t="s">
        <v>21</v>
      </c>
      <c r="H1526" t="str">
        <f>"3933186 1/19"</f>
        <v>3933186 1/19</v>
      </c>
      <c r="I1526" t="str">
        <f t="shared" si="22"/>
        <v>FRONTIER</v>
      </c>
    </row>
    <row r="1527" spans="1:9" x14ac:dyDescent="0.25">
      <c r="A1527" s="6">
        <v>43473</v>
      </c>
      <c r="B1527" t="s">
        <v>26</v>
      </c>
      <c r="C1527">
        <v>59910</v>
      </c>
      <c r="D1527" t="s">
        <v>85</v>
      </c>
      <c r="E1527" s="7">
        <v>4511.1000000000004</v>
      </c>
      <c r="F1527" t="s">
        <v>20</v>
      </c>
      <c r="G1527" t="s">
        <v>21</v>
      </c>
      <c r="H1527" t="str">
        <f>"3933718 1/2019"</f>
        <v>3933718 1/2019</v>
      </c>
      <c r="I1527" t="str">
        <f t="shared" si="22"/>
        <v>FRONTIER</v>
      </c>
    </row>
    <row r="1528" spans="1:9" x14ac:dyDescent="0.25">
      <c r="A1528" s="6">
        <v>43473</v>
      </c>
      <c r="B1528" t="s">
        <v>26</v>
      </c>
      <c r="C1528">
        <v>59910</v>
      </c>
      <c r="D1528" t="s">
        <v>85</v>
      </c>
      <c r="E1528" s="7">
        <v>4511.1000000000004</v>
      </c>
      <c r="F1528" t="s">
        <v>20</v>
      </c>
      <c r="G1528" t="s">
        <v>21</v>
      </c>
      <c r="H1528" t="str">
        <f>"3936616 1/19"</f>
        <v>3936616 1/19</v>
      </c>
      <c r="I1528" t="str">
        <f t="shared" si="22"/>
        <v>FRONTIER</v>
      </c>
    </row>
    <row r="1529" spans="1:9" x14ac:dyDescent="0.25">
      <c r="A1529" s="6">
        <v>43473</v>
      </c>
      <c r="B1529" t="s">
        <v>26</v>
      </c>
      <c r="C1529">
        <v>59910</v>
      </c>
      <c r="D1529" t="s">
        <v>85</v>
      </c>
      <c r="E1529" s="7">
        <v>4511.1000000000004</v>
      </c>
      <c r="F1529" t="s">
        <v>20</v>
      </c>
      <c r="G1529" t="s">
        <v>21</v>
      </c>
      <c r="H1529" t="str">
        <f>"3939456 1/19"</f>
        <v>3939456 1/19</v>
      </c>
      <c r="I1529" t="str">
        <f t="shared" si="22"/>
        <v>FRONTIER</v>
      </c>
    </row>
    <row r="1530" spans="1:9" x14ac:dyDescent="0.25">
      <c r="A1530" s="6">
        <v>43473</v>
      </c>
      <c r="B1530" t="s">
        <v>26</v>
      </c>
      <c r="C1530">
        <v>59910</v>
      </c>
      <c r="D1530" t="s">
        <v>85</v>
      </c>
      <c r="E1530" s="7">
        <v>4511.1000000000004</v>
      </c>
      <c r="F1530" t="s">
        <v>20</v>
      </c>
      <c r="G1530" t="s">
        <v>21</v>
      </c>
      <c r="H1530" t="str">
        <f>"8303937070 1/2019"</f>
        <v>8303937070 1/2019</v>
      </c>
      <c r="I1530" t="str">
        <f t="shared" si="22"/>
        <v>FRONTIER</v>
      </c>
    </row>
    <row r="1531" spans="1:9" x14ac:dyDescent="0.25">
      <c r="A1531" s="6">
        <v>43473</v>
      </c>
      <c r="B1531" t="s">
        <v>26</v>
      </c>
      <c r="C1531">
        <v>59910</v>
      </c>
      <c r="D1531" t="s">
        <v>85</v>
      </c>
      <c r="E1531" s="7">
        <v>4511.1000000000004</v>
      </c>
      <c r="F1531" t="s">
        <v>20</v>
      </c>
      <c r="G1531" t="s">
        <v>21</v>
      </c>
      <c r="H1531" t="str">
        <f>"9837110024 1/2019"</f>
        <v>9837110024 1/2019</v>
      </c>
      <c r="I1531" t="str">
        <f t="shared" si="22"/>
        <v>FRONTIER</v>
      </c>
    </row>
    <row r="1532" spans="1:9" x14ac:dyDescent="0.25">
      <c r="A1532" s="6">
        <v>43473</v>
      </c>
      <c r="B1532" t="s">
        <v>26</v>
      </c>
      <c r="C1532">
        <v>59912</v>
      </c>
      <c r="D1532" t="s">
        <v>175</v>
      </c>
      <c r="E1532" s="7">
        <v>500</v>
      </c>
      <c r="F1532" t="s">
        <v>20</v>
      </c>
      <c r="G1532" t="s">
        <v>21</v>
      </c>
      <c r="H1532" t="str">
        <f>"151393"</f>
        <v>151393</v>
      </c>
      <c r="I1532" t="str">
        <f>"AMER TECHNOLOGY  INC."</f>
        <v>AMER TECHNOLOGY  INC.</v>
      </c>
    </row>
    <row r="1533" spans="1:9" x14ac:dyDescent="0.25">
      <c r="A1533" s="6">
        <v>43473</v>
      </c>
      <c r="B1533" t="s">
        <v>91</v>
      </c>
      <c r="C1533">
        <v>59913</v>
      </c>
      <c r="D1533" t="s">
        <v>195</v>
      </c>
      <c r="E1533" s="7">
        <v>1604.53</v>
      </c>
      <c r="F1533" t="s">
        <v>20</v>
      </c>
      <c r="G1533" t="s">
        <v>21</v>
      </c>
      <c r="H1533" t="str">
        <f>"1565201812*"</f>
        <v>1565201812*</v>
      </c>
      <c r="I1533" t="str">
        <f>"ARISTA INFORMATION SYSTEMS  IN"</f>
        <v>ARISTA INFORMATION SYSTEMS  IN</v>
      </c>
    </row>
    <row r="1534" spans="1:9" x14ac:dyDescent="0.25">
      <c r="A1534" s="6">
        <v>43473</v>
      </c>
      <c r="B1534" t="s">
        <v>91</v>
      </c>
      <c r="C1534">
        <v>59913</v>
      </c>
      <c r="D1534" t="s">
        <v>195</v>
      </c>
      <c r="E1534" s="7">
        <v>1604.53</v>
      </c>
      <c r="F1534" t="s">
        <v>20</v>
      </c>
      <c r="G1534" t="s">
        <v>21</v>
      </c>
      <c r="H1534" t="str">
        <f>"26610*"</f>
        <v>26610*</v>
      </c>
      <c r="I1534" t="str">
        <f>"ARISTA INFORMATION SYSTEMS  IN"</f>
        <v>ARISTA INFORMATION SYSTEMS  IN</v>
      </c>
    </row>
    <row r="1535" spans="1:9" x14ac:dyDescent="0.25">
      <c r="A1535" s="6">
        <v>43473</v>
      </c>
      <c r="B1535" t="s">
        <v>91</v>
      </c>
      <c r="C1535">
        <v>59913</v>
      </c>
      <c r="D1535" t="s">
        <v>195</v>
      </c>
      <c r="E1535" s="7">
        <v>1604.53</v>
      </c>
      <c r="F1535" t="s">
        <v>20</v>
      </c>
      <c r="G1535" t="s">
        <v>93</v>
      </c>
      <c r="H1535" t="str">
        <f>"CHECK"</f>
        <v>CHECK</v>
      </c>
      <c r="I1535" t="str">
        <f>""</f>
        <v/>
      </c>
    </row>
    <row r="1536" spans="1:9" x14ac:dyDescent="0.25">
      <c r="A1536" s="6">
        <v>43473</v>
      </c>
      <c r="B1536" t="s">
        <v>26</v>
      </c>
      <c r="C1536">
        <v>59914</v>
      </c>
      <c r="D1536" t="s">
        <v>345</v>
      </c>
      <c r="E1536" s="7">
        <v>242</v>
      </c>
      <c r="F1536" t="s">
        <v>20</v>
      </c>
      <c r="G1536" t="s">
        <v>21</v>
      </c>
      <c r="H1536" t="str">
        <f>"01/07/2019"</f>
        <v>01/07/2019</v>
      </c>
      <c r="I1536" t="str">
        <f>"MICHAEL ISAAC MARTINEZ"</f>
        <v>MICHAEL ISAAC MARTINEZ</v>
      </c>
    </row>
    <row r="1537" spans="1:9" x14ac:dyDescent="0.25">
      <c r="A1537" s="6">
        <v>43473</v>
      </c>
      <c r="B1537" t="s">
        <v>26</v>
      </c>
      <c r="C1537">
        <v>59915</v>
      </c>
      <c r="D1537" t="s">
        <v>55</v>
      </c>
      <c r="E1537" s="7">
        <v>3900</v>
      </c>
      <c r="F1537" t="s">
        <v>20</v>
      </c>
      <c r="G1537" t="s">
        <v>21</v>
      </c>
      <c r="H1537" t="str">
        <f>"1172*"</f>
        <v>1172*</v>
      </c>
      <c r="I1537" t="str">
        <f>"LEVEL 4 CONSULTING"</f>
        <v>LEVEL 4 CONSULTING</v>
      </c>
    </row>
    <row r="1538" spans="1:9" x14ac:dyDescent="0.25">
      <c r="A1538" s="6">
        <v>43473</v>
      </c>
      <c r="B1538" t="s">
        <v>26</v>
      </c>
      <c r="C1538">
        <v>59916</v>
      </c>
      <c r="D1538" t="s">
        <v>554</v>
      </c>
      <c r="E1538" s="7">
        <v>74.95</v>
      </c>
      <c r="F1538" t="s">
        <v>20</v>
      </c>
      <c r="G1538" t="s">
        <v>21</v>
      </c>
      <c r="H1538" t="str">
        <f>"AA11322"</f>
        <v>AA11322</v>
      </c>
      <c r="I1538" t="str">
        <f>"TEXAS WIRED MUSIC"</f>
        <v>TEXAS WIRED MUSIC</v>
      </c>
    </row>
    <row r="1539" spans="1:9" x14ac:dyDescent="0.25">
      <c r="A1539" s="6">
        <v>43473</v>
      </c>
      <c r="B1539" t="s">
        <v>26</v>
      </c>
      <c r="C1539">
        <v>59917</v>
      </c>
      <c r="D1539" t="s">
        <v>644</v>
      </c>
      <c r="E1539" s="7">
        <v>1134.8599999999999</v>
      </c>
      <c r="F1539" t="s">
        <v>20</v>
      </c>
      <c r="G1539" t="s">
        <v>21</v>
      </c>
      <c r="H1539" t="str">
        <f>"8213260865"</f>
        <v>8213260865</v>
      </c>
      <c r="I1539" t="str">
        <f t="shared" ref="I1539:I1553" si="23">"UNIFIRST CORPORATION"</f>
        <v>UNIFIRST CORPORATION</v>
      </c>
    </row>
    <row r="1540" spans="1:9" x14ac:dyDescent="0.25">
      <c r="A1540" s="6">
        <v>43473</v>
      </c>
      <c r="B1540" t="s">
        <v>26</v>
      </c>
      <c r="C1540">
        <v>59917</v>
      </c>
      <c r="D1540" t="s">
        <v>644</v>
      </c>
      <c r="E1540" s="7">
        <v>1134.8599999999999</v>
      </c>
      <c r="F1540" t="s">
        <v>20</v>
      </c>
      <c r="G1540" t="s">
        <v>21</v>
      </c>
      <c r="H1540" t="str">
        <f>"8213260867"</f>
        <v>8213260867</v>
      </c>
      <c r="I1540" t="str">
        <f t="shared" si="23"/>
        <v>UNIFIRST CORPORATION</v>
      </c>
    </row>
    <row r="1541" spans="1:9" x14ac:dyDescent="0.25">
      <c r="A1541" s="6">
        <v>43473</v>
      </c>
      <c r="B1541" t="s">
        <v>26</v>
      </c>
      <c r="C1541">
        <v>59917</v>
      </c>
      <c r="D1541" t="s">
        <v>644</v>
      </c>
      <c r="E1541" s="7">
        <v>1134.8599999999999</v>
      </c>
      <c r="F1541" t="s">
        <v>20</v>
      </c>
      <c r="G1541" t="s">
        <v>21</v>
      </c>
      <c r="H1541" t="str">
        <f>"8213260868"</f>
        <v>8213260868</v>
      </c>
      <c r="I1541" t="str">
        <f t="shared" si="23"/>
        <v>UNIFIRST CORPORATION</v>
      </c>
    </row>
    <row r="1542" spans="1:9" x14ac:dyDescent="0.25">
      <c r="A1542" s="6">
        <v>43473</v>
      </c>
      <c r="B1542" t="s">
        <v>26</v>
      </c>
      <c r="C1542">
        <v>59917</v>
      </c>
      <c r="D1542" t="s">
        <v>644</v>
      </c>
      <c r="E1542" s="7">
        <v>1134.8599999999999</v>
      </c>
      <c r="F1542" t="s">
        <v>20</v>
      </c>
      <c r="G1542" t="s">
        <v>21</v>
      </c>
      <c r="H1542" t="str">
        <f>"8213262462"</f>
        <v>8213262462</v>
      </c>
      <c r="I1542" t="str">
        <f t="shared" si="23"/>
        <v>UNIFIRST CORPORATION</v>
      </c>
    </row>
    <row r="1543" spans="1:9" x14ac:dyDescent="0.25">
      <c r="A1543" s="6">
        <v>43473</v>
      </c>
      <c r="B1543" t="s">
        <v>26</v>
      </c>
      <c r="C1543">
        <v>59917</v>
      </c>
      <c r="D1543" t="s">
        <v>644</v>
      </c>
      <c r="E1543" s="7">
        <v>1134.8599999999999</v>
      </c>
      <c r="F1543" t="s">
        <v>20</v>
      </c>
      <c r="G1543" t="s">
        <v>21</v>
      </c>
      <c r="H1543" t="str">
        <f>"8213262463"</f>
        <v>8213262463</v>
      </c>
      <c r="I1543" t="str">
        <f t="shared" si="23"/>
        <v>UNIFIRST CORPORATION</v>
      </c>
    </row>
    <row r="1544" spans="1:9" x14ac:dyDescent="0.25">
      <c r="A1544" s="6">
        <v>43473</v>
      </c>
      <c r="B1544" t="s">
        <v>26</v>
      </c>
      <c r="C1544">
        <v>59917</v>
      </c>
      <c r="D1544" t="s">
        <v>644</v>
      </c>
      <c r="E1544" s="7">
        <v>1134.8599999999999</v>
      </c>
      <c r="F1544" t="s">
        <v>20</v>
      </c>
      <c r="G1544" t="s">
        <v>21</v>
      </c>
      <c r="H1544" t="str">
        <f>"8213262464"</f>
        <v>8213262464</v>
      </c>
      <c r="I1544" t="str">
        <f t="shared" si="23"/>
        <v>UNIFIRST CORPORATION</v>
      </c>
    </row>
    <row r="1545" spans="1:9" x14ac:dyDescent="0.25">
      <c r="A1545" s="6">
        <v>43473</v>
      </c>
      <c r="B1545" t="s">
        <v>26</v>
      </c>
      <c r="C1545">
        <v>59917</v>
      </c>
      <c r="D1545" t="s">
        <v>644</v>
      </c>
      <c r="E1545" s="7">
        <v>1134.8599999999999</v>
      </c>
      <c r="F1545" t="s">
        <v>20</v>
      </c>
      <c r="G1545" t="s">
        <v>21</v>
      </c>
      <c r="H1545" t="str">
        <f>"8213262465"</f>
        <v>8213262465</v>
      </c>
      <c r="I1545" t="str">
        <f t="shared" si="23"/>
        <v>UNIFIRST CORPORATION</v>
      </c>
    </row>
    <row r="1546" spans="1:9" x14ac:dyDescent="0.25">
      <c r="A1546" s="6">
        <v>43473</v>
      </c>
      <c r="B1546" t="s">
        <v>26</v>
      </c>
      <c r="C1546">
        <v>59917</v>
      </c>
      <c r="D1546" t="s">
        <v>644</v>
      </c>
      <c r="E1546" s="7">
        <v>1134.8599999999999</v>
      </c>
      <c r="F1546" t="s">
        <v>20</v>
      </c>
      <c r="G1546" t="s">
        <v>21</v>
      </c>
      <c r="H1546" t="str">
        <f>"8213262466"</f>
        <v>8213262466</v>
      </c>
      <c r="I1546" t="str">
        <f t="shared" si="23"/>
        <v>UNIFIRST CORPORATION</v>
      </c>
    </row>
    <row r="1547" spans="1:9" x14ac:dyDescent="0.25">
      <c r="A1547" s="6">
        <v>43473</v>
      </c>
      <c r="B1547" t="s">
        <v>26</v>
      </c>
      <c r="C1547">
        <v>59917</v>
      </c>
      <c r="D1547" t="s">
        <v>644</v>
      </c>
      <c r="E1547" s="7">
        <v>1134.8599999999999</v>
      </c>
      <c r="F1547" t="s">
        <v>20</v>
      </c>
      <c r="G1547" t="s">
        <v>21</v>
      </c>
      <c r="H1547" t="str">
        <f>"8213262467"</f>
        <v>8213262467</v>
      </c>
      <c r="I1547" t="str">
        <f t="shared" si="23"/>
        <v>UNIFIRST CORPORATION</v>
      </c>
    </row>
    <row r="1548" spans="1:9" x14ac:dyDescent="0.25">
      <c r="A1548" s="6">
        <v>43473</v>
      </c>
      <c r="B1548" t="s">
        <v>26</v>
      </c>
      <c r="C1548">
        <v>59917</v>
      </c>
      <c r="D1548" t="s">
        <v>644</v>
      </c>
      <c r="E1548" s="7">
        <v>1134.8599999999999</v>
      </c>
      <c r="F1548" t="s">
        <v>20</v>
      </c>
      <c r="G1548" t="s">
        <v>21</v>
      </c>
      <c r="H1548" t="str">
        <f>"8213265133*"</f>
        <v>8213265133*</v>
      </c>
      <c r="I1548" t="str">
        <f t="shared" si="23"/>
        <v>UNIFIRST CORPORATION</v>
      </c>
    </row>
    <row r="1549" spans="1:9" x14ac:dyDescent="0.25">
      <c r="A1549" s="6">
        <v>43473</v>
      </c>
      <c r="B1549" t="s">
        <v>26</v>
      </c>
      <c r="C1549">
        <v>59917</v>
      </c>
      <c r="D1549" t="s">
        <v>644</v>
      </c>
      <c r="E1549" s="7">
        <v>1134.8599999999999</v>
      </c>
      <c r="F1549" t="s">
        <v>20</v>
      </c>
      <c r="G1549" t="s">
        <v>21</v>
      </c>
      <c r="H1549" t="str">
        <f>"8213265134*"</f>
        <v>8213265134*</v>
      </c>
      <c r="I1549" t="str">
        <f t="shared" si="23"/>
        <v>UNIFIRST CORPORATION</v>
      </c>
    </row>
    <row r="1550" spans="1:9" x14ac:dyDescent="0.25">
      <c r="A1550" s="6">
        <v>43473</v>
      </c>
      <c r="B1550" t="s">
        <v>26</v>
      </c>
      <c r="C1550">
        <v>59917</v>
      </c>
      <c r="D1550" t="s">
        <v>644</v>
      </c>
      <c r="E1550" s="7">
        <v>1134.8599999999999</v>
      </c>
      <c r="F1550" t="s">
        <v>20</v>
      </c>
      <c r="G1550" t="s">
        <v>21</v>
      </c>
      <c r="H1550" t="str">
        <f>"8213265135*"</f>
        <v>8213265135*</v>
      </c>
      <c r="I1550" t="str">
        <f t="shared" si="23"/>
        <v>UNIFIRST CORPORATION</v>
      </c>
    </row>
    <row r="1551" spans="1:9" x14ac:dyDescent="0.25">
      <c r="A1551" s="6">
        <v>43473</v>
      </c>
      <c r="B1551" t="s">
        <v>26</v>
      </c>
      <c r="C1551">
        <v>59917</v>
      </c>
      <c r="D1551" t="s">
        <v>644</v>
      </c>
      <c r="E1551" s="7">
        <v>1134.8599999999999</v>
      </c>
      <c r="F1551" t="s">
        <v>20</v>
      </c>
      <c r="G1551" t="s">
        <v>21</v>
      </c>
      <c r="H1551" t="str">
        <f>"8213265136*"</f>
        <v>8213265136*</v>
      </c>
      <c r="I1551" t="str">
        <f t="shared" si="23"/>
        <v>UNIFIRST CORPORATION</v>
      </c>
    </row>
    <row r="1552" spans="1:9" x14ac:dyDescent="0.25">
      <c r="A1552" s="6">
        <v>43473</v>
      </c>
      <c r="B1552" t="s">
        <v>26</v>
      </c>
      <c r="C1552">
        <v>59917</v>
      </c>
      <c r="D1552" t="s">
        <v>644</v>
      </c>
      <c r="E1552" s="7">
        <v>1134.8599999999999</v>
      </c>
      <c r="F1552" t="s">
        <v>20</v>
      </c>
      <c r="G1552" t="s">
        <v>21</v>
      </c>
      <c r="H1552" t="str">
        <f>"8213265137*"</f>
        <v>8213265137*</v>
      </c>
      <c r="I1552" t="str">
        <f t="shared" si="23"/>
        <v>UNIFIRST CORPORATION</v>
      </c>
    </row>
    <row r="1553" spans="1:9" x14ac:dyDescent="0.25">
      <c r="A1553" s="6">
        <v>43473</v>
      </c>
      <c r="B1553" t="s">
        <v>26</v>
      </c>
      <c r="C1553">
        <v>59917</v>
      </c>
      <c r="D1553" t="s">
        <v>644</v>
      </c>
      <c r="E1553" s="7">
        <v>1134.8599999999999</v>
      </c>
      <c r="F1553" t="s">
        <v>20</v>
      </c>
      <c r="G1553" t="s">
        <v>21</v>
      </c>
      <c r="H1553" t="str">
        <f>"8213265138*"</f>
        <v>8213265138*</v>
      </c>
      <c r="I1553" t="str">
        <f t="shared" si="23"/>
        <v>UNIFIRST CORPORATION</v>
      </c>
    </row>
    <row r="1554" spans="1:9" x14ac:dyDescent="0.25">
      <c r="A1554" s="6">
        <v>43473</v>
      </c>
      <c r="B1554" t="s">
        <v>26</v>
      </c>
      <c r="C1554">
        <v>59920</v>
      </c>
      <c r="D1554" t="s">
        <v>123</v>
      </c>
      <c r="E1554" s="7">
        <v>408.95</v>
      </c>
      <c r="F1554" t="s">
        <v>20</v>
      </c>
      <c r="G1554" t="s">
        <v>21</v>
      </c>
      <c r="H1554" t="str">
        <f>"247092744001*"</f>
        <v>247092744001*</v>
      </c>
      <c r="I1554" t="str">
        <f>"OFFICE DEPOT  INC."</f>
        <v>OFFICE DEPOT  INC.</v>
      </c>
    </row>
    <row r="1555" spans="1:9" x14ac:dyDescent="0.25">
      <c r="A1555" s="6">
        <v>43473</v>
      </c>
      <c r="B1555" t="s">
        <v>26</v>
      </c>
      <c r="C1555">
        <v>59921</v>
      </c>
      <c r="D1555" t="s">
        <v>452</v>
      </c>
      <c r="E1555" s="7">
        <v>260</v>
      </c>
      <c r="F1555" t="s">
        <v>20</v>
      </c>
      <c r="G1555" t="s">
        <v>21</v>
      </c>
      <c r="H1555" t="str">
        <f>"1/7/19"</f>
        <v>1/7/19</v>
      </c>
      <c r="I1555" t="str">
        <f>"DESIREE PEREZ"</f>
        <v>DESIREE PEREZ</v>
      </c>
    </row>
    <row r="1556" spans="1:9" x14ac:dyDescent="0.25">
      <c r="A1556" s="6">
        <v>43473</v>
      </c>
      <c r="B1556" t="s">
        <v>26</v>
      </c>
      <c r="C1556">
        <v>59922</v>
      </c>
      <c r="D1556" t="s">
        <v>552</v>
      </c>
      <c r="E1556" s="7">
        <v>502.85</v>
      </c>
      <c r="F1556" t="s">
        <v>20</v>
      </c>
      <c r="G1556" t="s">
        <v>21</v>
      </c>
      <c r="H1556" t="str">
        <f>"277729*"</f>
        <v>277729*</v>
      </c>
      <c r="I1556" t="str">
        <f>"G.E.M. MATERIALS INC."</f>
        <v>G.E.M. MATERIALS INC.</v>
      </c>
    </row>
    <row r="1557" spans="1:9" x14ac:dyDescent="0.25">
      <c r="A1557" s="6">
        <v>43473</v>
      </c>
      <c r="B1557" t="s">
        <v>26</v>
      </c>
      <c r="C1557">
        <v>59922</v>
      </c>
      <c r="D1557" t="s">
        <v>552</v>
      </c>
      <c r="E1557" s="7">
        <v>502.85</v>
      </c>
      <c r="F1557" t="s">
        <v>20</v>
      </c>
      <c r="G1557" t="s">
        <v>21</v>
      </c>
      <c r="H1557" t="str">
        <f>"277771*"</f>
        <v>277771*</v>
      </c>
      <c r="I1557" t="str">
        <f>"G.E.M. MATERIALS INC."</f>
        <v>G.E.M. MATERIALS INC.</v>
      </c>
    </row>
    <row r="1558" spans="1:9" x14ac:dyDescent="0.25">
      <c r="A1558" s="6">
        <v>43473</v>
      </c>
      <c r="B1558" t="s">
        <v>26</v>
      </c>
      <c r="C1558">
        <v>59923</v>
      </c>
      <c r="D1558" t="s">
        <v>640</v>
      </c>
      <c r="E1558" s="7">
        <v>125</v>
      </c>
      <c r="F1558" t="s">
        <v>20</v>
      </c>
      <c r="G1558" t="s">
        <v>21</v>
      </c>
      <c r="H1558" t="str">
        <f>"BRIDAL EXT. 1/8/19"</f>
        <v>BRIDAL EXT. 1/8/19</v>
      </c>
      <c r="I1558" t="str">
        <f>"TEXAS WEDDINGS  LTD"</f>
        <v>TEXAS WEDDINGS  LTD</v>
      </c>
    </row>
    <row r="1559" spans="1:9" x14ac:dyDescent="0.25">
      <c r="A1559" s="6">
        <v>43473</v>
      </c>
      <c r="B1559" t="s">
        <v>26</v>
      </c>
      <c r="C1559">
        <v>59924</v>
      </c>
      <c r="D1559" t="s">
        <v>278</v>
      </c>
      <c r="E1559" s="7">
        <v>647</v>
      </c>
      <c r="F1559" t="s">
        <v>20</v>
      </c>
      <c r="G1559" t="s">
        <v>21</v>
      </c>
      <c r="H1559" t="str">
        <f>"FLO003113015"</f>
        <v>FLO003113015</v>
      </c>
      <c r="I1559" t="str">
        <f>"THE PRODUCTIVITY CENTER"</f>
        <v>THE PRODUCTIVITY CENTER</v>
      </c>
    </row>
    <row r="1560" spans="1:9" x14ac:dyDescent="0.25">
      <c r="A1560" s="6">
        <v>43473</v>
      </c>
      <c r="B1560" t="s">
        <v>26</v>
      </c>
      <c r="C1560">
        <v>59924</v>
      </c>
      <c r="D1560" t="s">
        <v>278</v>
      </c>
      <c r="E1560" s="7">
        <v>647</v>
      </c>
      <c r="F1560" t="s">
        <v>20</v>
      </c>
      <c r="G1560" t="s">
        <v>21</v>
      </c>
      <c r="H1560" t="str">
        <f>"FLO003113018"</f>
        <v>FLO003113018</v>
      </c>
      <c r="I1560" t="str">
        <f>"THE PRODUCTIVITY CENTER"</f>
        <v>THE PRODUCTIVITY CENTER</v>
      </c>
    </row>
    <row r="1561" spans="1:9" x14ac:dyDescent="0.25">
      <c r="A1561" s="6">
        <v>43473</v>
      </c>
      <c r="B1561" t="s">
        <v>26</v>
      </c>
      <c r="C1561">
        <v>59925</v>
      </c>
      <c r="D1561" t="s">
        <v>663</v>
      </c>
      <c r="E1561" s="7">
        <v>1350</v>
      </c>
      <c r="F1561" t="s">
        <v>20</v>
      </c>
      <c r="G1561" t="s">
        <v>21</v>
      </c>
      <c r="H1561" t="str">
        <f>"REFUND METER INST."</f>
        <v>REFUND METER INST.</v>
      </c>
      <c r="I1561" t="str">
        <f>"REFU"</f>
        <v>REFU</v>
      </c>
    </row>
    <row r="1562" spans="1:9" x14ac:dyDescent="0.25">
      <c r="A1562" s="6">
        <v>43473</v>
      </c>
      <c r="B1562" t="s">
        <v>26</v>
      </c>
      <c r="C1562">
        <v>59926</v>
      </c>
      <c r="D1562" t="s">
        <v>664</v>
      </c>
      <c r="E1562" s="7">
        <v>2904.57</v>
      </c>
      <c r="F1562" t="s">
        <v>20</v>
      </c>
      <c r="G1562" t="s">
        <v>21</v>
      </c>
      <c r="H1562" t="str">
        <f>"0057151-IN"</f>
        <v>0057151-IN</v>
      </c>
      <c r="I1562" t="str">
        <f>"FIVE STAR ELECTRIC"</f>
        <v>FIVE STAR ELECTRIC</v>
      </c>
    </row>
    <row r="1563" spans="1:9" x14ac:dyDescent="0.25">
      <c r="A1563" s="6">
        <v>43473</v>
      </c>
      <c r="B1563" t="s">
        <v>26</v>
      </c>
      <c r="C1563">
        <v>59927</v>
      </c>
      <c r="D1563" t="s">
        <v>85</v>
      </c>
      <c r="E1563" s="7">
        <v>1249</v>
      </c>
      <c r="F1563" t="s">
        <v>20</v>
      </c>
      <c r="G1563" t="s">
        <v>21</v>
      </c>
      <c r="H1563" t="str">
        <f>"8301970024-1/2019"</f>
        <v>8301970024-1/2019</v>
      </c>
      <c r="I1563" t="str">
        <f>"FRONTIER"</f>
        <v>FRONTIER</v>
      </c>
    </row>
    <row r="1564" spans="1:9" x14ac:dyDescent="0.25">
      <c r="A1564" s="6">
        <v>43473</v>
      </c>
      <c r="B1564" t="s">
        <v>26</v>
      </c>
      <c r="C1564">
        <v>59928</v>
      </c>
      <c r="D1564" t="s">
        <v>665</v>
      </c>
      <c r="E1564" s="7">
        <v>94</v>
      </c>
      <c r="F1564" t="s">
        <v>20</v>
      </c>
      <c r="G1564" t="s">
        <v>21</v>
      </c>
      <c r="H1564" t="str">
        <f>"803179772 01/2019"</f>
        <v>803179772 01/2019</v>
      </c>
      <c r="I1564" t="str">
        <f>"LLCS"</f>
        <v>LLCS</v>
      </c>
    </row>
    <row r="1565" spans="1:9" x14ac:dyDescent="0.25">
      <c r="A1565" s="6">
        <v>43474</v>
      </c>
      <c r="B1565" t="s">
        <v>26</v>
      </c>
      <c r="C1565">
        <v>59929</v>
      </c>
      <c r="D1565" t="s">
        <v>59</v>
      </c>
      <c r="E1565" s="7">
        <v>5390.47</v>
      </c>
      <c r="F1565" t="s">
        <v>20</v>
      </c>
      <c r="G1565" t="s">
        <v>21</v>
      </c>
      <c r="H1565" t="str">
        <f>"0996371-1"</f>
        <v>0996371-1</v>
      </c>
      <c r="I1565" t="str">
        <f>"FERGUSON WATERWORKS - MUNICIPA"</f>
        <v>FERGUSON WATERWORKS - MUNICIPA</v>
      </c>
    </row>
    <row r="1566" spans="1:9" x14ac:dyDescent="0.25">
      <c r="A1566" s="6">
        <v>43474</v>
      </c>
      <c r="B1566" t="s">
        <v>26</v>
      </c>
      <c r="C1566">
        <v>59930</v>
      </c>
      <c r="D1566" t="s">
        <v>61</v>
      </c>
      <c r="E1566" s="7">
        <v>6458.35</v>
      </c>
      <c r="F1566" t="s">
        <v>20</v>
      </c>
      <c r="G1566" t="s">
        <v>21</v>
      </c>
      <c r="H1566" t="str">
        <f>"025-246257"</f>
        <v>025-246257</v>
      </c>
      <c r="I1566" t="str">
        <f>"TYLER TECHNOLOGIES  INC."</f>
        <v>TYLER TECHNOLOGIES  INC.</v>
      </c>
    </row>
    <row r="1567" spans="1:9" x14ac:dyDescent="0.25">
      <c r="A1567" s="6">
        <v>43474</v>
      </c>
      <c r="B1567" t="s">
        <v>26</v>
      </c>
      <c r="C1567">
        <v>59930</v>
      </c>
      <c r="D1567" t="s">
        <v>61</v>
      </c>
      <c r="E1567" s="7">
        <v>6458.35</v>
      </c>
      <c r="F1567" t="s">
        <v>20</v>
      </c>
      <c r="G1567" t="s">
        <v>21</v>
      </c>
      <c r="H1567" t="str">
        <f>"025-246424"</f>
        <v>025-246424</v>
      </c>
      <c r="I1567" t="str">
        <f>"TYLER TECHNOLOGIES  INC."</f>
        <v>TYLER TECHNOLOGIES  INC.</v>
      </c>
    </row>
    <row r="1568" spans="1:9" x14ac:dyDescent="0.25">
      <c r="A1568" s="6">
        <v>43474</v>
      </c>
      <c r="B1568" t="s">
        <v>26</v>
      </c>
      <c r="C1568">
        <v>59930</v>
      </c>
      <c r="D1568" t="s">
        <v>61</v>
      </c>
      <c r="E1568" s="7">
        <v>6458.35</v>
      </c>
      <c r="F1568" t="s">
        <v>20</v>
      </c>
      <c r="G1568" t="s">
        <v>21</v>
      </c>
      <c r="H1568" t="str">
        <f>"025-246508"</f>
        <v>025-246508</v>
      </c>
      <c r="I1568" t="str">
        <f>"TYLER TECHNOLOGIES  INC."</f>
        <v>TYLER TECHNOLOGIES  INC.</v>
      </c>
    </row>
    <row r="1569" spans="1:9" x14ac:dyDescent="0.25">
      <c r="A1569" s="6">
        <v>43474</v>
      </c>
      <c r="B1569" t="s">
        <v>26</v>
      </c>
      <c r="C1569">
        <v>59931</v>
      </c>
      <c r="D1569" t="s">
        <v>212</v>
      </c>
      <c r="E1569" s="7">
        <v>160</v>
      </c>
      <c r="F1569" t="s">
        <v>20</v>
      </c>
      <c r="G1569" t="s">
        <v>21</v>
      </c>
      <c r="H1569" t="str">
        <f>"03805"</f>
        <v>03805</v>
      </c>
      <c r="I1569" t="str">
        <f>"AACOG"</f>
        <v>AACOG</v>
      </c>
    </row>
    <row r="1570" spans="1:9" x14ac:dyDescent="0.25">
      <c r="A1570" s="6">
        <v>43474</v>
      </c>
      <c r="B1570" t="s">
        <v>26</v>
      </c>
      <c r="C1570">
        <v>59932</v>
      </c>
      <c r="D1570" t="s">
        <v>71</v>
      </c>
      <c r="E1570" s="7">
        <v>129.91999999999999</v>
      </c>
      <c r="F1570" t="s">
        <v>20</v>
      </c>
      <c r="G1570" t="s">
        <v>21</v>
      </c>
      <c r="H1570" t="str">
        <f>"4013956767"</f>
        <v>4013956767</v>
      </c>
      <c r="I1570" t="str">
        <f>"CINTAS CORPORATION #087"</f>
        <v>CINTAS CORPORATION #087</v>
      </c>
    </row>
    <row r="1571" spans="1:9" x14ac:dyDescent="0.25">
      <c r="A1571" s="6">
        <v>43474</v>
      </c>
      <c r="B1571" t="s">
        <v>26</v>
      </c>
      <c r="C1571">
        <v>59932</v>
      </c>
      <c r="D1571" t="s">
        <v>71</v>
      </c>
      <c r="E1571" s="7">
        <v>129.91999999999999</v>
      </c>
      <c r="F1571" t="s">
        <v>20</v>
      </c>
      <c r="G1571" t="s">
        <v>21</v>
      </c>
      <c r="H1571" t="str">
        <f>"4014607712"</f>
        <v>4014607712</v>
      </c>
      <c r="I1571" t="str">
        <f>"CINTAS CORPORATION #087"</f>
        <v>CINTAS CORPORATION #087</v>
      </c>
    </row>
    <row r="1572" spans="1:9" x14ac:dyDescent="0.25">
      <c r="A1572" s="6">
        <v>43474</v>
      </c>
      <c r="B1572" t="s">
        <v>26</v>
      </c>
      <c r="C1572">
        <v>59933</v>
      </c>
      <c r="D1572" t="s">
        <v>122</v>
      </c>
      <c r="E1572" s="7">
        <v>10</v>
      </c>
      <c r="F1572" t="s">
        <v>20</v>
      </c>
      <c r="G1572" t="s">
        <v>21</v>
      </c>
      <c r="H1572" t="str">
        <f>"122797"</f>
        <v>122797</v>
      </c>
      <c r="I1572" t="str">
        <f>"VILLA TIRES"</f>
        <v>VILLA TIRES</v>
      </c>
    </row>
    <row r="1573" spans="1:9" x14ac:dyDescent="0.25">
      <c r="A1573" s="6">
        <v>43474</v>
      </c>
      <c r="B1573" t="s">
        <v>26</v>
      </c>
      <c r="C1573">
        <v>59934</v>
      </c>
      <c r="D1573" t="s">
        <v>77</v>
      </c>
      <c r="E1573" s="7">
        <v>2223.5</v>
      </c>
      <c r="F1573" t="s">
        <v>20</v>
      </c>
      <c r="G1573" t="s">
        <v>21</v>
      </c>
      <c r="H1573" t="str">
        <f>"857002440-18*"</f>
        <v>857002440-18*</v>
      </c>
      <c r="I1573" t="str">
        <f>"DPC INDUSTRIES  INC."</f>
        <v>DPC INDUSTRIES  INC.</v>
      </c>
    </row>
    <row r="1574" spans="1:9" x14ac:dyDescent="0.25">
      <c r="A1574" s="6">
        <v>43474</v>
      </c>
      <c r="B1574" t="s">
        <v>26</v>
      </c>
      <c r="C1574">
        <v>59934</v>
      </c>
      <c r="D1574" t="s">
        <v>77</v>
      </c>
      <c r="E1574" s="7">
        <v>2223.5</v>
      </c>
      <c r="F1574" t="s">
        <v>20</v>
      </c>
      <c r="G1574" t="s">
        <v>21</v>
      </c>
      <c r="H1574" t="str">
        <f>"85700245218*"</f>
        <v>85700245218*</v>
      </c>
      <c r="I1574" t="str">
        <f>"DPC INDUSTRIES  INC."</f>
        <v>DPC INDUSTRIES  INC.</v>
      </c>
    </row>
    <row r="1575" spans="1:9" x14ac:dyDescent="0.25">
      <c r="A1575" s="6">
        <v>43474</v>
      </c>
      <c r="B1575" t="s">
        <v>26</v>
      </c>
      <c r="C1575">
        <v>59935</v>
      </c>
      <c r="D1575" t="s">
        <v>124</v>
      </c>
      <c r="E1575" s="7">
        <v>183.84</v>
      </c>
      <c r="F1575" t="s">
        <v>20</v>
      </c>
      <c r="G1575" t="s">
        <v>21</v>
      </c>
      <c r="H1575" t="str">
        <f>"11168407*"</f>
        <v>11168407*</v>
      </c>
      <c r="I1575" t="str">
        <f>"MCCOY'S CORPORATION"</f>
        <v>MCCOY'S CORPORATION</v>
      </c>
    </row>
    <row r="1576" spans="1:9" x14ac:dyDescent="0.25">
      <c r="A1576" s="6">
        <v>43474</v>
      </c>
      <c r="B1576" t="s">
        <v>26</v>
      </c>
      <c r="C1576">
        <v>59936</v>
      </c>
      <c r="D1576" t="s">
        <v>191</v>
      </c>
      <c r="E1576" s="7">
        <v>1558.35</v>
      </c>
      <c r="F1576" t="s">
        <v>20</v>
      </c>
      <c r="G1576" t="s">
        <v>21</v>
      </c>
      <c r="H1576" t="str">
        <f>"INV06-004887"</f>
        <v>INV06-004887</v>
      </c>
      <c r="I1576" t="str">
        <f>"MUNISERVICES  LLC"</f>
        <v>MUNISERVICES  LLC</v>
      </c>
    </row>
    <row r="1577" spans="1:9" x14ac:dyDescent="0.25">
      <c r="A1577" s="6">
        <v>43474</v>
      </c>
      <c r="B1577" t="s">
        <v>26</v>
      </c>
      <c r="C1577">
        <v>59937</v>
      </c>
      <c r="D1577" t="s">
        <v>85</v>
      </c>
      <c r="E1577" s="7">
        <v>170.82</v>
      </c>
      <c r="F1577" t="s">
        <v>20</v>
      </c>
      <c r="G1577" t="s">
        <v>21</v>
      </c>
      <c r="H1577" t="str">
        <f>"3930579 1/19"</f>
        <v>3930579 1/19</v>
      </c>
      <c r="I1577" t="str">
        <f>"FRONTIER"</f>
        <v>FRONTIER</v>
      </c>
    </row>
    <row r="1578" spans="1:9" x14ac:dyDescent="0.25">
      <c r="A1578" s="6">
        <v>43474</v>
      </c>
      <c r="B1578" t="s">
        <v>26</v>
      </c>
      <c r="C1578">
        <v>59937</v>
      </c>
      <c r="D1578" t="s">
        <v>85</v>
      </c>
      <c r="E1578" s="7">
        <v>170.82</v>
      </c>
      <c r="F1578" t="s">
        <v>20</v>
      </c>
      <c r="G1578" t="s">
        <v>21</v>
      </c>
      <c r="H1578" t="str">
        <f>"3933108 1/19"</f>
        <v>3933108 1/19</v>
      </c>
      <c r="I1578" t="str">
        <f>"FRONTIER"</f>
        <v>FRONTIER</v>
      </c>
    </row>
    <row r="1579" spans="1:9" x14ac:dyDescent="0.25">
      <c r="A1579" s="6">
        <v>43474</v>
      </c>
      <c r="B1579" t="s">
        <v>26</v>
      </c>
      <c r="C1579">
        <v>59937</v>
      </c>
      <c r="D1579" t="s">
        <v>85</v>
      </c>
      <c r="E1579" s="7">
        <v>170.82</v>
      </c>
      <c r="F1579" t="s">
        <v>20</v>
      </c>
      <c r="G1579" t="s">
        <v>21</v>
      </c>
      <c r="H1579" t="str">
        <f>"3939791 1/19"</f>
        <v>3939791 1/19</v>
      </c>
      <c r="I1579" t="str">
        <f>"FRONTIER"</f>
        <v>FRONTIER</v>
      </c>
    </row>
    <row r="1580" spans="1:9" x14ac:dyDescent="0.25">
      <c r="A1580" s="6">
        <v>43474</v>
      </c>
      <c r="B1580" t="s">
        <v>26</v>
      </c>
      <c r="C1580">
        <v>59938</v>
      </c>
      <c r="D1580" t="s">
        <v>326</v>
      </c>
      <c r="E1580" s="7">
        <v>58</v>
      </c>
      <c r="F1580" t="s">
        <v>20</v>
      </c>
      <c r="G1580" t="s">
        <v>21</v>
      </c>
      <c r="H1580" t="str">
        <f>"18903279"</f>
        <v>18903279</v>
      </c>
      <c r="I1580" t="str">
        <f>"MATHESON TRI-GAS INC"</f>
        <v>MATHESON TRI-GAS INC</v>
      </c>
    </row>
    <row r="1581" spans="1:9" x14ac:dyDescent="0.25">
      <c r="A1581" s="6">
        <v>43474</v>
      </c>
      <c r="B1581" t="s">
        <v>26</v>
      </c>
      <c r="C1581">
        <v>59938</v>
      </c>
      <c r="D1581" t="s">
        <v>326</v>
      </c>
      <c r="E1581" s="7">
        <v>58</v>
      </c>
      <c r="F1581" t="s">
        <v>20</v>
      </c>
      <c r="G1581" t="s">
        <v>21</v>
      </c>
      <c r="H1581" t="str">
        <f>"18903279*"</f>
        <v>18903279*</v>
      </c>
      <c r="I1581" t="str">
        <f>"MATHESON TRI-GAS INC"</f>
        <v>MATHESON TRI-GAS INC</v>
      </c>
    </row>
    <row r="1582" spans="1:9" x14ac:dyDescent="0.25">
      <c r="A1582" s="6">
        <v>43474</v>
      </c>
      <c r="B1582" t="s">
        <v>26</v>
      </c>
      <c r="C1582">
        <v>59939</v>
      </c>
      <c r="D1582" t="s">
        <v>666</v>
      </c>
      <c r="E1582" s="7">
        <v>76495.48</v>
      </c>
      <c r="F1582" t="s">
        <v>20</v>
      </c>
      <c r="G1582" t="s">
        <v>21</v>
      </c>
      <c r="H1582" t="str">
        <f>"1141282*"</f>
        <v>1141282*</v>
      </c>
      <c r="I1582" t="str">
        <f>"RDO EQUIPMENT COMPANY"</f>
        <v>RDO EQUIPMENT COMPANY</v>
      </c>
    </row>
    <row r="1583" spans="1:9" x14ac:dyDescent="0.25">
      <c r="A1583" s="6">
        <v>43474</v>
      </c>
      <c r="B1583" t="s">
        <v>26</v>
      </c>
      <c r="C1583">
        <v>59940</v>
      </c>
      <c r="D1583" t="s">
        <v>432</v>
      </c>
      <c r="E1583" s="7">
        <v>160.35</v>
      </c>
      <c r="F1583" t="s">
        <v>20</v>
      </c>
      <c r="G1583" t="s">
        <v>21</v>
      </c>
      <c r="H1583" t="str">
        <f>"BASIC WATER/TEEX"</f>
        <v>BASIC WATER/TEEX</v>
      </c>
      <c r="I1583" t="str">
        <f>"GERARDO MARTINEZ"</f>
        <v>GERARDO MARTINEZ</v>
      </c>
    </row>
    <row r="1584" spans="1:9" x14ac:dyDescent="0.25">
      <c r="A1584" s="6">
        <v>43483</v>
      </c>
      <c r="B1584" t="s">
        <v>26</v>
      </c>
      <c r="C1584">
        <v>59950</v>
      </c>
      <c r="D1584" t="s">
        <v>51</v>
      </c>
      <c r="E1584" s="7">
        <v>290.89999999999998</v>
      </c>
      <c r="F1584" t="s">
        <v>20</v>
      </c>
      <c r="G1584" t="s">
        <v>21</v>
      </c>
      <c r="H1584" t="str">
        <f>"CLE201901158506"</f>
        <v>CLE201901158506</v>
      </c>
      <c r="I1584" t="str">
        <f>"CLEAT ONLY DUES"</f>
        <v>CLEAT ONLY DUES</v>
      </c>
    </row>
    <row r="1585" spans="1:9" x14ac:dyDescent="0.25">
      <c r="A1585" s="6">
        <v>43483</v>
      </c>
      <c r="B1585" t="s">
        <v>26</v>
      </c>
      <c r="C1585">
        <v>59950</v>
      </c>
      <c r="D1585" t="s">
        <v>51</v>
      </c>
      <c r="E1585" s="7">
        <v>290.89999999999998</v>
      </c>
      <c r="F1585" t="s">
        <v>20</v>
      </c>
      <c r="G1585" t="s">
        <v>21</v>
      </c>
      <c r="H1585" t="str">
        <f>"PDD201901158506"</f>
        <v>PDD201901158506</v>
      </c>
      <c r="I1585" t="str">
        <f>"POLICE OFFICERS ASSOC DUES"</f>
        <v>POLICE OFFICERS ASSOC DUES</v>
      </c>
    </row>
    <row r="1586" spans="1:9" x14ac:dyDescent="0.25">
      <c r="A1586" s="6">
        <v>43483</v>
      </c>
      <c r="B1586" t="s">
        <v>91</v>
      </c>
      <c r="C1586">
        <v>59951</v>
      </c>
      <c r="D1586" t="s">
        <v>90</v>
      </c>
      <c r="E1586" s="7">
        <v>101.1</v>
      </c>
      <c r="F1586" t="s">
        <v>20</v>
      </c>
      <c r="G1586" t="s">
        <v>21</v>
      </c>
      <c r="H1586" t="str">
        <f>"AFS201901158506"</f>
        <v>AFS201901158506</v>
      </c>
      <c r="I1586" t="str">
        <f>"AFLAC STD"</f>
        <v>AFLAC STD</v>
      </c>
    </row>
    <row r="1587" spans="1:9" x14ac:dyDescent="0.25">
      <c r="A1587" s="6">
        <v>43483</v>
      </c>
      <c r="B1587" t="s">
        <v>26</v>
      </c>
      <c r="C1587">
        <v>59952</v>
      </c>
      <c r="D1587" t="s">
        <v>52</v>
      </c>
      <c r="E1587" s="7">
        <v>1438.22</v>
      </c>
      <c r="F1587" t="s">
        <v>20</v>
      </c>
      <c r="G1587" t="s">
        <v>21</v>
      </c>
      <c r="H1587" t="str">
        <f>"CJD201901158506"</f>
        <v>CJD201901158506</v>
      </c>
      <c r="I1587" t="str">
        <f>"1371990918080637CV RUBI MUNOZ"</f>
        <v>1371990918080637CV RUBI MUNOZ</v>
      </c>
    </row>
    <row r="1588" spans="1:9" x14ac:dyDescent="0.25">
      <c r="A1588" s="6">
        <v>43483</v>
      </c>
      <c r="B1588" t="s">
        <v>26</v>
      </c>
      <c r="C1588">
        <v>59952</v>
      </c>
      <c r="D1588" t="s">
        <v>52</v>
      </c>
      <c r="E1588" s="7">
        <v>1438.22</v>
      </c>
      <c r="F1588" t="s">
        <v>20</v>
      </c>
      <c r="G1588" t="s">
        <v>21</v>
      </c>
      <c r="H1588" t="str">
        <f>"CPS201901158506"</f>
        <v>CPS201901158506</v>
      </c>
      <c r="I1588" t="str">
        <f>"G MENDOZA 00123012032010EM5054"</f>
        <v>G MENDOZA 00123012032010EM5054</v>
      </c>
    </row>
    <row r="1589" spans="1:9" x14ac:dyDescent="0.25">
      <c r="A1589" s="6">
        <v>43483</v>
      </c>
      <c r="B1589" t="s">
        <v>26</v>
      </c>
      <c r="C1589">
        <v>59952</v>
      </c>
      <c r="D1589" t="s">
        <v>52</v>
      </c>
      <c r="E1589" s="7">
        <v>1438.22</v>
      </c>
      <c r="F1589" t="s">
        <v>20</v>
      </c>
      <c r="G1589" t="s">
        <v>21</v>
      </c>
      <c r="H1589" t="str">
        <f>"CS 201901158506"</f>
        <v>CS 201901158506</v>
      </c>
      <c r="I1589" t="str">
        <f>"CAUSE#98EM504113 PEGGY RIVAS"</f>
        <v>CAUSE#98EM504113 PEGGY RIVAS</v>
      </c>
    </row>
    <row r="1590" spans="1:9" x14ac:dyDescent="0.25">
      <c r="A1590" s="6">
        <v>43483</v>
      </c>
      <c r="B1590" t="s">
        <v>26</v>
      </c>
      <c r="C1590">
        <v>59952</v>
      </c>
      <c r="D1590" t="s">
        <v>52</v>
      </c>
      <c r="E1590" s="7">
        <v>1438.22</v>
      </c>
      <c r="F1590" t="s">
        <v>20</v>
      </c>
      <c r="G1590" t="s">
        <v>21</v>
      </c>
      <c r="H1590" t="str">
        <f>"CSJ201901158506"</f>
        <v>CSJ201901158506</v>
      </c>
      <c r="I1590" t="str">
        <f>"CAUSE# 0010185272 MARIANN GUTI"</f>
        <v>CAUSE# 0010185272 MARIANN GUTI</v>
      </c>
    </row>
    <row r="1591" spans="1:9" x14ac:dyDescent="0.25">
      <c r="A1591" s="6">
        <v>43483</v>
      </c>
      <c r="B1591" t="s">
        <v>26</v>
      </c>
      <c r="C1591">
        <v>59953</v>
      </c>
      <c r="D1591" t="s">
        <v>53</v>
      </c>
      <c r="E1591" s="7">
        <v>99.1</v>
      </c>
      <c r="F1591" t="s">
        <v>20</v>
      </c>
      <c r="G1591" t="s">
        <v>21</v>
      </c>
      <c r="H1591" t="str">
        <f>"MCO201901158506"</f>
        <v>MCO201901158506</v>
      </c>
      <c r="I1591" t="str">
        <f>"MONICA CORDOVA"</f>
        <v>MONICA CORDOVA</v>
      </c>
    </row>
    <row r="1592" spans="1:9" x14ac:dyDescent="0.25">
      <c r="A1592" s="6">
        <v>43483</v>
      </c>
      <c r="B1592" t="s">
        <v>26</v>
      </c>
      <c r="C1592">
        <v>59954</v>
      </c>
      <c r="D1592" t="s">
        <v>54</v>
      </c>
      <c r="E1592" s="7">
        <v>977.1</v>
      </c>
      <c r="F1592" t="s">
        <v>20</v>
      </c>
      <c r="G1592" t="s">
        <v>21</v>
      </c>
      <c r="H1592" t="str">
        <f>"457201901158506"</f>
        <v>457201901158506</v>
      </c>
      <c r="I1592" t="str">
        <f>"CASE # 180-60751 457B DEDUCT"</f>
        <v>CASE # 180-60751 457B DEDUCT</v>
      </c>
    </row>
    <row r="1593" spans="1:9" x14ac:dyDescent="0.25">
      <c r="A1593" s="6">
        <v>43480</v>
      </c>
      <c r="B1593" t="s">
        <v>26</v>
      </c>
      <c r="C1593">
        <v>59955</v>
      </c>
      <c r="D1593" t="s">
        <v>57</v>
      </c>
      <c r="E1593" s="7">
        <v>1421.98</v>
      </c>
      <c r="F1593" t="s">
        <v>20</v>
      </c>
      <c r="G1593" t="s">
        <v>21</v>
      </c>
      <c r="H1593" t="str">
        <f>"LATE FEE 1/2019"</f>
        <v>LATE FEE 1/2019</v>
      </c>
      <c r="I1593" t="str">
        <f>"F.E.L.P.S."</f>
        <v>F.E.L.P.S.</v>
      </c>
    </row>
    <row r="1594" spans="1:9" x14ac:dyDescent="0.25">
      <c r="A1594" s="6">
        <v>43480</v>
      </c>
      <c r="B1594" t="s">
        <v>26</v>
      </c>
      <c r="C1594">
        <v>59956</v>
      </c>
      <c r="D1594" t="s">
        <v>610</v>
      </c>
      <c r="E1594" s="7">
        <v>53790</v>
      </c>
      <c r="F1594" t="s">
        <v>20</v>
      </c>
      <c r="G1594" t="s">
        <v>21</v>
      </c>
      <c r="H1594" t="str">
        <f>"8027 1/2019"</f>
        <v>8027 1/2019</v>
      </c>
      <c r="I1594" t="str">
        <f>"TEXAS MUNICIPAL LEAGUE INTERGO"</f>
        <v>TEXAS MUNICIPAL LEAGUE INTERGO</v>
      </c>
    </row>
    <row r="1595" spans="1:9" x14ac:dyDescent="0.25">
      <c r="A1595" s="6">
        <v>43480</v>
      </c>
      <c r="B1595" t="s">
        <v>91</v>
      </c>
      <c r="C1595">
        <v>59957</v>
      </c>
      <c r="D1595" t="s">
        <v>105</v>
      </c>
      <c r="E1595" s="7">
        <v>7</v>
      </c>
      <c r="F1595" t="s">
        <v>20</v>
      </c>
      <c r="G1595" t="s">
        <v>21</v>
      </c>
      <c r="H1595" t="str">
        <f>"309767"</f>
        <v>309767</v>
      </c>
      <c r="I1595" t="str">
        <f>"INSPECTION STICKER"</f>
        <v>INSPECTION STICKER</v>
      </c>
    </row>
    <row r="1596" spans="1:9" x14ac:dyDescent="0.25">
      <c r="A1596" s="6">
        <v>43480</v>
      </c>
      <c r="B1596" t="s">
        <v>91</v>
      </c>
      <c r="C1596">
        <v>59957</v>
      </c>
      <c r="D1596" t="s">
        <v>105</v>
      </c>
      <c r="E1596" s="7">
        <v>7</v>
      </c>
      <c r="F1596" t="s">
        <v>20</v>
      </c>
      <c r="G1596" t="s">
        <v>93</v>
      </c>
      <c r="H1596" t="str">
        <f>"CHECK"</f>
        <v>CHECK</v>
      </c>
      <c r="I1596" t="str">
        <f>""</f>
        <v/>
      </c>
    </row>
    <row r="1597" spans="1:9" x14ac:dyDescent="0.25">
      <c r="A1597" s="6">
        <v>43480</v>
      </c>
      <c r="B1597" t="s">
        <v>26</v>
      </c>
      <c r="C1597">
        <v>59958</v>
      </c>
      <c r="D1597" t="s">
        <v>106</v>
      </c>
      <c r="E1597" s="7">
        <v>48</v>
      </c>
      <c r="F1597" t="s">
        <v>20</v>
      </c>
      <c r="G1597" t="s">
        <v>21</v>
      </c>
      <c r="H1597" t="str">
        <f>"418-101247 4TH QRT"</f>
        <v>418-101247 4TH QRT</v>
      </c>
      <c r="I1597" t="str">
        <f>"OMNIBASE SERVICES OF TEXAS"</f>
        <v>OMNIBASE SERVICES OF TEXAS</v>
      </c>
    </row>
    <row r="1598" spans="1:9" x14ac:dyDescent="0.25">
      <c r="A1598" s="6">
        <v>43480</v>
      </c>
      <c r="B1598" t="s">
        <v>91</v>
      </c>
      <c r="C1598">
        <v>59959</v>
      </c>
      <c r="D1598" t="s">
        <v>90</v>
      </c>
      <c r="E1598" s="7">
        <v>915.04</v>
      </c>
      <c r="F1598" t="s">
        <v>20</v>
      </c>
      <c r="G1598" t="s">
        <v>21</v>
      </c>
      <c r="H1598" t="str">
        <f>"ACA201901028504"</f>
        <v>ACA201901028504</v>
      </c>
      <c r="I1598" t="str">
        <f>"AFLAC INSURANCE"</f>
        <v>AFLAC INSURANCE</v>
      </c>
    </row>
    <row r="1599" spans="1:9" x14ac:dyDescent="0.25">
      <c r="A1599" s="6">
        <v>43480</v>
      </c>
      <c r="B1599" t="s">
        <v>91</v>
      </c>
      <c r="C1599">
        <v>59959</v>
      </c>
      <c r="D1599" t="s">
        <v>90</v>
      </c>
      <c r="E1599" s="7">
        <v>915.04</v>
      </c>
      <c r="F1599" t="s">
        <v>20</v>
      </c>
      <c r="G1599" t="s">
        <v>21</v>
      </c>
      <c r="H1599" t="str">
        <f>"AD2201901028504"</f>
        <v>AD2201901028504</v>
      </c>
      <c r="I1599" t="str">
        <f>"AFLAC INSURANCE"</f>
        <v>AFLAC INSURANCE</v>
      </c>
    </row>
    <row r="1600" spans="1:9" x14ac:dyDescent="0.25">
      <c r="A1600" s="6">
        <v>43480</v>
      </c>
      <c r="B1600" t="s">
        <v>91</v>
      </c>
      <c r="C1600">
        <v>59959</v>
      </c>
      <c r="D1600" t="s">
        <v>90</v>
      </c>
      <c r="E1600" s="7">
        <v>915.04</v>
      </c>
      <c r="F1600" t="s">
        <v>20</v>
      </c>
      <c r="G1600" t="s">
        <v>21</v>
      </c>
      <c r="H1600" t="str">
        <f>"ADR201901028504"</f>
        <v>ADR201901028504</v>
      </c>
      <c r="I1600" t="str">
        <f>"INSURANCE"</f>
        <v>INSURANCE</v>
      </c>
    </row>
    <row r="1601" spans="1:9" x14ac:dyDescent="0.25">
      <c r="A1601" s="6">
        <v>43480</v>
      </c>
      <c r="B1601" t="s">
        <v>91</v>
      </c>
      <c r="C1601">
        <v>59959</v>
      </c>
      <c r="D1601" t="s">
        <v>90</v>
      </c>
      <c r="E1601" s="7">
        <v>915.04</v>
      </c>
      <c r="F1601" t="s">
        <v>20</v>
      </c>
      <c r="G1601" t="s">
        <v>21</v>
      </c>
      <c r="H1601" t="str">
        <f>"AF1201901028504"</f>
        <v>AF1201901028504</v>
      </c>
      <c r="I1601" t="str">
        <f>"AFLAC INSURANCE"</f>
        <v>AFLAC INSURANCE</v>
      </c>
    </row>
    <row r="1602" spans="1:9" x14ac:dyDescent="0.25">
      <c r="A1602" s="6">
        <v>43480</v>
      </c>
      <c r="B1602" t="s">
        <v>91</v>
      </c>
      <c r="C1602">
        <v>59959</v>
      </c>
      <c r="D1602" t="s">
        <v>90</v>
      </c>
      <c r="E1602" s="7">
        <v>915.04</v>
      </c>
      <c r="F1602" t="s">
        <v>20</v>
      </c>
      <c r="G1602" t="s">
        <v>21</v>
      </c>
      <c r="H1602" t="str">
        <f>"ASP201901028504"</f>
        <v>ASP201901028504</v>
      </c>
      <c r="I1602" t="str">
        <f>"AFLAC INSURANCE"</f>
        <v>AFLAC INSURANCE</v>
      </c>
    </row>
    <row r="1603" spans="1:9" x14ac:dyDescent="0.25">
      <c r="A1603" s="6">
        <v>43480</v>
      </c>
      <c r="B1603" t="s">
        <v>91</v>
      </c>
      <c r="C1603">
        <v>59959</v>
      </c>
      <c r="D1603" t="s">
        <v>90</v>
      </c>
      <c r="E1603" s="7">
        <v>915.04</v>
      </c>
      <c r="F1603" t="s">
        <v>20</v>
      </c>
      <c r="G1603" t="s">
        <v>21</v>
      </c>
      <c r="H1603" t="str">
        <f>"HCO201901028504"</f>
        <v>HCO201901028504</v>
      </c>
      <c r="I1603" t="str">
        <f>"AFLAC INSURANCE"</f>
        <v>AFLAC INSURANCE</v>
      </c>
    </row>
    <row r="1604" spans="1:9" x14ac:dyDescent="0.25">
      <c r="A1604" s="6">
        <v>43480</v>
      </c>
      <c r="B1604" t="s">
        <v>91</v>
      </c>
      <c r="C1604">
        <v>59959</v>
      </c>
      <c r="D1604" t="s">
        <v>90</v>
      </c>
      <c r="E1604" s="7">
        <v>915.04</v>
      </c>
      <c r="F1604" t="s">
        <v>20</v>
      </c>
      <c r="G1604" t="s">
        <v>93</v>
      </c>
      <c r="H1604" t="str">
        <f>"CHECK"</f>
        <v>CHECK</v>
      </c>
      <c r="I1604" t="str">
        <f>""</f>
        <v/>
      </c>
    </row>
    <row r="1605" spans="1:9" x14ac:dyDescent="0.25">
      <c r="A1605" s="6">
        <v>43480</v>
      </c>
      <c r="B1605" t="s">
        <v>91</v>
      </c>
      <c r="C1605">
        <v>59961</v>
      </c>
      <c r="D1605" t="s">
        <v>179</v>
      </c>
      <c r="E1605" s="7">
        <v>41.69</v>
      </c>
      <c r="F1605" t="s">
        <v>20</v>
      </c>
      <c r="G1605" t="s">
        <v>21</v>
      </c>
      <c r="H1605" t="str">
        <f>"W55149F"</f>
        <v>W55149F</v>
      </c>
      <c r="I1605" t="str">
        <f>"DOOR LOCK"</f>
        <v>DOOR LOCK</v>
      </c>
    </row>
    <row r="1606" spans="1:9" x14ac:dyDescent="0.25">
      <c r="A1606" s="6">
        <v>43480</v>
      </c>
      <c r="B1606" t="s">
        <v>91</v>
      </c>
      <c r="C1606">
        <v>59961</v>
      </c>
      <c r="D1606" t="s">
        <v>179</v>
      </c>
      <c r="E1606" s="7">
        <v>41.69</v>
      </c>
      <c r="F1606" t="s">
        <v>20</v>
      </c>
      <c r="G1606" t="s">
        <v>93</v>
      </c>
      <c r="H1606" t="str">
        <f>"CHECK"</f>
        <v>CHECK</v>
      </c>
      <c r="I1606" t="str">
        <f>""</f>
        <v/>
      </c>
    </row>
    <row r="1607" spans="1:9" x14ac:dyDescent="0.25">
      <c r="A1607" s="6">
        <v>43480</v>
      </c>
      <c r="B1607" t="s">
        <v>26</v>
      </c>
      <c r="C1607">
        <v>59962</v>
      </c>
      <c r="D1607" t="s">
        <v>273</v>
      </c>
      <c r="E1607" s="7">
        <v>1513.95</v>
      </c>
      <c r="F1607" t="s">
        <v>20</v>
      </c>
      <c r="G1607" t="s">
        <v>21</v>
      </c>
      <c r="H1607" t="str">
        <f>"5119-00086592"</f>
        <v>5119-00086592</v>
      </c>
      <c r="I1607" t="str">
        <f>"REPUBLIC SERVICES TESSMAN ROAD"</f>
        <v>REPUBLIC SERVICES TESSMAN ROAD</v>
      </c>
    </row>
    <row r="1608" spans="1:9" x14ac:dyDescent="0.25">
      <c r="A1608" s="6">
        <v>43480</v>
      </c>
      <c r="B1608" t="s">
        <v>26</v>
      </c>
      <c r="C1608">
        <v>59963</v>
      </c>
      <c r="D1608" t="s">
        <v>180</v>
      </c>
      <c r="E1608" s="7">
        <v>203.15</v>
      </c>
      <c r="F1608" t="s">
        <v>20</v>
      </c>
      <c r="G1608" t="s">
        <v>21</v>
      </c>
      <c r="H1608" t="str">
        <f>"122223"</f>
        <v>122223</v>
      </c>
      <c r="I1608" t="str">
        <f>"PLUMBING PARTS"</f>
        <v>PLUMBING PARTS</v>
      </c>
    </row>
    <row r="1609" spans="1:9" x14ac:dyDescent="0.25">
      <c r="A1609" s="6">
        <v>43480</v>
      </c>
      <c r="B1609" t="s">
        <v>26</v>
      </c>
      <c r="C1609">
        <v>59964</v>
      </c>
      <c r="D1609" t="s">
        <v>240</v>
      </c>
      <c r="E1609" s="7">
        <v>256.37</v>
      </c>
      <c r="F1609" t="s">
        <v>20</v>
      </c>
      <c r="G1609" t="s">
        <v>21</v>
      </c>
      <c r="H1609" t="str">
        <f>"0158795-IN"</f>
        <v>0158795-IN</v>
      </c>
      <c r="I1609" t="str">
        <f>"UNIFORMS"</f>
        <v>UNIFORMS</v>
      </c>
    </row>
    <row r="1610" spans="1:9" x14ac:dyDescent="0.25">
      <c r="A1610" s="6">
        <v>43480</v>
      </c>
      <c r="B1610" t="s">
        <v>26</v>
      </c>
      <c r="C1610">
        <v>59964</v>
      </c>
      <c r="D1610" t="s">
        <v>240</v>
      </c>
      <c r="E1610" s="7">
        <v>256.37</v>
      </c>
      <c r="F1610" t="s">
        <v>20</v>
      </c>
      <c r="G1610" t="s">
        <v>21</v>
      </c>
      <c r="H1610" t="str">
        <f>"0159255-IN"</f>
        <v>0159255-IN</v>
      </c>
      <c r="I1610" t="str">
        <f>"UNIFORMS"</f>
        <v>UNIFORMS</v>
      </c>
    </row>
    <row r="1611" spans="1:9" x14ac:dyDescent="0.25">
      <c r="A1611" s="6">
        <v>43480</v>
      </c>
      <c r="B1611" t="s">
        <v>26</v>
      </c>
      <c r="C1611">
        <v>59964</v>
      </c>
      <c r="D1611" t="s">
        <v>240</v>
      </c>
      <c r="E1611" s="7">
        <v>256.37</v>
      </c>
      <c r="F1611" t="s">
        <v>20</v>
      </c>
      <c r="G1611" t="s">
        <v>21</v>
      </c>
      <c r="H1611" t="str">
        <f>"0159852-IN"</f>
        <v>0159852-IN</v>
      </c>
      <c r="I1611" t="str">
        <f>"NARDIS PUBLIC SAFETY"</f>
        <v>NARDIS PUBLIC SAFETY</v>
      </c>
    </row>
    <row r="1612" spans="1:9" x14ac:dyDescent="0.25">
      <c r="A1612" s="6">
        <v>43480</v>
      </c>
      <c r="B1612" t="s">
        <v>26</v>
      </c>
      <c r="C1612">
        <v>59965</v>
      </c>
      <c r="D1612" t="s">
        <v>340</v>
      </c>
      <c r="E1612" s="7">
        <v>518.77</v>
      </c>
      <c r="F1612" t="s">
        <v>20</v>
      </c>
      <c r="G1612" t="s">
        <v>21</v>
      </c>
      <c r="H1612" t="str">
        <f>"1810-361365"</f>
        <v>1810-361365</v>
      </c>
      <c r="I1612" t="str">
        <f>"TRUCK PARTS"</f>
        <v>TRUCK PARTS</v>
      </c>
    </row>
    <row r="1613" spans="1:9" x14ac:dyDescent="0.25">
      <c r="A1613" s="6">
        <v>43480</v>
      </c>
      <c r="B1613" t="s">
        <v>26</v>
      </c>
      <c r="C1613">
        <v>59965</v>
      </c>
      <c r="D1613" t="s">
        <v>340</v>
      </c>
      <c r="E1613" s="7">
        <v>518.77</v>
      </c>
      <c r="F1613" t="s">
        <v>20</v>
      </c>
      <c r="G1613" t="s">
        <v>21</v>
      </c>
      <c r="H1613" t="str">
        <f>"1810-363318"</f>
        <v>1810-363318</v>
      </c>
      <c r="I1613" t="str">
        <f>"WHEEL BEARING"</f>
        <v>WHEEL BEARING</v>
      </c>
    </row>
    <row r="1614" spans="1:9" x14ac:dyDescent="0.25">
      <c r="A1614" s="6">
        <v>43480</v>
      </c>
      <c r="B1614" t="s">
        <v>26</v>
      </c>
      <c r="C1614">
        <v>59965</v>
      </c>
      <c r="D1614" t="s">
        <v>340</v>
      </c>
      <c r="E1614" s="7">
        <v>518.77</v>
      </c>
      <c r="F1614" t="s">
        <v>20</v>
      </c>
      <c r="G1614" t="s">
        <v>21</v>
      </c>
      <c r="H1614" t="str">
        <f>"1810-363320"</f>
        <v>1810-363320</v>
      </c>
      <c r="I1614" t="str">
        <f>"BATTERY"</f>
        <v>BATTERY</v>
      </c>
    </row>
    <row r="1615" spans="1:9" x14ac:dyDescent="0.25">
      <c r="A1615" s="6">
        <v>43480</v>
      </c>
      <c r="B1615" t="s">
        <v>26</v>
      </c>
      <c r="C1615">
        <v>59965</v>
      </c>
      <c r="D1615" t="s">
        <v>340</v>
      </c>
      <c r="E1615" s="7">
        <v>518.77</v>
      </c>
      <c r="F1615" t="s">
        <v>20</v>
      </c>
      <c r="G1615" t="s">
        <v>21</v>
      </c>
      <c r="H1615" t="str">
        <f>"1810-363321"</f>
        <v>1810-363321</v>
      </c>
      <c r="I1615" t="str">
        <f>"OIL FILTER"</f>
        <v>OIL FILTER</v>
      </c>
    </row>
    <row r="1616" spans="1:9" x14ac:dyDescent="0.25">
      <c r="A1616" s="6">
        <v>43480</v>
      </c>
      <c r="B1616" t="s">
        <v>26</v>
      </c>
      <c r="C1616">
        <v>59965</v>
      </c>
      <c r="D1616" t="s">
        <v>340</v>
      </c>
      <c r="E1616" s="7">
        <v>518.77</v>
      </c>
      <c r="F1616" t="s">
        <v>20</v>
      </c>
      <c r="G1616" t="s">
        <v>21</v>
      </c>
      <c r="H1616" t="str">
        <f>"1810-364379"</f>
        <v>1810-364379</v>
      </c>
      <c r="I1616" t="str">
        <f>"F/P ASSEMBLY"</f>
        <v>F/P ASSEMBLY</v>
      </c>
    </row>
    <row r="1617" spans="1:9" x14ac:dyDescent="0.25">
      <c r="A1617" s="6">
        <v>43480</v>
      </c>
      <c r="B1617" t="s">
        <v>26</v>
      </c>
      <c r="C1617">
        <v>59965</v>
      </c>
      <c r="D1617" t="s">
        <v>340</v>
      </c>
      <c r="E1617" s="7">
        <v>518.77</v>
      </c>
      <c r="F1617" t="s">
        <v>20</v>
      </c>
      <c r="G1617" t="s">
        <v>21</v>
      </c>
      <c r="H1617" t="str">
        <f>"1810-364871"</f>
        <v>1810-364871</v>
      </c>
      <c r="I1617" t="str">
        <f>"OIL FILTERS"</f>
        <v>OIL FILTERS</v>
      </c>
    </row>
    <row r="1618" spans="1:9" x14ac:dyDescent="0.25">
      <c r="A1618" s="6">
        <v>43480</v>
      </c>
      <c r="B1618" t="s">
        <v>26</v>
      </c>
      <c r="C1618">
        <v>59965</v>
      </c>
      <c r="D1618" t="s">
        <v>340</v>
      </c>
      <c r="E1618" s="7">
        <v>518.77</v>
      </c>
      <c r="F1618" t="s">
        <v>20</v>
      </c>
      <c r="G1618" t="s">
        <v>21</v>
      </c>
      <c r="H1618" t="str">
        <f>"1810-364873"</f>
        <v>1810-364873</v>
      </c>
      <c r="I1618" t="str">
        <f>"BATTERY"</f>
        <v>BATTERY</v>
      </c>
    </row>
    <row r="1619" spans="1:9" x14ac:dyDescent="0.25">
      <c r="A1619" s="6">
        <v>43480</v>
      </c>
      <c r="B1619" t="s">
        <v>26</v>
      </c>
      <c r="C1619">
        <v>59967</v>
      </c>
      <c r="D1619" t="s">
        <v>61</v>
      </c>
      <c r="E1619" s="7">
        <v>50</v>
      </c>
      <c r="F1619" t="s">
        <v>20</v>
      </c>
      <c r="G1619" t="s">
        <v>21</v>
      </c>
      <c r="H1619" t="str">
        <f>"025-246766"</f>
        <v>025-246766</v>
      </c>
      <c r="I1619" t="str">
        <f>"TYLER TECHNOLOGIES  INC."</f>
        <v>TYLER TECHNOLOGIES  INC.</v>
      </c>
    </row>
    <row r="1620" spans="1:9" x14ac:dyDescent="0.25">
      <c r="A1620" s="6">
        <v>43480</v>
      </c>
      <c r="B1620" t="s">
        <v>26</v>
      </c>
      <c r="C1620">
        <v>59968</v>
      </c>
      <c r="D1620" t="s">
        <v>92</v>
      </c>
      <c r="E1620" s="7">
        <v>41554</v>
      </c>
      <c r="F1620" t="s">
        <v>20</v>
      </c>
      <c r="G1620" t="s">
        <v>329</v>
      </c>
      <c r="H1620" t="str">
        <f>"1/15/2019"</f>
        <v>1/15/2019</v>
      </c>
      <c r="I1620" t="str">
        <f>"TEXAS MUNICIPAL RETIREMENT SYS"</f>
        <v>TEXAS MUNICIPAL RETIREMENT SYS</v>
      </c>
    </row>
    <row r="1621" spans="1:9" x14ac:dyDescent="0.25">
      <c r="A1621" s="6">
        <v>43480</v>
      </c>
      <c r="B1621" t="s">
        <v>26</v>
      </c>
      <c r="C1621">
        <v>59968</v>
      </c>
      <c r="D1621" t="s">
        <v>92</v>
      </c>
      <c r="E1621" s="7">
        <v>41554</v>
      </c>
      <c r="F1621" t="s">
        <v>20</v>
      </c>
      <c r="G1621" t="s">
        <v>21</v>
      </c>
      <c r="H1621" t="str">
        <f>"RET201901028504"</f>
        <v>RET201901028504</v>
      </c>
      <c r="I1621" t="str">
        <f>"TMRS CITY OF FLORESVILLE"</f>
        <v>TMRS CITY OF FLORESVILLE</v>
      </c>
    </row>
    <row r="1622" spans="1:9" x14ac:dyDescent="0.25">
      <c r="A1622" s="6">
        <v>43480</v>
      </c>
      <c r="B1622" t="s">
        <v>91</v>
      </c>
      <c r="C1622">
        <v>59971</v>
      </c>
      <c r="D1622" t="s">
        <v>167</v>
      </c>
      <c r="E1622" s="7">
        <v>216.42</v>
      </c>
      <c r="F1622" t="s">
        <v>20</v>
      </c>
      <c r="G1622" t="s">
        <v>21</v>
      </c>
      <c r="H1622" t="str">
        <f>"30588"</f>
        <v>30588</v>
      </c>
      <c r="I1622" t="str">
        <f>"DIRECT DEPOSIT FORMS"</f>
        <v>DIRECT DEPOSIT FORMS</v>
      </c>
    </row>
    <row r="1623" spans="1:9" x14ac:dyDescent="0.25">
      <c r="A1623" s="6">
        <v>43480</v>
      </c>
      <c r="B1623" t="s">
        <v>91</v>
      </c>
      <c r="C1623">
        <v>59971</v>
      </c>
      <c r="D1623" t="s">
        <v>167</v>
      </c>
      <c r="E1623" s="7">
        <v>216.42</v>
      </c>
      <c r="F1623" t="s">
        <v>20</v>
      </c>
      <c r="G1623" t="s">
        <v>93</v>
      </c>
      <c r="H1623" t="str">
        <f>"CHECK"</f>
        <v>CHECK</v>
      </c>
      <c r="I1623" t="str">
        <f>""</f>
        <v/>
      </c>
    </row>
    <row r="1624" spans="1:9" x14ac:dyDescent="0.25">
      <c r="A1624" s="6">
        <v>43480</v>
      </c>
      <c r="B1624" t="s">
        <v>26</v>
      </c>
      <c r="C1624">
        <v>59972</v>
      </c>
      <c r="D1624" t="s">
        <v>114</v>
      </c>
      <c r="E1624" s="7">
        <v>14301.32</v>
      </c>
      <c r="F1624" t="s">
        <v>20</v>
      </c>
      <c r="G1624" t="s">
        <v>21</v>
      </c>
      <c r="H1624" t="str">
        <f>"QRT RPT END 12/18"</f>
        <v>QRT RPT END 12/18</v>
      </c>
      <c r="I1624" t="str">
        <f>"STATE COMPTROLLER"</f>
        <v>STATE COMPTROLLER</v>
      </c>
    </row>
    <row r="1625" spans="1:9" x14ac:dyDescent="0.25">
      <c r="A1625" s="6">
        <v>43480</v>
      </c>
      <c r="B1625" t="s">
        <v>26</v>
      </c>
      <c r="C1625">
        <v>59973</v>
      </c>
      <c r="D1625" t="s">
        <v>168</v>
      </c>
      <c r="E1625" s="7">
        <v>1610</v>
      </c>
      <c r="F1625" t="s">
        <v>20</v>
      </c>
      <c r="G1625" t="s">
        <v>21</v>
      </c>
      <c r="H1625" t="str">
        <f>"LI-6081"</f>
        <v>LI-6081</v>
      </c>
      <c r="I1625" t="str">
        <f t="shared" ref="I1625:I1639" si="24">"BEXAR COUNTY AUDITOR/ATTN:CRIM"</f>
        <v>BEXAR COUNTY AUDITOR/ATTN:CRIM</v>
      </c>
    </row>
    <row r="1626" spans="1:9" x14ac:dyDescent="0.25">
      <c r="A1626" s="6">
        <v>43480</v>
      </c>
      <c r="B1626" t="s">
        <v>26</v>
      </c>
      <c r="C1626">
        <v>59973</v>
      </c>
      <c r="D1626" t="s">
        <v>168</v>
      </c>
      <c r="E1626" s="7">
        <v>1610</v>
      </c>
      <c r="F1626" t="s">
        <v>20</v>
      </c>
      <c r="G1626" t="s">
        <v>21</v>
      </c>
      <c r="H1626" t="str">
        <f>"LI-6082"</f>
        <v>LI-6082</v>
      </c>
      <c r="I1626" t="str">
        <f t="shared" si="24"/>
        <v>BEXAR COUNTY AUDITOR/ATTN:CRIM</v>
      </c>
    </row>
    <row r="1627" spans="1:9" x14ac:dyDescent="0.25">
      <c r="A1627" s="6">
        <v>43480</v>
      </c>
      <c r="B1627" t="s">
        <v>26</v>
      </c>
      <c r="C1627">
        <v>59973</v>
      </c>
      <c r="D1627" t="s">
        <v>168</v>
      </c>
      <c r="E1627" s="7">
        <v>1610</v>
      </c>
      <c r="F1627" t="s">
        <v>20</v>
      </c>
      <c r="G1627" t="s">
        <v>21</v>
      </c>
      <c r="H1627" t="str">
        <f>"LI-6083"</f>
        <v>LI-6083</v>
      </c>
      <c r="I1627" t="str">
        <f t="shared" si="24"/>
        <v>BEXAR COUNTY AUDITOR/ATTN:CRIM</v>
      </c>
    </row>
    <row r="1628" spans="1:9" x14ac:dyDescent="0.25">
      <c r="A1628" s="6">
        <v>43480</v>
      </c>
      <c r="B1628" t="s">
        <v>26</v>
      </c>
      <c r="C1628">
        <v>59973</v>
      </c>
      <c r="D1628" t="s">
        <v>168</v>
      </c>
      <c r="E1628" s="7">
        <v>1610</v>
      </c>
      <c r="F1628" t="s">
        <v>20</v>
      </c>
      <c r="G1628" t="s">
        <v>21</v>
      </c>
      <c r="H1628" t="str">
        <f>"LI-6084"</f>
        <v>LI-6084</v>
      </c>
      <c r="I1628" t="str">
        <f t="shared" si="24"/>
        <v>BEXAR COUNTY AUDITOR/ATTN:CRIM</v>
      </c>
    </row>
    <row r="1629" spans="1:9" x14ac:dyDescent="0.25">
      <c r="A1629" s="6">
        <v>43480</v>
      </c>
      <c r="B1629" t="s">
        <v>26</v>
      </c>
      <c r="C1629">
        <v>59973</v>
      </c>
      <c r="D1629" t="s">
        <v>168</v>
      </c>
      <c r="E1629" s="7">
        <v>1610</v>
      </c>
      <c r="F1629" t="s">
        <v>20</v>
      </c>
      <c r="G1629" t="s">
        <v>21</v>
      </c>
      <c r="H1629" t="str">
        <f>"LI-6085"</f>
        <v>LI-6085</v>
      </c>
      <c r="I1629" t="str">
        <f t="shared" si="24"/>
        <v>BEXAR COUNTY AUDITOR/ATTN:CRIM</v>
      </c>
    </row>
    <row r="1630" spans="1:9" x14ac:dyDescent="0.25">
      <c r="A1630" s="6">
        <v>43480</v>
      </c>
      <c r="B1630" t="s">
        <v>26</v>
      </c>
      <c r="C1630">
        <v>59973</v>
      </c>
      <c r="D1630" t="s">
        <v>168</v>
      </c>
      <c r="E1630" s="7">
        <v>1610</v>
      </c>
      <c r="F1630" t="s">
        <v>20</v>
      </c>
      <c r="G1630" t="s">
        <v>21</v>
      </c>
      <c r="H1630" t="str">
        <f>"LI-6086"</f>
        <v>LI-6086</v>
      </c>
      <c r="I1630" t="str">
        <f t="shared" si="24"/>
        <v>BEXAR COUNTY AUDITOR/ATTN:CRIM</v>
      </c>
    </row>
    <row r="1631" spans="1:9" x14ac:dyDescent="0.25">
      <c r="A1631" s="6">
        <v>43480</v>
      </c>
      <c r="B1631" t="s">
        <v>26</v>
      </c>
      <c r="C1631">
        <v>59973</v>
      </c>
      <c r="D1631" t="s">
        <v>168</v>
      </c>
      <c r="E1631" s="7">
        <v>1610</v>
      </c>
      <c r="F1631" t="s">
        <v>20</v>
      </c>
      <c r="G1631" t="s">
        <v>21</v>
      </c>
      <c r="H1631" t="str">
        <f>"LI-6087"</f>
        <v>LI-6087</v>
      </c>
      <c r="I1631" t="str">
        <f t="shared" si="24"/>
        <v>BEXAR COUNTY AUDITOR/ATTN:CRIM</v>
      </c>
    </row>
    <row r="1632" spans="1:9" x14ac:dyDescent="0.25">
      <c r="A1632" s="6">
        <v>43480</v>
      </c>
      <c r="B1632" t="s">
        <v>26</v>
      </c>
      <c r="C1632">
        <v>59973</v>
      </c>
      <c r="D1632" t="s">
        <v>168</v>
      </c>
      <c r="E1632" s="7">
        <v>1610</v>
      </c>
      <c r="F1632" t="s">
        <v>20</v>
      </c>
      <c r="G1632" t="s">
        <v>21</v>
      </c>
      <c r="H1632" t="str">
        <f>"LI-6088"</f>
        <v>LI-6088</v>
      </c>
      <c r="I1632" t="str">
        <f t="shared" si="24"/>
        <v>BEXAR COUNTY AUDITOR/ATTN:CRIM</v>
      </c>
    </row>
    <row r="1633" spans="1:9" x14ac:dyDescent="0.25">
      <c r="A1633" s="6">
        <v>43480</v>
      </c>
      <c r="B1633" t="s">
        <v>26</v>
      </c>
      <c r="C1633">
        <v>59973</v>
      </c>
      <c r="D1633" t="s">
        <v>168</v>
      </c>
      <c r="E1633" s="7">
        <v>1610</v>
      </c>
      <c r="F1633" t="s">
        <v>20</v>
      </c>
      <c r="G1633" t="s">
        <v>21</v>
      </c>
      <c r="H1633" t="str">
        <f>"LI-6089"</f>
        <v>LI-6089</v>
      </c>
      <c r="I1633" t="str">
        <f t="shared" si="24"/>
        <v>BEXAR COUNTY AUDITOR/ATTN:CRIM</v>
      </c>
    </row>
    <row r="1634" spans="1:9" x14ac:dyDescent="0.25">
      <c r="A1634" s="6">
        <v>43480</v>
      </c>
      <c r="B1634" t="s">
        <v>26</v>
      </c>
      <c r="C1634">
        <v>59973</v>
      </c>
      <c r="D1634" t="s">
        <v>168</v>
      </c>
      <c r="E1634" s="7">
        <v>1610</v>
      </c>
      <c r="F1634" t="s">
        <v>20</v>
      </c>
      <c r="G1634" t="s">
        <v>21</v>
      </c>
      <c r="H1634" t="str">
        <f>"LI-6090"</f>
        <v>LI-6090</v>
      </c>
      <c r="I1634" t="str">
        <f t="shared" si="24"/>
        <v>BEXAR COUNTY AUDITOR/ATTN:CRIM</v>
      </c>
    </row>
    <row r="1635" spans="1:9" x14ac:dyDescent="0.25">
      <c r="A1635" s="6">
        <v>43480</v>
      </c>
      <c r="B1635" t="s">
        <v>26</v>
      </c>
      <c r="C1635">
        <v>59973</v>
      </c>
      <c r="D1635" t="s">
        <v>168</v>
      </c>
      <c r="E1635" s="7">
        <v>1610</v>
      </c>
      <c r="F1635" t="s">
        <v>20</v>
      </c>
      <c r="G1635" t="s">
        <v>21</v>
      </c>
      <c r="H1635" t="str">
        <f>"LI-6091"</f>
        <v>LI-6091</v>
      </c>
      <c r="I1635" t="str">
        <f t="shared" si="24"/>
        <v>BEXAR COUNTY AUDITOR/ATTN:CRIM</v>
      </c>
    </row>
    <row r="1636" spans="1:9" x14ac:dyDescent="0.25">
      <c r="A1636" s="6">
        <v>43480</v>
      </c>
      <c r="B1636" t="s">
        <v>26</v>
      </c>
      <c r="C1636">
        <v>59973</v>
      </c>
      <c r="D1636" t="s">
        <v>168</v>
      </c>
      <c r="E1636" s="7">
        <v>1610</v>
      </c>
      <c r="F1636" t="s">
        <v>20</v>
      </c>
      <c r="G1636" t="s">
        <v>21</v>
      </c>
      <c r="H1636" t="str">
        <f>"LI-6092"</f>
        <v>LI-6092</v>
      </c>
      <c r="I1636" t="str">
        <f t="shared" si="24"/>
        <v>BEXAR COUNTY AUDITOR/ATTN:CRIM</v>
      </c>
    </row>
    <row r="1637" spans="1:9" x14ac:dyDescent="0.25">
      <c r="A1637" s="6">
        <v>43480</v>
      </c>
      <c r="B1637" t="s">
        <v>26</v>
      </c>
      <c r="C1637">
        <v>59973</v>
      </c>
      <c r="D1637" t="s">
        <v>168</v>
      </c>
      <c r="E1637" s="7">
        <v>1610</v>
      </c>
      <c r="F1637" t="s">
        <v>20</v>
      </c>
      <c r="G1637" t="s">
        <v>21</v>
      </c>
      <c r="H1637" t="str">
        <f>"LI-6093"</f>
        <v>LI-6093</v>
      </c>
      <c r="I1637" t="str">
        <f t="shared" si="24"/>
        <v>BEXAR COUNTY AUDITOR/ATTN:CRIM</v>
      </c>
    </row>
    <row r="1638" spans="1:9" x14ac:dyDescent="0.25">
      <c r="A1638" s="6">
        <v>43480</v>
      </c>
      <c r="B1638" t="s">
        <v>26</v>
      </c>
      <c r="C1638">
        <v>59973</v>
      </c>
      <c r="D1638" t="s">
        <v>168</v>
      </c>
      <c r="E1638" s="7">
        <v>1610</v>
      </c>
      <c r="F1638" t="s">
        <v>20</v>
      </c>
      <c r="G1638" t="s">
        <v>21</v>
      </c>
      <c r="H1638" t="str">
        <f>"LI-6094"</f>
        <v>LI-6094</v>
      </c>
      <c r="I1638" t="str">
        <f t="shared" si="24"/>
        <v>BEXAR COUNTY AUDITOR/ATTN:CRIM</v>
      </c>
    </row>
    <row r="1639" spans="1:9" x14ac:dyDescent="0.25">
      <c r="A1639" s="6">
        <v>43480</v>
      </c>
      <c r="B1639" t="s">
        <v>26</v>
      </c>
      <c r="C1639">
        <v>59973</v>
      </c>
      <c r="D1639" t="s">
        <v>168</v>
      </c>
      <c r="E1639" s="7">
        <v>1610</v>
      </c>
      <c r="F1639" t="s">
        <v>20</v>
      </c>
      <c r="G1639" t="s">
        <v>21</v>
      </c>
      <c r="H1639" t="str">
        <f>"LI-6095"</f>
        <v>LI-6095</v>
      </c>
      <c r="I1639" t="str">
        <f t="shared" si="24"/>
        <v>BEXAR COUNTY AUDITOR/ATTN:CRIM</v>
      </c>
    </row>
    <row r="1640" spans="1:9" x14ac:dyDescent="0.25">
      <c r="A1640" s="6">
        <v>43480</v>
      </c>
      <c r="B1640" t="s">
        <v>26</v>
      </c>
      <c r="C1640">
        <v>59976</v>
      </c>
      <c r="D1640" t="s">
        <v>62</v>
      </c>
      <c r="E1640" s="7">
        <v>717.84</v>
      </c>
      <c r="F1640" t="s">
        <v>20</v>
      </c>
      <c r="G1640" t="s">
        <v>21</v>
      </c>
      <c r="H1640" t="str">
        <f>"62222"</f>
        <v>62222</v>
      </c>
      <c r="I1640" t="str">
        <f>"PROFICIENT BENEFIT SOLUTIONS"</f>
        <v>PROFICIENT BENEFIT SOLUTIONS</v>
      </c>
    </row>
    <row r="1641" spans="1:9" x14ac:dyDescent="0.25">
      <c r="A1641" s="6">
        <v>43480</v>
      </c>
      <c r="B1641" t="s">
        <v>26</v>
      </c>
      <c r="C1641">
        <v>59976</v>
      </c>
      <c r="D1641" t="s">
        <v>62</v>
      </c>
      <c r="E1641" s="7">
        <v>717.84</v>
      </c>
      <c r="F1641" t="s">
        <v>20</v>
      </c>
      <c r="G1641" t="s">
        <v>21</v>
      </c>
      <c r="H1641" t="str">
        <f>"JORTIZ 10/17/2018"</f>
        <v>JORTIZ 10/17/2018</v>
      </c>
      <c r="I1641" t="str">
        <f>"PROFICIENT BENEFIT SOLUTIONS"</f>
        <v>PROFICIENT BENEFIT SOLUTIONS</v>
      </c>
    </row>
    <row r="1642" spans="1:9" x14ac:dyDescent="0.25">
      <c r="A1642" s="6">
        <v>43480</v>
      </c>
      <c r="B1642" t="s">
        <v>26</v>
      </c>
      <c r="C1642">
        <v>59977</v>
      </c>
      <c r="D1642" t="s">
        <v>115</v>
      </c>
      <c r="E1642" s="7">
        <v>207.78</v>
      </c>
      <c r="F1642" t="s">
        <v>20</v>
      </c>
      <c r="G1642" t="s">
        <v>21</v>
      </c>
      <c r="H1642" t="str">
        <f>"25473278149"</f>
        <v>25473278149</v>
      </c>
      <c r="I1642" t="str">
        <f>"TRANSMISSION JACK"</f>
        <v>TRANSMISSION JACK</v>
      </c>
    </row>
    <row r="1643" spans="1:9" x14ac:dyDescent="0.25">
      <c r="A1643" s="6">
        <v>43480</v>
      </c>
      <c r="B1643" t="s">
        <v>26</v>
      </c>
      <c r="C1643">
        <v>59977</v>
      </c>
      <c r="D1643" t="s">
        <v>115</v>
      </c>
      <c r="E1643" s="7">
        <v>207.78</v>
      </c>
      <c r="F1643" t="s">
        <v>20</v>
      </c>
      <c r="G1643" t="s">
        <v>21</v>
      </c>
      <c r="H1643" t="str">
        <f>"3547329371"</f>
        <v>3547329371</v>
      </c>
      <c r="I1643" t="str">
        <f>"OIL FILTER"</f>
        <v>OIL FILTER</v>
      </c>
    </row>
    <row r="1644" spans="1:9" x14ac:dyDescent="0.25">
      <c r="A1644" s="6">
        <v>43480</v>
      </c>
      <c r="B1644" t="s">
        <v>91</v>
      </c>
      <c r="C1644">
        <v>59978</v>
      </c>
      <c r="D1644" t="s">
        <v>64</v>
      </c>
      <c r="E1644" s="7">
        <v>682</v>
      </c>
      <c r="F1644" t="s">
        <v>20</v>
      </c>
      <c r="G1644" t="s">
        <v>21</v>
      </c>
      <c r="H1644" t="str">
        <f>"7703*"</f>
        <v>7703*</v>
      </c>
      <c r="I1644" t="str">
        <f>"DREWA DESIGNS  INC."</f>
        <v>DREWA DESIGNS  INC.</v>
      </c>
    </row>
    <row r="1645" spans="1:9" x14ac:dyDescent="0.25">
      <c r="A1645" s="6">
        <v>43480</v>
      </c>
      <c r="B1645" t="s">
        <v>91</v>
      </c>
      <c r="C1645">
        <v>59978</v>
      </c>
      <c r="D1645" t="s">
        <v>64</v>
      </c>
      <c r="E1645" s="7">
        <v>682</v>
      </c>
      <c r="F1645" t="s">
        <v>20</v>
      </c>
      <c r="G1645" t="s">
        <v>93</v>
      </c>
      <c r="H1645" t="str">
        <f>"CHECK"</f>
        <v>CHECK</v>
      </c>
      <c r="I1645" t="str">
        <f>""</f>
        <v/>
      </c>
    </row>
    <row r="1646" spans="1:9" x14ac:dyDescent="0.25">
      <c r="A1646" s="6">
        <v>43480</v>
      </c>
      <c r="B1646" t="s">
        <v>26</v>
      </c>
      <c r="C1646">
        <v>59979</v>
      </c>
      <c r="D1646" t="s">
        <v>120</v>
      </c>
      <c r="E1646" s="7">
        <v>1812.67</v>
      </c>
      <c r="F1646" t="s">
        <v>20</v>
      </c>
      <c r="G1646" t="s">
        <v>21</v>
      </c>
      <c r="H1646" t="str">
        <f>"71008511"</f>
        <v>71008511</v>
      </c>
      <c r="I1646" t="str">
        <f>"VERIZON BUSINESS"</f>
        <v>VERIZON BUSINESS</v>
      </c>
    </row>
    <row r="1647" spans="1:9" x14ac:dyDescent="0.25">
      <c r="A1647" s="6">
        <v>43480</v>
      </c>
      <c r="B1647" t="s">
        <v>26</v>
      </c>
      <c r="C1647">
        <v>59979</v>
      </c>
      <c r="D1647" t="s">
        <v>120</v>
      </c>
      <c r="E1647" s="7">
        <v>1812.67</v>
      </c>
      <c r="F1647" t="s">
        <v>20</v>
      </c>
      <c r="G1647" t="s">
        <v>21</v>
      </c>
      <c r="H1647" t="str">
        <f>"71010293"</f>
        <v>71010293</v>
      </c>
      <c r="I1647" t="str">
        <f>"VERIZON BUSINESS"</f>
        <v>VERIZON BUSINESS</v>
      </c>
    </row>
    <row r="1648" spans="1:9" x14ac:dyDescent="0.25">
      <c r="A1648" s="6">
        <v>43480</v>
      </c>
      <c r="B1648" t="s">
        <v>26</v>
      </c>
      <c r="C1648">
        <v>59980</v>
      </c>
      <c r="D1648" t="s">
        <v>667</v>
      </c>
      <c r="E1648" s="7">
        <v>120.41</v>
      </c>
      <c r="F1648" t="s">
        <v>20</v>
      </c>
      <c r="G1648" t="s">
        <v>21</v>
      </c>
      <c r="H1648" t="str">
        <f>"1/11/19 LESO TRNG"</f>
        <v>1/11/19 LESO TRNG</v>
      </c>
      <c r="I1648" t="str">
        <f>"JESSE GUTIERREZ"</f>
        <v>JESSE GUTIERREZ</v>
      </c>
    </row>
    <row r="1649" spans="1:9" x14ac:dyDescent="0.25">
      <c r="A1649" s="6">
        <v>43480</v>
      </c>
      <c r="B1649" t="s">
        <v>26</v>
      </c>
      <c r="C1649">
        <v>59981</v>
      </c>
      <c r="D1649" t="s">
        <v>69</v>
      </c>
      <c r="E1649" s="7">
        <v>227.12</v>
      </c>
      <c r="F1649" t="s">
        <v>20</v>
      </c>
      <c r="G1649" t="s">
        <v>21</v>
      </c>
      <c r="H1649" t="str">
        <f>"3395113"</f>
        <v>3395113</v>
      </c>
      <c r="I1649" t="str">
        <f>"YOLK"</f>
        <v>YOLK</v>
      </c>
    </row>
    <row r="1650" spans="1:9" x14ac:dyDescent="0.25">
      <c r="A1650" s="6">
        <v>43480</v>
      </c>
      <c r="B1650" t="s">
        <v>26</v>
      </c>
      <c r="C1650">
        <v>59982</v>
      </c>
      <c r="D1650" t="s">
        <v>145</v>
      </c>
      <c r="E1650" s="7">
        <v>105.29</v>
      </c>
      <c r="F1650" t="s">
        <v>20</v>
      </c>
      <c r="G1650" t="s">
        <v>21</v>
      </c>
      <c r="H1650" t="str">
        <f>"IV180010700*"</f>
        <v>IV180010700*</v>
      </c>
      <c r="I1650" t="str">
        <f>"ARROW-MAGNOLIA INTERNATIONAL I"</f>
        <v>ARROW-MAGNOLIA INTERNATIONAL I</v>
      </c>
    </row>
    <row r="1651" spans="1:9" x14ac:dyDescent="0.25">
      <c r="A1651" s="6">
        <v>43480</v>
      </c>
      <c r="B1651" t="s">
        <v>26</v>
      </c>
      <c r="C1651">
        <v>59983</v>
      </c>
      <c r="D1651" t="s">
        <v>71</v>
      </c>
      <c r="E1651" s="7">
        <v>3857.72</v>
      </c>
      <c r="F1651" t="s">
        <v>20</v>
      </c>
      <c r="G1651" t="s">
        <v>21</v>
      </c>
      <c r="H1651" t="str">
        <f>"087184344"</f>
        <v>087184344</v>
      </c>
      <c r="I1651" t="str">
        <f t="shared" ref="I1651:I1665" si="25">"CINTAS CORPORATION #087"</f>
        <v>CINTAS CORPORATION #087</v>
      </c>
    </row>
    <row r="1652" spans="1:9" x14ac:dyDescent="0.25">
      <c r="A1652" s="6">
        <v>43480</v>
      </c>
      <c r="B1652" t="s">
        <v>26</v>
      </c>
      <c r="C1652">
        <v>59983</v>
      </c>
      <c r="D1652" t="s">
        <v>71</v>
      </c>
      <c r="E1652" s="7">
        <v>3857.72</v>
      </c>
      <c r="F1652" t="s">
        <v>20</v>
      </c>
      <c r="G1652" t="s">
        <v>21</v>
      </c>
      <c r="H1652" t="str">
        <f>"087188300"</f>
        <v>087188300</v>
      </c>
      <c r="I1652" t="str">
        <f t="shared" si="25"/>
        <v>CINTAS CORPORATION #087</v>
      </c>
    </row>
    <row r="1653" spans="1:9" x14ac:dyDescent="0.25">
      <c r="A1653" s="6">
        <v>43480</v>
      </c>
      <c r="B1653" t="s">
        <v>26</v>
      </c>
      <c r="C1653">
        <v>59983</v>
      </c>
      <c r="D1653" t="s">
        <v>71</v>
      </c>
      <c r="E1653" s="7">
        <v>3857.72</v>
      </c>
      <c r="F1653" t="s">
        <v>20</v>
      </c>
      <c r="G1653" t="s">
        <v>21</v>
      </c>
      <c r="H1653" t="str">
        <f>"087188300*1"</f>
        <v>087188300*1</v>
      </c>
      <c r="I1653" t="str">
        <f t="shared" si="25"/>
        <v>CINTAS CORPORATION #087</v>
      </c>
    </row>
    <row r="1654" spans="1:9" x14ac:dyDescent="0.25">
      <c r="A1654" s="6">
        <v>43480</v>
      </c>
      <c r="B1654" t="s">
        <v>26</v>
      </c>
      <c r="C1654">
        <v>59983</v>
      </c>
      <c r="D1654" t="s">
        <v>71</v>
      </c>
      <c r="E1654" s="7">
        <v>3857.72</v>
      </c>
      <c r="F1654" t="s">
        <v>20</v>
      </c>
      <c r="G1654" t="s">
        <v>21</v>
      </c>
      <c r="H1654" t="str">
        <f>"087192241"</f>
        <v>087192241</v>
      </c>
      <c r="I1654" t="str">
        <f t="shared" si="25"/>
        <v>CINTAS CORPORATION #087</v>
      </c>
    </row>
    <row r="1655" spans="1:9" x14ac:dyDescent="0.25">
      <c r="A1655" s="6">
        <v>43480</v>
      </c>
      <c r="B1655" t="s">
        <v>26</v>
      </c>
      <c r="C1655">
        <v>59983</v>
      </c>
      <c r="D1655" t="s">
        <v>71</v>
      </c>
      <c r="E1655" s="7">
        <v>3857.72</v>
      </c>
      <c r="F1655" t="s">
        <v>20</v>
      </c>
      <c r="G1655" t="s">
        <v>21</v>
      </c>
      <c r="H1655" t="str">
        <f>"087192241*1"</f>
        <v>087192241*1</v>
      </c>
      <c r="I1655" t="str">
        <f t="shared" si="25"/>
        <v>CINTAS CORPORATION #087</v>
      </c>
    </row>
    <row r="1656" spans="1:9" x14ac:dyDescent="0.25">
      <c r="A1656" s="6">
        <v>43480</v>
      </c>
      <c r="B1656" t="s">
        <v>26</v>
      </c>
      <c r="C1656">
        <v>59983</v>
      </c>
      <c r="D1656" t="s">
        <v>71</v>
      </c>
      <c r="E1656" s="7">
        <v>3857.72</v>
      </c>
      <c r="F1656" t="s">
        <v>20</v>
      </c>
      <c r="G1656" t="s">
        <v>21</v>
      </c>
      <c r="H1656" t="str">
        <f>"4009152507"</f>
        <v>4009152507</v>
      </c>
      <c r="I1656" t="str">
        <f t="shared" si="25"/>
        <v>CINTAS CORPORATION #087</v>
      </c>
    </row>
    <row r="1657" spans="1:9" x14ac:dyDescent="0.25">
      <c r="A1657" s="6">
        <v>43480</v>
      </c>
      <c r="B1657" t="s">
        <v>26</v>
      </c>
      <c r="C1657">
        <v>59983</v>
      </c>
      <c r="D1657" t="s">
        <v>71</v>
      </c>
      <c r="E1657" s="7">
        <v>3857.72</v>
      </c>
      <c r="F1657" t="s">
        <v>20</v>
      </c>
      <c r="G1657" t="s">
        <v>21</v>
      </c>
      <c r="H1657" t="str">
        <f>"4009599966"</f>
        <v>4009599966</v>
      </c>
      <c r="I1657" t="str">
        <f t="shared" si="25"/>
        <v>CINTAS CORPORATION #087</v>
      </c>
    </row>
    <row r="1658" spans="1:9" x14ac:dyDescent="0.25">
      <c r="A1658" s="6">
        <v>43480</v>
      </c>
      <c r="B1658" t="s">
        <v>26</v>
      </c>
      <c r="C1658">
        <v>59983</v>
      </c>
      <c r="D1658" t="s">
        <v>71</v>
      </c>
      <c r="E1658" s="7">
        <v>3857.72</v>
      </c>
      <c r="F1658" t="s">
        <v>20</v>
      </c>
      <c r="G1658" t="s">
        <v>21</v>
      </c>
      <c r="H1658" t="str">
        <f>"4010305947"</f>
        <v>4010305947</v>
      </c>
      <c r="I1658" t="str">
        <f t="shared" si="25"/>
        <v>CINTAS CORPORATION #087</v>
      </c>
    </row>
    <row r="1659" spans="1:9" x14ac:dyDescent="0.25">
      <c r="A1659" s="6">
        <v>43480</v>
      </c>
      <c r="B1659" t="s">
        <v>26</v>
      </c>
      <c r="C1659">
        <v>59983</v>
      </c>
      <c r="D1659" t="s">
        <v>71</v>
      </c>
      <c r="E1659" s="7">
        <v>3857.72</v>
      </c>
      <c r="F1659" t="s">
        <v>20</v>
      </c>
      <c r="G1659" t="s">
        <v>21</v>
      </c>
      <c r="H1659" t="str">
        <f>"4010583391"</f>
        <v>4010583391</v>
      </c>
      <c r="I1659" t="str">
        <f t="shared" si="25"/>
        <v>CINTAS CORPORATION #087</v>
      </c>
    </row>
    <row r="1660" spans="1:9" x14ac:dyDescent="0.25">
      <c r="A1660" s="6">
        <v>43480</v>
      </c>
      <c r="B1660" t="s">
        <v>26</v>
      </c>
      <c r="C1660">
        <v>59983</v>
      </c>
      <c r="D1660" t="s">
        <v>71</v>
      </c>
      <c r="E1660" s="7">
        <v>3857.72</v>
      </c>
      <c r="F1660" t="s">
        <v>20</v>
      </c>
      <c r="G1660" t="s">
        <v>21</v>
      </c>
      <c r="H1660" t="str">
        <f>"4010863322"</f>
        <v>4010863322</v>
      </c>
      <c r="I1660" t="str">
        <f t="shared" si="25"/>
        <v>CINTAS CORPORATION #087</v>
      </c>
    </row>
    <row r="1661" spans="1:9" x14ac:dyDescent="0.25">
      <c r="A1661" s="6">
        <v>43480</v>
      </c>
      <c r="B1661" t="s">
        <v>26</v>
      </c>
      <c r="C1661">
        <v>59983</v>
      </c>
      <c r="D1661" t="s">
        <v>71</v>
      </c>
      <c r="E1661" s="7">
        <v>3857.72</v>
      </c>
      <c r="F1661" t="s">
        <v>20</v>
      </c>
      <c r="G1661" t="s">
        <v>21</v>
      </c>
      <c r="H1661" t="str">
        <f>"4011145187"</f>
        <v>4011145187</v>
      </c>
      <c r="I1661" t="str">
        <f t="shared" si="25"/>
        <v>CINTAS CORPORATION #087</v>
      </c>
    </row>
    <row r="1662" spans="1:9" x14ac:dyDescent="0.25">
      <c r="A1662" s="6">
        <v>43480</v>
      </c>
      <c r="B1662" t="s">
        <v>26</v>
      </c>
      <c r="C1662">
        <v>59983</v>
      </c>
      <c r="D1662" t="s">
        <v>71</v>
      </c>
      <c r="E1662" s="7">
        <v>3857.72</v>
      </c>
      <c r="F1662" t="s">
        <v>20</v>
      </c>
      <c r="G1662" t="s">
        <v>21</v>
      </c>
      <c r="H1662" t="str">
        <f>"4011432109"</f>
        <v>4011432109</v>
      </c>
      <c r="I1662" t="str">
        <f t="shared" si="25"/>
        <v>CINTAS CORPORATION #087</v>
      </c>
    </row>
    <row r="1663" spans="1:9" x14ac:dyDescent="0.25">
      <c r="A1663" s="6">
        <v>43480</v>
      </c>
      <c r="B1663" t="s">
        <v>26</v>
      </c>
      <c r="C1663">
        <v>59983</v>
      </c>
      <c r="D1663" t="s">
        <v>71</v>
      </c>
      <c r="E1663" s="7">
        <v>3857.72</v>
      </c>
      <c r="F1663" t="s">
        <v>20</v>
      </c>
      <c r="G1663" t="s">
        <v>21</v>
      </c>
      <c r="H1663" t="str">
        <f>"4011740703"</f>
        <v>4011740703</v>
      </c>
      <c r="I1663" t="str">
        <f t="shared" si="25"/>
        <v>CINTAS CORPORATION #087</v>
      </c>
    </row>
    <row r="1664" spans="1:9" x14ac:dyDescent="0.25">
      <c r="A1664" s="6">
        <v>43480</v>
      </c>
      <c r="B1664" t="s">
        <v>26</v>
      </c>
      <c r="C1664">
        <v>59983</v>
      </c>
      <c r="D1664" t="s">
        <v>71</v>
      </c>
      <c r="E1664" s="7">
        <v>3857.72</v>
      </c>
      <c r="F1664" t="s">
        <v>20</v>
      </c>
      <c r="G1664" t="s">
        <v>21</v>
      </c>
      <c r="H1664" t="str">
        <f>"4012049445"</f>
        <v>4012049445</v>
      </c>
      <c r="I1664" t="str">
        <f t="shared" si="25"/>
        <v>CINTAS CORPORATION #087</v>
      </c>
    </row>
    <row r="1665" spans="1:9" x14ac:dyDescent="0.25">
      <c r="A1665" s="6">
        <v>43480</v>
      </c>
      <c r="B1665" t="s">
        <v>26</v>
      </c>
      <c r="C1665">
        <v>59983</v>
      </c>
      <c r="D1665" t="s">
        <v>71</v>
      </c>
      <c r="E1665" s="7">
        <v>3857.72</v>
      </c>
      <c r="F1665" t="s">
        <v>20</v>
      </c>
      <c r="G1665" t="s">
        <v>21</v>
      </c>
      <c r="H1665" t="str">
        <f>"4012365393"</f>
        <v>4012365393</v>
      </c>
      <c r="I1665" t="str">
        <f t="shared" si="25"/>
        <v>CINTAS CORPORATION #087</v>
      </c>
    </row>
    <row r="1666" spans="1:9" x14ac:dyDescent="0.25">
      <c r="A1666" s="6">
        <v>43480</v>
      </c>
      <c r="B1666" t="s">
        <v>26</v>
      </c>
      <c r="C1666">
        <v>59990</v>
      </c>
      <c r="D1666" t="s">
        <v>122</v>
      </c>
      <c r="E1666" s="7">
        <v>42</v>
      </c>
      <c r="F1666" t="s">
        <v>20</v>
      </c>
      <c r="G1666" t="s">
        <v>21</v>
      </c>
      <c r="H1666" t="str">
        <f>"079994"</f>
        <v>079994</v>
      </c>
      <c r="I1666" t="str">
        <f>"VILLA TIRES"</f>
        <v>VILLA TIRES</v>
      </c>
    </row>
    <row r="1667" spans="1:9" x14ac:dyDescent="0.25">
      <c r="A1667" s="6">
        <v>43480</v>
      </c>
      <c r="B1667" t="s">
        <v>26</v>
      </c>
      <c r="C1667">
        <v>59990</v>
      </c>
      <c r="D1667" t="s">
        <v>122</v>
      </c>
      <c r="E1667" s="7">
        <v>42</v>
      </c>
      <c r="F1667" t="s">
        <v>20</v>
      </c>
      <c r="G1667" t="s">
        <v>21</v>
      </c>
      <c r="H1667" t="str">
        <f>"079999"</f>
        <v>079999</v>
      </c>
      <c r="I1667" t="str">
        <f>"VILLA TIRES"</f>
        <v>VILLA TIRES</v>
      </c>
    </row>
    <row r="1668" spans="1:9" x14ac:dyDescent="0.25">
      <c r="A1668" s="6">
        <v>43480</v>
      </c>
      <c r="B1668" t="s">
        <v>91</v>
      </c>
      <c r="C1668">
        <v>59991</v>
      </c>
      <c r="D1668" t="s">
        <v>123</v>
      </c>
      <c r="E1668" s="7">
        <v>470.8</v>
      </c>
      <c r="F1668" t="s">
        <v>20</v>
      </c>
      <c r="G1668" t="s">
        <v>21</v>
      </c>
      <c r="H1668" t="str">
        <f>"249580125001"</f>
        <v>249580125001</v>
      </c>
      <c r="I1668" t="str">
        <f t="shared" ref="I1668:I1674" si="26">"OFFICE SUPPLIES"</f>
        <v>OFFICE SUPPLIES</v>
      </c>
    </row>
    <row r="1669" spans="1:9" x14ac:dyDescent="0.25">
      <c r="A1669" s="6">
        <v>43480</v>
      </c>
      <c r="B1669" t="s">
        <v>91</v>
      </c>
      <c r="C1669">
        <v>59991</v>
      </c>
      <c r="D1669" t="s">
        <v>123</v>
      </c>
      <c r="E1669" s="7">
        <v>470.8</v>
      </c>
      <c r="F1669" t="s">
        <v>20</v>
      </c>
      <c r="G1669" t="s">
        <v>21</v>
      </c>
      <c r="H1669" t="str">
        <f>"249580126001"</f>
        <v>249580126001</v>
      </c>
      <c r="I1669" t="str">
        <f t="shared" si="26"/>
        <v>OFFICE SUPPLIES</v>
      </c>
    </row>
    <row r="1670" spans="1:9" x14ac:dyDescent="0.25">
      <c r="A1670" s="6">
        <v>43480</v>
      </c>
      <c r="B1670" t="s">
        <v>91</v>
      </c>
      <c r="C1670">
        <v>59991</v>
      </c>
      <c r="D1670" t="s">
        <v>123</v>
      </c>
      <c r="E1670" s="7">
        <v>470.8</v>
      </c>
      <c r="F1670" t="s">
        <v>20</v>
      </c>
      <c r="G1670" t="s">
        <v>21</v>
      </c>
      <c r="H1670" t="str">
        <f>"249580127001"</f>
        <v>249580127001</v>
      </c>
      <c r="I1670" t="str">
        <f t="shared" si="26"/>
        <v>OFFICE SUPPLIES</v>
      </c>
    </row>
    <row r="1671" spans="1:9" x14ac:dyDescent="0.25">
      <c r="A1671" s="6">
        <v>43480</v>
      </c>
      <c r="B1671" t="s">
        <v>91</v>
      </c>
      <c r="C1671">
        <v>59991</v>
      </c>
      <c r="D1671" t="s">
        <v>123</v>
      </c>
      <c r="E1671" s="7">
        <v>470.8</v>
      </c>
      <c r="F1671" t="s">
        <v>20</v>
      </c>
      <c r="G1671" t="s">
        <v>21</v>
      </c>
      <c r="H1671" t="str">
        <f>"250047177001"</f>
        <v>250047177001</v>
      </c>
      <c r="I1671" t="str">
        <f t="shared" si="26"/>
        <v>OFFICE SUPPLIES</v>
      </c>
    </row>
    <row r="1672" spans="1:9" x14ac:dyDescent="0.25">
      <c r="A1672" s="6">
        <v>43480</v>
      </c>
      <c r="B1672" t="s">
        <v>91</v>
      </c>
      <c r="C1672">
        <v>59991</v>
      </c>
      <c r="D1672" t="s">
        <v>123</v>
      </c>
      <c r="E1672" s="7">
        <v>470.8</v>
      </c>
      <c r="F1672" t="s">
        <v>20</v>
      </c>
      <c r="G1672" t="s">
        <v>21</v>
      </c>
      <c r="H1672" t="str">
        <f>"250047412001"</f>
        <v>250047412001</v>
      </c>
      <c r="I1672" t="str">
        <f t="shared" si="26"/>
        <v>OFFICE SUPPLIES</v>
      </c>
    </row>
    <row r="1673" spans="1:9" x14ac:dyDescent="0.25">
      <c r="A1673" s="6">
        <v>43480</v>
      </c>
      <c r="B1673" t="s">
        <v>91</v>
      </c>
      <c r="C1673">
        <v>59991</v>
      </c>
      <c r="D1673" t="s">
        <v>123</v>
      </c>
      <c r="E1673" s="7">
        <v>470.8</v>
      </c>
      <c r="F1673" t="s">
        <v>20</v>
      </c>
      <c r="G1673" t="s">
        <v>21</v>
      </c>
      <c r="H1673" t="str">
        <f>"250047413001"</f>
        <v>250047413001</v>
      </c>
      <c r="I1673" t="str">
        <f t="shared" si="26"/>
        <v>OFFICE SUPPLIES</v>
      </c>
    </row>
    <row r="1674" spans="1:9" x14ac:dyDescent="0.25">
      <c r="A1674" s="6">
        <v>43480</v>
      </c>
      <c r="B1674" t="s">
        <v>91</v>
      </c>
      <c r="C1674">
        <v>59991</v>
      </c>
      <c r="D1674" t="s">
        <v>123</v>
      </c>
      <c r="E1674" s="7">
        <v>470.8</v>
      </c>
      <c r="F1674" t="s">
        <v>20</v>
      </c>
      <c r="G1674" t="s">
        <v>21</v>
      </c>
      <c r="H1674" t="str">
        <f>"253612155001"</f>
        <v>253612155001</v>
      </c>
      <c r="I1674" t="str">
        <f t="shared" si="26"/>
        <v>OFFICE SUPPLIES</v>
      </c>
    </row>
    <row r="1675" spans="1:9" x14ac:dyDescent="0.25">
      <c r="A1675" s="6">
        <v>43480</v>
      </c>
      <c r="B1675" t="s">
        <v>91</v>
      </c>
      <c r="C1675">
        <v>59991</v>
      </c>
      <c r="D1675" t="s">
        <v>123</v>
      </c>
      <c r="E1675" s="7">
        <v>470.8</v>
      </c>
      <c r="F1675" t="s">
        <v>20</v>
      </c>
      <c r="G1675" t="s">
        <v>93</v>
      </c>
      <c r="H1675" t="str">
        <f>"CHECK"</f>
        <v>CHECK</v>
      </c>
      <c r="I1675" t="str">
        <f>""</f>
        <v/>
      </c>
    </row>
    <row r="1676" spans="1:9" x14ac:dyDescent="0.25">
      <c r="A1676" s="6">
        <v>43480</v>
      </c>
      <c r="B1676" t="s">
        <v>26</v>
      </c>
      <c r="C1676">
        <v>59994</v>
      </c>
      <c r="D1676" t="s">
        <v>76</v>
      </c>
      <c r="E1676" s="7">
        <v>4786.4399999999996</v>
      </c>
      <c r="F1676" t="s">
        <v>20</v>
      </c>
      <c r="G1676" t="s">
        <v>21</v>
      </c>
      <c r="H1676" t="str">
        <f>"1002"</f>
        <v>1002</v>
      </c>
      <c r="I1676" t="str">
        <f>"WILSON COUNTY TAX COLLECTOR"</f>
        <v>WILSON COUNTY TAX COLLECTOR</v>
      </c>
    </row>
    <row r="1677" spans="1:9" x14ac:dyDescent="0.25">
      <c r="A1677" s="6">
        <v>43480</v>
      </c>
      <c r="B1677" t="s">
        <v>91</v>
      </c>
      <c r="C1677">
        <v>59995</v>
      </c>
      <c r="D1677" t="s">
        <v>77</v>
      </c>
      <c r="E1677" s="7">
        <v>2223.5</v>
      </c>
      <c r="F1677" t="s">
        <v>20</v>
      </c>
      <c r="G1677" t="s">
        <v>21</v>
      </c>
      <c r="H1677" t="str">
        <f>"857002440-18"</f>
        <v>857002440-18</v>
      </c>
      <c r="I1677" t="str">
        <f>"CHLORINE"</f>
        <v>CHLORINE</v>
      </c>
    </row>
    <row r="1678" spans="1:9" x14ac:dyDescent="0.25">
      <c r="A1678" s="6">
        <v>43480</v>
      </c>
      <c r="B1678" t="s">
        <v>91</v>
      </c>
      <c r="C1678">
        <v>59995</v>
      </c>
      <c r="D1678" t="s">
        <v>77</v>
      </c>
      <c r="E1678" s="7">
        <v>2223.5</v>
      </c>
      <c r="F1678" t="s">
        <v>20</v>
      </c>
      <c r="G1678" t="s">
        <v>21</v>
      </c>
      <c r="H1678" t="str">
        <f>"857002452-18"</f>
        <v>857002452-18</v>
      </c>
      <c r="I1678" t="str">
        <f>"CHLORINE"</f>
        <v>CHLORINE</v>
      </c>
    </row>
    <row r="1679" spans="1:9" x14ac:dyDescent="0.25">
      <c r="A1679" s="6">
        <v>43480</v>
      </c>
      <c r="B1679" t="s">
        <v>91</v>
      </c>
      <c r="C1679">
        <v>59995</v>
      </c>
      <c r="D1679" t="s">
        <v>77</v>
      </c>
      <c r="E1679" s="7">
        <v>2223.5</v>
      </c>
      <c r="F1679" t="s">
        <v>20</v>
      </c>
      <c r="G1679" t="s">
        <v>93</v>
      </c>
      <c r="H1679" t="str">
        <f>"CHECK"</f>
        <v>CHECK</v>
      </c>
      <c r="I1679" t="str">
        <f>""</f>
        <v/>
      </c>
    </row>
    <row r="1680" spans="1:9" x14ac:dyDescent="0.25">
      <c r="A1680" s="6">
        <v>43480</v>
      </c>
      <c r="B1680" t="s">
        <v>91</v>
      </c>
      <c r="C1680">
        <v>59996</v>
      </c>
      <c r="D1680" t="s">
        <v>124</v>
      </c>
      <c r="E1680" s="7">
        <v>183.84</v>
      </c>
      <c r="F1680" t="s">
        <v>20</v>
      </c>
      <c r="G1680" t="s">
        <v>21</v>
      </c>
      <c r="H1680" t="str">
        <f>"11168407"</f>
        <v>11168407</v>
      </c>
      <c r="I1680" t="str">
        <f>"JANITORIAL SUPPLIES"</f>
        <v>JANITORIAL SUPPLIES</v>
      </c>
    </row>
    <row r="1681" spans="1:9" x14ac:dyDescent="0.25">
      <c r="A1681" s="6">
        <v>43480</v>
      </c>
      <c r="B1681" t="s">
        <v>91</v>
      </c>
      <c r="C1681">
        <v>59996</v>
      </c>
      <c r="D1681" t="s">
        <v>124</v>
      </c>
      <c r="E1681" s="7">
        <v>183.84</v>
      </c>
      <c r="F1681" t="s">
        <v>20</v>
      </c>
      <c r="G1681" t="s">
        <v>93</v>
      </c>
      <c r="H1681" t="str">
        <f>"CHECK"</f>
        <v>CHECK</v>
      </c>
      <c r="I1681" t="str">
        <f>""</f>
        <v/>
      </c>
    </row>
    <row r="1682" spans="1:9" x14ac:dyDescent="0.25">
      <c r="A1682" s="6">
        <v>43480</v>
      </c>
      <c r="B1682" t="s">
        <v>26</v>
      </c>
      <c r="C1682">
        <v>59997</v>
      </c>
      <c r="D1682" t="s">
        <v>126</v>
      </c>
      <c r="E1682" s="7">
        <v>85723.78</v>
      </c>
      <c r="F1682" t="s">
        <v>20</v>
      </c>
      <c r="G1682" t="s">
        <v>21</v>
      </c>
      <c r="H1682" t="str">
        <f>"0589-002208255"</f>
        <v>0589-002208255</v>
      </c>
      <c r="I1682" t="str">
        <f>"REPUBLIC SERVICES #859"</f>
        <v>REPUBLIC SERVICES #859</v>
      </c>
    </row>
    <row r="1683" spans="1:9" x14ac:dyDescent="0.25">
      <c r="A1683" s="6">
        <v>43480</v>
      </c>
      <c r="B1683" t="s">
        <v>26</v>
      </c>
      <c r="C1683">
        <v>59997</v>
      </c>
      <c r="D1683" t="s">
        <v>126</v>
      </c>
      <c r="E1683" s="7">
        <v>85723.78</v>
      </c>
      <c r="F1683" t="s">
        <v>20</v>
      </c>
      <c r="G1683" t="s">
        <v>21</v>
      </c>
      <c r="H1683" t="str">
        <f>"0859-002204030"</f>
        <v>0859-002204030</v>
      </c>
      <c r="I1683" t="str">
        <f>"REPUBLIC SERVICES #859"</f>
        <v>REPUBLIC SERVICES #859</v>
      </c>
    </row>
    <row r="1684" spans="1:9" x14ac:dyDescent="0.25">
      <c r="A1684" s="6">
        <v>43480</v>
      </c>
      <c r="B1684" t="s">
        <v>26</v>
      </c>
      <c r="C1684">
        <v>59998</v>
      </c>
      <c r="D1684" t="s">
        <v>275</v>
      </c>
      <c r="E1684" s="7">
        <v>1285</v>
      </c>
      <c r="F1684" t="s">
        <v>20</v>
      </c>
      <c r="G1684" t="s">
        <v>21</v>
      </c>
      <c r="H1684" t="str">
        <f>"41116"</f>
        <v>41116</v>
      </c>
      <c r="I1684" t="str">
        <f>"CORTEZ LIQUID WASTE SERVICES"</f>
        <v>CORTEZ LIQUID WASTE SERVICES</v>
      </c>
    </row>
    <row r="1685" spans="1:9" x14ac:dyDescent="0.25">
      <c r="A1685" s="6">
        <v>43480</v>
      </c>
      <c r="B1685" t="s">
        <v>26</v>
      </c>
      <c r="C1685">
        <v>59999</v>
      </c>
      <c r="D1685" t="s">
        <v>345</v>
      </c>
      <c r="E1685" s="7">
        <v>275</v>
      </c>
      <c r="F1685" t="s">
        <v>20</v>
      </c>
      <c r="G1685" t="s">
        <v>21</v>
      </c>
      <c r="H1685" t="str">
        <f>"1/14/19"</f>
        <v>1/14/19</v>
      </c>
      <c r="I1685" t="str">
        <f>"MICHAEL ISAAC MARTINEZ"</f>
        <v>MICHAEL ISAAC MARTINEZ</v>
      </c>
    </row>
    <row r="1686" spans="1:9" x14ac:dyDescent="0.25">
      <c r="A1686" s="6">
        <v>43480</v>
      </c>
      <c r="B1686" t="s">
        <v>26</v>
      </c>
      <c r="C1686">
        <v>60000</v>
      </c>
      <c r="D1686" t="s">
        <v>568</v>
      </c>
      <c r="E1686" s="7">
        <v>34.06</v>
      </c>
      <c r="F1686" t="s">
        <v>20</v>
      </c>
      <c r="G1686" t="s">
        <v>21</v>
      </c>
      <c r="H1686" t="str">
        <f>"325554"</f>
        <v>325554</v>
      </c>
      <c r="I1686" t="str">
        <f>"TIRE HUB"</f>
        <v>TIRE HUB</v>
      </c>
    </row>
    <row r="1687" spans="1:9" x14ac:dyDescent="0.25">
      <c r="A1687" s="6">
        <v>43480</v>
      </c>
      <c r="B1687" t="s">
        <v>26</v>
      </c>
      <c r="C1687">
        <v>60001</v>
      </c>
      <c r="D1687" t="s">
        <v>618</v>
      </c>
      <c r="E1687" s="7">
        <v>605.5</v>
      </c>
      <c r="F1687" t="s">
        <v>20</v>
      </c>
      <c r="G1687" t="s">
        <v>21</v>
      </c>
      <c r="H1687" t="str">
        <f>"1/11/19"</f>
        <v>1/11/19</v>
      </c>
      <c r="I1687" t="str">
        <f>"SYLVIA TREVINO"</f>
        <v>SYLVIA TREVINO</v>
      </c>
    </row>
    <row r="1688" spans="1:9" x14ac:dyDescent="0.25">
      <c r="A1688" s="6">
        <v>43480</v>
      </c>
      <c r="B1688" t="s">
        <v>26</v>
      </c>
      <c r="C1688">
        <v>60002</v>
      </c>
      <c r="D1688" t="s">
        <v>644</v>
      </c>
      <c r="E1688" s="7">
        <v>126.83</v>
      </c>
      <c r="F1688" t="s">
        <v>20</v>
      </c>
      <c r="G1688" t="s">
        <v>21</v>
      </c>
      <c r="H1688" t="str">
        <f>"8213267931"</f>
        <v>8213267931</v>
      </c>
      <c r="I1688" t="str">
        <f>"UNIFIRST CORPORATION"</f>
        <v>UNIFIRST CORPORATION</v>
      </c>
    </row>
    <row r="1689" spans="1:9" x14ac:dyDescent="0.25">
      <c r="A1689" s="6">
        <v>43480</v>
      </c>
      <c r="B1689" t="s">
        <v>91</v>
      </c>
      <c r="C1689">
        <v>60003</v>
      </c>
      <c r="D1689" t="s">
        <v>668</v>
      </c>
      <c r="E1689" s="7">
        <v>7500</v>
      </c>
      <c r="F1689" t="s">
        <v>20</v>
      </c>
      <c r="G1689" t="s">
        <v>21</v>
      </c>
      <c r="H1689" t="str">
        <f>"APPLICATION FACADE"</f>
        <v>APPLICATION FACADE</v>
      </c>
      <c r="I1689" t="str">
        <f>"JOHN TALAMANTEZ"</f>
        <v>JOHN TALAMANTEZ</v>
      </c>
    </row>
    <row r="1690" spans="1:9" x14ac:dyDescent="0.25">
      <c r="A1690" s="6">
        <v>43480</v>
      </c>
      <c r="B1690" t="s">
        <v>91</v>
      </c>
      <c r="C1690">
        <v>60003</v>
      </c>
      <c r="D1690" t="s">
        <v>668</v>
      </c>
      <c r="E1690" s="7">
        <v>7500</v>
      </c>
      <c r="F1690" t="s">
        <v>20</v>
      </c>
      <c r="G1690" t="s">
        <v>93</v>
      </c>
      <c r="H1690" t="str">
        <f>"CHECK"</f>
        <v>CHECK</v>
      </c>
      <c r="I1690" t="str">
        <f>""</f>
        <v/>
      </c>
    </row>
    <row r="1691" spans="1:9" x14ac:dyDescent="0.25">
      <c r="A1691" s="6">
        <v>43480</v>
      </c>
      <c r="B1691" t="s">
        <v>91</v>
      </c>
      <c r="C1691">
        <v>60004</v>
      </c>
      <c r="D1691" t="s">
        <v>666</v>
      </c>
      <c r="E1691" s="7">
        <v>76495.48</v>
      </c>
      <c r="F1691" t="s">
        <v>20</v>
      </c>
      <c r="G1691" t="s">
        <v>21</v>
      </c>
      <c r="H1691" t="str">
        <f>"1141282"</f>
        <v>1141282</v>
      </c>
      <c r="I1691" t="str">
        <f>"JOHN DEERE 310LEP"</f>
        <v>JOHN DEERE 310LEP</v>
      </c>
    </row>
    <row r="1692" spans="1:9" x14ac:dyDescent="0.25">
      <c r="A1692" s="6">
        <v>43480</v>
      </c>
      <c r="B1692" t="s">
        <v>91</v>
      </c>
      <c r="C1692">
        <v>60004</v>
      </c>
      <c r="D1692" t="s">
        <v>666</v>
      </c>
      <c r="E1692" s="7">
        <v>76495.48</v>
      </c>
      <c r="F1692" t="s">
        <v>20</v>
      </c>
      <c r="G1692" t="s">
        <v>93</v>
      </c>
      <c r="H1692" t="str">
        <f>"CHECK"</f>
        <v>CHECK</v>
      </c>
      <c r="I1692" t="str">
        <f>""</f>
        <v/>
      </c>
    </row>
    <row r="1693" spans="1:9" x14ac:dyDescent="0.25">
      <c r="A1693" s="6">
        <v>43480</v>
      </c>
      <c r="B1693" t="s">
        <v>26</v>
      </c>
      <c r="C1693">
        <v>60005</v>
      </c>
      <c r="D1693" t="s">
        <v>390</v>
      </c>
      <c r="E1693" s="7">
        <v>923.62</v>
      </c>
      <c r="F1693" t="s">
        <v>20</v>
      </c>
      <c r="G1693" t="s">
        <v>21</v>
      </c>
      <c r="H1693" t="str">
        <f>"BC0732822"</f>
        <v>BC0732822</v>
      </c>
      <c r="I1693" t="str">
        <f>"UNIFORM"</f>
        <v>UNIFORM</v>
      </c>
    </row>
    <row r="1694" spans="1:9" x14ac:dyDescent="0.25">
      <c r="A1694" s="6">
        <v>43480</v>
      </c>
      <c r="B1694" t="s">
        <v>26</v>
      </c>
      <c r="C1694">
        <v>60006</v>
      </c>
      <c r="D1694" t="s">
        <v>106</v>
      </c>
      <c r="E1694" s="7">
        <v>48</v>
      </c>
      <c r="F1694" t="s">
        <v>20</v>
      </c>
      <c r="G1694" t="s">
        <v>21</v>
      </c>
      <c r="H1694" t="str">
        <f>"418-101247 4THQRTR"</f>
        <v>418-101247 4THQRTR</v>
      </c>
      <c r="I1694" t="str">
        <f>"OMNIBASE SERVICES OF TEXAS"</f>
        <v>OMNIBASE SERVICES OF TEXAS</v>
      </c>
    </row>
    <row r="1695" spans="1:9" x14ac:dyDescent="0.25">
      <c r="A1695" s="6">
        <v>43480</v>
      </c>
      <c r="B1695" t="s">
        <v>26</v>
      </c>
      <c r="C1695">
        <v>60007</v>
      </c>
      <c r="D1695" t="s">
        <v>240</v>
      </c>
      <c r="E1695" s="7">
        <v>1355.13</v>
      </c>
      <c r="F1695" t="s">
        <v>20</v>
      </c>
      <c r="G1695" t="s">
        <v>21</v>
      </c>
      <c r="H1695" t="str">
        <f>"0159255-IN*"</f>
        <v>0159255-IN*</v>
      </c>
      <c r="I1695" t="str">
        <f>"NARDIS PUBLIC SAFETY"</f>
        <v>NARDIS PUBLIC SAFETY</v>
      </c>
    </row>
    <row r="1696" spans="1:9" x14ac:dyDescent="0.25">
      <c r="A1696" s="6">
        <v>43480</v>
      </c>
      <c r="B1696" t="s">
        <v>26</v>
      </c>
      <c r="C1696">
        <v>60007</v>
      </c>
      <c r="D1696" t="s">
        <v>240</v>
      </c>
      <c r="E1696" s="7">
        <v>1355.13</v>
      </c>
      <c r="F1696" t="s">
        <v>20</v>
      </c>
      <c r="G1696" t="s">
        <v>21</v>
      </c>
      <c r="H1696" t="str">
        <f>"0159850-IN"</f>
        <v>0159850-IN</v>
      </c>
      <c r="I1696" t="str">
        <f>"UNIFORM"</f>
        <v>UNIFORM</v>
      </c>
    </row>
    <row r="1697" spans="1:9" x14ac:dyDescent="0.25">
      <c r="A1697" s="6">
        <v>43480</v>
      </c>
      <c r="B1697" t="s">
        <v>26</v>
      </c>
      <c r="C1697">
        <v>60007</v>
      </c>
      <c r="D1697" t="s">
        <v>240</v>
      </c>
      <c r="E1697" s="7">
        <v>1355.13</v>
      </c>
      <c r="F1697" t="s">
        <v>20</v>
      </c>
      <c r="G1697" t="s">
        <v>21</v>
      </c>
      <c r="H1697" t="str">
        <f>"0159852-IN*"</f>
        <v>0159852-IN*</v>
      </c>
      <c r="I1697" t="str">
        <f>"NARDIS PUBLIC SAFETY"</f>
        <v>NARDIS PUBLIC SAFETY</v>
      </c>
    </row>
    <row r="1698" spans="1:9" x14ac:dyDescent="0.25">
      <c r="A1698" s="6">
        <v>43480</v>
      </c>
      <c r="B1698" t="s">
        <v>26</v>
      </c>
      <c r="C1698">
        <v>60007</v>
      </c>
      <c r="D1698" t="s">
        <v>240</v>
      </c>
      <c r="E1698" s="7">
        <v>1355.13</v>
      </c>
      <c r="F1698" t="s">
        <v>20</v>
      </c>
      <c r="G1698" t="s">
        <v>21</v>
      </c>
      <c r="H1698" t="str">
        <f>"0159970-IN"</f>
        <v>0159970-IN</v>
      </c>
      <c r="I1698" t="str">
        <f>"UNIFORM"</f>
        <v>UNIFORM</v>
      </c>
    </row>
    <row r="1699" spans="1:9" x14ac:dyDescent="0.25">
      <c r="A1699" s="6">
        <v>43480</v>
      </c>
      <c r="B1699" t="s">
        <v>26</v>
      </c>
      <c r="C1699">
        <v>60008</v>
      </c>
      <c r="D1699" t="s">
        <v>340</v>
      </c>
      <c r="E1699" s="7">
        <v>292.06</v>
      </c>
      <c r="F1699" t="s">
        <v>20</v>
      </c>
      <c r="G1699" t="s">
        <v>21</v>
      </c>
      <c r="H1699" t="str">
        <f>"1810-364379*"</f>
        <v>1810-364379*</v>
      </c>
      <c r="I1699" t="str">
        <f>"O'REILLY AUTOMOTIVE  INC."</f>
        <v>O'REILLY AUTOMOTIVE  INC.</v>
      </c>
    </row>
    <row r="1700" spans="1:9" x14ac:dyDescent="0.25">
      <c r="A1700" s="6">
        <v>43480</v>
      </c>
      <c r="B1700" t="s">
        <v>26</v>
      </c>
      <c r="C1700">
        <v>60008</v>
      </c>
      <c r="D1700" t="s">
        <v>340</v>
      </c>
      <c r="E1700" s="7">
        <v>292.06</v>
      </c>
      <c r="F1700" t="s">
        <v>20</v>
      </c>
      <c r="G1700" t="s">
        <v>21</v>
      </c>
      <c r="H1700" t="str">
        <f>"1810-364871*"</f>
        <v>1810-364871*</v>
      </c>
      <c r="I1700" t="str">
        <f>"O'REILLY AUTOMOTIVE  INC."</f>
        <v>O'REILLY AUTOMOTIVE  INC.</v>
      </c>
    </row>
    <row r="1701" spans="1:9" x14ac:dyDescent="0.25">
      <c r="A1701" s="6">
        <v>43480</v>
      </c>
      <c r="B1701" t="s">
        <v>26</v>
      </c>
      <c r="C1701">
        <v>60008</v>
      </c>
      <c r="D1701" t="s">
        <v>340</v>
      </c>
      <c r="E1701" s="7">
        <v>292.06</v>
      </c>
      <c r="F1701" t="s">
        <v>20</v>
      </c>
      <c r="G1701" t="s">
        <v>21</v>
      </c>
      <c r="H1701" t="str">
        <f>"1810-364873*"</f>
        <v>1810-364873*</v>
      </c>
      <c r="I1701" t="str">
        <f>"O'REILLY AUTOMOTIVE  INC."</f>
        <v>O'REILLY AUTOMOTIVE  INC.</v>
      </c>
    </row>
    <row r="1702" spans="1:9" x14ac:dyDescent="0.25">
      <c r="A1702" s="6">
        <v>43480</v>
      </c>
      <c r="B1702" t="s">
        <v>26</v>
      </c>
      <c r="C1702">
        <v>60009</v>
      </c>
      <c r="D1702" t="s">
        <v>123</v>
      </c>
      <c r="E1702" s="7">
        <v>221.19</v>
      </c>
      <c r="F1702" t="s">
        <v>20</v>
      </c>
      <c r="G1702" t="s">
        <v>21</v>
      </c>
      <c r="H1702" t="str">
        <f>"250047177001*"</f>
        <v>250047177001*</v>
      </c>
      <c r="I1702" t="str">
        <f>"OFFICE DEPOT  INC."</f>
        <v>OFFICE DEPOT  INC.</v>
      </c>
    </row>
    <row r="1703" spans="1:9" x14ac:dyDescent="0.25">
      <c r="A1703" s="6">
        <v>43488</v>
      </c>
      <c r="B1703" t="s">
        <v>26</v>
      </c>
      <c r="C1703">
        <v>60010</v>
      </c>
      <c r="D1703" t="s">
        <v>102</v>
      </c>
      <c r="E1703" s="7">
        <v>408.65</v>
      </c>
      <c r="F1703" t="s">
        <v>20</v>
      </c>
      <c r="G1703" t="s">
        <v>21</v>
      </c>
      <c r="H1703" t="str">
        <f>"1107 1ST ST. 1/19"</f>
        <v>1107 1ST ST. 1/19</v>
      </c>
      <c r="I1703" t="str">
        <f>"CENTERPOINT ENERGY ENTEX"</f>
        <v>CENTERPOINT ENERGY ENTEX</v>
      </c>
    </row>
    <row r="1704" spans="1:9" x14ac:dyDescent="0.25">
      <c r="A1704" s="6">
        <v>43488</v>
      </c>
      <c r="B1704" t="s">
        <v>26</v>
      </c>
      <c r="C1704">
        <v>60010</v>
      </c>
      <c r="D1704" t="s">
        <v>102</v>
      </c>
      <c r="E1704" s="7">
        <v>408.65</v>
      </c>
      <c r="F1704" t="s">
        <v>20</v>
      </c>
      <c r="G1704" t="s">
        <v>21</v>
      </c>
      <c r="H1704" t="str">
        <f>"1120 D. ST 1/19"</f>
        <v>1120 D. ST 1/19</v>
      </c>
      <c r="I1704" t="str">
        <f>"CENTERPOINT ENERGY ENTEX"</f>
        <v>CENTERPOINT ENERGY ENTEX</v>
      </c>
    </row>
    <row r="1705" spans="1:9" x14ac:dyDescent="0.25">
      <c r="A1705" s="6">
        <v>43488</v>
      </c>
      <c r="B1705" t="s">
        <v>26</v>
      </c>
      <c r="C1705">
        <v>60010</v>
      </c>
      <c r="D1705" t="s">
        <v>102</v>
      </c>
      <c r="E1705" s="7">
        <v>408.65</v>
      </c>
      <c r="F1705" t="s">
        <v>20</v>
      </c>
      <c r="G1705" t="s">
        <v>21</v>
      </c>
      <c r="H1705" t="str">
        <f>"1200 1ST ST 1/19"</f>
        <v>1200 1ST ST 1/19</v>
      </c>
      <c r="I1705" t="str">
        <f>"CENTERPOINT ENERGY ENTEX"</f>
        <v>CENTERPOINT ENERGY ENTEX</v>
      </c>
    </row>
    <row r="1706" spans="1:9" x14ac:dyDescent="0.25">
      <c r="A1706" s="6">
        <v>43488</v>
      </c>
      <c r="B1706" t="s">
        <v>26</v>
      </c>
      <c r="C1706">
        <v>60010</v>
      </c>
      <c r="D1706" t="s">
        <v>102</v>
      </c>
      <c r="E1706" s="7">
        <v>408.65</v>
      </c>
      <c r="F1706" t="s">
        <v>20</v>
      </c>
      <c r="G1706" t="s">
        <v>21</v>
      </c>
      <c r="H1706" t="str">
        <f>"920 C ST. 1/19"</f>
        <v>920 C ST. 1/19</v>
      </c>
      <c r="I1706" t="str">
        <f>"CENTERPOINT ENERGY ENTEX"</f>
        <v>CENTERPOINT ENERGY ENTEX</v>
      </c>
    </row>
    <row r="1707" spans="1:9" x14ac:dyDescent="0.25">
      <c r="A1707" s="6">
        <v>43488</v>
      </c>
      <c r="B1707" t="s">
        <v>26</v>
      </c>
      <c r="C1707">
        <v>60011</v>
      </c>
      <c r="D1707" t="s">
        <v>57</v>
      </c>
      <c r="E1707" s="7">
        <v>22875.39</v>
      </c>
      <c r="F1707" t="s">
        <v>20</v>
      </c>
      <c r="G1707" t="s">
        <v>21</v>
      </c>
      <c r="H1707" t="str">
        <f>"11617 2/2019"</f>
        <v>11617 2/2019</v>
      </c>
      <c r="I1707" t="str">
        <f>"F.E.L.P.S."</f>
        <v>F.E.L.P.S.</v>
      </c>
    </row>
    <row r="1708" spans="1:9" x14ac:dyDescent="0.25">
      <c r="A1708" s="6">
        <v>43488</v>
      </c>
      <c r="B1708" t="s">
        <v>26</v>
      </c>
      <c r="C1708">
        <v>60011</v>
      </c>
      <c r="D1708" t="s">
        <v>57</v>
      </c>
      <c r="E1708" s="7">
        <v>22875.39</v>
      </c>
      <c r="F1708" t="s">
        <v>20</v>
      </c>
      <c r="G1708" t="s">
        <v>21</v>
      </c>
      <c r="H1708" t="str">
        <f>"LATE FEES 2 1/2019"</f>
        <v>LATE FEES 2 1/2019</v>
      </c>
      <c r="I1708" t="str">
        <f>"F.E.L.P.S."</f>
        <v>F.E.L.P.S.</v>
      </c>
    </row>
    <row r="1709" spans="1:9" x14ac:dyDescent="0.25">
      <c r="A1709" s="6">
        <v>43488</v>
      </c>
      <c r="B1709" t="s">
        <v>26</v>
      </c>
      <c r="C1709">
        <v>60013</v>
      </c>
      <c r="D1709" t="s">
        <v>143</v>
      </c>
      <c r="E1709" s="7">
        <v>445.5</v>
      </c>
      <c r="F1709" t="s">
        <v>20</v>
      </c>
      <c r="G1709" t="s">
        <v>21</v>
      </c>
      <c r="H1709" t="str">
        <f>"9401980803"</f>
        <v>9401980803</v>
      </c>
      <c r="I1709" t="str">
        <f>"OIL"</f>
        <v>OIL</v>
      </c>
    </row>
    <row r="1710" spans="1:9" x14ac:dyDescent="0.25">
      <c r="A1710" s="6">
        <v>43488</v>
      </c>
      <c r="B1710" t="s">
        <v>26</v>
      </c>
      <c r="C1710">
        <v>60014</v>
      </c>
      <c r="D1710" t="s">
        <v>103</v>
      </c>
      <c r="E1710" s="7">
        <v>64855.26</v>
      </c>
      <c r="F1710" t="s">
        <v>20</v>
      </c>
      <c r="G1710" t="s">
        <v>21</v>
      </c>
      <c r="H1710" t="str">
        <f>"5451FEDC SALES TAX"</f>
        <v>5451FEDC SALES TAX</v>
      </c>
      <c r="I1710" t="str">
        <f>"F. E. D. C."</f>
        <v>F. E. D. C.</v>
      </c>
    </row>
    <row r="1711" spans="1:9" x14ac:dyDescent="0.25">
      <c r="A1711" s="6">
        <v>43488</v>
      </c>
      <c r="B1711" t="s">
        <v>26</v>
      </c>
      <c r="C1711">
        <v>60015</v>
      </c>
      <c r="D1711" t="s">
        <v>59</v>
      </c>
      <c r="E1711" s="7">
        <v>1910.99</v>
      </c>
      <c r="F1711" t="s">
        <v>20</v>
      </c>
      <c r="G1711" t="s">
        <v>21</v>
      </c>
      <c r="H1711" t="str">
        <f>"0999457"</f>
        <v>0999457</v>
      </c>
      <c r="I1711" t="str">
        <f>"VALVES AND PIPES"</f>
        <v>VALVES AND PIPES</v>
      </c>
    </row>
    <row r="1712" spans="1:9" x14ac:dyDescent="0.25">
      <c r="A1712" s="6">
        <v>43488</v>
      </c>
      <c r="B1712" t="s">
        <v>26</v>
      </c>
      <c r="C1712">
        <v>60015</v>
      </c>
      <c r="D1712" t="s">
        <v>59</v>
      </c>
      <c r="E1712" s="7">
        <v>1910.99</v>
      </c>
      <c r="F1712" t="s">
        <v>20</v>
      </c>
      <c r="G1712" t="s">
        <v>21</v>
      </c>
      <c r="H1712" t="str">
        <f>"0999457-1"</f>
        <v>0999457-1</v>
      </c>
      <c r="I1712" t="str">
        <f>"VALVES AND PIPES"</f>
        <v>VALVES AND PIPES</v>
      </c>
    </row>
    <row r="1713" spans="1:9" x14ac:dyDescent="0.25">
      <c r="A1713" s="6">
        <v>43488</v>
      </c>
      <c r="B1713" t="s">
        <v>26</v>
      </c>
      <c r="C1713">
        <v>60015</v>
      </c>
      <c r="D1713" t="s">
        <v>59</v>
      </c>
      <c r="E1713" s="7">
        <v>1910.99</v>
      </c>
      <c r="F1713" t="s">
        <v>20</v>
      </c>
      <c r="G1713" t="s">
        <v>21</v>
      </c>
      <c r="H1713" t="str">
        <f>"0999457-2"</f>
        <v>0999457-2</v>
      </c>
      <c r="I1713" t="str">
        <f>"FERGUSON WATERWORKS - MUNICIPA"</f>
        <v>FERGUSON WATERWORKS - MUNICIPA</v>
      </c>
    </row>
    <row r="1714" spans="1:9" x14ac:dyDescent="0.25">
      <c r="A1714" s="6">
        <v>43488</v>
      </c>
      <c r="B1714" t="s">
        <v>26</v>
      </c>
      <c r="C1714">
        <v>60015</v>
      </c>
      <c r="D1714" t="s">
        <v>59</v>
      </c>
      <c r="E1714" s="7">
        <v>1910.99</v>
      </c>
      <c r="F1714" t="s">
        <v>20</v>
      </c>
      <c r="G1714" t="s">
        <v>21</v>
      </c>
      <c r="H1714" t="str">
        <f>"1000231"</f>
        <v>1000231</v>
      </c>
      <c r="I1714" t="str">
        <f>"SLINGS"</f>
        <v>SLINGS</v>
      </c>
    </row>
    <row r="1715" spans="1:9" x14ac:dyDescent="0.25">
      <c r="A1715" s="6">
        <v>43488</v>
      </c>
      <c r="B1715" t="s">
        <v>26</v>
      </c>
      <c r="C1715">
        <v>60017</v>
      </c>
      <c r="D1715" t="s">
        <v>105</v>
      </c>
      <c r="E1715" s="7">
        <v>56</v>
      </c>
      <c r="F1715" t="s">
        <v>20</v>
      </c>
      <c r="G1715" t="s">
        <v>21</v>
      </c>
      <c r="H1715" t="str">
        <f>"312064"</f>
        <v>312064</v>
      </c>
      <c r="I1715" t="str">
        <f>"STATE INSPECTIONS"</f>
        <v>STATE INSPECTIONS</v>
      </c>
    </row>
    <row r="1716" spans="1:9" x14ac:dyDescent="0.25">
      <c r="A1716" s="6">
        <v>43488</v>
      </c>
      <c r="B1716" t="s">
        <v>26</v>
      </c>
      <c r="C1716">
        <v>60017</v>
      </c>
      <c r="D1716" t="s">
        <v>105</v>
      </c>
      <c r="E1716" s="7">
        <v>56</v>
      </c>
      <c r="F1716" t="s">
        <v>20</v>
      </c>
      <c r="G1716" t="s">
        <v>21</v>
      </c>
      <c r="H1716" t="str">
        <f>"312075"</f>
        <v>312075</v>
      </c>
      <c r="I1716" t="str">
        <f>"STATE INSPECTIONS"</f>
        <v>STATE INSPECTIONS</v>
      </c>
    </row>
    <row r="1717" spans="1:9" x14ac:dyDescent="0.25">
      <c r="A1717" s="6">
        <v>43488</v>
      </c>
      <c r="B1717" t="s">
        <v>26</v>
      </c>
      <c r="C1717">
        <v>60018</v>
      </c>
      <c r="D1717" t="s">
        <v>250</v>
      </c>
      <c r="E1717" s="7">
        <v>1372.78</v>
      </c>
      <c r="F1717" t="s">
        <v>20</v>
      </c>
      <c r="G1717" t="s">
        <v>21</v>
      </c>
      <c r="H1717" t="str">
        <f>"C120347"</f>
        <v>C120347</v>
      </c>
      <c r="I1717" t="str">
        <f>"BUILDING MAINT."</f>
        <v>BUILDING MAINT.</v>
      </c>
    </row>
    <row r="1718" spans="1:9" x14ac:dyDescent="0.25">
      <c r="A1718" s="6">
        <v>43488</v>
      </c>
      <c r="B1718" t="s">
        <v>26</v>
      </c>
      <c r="C1718">
        <v>60018</v>
      </c>
      <c r="D1718" t="s">
        <v>250</v>
      </c>
      <c r="E1718" s="7">
        <v>1372.78</v>
      </c>
      <c r="F1718" t="s">
        <v>20</v>
      </c>
      <c r="G1718" t="s">
        <v>21</v>
      </c>
      <c r="H1718" t="str">
        <f>"C120347A"</f>
        <v>C120347A</v>
      </c>
      <c r="I1718" t="str">
        <f>"BUILDING MAINT."</f>
        <v>BUILDING MAINT.</v>
      </c>
    </row>
    <row r="1719" spans="1:9" x14ac:dyDescent="0.25">
      <c r="A1719" s="6">
        <v>43488</v>
      </c>
      <c r="B1719" t="s">
        <v>26</v>
      </c>
      <c r="C1719">
        <v>60018</v>
      </c>
      <c r="D1719" t="s">
        <v>250</v>
      </c>
      <c r="E1719" s="7">
        <v>1372.78</v>
      </c>
      <c r="F1719" t="s">
        <v>20</v>
      </c>
      <c r="G1719" t="s">
        <v>21</v>
      </c>
      <c r="H1719" t="str">
        <f>"C120348"</f>
        <v>C120348</v>
      </c>
      <c r="I1719" t="str">
        <f>"BUILDING MAINT."</f>
        <v>BUILDING MAINT.</v>
      </c>
    </row>
    <row r="1720" spans="1:9" x14ac:dyDescent="0.25">
      <c r="A1720" s="6">
        <v>43488</v>
      </c>
      <c r="B1720" t="s">
        <v>26</v>
      </c>
      <c r="C1720">
        <v>60018</v>
      </c>
      <c r="D1720" t="s">
        <v>250</v>
      </c>
      <c r="E1720" s="7">
        <v>1372.78</v>
      </c>
      <c r="F1720" t="s">
        <v>20</v>
      </c>
      <c r="G1720" t="s">
        <v>21</v>
      </c>
      <c r="H1720" t="str">
        <f>"C120366"</f>
        <v>C120366</v>
      </c>
      <c r="I1720" t="str">
        <f>"BUILDING MAINT"</f>
        <v>BUILDING MAINT</v>
      </c>
    </row>
    <row r="1721" spans="1:9" x14ac:dyDescent="0.25">
      <c r="A1721" s="6">
        <v>43488</v>
      </c>
      <c r="B1721" t="s">
        <v>26</v>
      </c>
      <c r="C1721">
        <v>60018</v>
      </c>
      <c r="D1721" t="s">
        <v>250</v>
      </c>
      <c r="E1721" s="7">
        <v>1372.78</v>
      </c>
      <c r="F1721" t="s">
        <v>20</v>
      </c>
      <c r="G1721" t="s">
        <v>21</v>
      </c>
      <c r="H1721" t="str">
        <f>"C120366A"</f>
        <v>C120366A</v>
      </c>
      <c r="I1721" t="str">
        <f>"BUILDING MAINT"</f>
        <v>BUILDING MAINT</v>
      </c>
    </row>
    <row r="1722" spans="1:9" x14ac:dyDescent="0.25">
      <c r="A1722" s="6">
        <v>43488</v>
      </c>
      <c r="B1722" t="s">
        <v>91</v>
      </c>
      <c r="C1722">
        <v>60020</v>
      </c>
      <c r="D1722" t="s">
        <v>179</v>
      </c>
      <c r="E1722" s="7">
        <v>41.71</v>
      </c>
      <c r="F1722" t="s">
        <v>20</v>
      </c>
      <c r="G1722" t="s">
        <v>21</v>
      </c>
      <c r="H1722" t="str">
        <f>"W54852F"</f>
        <v>W54852F</v>
      </c>
      <c r="I1722" t="str">
        <f>"A/C HOSE"</f>
        <v>A/C HOSE</v>
      </c>
    </row>
    <row r="1723" spans="1:9" x14ac:dyDescent="0.25">
      <c r="A1723" s="6">
        <v>43488</v>
      </c>
      <c r="B1723" t="s">
        <v>91</v>
      </c>
      <c r="C1723">
        <v>60020</v>
      </c>
      <c r="D1723" t="s">
        <v>179</v>
      </c>
      <c r="E1723" s="7">
        <v>41.71</v>
      </c>
      <c r="F1723" t="s">
        <v>20</v>
      </c>
      <c r="G1723" t="s">
        <v>93</v>
      </c>
      <c r="H1723" t="str">
        <f>"CHECK"</f>
        <v>CHECK</v>
      </c>
      <c r="I1723" t="str">
        <f>""</f>
        <v/>
      </c>
    </row>
    <row r="1724" spans="1:9" x14ac:dyDescent="0.25">
      <c r="A1724" s="6">
        <v>43488</v>
      </c>
      <c r="B1724" t="s">
        <v>26</v>
      </c>
      <c r="C1724">
        <v>60021</v>
      </c>
      <c r="D1724" t="s">
        <v>203</v>
      </c>
      <c r="E1724" s="7">
        <v>370.45</v>
      </c>
      <c r="F1724" t="s">
        <v>20</v>
      </c>
      <c r="G1724" t="s">
        <v>21</v>
      </c>
      <c r="H1724" t="str">
        <f>"782056"</f>
        <v>782056</v>
      </c>
      <c r="I1724" t="str">
        <f>"WW SAMPLING EQUPT"</f>
        <v>WW SAMPLING EQUPT</v>
      </c>
    </row>
    <row r="1725" spans="1:9" x14ac:dyDescent="0.25">
      <c r="A1725" s="6">
        <v>43488</v>
      </c>
      <c r="B1725" t="s">
        <v>26</v>
      </c>
      <c r="C1725">
        <v>60022</v>
      </c>
      <c r="D1725" t="s">
        <v>340</v>
      </c>
      <c r="E1725" s="7">
        <v>218.81</v>
      </c>
      <c r="F1725" t="s">
        <v>20</v>
      </c>
      <c r="G1725" t="s">
        <v>21</v>
      </c>
      <c r="H1725" t="str">
        <f>"1810-361535"</f>
        <v>1810-361535</v>
      </c>
      <c r="I1725" t="str">
        <f>"BATTERY"</f>
        <v>BATTERY</v>
      </c>
    </row>
    <row r="1726" spans="1:9" x14ac:dyDescent="0.25">
      <c r="A1726" s="6">
        <v>43488</v>
      </c>
      <c r="B1726" t="s">
        <v>26</v>
      </c>
      <c r="C1726">
        <v>60022</v>
      </c>
      <c r="D1726" t="s">
        <v>340</v>
      </c>
      <c r="E1726" s="7">
        <v>218.81</v>
      </c>
      <c r="F1726" t="s">
        <v>20</v>
      </c>
      <c r="G1726" t="s">
        <v>21</v>
      </c>
      <c r="H1726" t="str">
        <f>"1810-365326"</f>
        <v>1810-365326</v>
      </c>
      <c r="I1726" t="str">
        <f>"HYDRAULIC FLUID"</f>
        <v>HYDRAULIC FLUID</v>
      </c>
    </row>
    <row r="1727" spans="1:9" x14ac:dyDescent="0.25">
      <c r="A1727" s="6">
        <v>43488</v>
      </c>
      <c r="B1727" t="s">
        <v>26</v>
      </c>
      <c r="C1727">
        <v>60023</v>
      </c>
      <c r="D1727" t="s">
        <v>181</v>
      </c>
      <c r="E1727" s="7">
        <v>86</v>
      </c>
      <c r="F1727" t="s">
        <v>20</v>
      </c>
      <c r="G1727" t="s">
        <v>21</v>
      </c>
      <c r="H1727" t="str">
        <f>"8303933186 1/2019"</f>
        <v>8303933186 1/2019</v>
      </c>
      <c r="I1727" t="str">
        <f>"AT&amp;T"</f>
        <v>AT&amp;T</v>
      </c>
    </row>
    <row r="1728" spans="1:9" x14ac:dyDescent="0.25">
      <c r="A1728" s="6">
        <v>43488</v>
      </c>
      <c r="B1728" t="s">
        <v>26</v>
      </c>
      <c r="C1728">
        <v>60024</v>
      </c>
      <c r="D1728" t="s">
        <v>184</v>
      </c>
      <c r="E1728" s="7">
        <v>1841</v>
      </c>
      <c r="F1728" t="s">
        <v>20</v>
      </c>
      <c r="G1728" t="s">
        <v>21</v>
      </c>
      <c r="H1728" t="str">
        <f>"1051-910"</f>
        <v>1051-910</v>
      </c>
      <c r="I1728" t="str">
        <f>"POLLUTION CONTROL SERVICES"</f>
        <v>POLLUTION CONTROL SERVICES</v>
      </c>
    </row>
    <row r="1729" spans="1:9" x14ac:dyDescent="0.25">
      <c r="A1729" s="6">
        <v>43488</v>
      </c>
      <c r="B1729" t="s">
        <v>26</v>
      </c>
      <c r="C1729">
        <v>60025</v>
      </c>
      <c r="D1729" t="s">
        <v>62</v>
      </c>
      <c r="E1729" s="7">
        <v>2000</v>
      </c>
      <c r="F1729" t="s">
        <v>20</v>
      </c>
      <c r="G1729" t="s">
        <v>21</v>
      </c>
      <c r="H1729" t="str">
        <f>"M MORENO 1/18/19"</f>
        <v>M MORENO 1/18/19</v>
      </c>
      <c r="I1729" t="str">
        <f>"PROFICIENT BENEFIT SOLUTIONS"</f>
        <v>PROFICIENT BENEFIT SOLUTIONS</v>
      </c>
    </row>
    <row r="1730" spans="1:9" x14ac:dyDescent="0.25">
      <c r="A1730" s="6">
        <v>43488</v>
      </c>
      <c r="B1730" t="s">
        <v>26</v>
      </c>
      <c r="C1730">
        <v>60026</v>
      </c>
      <c r="D1730" t="s">
        <v>63</v>
      </c>
      <c r="E1730" s="7">
        <v>297</v>
      </c>
      <c r="F1730" t="s">
        <v>20</v>
      </c>
      <c r="G1730" t="s">
        <v>21</v>
      </c>
      <c r="H1730" t="str">
        <f>"8403974097"</f>
        <v>8403974097</v>
      </c>
      <c r="I1730" t="str">
        <f>"CINTAS CORPORATION"</f>
        <v>CINTAS CORPORATION</v>
      </c>
    </row>
    <row r="1731" spans="1:9" x14ac:dyDescent="0.25">
      <c r="A1731" s="6">
        <v>43488</v>
      </c>
      <c r="B1731" t="s">
        <v>26</v>
      </c>
      <c r="C1731">
        <v>60027</v>
      </c>
      <c r="D1731" t="s">
        <v>117</v>
      </c>
      <c r="E1731" s="7">
        <v>1291.23</v>
      </c>
      <c r="F1731" t="s">
        <v>20</v>
      </c>
      <c r="G1731" t="s">
        <v>21</v>
      </c>
      <c r="H1731" t="str">
        <f>"DEC 2018"</f>
        <v>DEC 2018</v>
      </c>
      <c r="I1731" t="str">
        <f>"LINEBARGER GOGGAN BLAIR &amp; SAMP"</f>
        <v>LINEBARGER GOGGAN BLAIR &amp; SAMP</v>
      </c>
    </row>
    <row r="1732" spans="1:9" x14ac:dyDescent="0.25">
      <c r="A1732" s="6">
        <v>43488</v>
      </c>
      <c r="B1732" t="s">
        <v>26</v>
      </c>
      <c r="C1732">
        <v>60028</v>
      </c>
      <c r="D1732" t="s">
        <v>213</v>
      </c>
      <c r="E1732" s="7">
        <v>4868.84</v>
      </c>
      <c r="F1732" t="s">
        <v>20</v>
      </c>
      <c r="G1732" t="s">
        <v>21</v>
      </c>
      <c r="H1732" t="str">
        <f>"DEC 2018"</f>
        <v>DEC 2018</v>
      </c>
      <c r="I1732" t="str">
        <f>"RIVER BEND COMMUNITY DEVELOPME"</f>
        <v>RIVER BEND COMMUNITY DEVELOPME</v>
      </c>
    </row>
    <row r="1733" spans="1:9" x14ac:dyDescent="0.25">
      <c r="A1733" s="6">
        <v>43488</v>
      </c>
      <c r="B1733" t="s">
        <v>26</v>
      </c>
      <c r="C1733">
        <v>60029</v>
      </c>
      <c r="D1733" t="s">
        <v>118</v>
      </c>
      <c r="E1733" s="7">
        <v>105</v>
      </c>
      <c r="F1733" t="s">
        <v>20</v>
      </c>
      <c r="G1733" t="s">
        <v>21</v>
      </c>
      <c r="H1733" t="str">
        <f>"11248"</f>
        <v>11248</v>
      </c>
      <c r="I1733" t="str">
        <f>"BRYAN AIR CONDITIONING &amp; HEATI"</f>
        <v>BRYAN AIR CONDITIONING &amp; HEATI</v>
      </c>
    </row>
    <row r="1734" spans="1:9" x14ac:dyDescent="0.25">
      <c r="A1734" s="6">
        <v>43488</v>
      </c>
      <c r="B1734" t="s">
        <v>26</v>
      </c>
      <c r="C1734">
        <v>60030</v>
      </c>
      <c r="D1734" t="s">
        <v>254</v>
      </c>
      <c r="E1734" s="7">
        <v>6617.22</v>
      </c>
      <c r="F1734" t="s">
        <v>20</v>
      </c>
      <c r="G1734" t="s">
        <v>21</v>
      </c>
      <c r="H1734" t="str">
        <f>"QRT END 12/31/18"</f>
        <v>QRT END 12/31/18</v>
      </c>
      <c r="I1734" t="str">
        <f>"TEXAS WORKFORCE COMMISSION"</f>
        <v>TEXAS WORKFORCE COMMISSION</v>
      </c>
    </row>
    <row r="1735" spans="1:9" x14ac:dyDescent="0.25">
      <c r="A1735" s="6">
        <v>43488</v>
      </c>
      <c r="B1735" t="s">
        <v>26</v>
      </c>
      <c r="C1735">
        <v>60031</v>
      </c>
      <c r="D1735" t="s">
        <v>188</v>
      </c>
      <c r="E1735" s="7">
        <v>280.77</v>
      </c>
      <c r="F1735" t="s">
        <v>20</v>
      </c>
      <c r="G1735" t="s">
        <v>21</v>
      </c>
      <c r="H1735" t="str">
        <f>"47492"</f>
        <v>47492</v>
      </c>
      <c r="I1735" t="str">
        <f>"HYDRAULIC HOSE"</f>
        <v>HYDRAULIC HOSE</v>
      </c>
    </row>
    <row r="1736" spans="1:9" x14ac:dyDescent="0.25">
      <c r="A1736" s="6">
        <v>43488</v>
      </c>
      <c r="B1736" t="s">
        <v>26</v>
      </c>
      <c r="C1736">
        <v>60031</v>
      </c>
      <c r="D1736" t="s">
        <v>188</v>
      </c>
      <c r="E1736" s="7">
        <v>280.77</v>
      </c>
      <c r="F1736" t="s">
        <v>20</v>
      </c>
      <c r="G1736" t="s">
        <v>21</v>
      </c>
      <c r="H1736" t="str">
        <f>"47750"</f>
        <v>47750</v>
      </c>
      <c r="I1736" t="str">
        <f>"CYLINDER REPAIR"</f>
        <v>CYLINDER REPAIR</v>
      </c>
    </row>
    <row r="1737" spans="1:9" x14ac:dyDescent="0.25">
      <c r="A1737" s="6">
        <v>43488</v>
      </c>
      <c r="B1737" t="s">
        <v>26</v>
      </c>
      <c r="C1737">
        <v>60032</v>
      </c>
      <c r="D1737" t="s">
        <v>119</v>
      </c>
      <c r="E1737" s="7">
        <v>43</v>
      </c>
      <c r="F1737" t="s">
        <v>20</v>
      </c>
      <c r="G1737" t="s">
        <v>21</v>
      </c>
      <c r="H1737" t="str">
        <f>"44796"</f>
        <v>44796</v>
      </c>
      <c r="I1737" t="str">
        <f>"TIRE REPAIR"</f>
        <v>TIRE REPAIR</v>
      </c>
    </row>
    <row r="1738" spans="1:9" x14ac:dyDescent="0.25">
      <c r="A1738" s="6">
        <v>43488</v>
      </c>
      <c r="B1738" t="s">
        <v>26</v>
      </c>
      <c r="C1738">
        <v>60033</v>
      </c>
      <c r="D1738" t="s">
        <v>189</v>
      </c>
      <c r="E1738" s="7">
        <v>182.82</v>
      </c>
      <c r="F1738" t="s">
        <v>20</v>
      </c>
      <c r="G1738" t="s">
        <v>21</v>
      </c>
      <c r="H1738" t="str">
        <f>"PSO048106-1"</f>
        <v>PSO048106-1</v>
      </c>
      <c r="I1738" t="str">
        <f>"TRANSMISSION FLUID"</f>
        <v>TRANSMISSION FLUID</v>
      </c>
    </row>
    <row r="1739" spans="1:9" x14ac:dyDescent="0.25">
      <c r="A1739" s="6">
        <v>43488</v>
      </c>
      <c r="B1739" t="s">
        <v>91</v>
      </c>
      <c r="C1739">
        <v>60034</v>
      </c>
      <c r="D1739" t="s">
        <v>214</v>
      </c>
      <c r="E1739" s="7">
        <v>337.94</v>
      </c>
      <c r="F1739" t="s">
        <v>20</v>
      </c>
      <c r="G1739" t="s">
        <v>21</v>
      </c>
      <c r="H1739" t="str">
        <f>"0016679-IN"</f>
        <v>0016679-IN</v>
      </c>
      <c r="I1739" t="str">
        <f>"FLAGS"</f>
        <v>FLAGS</v>
      </c>
    </row>
    <row r="1740" spans="1:9" x14ac:dyDescent="0.25">
      <c r="A1740" s="6">
        <v>43488</v>
      </c>
      <c r="B1740" t="s">
        <v>91</v>
      </c>
      <c r="C1740">
        <v>60034</v>
      </c>
      <c r="D1740" t="s">
        <v>214</v>
      </c>
      <c r="E1740" s="7">
        <v>337.94</v>
      </c>
      <c r="F1740" t="s">
        <v>20</v>
      </c>
      <c r="G1740" t="s">
        <v>93</v>
      </c>
      <c r="H1740" t="str">
        <f>"CHECK"</f>
        <v>CHECK</v>
      </c>
      <c r="I1740" t="str">
        <f>""</f>
        <v/>
      </c>
    </row>
    <row r="1741" spans="1:9" x14ac:dyDescent="0.25">
      <c r="A1741" s="6">
        <v>43488</v>
      </c>
      <c r="B1741" t="s">
        <v>26</v>
      </c>
      <c r="C1741">
        <v>60035</v>
      </c>
      <c r="D1741" t="s">
        <v>146</v>
      </c>
      <c r="E1741" s="7">
        <v>957.8</v>
      </c>
      <c r="F1741" t="s">
        <v>20</v>
      </c>
      <c r="G1741" t="s">
        <v>21</v>
      </c>
      <c r="H1741" t="str">
        <f>"964353"</f>
        <v>964353</v>
      </c>
      <c r="I1741" t="str">
        <f t="shared" ref="I1741:I1747" si="27">"LARRY SRALLA ELECTRIC"</f>
        <v>LARRY SRALLA ELECTRIC</v>
      </c>
    </row>
    <row r="1742" spans="1:9" x14ac:dyDescent="0.25">
      <c r="A1742" s="6">
        <v>43488</v>
      </c>
      <c r="B1742" t="s">
        <v>26</v>
      </c>
      <c r="C1742">
        <v>60035</v>
      </c>
      <c r="D1742" t="s">
        <v>146</v>
      </c>
      <c r="E1742" s="7">
        <v>957.8</v>
      </c>
      <c r="F1742" t="s">
        <v>20</v>
      </c>
      <c r="G1742" t="s">
        <v>21</v>
      </c>
      <c r="H1742" t="str">
        <f>"964354"</f>
        <v>964354</v>
      </c>
      <c r="I1742" t="str">
        <f t="shared" si="27"/>
        <v>LARRY SRALLA ELECTRIC</v>
      </c>
    </row>
    <row r="1743" spans="1:9" x14ac:dyDescent="0.25">
      <c r="A1743" s="6">
        <v>43488</v>
      </c>
      <c r="B1743" t="s">
        <v>26</v>
      </c>
      <c r="C1743">
        <v>60035</v>
      </c>
      <c r="D1743" t="s">
        <v>146</v>
      </c>
      <c r="E1743" s="7">
        <v>957.8</v>
      </c>
      <c r="F1743" t="s">
        <v>20</v>
      </c>
      <c r="G1743" t="s">
        <v>21</v>
      </c>
      <c r="H1743" t="str">
        <f>"964355"</f>
        <v>964355</v>
      </c>
      <c r="I1743" t="str">
        <f t="shared" si="27"/>
        <v>LARRY SRALLA ELECTRIC</v>
      </c>
    </row>
    <row r="1744" spans="1:9" x14ac:dyDescent="0.25">
      <c r="A1744" s="6">
        <v>43488</v>
      </c>
      <c r="B1744" t="s">
        <v>26</v>
      </c>
      <c r="C1744">
        <v>60035</v>
      </c>
      <c r="D1744" t="s">
        <v>146</v>
      </c>
      <c r="E1744" s="7">
        <v>957.8</v>
      </c>
      <c r="F1744" t="s">
        <v>20</v>
      </c>
      <c r="G1744" t="s">
        <v>21</v>
      </c>
      <c r="H1744" t="str">
        <f>"964356"</f>
        <v>964356</v>
      </c>
      <c r="I1744" t="str">
        <f t="shared" si="27"/>
        <v>LARRY SRALLA ELECTRIC</v>
      </c>
    </row>
    <row r="1745" spans="1:9" x14ac:dyDescent="0.25">
      <c r="A1745" s="6">
        <v>43488</v>
      </c>
      <c r="B1745" t="s">
        <v>26</v>
      </c>
      <c r="C1745">
        <v>60035</v>
      </c>
      <c r="D1745" t="s">
        <v>146</v>
      </c>
      <c r="E1745" s="7">
        <v>957.8</v>
      </c>
      <c r="F1745" t="s">
        <v>20</v>
      </c>
      <c r="G1745" t="s">
        <v>21</v>
      </c>
      <c r="H1745" t="str">
        <f>"964357"</f>
        <v>964357</v>
      </c>
      <c r="I1745" t="str">
        <f t="shared" si="27"/>
        <v>LARRY SRALLA ELECTRIC</v>
      </c>
    </row>
    <row r="1746" spans="1:9" x14ac:dyDescent="0.25">
      <c r="A1746" s="6">
        <v>43488</v>
      </c>
      <c r="B1746" t="s">
        <v>26</v>
      </c>
      <c r="C1746">
        <v>60035</v>
      </c>
      <c r="D1746" t="s">
        <v>146</v>
      </c>
      <c r="E1746" s="7">
        <v>957.8</v>
      </c>
      <c r="F1746" t="s">
        <v>20</v>
      </c>
      <c r="G1746" t="s">
        <v>21</v>
      </c>
      <c r="H1746" t="str">
        <f>"964358"</f>
        <v>964358</v>
      </c>
      <c r="I1746" t="str">
        <f t="shared" si="27"/>
        <v>LARRY SRALLA ELECTRIC</v>
      </c>
    </row>
    <row r="1747" spans="1:9" x14ac:dyDescent="0.25">
      <c r="A1747" s="6">
        <v>43488</v>
      </c>
      <c r="B1747" t="s">
        <v>26</v>
      </c>
      <c r="C1747">
        <v>60035</v>
      </c>
      <c r="D1747" t="s">
        <v>146</v>
      </c>
      <c r="E1747" s="7">
        <v>957.8</v>
      </c>
      <c r="F1747" t="s">
        <v>20</v>
      </c>
      <c r="G1747" t="s">
        <v>21</v>
      </c>
      <c r="H1747" t="str">
        <f>"964362"</f>
        <v>964362</v>
      </c>
      <c r="I1747" t="str">
        <f t="shared" si="27"/>
        <v>LARRY SRALLA ELECTRIC</v>
      </c>
    </row>
    <row r="1748" spans="1:9" x14ac:dyDescent="0.25">
      <c r="A1748" s="6">
        <v>43488</v>
      </c>
      <c r="B1748" t="s">
        <v>26</v>
      </c>
      <c r="C1748">
        <v>60037</v>
      </c>
      <c r="D1748" t="s">
        <v>74</v>
      </c>
      <c r="E1748" s="7">
        <v>25.18</v>
      </c>
      <c r="F1748" t="s">
        <v>20</v>
      </c>
      <c r="G1748" t="s">
        <v>21</v>
      </c>
      <c r="H1748" t="str">
        <f>"9821797115"</f>
        <v>9821797115</v>
      </c>
      <c r="I1748" t="str">
        <f>"VERIZON WIRELESS"</f>
        <v>VERIZON WIRELESS</v>
      </c>
    </row>
    <row r="1749" spans="1:9" x14ac:dyDescent="0.25">
      <c r="A1749" s="6">
        <v>43488</v>
      </c>
      <c r="B1749" t="s">
        <v>91</v>
      </c>
      <c r="C1749">
        <v>60038</v>
      </c>
      <c r="D1749" t="s">
        <v>123</v>
      </c>
      <c r="E1749" s="7">
        <v>1011.79</v>
      </c>
      <c r="F1749" t="s">
        <v>20</v>
      </c>
      <c r="G1749" t="s">
        <v>21</v>
      </c>
      <c r="H1749" t="str">
        <f>"241842221001"</f>
        <v>241842221001</v>
      </c>
      <c r="I1749" t="str">
        <f t="shared" ref="I1749:I1757" si="28">"OFFICE SUPPLIES"</f>
        <v>OFFICE SUPPLIES</v>
      </c>
    </row>
    <row r="1750" spans="1:9" x14ac:dyDescent="0.25">
      <c r="A1750" s="6">
        <v>43488</v>
      </c>
      <c r="B1750" t="s">
        <v>91</v>
      </c>
      <c r="C1750">
        <v>60038</v>
      </c>
      <c r="D1750" t="s">
        <v>123</v>
      </c>
      <c r="E1750" s="7">
        <v>1011.79</v>
      </c>
      <c r="F1750" t="s">
        <v>20</v>
      </c>
      <c r="G1750" t="s">
        <v>21</v>
      </c>
      <c r="H1750" t="str">
        <f>"247084406001"</f>
        <v>247084406001</v>
      </c>
      <c r="I1750" t="str">
        <f t="shared" si="28"/>
        <v>OFFICE SUPPLIES</v>
      </c>
    </row>
    <row r="1751" spans="1:9" x14ac:dyDescent="0.25">
      <c r="A1751" s="6">
        <v>43488</v>
      </c>
      <c r="B1751" t="s">
        <v>91</v>
      </c>
      <c r="C1751">
        <v>60038</v>
      </c>
      <c r="D1751" t="s">
        <v>123</v>
      </c>
      <c r="E1751" s="7">
        <v>1011.79</v>
      </c>
      <c r="F1751" t="s">
        <v>20</v>
      </c>
      <c r="G1751" t="s">
        <v>21</v>
      </c>
      <c r="H1751" t="str">
        <f>"247084978001"</f>
        <v>247084978001</v>
      </c>
      <c r="I1751" t="str">
        <f t="shared" si="28"/>
        <v>OFFICE SUPPLIES</v>
      </c>
    </row>
    <row r="1752" spans="1:9" x14ac:dyDescent="0.25">
      <c r="A1752" s="6">
        <v>43488</v>
      </c>
      <c r="B1752" t="s">
        <v>91</v>
      </c>
      <c r="C1752">
        <v>60038</v>
      </c>
      <c r="D1752" t="s">
        <v>123</v>
      </c>
      <c r="E1752" s="7">
        <v>1011.79</v>
      </c>
      <c r="F1752" t="s">
        <v>20</v>
      </c>
      <c r="G1752" t="s">
        <v>21</v>
      </c>
      <c r="H1752" t="str">
        <f>"247092744001"</f>
        <v>247092744001</v>
      </c>
      <c r="I1752" t="str">
        <f t="shared" si="28"/>
        <v>OFFICE SUPPLIES</v>
      </c>
    </row>
    <row r="1753" spans="1:9" x14ac:dyDescent="0.25">
      <c r="A1753" s="6">
        <v>43488</v>
      </c>
      <c r="B1753" t="s">
        <v>91</v>
      </c>
      <c r="C1753">
        <v>60038</v>
      </c>
      <c r="D1753" t="s">
        <v>123</v>
      </c>
      <c r="E1753" s="7">
        <v>1011.79</v>
      </c>
      <c r="F1753" t="s">
        <v>20</v>
      </c>
      <c r="G1753" t="s">
        <v>21</v>
      </c>
      <c r="H1753" t="str">
        <f>"255401178001"</f>
        <v>255401178001</v>
      </c>
      <c r="I1753" t="str">
        <f t="shared" si="28"/>
        <v>OFFICE SUPPLIES</v>
      </c>
    </row>
    <row r="1754" spans="1:9" x14ac:dyDescent="0.25">
      <c r="A1754" s="6">
        <v>43488</v>
      </c>
      <c r="B1754" t="s">
        <v>91</v>
      </c>
      <c r="C1754">
        <v>60038</v>
      </c>
      <c r="D1754" t="s">
        <v>123</v>
      </c>
      <c r="E1754" s="7">
        <v>1011.79</v>
      </c>
      <c r="F1754" t="s">
        <v>20</v>
      </c>
      <c r="G1754" t="s">
        <v>21</v>
      </c>
      <c r="H1754" t="str">
        <f>"255401416001"</f>
        <v>255401416001</v>
      </c>
      <c r="I1754" t="str">
        <f t="shared" si="28"/>
        <v>OFFICE SUPPLIES</v>
      </c>
    </row>
    <row r="1755" spans="1:9" x14ac:dyDescent="0.25">
      <c r="A1755" s="6">
        <v>43488</v>
      </c>
      <c r="B1755" t="s">
        <v>91</v>
      </c>
      <c r="C1755">
        <v>60038</v>
      </c>
      <c r="D1755" t="s">
        <v>123</v>
      </c>
      <c r="E1755" s="7">
        <v>1011.79</v>
      </c>
      <c r="F1755" t="s">
        <v>20</v>
      </c>
      <c r="G1755" t="s">
        <v>21</v>
      </c>
      <c r="H1755" t="str">
        <f>"255768103001"</f>
        <v>255768103001</v>
      </c>
      <c r="I1755" t="str">
        <f t="shared" si="28"/>
        <v>OFFICE SUPPLIES</v>
      </c>
    </row>
    <row r="1756" spans="1:9" x14ac:dyDescent="0.25">
      <c r="A1756" s="6">
        <v>43488</v>
      </c>
      <c r="B1756" t="s">
        <v>91</v>
      </c>
      <c r="C1756">
        <v>60038</v>
      </c>
      <c r="D1756" t="s">
        <v>123</v>
      </c>
      <c r="E1756" s="7">
        <v>1011.79</v>
      </c>
      <c r="F1756" t="s">
        <v>20</v>
      </c>
      <c r="G1756" t="s">
        <v>21</v>
      </c>
      <c r="H1756" t="str">
        <f>"255769874001"</f>
        <v>255769874001</v>
      </c>
      <c r="I1756" t="str">
        <f t="shared" si="28"/>
        <v>OFFICE SUPPLIES</v>
      </c>
    </row>
    <row r="1757" spans="1:9" x14ac:dyDescent="0.25">
      <c r="A1757" s="6">
        <v>43488</v>
      </c>
      <c r="B1757" t="s">
        <v>91</v>
      </c>
      <c r="C1757">
        <v>60038</v>
      </c>
      <c r="D1757" t="s">
        <v>123</v>
      </c>
      <c r="E1757" s="7">
        <v>1011.79</v>
      </c>
      <c r="F1757" t="s">
        <v>20</v>
      </c>
      <c r="G1757" t="s">
        <v>21</v>
      </c>
      <c r="H1757" t="str">
        <f>"255769875001"</f>
        <v>255769875001</v>
      </c>
      <c r="I1757" t="str">
        <f t="shared" si="28"/>
        <v>OFFICE SUPPLIES</v>
      </c>
    </row>
    <row r="1758" spans="1:9" x14ac:dyDescent="0.25">
      <c r="A1758" s="6">
        <v>43488</v>
      </c>
      <c r="B1758" t="s">
        <v>91</v>
      </c>
      <c r="C1758">
        <v>60038</v>
      </c>
      <c r="D1758" t="s">
        <v>123</v>
      </c>
      <c r="E1758" s="7">
        <v>1011.79</v>
      </c>
      <c r="F1758" t="s">
        <v>20</v>
      </c>
      <c r="G1758" t="s">
        <v>93</v>
      </c>
      <c r="H1758" t="str">
        <f>"CHECK"</f>
        <v>CHECK</v>
      </c>
      <c r="I1758" t="str">
        <f>""</f>
        <v/>
      </c>
    </row>
    <row r="1759" spans="1:9" x14ac:dyDescent="0.25">
      <c r="A1759" s="6">
        <v>43488</v>
      </c>
      <c r="B1759" t="s">
        <v>26</v>
      </c>
      <c r="C1759">
        <v>60042</v>
      </c>
      <c r="D1759" t="s">
        <v>76</v>
      </c>
      <c r="E1759" s="7">
        <v>2393.2199999999998</v>
      </c>
      <c r="F1759" t="s">
        <v>20</v>
      </c>
      <c r="G1759" t="s">
        <v>21</v>
      </c>
      <c r="H1759" t="str">
        <f>"116"</f>
        <v>116</v>
      </c>
      <c r="I1759" t="str">
        <f>"WILSON COUNTY TAX COLLECTOR"</f>
        <v>WILSON COUNTY TAX COLLECTOR</v>
      </c>
    </row>
    <row r="1760" spans="1:9" x14ac:dyDescent="0.25">
      <c r="A1760" s="6">
        <v>43488</v>
      </c>
      <c r="B1760" t="s">
        <v>26</v>
      </c>
      <c r="C1760">
        <v>60043</v>
      </c>
      <c r="D1760" t="s">
        <v>137</v>
      </c>
      <c r="E1760" s="7">
        <v>121.9</v>
      </c>
      <c r="F1760" t="s">
        <v>20</v>
      </c>
      <c r="G1760" t="s">
        <v>21</v>
      </c>
      <c r="H1760" t="str">
        <f>"7287"</f>
        <v>7287</v>
      </c>
      <c r="I1760" t="str">
        <f>"OMNIBUS-M  INC.D.B.A."</f>
        <v>OMNIBUS-M  INC.D.B.A.</v>
      </c>
    </row>
    <row r="1761" spans="1:9" x14ac:dyDescent="0.25">
      <c r="A1761" s="6">
        <v>43488</v>
      </c>
      <c r="B1761" t="s">
        <v>26</v>
      </c>
      <c r="C1761">
        <v>60043</v>
      </c>
      <c r="D1761" t="s">
        <v>137</v>
      </c>
      <c r="E1761" s="7">
        <v>121.9</v>
      </c>
      <c r="F1761" t="s">
        <v>20</v>
      </c>
      <c r="G1761" t="s">
        <v>21</v>
      </c>
      <c r="H1761" t="str">
        <f>"7288"</f>
        <v>7288</v>
      </c>
      <c r="I1761" t="str">
        <f>"OMNIBUS-M  INC.D.B.A."</f>
        <v>OMNIBUS-M  INC.D.B.A.</v>
      </c>
    </row>
    <row r="1762" spans="1:9" x14ac:dyDescent="0.25">
      <c r="A1762" s="6">
        <v>43488</v>
      </c>
      <c r="B1762" t="s">
        <v>26</v>
      </c>
      <c r="C1762">
        <v>60044</v>
      </c>
      <c r="D1762" t="s">
        <v>77</v>
      </c>
      <c r="E1762" s="7">
        <v>1274</v>
      </c>
      <c r="F1762" t="s">
        <v>20</v>
      </c>
      <c r="G1762" t="s">
        <v>21</v>
      </c>
      <c r="H1762" t="str">
        <f>"857000057-19"</f>
        <v>857000057-19</v>
      </c>
      <c r="I1762" t="str">
        <f>"DPC INDUSTRIES  INC."</f>
        <v>DPC INDUSTRIES  INC.</v>
      </c>
    </row>
    <row r="1763" spans="1:9" x14ac:dyDescent="0.25">
      <c r="A1763" s="6">
        <v>43488</v>
      </c>
      <c r="B1763" t="s">
        <v>26</v>
      </c>
      <c r="C1763">
        <v>60044</v>
      </c>
      <c r="D1763" t="s">
        <v>77</v>
      </c>
      <c r="E1763" s="7">
        <v>1274</v>
      </c>
      <c r="F1763" t="s">
        <v>20</v>
      </c>
      <c r="G1763" t="s">
        <v>21</v>
      </c>
      <c r="H1763" t="str">
        <f>"DE85003003-18"</f>
        <v>DE85003003-18</v>
      </c>
      <c r="I1763" t="str">
        <f>"DPC INDUSTRIES  INC."</f>
        <v>DPC INDUSTRIES  INC.</v>
      </c>
    </row>
    <row r="1764" spans="1:9" x14ac:dyDescent="0.25">
      <c r="A1764" s="6">
        <v>43488</v>
      </c>
      <c r="B1764" t="s">
        <v>26</v>
      </c>
      <c r="C1764">
        <v>60044</v>
      </c>
      <c r="D1764" t="s">
        <v>77</v>
      </c>
      <c r="E1764" s="7">
        <v>1274</v>
      </c>
      <c r="F1764" t="s">
        <v>20</v>
      </c>
      <c r="G1764" t="s">
        <v>21</v>
      </c>
      <c r="H1764" t="str">
        <f>"DE85003121-18"</f>
        <v>DE85003121-18</v>
      </c>
      <c r="I1764" t="str">
        <f>"DPC INDUSTRIES  INC."</f>
        <v>DPC INDUSTRIES  INC.</v>
      </c>
    </row>
    <row r="1765" spans="1:9" x14ac:dyDescent="0.25">
      <c r="A1765" s="6">
        <v>43488</v>
      </c>
      <c r="B1765" t="s">
        <v>26</v>
      </c>
      <c r="C1765">
        <v>60045</v>
      </c>
      <c r="D1765" t="s">
        <v>124</v>
      </c>
      <c r="E1765" s="7">
        <v>91.96</v>
      </c>
      <c r="F1765" t="s">
        <v>20</v>
      </c>
      <c r="G1765" t="s">
        <v>21</v>
      </c>
      <c r="H1765" t="str">
        <f>"11168660"</f>
        <v>11168660</v>
      </c>
      <c r="I1765" t="str">
        <f>"STRIPPER STRYPEEZE"</f>
        <v>STRIPPER STRYPEEZE</v>
      </c>
    </row>
    <row r="1766" spans="1:9" x14ac:dyDescent="0.25">
      <c r="A1766" s="6">
        <v>43488</v>
      </c>
      <c r="B1766" t="s">
        <v>26</v>
      </c>
      <c r="C1766">
        <v>60046</v>
      </c>
      <c r="D1766" t="s">
        <v>79</v>
      </c>
      <c r="E1766" s="7">
        <v>12.5</v>
      </c>
      <c r="F1766" t="s">
        <v>20</v>
      </c>
      <c r="G1766" t="s">
        <v>21</v>
      </c>
      <c r="H1766" t="str">
        <f>"6-425-61579"</f>
        <v>6-425-61579</v>
      </c>
      <c r="I1766" t="str">
        <f>"FEDEX"</f>
        <v>FEDEX</v>
      </c>
    </row>
    <row r="1767" spans="1:9" x14ac:dyDescent="0.25">
      <c r="A1767" s="6">
        <v>43488</v>
      </c>
      <c r="B1767" t="s">
        <v>26</v>
      </c>
      <c r="C1767">
        <v>60047</v>
      </c>
      <c r="D1767" t="s">
        <v>387</v>
      </c>
      <c r="E1767" s="7">
        <v>450</v>
      </c>
      <c r="F1767" t="s">
        <v>20</v>
      </c>
      <c r="G1767" t="s">
        <v>21</v>
      </c>
      <c r="H1767" t="str">
        <f>"F03318-SA"</f>
        <v>F03318-SA</v>
      </c>
      <c r="I1767" t="str">
        <f>"BARCO PUMP"</f>
        <v>BARCO PUMP</v>
      </c>
    </row>
    <row r="1768" spans="1:9" x14ac:dyDescent="0.25">
      <c r="A1768" s="6">
        <v>43488</v>
      </c>
      <c r="B1768" t="s">
        <v>26</v>
      </c>
      <c r="C1768">
        <v>60048</v>
      </c>
      <c r="D1768" t="s">
        <v>81</v>
      </c>
      <c r="E1768" s="7">
        <v>179.15</v>
      </c>
      <c r="F1768" t="s">
        <v>20</v>
      </c>
      <c r="G1768" t="s">
        <v>21</v>
      </c>
      <c r="H1768" t="str">
        <f>"A.MARTINEZ 1/18/19"</f>
        <v>A.MARTINEZ 1/18/19</v>
      </c>
      <c r="I1768" t="str">
        <f>"CITY OF FLORESVILLE -PETTY CAS"</f>
        <v>CITY OF FLORESVILLE -PETTY CAS</v>
      </c>
    </row>
    <row r="1769" spans="1:9" x14ac:dyDescent="0.25">
      <c r="A1769" s="6">
        <v>43488</v>
      </c>
      <c r="B1769" t="s">
        <v>91</v>
      </c>
      <c r="C1769">
        <v>60049</v>
      </c>
      <c r="D1769" t="s">
        <v>129</v>
      </c>
      <c r="E1769" s="7">
        <v>232.2</v>
      </c>
      <c r="F1769" t="s">
        <v>20</v>
      </c>
      <c r="G1769" t="s">
        <v>21</v>
      </c>
      <c r="H1769" t="str">
        <f>"P43273"</f>
        <v>P43273</v>
      </c>
      <c r="I1769" t="str">
        <f>"BLADES &amp; GRABBERS"</f>
        <v>BLADES &amp; GRABBERS</v>
      </c>
    </row>
    <row r="1770" spans="1:9" x14ac:dyDescent="0.25">
      <c r="A1770" s="6">
        <v>43488</v>
      </c>
      <c r="B1770" t="s">
        <v>91</v>
      </c>
      <c r="C1770">
        <v>60049</v>
      </c>
      <c r="D1770" t="s">
        <v>129</v>
      </c>
      <c r="E1770" s="7">
        <v>232.2</v>
      </c>
      <c r="F1770" t="s">
        <v>20</v>
      </c>
      <c r="G1770" t="s">
        <v>93</v>
      </c>
      <c r="H1770" t="str">
        <f>"CHECK"</f>
        <v>CHECK</v>
      </c>
      <c r="I1770" t="str">
        <f>""</f>
        <v/>
      </c>
    </row>
    <row r="1771" spans="1:9" x14ac:dyDescent="0.25">
      <c r="A1771" s="6">
        <v>43488</v>
      </c>
      <c r="B1771" t="s">
        <v>26</v>
      </c>
      <c r="C1771">
        <v>60050</v>
      </c>
      <c r="D1771" t="s">
        <v>192</v>
      </c>
      <c r="E1771" s="7">
        <v>2409.62</v>
      </c>
      <c r="F1771" t="s">
        <v>20</v>
      </c>
      <c r="G1771" t="s">
        <v>21</v>
      </c>
      <c r="H1771" t="str">
        <f>"62164624"</f>
        <v>62164624</v>
      </c>
      <c r="I1771" t="str">
        <f>"DE LAGE LANDEN PUBLIC FINANCE"</f>
        <v>DE LAGE LANDEN PUBLIC FINANCE</v>
      </c>
    </row>
    <row r="1772" spans="1:9" x14ac:dyDescent="0.25">
      <c r="A1772" s="6">
        <v>43488</v>
      </c>
      <c r="B1772" t="s">
        <v>26</v>
      </c>
      <c r="C1772">
        <v>60050</v>
      </c>
      <c r="D1772" t="s">
        <v>192</v>
      </c>
      <c r="E1772" s="7">
        <v>2409.62</v>
      </c>
      <c r="F1772" t="s">
        <v>20</v>
      </c>
      <c r="G1772" t="s">
        <v>21</v>
      </c>
      <c r="H1772" t="str">
        <f>"62164628"</f>
        <v>62164628</v>
      </c>
      <c r="I1772" t="str">
        <f>"DE LAGE LANDEN PUBLIC FINANCE"</f>
        <v>DE LAGE LANDEN PUBLIC FINANCE</v>
      </c>
    </row>
    <row r="1773" spans="1:9" x14ac:dyDescent="0.25">
      <c r="A1773" s="6">
        <v>43488</v>
      </c>
      <c r="B1773" t="s">
        <v>26</v>
      </c>
      <c r="C1773">
        <v>60050</v>
      </c>
      <c r="D1773" t="s">
        <v>192</v>
      </c>
      <c r="E1773" s="7">
        <v>2409.62</v>
      </c>
      <c r="F1773" t="s">
        <v>20</v>
      </c>
      <c r="G1773" t="s">
        <v>21</v>
      </c>
      <c r="H1773" t="str">
        <f>"62164638"</f>
        <v>62164638</v>
      </c>
      <c r="I1773" t="str">
        <f>"DE LAGE LANDEN PUBLIC FINANCE"</f>
        <v>DE LAGE LANDEN PUBLIC FINANCE</v>
      </c>
    </row>
    <row r="1774" spans="1:9" x14ac:dyDescent="0.25">
      <c r="A1774" s="6">
        <v>43488</v>
      </c>
      <c r="B1774" t="s">
        <v>26</v>
      </c>
      <c r="C1774">
        <v>60051</v>
      </c>
      <c r="D1774" t="s">
        <v>308</v>
      </c>
      <c r="E1774" s="7">
        <v>25</v>
      </c>
      <c r="F1774" t="s">
        <v>20</v>
      </c>
      <c r="G1774" t="s">
        <v>21</v>
      </c>
      <c r="H1774" t="str">
        <f>"CDL FEE REIMBURST"</f>
        <v>CDL FEE REIMBURST</v>
      </c>
      <c r="I1774" t="str">
        <f>"JOHNNY VILLARREAL"</f>
        <v>JOHNNY VILLARREAL</v>
      </c>
    </row>
    <row r="1775" spans="1:9" x14ac:dyDescent="0.25">
      <c r="A1775" s="6">
        <v>43488</v>
      </c>
      <c r="B1775" t="s">
        <v>26</v>
      </c>
      <c r="C1775">
        <v>60052</v>
      </c>
      <c r="D1775" t="s">
        <v>131</v>
      </c>
      <c r="E1775" s="7">
        <v>245.82</v>
      </c>
      <c r="F1775" t="s">
        <v>20</v>
      </c>
      <c r="G1775" t="s">
        <v>21</v>
      </c>
      <c r="H1775" t="str">
        <f>"036614"</f>
        <v>036614</v>
      </c>
      <c r="I1775" t="str">
        <f>"LEAF SPRINGS"</f>
        <v>LEAF SPRINGS</v>
      </c>
    </row>
    <row r="1776" spans="1:9" x14ac:dyDescent="0.25">
      <c r="A1776" s="6">
        <v>43488</v>
      </c>
      <c r="B1776" t="s">
        <v>26</v>
      </c>
      <c r="C1776">
        <v>60053</v>
      </c>
      <c r="D1776" t="s">
        <v>85</v>
      </c>
      <c r="E1776" s="7">
        <v>1030.8699999999999</v>
      </c>
      <c r="F1776" t="s">
        <v>20</v>
      </c>
      <c r="G1776" t="s">
        <v>21</v>
      </c>
      <c r="H1776" t="str">
        <f>"2162733 1/2019"</f>
        <v>2162733 1/2019</v>
      </c>
      <c r="I1776" t="str">
        <f t="shared" ref="I1776:I1785" si="29">"FRONTIER"</f>
        <v>FRONTIER</v>
      </c>
    </row>
    <row r="1777" spans="1:9" x14ac:dyDescent="0.25">
      <c r="A1777" s="6">
        <v>43488</v>
      </c>
      <c r="B1777" t="s">
        <v>26</v>
      </c>
      <c r="C1777">
        <v>60053</v>
      </c>
      <c r="D1777" t="s">
        <v>85</v>
      </c>
      <c r="E1777" s="7">
        <v>1030.8699999999999</v>
      </c>
      <c r="F1777" t="s">
        <v>20</v>
      </c>
      <c r="G1777" t="s">
        <v>21</v>
      </c>
      <c r="H1777" t="str">
        <f>"2162755 1/2019"</f>
        <v>2162755 1/2019</v>
      </c>
      <c r="I1777" t="str">
        <f t="shared" si="29"/>
        <v>FRONTIER</v>
      </c>
    </row>
    <row r="1778" spans="1:9" x14ac:dyDescent="0.25">
      <c r="A1778" s="6">
        <v>43488</v>
      </c>
      <c r="B1778" t="s">
        <v>26</v>
      </c>
      <c r="C1778">
        <v>60053</v>
      </c>
      <c r="D1778" t="s">
        <v>85</v>
      </c>
      <c r="E1778" s="7">
        <v>1030.8699999999999</v>
      </c>
      <c r="F1778" t="s">
        <v>20</v>
      </c>
      <c r="G1778" t="s">
        <v>21</v>
      </c>
      <c r="H1778" t="str">
        <f>"3932056 2/2019"</f>
        <v>3932056 2/2019</v>
      </c>
      <c r="I1778" t="str">
        <f t="shared" si="29"/>
        <v>FRONTIER</v>
      </c>
    </row>
    <row r="1779" spans="1:9" x14ac:dyDescent="0.25">
      <c r="A1779" s="6">
        <v>43488</v>
      </c>
      <c r="B1779" t="s">
        <v>26</v>
      </c>
      <c r="C1779">
        <v>60053</v>
      </c>
      <c r="D1779" t="s">
        <v>85</v>
      </c>
      <c r="E1779" s="7">
        <v>1030.8699999999999</v>
      </c>
      <c r="F1779" t="s">
        <v>20</v>
      </c>
      <c r="G1779" t="s">
        <v>21</v>
      </c>
      <c r="H1779" t="str">
        <f>"3932804 1/2019"</f>
        <v>3932804 1/2019</v>
      </c>
      <c r="I1779" t="str">
        <f t="shared" si="29"/>
        <v>FRONTIER</v>
      </c>
    </row>
    <row r="1780" spans="1:9" x14ac:dyDescent="0.25">
      <c r="A1780" s="6">
        <v>43488</v>
      </c>
      <c r="B1780" t="s">
        <v>26</v>
      </c>
      <c r="C1780">
        <v>60053</v>
      </c>
      <c r="D1780" t="s">
        <v>85</v>
      </c>
      <c r="E1780" s="7">
        <v>1030.8699999999999</v>
      </c>
      <c r="F1780" t="s">
        <v>20</v>
      </c>
      <c r="G1780" t="s">
        <v>21</v>
      </c>
      <c r="H1780" t="str">
        <f>"3933105 2/19"</f>
        <v>3933105 2/19</v>
      </c>
      <c r="I1780" t="str">
        <f t="shared" si="29"/>
        <v>FRONTIER</v>
      </c>
    </row>
    <row r="1781" spans="1:9" x14ac:dyDescent="0.25">
      <c r="A1781" s="6">
        <v>43488</v>
      </c>
      <c r="B1781" t="s">
        <v>26</v>
      </c>
      <c r="C1781">
        <v>60053</v>
      </c>
      <c r="D1781" t="s">
        <v>85</v>
      </c>
      <c r="E1781" s="7">
        <v>1030.8699999999999</v>
      </c>
      <c r="F1781" t="s">
        <v>20</v>
      </c>
      <c r="G1781" t="s">
        <v>21</v>
      </c>
      <c r="H1781" t="str">
        <f>"3933186 2/2019"</f>
        <v>3933186 2/2019</v>
      </c>
      <c r="I1781" t="str">
        <f t="shared" si="29"/>
        <v>FRONTIER</v>
      </c>
    </row>
    <row r="1782" spans="1:9" x14ac:dyDescent="0.25">
      <c r="A1782" s="6">
        <v>43488</v>
      </c>
      <c r="B1782" t="s">
        <v>26</v>
      </c>
      <c r="C1782">
        <v>60053</v>
      </c>
      <c r="D1782" t="s">
        <v>85</v>
      </c>
      <c r="E1782" s="7">
        <v>1030.8699999999999</v>
      </c>
      <c r="F1782" t="s">
        <v>20</v>
      </c>
      <c r="G1782" t="s">
        <v>21</v>
      </c>
      <c r="H1782" t="str">
        <f>"3936616 2/2019"</f>
        <v>3936616 2/2019</v>
      </c>
      <c r="I1782" t="str">
        <f t="shared" si="29"/>
        <v>FRONTIER</v>
      </c>
    </row>
    <row r="1783" spans="1:9" x14ac:dyDescent="0.25">
      <c r="A1783" s="6">
        <v>43488</v>
      </c>
      <c r="B1783" t="s">
        <v>26</v>
      </c>
      <c r="C1783">
        <v>60053</v>
      </c>
      <c r="D1783" t="s">
        <v>85</v>
      </c>
      <c r="E1783" s="7">
        <v>1030.8699999999999</v>
      </c>
      <c r="F1783" t="s">
        <v>20</v>
      </c>
      <c r="G1783" t="s">
        <v>21</v>
      </c>
      <c r="H1783" t="str">
        <f>"3936794 1/2019"</f>
        <v>3936794 1/2019</v>
      </c>
      <c r="I1783" t="str">
        <f t="shared" si="29"/>
        <v>FRONTIER</v>
      </c>
    </row>
    <row r="1784" spans="1:9" x14ac:dyDescent="0.25">
      <c r="A1784" s="6">
        <v>43488</v>
      </c>
      <c r="B1784" t="s">
        <v>26</v>
      </c>
      <c r="C1784">
        <v>60053</v>
      </c>
      <c r="D1784" t="s">
        <v>85</v>
      </c>
      <c r="E1784" s="7">
        <v>1030.8699999999999</v>
      </c>
      <c r="F1784" t="s">
        <v>20</v>
      </c>
      <c r="G1784" t="s">
        <v>21</v>
      </c>
      <c r="H1784" t="str">
        <f>"3938193 1/2019"</f>
        <v>3938193 1/2019</v>
      </c>
      <c r="I1784" t="str">
        <f t="shared" si="29"/>
        <v>FRONTIER</v>
      </c>
    </row>
    <row r="1785" spans="1:9" x14ac:dyDescent="0.25">
      <c r="A1785" s="6">
        <v>43488</v>
      </c>
      <c r="B1785" t="s">
        <v>26</v>
      </c>
      <c r="C1785">
        <v>60053</v>
      </c>
      <c r="D1785" t="s">
        <v>85</v>
      </c>
      <c r="E1785" s="7">
        <v>1030.8699999999999</v>
      </c>
      <c r="F1785" t="s">
        <v>20</v>
      </c>
      <c r="G1785" t="s">
        <v>21</v>
      </c>
      <c r="H1785" t="str">
        <f>"3939456 2/2019"</f>
        <v>3939456 2/2019</v>
      </c>
      <c r="I1785" t="str">
        <f t="shared" si="29"/>
        <v>FRONTIER</v>
      </c>
    </row>
    <row r="1786" spans="1:9" x14ac:dyDescent="0.25">
      <c r="A1786" s="6">
        <v>43488</v>
      </c>
      <c r="B1786" t="s">
        <v>26</v>
      </c>
      <c r="C1786">
        <v>60055</v>
      </c>
      <c r="D1786" t="s">
        <v>285</v>
      </c>
      <c r="E1786" s="7">
        <v>150</v>
      </c>
      <c r="F1786" t="s">
        <v>20</v>
      </c>
      <c r="G1786" t="s">
        <v>21</v>
      </c>
      <c r="H1786" t="str">
        <f>"S1702506"</f>
        <v>S1702506</v>
      </c>
      <c r="I1786" t="str">
        <f>"VICTOR O. SCHINNERER &amp; CO. INC"</f>
        <v>VICTOR O. SCHINNERER &amp; CO. INC</v>
      </c>
    </row>
    <row r="1787" spans="1:9" x14ac:dyDescent="0.25">
      <c r="A1787" s="6">
        <v>43488</v>
      </c>
      <c r="B1787" t="s">
        <v>26</v>
      </c>
      <c r="C1787">
        <v>60056</v>
      </c>
      <c r="D1787" t="s">
        <v>266</v>
      </c>
      <c r="E1787" s="7">
        <v>89000</v>
      </c>
      <c r="F1787" t="s">
        <v>20</v>
      </c>
      <c r="G1787" t="s">
        <v>21</v>
      </c>
      <c r="H1787" t="str">
        <f>"FLOR615GOR 1/19"</f>
        <v>FLOR615GOR 1/19</v>
      </c>
      <c r="I1787" t="s">
        <v>571</v>
      </c>
    </row>
    <row r="1788" spans="1:9" x14ac:dyDescent="0.25">
      <c r="A1788" s="6">
        <v>43488</v>
      </c>
      <c r="B1788" t="s">
        <v>26</v>
      </c>
      <c r="C1788">
        <v>60057</v>
      </c>
      <c r="D1788" t="s">
        <v>195</v>
      </c>
      <c r="E1788" s="7">
        <v>2717.87</v>
      </c>
      <c r="F1788" t="s">
        <v>20</v>
      </c>
      <c r="G1788" t="s">
        <v>21</v>
      </c>
      <c r="H1788" t="str">
        <f>"1565201901"</f>
        <v>1565201901</v>
      </c>
      <c r="I1788" t="str">
        <f>"ARISTA INFORMATION SYSTEMS  IN"</f>
        <v>ARISTA INFORMATION SYSTEMS  IN</v>
      </c>
    </row>
    <row r="1789" spans="1:9" x14ac:dyDescent="0.25">
      <c r="A1789" s="6">
        <v>43488</v>
      </c>
      <c r="B1789" t="s">
        <v>26</v>
      </c>
      <c r="C1789">
        <v>60057</v>
      </c>
      <c r="D1789" t="s">
        <v>195</v>
      </c>
      <c r="E1789" s="7">
        <v>2717.87</v>
      </c>
      <c r="F1789" t="s">
        <v>20</v>
      </c>
      <c r="G1789" t="s">
        <v>21</v>
      </c>
      <c r="H1789" t="str">
        <f>"26782"</f>
        <v>26782</v>
      </c>
      <c r="I1789" t="str">
        <f>"ARISTA INFORMATION SYSTEMS  IN"</f>
        <v>ARISTA INFORMATION SYSTEMS  IN</v>
      </c>
    </row>
    <row r="1790" spans="1:9" x14ac:dyDescent="0.25">
      <c r="A1790" s="6">
        <v>43488</v>
      </c>
      <c r="B1790" t="s">
        <v>26</v>
      </c>
      <c r="C1790">
        <v>60058</v>
      </c>
      <c r="D1790" t="s">
        <v>345</v>
      </c>
      <c r="E1790" s="7">
        <v>341</v>
      </c>
      <c r="F1790" t="s">
        <v>20</v>
      </c>
      <c r="G1790" t="s">
        <v>21</v>
      </c>
      <c r="H1790" t="str">
        <f>"1/22/2019"</f>
        <v>1/22/2019</v>
      </c>
      <c r="I1790" t="str">
        <f>"MICHAEL ISAAC MARTINEZ"</f>
        <v>MICHAEL ISAAC MARTINEZ</v>
      </c>
    </row>
    <row r="1791" spans="1:9" x14ac:dyDescent="0.25">
      <c r="A1791" s="6">
        <v>43488</v>
      </c>
      <c r="B1791" t="s">
        <v>26</v>
      </c>
      <c r="C1791">
        <v>60059</v>
      </c>
      <c r="D1791" t="s">
        <v>452</v>
      </c>
      <c r="E1791" s="7">
        <v>200</v>
      </c>
      <c r="F1791" t="s">
        <v>20</v>
      </c>
      <c r="G1791" t="s">
        <v>21</v>
      </c>
      <c r="H1791" t="str">
        <f>"1/22/2019"</f>
        <v>1/22/2019</v>
      </c>
      <c r="I1791" t="str">
        <f>"DESIREE PEREZ"</f>
        <v>DESIREE PEREZ</v>
      </c>
    </row>
    <row r="1792" spans="1:9" x14ac:dyDescent="0.25">
      <c r="A1792" s="6">
        <v>43488</v>
      </c>
      <c r="B1792" t="s">
        <v>26</v>
      </c>
      <c r="C1792">
        <v>60060</v>
      </c>
      <c r="D1792" t="s">
        <v>346</v>
      </c>
      <c r="E1792" s="7">
        <v>13750</v>
      </c>
      <c r="F1792" t="s">
        <v>20</v>
      </c>
      <c r="G1792" t="s">
        <v>21</v>
      </c>
      <c r="H1792" t="str">
        <f>"12/11-1/11/2019"</f>
        <v>12/11-1/11/2019</v>
      </c>
      <c r="I1792" t="str">
        <f>"SYLVIA RODRIGUEZ"</f>
        <v>SYLVIA RODRIGUEZ</v>
      </c>
    </row>
    <row r="1793" spans="1:9" x14ac:dyDescent="0.25">
      <c r="A1793" s="6">
        <v>43488</v>
      </c>
      <c r="B1793" t="s">
        <v>91</v>
      </c>
      <c r="C1793">
        <v>60061</v>
      </c>
      <c r="D1793" t="s">
        <v>552</v>
      </c>
      <c r="E1793" s="7">
        <v>502.85</v>
      </c>
      <c r="F1793" t="s">
        <v>20</v>
      </c>
      <c r="G1793" t="s">
        <v>21</v>
      </c>
      <c r="H1793" t="str">
        <f>"277729/277771"</f>
        <v>277729/277771</v>
      </c>
      <c r="I1793" t="str">
        <f>"BASE"</f>
        <v>BASE</v>
      </c>
    </row>
    <row r="1794" spans="1:9" x14ac:dyDescent="0.25">
      <c r="A1794" s="6">
        <v>43488</v>
      </c>
      <c r="B1794" t="s">
        <v>91</v>
      </c>
      <c r="C1794">
        <v>60061</v>
      </c>
      <c r="D1794" t="s">
        <v>552</v>
      </c>
      <c r="E1794" s="7">
        <v>502.85</v>
      </c>
      <c r="F1794" t="s">
        <v>20</v>
      </c>
      <c r="G1794" t="s">
        <v>93</v>
      </c>
      <c r="H1794" t="str">
        <f>"CHECK"</f>
        <v>CHECK</v>
      </c>
      <c r="I1794" t="str">
        <f>""</f>
        <v/>
      </c>
    </row>
    <row r="1795" spans="1:9" x14ac:dyDescent="0.25">
      <c r="A1795" s="6">
        <v>43488</v>
      </c>
      <c r="B1795" t="s">
        <v>26</v>
      </c>
      <c r="C1795">
        <v>60062</v>
      </c>
      <c r="D1795" t="s">
        <v>618</v>
      </c>
      <c r="E1795" s="7">
        <v>161</v>
      </c>
      <c r="F1795" t="s">
        <v>20</v>
      </c>
      <c r="G1795" t="s">
        <v>21</v>
      </c>
      <c r="H1795" t="str">
        <f>"1/18/2019"</f>
        <v>1/18/2019</v>
      </c>
      <c r="I1795" t="str">
        <f>"SYLVIA TREVINO"</f>
        <v>SYLVIA TREVINO</v>
      </c>
    </row>
    <row r="1796" spans="1:9" x14ac:dyDescent="0.25">
      <c r="A1796" s="6">
        <v>43488</v>
      </c>
      <c r="B1796" t="s">
        <v>26</v>
      </c>
      <c r="C1796">
        <v>60063</v>
      </c>
      <c r="D1796" t="s">
        <v>646</v>
      </c>
      <c r="E1796" s="7">
        <v>800</v>
      </c>
      <c r="F1796" t="s">
        <v>20</v>
      </c>
      <c r="G1796" t="s">
        <v>21</v>
      </c>
      <c r="H1796" t="str">
        <f>"0121718* REISSUE"</f>
        <v>0121718* REISSUE</v>
      </c>
      <c r="I1796" t="str">
        <f>"JOHN D. BROWN"</f>
        <v>JOHN D. BROWN</v>
      </c>
    </row>
    <row r="1797" spans="1:9" x14ac:dyDescent="0.25">
      <c r="A1797" s="6">
        <v>43488</v>
      </c>
      <c r="B1797" t="s">
        <v>26</v>
      </c>
      <c r="C1797">
        <v>60064</v>
      </c>
      <c r="D1797" t="s">
        <v>644</v>
      </c>
      <c r="E1797" s="7">
        <v>924.15</v>
      </c>
      <c r="F1797" t="s">
        <v>20</v>
      </c>
      <c r="G1797" t="s">
        <v>21</v>
      </c>
      <c r="H1797" t="str">
        <f>"8213270749"</f>
        <v>8213270749</v>
      </c>
      <c r="I1797" t="str">
        <f t="shared" ref="I1797:I1809" si="30">"UNIFIRST CORPORATION"</f>
        <v>UNIFIRST CORPORATION</v>
      </c>
    </row>
    <row r="1798" spans="1:9" x14ac:dyDescent="0.25">
      <c r="A1798" s="6">
        <v>43488</v>
      </c>
      <c r="B1798" t="s">
        <v>26</v>
      </c>
      <c r="C1798">
        <v>60064</v>
      </c>
      <c r="D1798" t="s">
        <v>644</v>
      </c>
      <c r="E1798" s="7">
        <v>924.15</v>
      </c>
      <c r="F1798" t="s">
        <v>20</v>
      </c>
      <c r="G1798" t="s">
        <v>21</v>
      </c>
      <c r="H1798" t="str">
        <f>"821327075"</f>
        <v>821327075</v>
      </c>
      <c r="I1798" t="str">
        <f t="shared" si="30"/>
        <v>UNIFIRST CORPORATION</v>
      </c>
    </row>
    <row r="1799" spans="1:9" x14ac:dyDescent="0.25">
      <c r="A1799" s="6">
        <v>43488</v>
      </c>
      <c r="B1799" t="s">
        <v>26</v>
      </c>
      <c r="C1799">
        <v>60064</v>
      </c>
      <c r="D1799" t="s">
        <v>644</v>
      </c>
      <c r="E1799" s="7">
        <v>924.15</v>
      </c>
      <c r="F1799" t="s">
        <v>20</v>
      </c>
      <c r="G1799" t="s">
        <v>21</v>
      </c>
      <c r="H1799" t="str">
        <f>"8213270751"</f>
        <v>8213270751</v>
      </c>
      <c r="I1799" t="str">
        <f t="shared" si="30"/>
        <v>UNIFIRST CORPORATION</v>
      </c>
    </row>
    <row r="1800" spans="1:9" x14ac:dyDescent="0.25">
      <c r="A1800" s="6">
        <v>43488</v>
      </c>
      <c r="B1800" t="s">
        <v>26</v>
      </c>
      <c r="C1800">
        <v>60064</v>
      </c>
      <c r="D1800" t="s">
        <v>644</v>
      </c>
      <c r="E1800" s="7">
        <v>924.15</v>
      </c>
      <c r="F1800" t="s">
        <v>20</v>
      </c>
      <c r="G1800" t="s">
        <v>21</v>
      </c>
      <c r="H1800" t="str">
        <f>"8213270752"</f>
        <v>8213270752</v>
      </c>
      <c r="I1800" t="str">
        <f t="shared" si="30"/>
        <v>UNIFIRST CORPORATION</v>
      </c>
    </row>
    <row r="1801" spans="1:9" x14ac:dyDescent="0.25">
      <c r="A1801" s="6">
        <v>43488</v>
      </c>
      <c r="B1801" t="s">
        <v>26</v>
      </c>
      <c r="C1801">
        <v>60064</v>
      </c>
      <c r="D1801" t="s">
        <v>644</v>
      </c>
      <c r="E1801" s="7">
        <v>924.15</v>
      </c>
      <c r="F1801" t="s">
        <v>20</v>
      </c>
      <c r="G1801" t="s">
        <v>21</v>
      </c>
      <c r="H1801" t="str">
        <f>"8213270753"</f>
        <v>8213270753</v>
      </c>
      <c r="I1801" t="str">
        <f t="shared" si="30"/>
        <v>UNIFIRST CORPORATION</v>
      </c>
    </row>
    <row r="1802" spans="1:9" x14ac:dyDescent="0.25">
      <c r="A1802" s="6">
        <v>43488</v>
      </c>
      <c r="B1802" t="s">
        <v>26</v>
      </c>
      <c r="C1802">
        <v>60064</v>
      </c>
      <c r="D1802" t="s">
        <v>644</v>
      </c>
      <c r="E1802" s="7">
        <v>924.15</v>
      </c>
      <c r="F1802" t="s">
        <v>20</v>
      </c>
      <c r="G1802" t="s">
        <v>21</v>
      </c>
      <c r="H1802" t="str">
        <f>"8213270754"</f>
        <v>8213270754</v>
      </c>
      <c r="I1802" t="str">
        <f t="shared" si="30"/>
        <v>UNIFIRST CORPORATION</v>
      </c>
    </row>
    <row r="1803" spans="1:9" x14ac:dyDescent="0.25">
      <c r="A1803" s="6">
        <v>43488</v>
      </c>
      <c r="B1803" t="s">
        <v>26</v>
      </c>
      <c r="C1803">
        <v>60064</v>
      </c>
      <c r="D1803" t="s">
        <v>644</v>
      </c>
      <c r="E1803" s="7">
        <v>924.15</v>
      </c>
      <c r="F1803" t="s">
        <v>20</v>
      </c>
      <c r="G1803" t="s">
        <v>21</v>
      </c>
      <c r="H1803" t="str">
        <f>"8213270755"</f>
        <v>8213270755</v>
      </c>
      <c r="I1803" t="str">
        <f t="shared" si="30"/>
        <v>UNIFIRST CORPORATION</v>
      </c>
    </row>
    <row r="1804" spans="1:9" x14ac:dyDescent="0.25">
      <c r="A1804" s="6">
        <v>43488</v>
      </c>
      <c r="B1804" t="s">
        <v>26</v>
      </c>
      <c r="C1804">
        <v>60064</v>
      </c>
      <c r="D1804" t="s">
        <v>644</v>
      </c>
      <c r="E1804" s="7">
        <v>924.15</v>
      </c>
      <c r="F1804" t="s">
        <v>20</v>
      </c>
      <c r="G1804" t="s">
        <v>21</v>
      </c>
      <c r="H1804" t="str">
        <f>"8213273520"</f>
        <v>8213273520</v>
      </c>
      <c r="I1804" t="str">
        <f t="shared" si="30"/>
        <v>UNIFIRST CORPORATION</v>
      </c>
    </row>
    <row r="1805" spans="1:9" x14ac:dyDescent="0.25">
      <c r="A1805" s="6">
        <v>43488</v>
      </c>
      <c r="B1805" t="s">
        <v>26</v>
      </c>
      <c r="C1805">
        <v>60064</v>
      </c>
      <c r="D1805" t="s">
        <v>644</v>
      </c>
      <c r="E1805" s="7">
        <v>924.15</v>
      </c>
      <c r="F1805" t="s">
        <v>20</v>
      </c>
      <c r="G1805" t="s">
        <v>21</v>
      </c>
      <c r="H1805" t="str">
        <f>"8213273521"</f>
        <v>8213273521</v>
      </c>
      <c r="I1805" t="str">
        <f t="shared" si="30"/>
        <v>UNIFIRST CORPORATION</v>
      </c>
    </row>
    <row r="1806" spans="1:9" x14ac:dyDescent="0.25">
      <c r="A1806" s="6">
        <v>43488</v>
      </c>
      <c r="B1806" t="s">
        <v>26</v>
      </c>
      <c r="C1806">
        <v>60064</v>
      </c>
      <c r="D1806" t="s">
        <v>644</v>
      </c>
      <c r="E1806" s="7">
        <v>924.15</v>
      </c>
      <c r="F1806" t="s">
        <v>20</v>
      </c>
      <c r="G1806" t="s">
        <v>21</v>
      </c>
      <c r="H1806" t="str">
        <f>"8213273522"</f>
        <v>8213273522</v>
      </c>
      <c r="I1806" t="str">
        <f t="shared" si="30"/>
        <v>UNIFIRST CORPORATION</v>
      </c>
    </row>
    <row r="1807" spans="1:9" x14ac:dyDescent="0.25">
      <c r="A1807" s="6">
        <v>43488</v>
      </c>
      <c r="B1807" t="s">
        <v>26</v>
      </c>
      <c r="C1807">
        <v>60064</v>
      </c>
      <c r="D1807" t="s">
        <v>644</v>
      </c>
      <c r="E1807" s="7">
        <v>924.15</v>
      </c>
      <c r="F1807" t="s">
        <v>20</v>
      </c>
      <c r="G1807" t="s">
        <v>21</v>
      </c>
      <c r="H1807" t="str">
        <f>"8213273523"</f>
        <v>8213273523</v>
      </c>
      <c r="I1807" t="str">
        <f t="shared" si="30"/>
        <v>UNIFIRST CORPORATION</v>
      </c>
    </row>
    <row r="1808" spans="1:9" x14ac:dyDescent="0.25">
      <c r="A1808" s="6">
        <v>43488</v>
      </c>
      <c r="B1808" t="s">
        <v>26</v>
      </c>
      <c r="C1808">
        <v>60064</v>
      </c>
      <c r="D1808" t="s">
        <v>644</v>
      </c>
      <c r="E1808" s="7">
        <v>924.15</v>
      </c>
      <c r="F1808" t="s">
        <v>20</v>
      </c>
      <c r="G1808" t="s">
        <v>21</v>
      </c>
      <c r="H1808" t="str">
        <f>"8213273524"</f>
        <v>8213273524</v>
      </c>
      <c r="I1808" t="str">
        <f t="shared" si="30"/>
        <v>UNIFIRST CORPORATION</v>
      </c>
    </row>
    <row r="1809" spans="1:9" x14ac:dyDescent="0.25">
      <c r="A1809" s="6">
        <v>43488</v>
      </c>
      <c r="B1809" t="s">
        <v>26</v>
      </c>
      <c r="C1809">
        <v>60064</v>
      </c>
      <c r="D1809" t="s">
        <v>644</v>
      </c>
      <c r="E1809" s="7">
        <v>924.15</v>
      </c>
      <c r="F1809" t="s">
        <v>20</v>
      </c>
      <c r="G1809" t="s">
        <v>21</v>
      </c>
      <c r="H1809" t="str">
        <f>"8213273525"</f>
        <v>8213273525</v>
      </c>
      <c r="I1809" t="str">
        <f t="shared" si="30"/>
        <v>UNIFIRST CORPORATION</v>
      </c>
    </row>
    <row r="1810" spans="1:9" x14ac:dyDescent="0.25">
      <c r="A1810" s="6">
        <v>43488</v>
      </c>
      <c r="B1810" t="s">
        <v>26</v>
      </c>
      <c r="C1810">
        <v>60067</v>
      </c>
      <c r="D1810" t="s">
        <v>657</v>
      </c>
      <c r="E1810" s="7">
        <v>130</v>
      </c>
      <c r="F1810" t="s">
        <v>20</v>
      </c>
      <c r="G1810" t="s">
        <v>21</v>
      </c>
      <c r="H1810" t="str">
        <f>"1/2/2019"</f>
        <v>1/2/2019</v>
      </c>
      <c r="I1810" t="str">
        <f>"VALERIE VALERIO"</f>
        <v>VALERIE VALERIO</v>
      </c>
    </row>
    <row r="1811" spans="1:9" x14ac:dyDescent="0.25">
      <c r="A1811" s="6">
        <v>43488</v>
      </c>
      <c r="B1811" t="s">
        <v>26</v>
      </c>
      <c r="C1811">
        <v>60068</v>
      </c>
      <c r="D1811" t="s">
        <v>669</v>
      </c>
      <c r="E1811" s="7">
        <v>80</v>
      </c>
      <c r="F1811" t="s">
        <v>20</v>
      </c>
      <c r="G1811" t="s">
        <v>21</v>
      </c>
      <c r="H1811" t="str">
        <f>"1/22/2019"</f>
        <v>1/22/2019</v>
      </c>
      <c r="I1811" t="str">
        <f>"ALYSSA DELGADO"</f>
        <v>ALYSSA DELGADO</v>
      </c>
    </row>
    <row r="1812" spans="1:9" x14ac:dyDescent="0.25">
      <c r="A1812" s="6">
        <v>43488</v>
      </c>
      <c r="B1812" t="s">
        <v>26</v>
      </c>
      <c r="C1812">
        <v>60069</v>
      </c>
      <c r="D1812" t="s">
        <v>670</v>
      </c>
      <c r="E1812" s="7">
        <v>350</v>
      </c>
      <c r="F1812" t="s">
        <v>20</v>
      </c>
      <c r="G1812" t="s">
        <v>21</v>
      </c>
      <c r="H1812" t="str">
        <f>"198368"</f>
        <v>198368</v>
      </c>
      <c r="I1812" t="str">
        <f>"END ZONE ATHLETICS"</f>
        <v>END ZONE ATHLETICS</v>
      </c>
    </row>
    <row r="1813" spans="1:9" x14ac:dyDescent="0.25">
      <c r="A1813" s="6">
        <v>43488</v>
      </c>
      <c r="B1813" t="s">
        <v>26</v>
      </c>
      <c r="C1813">
        <v>60070</v>
      </c>
      <c r="D1813" t="s">
        <v>671</v>
      </c>
      <c r="E1813" s="7">
        <v>70</v>
      </c>
      <c r="F1813" t="s">
        <v>20</v>
      </c>
      <c r="G1813" t="s">
        <v>21</v>
      </c>
      <c r="H1813" t="str">
        <f>"1/22/2019"</f>
        <v>1/22/2019</v>
      </c>
      <c r="I1813" t="str">
        <f>"AIMEE LEE MARTINEZ"</f>
        <v>AIMEE LEE MARTINEZ</v>
      </c>
    </row>
    <row r="1814" spans="1:9" x14ac:dyDescent="0.25">
      <c r="A1814" s="6">
        <v>43489</v>
      </c>
      <c r="B1814" t="s">
        <v>26</v>
      </c>
      <c r="C1814">
        <v>60071</v>
      </c>
      <c r="D1814" t="s">
        <v>84</v>
      </c>
      <c r="E1814" s="7">
        <v>55635.31</v>
      </c>
      <c r="F1814" t="s">
        <v>20</v>
      </c>
      <c r="G1814" t="s">
        <v>21</v>
      </c>
      <c r="H1814" t="str">
        <f>"1443891"</f>
        <v>1443891</v>
      </c>
      <c r="I1814" t="str">
        <f>"STANTEC CONSULTING SERVICES IN"</f>
        <v>STANTEC CONSULTING SERVICES IN</v>
      </c>
    </row>
    <row r="1815" spans="1:9" x14ac:dyDescent="0.25">
      <c r="A1815" s="6">
        <v>43489</v>
      </c>
      <c r="B1815" t="s">
        <v>26</v>
      </c>
      <c r="C1815">
        <v>60072</v>
      </c>
      <c r="D1815" t="s">
        <v>84</v>
      </c>
      <c r="E1815" s="7">
        <v>5642.5</v>
      </c>
      <c r="F1815" t="s">
        <v>20</v>
      </c>
      <c r="G1815" t="s">
        <v>21</v>
      </c>
      <c r="H1815" t="str">
        <f>"1454493"</f>
        <v>1454493</v>
      </c>
      <c r="I1815" t="str">
        <f>"STANTEC CONSULTING SERVICES IN"</f>
        <v>STANTEC CONSULTING SERVICES IN</v>
      </c>
    </row>
    <row r="1816" spans="1:9" x14ac:dyDescent="0.25">
      <c r="A1816" s="6">
        <v>43489</v>
      </c>
      <c r="B1816" t="s">
        <v>26</v>
      </c>
      <c r="C1816">
        <v>60073</v>
      </c>
      <c r="D1816" t="s">
        <v>301</v>
      </c>
      <c r="E1816" s="7">
        <v>1615.56</v>
      </c>
      <c r="F1816" t="s">
        <v>20</v>
      </c>
      <c r="G1816" t="s">
        <v>21</v>
      </c>
      <c r="H1816" t="str">
        <f>"1670249"</f>
        <v>1670249</v>
      </c>
      <c r="I1816" t="str">
        <f>"GRANDE TRUCK CENTER"</f>
        <v>GRANDE TRUCK CENTER</v>
      </c>
    </row>
    <row r="1817" spans="1:9" x14ac:dyDescent="0.25">
      <c r="A1817" s="6">
        <v>43489</v>
      </c>
      <c r="B1817" t="s">
        <v>26</v>
      </c>
      <c r="C1817">
        <v>60073</v>
      </c>
      <c r="D1817" t="s">
        <v>301</v>
      </c>
      <c r="E1817" s="7">
        <v>1615.56</v>
      </c>
      <c r="F1817" t="s">
        <v>20</v>
      </c>
      <c r="G1817" t="s">
        <v>21</v>
      </c>
      <c r="H1817" t="str">
        <f>"183760"</f>
        <v>183760</v>
      </c>
      <c r="I1817" t="str">
        <f>"GRANDE TRUCK CENTER"</f>
        <v>GRANDE TRUCK CENTER</v>
      </c>
    </row>
    <row r="1818" spans="1:9" x14ac:dyDescent="0.25">
      <c r="A1818" s="6">
        <v>43497</v>
      </c>
      <c r="B1818" t="s">
        <v>26</v>
      </c>
      <c r="C1818">
        <v>60082</v>
      </c>
      <c r="D1818" t="s">
        <v>51</v>
      </c>
      <c r="E1818" s="7">
        <v>327.84</v>
      </c>
      <c r="F1818" t="s">
        <v>20</v>
      </c>
      <c r="G1818" t="s">
        <v>21</v>
      </c>
      <c r="H1818" t="str">
        <f>"CLE201901308507"</f>
        <v>CLE201901308507</v>
      </c>
      <c r="I1818" t="str">
        <f>"CLEAT ONLY DUES"</f>
        <v>CLEAT ONLY DUES</v>
      </c>
    </row>
    <row r="1819" spans="1:9" x14ac:dyDescent="0.25">
      <c r="A1819" s="6">
        <v>43497</v>
      </c>
      <c r="B1819" t="s">
        <v>26</v>
      </c>
      <c r="C1819">
        <v>60082</v>
      </c>
      <c r="D1819" t="s">
        <v>51</v>
      </c>
      <c r="E1819" s="7">
        <v>327.84</v>
      </c>
      <c r="F1819" t="s">
        <v>20</v>
      </c>
      <c r="G1819" t="s">
        <v>21</v>
      </c>
      <c r="H1819" t="str">
        <f>"PDD201901308507"</f>
        <v>PDD201901308507</v>
      </c>
      <c r="I1819" t="str">
        <f>"POLICE OFFICERS ASSOC DUES"</f>
        <v>POLICE OFFICERS ASSOC DUES</v>
      </c>
    </row>
    <row r="1820" spans="1:9" x14ac:dyDescent="0.25">
      <c r="A1820" s="6">
        <v>43497</v>
      </c>
      <c r="B1820" t="s">
        <v>91</v>
      </c>
      <c r="C1820">
        <v>60083</v>
      </c>
      <c r="D1820" t="s">
        <v>90</v>
      </c>
      <c r="E1820" s="7">
        <v>101.1</v>
      </c>
      <c r="F1820" t="s">
        <v>20</v>
      </c>
      <c r="G1820" t="s">
        <v>21</v>
      </c>
      <c r="H1820" t="str">
        <f>"AFS201901308507"</f>
        <v>AFS201901308507</v>
      </c>
      <c r="I1820" t="str">
        <f>"AFLAC STD"</f>
        <v>AFLAC STD</v>
      </c>
    </row>
    <row r="1821" spans="1:9" x14ac:dyDescent="0.25">
      <c r="A1821" s="6">
        <v>43497</v>
      </c>
      <c r="B1821" t="s">
        <v>26</v>
      </c>
      <c r="C1821">
        <v>60084</v>
      </c>
      <c r="D1821" t="s">
        <v>52</v>
      </c>
      <c r="E1821" s="7">
        <v>1438.22</v>
      </c>
      <c r="F1821" t="s">
        <v>20</v>
      </c>
      <c r="G1821" t="s">
        <v>21</v>
      </c>
      <c r="H1821" t="str">
        <f>"CJD201901308507"</f>
        <v>CJD201901308507</v>
      </c>
      <c r="I1821" t="str">
        <f>"1371990918080637CV RUBI MUNOZ"</f>
        <v>1371990918080637CV RUBI MUNOZ</v>
      </c>
    </row>
    <row r="1822" spans="1:9" x14ac:dyDescent="0.25">
      <c r="A1822" s="6">
        <v>43497</v>
      </c>
      <c r="B1822" t="s">
        <v>26</v>
      </c>
      <c r="C1822">
        <v>60084</v>
      </c>
      <c r="D1822" t="s">
        <v>52</v>
      </c>
      <c r="E1822" s="7">
        <v>1438.22</v>
      </c>
      <c r="F1822" t="s">
        <v>20</v>
      </c>
      <c r="G1822" t="s">
        <v>21</v>
      </c>
      <c r="H1822" t="str">
        <f>"CPS201901308507"</f>
        <v>CPS201901308507</v>
      </c>
      <c r="I1822" t="str">
        <f>"G MENDOZA 00123012032010EM5054"</f>
        <v>G MENDOZA 00123012032010EM5054</v>
      </c>
    </row>
    <row r="1823" spans="1:9" x14ac:dyDescent="0.25">
      <c r="A1823" s="6">
        <v>43497</v>
      </c>
      <c r="B1823" t="s">
        <v>26</v>
      </c>
      <c r="C1823">
        <v>60084</v>
      </c>
      <c r="D1823" t="s">
        <v>52</v>
      </c>
      <c r="E1823" s="7">
        <v>1438.22</v>
      </c>
      <c r="F1823" t="s">
        <v>20</v>
      </c>
      <c r="G1823" t="s">
        <v>21</v>
      </c>
      <c r="H1823" t="str">
        <f>"CS 201901308507"</f>
        <v>CS 201901308507</v>
      </c>
      <c r="I1823" t="str">
        <f>"CAUSE#98EM504113 PEGGY RIVAS"</f>
        <v>CAUSE#98EM504113 PEGGY RIVAS</v>
      </c>
    </row>
    <row r="1824" spans="1:9" x14ac:dyDescent="0.25">
      <c r="A1824" s="6">
        <v>43497</v>
      </c>
      <c r="B1824" t="s">
        <v>26</v>
      </c>
      <c r="C1824">
        <v>60084</v>
      </c>
      <c r="D1824" t="s">
        <v>52</v>
      </c>
      <c r="E1824" s="7">
        <v>1438.22</v>
      </c>
      <c r="F1824" t="s">
        <v>20</v>
      </c>
      <c r="G1824" t="s">
        <v>21</v>
      </c>
      <c r="H1824" t="str">
        <f>"CSJ201901308507"</f>
        <v>CSJ201901308507</v>
      </c>
      <c r="I1824" t="str">
        <f>"CAUSE# 0010185272 MARIANN GUTI"</f>
        <v>CAUSE# 0010185272 MARIANN GUTI</v>
      </c>
    </row>
    <row r="1825" spans="1:9" x14ac:dyDescent="0.25">
      <c r="A1825" s="6">
        <v>43497</v>
      </c>
      <c r="B1825" t="s">
        <v>26</v>
      </c>
      <c r="C1825">
        <v>60085</v>
      </c>
      <c r="D1825" t="s">
        <v>53</v>
      </c>
      <c r="E1825" s="7">
        <v>99.1</v>
      </c>
      <c r="F1825" t="s">
        <v>20</v>
      </c>
      <c r="G1825" t="s">
        <v>21</v>
      </c>
      <c r="H1825" t="str">
        <f>"MCO201901308507"</f>
        <v>MCO201901308507</v>
      </c>
      <c r="I1825" t="str">
        <f>"MONICA CORDOVA"</f>
        <v>MONICA CORDOVA</v>
      </c>
    </row>
    <row r="1826" spans="1:9" x14ac:dyDescent="0.25">
      <c r="A1826" s="6">
        <v>43497</v>
      </c>
      <c r="B1826" t="s">
        <v>26</v>
      </c>
      <c r="C1826">
        <v>60086</v>
      </c>
      <c r="D1826" t="s">
        <v>54</v>
      </c>
      <c r="E1826" s="7">
        <v>927.1</v>
      </c>
      <c r="F1826" t="s">
        <v>20</v>
      </c>
      <c r="G1826" t="s">
        <v>21</v>
      </c>
      <c r="H1826" t="str">
        <f>"457201901308507"</f>
        <v>457201901308507</v>
      </c>
      <c r="I1826" t="str">
        <f>"CASE # 180-60751 457B DEDUCT"</f>
        <v>CASE # 180-60751 457B DEDUCT</v>
      </c>
    </row>
    <row r="1827" spans="1:9" x14ac:dyDescent="0.25">
      <c r="A1827" s="6">
        <v>43495</v>
      </c>
      <c r="B1827" t="s">
        <v>26</v>
      </c>
      <c r="C1827">
        <v>60087</v>
      </c>
      <c r="D1827" t="s">
        <v>252</v>
      </c>
      <c r="E1827" s="7">
        <v>103287.94</v>
      </c>
      <c r="F1827" t="s">
        <v>20</v>
      </c>
      <c r="G1827" t="s">
        <v>21</v>
      </c>
      <c r="H1827" t="str">
        <f>"PAY APP #3"</f>
        <v>PAY APP #3</v>
      </c>
      <c r="I1827" t="str">
        <f>"RAM II GENERAL CONTRACTOR INC."</f>
        <v>RAM II GENERAL CONTRACTOR INC.</v>
      </c>
    </row>
    <row r="1828" spans="1:9" x14ac:dyDescent="0.25">
      <c r="A1828" s="6">
        <v>43495</v>
      </c>
      <c r="B1828" t="s">
        <v>26</v>
      </c>
      <c r="C1828">
        <v>60088</v>
      </c>
      <c r="D1828" t="s">
        <v>122</v>
      </c>
      <c r="E1828" s="7">
        <v>75</v>
      </c>
      <c r="F1828" t="s">
        <v>20</v>
      </c>
      <c r="G1828" t="s">
        <v>21</v>
      </c>
      <c r="H1828" t="str">
        <f>"122799"</f>
        <v>122799</v>
      </c>
      <c r="I1828" t="str">
        <f>"TIRE REPAIR"</f>
        <v>TIRE REPAIR</v>
      </c>
    </row>
    <row r="1829" spans="1:9" x14ac:dyDescent="0.25">
      <c r="A1829" s="6">
        <v>43495</v>
      </c>
      <c r="B1829" t="s">
        <v>26</v>
      </c>
      <c r="C1829">
        <v>60088</v>
      </c>
      <c r="D1829" t="s">
        <v>122</v>
      </c>
      <c r="E1829" s="7">
        <v>75</v>
      </c>
      <c r="F1829" t="s">
        <v>20</v>
      </c>
      <c r="G1829" t="s">
        <v>21</v>
      </c>
      <c r="H1829" t="str">
        <f>"722251"</f>
        <v>722251</v>
      </c>
      <c r="I1829" t="str">
        <f>"TIRE REPAIR"</f>
        <v>TIRE REPAIR</v>
      </c>
    </row>
    <row r="1830" spans="1:9" x14ac:dyDescent="0.25">
      <c r="A1830" s="6">
        <v>43495</v>
      </c>
      <c r="B1830" t="s">
        <v>26</v>
      </c>
      <c r="C1830">
        <v>60089</v>
      </c>
      <c r="D1830" t="s">
        <v>123</v>
      </c>
      <c r="E1830" s="7">
        <v>373.61</v>
      </c>
      <c r="F1830" t="s">
        <v>20</v>
      </c>
      <c r="G1830" t="s">
        <v>21</v>
      </c>
      <c r="H1830" t="str">
        <f>"255401178001*"</f>
        <v>255401178001*</v>
      </c>
      <c r="I1830" t="str">
        <f>"OFFICE DEPOT  INC."</f>
        <v>OFFICE DEPOT  INC.</v>
      </c>
    </row>
    <row r="1831" spans="1:9" x14ac:dyDescent="0.25">
      <c r="A1831" s="6">
        <v>43495</v>
      </c>
      <c r="B1831" t="s">
        <v>26</v>
      </c>
      <c r="C1831">
        <v>60089</v>
      </c>
      <c r="D1831" t="s">
        <v>123</v>
      </c>
      <c r="E1831" s="7">
        <v>373.61</v>
      </c>
      <c r="F1831" t="s">
        <v>20</v>
      </c>
      <c r="G1831" t="s">
        <v>21</v>
      </c>
      <c r="H1831" t="str">
        <f>"255401416001*"</f>
        <v>255401416001*</v>
      </c>
      <c r="I1831" t="str">
        <f>"OFFICE DEPOT  INC."</f>
        <v>OFFICE DEPOT  INC.</v>
      </c>
    </row>
    <row r="1832" spans="1:9" x14ac:dyDescent="0.25">
      <c r="A1832" s="6">
        <v>43495</v>
      </c>
      <c r="B1832" t="s">
        <v>26</v>
      </c>
      <c r="C1832">
        <v>60089</v>
      </c>
      <c r="D1832" t="s">
        <v>123</v>
      </c>
      <c r="E1832" s="7">
        <v>373.61</v>
      </c>
      <c r="F1832" t="s">
        <v>20</v>
      </c>
      <c r="G1832" t="s">
        <v>21</v>
      </c>
      <c r="H1832" t="str">
        <f>"255768103001*"</f>
        <v>255768103001*</v>
      </c>
      <c r="I1832" t="str">
        <f>"OFFICE DEPOT  INC."</f>
        <v>OFFICE DEPOT  INC.</v>
      </c>
    </row>
    <row r="1833" spans="1:9" x14ac:dyDescent="0.25">
      <c r="A1833" s="6">
        <v>43495</v>
      </c>
      <c r="B1833" t="s">
        <v>26</v>
      </c>
      <c r="C1833">
        <v>60089</v>
      </c>
      <c r="D1833" t="s">
        <v>123</v>
      </c>
      <c r="E1833" s="7">
        <v>373.61</v>
      </c>
      <c r="F1833" t="s">
        <v>20</v>
      </c>
      <c r="G1833" t="s">
        <v>21</v>
      </c>
      <c r="H1833" t="str">
        <f>"255769874001*"</f>
        <v>255769874001*</v>
      </c>
      <c r="I1833" t="str">
        <f>"OFFICE DEPOT  INC."</f>
        <v>OFFICE DEPOT  INC.</v>
      </c>
    </row>
    <row r="1834" spans="1:9" x14ac:dyDescent="0.25">
      <c r="A1834" s="6">
        <v>43495</v>
      </c>
      <c r="B1834" t="s">
        <v>26</v>
      </c>
      <c r="C1834">
        <v>60089</v>
      </c>
      <c r="D1834" t="s">
        <v>123</v>
      </c>
      <c r="E1834" s="7">
        <v>373.61</v>
      </c>
      <c r="F1834" t="s">
        <v>20</v>
      </c>
      <c r="G1834" t="s">
        <v>21</v>
      </c>
      <c r="H1834" t="str">
        <f>"255769875001*"</f>
        <v>255769875001*</v>
      </c>
      <c r="I1834" t="str">
        <f>"OFFICE DEPOT  INC."</f>
        <v>OFFICE DEPOT  INC.</v>
      </c>
    </row>
    <row r="1835" spans="1:9" x14ac:dyDescent="0.25">
      <c r="A1835" s="6">
        <v>43495</v>
      </c>
      <c r="B1835" t="s">
        <v>26</v>
      </c>
      <c r="C1835">
        <v>60090</v>
      </c>
      <c r="D1835" t="s">
        <v>85</v>
      </c>
      <c r="E1835" s="7">
        <v>5350.53</v>
      </c>
      <c r="F1835" t="s">
        <v>20</v>
      </c>
      <c r="G1835" t="s">
        <v>21</v>
      </c>
      <c r="H1835" t="str">
        <f>"8301970021 2/19"</f>
        <v>8301970021 2/19</v>
      </c>
      <c r="I1835" t="str">
        <f>"FRONTIER"</f>
        <v>FRONTIER</v>
      </c>
    </row>
    <row r="1836" spans="1:9" x14ac:dyDescent="0.25">
      <c r="A1836" s="6">
        <v>43495</v>
      </c>
      <c r="B1836" t="s">
        <v>26</v>
      </c>
      <c r="C1836">
        <v>60090</v>
      </c>
      <c r="D1836" t="s">
        <v>85</v>
      </c>
      <c r="E1836" s="7">
        <v>5350.53</v>
      </c>
      <c r="F1836" t="s">
        <v>20</v>
      </c>
      <c r="G1836" t="s">
        <v>21</v>
      </c>
      <c r="H1836" t="str">
        <f>"83019700221 1/19"</f>
        <v>83019700221 1/19</v>
      </c>
      <c r="I1836" t="str">
        <f>"FRONTIER"</f>
        <v>FRONTIER</v>
      </c>
    </row>
    <row r="1837" spans="1:9" x14ac:dyDescent="0.25">
      <c r="A1837" s="6">
        <v>43495</v>
      </c>
      <c r="B1837" t="s">
        <v>26</v>
      </c>
      <c r="C1837">
        <v>60090</v>
      </c>
      <c r="D1837" t="s">
        <v>85</v>
      </c>
      <c r="E1837" s="7">
        <v>5350.53</v>
      </c>
      <c r="F1837" t="s">
        <v>20</v>
      </c>
      <c r="G1837" t="s">
        <v>21</v>
      </c>
      <c r="H1837" t="str">
        <f>"8301970024 2/19"</f>
        <v>8301970024 2/19</v>
      </c>
      <c r="I1837" t="str">
        <f>"FRONTIER"</f>
        <v>FRONTIER</v>
      </c>
    </row>
    <row r="1838" spans="1:9" x14ac:dyDescent="0.25">
      <c r="A1838" s="6">
        <v>43495</v>
      </c>
      <c r="B1838" t="s">
        <v>26</v>
      </c>
      <c r="C1838">
        <v>60090</v>
      </c>
      <c r="D1838" t="s">
        <v>85</v>
      </c>
      <c r="E1838" s="7">
        <v>5350.53</v>
      </c>
      <c r="F1838" t="s">
        <v>20</v>
      </c>
      <c r="G1838" t="s">
        <v>21</v>
      </c>
      <c r="H1838" t="str">
        <f>"8303934055 1/19"</f>
        <v>8303934055 1/19</v>
      </c>
      <c r="I1838" t="str">
        <f>"FRONTIER"</f>
        <v>FRONTIER</v>
      </c>
    </row>
    <row r="1839" spans="1:9" x14ac:dyDescent="0.25">
      <c r="A1839" s="6">
        <v>43495</v>
      </c>
      <c r="B1839" t="s">
        <v>26</v>
      </c>
      <c r="C1839">
        <v>60090</v>
      </c>
      <c r="D1839" t="s">
        <v>85</v>
      </c>
      <c r="E1839" s="7">
        <v>5350.53</v>
      </c>
      <c r="F1839" t="s">
        <v>20</v>
      </c>
      <c r="G1839" t="s">
        <v>21</v>
      </c>
      <c r="H1839" t="str">
        <f>"8303934055 2/19"</f>
        <v>8303934055 2/19</v>
      </c>
      <c r="I1839" t="str">
        <f>"FRONTIER"</f>
        <v>FRONTIER</v>
      </c>
    </row>
    <row r="1840" spans="1:9" x14ac:dyDescent="0.25">
      <c r="A1840" s="6">
        <v>43495</v>
      </c>
      <c r="B1840" t="s">
        <v>26</v>
      </c>
      <c r="C1840">
        <v>60091</v>
      </c>
      <c r="D1840" t="s">
        <v>584</v>
      </c>
      <c r="E1840" s="7">
        <v>125</v>
      </c>
      <c r="F1840" t="s">
        <v>20</v>
      </c>
      <c r="G1840" t="s">
        <v>21</v>
      </c>
      <c r="H1840" t="str">
        <f>"1/26/2019"</f>
        <v>1/26/2019</v>
      </c>
      <c r="I1840" t="str">
        <f>"AMANDA SENDEJO"</f>
        <v>AMANDA SENDEJO</v>
      </c>
    </row>
    <row r="1841" spans="1:9" x14ac:dyDescent="0.25">
      <c r="A1841" s="6">
        <v>43495</v>
      </c>
      <c r="B1841" t="s">
        <v>26</v>
      </c>
      <c r="C1841">
        <v>60092</v>
      </c>
      <c r="D1841" t="s">
        <v>452</v>
      </c>
      <c r="E1841" s="7">
        <v>200</v>
      </c>
      <c r="F1841" t="s">
        <v>20</v>
      </c>
      <c r="G1841" t="s">
        <v>21</v>
      </c>
      <c r="H1841" t="str">
        <f>"1/26/19"</f>
        <v>1/26/19</v>
      </c>
      <c r="I1841" t="str">
        <f>"DESIREE PEREZ"</f>
        <v>DESIREE PEREZ</v>
      </c>
    </row>
    <row r="1842" spans="1:9" x14ac:dyDescent="0.25">
      <c r="A1842" s="6">
        <v>43495</v>
      </c>
      <c r="B1842" t="s">
        <v>26</v>
      </c>
      <c r="C1842">
        <v>60093</v>
      </c>
      <c r="D1842" t="s">
        <v>488</v>
      </c>
      <c r="E1842" s="7">
        <v>71744</v>
      </c>
      <c r="F1842" t="s">
        <v>20</v>
      </c>
      <c r="G1842" t="s">
        <v>21</v>
      </c>
      <c r="H1842" t="str">
        <f>"PAY APP #6"</f>
        <v>PAY APP #6</v>
      </c>
      <c r="I1842" t="str">
        <f>"M &amp; C Fonseca Construction Co."</f>
        <v>M &amp; C Fonseca Construction Co.</v>
      </c>
    </row>
    <row r="1843" spans="1:9" x14ac:dyDescent="0.25">
      <c r="A1843" s="6">
        <v>43495</v>
      </c>
      <c r="B1843" t="s">
        <v>26</v>
      </c>
      <c r="C1843">
        <v>60094</v>
      </c>
      <c r="D1843" t="s">
        <v>596</v>
      </c>
      <c r="E1843" s="7">
        <v>110</v>
      </c>
      <c r="F1843" t="s">
        <v>20</v>
      </c>
      <c r="G1843" t="s">
        <v>21</v>
      </c>
      <c r="H1843" t="str">
        <f>"1/26/19"</f>
        <v>1/26/19</v>
      </c>
      <c r="I1843" t="str">
        <f>"GRACE PIERCE"</f>
        <v>GRACE PIERCE</v>
      </c>
    </row>
    <row r="1844" spans="1:9" x14ac:dyDescent="0.25">
      <c r="A1844" s="6">
        <v>43495</v>
      </c>
      <c r="B1844" t="s">
        <v>91</v>
      </c>
      <c r="C1844">
        <v>60095</v>
      </c>
      <c r="D1844" t="s">
        <v>599</v>
      </c>
      <c r="E1844" s="7">
        <v>67619.100000000006</v>
      </c>
      <c r="F1844" t="s">
        <v>20</v>
      </c>
      <c r="G1844" t="s">
        <v>21</v>
      </c>
      <c r="H1844" t="str">
        <f>"PAY APP #2"</f>
        <v>PAY APP #2</v>
      </c>
      <c r="I1844" t="str">
        <f>"METER INSTALL GROUP  LLC."</f>
        <v>METER INSTALL GROUP  LLC.</v>
      </c>
    </row>
    <row r="1845" spans="1:9" x14ac:dyDescent="0.25">
      <c r="A1845" s="6">
        <v>43495</v>
      </c>
      <c r="B1845" t="s">
        <v>91</v>
      </c>
      <c r="C1845">
        <v>60095</v>
      </c>
      <c r="D1845" t="s">
        <v>599</v>
      </c>
      <c r="E1845" s="7">
        <v>67619.100000000006</v>
      </c>
      <c r="F1845" t="s">
        <v>20</v>
      </c>
      <c r="G1845" t="s">
        <v>93</v>
      </c>
      <c r="H1845" t="str">
        <f>"CHECK"</f>
        <v>CHECK</v>
      </c>
      <c r="I1845" t="str">
        <f>""</f>
        <v/>
      </c>
    </row>
    <row r="1846" spans="1:9" x14ac:dyDescent="0.25">
      <c r="A1846" s="6">
        <v>43495</v>
      </c>
      <c r="B1846" t="s">
        <v>26</v>
      </c>
      <c r="C1846">
        <v>60096</v>
      </c>
      <c r="D1846" t="s">
        <v>651</v>
      </c>
      <c r="E1846" s="7">
        <v>205</v>
      </c>
      <c r="F1846" t="s">
        <v>20</v>
      </c>
      <c r="G1846" t="s">
        <v>21</v>
      </c>
      <c r="H1846" t="str">
        <f>"1/26/2019"</f>
        <v>1/26/2019</v>
      </c>
      <c r="I1846" t="str">
        <f>"NAZARETH RAMIREZ"</f>
        <v>NAZARETH RAMIREZ</v>
      </c>
    </row>
    <row r="1847" spans="1:9" x14ac:dyDescent="0.25">
      <c r="A1847" s="6">
        <v>43495</v>
      </c>
      <c r="B1847" t="s">
        <v>26</v>
      </c>
      <c r="C1847">
        <v>60097</v>
      </c>
      <c r="D1847" t="s">
        <v>657</v>
      </c>
      <c r="E1847" s="7">
        <v>200</v>
      </c>
      <c r="F1847" t="s">
        <v>20</v>
      </c>
      <c r="G1847" t="s">
        <v>21</v>
      </c>
      <c r="H1847" t="str">
        <f>"1/26/19"</f>
        <v>1/26/19</v>
      </c>
      <c r="I1847" t="str">
        <f>"VALERIE VALERIO"</f>
        <v>VALERIE VALERIO</v>
      </c>
    </row>
    <row r="1848" spans="1:9" x14ac:dyDescent="0.25">
      <c r="A1848" s="6">
        <v>43495</v>
      </c>
      <c r="B1848" t="s">
        <v>26</v>
      </c>
      <c r="C1848">
        <v>60098</v>
      </c>
      <c r="D1848" t="s">
        <v>671</v>
      </c>
      <c r="E1848" s="7">
        <v>70</v>
      </c>
      <c r="F1848" t="s">
        <v>20</v>
      </c>
      <c r="G1848" t="s">
        <v>21</v>
      </c>
      <c r="H1848" t="str">
        <f>"1/26/2019"</f>
        <v>1/26/2019</v>
      </c>
      <c r="I1848" t="str">
        <f>"AIMEE LEE MARTINEZ"</f>
        <v>AIMEE LEE MARTINEZ</v>
      </c>
    </row>
    <row r="1849" spans="1:9" x14ac:dyDescent="0.25">
      <c r="A1849" s="6">
        <v>43495</v>
      </c>
      <c r="B1849" t="s">
        <v>26</v>
      </c>
      <c r="C1849">
        <v>60099</v>
      </c>
      <c r="D1849" t="s">
        <v>672</v>
      </c>
      <c r="E1849" s="7">
        <v>125</v>
      </c>
      <c r="F1849" t="s">
        <v>20</v>
      </c>
      <c r="G1849" t="s">
        <v>21</v>
      </c>
      <c r="H1849" t="str">
        <f>"1/26/2019"</f>
        <v>1/26/2019</v>
      </c>
      <c r="I1849" t="str">
        <f>"MICHAEL ANGELO GOMEZ"</f>
        <v>MICHAEL ANGELO GOMEZ</v>
      </c>
    </row>
    <row r="1850" spans="1:9" x14ac:dyDescent="0.25">
      <c r="A1850" s="6">
        <v>43495</v>
      </c>
      <c r="B1850" t="s">
        <v>26</v>
      </c>
      <c r="C1850">
        <v>60100</v>
      </c>
      <c r="D1850" t="s">
        <v>488</v>
      </c>
      <c r="E1850" s="7">
        <v>172587.17</v>
      </c>
      <c r="F1850" t="s">
        <v>20</v>
      </c>
      <c r="G1850" t="s">
        <v>21</v>
      </c>
      <c r="H1850" t="str">
        <f>"PAY APP #7"</f>
        <v>PAY APP #7</v>
      </c>
      <c r="I1850" t="str">
        <f>"M &amp; C Fonseca Construction Co."</f>
        <v>M &amp; C Fonseca Construction Co.</v>
      </c>
    </row>
    <row r="1851" spans="1:9" x14ac:dyDescent="0.25">
      <c r="A1851" s="6">
        <v>43495</v>
      </c>
      <c r="B1851" t="s">
        <v>91</v>
      </c>
      <c r="C1851">
        <v>60101</v>
      </c>
      <c r="D1851" t="s">
        <v>599</v>
      </c>
      <c r="E1851" s="7">
        <v>145740.45000000001</v>
      </c>
      <c r="F1851" t="s">
        <v>20</v>
      </c>
      <c r="G1851" t="s">
        <v>21</v>
      </c>
      <c r="H1851" t="str">
        <f>"PAY APP #3"</f>
        <v>PAY APP #3</v>
      </c>
      <c r="I1851" t="str">
        <f>"METER INSTALL GROUP  LLC."</f>
        <v>METER INSTALL GROUP  LLC.</v>
      </c>
    </row>
    <row r="1852" spans="1:9" x14ac:dyDescent="0.25">
      <c r="A1852" s="6">
        <v>43495</v>
      </c>
      <c r="B1852" t="s">
        <v>91</v>
      </c>
      <c r="C1852">
        <v>60101</v>
      </c>
      <c r="D1852" t="s">
        <v>599</v>
      </c>
      <c r="E1852" s="7">
        <v>145740.45000000001</v>
      </c>
      <c r="F1852" t="s">
        <v>20</v>
      </c>
      <c r="G1852" t="s">
        <v>93</v>
      </c>
      <c r="H1852" t="str">
        <f>"CHECK"</f>
        <v>CHECK</v>
      </c>
      <c r="I1852" t="str">
        <f>""</f>
        <v/>
      </c>
    </row>
    <row r="1853" spans="1:9" x14ac:dyDescent="0.25">
      <c r="A1853" s="6">
        <v>43496</v>
      </c>
      <c r="B1853" t="s">
        <v>26</v>
      </c>
      <c r="C1853">
        <v>60102</v>
      </c>
      <c r="D1853" t="s">
        <v>345</v>
      </c>
      <c r="E1853" s="7">
        <v>308</v>
      </c>
      <c r="F1853" t="s">
        <v>20</v>
      </c>
      <c r="G1853" t="s">
        <v>21</v>
      </c>
      <c r="H1853" t="str">
        <f>"1/26/2019"</f>
        <v>1/26/2019</v>
      </c>
      <c r="I1853" t="str">
        <f>"MICHAEL ISAAC MARTINEZ"</f>
        <v>MICHAEL ISAAC MARTINEZ</v>
      </c>
    </row>
    <row r="1854" spans="1:9" x14ac:dyDescent="0.25">
      <c r="A1854" s="6">
        <v>43500</v>
      </c>
      <c r="B1854" t="s">
        <v>26</v>
      </c>
      <c r="C1854">
        <v>60103</v>
      </c>
      <c r="D1854" t="s">
        <v>90</v>
      </c>
      <c r="E1854" s="7">
        <v>2169.6</v>
      </c>
      <c r="F1854" t="s">
        <v>20</v>
      </c>
      <c r="G1854" t="s">
        <v>21</v>
      </c>
      <c r="H1854" t="str">
        <f>"958543"</f>
        <v>958543</v>
      </c>
      <c r="I1854" t="str">
        <f>"AFLAC"</f>
        <v>AFLAC</v>
      </c>
    </row>
    <row r="1855" spans="1:9" x14ac:dyDescent="0.25">
      <c r="A1855" s="6">
        <v>43500</v>
      </c>
      <c r="B1855" t="s">
        <v>26</v>
      </c>
      <c r="C1855">
        <v>60104</v>
      </c>
      <c r="D1855" t="s">
        <v>96</v>
      </c>
      <c r="E1855" s="7">
        <v>426.4</v>
      </c>
      <c r="F1855" t="s">
        <v>20</v>
      </c>
      <c r="G1855" t="s">
        <v>329</v>
      </c>
      <c r="H1855" t="str">
        <f>"2/2019"</f>
        <v>2/2019</v>
      </c>
      <c r="I1855" t="str">
        <f>"LEGALSHIELD"</f>
        <v>LEGALSHIELD</v>
      </c>
    </row>
    <row r="1856" spans="1:9" x14ac:dyDescent="0.25">
      <c r="A1856" s="6">
        <v>43500</v>
      </c>
      <c r="B1856" t="s">
        <v>26</v>
      </c>
      <c r="C1856">
        <v>60104</v>
      </c>
      <c r="D1856" t="s">
        <v>96</v>
      </c>
      <c r="E1856" s="7">
        <v>426.4</v>
      </c>
      <c r="F1856" t="s">
        <v>20</v>
      </c>
      <c r="G1856" t="s">
        <v>21</v>
      </c>
      <c r="H1856" t="str">
        <f>"PPL201901028504"</f>
        <v>PPL201901028504</v>
      </c>
      <c r="I1856" t="str">
        <f>"INSURANCE"</f>
        <v>INSURANCE</v>
      </c>
    </row>
    <row r="1857" spans="1:9" x14ac:dyDescent="0.25">
      <c r="A1857" s="6">
        <v>43500</v>
      </c>
      <c r="B1857" t="s">
        <v>26</v>
      </c>
      <c r="C1857">
        <v>60105</v>
      </c>
      <c r="D1857" t="s">
        <v>97</v>
      </c>
      <c r="E1857" s="7">
        <v>41308.14</v>
      </c>
      <c r="F1857" t="s">
        <v>20</v>
      </c>
      <c r="G1857" t="s">
        <v>24</v>
      </c>
      <c r="H1857" t="str">
        <f>"2/2019"</f>
        <v>2/2019</v>
      </c>
      <c r="I1857" t="str">
        <f>"HEALTH CARE SERVICE CORPORATIO"</f>
        <v>HEALTH CARE SERVICE CORPORATIO</v>
      </c>
    </row>
    <row r="1858" spans="1:9" x14ac:dyDescent="0.25">
      <c r="A1858" s="6">
        <v>43500</v>
      </c>
      <c r="B1858" t="s">
        <v>26</v>
      </c>
      <c r="C1858">
        <v>60105</v>
      </c>
      <c r="D1858" t="s">
        <v>97</v>
      </c>
      <c r="E1858" s="7">
        <v>41308.14</v>
      </c>
      <c r="F1858" t="s">
        <v>20</v>
      </c>
      <c r="G1858" t="s">
        <v>329</v>
      </c>
      <c r="H1858" t="str">
        <f>"2/2019"</f>
        <v>2/2019</v>
      </c>
      <c r="I1858" t="str">
        <f>"HEALTH CARE SERVICE CORPORATIO"</f>
        <v>HEALTH CARE SERVICE CORPORATIO</v>
      </c>
    </row>
    <row r="1859" spans="1:9" x14ac:dyDescent="0.25">
      <c r="A1859" s="6">
        <v>43500</v>
      </c>
      <c r="B1859" t="s">
        <v>26</v>
      </c>
      <c r="C1859">
        <v>60105</v>
      </c>
      <c r="D1859" t="s">
        <v>97</v>
      </c>
      <c r="E1859" s="7">
        <v>41308.14</v>
      </c>
      <c r="F1859" t="s">
        <v>20</v>
      </c>
      <c r="G1859" t="s">
        <v>21</v>
      </c>
      <c r="H1859" t="str">
        <f>"DEN201901028504"</f>
        <v>DEN201901028504</v>
      </c>
      <c r="I1859" t="str">
        <f>"DENTAL INSURANCE"</f>
        <v>DENTAL INSURANCE</v>
      </c>
    </row>
    <row r="1860" spans="1:9" x14ac:dyDescent="0.25">
      <c r="A1860" s="6">
        <v>43500</v>
      </c>
      <c r="B1860" t="s">
        <v>26</v>
      </c>
      <c r="C1860">
        <v>60105</v>
      </c>
      <c r="D1860" t="s">
        <v>97</v>
      </c>
      <c r="E1860" s="7">
        <v>41308.14</v>
      </c>
      <c r="F1860" t="s">
        <v>20</v>
      </c>
      <c r="G1860" t="s">
        <v>21</v>
      </c>
      <c r="H1860" t="str">
        <f>"MED201901028504"</f>
        <v>MED201901028504</v>
      </c>
      <c r="I1860" t="str">
        <f>"HEALTH &amp; DENTAL INSURANCE"</f>
        <v>HEALTH &amp; DENTAL INSURANCE</v>
      </c>
    </row>
    <row r="1861" spans="1:9" x14ac:dyDescent="0.25">
      <c r="A1861" s="6">
        <v>43500</v>
      </c>
      <c r="B1861" t="s">
        <v>26</v>
      </c>
      <c r="C1861">
        <v>60108</v>
      </c>
      <c r="D1861" t="s">
        <v>98</v>
      </c>
      <c r="E1861" s="7">
        <v>3883.87</v>
      </c>
      <c r="F1861" t="s">
        <v>20</v>
      </c>
      <c r="G1861" t="s">
        <v>329</v>
      </c>
      <c r="H1861" t="str">
        <f>"2/2019"</f>
        <v>2/2019</v>
      </c>
      <c r="I1861" t="str">
        <f>"DEARBORN NATIONAL"</f>
        <v>DEARBORN NATIONAL</v>
      </c>
    </row>
    <row r="1862" spans="1:9" x14ac:dyDescent="0.25">
      <c r="A1862" s="6">
        <v>43500</v>
      </c>
      <c r="B1862" t="s">
        <v>26</v>
      </c>
      <c r="C1862">
        <v>60108</v>
      </c>
      <c r="D1862" t="s">
        <v>98</v>
      </c>
      <c r="E1862" s="7">
        <v>3883.87</v>
      </c>
      <c r="F1862" t="s">
        <v>20</v>
      </c>
      <c r="G1862" t="s">
        <v>21</v>
      </c>
      <c r="H1862" t="str">
        <f>"STD201901028504"</f>
        <v>STD201901028504</v>
      </c>
      <c r="I1862" t="str">
        <f>"SHORT TERM DISABILITY"</f>
        <v>SHORT TERM DISABILITY</v>
      </c>
    </row>
    <row r="1863" spans="1:9" x14ac:dyDescent="0.25">
      <c r="A1863" s="6">
        <v>43500</v>
      </c>
      <c r="B1863" t="s">
        <v>26</v>
      </c>
      <c r="C1863">
        <v>60108</v>
      </c>
      <c r="D1863" t="s">
        <v>98</v>
      </c>
      <c r="E1863" s="7">
        <v>3883.87</v>
      </c>
      <c r="F1863" t="s">
        <v>20</v>
      </c>
      <c r="G1863" t="s">
        <v>21</v>
      </c>
      <c r="H1863" t="str">
        <f>"VIS201901028504"</f>
        <v>VIS201901028504</v>
      </c>
      <c r="I1863" t="str">
        <f>"VISION INSURANCE"</f>
        <v>VISION INSURANCE</v>
      </c>
    </row>
    <row r="1864" spans="1:9" x14ac:dyDescent="0.25">
      <c r="A1864" s="6">
        <v>43500</v>
      </c>
      <c r="B1864" t="s">
        <v>26</v>
      </c>
      <c r="C1864">
        <v>60108</v>
      </c>
      <c r="D1864" t="s">
        <v>98</v>
      </c>
      <c r="E1864" s="7">
        <v>3883.87</v>
      </c>
      <c r="F1864" t="s">
        <v>20</v>
      </c>
      <c r="G1864" t="s">
        <v>21</v>
      </c>
      <c r="H1864" t="str">
        <f>"VLC201901028504"</f>
        <v>VLC201901028504</v>
      </c>
      <c r="I1864" t="str">
        <f>"CHILD LIFE INSURANCE"</f>
        <v>CHILD LIFE INSURANCE</v>
      </c>
    </row>
    <row r="1865" spans="1:9" x14ac:dyDescent="0.25">
      <c r="A1865" s="6">
        <v>43500</v>
      </c>
      <c r="B1865" t="s">
        <v>26</v>
      </c>
      <c r="C1865">
        <v>60108</v>
      </c>
      <c r="D1865" t="s">
        <v>98</v>
      </c>
      <c r="E1865" s="7">
        <v>3883.87</v>
      </c>
      <c r="F1865" t="s">
        <v>20</v>
      </c>
      <c r="G1865" t="s">
        <v>21</v>
      </c>
      <c r="H1865" t="str">
        <f>"VLS201901028504"</f>
        <v>VLS201901028504</v>
      </c>
      <c r="I1865" t="str">
        <f>"SPOUSE LIFE"</f>
        <v>SPOUSE LIFE</v>
      </c>
    </row>
    <row r="1866" spans="1:9" x14ac:dyDescent="0.25">
      <c r="A1866" s="6">
        <v>43500</v>
      </c>
      <c r="B1866" t="s">
        <v>26</v>
      </c>
      <c r="C1866">
        <v>60108</v>
      </c>
      <c r="D1866" t="s">
        <v>98</v>
      </c>
      <c r="E1866" s="7">
        <v>3883.87</v>
      </c>
      <c r="F1866" t="s">
        <v>20</v>
      </c>
      <c r="G1866" t="s">
        <v>21</v>
      </c>
      <c r="H1866" t="str">
        <f>"VOE201901028504"</f>
        <v>VOE201901028504</v>
      </c>
      <c r="I1866" t="str">
        <f>"EMPLOYEE LIFE"</f>
        <v>EMPLOYEE LIFE</v>
      </c>
    </row>
    <row r="1867" spans="1:9" x14ac:dyDescent="0.25">
      <c r="A1867" s="6">
        <v>43500</v>
      </c>
      <c r="B1867" t="s">
        <v>26</v>
      </c>
      <c r="C1867">
        <v>60108</v>
      </c>
      <c r="D1867" t="s">
        <v>98</v>
      </c>
      <c r="E1867" s="7">
        <v>3883.87</v>
      </c>
      <c r="F1867" t="s">
        <v>20</v>
      </c>
      <c r="G1867" t="s">
        <v>21</v>
      </c>
      <c r="H1867" t="str">
        <f>"VOL201901028504"</f>
        <v>VOL201901028504</v>
      </c>
      <c r="I1867" t="str">
        <f>"LIFE"</f>
        <v>LIFE</v>
      </c>
    </row>
    <row r="1868" spans="1:9" x14ac:dyDescent="0.25">
      <c r="A1868" s="6">
        <v>43501</v>
      </c>
      <c r="B1868" t="s">
        <v>26</v>
      </c>
      <c r="C1868">
        <v>60113</v>
      </c>
      <c r="D1868" t="s">
        <v>59</v>
      </c>
      <c r="E1868" s="7">
        <v>1542.21</v>
      </c>
      <c r="F1868" t="s">
        <v>20</v>
      </c>
      <c r="G1868" t="s">
        <v>21</v>
      </c>
      <c r="H1868" t="str">
        <f>"0998549"</f>
        <v>0998549</v>
      </c>
      <c r="I1868" t="str">
        <f>"STAINLESS STEEL CHAIN"</f>
        <v>STAINLESS STEEL CHAIN</v>
      </c>
    </row>
    <row r="1869" spans="1:9" x14ac:dyDescent="0.25">
      <c r="A1869" s="6">
        <v>43501</v>
      </c>
      <c r="B1869" t="s">
        <v>26</v>
      </c>
      <c r="C1869">
        <v>60113</v>
      </c>
      <c r="D1869" t="s">
        <v>59</v>
      </c>
      <c r="E1869" s="7">
        <v>1542.21</v>
      </c>
      <c r="F1869" t="s">
        <v>20</v>
      </c>
      <c r="G1869" t="s">
        <v>21</v>
      </c>
      <c r="H1869" t="str">
        <f>"1000264"</f>
        <v>1000264</v>
      </c>
      <c r="I1869" t="str">
        <f>"SAFETY GEAR"</f>
        <v>SAFETY GEAR</v>
      </c>
    </row>
    <row r="1870" spans="1:9" x14ac:dyDescent="0.25">
      <c r="A1870" s="6">
        <v>43501</v>
      </c>
      <c r="B1870" t="s">
        <v>26</v>
      </c>
      <c r="C1870">
        <v>60114</v>
      </c>
      <c r="D1870" t="s">
        <v>673</v>
      </c>
      <c r="E1870" s="7">
        <v>179.94</v>
      </c>
      <c r="F1870" t="s">
        <v>20</v>
      </c>
      <c r="G1870" t="s">
        <v>21</v>
      </c>
      <c r="H1870" t="str">
        <f>"27683"</f>
        <v>27683</v>
      </c>
      <c r="I1870" t="str">
        <f>"MAGS FOR GLOCK GEN 17"</f>
        <v>MAGS FOR GLOCK GEN 17</v>
      </c>
    </row>
    <row r="1871" spans="1:9" x14ac:dyDescent="0.25">
      <c r="A1871" s="6">
        <v>43501</v>
      </c>
      <c r="B1871" t="s">
        <v>26</v>
      </c>
      <c r="C1871">
        <v>60115</v>
      </c>
      <c r="D1871" t="s">
        <v>180</v>
      </c>
      <c r="E1871" s="7">
        <v>28.5</v>
      </c>
      <c r="F1871" t="s">
        <v>20</v>
      </c>
      <c r="G1871" t="s">
        <v>21</v>
      </c>
      <c r="H1871" t="str">
        <f>"30131182"</f>
        <v>30131182</v>
      </c>
      <c r="I1871" t="str">
        <f>"PLYWOOD"</f>
        <v>PLYWOOD</v>
      </c>
    </row>
    <row r="1872" spans="1:9" x14ac:dyDescent="0.25">
      <c r="A1872" s="6">
        <v>43501</v>
      </c>
      <c r="B1872" t="s">
        <v>26</v>
      </c>
      <c r="C1872">
        <v>60116</v>
      </c>
      <c r="D1872" t="s">
        <v>108</v>
      </c>
      <c r="E1872" s="7">
        <v>1485.2</v>
      </c>
      <c r="F1872" t="s">
        <v>20</v>
      </c>
      <c r="G1872" t="s">
        <v>21</v>
      </c>
      <c r="H1872" t="str">
        <f>"041295613660"</f>
        <v>041295613660</v>
      </c>
      <c r="I1872" t="str">
        <f>"POOLSURE"</f>
        <v>POOLSURE</v>
      </c>
    </row>
    <row r="1873" spans="1:9" x14ac:dyDescent="0.25">
      <c r="A1873" s="6">
        <v>43501</v>
      </c>
      <c r="B1873" t="s">
        <v>26</v>
      </c>
      <c r="C1873">
        <v>60117</v>
      </c>
      <c r="D1873" t="s">
        <v>203</v>
      </c>
      <c r="E1873" s="7">
        <v>286.68</v>
      </c>
      <c r="F1873" t="s">
        <v>20</v>
      </c>
      <c r="G1873" t="s">
        <v>21</v>
      </c>
      <c r="H1873" t="str">
        <f>"798558"</f>
        <v>798558</v>
      </c>
      <c r="I1873" t="str">
        <f>"COREPRO KIT"</f>
        <v>COREPRO KIT</v>
      </c>
    </row>
    <row r="1874" spans="1:9" x14ac:dyDescent="0.25">
      <c r="A1874" s="6">
        <v>43501</v>
      </c>
      <c r="B1874" t="s">
        <v>26</v>
      </c>
      <c r="C1874">
        <v>60118</v>
      </c>
      <c r="D1874" t="s">
        <v>184</v>
      </c>
      <c r="E1874" s="7">
        <v>943</v>
      </c>
      <c r="F1874" t="s">
        <v>20</v>
      </c>
      <c r="G1874" t="s">
        <v>21</v>
      </c>
      <c r="H1874" t="str">
        <f>"1053-347"</f>
        <v>1053-347</v>
      </c>
      <c r="I1874" t="str">
        <f>"POLLUTION CONTROL SERVICES"</f>
        <v>POLLUTION CONTROL SERVICES</v>
      </c>
    </row>
    <row r="1875" spans="1:9" x14ac:dyDescent="0.25">
      <c r="A1875" s="6">
        <v>43501</v>
      </c>
      <c r="B1875" t="s">
        <v>26</v>
      </c>
      <c r="C1875">
        <v>60118</v>
      </c>
      <c r="D1875" t="s">
        <v>184</v>
      </c>
      <c r="E1875" s="7">
        <v>943</v>
      </c>
      <c r="F1875" t="s">
        <v>20</v>
      </c>
      <c r="G1875" t="s">
        <v>21</v>
      </c>
      <c r="H1875" t="str">
        <f>"1053-348"</f>
        <v>1053-348</v>
      </c>
      <c r="I1875" t="str">
        <f>"POLLUTION CONTROL SERVICES"</f>
        <v>POLLUTION CONTROL SERVICES</v>
      </c>
    </row>
    <row r="1876" spans="1:9" x14ac:dyDescent="0.25">
      <c r="A1876" s="6">
        <v>43501</v>
      </c>
      <c r="B1876" t="s">
        <v>26</v>
      </c>
      <c r="C1876">
        <v>60119</v>
      </c>
      <c r="D1876" t="s">
        <v>115</v>
      </c>
      <c r="E1876" s="7">
        <v>502.06</v>
      </c>
      <c r="F1876" t="s">
        <v>20</v>
      </c>
      <c r="G1876" t="s">
        <v>21</v>
      </c>
      <c r="H1876" t="str">
        <f>"3547337281"</f>
        <v>3547337281</v>
      </c>
      <c r="I1876" t="str">
        <f>"HEAD LAMPS"</f>
        <v>HEAD LAMPS</v>
      </c>
    </row>
    <row r="1877" spans="1:9" x14ac:dyDescent="0.25">
      <c r="A1877" s="6">
        <v>43501</v>
      </c>
      <c r="B1877" t="s">
        <v>26</v>
      </c>
      <c r="C1877">
        <v>60119</v>
      </c>
      <c r="D1877" t="s">
        <v>115</v>
      </c>
      <c r="E1877" s="7">
        <v>502.06</v>
      </c>
      <c r="F1877" t="s">
        <v>20</v>
      </c>
      <c r="G1877" t="s">
        <v>21</v>
      </c>
      <c r="H1877" t="str">
        <f>"3547337282"</f>
        <v>3547337282</v>
      </c>
      <c r="I1877" t="str">
        <f>"WIPERS"</f>
        <v>WIPERS</v>
      </c>
    </row>
    <row r="1878" spans="1:9" x14ac:dyDescent="0.25">
      <c r="A1878" s="6">
        <v>43501</v>
      </c>
      <c r="B1878" t="s">
        <v>26</v>
      </c>
      <c r="C1878">
        <v>60119</v>
      </c>
      <c r="D1878" t="s">
        <v>115</v>
      </c>
      <c r="E1878" s="7">
        <v>502.06</v>
      </c>
      <c r="F1878" t="s">
        <v>20</v>
      </c>
      <c r="G1878" t="s">
        <v>21</v>
      </c>
      <c r="H1878" t="str">
        <f>"3547337753"</f>
        <v>3547337753</v>
      </c>
      <c r="I1878" t="str">
        <f>"BRAKE PADS"</f>
        <v>BRAKE PADS</v>
      </c>
    </row>
    <row r="1879" spans="1:9" x14ac:dyDescent="0.25">
      <c r="A1879" s="6">
        <v>43501</v>
      </c>
      <c r="B1879" t="s">
        <v>26</v>
      </c>
      <c r="C1879">
        <v>60119</v>
      </c>
      <c r="D1879" t="s">
        <v>115</v>
      </c>
      <c r="E1879" s="7">
        <v>502.06</v>
      </c>
      <c r="F1879" t="s">
        <v>20</v>
      </c>
      <c r="G1879" t="s">
        <v>21</v>
      </c>
      <c r="H1879" t="str">
        <f>"3547338451"</f>
        <v>3547338451</v>
      </c>
      <c r="I1879" t="str">
        <f>"OIL &amp; FILTER"</f>
        <v>OIL &amp; FILTER</v>
      </c>
    </row>
    <row r="1880" spans="1:9" x14ac:dyDescent="0.25">
      <c r="A1880" s="6">
        <v>43501</v>
      </c>
      <c r="B1880" t="s">
        <v>26</v>
      </c>
      <c r="C1880">
        <v>60119</v>
      </c>
      <c r="D1880" t="s">
        <v>115</v>
      </c>
      <c r="E1880" s="7">
        <v>502.06</v>
      </c>
      <c r="F1880" t="s">
        <v>20</v>
      </c>
      <c r="G1880" t="s">
        <v>21</v>
      </c>
      <c r="H1880" t="str">
        <f>"3547338452"</f>
        <v>3547338452</v>
      </c>
      <c r="I1880" t="str">
        <f>"DEF FLUID"</f>
        <v>DEF FLUID</v>
      </c>
    </row>
    <row r="1881" spans="1:9" x14ac:dyDescent="0.25">
      <c r="A1881" s="6">
        <v>43501</v>
      </c>
      <c r="B1881" t="s">
        <v>26</v>
      </c>
      <c r="C1881">
        <v>60119</v>
      </c>
      <c r="D1881" t="s">
        <v>115</v>
      </c>
      <c r="E1881" s="7">
        <v>502.06</v>
      </c>
      <c r="F1881" t="s">
        <v>20</v>
      </c>
      <c r="G1881" t="s">
        <v>21</v>
      </c>
      <c r="H1881" t="str">
        <f>"3547338453"</f>
        <v>3547338453</v>
      </c>
      <c r="I1881" t="str">
        <f>"STEERING STABILIZER/PUMP"</f>
        <v>STEERING STABILIZER/PUMP</v>
      </c>
    </row>
    <row r="1882" spans="1:9" x14ac:dyDescent="0.25">
      <c r="A1882" s="6">
        <v>43501</v>
      </c>
      <c r="B1882" t="s">
        <v>26</v>
      </c>
      <c r="C1882">
        <v>60119</v>
      </c>
      <c r="D1882" t="s">
        <v>115</v>
      </c>
      <c r="E1882" s="7">
        <v>502.06</v>
      </c>
      <c r="F1882" t="s">
        <v>20</v>
      </c>
      <c r="G1882" t="s">
        <v>21</v>
      </c>
      <c r="H1882" t="str">
        <f>"3547343568"</f>
        <v>3547343568</v>
      </c>
      <c r="I1882" t="str">
        <f>"HYDRA FLD"</f>
        <v>HYDRA FLD</v>
      </c>
    </row>
    <row r="1883" spans="1:9" x14ac:dyDescent="0.25">
      <c r="A1883" s="6">
        <v>43501</v>
      </c>
      <c r="B1883" t="s">
        <v>26</v>
      </c>
      <c r="C1883">
        <v>60121</v>
      </c>
      <c r="D1883" t="s">
        <v>63</v>
      </c>
      <c r="E1883" s="7">
        <v>393.72</v>
      </c>
      <c r="F1883" t="s">
        <v>20</v>
      </c>
      <c r="G1883" t="s">
        <v>21</v>
      </c>
      <c r="H1883" t="str">
        <f>"8403995601"</f>
        <v>8403995601</v>
      </c>
      <c r="I1883" t="str">
        <f>"CINTAS CORPORATION"</f>
        <v>CINTAS CORPORATION</v>
      </c>
    </row>
    <row r="1884" spans="1:9" x14ac:dyDescent="0.25">
      <c r="A1884" s="6">
        <v>43501</v>
      </c>
      <c r="B1884" t="s">
        <v>26</v>
      </c>
      <c r="C1884">
        <v>60122</v>
      </c>
      <c r="D1884" t="s">
        <v>64</v>
      </c>
      <c r="E1884" s="7">
        <v>4996</v>
      </c>
      <c r="F1884" t="s">
        <v>20</v>
      </c>
      <c r="G1884" t="s">
        <v>21</v>
      </c>
      <c r="H1884" t="str">
        <f>"7744"</f>
        <v>7744</v>
      </c>
      <c r="I1884" t="str">
        <f>"DREWA DESIGNS  INC."</f>
        <v>DREWA DESIGNS  INC.</v>
      </c>
    </row>
    <row r="1885" spans="1:9" x14ac:dyDescent="0.25">
      <c r="A1885" s="6">
        <v>43501</v>
      </c>
      <c r="B1885" t="s">
        <v>26</v>
      </c>
      <c r="C1885">
        <v>60123</v>
      </c>
      <c r="D1885" t="s">
        <v>368</v>
      </c>
      <c r="E1885" s="7">
        <v>15750</v>
      </c>
      <c r="F1885" t="s">
        <v>20</v>
      </c>
      <c r="G1885" t="s">
        <v>21</v>
      </c>
      <c r="H1885" t="str">
        <f>"1 ST QRT PYMNT"</f>
        <v>1 ST QRT PYMNT</v>
      </c>
      <c r="I1885" t="str">
        <f>"FLORESVILLE FIRE DEPARTMENT"</f>
        <v>FLORESVILLE FIRE DEPARTMENT</v>
      </c>
    </row>
    <row r="1886" spans="1:9" x14ac:dyDescent="0.25">
      <c r="A1886" s="6">
        <v>43501</v>
      </c>
      <c r="B1886" t="s">
        <v>26</v>
      </c>
      <c r="C1886">
        <v>60124</v>
      </c>
      <c r="D1886" t="s">
        <v>146</v>
      </c>
      <c r="E1886" s="7">
        <v>1419</v>
      </c>
      <c r="F1886" t="s">
        <v>20</v>
      </c>
      <c r="G1886" t="s">
        <v>21</v>
      </c>
      <c r="H1886" t="str">
        <f>"964347"</f>
        <v>964347</v>
      </c>
      <c r="I1886" t="str">
        <f>"LARRY SRALLA ELECTRIC"</f>
        <v>LARRY SRALLA ELECTRIC</v>
      </c>
    </row>
    <row r="1887" spans="1:9" x14ac:dyDescent="0.25">
      <c r="A1887" s="6">
        <v>43501</v>
      </c>
      <c r="B1887" t="s">
        <v>26</v>
      </c>
      <c r="C1887">
        <v>60124</v>
      </c>
      <c r="D1887" t="s">
        <v>146</v>
      </c>
      <c r="E1887" s="7">
        <v>1419</v>
      </c>
      <c r="F1887" t="s">
        <v>20</v>
      </c>
      <c r="G1887" t="s">
        <v>21</v>
      </c>
      <c r="H1887" t="str">
        <f>"964364"</f>
        <v>964364</v>
      </c>
      <c r="I1887" t="str">
        <f>"LARRY SRALLA ELECTRIC"</f>
        <v>LARRY SRALLA ELECTRIC</v>
      </c>
    </row>
    <row r="1888" spans="1:9" x14ac:dyDescent="0.25">
      <c r="A1888" s="6">
        <v>43501</v>
      </c>
      <c r="B1888" t="s">
        <v>26</v>
      </c>
      <c r="C1888">
        <v>60124</v>
      </c>
      <c r="D1888" t="s">
        <v>146</v>
      </c>
      <c r="E1888" s="7">
        <v>1419</v>
      </c>
      <c r="F1888" t="s">
        <v>20</v>
      </c>
      <c r="G1888" t="s">
        <v>21</v>
      </c>
      <c r="H1888" t="str">
        <f>"964365"</f>
        <v>964365</v>
      </c>
      <c r="I1888" t="str">
        <f>"LARRY SRALLA ELECTRIC"</f>
        <v>LARRY SRALLA ELECTRIC</v>
      </c>
    </row>
    <row r="1889" spans="1:9" x14ac:dyDescent="0.25">
      <c r="A1889" s="6">
        <v>43501</v>
      </c>
      <c r="B1889" t="s">
        <v>26</v>
      </c>
      <c r="C1889">
        <v>60124</v>
      </c>
      <c r="D1889" t="s">
        <v>146</v>
      </c>
      <c r="E1889" s="7">
        <v>1419</v>
      </c>
      <c r="F1889" t="s">
        <v>20</v>
      </c>
      <c r="G1889" t="s">
        <v>21</v>
      </c>
      <c r="H1889" t="str">
        <f>"964366"</f>
        <v>964366</v>
      </c>
      <c r="I1889" t="str">
        <f>"LARRY SRALLA ELECTRIC"</f>
        <v>LARRY SRALLA ELECTRIC</v>
      </c>
    </row>
    <row r="1890" spans="1:9" x14ac:dyDescent="0.25">
      <c r="A1890" s="6">
        <v>43501</v>
      </c>
      <c r="B1890" t="s">
        <v>26</v>
      </c>
      <c r="C1890">
        <v>60125</v>
      </c>
      <c r="D1890" t="s">
        <v>71</v>
      </c>
      <c r="E1890" s="7">
        <v>315.13</v>
      </c>
      <c r="F1890" t="s">
        <v>20</v>
      </c>
      <c r="G1890" t="s">
        <v>21</v>
      </c>
      <c r="H1890" t="str">
        <f>"4015274785"</f>
        <v>4015274785</v>
      </c>
      <c r="I1890" t="str">
        <f>"CINTAS CORPORATION #087"</f>
        <v>CINTAS CORPORATION #087</v>
      </c>
    </row>
    <row r="1891" spans="1:9" x14ac:dyDescent="0.25">
      <c r="A1891" s="6">
        <v>43501</v>
      </c>
      <c r="B1891" t="s">
        <v>26</v>
      </c>
      <c r="C1891">
        <v>60126</v>
      </c>
      <c r="D1891" t="s">
        <v>74</v>
      </c>
      <c r="E1891" s="7">
        <v>4080.16</v>
      </c>
      <c r="F1891" t="s">
        <v>20</v>
      </c>
      <c r="G1891" t="s">
        <v>21</v>
      </c>
      <c r="H1891" t="str">
        <f>"9822894995"</f>
        <v>9822894995</v>
      </c>
      <c r="I1891" t="str">
        <f>"VERIZON WIRELESS"</f>
        <v>VERIZON WIRELESS</v>
      </c>
    </row>
    <row r="1892" spans="1:9" x14ac:dyDescent="0.25">
      <c r="A1892" s="6">
        <v>43501</v>
      </c>
      <c r="B1892" t="s">
        <v>26</v>
      </c>
      <c r="C1892">
        <v>60126</v>
      </c>
      <c r="D1892" t="s">
        <v>74</v>
      </c>
      <c r="E1892" s="7">
        <v>4080.16</v>
      </c>
      <c r="F1892" t="s">
        <v>20</v>
      </c>
      <c r="G1892" t="s">
        <v>21</v>
      </c>
      <c r="H1892" t="str">
        <f>"9822894996"</f>
        <v>9822894996</v>
      </c>
      <c r="I1892" t="str">
        <f>"VERIZON WIRELESS"</f>
        <v>VERIZON WIRELESS</v>
      </c>
    </row>
    <row r="1893" spans="1:9" x14ac:dyDescent="0.25">
      <c r="A1893" s="6">
        <v>43501</v>
      </c>
      <c r="B1893" t="s">
        <v>26</v>
      </c>
      <c r="C1893">
        <v>60128</v>
      </c>
      <c r="D1893" t="s">
        <v>43</v>
      </c>
      <c r="E1893" s="7">
        <v>264.45</v>
      </c>
      <c r="F1893" t="s">
        <v>20</v>
      </c>
      <c r="G1893" t="s">
        <v>21</v>
      </c>
      <c r="H1893" t="str">
        <f>"S.TX WW CONFR"</f>
        <v>S.TX WW CONFR</v>
      </c>
      <c r="I1893" t="str">
        <f>"ANDREA MARTINEZ"</f>
        <v>ANDREA MARTINEZ</v>
      </c>
    </row>
    <row r="1894" spans="1:9" x14ac:dyDescent="0.25">
      <c r="A1894" s="6">
        <v>43501</v>
      </c>
      <c r="B1894" t="s">
        <v>26</v>
      </c>
      <c r="C1894">
        <v>60129</v>
      </c>
      <c r="D1894" t="s">
        <v>371</v>
      </c>
      <c r="E1894" s="7">
        <v>2300</v>
      </c>
      <c r="F1894" t="s">
        <v>20</v>
      </c>
      <c r="G1894" t="s">
        <v>21</v>
      </c>
      <c r="H1894" t="str">
        <f>"7054"</f>
        <v>7054</v>
      </c>
      <c r="I1894" t="str">
        <f>"ELECTRIC VERTICAL MOTOR"</f>
        <v>ELECTRIC VERTICAL MOTOR</v>
      </c>
    </row>
    <row r="1895" spans="1:9" x14ac:dyDescent="0.25">
      <c r="A1895" s="6">
        <v>43501</v>
      </c>
      <c r="B1895" t="s">
        <v>26</v>
      </c>
      <c r="C1895">
        <v>60130</v>
      </c>
      <c r="D1895" t="s">
        <v>123</v>
      </c>
      <c r="E1895" s="7">
        <v>102.17</v>
      </c>
      <c r="F1895" t="s">
        <v>20</v>
      </c>
      <c r="G1895" t="s">
        <v>21</v>
      </c>
      <c r="H1895" t="str">
        <f>"255769873001"</f>
        <v>255769873001</v>
      </c>
      <c r="I1895" t="str">
        <f>"OFFICE SUPPLIES"</f>
        <v>OFFICE SUPPLIES</v>
      </c>
    </row>
    <row r="1896" spans="1:9" x14ac:dyDescent="0.25">
      <c r="A1896" s="6">
        <v>43501</v>
      </c>
      <c r="B1896" t="s">
        <v>26</v>
      </c>
      <c r="C1896">
        <v>60130</v>
      </c>
      <c r="D1896" t="s">
        <v>123</v>
      </c>
      <c r="E1896" s="7">
        <v>102.17</v>
      </c>
      <c r="F1896" t="s">
        <v>20</v>
      </c>
      <c r="G1896" t="s">
        <v>21</v>
      </c>
      <c r="H1896" t="str">
        <f>"265119120001"</f>
        <v>265119120001</v>
      </c>
      <c r="I1896" t="str">
        <f>"OFFICE SUPPLIES"</f>
        <v>OFFICE SUPPLIES</v>
      </c>
    </row>
    <row r="1897" spans="1:9" x14ac:dyDescent="0.25">
      <c r="A1897" s="6">
        <v>43501</v>
      </c>
      <c r="B1897" t="s">
        <v>26</v>
      </c>
      <c r="C1897">
        <v>60131</v>
      </c>
      <c r="D1897" t="s">
        <v>147</v>
      </c>
      <c r="E1897" s="7">
        <v>1704.37</v>
      </c>
      <c r="F1897" t="s">
        <v>20</v>
      </c>
      <c r="G1897" t="s">
        <v>21</v>
      </c>
      <c r="H1897" t="str">
        <f>"1048"</f>
        <v>1048</v>
      </c>
      <c r="I1897" t="str">
        <f>"SRALLA ELECTRIC"</f>
        <v>SRALLA ELECTRIC</v>
      </c>
    </row>
    <row r="1898" spans="1:9" x14ac:dyDescent="0.25">
      <c r="A1898" s="6">
        <v>43501</v>
      </c>
      <c r="B1898" t="s">
        <v>26</v>
      </c>
      <c r="C1898">
        <v>60131</v>
      </c>
      <c r="D1898" t="s">
        <v>147</v>
      </c>
      <c r="E1898" s="7">
        <v>1704.37</v>
      </c>
      <c r="F1898" t="s">
        <v>20</v>
      </c>
      <c r="G1898" t="s">
        <v>21</v>
      </c>
      <c r="H1898" t="str">
        <f>"1049"</f>
        <v>1049</v>
      </c>
      <c r="I1898" t="str">
        <f>"SRALLA ELECTRIC"</f>
        <v>SRALLA ELECTRIC</v>
      </c>
    </row>
    <row r="1899" spans="1:9" x14ac:dyDescent="0.25">
      <c r="A1899" s="6">
        <v>43501</v>
      </c>
      <c r="B1899" t="s">
        <v>26</v>
      </c>
      <c r="C1899">
        <v>60131</v>
      </c>
      <c r="D1899" t="s">
        <v>147</v>
      </c>
      <c r="E1899" s="7">
        <v>1704.37</v>
      </c>
      <c r="F1899" t="s">
        <v>20</v>
      </c>
      <c r="G1899" t="s">
        <v>21</v>
      </c>
      <c r="H1899" t="str">
        <f>"1065"</f>
        <v>1065</v>
      </c>
      <c r="I1899" t="str">
        <f>"SRALLA ELECTRIC"</f>
        <v>SRALLA ELECTRIC</v>
      </c>
    </row>
    <row r="1900" spans="1:9" x14ac:dyDescent="0.25">
      <c r="A1900" s="6">
        <v>43501</v>
      </c>
      <c r="B1900" t="s">
        <v>26</v>
      </c>
      <c r="C1900">
        <v>60132</v>
      </c>
      <c r="D1900" t="s">
        <v>79</v>
      </c>
      <c r="E1900" s="7">
        <v>6.23</v>
      </c>
      <c r="F1900" t="s">
        <v>20</v>
      </c>
      <c r="G1900" t="s">
        <v>21</v>
      </c>
      <c r="H1900" t="str">
        <f>"6-439-60220"</f>
        <v>6-439-60220</v>
      </c>
      <c r="I1900" t="str">
        <f>"FEDEX"</f>
        <v>FEDEX</v>
      </c>
    </row>
    <row r="1901" spans="1:9" x14ac:dyDescent="0.25">
      <c r="A1901" s="6">
        <v>43501</v>
      </c>
      <c r="B1901" t="s">
        <v>26</v>
      </c>
      <c r="C1901">
        <v>60133</v>
      </c>
      <c r="D1901" t="s">
        <v>80</v>
      </c>
      <c r="E1901" s="7">
        <v>1776.91</v>
      </c>
      <c r="F1901" t="s">
        <v>20</v>
      </c>
      <c r="G1901" t="s">
        <v>21</v>
      </c>
      <c r="H1901" t="str">
        <f>"1648-20190201-01"</f>
        <v>1648-20190201-01</v>
      </c>
      <c r="I1901" t="str">
        <f>"LVWIFI.COM"</f>
        <v>LVWIFI.COM</v>
      </c>
    </row>
    <row r="1902" spans="1:9" x14ac:dyDescent="0.25">
      <c r="A1902" s="6">
        <v>43501</v>
      </c>
      <c r="B1902" t="s">
        <v>26</v>
      </c>
      <c r="C1902">
        <v>60133</v>
      </c>
      <c r="D1902" t="s">
        <v>80</v>
      </c>
      <c r="E1902" s="7">
        <v>1776.91</v>
      </c>
      <c r="F1902" t="s">
        <v>20</v>
      </c>
      <c r="G1902" t="s">
        <v>21</v>
      </c>
      <c r="H1902" t="str">
        <f>"2313-20190201-1"</f>
        <v>2313-20190201-1</v>
      </c>
      <c r="I1902" t="str">
        <f>"LVWIFI.COM"</f>
        <v>LVWIFI.COM</v>
      </c>
    </row>
    <row r="1903" spans="1:9" x14ac:dyDescent="0.25">
      <c r="A1903" s="6">
        <v>43501</v>
      </c>
      <c r="B1903" t="s">
        <v>26</v>
      </c>
      <c r="C1903">
        <v>60133</v>
      </c>
      <c r="D1903" t="s">
        <v>80</v>
      </c>
      <c r="E1903" s="7">
        <v>1776.91</v>
      </c>
      <c r="F1903" t="s">
        <v>20</v>
      </c>
      <c r="G1903" t="s">
        <v>21</v>
      </c>
      <c r="H1903" t="str">
        <f>"2314-20190201-1"</f>
        <v>2314-20190201-1</v>
      </c>
      <c r="I1903" t="str">
        <f>"LVWIFI.COM"</f>
        <v>LVWIFI.COM</v>
      </c>
    </row>
    <row r="1904" spans="1:9" x14ac:dyDescent="0.25">
      <c r="A1904" s="6">
        <v>43501</v>
      </c>
      <c r="B1904" t="s">
        <v>26</v>
      </c>
      <c r="C1904">
        <v>60133</v>
      </c>
      <c r="D1904" t="s">
        <v>80</v>
      </c>
      <c r="E1904" s="7">
        <v>1776.91</v>
      </c>
      <c r="F1904" t="s">
        <v>20</v>
      </c>
      <c r="G1904" t="s">
        <v>21</v>
      </c>
      <c r="H1904" t="str">
        <f>"2478-20190201-1"</f>
        <v>2478-20190201-1</v>
      </c>
      <c r="I1904" t="str">
        <f>"LVWIFI.COM"</f>
        <v>LVWIFI.COM</v>
      </c>
    </row>
    <row r="1905" spans="1:9" x14ac:dyDescent="0.25">
      <c r="A1905" s="6">
        <v>43501</v>
      </c>
      <c r="B1905" t="s">
        <v>26</v>
      </c>
      <c r="C1905">
        <v>60134</v>
      </c>
      <c r="D1905" t="s">
        <v>128</v>
      </c>
      <c r="E1905" s="7">
        <v>325.45</v>
      </c>
      <c r="F1905" t="s">
        <v>20</v>
      </c>
      <c r="G1905" t="s">
        <v>21</v>
      </c>
      <c r="H1905" t="str">
        <f>"S.TX WW CONFR."</f>
        <v>S.TX WW CONFR.</v>
      </c>
      <c r="I1905" t="str">
        <f>"HELEN S. MARTINEZ"</f>
        <v>HELEN S. MARTINEZ</v>
      </c>
    </row>
    <row r="1906" spans="1:9" x14ac:dyDescent="0.25">
      <c r="A1906" s="6">
        <v>43501</v>
      </c>
      <c r="B1906" t="s">
        <v>26</v>
      </c>
      <c r="C1906">
        <v>60135</v>
      </c>
      <c r="D1906" t="s">
        <v>31</v>
      </c>
      <c r="E1906" s="7">
        <v>2000</v>
      </c>
      <c r="F1906" t="s">
        <v>20</v>
      </c>
      <c r="G1906" t="s">
        <v>21</v>
      </c>
      <c r="H1906" t="str">
        <f>"52019211"</f>
        <v>52019211</v>
      </c>
      <c r="I1906" t="str">
        <f>"THE LAW OFFICE OF TOM CALDWELL"</f>
        <v>THE LAW OFFICE OF TOM CALDWELL</v>
      </c>
    </row>
    <row r="1907" spans="1:9" x14ac:dyDescent="0.25">
      <c r="A1907" s="6">
        <v>43501</v>
      </c>
      <c r="B1907" t="s">
        <v>26</v>
      </c>
      <c r="C1907">
        <v>60136</v>
      </c>
      <c r="D1907" t="s">
        <v>131</v>
      </c>
      <c r="E1907" s="7">
        <v>3.29</v>
      </c>
      <c r="F1907" t="s">
        <v>20</v>
      </c>
      <c r="G1907" t="s">
        <v>21</v>
      </c>
      <c r="H1907" t="str">
        <f>"036805"</f>
        <v>036805</v>
      </c>
      <c r="I1907" t="str">
        <f>"R &amp; S TEXAS PARTS CO"</f>
        <v>R &amp; S TEXAS PARTS CO</v>
      </c>
    </row>
    <row r="1908" spans="1:9" x14ac:dyDescent="0.25">
      <c r="A1908" s="6">
        <v>43501</v>
      </c>
      <c r="B1908" t="s">
        <v>26</v>
      </c>
      <c r="C1908">
        <v>60137</v>
      </c>
      <c r="D1908" t="s">
        <v>83</v>
      </c>
      <c r="E1908" s="7">
        <v>1044</v>
      </c>
      <c r="F1908" t="s">
        <v>20</v>
      </c>
      <c r="G1908" t="s">
        <v>21</v>
      </c>
      <c r="H1908" t="str">
        <f>"625976"</f>
        <v>625976</v>
      </c>
      <c r="I1908" t="str">
        <f>"APPRIVER"</f>
        <v>APPRIVER</v>
      </c>
    </row>
    <row r="1909" spans="1:9" x14ac:dyDescent="0.25">
      <c r="A1909" s="6">
        <v>43501</v>
      </c>
      <c r="B1909" t="s">
        <v>26</v>
      </c>
      <c r="C1909">
        <v>60138</v>
      </c>
      <c r="D1909" t="s">
        <v>85</v>
      </c>
      <c r="E1909" s="7">
        <v>610.78</v>
      </c>
      <c r="F1909" t="s">
        <v>20</v>
      </c>
      <c r="G1909" t="s">
        <v>21</v>
      </c>
      <c r="H1909" t="str">
        <f>"21626912/19"</f>
        <v>21626912/19</v>
      </c>
      <c r="I1909" t="str">
        <f>"FRONTIER"</f>
        <v>FRONTIER</v>
      </c>
    </row>
    <row r="1910" spans="1:9" x14ac:dyDescent="0.25">
      <c r="A1910" s="6">
        <v>43501</v>
      </c>
      <c r="B1910" t="s">
        <v>26</v>
      </c>
      <c r="C1910">
        <v>60138</v>
      </c>
      <c r="D1910" t="s">
        <v>85</v>
      </c>
      <c r="E1910" s="7">
        <v>610.78</v>
      </c>
      <c r="F1910" t="s">
        <v>20</v>
      </c>
      <c r="G1910" t="s">
        <v>21</v>
      </c>
      <c r="H1910" t="str">
        <f>"2162745 2/19"</f>
        <v>2162745 2/19</v>
      </c>
      <c r="I1910" t="str">
        <f>"FRONTIER"</f>
        <v>FRONTIER</v>
      </c>
    </row>
    <row r="1911" spans="1:9" x14ac:dyDescent="0.25">
      <c r="A1911" s="6">
        <v>43501</v>
      </c>
      <c r="B1911" t="s">
        <v>26</v>
      </c>
      <c r="C1911">
        <v>60138</v>
      </c>
      <c r="D1911" t="s">
        <v>85</v>
      </c>
      <c r="E1911" s="7">
        <v>610.78</v>
      </c>
      <c r="F1911" t="s">
        <v>20</v>
      </c>
      <c r="G1911" t="s">
        <v>21</v>
      </c>
      <c r="H1911" t="str">
        <f>"3933718 2/19"</f>
        <v>3933718 2/19</v>
      </c>
      <c r="I1911" t="str">
        <f>"FRONTIER"</f>
        <v>FRONTIER</v>
      </c>
    </row>
    <row r="1912" spans="1:9" x14ac:dyDescent="0.25">
      <c r="A1912" s="6">
        <v>43501</v>
      </c>
      <c r="B1912" t="s">
        <v>26</v>
      </c>
      <c r="C1912">
        <v>60138</v>
      </c>
      <c r="D1912" t="s">
        <v>85</v>
      </c>
      <c r="E1912" s="7">
        <v>610.78</v>
      </c>
      <c r="F1912" t="s">
        <v>20</v>
      </c>
      <c r="G1912" t="s">
        <v>21</v>
      </c>
      <c r="H1912" t="str">
        <f>"3937070 2/2019"</f>
        <v>3937070 2/2019</v>
      </c>
      <c r="I1912" t="str">
        <f>"FRONTIER"</f>
        <v>FRONTIER</v>
      </c>
    </row>
    <row r="1913" spans="1:9" x14ac:dyDescent="0.25">
      <c r="A1913" s="6">
        <v>43501</v>
      </c>
      <c r="B1913" t="s">
        <v>26</v>
      </c>
      <c r="C1913">
        <v>60139</v>
      </c>
      <c r="D1913" t="s">
        <v>200</v>
      </c>
      <c r="E1913" s="7">
        <v>2200</v>
      </c>
      <c r="F1913" t="s">
        <v>20</v>
      </c>
      <c r="G1913" t="s">
        <v>21</v>
      </c>
      <c r="H1913" t="str">
        <f>"974896"</f>
        <v>974896</v>
      </c>
      <c r="I1913" t="str">
        <f>"MARIO AVILES"</f>
        <v>MARIO AVILES</v>
      </c>
    </row>
    <row r="1914" spans="1:9" x14ac:dyDescent="0.25">
      <c r="A1914" s="6">
        <v>43501</v>
      </c>
      <c r="B1914" t="s">
        <v>26</v>
      </c>
      <c r="C1914">
        <v>60140</v>
      </c>
      <c r="D1914" t="s">
        <v>398</v>
      </c>
      <c r="E1914" s="7">
        <v>55</v>
      </c>
      <c r="F1914" t="s">
        <v>20</v>
      </c>
      <c r="G1914" t="s">
        <v>21</v>
      </c>
      <c r="H1914" t="str">
        <f>"20190202"</f>
        <v>20190202</v>
      </c>
      <c r="I1914" t="str">
        <f>"INTERCEPTOR TECHNOLOGY GROUP L"</f>
        <v>INTERCEPTOR TECHNOLOGY GROUP L</v>
      </c>
    </row>
    <row r="1915" spans="1:9" x14ac:dyDescent="0.25">
      <c r="A1915" s="6">
        <v>43501</v>
      </c>
      <c r="B1915" t="s">
        <v>26</v>
      </c>
      <c r="C1915">
        <v>60141</v>
      </c>
      <c r="D1915" t="s">
        <v>483</v>
      </c>
      <c r="E1915" s="7">
        <v>315.13</v>
      </c>
      <c r="F1915" t="s">
        <v>20</v>
      </c>
      <c r="G1915" t="s">
        <v>21</v>
      </c>
      <c r="H1915" t="str">
        <f>"5369685"</f>
        <v>5369685</v>
      </c>
      <c r="I1915" t="str">
        <f>"4-STAR HOSE &amp; SUPPLY  INC"</f>
        <v>4-STAR HOSE &amp; SUPPLY  INC</v>
      </c>
    </row>
    <row r="1916" spans="1:9" x14ac:dyDescent="0.25">
      <c r="A1916" s="6">
        <v>43501</v>
      </c>
      <c r="B1916" t="s">
        <v>26</v>
      </c>
      <c r="C1916">
        <v>60142</v>
      </c>
      <c r="D1916" t="s">
        <v>528</v>
      </c>
      <c r="E1916" s="7">
        <v>122.85</v>
      </c>
      <c r="F1916" t="s">
        <v>20</v>
      </c>
      <c r="G1916" t="s">
        <v>21</v>
      </c>
      <c r="H1916" t="str">
        <f>"1974803"</f>
        <v>1974803</v>
      </c>
      <c r="I1916" t="str">
        <f>"PROSTAR SERVICES INC"</f>
        <v>PROSTAR SERVICES INC</v>
      </c>
    </row>
    <row r="1917" spans="1:9" x14ac:dyDescent="0.25">
      <c r="A1917" s="6">
        <v>43501</v>
      </c>
      <c r="B1917" t="s">
        <v>26</v>
      </c>
      <c r="C1917">
        <v>60143</v>
      </c>
      <c r="D1917" t="s">
        <v>644</v>
      </c>
      <c r="E1917" s="7">
        <v>1060.06</v>
      </c>
      <c r="F1917" t="s">
        <v>20</v>
      </c>
      <c r="G1917" t="s">
        <v>21</v>
      </c>
      <c r="H1917" t="str">
        <f>"2813276219"</f>
        <v>2813276219</v>
      </c>
      <c r="I1917" t="str">
        <f t="shared" ref="I1917:I1930" si="31">"UNIFIRST CORPORATION"</f>
        <v>UNIFIRST CORPORATION</v>
      </c>
    </row>
    <row r="1918" spans="1:9" x14ac:dyDescent="0.25">
      <c r="A1918" s="6">
        <v>43501</v>
      </c>
      <c r="B1918" t="s">
        <v>26</v>
      </c>
      <c r="C1918">
        <v>60143</v>
      </c>
      <c r="D1918" t="s">
        <v>644</v>
      </c>
      <c r="E1918" s="7">
        <v>1060.06</v>
      </c>
      <c r="F1918" t="s">
        <v>20</v>
      </c>
      <c r="G1918" t="s">
        <v>21</v>
      </c>
      <c r="H1918" t="str">
        <f>"8213276211"</f>
        <v>8213276211</v>
      </c>
      <c r="I1918" t="str">
        <f t="shared" si="31"/>
        <v>UNIFIRST CORPORATION</v>
      </c>
    </row>
    <row r="1919" spans="1:9" x14ac:dyDescent="0.25">
      <c r="A1919" s="6">
        <v>43501</v>
      </c>
      <c r="B1919" t="s">
        <v>26</v>
      </c>
      <c r="C1919">
        <v>60143</v>
      </c>
      <c r="D1919" t="s">
        <v>644</v>
      </c>
      <c r="E1919" s="7">
        <v>1060.06</v>
      </c>
      <c r="F1919" t="s">
        <v>20</v>
      </c>
      <c r="G1919" t="s">
        <v>21</v>
      </c>
      <c r="H1919" t="str">
        <f>"8213276212"</f>
        <v>8213276212</v>
      </c>
      <c r="I1919" t="str">
        <f t="shared" si="31"/>
        <v>UNIFIRST CORPORATION</v>
      </c>
    </row>
    <row r="1920" spans="1:9" x14ac:dyDescent="0.25">
      <c r="A1920" s="6">
        <v>43501</v>
      </c>
      <c r="B1920" t="s">
        <v>26</v>
      </c>
      <c r="C1920">
        <v>60143</v>
      </c>
      <c r="D1920" t="s">
        <v>644</v>
      </c>
      <c r="E1920" s="7">
        <v>1060.06</v>
      </c>
      <c r="F1920" t="s">
        <v>20</v>
      </c>
      <c r="G1920" t="s">
        <v>21</v>
      </c>
      <c r="H1920" t="str">
        <f>"8213276213"</f>
        <v>8213276213</v>
      </c>
      <c r="I1920" t="str">
        <f t="shared" si="31"/>
        <v>UNIFIRST CORPORATION</v>
      </c>
    </row>
    <row r="1921" spans="1:9" x14ac:dyDescent="0.25">
      <c r="A1921" s="6">
        <v>43501</v>
      </c>
      <c r="B1921" t="s">
        <v>26</v>
      </c>
      <c r="C1921">
        <v>60143</v>
      </c>
      <c r="D1921" t="s">
        <v>644</v>
      </c>
      <c r="E1921" s="7">
        <v>1060.06</v>
      </c>
      <c r="F1921" t="s">
        <v>20</v>
      </c>
      <c r="G1921" t="s">
        <v>21</v>
      </c>
      <c r="H1921" t="str">
        <f>"8213276214"</f>
        <v>8213276214</v>
      </c>
      <c r="I1921" t="str">
        <f t="shared" si="31"/>
        <v>UNIFIRST CORPORATION</v>
      </c>
    </row>
    <row r="1922" spans="1:9" x14ac:dyDescent="0.25">
      <c r="A1922" s="6">
        <v>43501</v>
      </c>
      <c r="B1922" t="s">
        <v>26</v>
      </c>
      <c r="C1922">
        <v>60143</v>
      </c>
      <c r="D1922" t="s">
        <v>644</v>
      </c>
      <c r="E1922" s="7">
        <v>1060.06</v>
      </c>
      <c r="F1922" t="s">
        <v>20</v>
      </c>
      <c r="G1922" t="s">
        <v>21</v>
      </c>
      <c r="H1922" t="str">
        <f>"8213276215"</f>
        <v>8213276215</v>
      </c>
      <c r="I1922" t="str">
        <f t="shared" si="31"/>
        <v>UNIFIRST CORPORATION</v>
      </c>
    </row>
    <row r="1923" spans="1:9" x14ac:dyDescent="0.25">
      <c r="A1923" s="6">
        <v>43501</v>
      </c>
      <c r="B1923" t="s">
        <v>26</v>
      </c>
      <c r="C1923">
        <v>60143</v>
      </c>
      <c r="D1923" t="s">
        <v>644</v>
      </c>
      <c r="E1923" s="7">
        <v>1060.06</v>
      </c>
      <c r="F1923" t="s">
        <v>20</v>
      </c>
      <c r="G1923" t="s">
        <v>21</v>
      </c>
      <c r="H1923" t="str">
        <f>"8213276216"</f>
        <v>8213276216</v>
      </c>
      <c r="I1923" t="str">
        <f t="shared" si="31"/>
        <v>UNIFIRST CORPORATION</v>
      </c>
    </row>
    <row r="1924" spans="1:9" x14ac:dyDescent="0.25">
      <c r="A1924" s="6">
        <v>43501</v>
      </c>
      <c r="B1924" t="s">
        <v>26</v>
      </c>
      <c r="C1924">
        <v>60143</v>
      </c>
      <c r="D1924" t="s">
        <v>644</v>
      </c>
      <c r="E1924" s="7">
        <v>1060.06</v>
      </c>
      <c r="F1924" t="s">
        <v>20</v>
      </c>
      <c r="G1924" t="s">
        <v>21</v>
      </c>
      <c r="H1924" t="str">
        <f>"8213276217"</f>
        <v>8213276217</v>
      </c>
      <c r="I1924" t="str">
        <f t="shared" si="31"/>
        <v>UNIFIRST CORPORATION</v>
      </c>
    </row>
    <row r="1925" spans="1:9" x14ac:dyDescent="0.25">
      <c r="A1925" s="6">
        <v>43501</v>
      </c>
      <c r="B1925" t="s">
        <v>26</v>
      </c>
      <c r="C1925">
        <v>60143</v>
      </c>
      <c r="D1925" t="s">
        <v>644</v>
      </c>
      <c r="E1925" s="7">
        <v>1060.06</v>
      </c>
      <c r="F1925" t="s">
        <v>20</v>
      </c>
      <c r="G1925" t="s">
        <v>21</v>
      </c>
      <c r="H1925" t="str">
        <f>"8213278929"</f>
        <v>8213278929</v>
      </c>
      <c r="I1925" t="str">
        <f t="shared" si="31"/>
        <v>UNIFIRST CORPORATION</v>
      </c>
    </row>
    <row r="1926" spans="1:9" x14ac:dyDescent="0.25">
      <c r="A1926" s="6">
        <v>43501</v>
      </c>
      <c r="B1926" t="s">
        <v>26</v>
      </c>
      <c r="C1926">
        <v>60143</v>
      </c>
      <c r="D1926" t="s">
        <v>644</v>
      </c>
      <c r="E1926" s="7">
        <v>1060.06</v>
      </c>
      <c r="F1926" t="s">
        <v>20</v>
      </c>
      <c r="G1926" t="s">
        <v>21</v>
      </c>
      <c r="H1926" t="str">
        <f>"8213278930"</f>
        <v>8213278930</v>
      </c>
      <c r="I1926" t="str">
        <f t="shared" si="31"/>
        <v>UNIFIRST CORPORATION</v>
      </c>
    </row>
    <row r="1927" spans="1:9" x14ac:dyDescent="0.25">
      <c r="A1927" s="6">
        <v>43501</v>
      </c>
      <c r="B1927" t="s">
        <v>26</v>
      </c>
      <c r="C1927">
        <v>60143</v>
      </c>
      <c r="D1927" t="s">
        <v>644</v>
      </c>
      <c r="E1927" s="7">
        <v>1060.06</v>
      </c>
      <c r="F1927" t="s">
        <v>20</v>
      </c>
      <c r="G1927" t="s">
        <v>21</v>
      </c>
      <c r="H1927" t="str">
        <f>"8213278931"</f>
        <v>8213278931</v>
      </c>
      <c r="I1927" t="str">
        <f t="shared" si="31"/>
        <v>UNIFIRST CORPORATION</v>
      </c>
    </row>
    <row r="1928" spans="1:9" x14ac:dyDescent="0.25">
      <c r="A1928" s="6">
        <v>43501</v>
      </c>
      <c r="B1928" t="s">
        <v>26</v>
      </c>
      <c r="C1928">
        <v>60143</v>
      </c>
      <c r="D1928" t="s">
        <v>644</v>
      </c>
      <c r="E1928" s="7">
        <v>1060.06</v>
      </c>
      <c r="F1928" t="s">
        <v>20</v>
      </c>
      <c r="G1928" t="s">
        <v>21</v>
      </c>
      <c r="H1928" t="str">
        <f>"8213278932"</f>
        <v>8213278932</v>
      </c>
      <c r="I1928" t="str">
        <f t="shared" si="31"/>
        <v>UNIFIRST CORPORATION</v>
      </c>
    </row>
    <row r="1929" spans="1:9" x14ac:dyDescent="0.25">
      <c r="A1929" s="6">
        <v>43501</v>
      </c>
      <c r="B1929" t="s">
        <v>26</v>
      </c>
      <c r="C1929">
        <v>60143</v>
      </c>
      <c r="D1929" t="s">
        <v>644</v>
      </c>
      <c r="E1929" s="7">
        <v>1060.06</v>
      </c>
      <c r="F1929" t="s">
        <v>20</v>
      </c>
      <c r="G1929" t="s">
        <v>21</v>
      </c>
      <c r="H1929" t="str">
        <f>"8213278933"</f>
        <v>8213278933</v>
      </c>
      <c r="I1929" t="str">
        <f t="shared" si="31"/>
        <v>UNIFIRST CORPORATION</v>
      </c>
    </row>
    <row r="1930" spans="1:9" x14ac:dyDescent="0.25">
      <c r="A1930" s="6">
        <v>43501</v>
      </c>
      <c r="B1930" t="s">
        <v>26</v>
      </c>
      <c r="C1930">
        <v>60143</v>
      </c>
      <c r="D1930" t="s">
        <v>644</v>
      </c>
      <c r="E1930" s="7">
        <v>1060.06</v>
      </c>
      <c r="F1930" t="s">
        <v>20</v>
      </c>
      <c r="G1930" t="s">
        <v>21</v>
      </c>
      <c r="H1930" t="str">
        <f>"8213278934"</f>
        <v>8213278934</v>
      </c>
      <c r="I1930" t="str">
        <f t="shared" si="31"/>
        <v>UNIFIRST CORPORATION</v>
      </c>
    </row>
    <row r="1931" spans="1:9" x14ac:dyDescent="0.25">
      <c r="A1931" s="6">
        <v>43501</v>
      </c>
      <c r="B1931" t="s">
        <v>91</v>
      </c>
      <c r="C1931">
        <v>60146</v>
      </c>
      <c r="D1931" t="s">
        <v>674</v>
      </c>
      <c r="E1931" s="7">
        <v>1499</v>
      </c>
      <c r="F1931" t="s">
        <v>20</v>
      </c>
      <c r="G1931" t="s">
        <v>21</v>
      </c>
      <c r="H1931" t="str">
        <f>"TRNG 2/2019"</f>
        <v>TRNG 2/2019</v>
      </c>
      <c r="I1931" t="str">
        <f>"ALAMON TRUCK DRIVER TRAINING"</f>
        <v>ALAMON TRUCK DRIVER TRAINING</v>
      </c>
    </row>
    <row r="1932" spans="1:9" x14ac:dyDescent="0.25">
      <c r="A1932" s="6">
        <v>43501</v>
      </c>
      <c r="B1932" t="s">
        <v>91</v>
      </c>
      <c r="C1932">
        <v>60146</v>
      </c>
      <c r="D1932" t="s">
        <v>674</v>
      </c>
      <c r="E1932" s="7">
        <v>1499</v>
      </c>
      <c r="F1932" t="s">
        <v>20</v>
      </c>
      <c r="G1932" t="s">
        <v>93</v>
      </c>
      <c r="H1932" t="str">
        <f>"CHECK"</f>
        <v>CHECK</v>
      </c>
      <c r="I1932" t="str">
        <f>""</f>
        <v/>
      </c>
    </row>
    <row r="1933" spans="1:9" x14ac:dyDescent="0.25">
      <c r="A1933" s="6">
        <v>43501</v>
      </c>
      <c r="B1933" t="s">
        <v>26</v>
      </c>
      <c r="C1933">
        <v>60147</v>
      </c>
      <c r="D1933" t="s">
        <v>675</v>
      </c>
      <c r="E1933" s="7">
        <v>1596.6</v>
      </c>
      <c r="F1933" t="s">
        <v>20</v>
      </c>
      <c r="G1933" t="s">
        <v>21</v>
      </c>
      <c r="H1933" t="str">
        <f>"09260"</f>
        <v>09260</v>
      </c>
      <c r="I1933" t="str">
        <f>"RED ROSE PLUMBING  INC."</f>
        <v>RED ROSE PLUMBING  INC.</v>
      </c>
    </row>
    <row r="1934" spans="1:9" x14ac:dyDescent="0.25">
      <c r="A1934" s="6">
        <v>43501</v>
      </c>
      <c r="B1934" t="s">
        <v>26</v>
      </c>
      <c r="C1934">
        <v>60148</v>
      </c>
      <c r="D1934" t="s">
        <v>637</v>
      </c>
      <c r="E1934" s="7">
        <v>75</v>
      </c>
      <c r="F1934" t="s">
        <v>20</v>
      </c>
      <c r="G1934" t="s">
        <v>21</v>
      </c>
      <c r="H1934" t="str">
        <f>"FEB 2019-COUNCIL"</f>
        <v>FEB 2019-COUNCIL</v>
      </c>
      <c r="I1934" t="str">
        <f>"SALARIES"</f>
        <v>SALARIES</v>
      </c>
    </row>
    <row r="1935" spans="1:9" x14ac:dyDescent="0.25">
      <c r="A1935" s="6">
        <v>43501</v>
      </c>
      <c r="B1935" t="s">
        <v>26</v>
      </c>
      <c r="C1935">
        <v>60149</v>
      </c>
      <c r="D1935" t="s">
        <v>223</v>
      </c>
      <c r="E1935" s="7">
        <v>75</v>
      </c>
      <c r="F1935" t="s">
        <v>20</v>
      </c>
      <c r="G1935" t="s">
        <v>21</v>
      </c>
      <c r="H1935" t="str">
        <f>"FEB 2019-COUNCIL"</f>
        <v>FEB 2019-COUNCIL</v>
      </c>
      <c r="I1935" t="str">
        <f>""</f>
        <v/>
      </c>
    </row>
    <row r="1936" spans="1:9" x14ac:dyDescent="0.25">
      <c r="A1936" s="6">
        <v>43501</v>
      </c>
      <c r="B1936" t="s">
        <v>26</v>
      </c>
      <c r="C1936">
        <v>60150</v>
      </c>
      <c r="D1936" t="s">
        <v>36</v>
      </c>
      <c r="E1936" s="7">
        <v>75</v>
      </c>
      <c r="F1936" t="s">
        <v>20</v>
      </c>
      <c r="G1936" t="s">
        <v>21</v>
      </c>
      <c r="H1936" t="str">
        <f>"FEB 2019-COUNCIL"</f>
        <v>FEB 2019-COUNCIL</v>
      </c>
      <c r="I1936" t="str">
        <f>""</f>
        <v/>
      </c>
    </row>
    <row r="1937" spans="1:9" x14ac:dyDescent="0.25">
      <c r="A1937" s="6">
        <v>43501</v>
      </c>
      <c r="B1937" t="s">
        <v>26</v>
      </c>
      <c r="C1937">
        <v>60151</v>
      </c>
      <c r="D1937" t="s">
        <v>37</v>
      </c>
      <c r="E1937" s="7">
        <v>75</v>
      </c>
      <c r="F1937" t="s">
        <v>20</v>
      </c>
      <c r="G1937" t="s">
        <v>21</v>
      </c>
      <c r="H1937" t="str">
        <f>"FEB 2019-COUNCIL"</f>
        <v>FEB 2019-COUNCIL</v>
      </c>
      <c r="I1937" t="str">
        <f>""</f>
        <v/>
      </c>
    </row>
    <row r="1938" spans="1:9" x14ac:dyDescent="0.25">
      <c r="A1938" s="6">
        <v>43501</v>
      </c>
      <c r="B1938" t="s">
        <v>26</v>
      </c>
      <c r="C1938">
        <v>60152</v>
      </c>
      <c r="D1938" t="s">
        <v>38</v>
      </c>
      <c r="E1938" s="7">
        <v>100</v>
      </c>
      <c r="F1938" t="s">
        <v>20</v>
      </c>
      <c r="G1938" t="s">
        <v>21</v>
      </c>
      <c r="H1938" t="str">
        <f>"FEB 2019-MAYOR"</f>
        <v>FEB 2019-MAYOR</v>
      </c>
      <c r="I1938" t="str">
        <f>""</f>
        <v/>
      </c>
    </row>
    <row r="1939" spans="1:9" x14ac:dyDescent="0.25">
      <c r="A1939" s="6">
        <v>43501</v>
      </c>
      <c r="B1939" t="s">
        <v>26</v>
      </c>
      <c r="C1939">
        <v>60153</v>
      </c>
      <c r="D1939" t="s">
        <v>558</v>
      </c>
      <c r="E1939" s="7">
        <v>75</v>
      </c>
      <c r="F1939" t="s">
        <v>20</v>
      </c>
      <c r="G1939" t="s">
        <v>21</v>
      </c>
      <c r="H1939" t="str">
        <f>"FEB 2019-COUNCIL"</f>
        <v>FEB 2019-COUNCIL</v>
      </c>
      <c r="I1939" t="str">
        <f>"SALARIES"</f>
        <v>SALARIES</v>
      </c>
    </row>
    <row r="1940" spans="1:9" x14ac:dyDescent="0.25">
      <c r="A1940" s="6">
        <v>43502</v>
      </c>
      <c r="B1940" t="s">
        <v>26</v>
      </c>
      <c r="C1940">
        <v>60154</v>
      </c>
      <c r="D1940" t="s">
        <v>130</v>
      </c>
      <c r="E1940" s="7">
        <v>1340.16</v>
      </c>
      <c r="F1940" t="s">
        <v>20</v>
      </c>
      <c r="G1940" t="s">
        <v>21</v>
      </c>
      <c r="H1940" t="str">
        <f>"INV619961"</f>
        <v>INV619961</v>
      </c>
      <c r="I1940" t="str">
        <f>"DOCUMATION"</f>
        <v>DOCUMATION</v>
      </c>
    </row>
    <row r="1941" spans="1:9" x14ac:dyDescent="0.25">
      <c r="A1941" s="6">
        <v>43502</v>
      </c>
      <c r="B1941" t="s">
        <v>26</v>
      </c>
      <c r="C1941">
        <v>60155</v>
      </c>
      <c r="D1941" t="s">
        <v>345</v>
      </c>
      <c r="E1941" s="7">
        <v>280.5</v>
      </c>
      <c r="F1941" t="s">
        <v>20</v>
      </c>
      <c r="G1941" t="s">
        <v>21</v>
      </c>
      <c r="H1941" t="str">
        <f>"2/3/2019"</f>
        <v>2/3/2019</v>
      </c>
      <c r="I1941" t="str">
        <f>"MICHAEL ISAAC MARTINEZ"</f>
        <v>MICHAEL ISAAC MARTINEZ</v>
      </c>
    </row>
    <row r="1942" spans="1:9" x14ac:dyDescent="0.25">
      <c r="A1942" s="6">
        <v>43502</v>
      </c>
      <c r="B1942" t="s">
        <v>26</v>
      </c>
      <c r="C1942">
        <v>60156</v>
      </c>
      <c r="D1942" t="s">
        <v>584</v>
      </c>
      <c r="E1942" s="7">
        <v>70</v>
      </c>
      <c r="F1942" t="s">
        <v>20</v>
      </c>
      <c r="G1942" t="s">
        <v>21</v>
      </c>
      <c r="H1942" t="str">
        <f>"2/2/19"</f>
        <v>2/2/19</v>
      </c>
      <c r="I1942" t="str">
        <f>"AMANDA SENDEJO"</f>
        <v>AMANDA SENDEJO</v>
      </c>
    </row>
    <row r="1943" spans="1:9" x14ac:dyDescent="0.25">
      <c r="A1943" s="6">
        <v>43502</v>
      </c>
      <c r="B1943" t="s">
        <v>26</v>
      </c>
      <c r="C1943">
        <v>60157</v>
      </c>
      <c r="D1943" t="s">
        <v>596</v>
      </c>
      <c r="E1943" s="7">
        <v>70</v>
      </c>
      <c r="F1943" t="s">
        <v>20</v>
      </c>
      <c r="G1943" t="s">
        <v>21</v>
      </c>
      <c r="H1943" t="str">
        <f>"2/3/2019"</f>
        <v>2/3/2019</v>
      </c>
      <c r="I1943" t="str">
        <f>"GRACE PIERCE"</f>
        <v>GRACE PIERCE</v>
      </c>
    </row>
    <row r="1944" spans="1:9" x14ac:dyDescent="0.25">
      <c r="A1944" s="6">
        <v>43502</v>
      </c>
      <c r="B1944" t="s">
        <v>26</v>
      </c>
      <c r="C1944">
        <v>60158</v>
      </c>
      <c r="D1944" t="s">
        <v>676</v>
      </c>
      <c r="E1944" s="7">
        <v>60</v>
      </c>
      <c r="F1944" t="s">
        <v>20</v>
      </c>
      <c r="G1944" t="s">
        <v>21</v>
      </c>
      <c r="H1944" t="str">
        <f>"2/3/19"</f>
        <v>2/3/19</v>
      </c>
      <c r="I1944" t="str">
        <f>"JUAN DE LA CERDA"</f>
        <v>JUAN DE LA CERDA</v>
      </c>
    </row>
    <row r="1945" spans="1:9" x14ac:dyDescent="0.25">
      <c r="A1945" s="6">
        <v>43502</v>
      </c>
      <c r="B1945" t="s">
        <v>26</v>
      </c>
      <c r="C1945">
        <v>60159</v>
      </c>
      <c r="D1945" t="s">
        <v>169</v>
      </c>
      <c r="E1945" s="7">
        <v>17.5</v>
      </c>
      <c r="F1945" t="s">
        <v>20</v>
      </c>
      <c r="G1945" t="s">
        <v>21</v>
      </c>
      <c r="H1945" t="str">
        <f>"115386"</f>
        <v>115386</v>
      </c>
      <c r="I1945" t="str">
        <f>"THE POLICE AND SHERIFFS PRESS"</f>
        <v>THE POLICE AND SHERIFFS PRESS</v>
      </c>
    </row>
    <row r="1946" spans="1:9" x14ac:dyDescent="0.25">
      <c r="A1946" s="6">
        <v>43502</v>
      </c>
      <c r="B1946" t="s">
        <v>26</v>
      </c>
      <c r="C1946">
        <v>60160</v>
      </c>
      <c r="D1946" t="s">
        <v>326</v>
      </c>
      <c r="E1946" s="7">
        <v>40.200000000000003</v>
      </c>
      <c r="F1946" t="s">
        <v>20</v>
      </c>
      <c r="G1946" t="s">
        <v>21</v>
      </c>
      <c r="H1946" t="str">
        <f>"19027167*"</f>
        <v>19027167*</v>
      </c>
      <c r="I1946" t="str">
        <f>"MATHESON TRI-GAS INC"</f>
        <v>MATHESON TRI-GAS INC</v>
      </c>
    </row>
    <row r="1947" spans="1:9" x14ac:dyDescent="0.25">
      <c r="A1947" s="6">
        <v>43502</v>
      </c>
      <c r="B1947" t="s">
        <v>26</v>
      </c>
      <c r="C1947">
        <v>60161</v>
      </c>
      <c r="D1947" t="s">
        <v>328</v>
      </c>
      <c r="E1947" s="7">
        <v>7500</v>
      </c>
      <c r="F1947" t="s">
        <v>20</v>
      </c>
      <c r="G1947" t="s">
        <v>21</v>
      </c>
      <c r="H1947" t="str">
        <f>"7017185"</f>
        <v>7017185</v>
      </c>
      <c r="I1947" t="str">
        <f>"KOLOGIK"</f>
        <v>KOLOGIK</v>
      </c>
    </row>
    <row r="1948" spans="1:9" x14ac:dyDescent="0.25">
      <c r="A1948" s="6">
        <v>43503</v>
      </c>
      <c r="B1948" t="s">
        <v>26</v>
      </c>
      <c r="C1948">
        <v>60162</v>
      </c>
      <c r="D1948" t="s">
        <v>308</v>
      </c>
      <c r="E1948" s="7">
        <v>143.01</v>
      </c>
      <c r="F1948" t="s">
        <v>20</v>
      </c>
      <c r="G1948" t="s">
        <v>21</v>
      </c>
      <c r="H1948" t="str">
        <f>"TRAINING 7/8/11TH"</f>
        <v>TRAINING 7/8/11TH</v>
      </c>
      <c r="I1948" t="str">
        <f>"JOHNNY VILLARREAL"</f>
        <v>JOHNNY VILLARREAL</v>
      </c>
    </row>
    <row r="1949" spans="1:9" x14ac:dyDescent="0.25">
      <c r="A1949" s="6">
        <v>43511</v>
      </c>
      <c r="B1949" t="s">
        <v>26</v>
      </c>
      <c r="C1949">
        <v>60171</v>
      </c>
      <c r="D1949" t="s">
        <v>51</v>
      </c>
      <c r="E1949" s="7">
        <v>327.84</v>
      </c>
      <c r="F1949" t="s">
        <v>20</v>
      </c>
      <c r="G1949" t="s">
        <v>21</v>
      </c>
      <c r="H1949" t="str">
        <f>"CLE201902138508"</f>
        <v>CLE201902138508</v>
      </c>
      <c r="I1949" t="str">
        <f>"CLEAT ONLY DUES"</f>
        <v>CLEAT ONLY DUES</v>
      </c>
    </row>
    <row r="1950" spans="1:9" x14ac:dyDescent="0.25">
      <c r="A1950" s="6">
        <v>43511</v>
      </c>
      <c r="B1950" t="s">
        <v>26</v>
      </c>
      <c r="C1950">
        <v>60171</v>
      </c>
      <c r="D1950" t="s">
        <v>51</v>
      </c>
      <c r="E1950" s="7">
        <v>327.84</v>
      </c>
      <c r="F1950" t="s">
        <v>20</v>
      </c>
      <c r="G1950" t="s">
        <v>21</v>
      </c>
      <c r="H1950" t="str">
        <f>"PDD201902138508"</f>
        <v>PDD201902138508</v>
      </c>
      <c r="I1950" t="str">
        <f>"POLICE OFFICERS ASSOC DUES"</f>
        <v>POLICE OFFICERS ASSOC DUES</v>
      </c>
    </row>
    <row r="1951" spans="1:9" x14ac:dyDescent="0.25">
      <c r="A1951" s="6">
        <v>43511</v>
      </c>
      <c r="B1951" t="s">
        <v>91</v>
      </c>
      <c r="C1951">
        <v>60172</v>
      </c>
      <c r="D1951" t="s">
        <v>90</v>
      </c>
      <c r="E1951" s="7">
        <v>101.1</v>
      </c>
      <c r="F1951" t="s">
        <v>20</v>
      </c>
      <c r="G1951" t="s">
        <v>21</v>
      </c>
      <c r="H1951" t="str">
        <f>"AFS201902138508"</f>
        <v>AFS201902138508</v>
      </c>
      <c r="I1951" t="str">
        <f>"AFLAC STD"</f>
        <v>AFLAC STD</v>
      </c>
    </row>
    <row r="1952" spans="1:9" x14ac:dyDescent="0.25">
      <c r="A1952" s="6">
        <v>43511</v>
      </c>
      <c r="B1952" t="s">
        <v>26</v>
      </c>
      <c r="C1952">
        <v>60173</v>
      </c>
      <c r="D1952" t="s">
        <v>52</v>
      </c>
      <c r="E1952" s="7">
        <v>1438.22</v>
      </c>
      <c r="F1952" t="s">
        <v>20</v>
      </c>
      <c r="G1952" t="s">
        <v>21</v>
      </c>
      <c r="H1952" t="str">
        <f>"CJD201902138508"</f>
        <v>CJD201902138508</v>
      </c>
      <c r="I1952" t="str">
        <f>"1371990918080637CV RUBI MUNOZ"</f>
        <v>1371990918080637CV RUBI MUNOZ</v>
      </c>
    </row>
    <row r="1953" spans="1:9" x14ac:dyDescent="0.25">
      <c r="A1953" s="6">
        <v>43511</v>
      </c>
      <c r="B1953" t="s">
        <v>26</v>
      </c>
      <c r="C1953">
        <v>60173</v>
      </c>
      <c r="D1953" t="s">
        <v>52</v>
      </c>
      <c r="E1953" s="7">
        <v>1438.22</v>
      </c>
      <c r="F1953" t="s">
        <v>20</v>
      </c>
      <c r="G1953" t="s">
        <v>21</v>
      </c>
      <c r="H1953" t="str">
        <f>"CPS201902138508"</f>
        <v>CPS201902138508</v>
      </c>
      <c r="I1953" t="str">
        <f>"G MENDOZA 00123012032010EM5054"</f>
        <v>G MENDOZA 00123012032010EM5054</v>
      </c>
    </row>
    <row r="1954" spans="1:9" x14ac:dyDescent="0.25">
      <c r="A1954" s="6">
        <v>43511</v>
      </c>
      <c r="B1954" t="s">
        <v>26</v>
      </c>
      <c r="C1954">
        <v>60173</v>
      </c>
      <c r="D1954" t="s">
        <v>52</v>
      </c>
      <c r="E1954" s="7">
        <v>1438.22</v>
      </c>
      <c r="F1954" t="s">
        <v>20</v>
      </c>
      <c r="G1954" t="s">
        <v>21</v>
      </c>
      <c r="H1954" t="str">
        <f>"CS 201902138508"</f>
        <v>CS 201902138508</v>
      </c>
      <c r="I1954" t="str">
        <f>"CAUSE#98EM504113 PEGGY RIVAS"</f>
        <v>CAUSE#98EM504113 PEGGY RIVAS</v>
      </c>
    </row>
    <row r="1955" spans="1:9" x14ac:dyDescent="0.25">
      <c r="A1955" s="6">
        <v>43511</v>
      </c>
      <c r="B1955" t="s">
        <v>26</v>
      </c>
      <c r="C1955">
        <v>60173</v>
      </c>
      <c r="D1955" t="s">
        <v>52</v>
      </c>
      <c r="E1955" s="7">
        <v>1438.22</v>
      </c>
      <c r="F1955" t="s">
        <v>20</v>
      </c>
      <c r="G1955" t="s">
        <v>21</v>
      </c>
      <c r="H1955" t="str">
        <f>"CSJ201902138508"</f>
        <v>CSJ201902138508</v>
      </c>
      <c r="I1955" t="str">
        <f>"CAUSE# 0010185272 MARIANN GUTI"</f>
        <v>CAUSE# 0010185272 MARIANN GUTI</v>
      </c>
    </row>
    <row r="1956" spans="1:9" x14ac:dyDescent="0.25">
      <c r="A1956" s="6">
        <v>43511</v>
      </c>
      <c r="B1956" t="s">
        <v>26</v>
      </c>
      <c r="C1956">
        <v>60174</v>
      </c>
      <c r="D1956" t="s">
        <v>53</v>
      </c>
      <c r="E1956" s="7">
        <v>99.1</v>
      </c>
      <c r="F1956" t="s">
        <v>20</v>
      </c>
      <c r="G1956" t="s">
        <v>21</v>
      </c>
      <c r="H1956" t="str">
        <f>"MCO201902138508"</f>
        <v>MCO201902138508</v>
      </c>
      <c r="I1956" t="str">
        <f>"MONICA CORDOVA"</f>
        <v>MONICA CORDOVA</v>
      </c>
    </row>
    <row r="1957" spans="1:9" x14ac:dyDescent="0.25">
      <c r="A1957" s="6">
        <v>43511</v>
      </c>
      <c r="B1957" t="s">
        <v>26</v>
      </c>
      <c r="C1957">
        <v>60175</v>
      </c>
      <c r="D1957" t="s">
        <v>54</v>
      </c>
      <c r="E1957" s="7">
        <v>927.1</v>
      </c>
      <c r="F1957" t="s">
        <v>20</v>
      </c>
      <c r="G1957" t="s">
        <v>21</v>
      </c>
      <c r="H1957" t="str">
        <f>"457201902138508"</f>
        <v>457201902138508</v>
      </c>
      <c r="I1957" t="str">
        <f>"CASE # 180-60751 457B DEDUCT"</f>
        <v>CASE # 180-60751 457B DEDUCT</v>
      </c>
    </row>
    <row r="1958" spans="1:9" x14ac:dyDescent="0.25">
      <c r="A1958" s="6">
        <v>43509</v>
      </c>
      <c r="B1958" t="s">
        <v>91</v>
      </c>
      <c r="C1958">
        <v>60176</v>
      </c>
      <c r="D1958" t="s">
        <v>92</v>
      </c>
      <c r="E1958" s="7">
        <v>20309.54</v>
      </c>
      <c r="F1958" t="s">
        <v>20</v>
      </c>
      <c r="G1958" t="s">
        <v>21</v>
      </c>
      <c r="H1958" t="str">
        <f>"RET201902138508"</f>
        <v>RET201902138508</v>
      </c>
      <c r="I1958" t="str">
        <f>"TMRS CITY OF FLORESVILLE"</f>
        <v>TMRS CITY OF FLORESVILLE</v>
      </c>
    </row>
    <row r="1959" spans="1:9" x14ac:dyDescent="0.25">
      <c r="A1959" s="6">
        <v>43509</v>
      </c>
      <c r="B1959" t="s">
        <v>91</v>
      </c>
      <c r="C1959">
        <v>60176</v>
      </c>
      <c r="D1959" t="s">
        <v>92</v>
      </c>
      <c r="E1959" s="7">
        <v>20309.54</v>
      </c>
      <c r="F1959" t="s">
        <v>20</v>
      </c>
      <c r="G1959" t="s">
        <v>93</v>
      </c>
      <c r="H1959" t="str">
        <f>"CHECK"</f>
        <v>CHECK</v>
      </c>
      <c r="I1959" t="str">
        <f>""</f>
        <v/>
      </c>
    </row>
    <row r="1960" spans="1:9" x14ac:dyDescent="0.25">
      <c r="A1960" s="6">
        <v>43509</v>
      </c>
      <c r="B1960" t="s">
        <v>26</v>
      </c>
      <c r="C1960">
        <v>60178</v>
      </c>
      <c r="D1960" t="s">
        <v>579</v>
      </c>
      <c r="E1960" s="7">
        <v>70</v>
      </c>
      <c r="F1960" t="s">
        <v>20</v>
      </c>
      <c r="G1960" t="s">
        <v>21</v>
      </c>
      <c r="H1960" t="str">
        <f>"2/9/19"</f>
        <v>2/9/19</v>
      </c>
      <c r="I1960" t="str">
        <f>"NICOLE TRINIDAD"</f>
        <v>NICOLE TRINIDAD</v>
      </c>
    </row>
    <row r="1961" spans="1:9" x14ac:dyDescent="0.25">
      <c r="A1961" s="6">
        <v>43509</v>
      </c>
      <c r="B1961" t="s">
        <v>26</v>
      </c>
      <c r="C1961">
        <v>60179</v>
      </c>
      <c r="D1961" t="s">
        <v>85</v>
      </c>
      <c r="E1961" s="7">
        <v>170.82</v>
      </c>
      <c r="F1961" t="s">
        <v>20</v>
      </c>
      <c r="G1961" t="s">
        <v>21</v>
      </c>
      <c r="H1961" t="str">
        <f>"3930579 2/19"</f>
        <v>3930579 2/19</v>
      </c>
      <c r="I1961" t="str">
        <f>"FRONTIER"</f>
        <v>FRONTIER</v>
      </c>
    </row>
    <row r="1962" spans="1:9" x14ac:dyDescent="0.25">
      <c r="A1962" s="6">
        <v>43509</v>
      </c>
      <c r="B1962" t="s">
        <v>26</v>
      </c>
      <c r="C1962">
        <v>60179</v>
      </c>
      <c r="D1962" t="s">
        <v>85</v>
      </c>
      <c r="E1962" s="7">
        <v>170.82</v>
      </c>
      <c r="F1962" t="s">
        <v>20</v>
      </c>
      <c r="G1962" t="s">
        <v>21</v>
      </c>
      <c r="H1962" t="str">
        <f>"3933108 2/19"</f>
        <v>3933108 2/19</v>
      </c>
      <c r="I1962" t="str">
        <f>"FRONTIER"</f>
        <v>FRONTIER</v>
      </c>
    </row>
    <row r="1963" spans="1:9" x14ac:dyDescent="0.25">
      <c r="A1963" s="6">
        <v>43509</v>
      </c>
      <c r="B1963" t="s">
        <v>26</v>
      </c>
      <c r="C1963">
        <v>60179</v>
      </c>
      <c r="D1963" t="s">
        <v>85</v>
      </c>
      <c r="E1963" s="7">
        <v>170.82</v>
      </c>
      <c r="F1963" t="s">
        <v>20</v>
      </c>
      <c r="G1963" t="s">
        <v>21</v>
      </c>
      <c r="H1963" t="str">
        <f>"3939791 2/19"</f>
        <v>3939791 2/19</v>
      </c>
      <c r="I1963" t="str">
        <f>"FRONTIER"</f>
        <v>FRONTIER</v>
      </c>
    </row>
    <row r="1964" spans="1:9" x14ac:dyDescent="0.25">
      <c r="A1964" s="6">
        <v>43509</v>
      </c>
      <c r="B1964" t="s">
        <v>26</v>
      </c>
      <c r="C1964">
        <v>60180</v>
      </c>
      <c r="D1964" t="s">
        <v>54</v>
      </c>
      <c r="E1964" s="7">
        <v>50</v>
      </c>
      <c r="F1964" t="s">
        <v>20</v>
      </c>
      <c r="G1964" t="s">
        <v>21</v>
      </c>
      <c r="H1964" t="str">
        <f>"2/2019"</f>
        <v>2/2019</v>
      </c>
      <c r="I1964" t="str">
        <f>"NATIONWIDE TRUST COMPANY  FSB"</f>
        <v>NATIONWIDE TRUST COMPANY  FSB</v>
      </c>
    </row>
    <row r="1965" spans="1:9" x14ac:dyDescent="0.25">
      <c r="A1965" s="6">
        <v>43509</v>
      </c>
      <c r="B1965" t="s">
        <v>26</v>
      </c>
      <c r="C1965">
        <v>60181</v>
      </c>
      <c r="D1965" t="s">
        <v>539</v>
      </c>
      <c r="E1965" s="7">
        <v>70</v>
      </c>
      <c r="F1965" t="s">
        <v>20</v>
      </c>
      <c r="G1965" t="s">
        <v>21</v>
      </c>
      <c r="H1965" t="str">
        <f>"2/9/19"</f>
        <v>2/9/19</v>
      </c>
      <c r="I1965" t="str">
        <f>"YVONNE G GARCIA"</f>
        <v>YVONNE G GARCIA</v>
      </c>
    </row>
    <row r="1966" spans="1:9" x14ac:dyDescent="0.25">
      <c r="A1966" s="6">
        <v>43509</v>
      </c>
      <c r="B1966" t="s">
        <v>26</v>
      </c>
      <c r="C1966">
        <v>60182</v>
      </c>
      <c r="D1966" t="s">
        <v>646</v>
      </c>
      <c r="E1966" s="7">
        <v>600</v>
      </c>
      <c r="F1966" t="s">
        <v>20</v>
      </c>
      <c r="G1966" t="s">
        <v>21</v>
      </c>
      <c r="H1966" t="str">
        <f>"0121719"</f>
        <v>0121719</v>
      </c>
      <c r="I1966" t="str">
        <f>"JOHN D. BROWN"</f>
        <v>JOHN D. BROWN</v>
      </c>
    </row>
    <row r="1967" spans="1:9" x14ac:dyDescent="0.25">
      <c r="A1967" s="6">
        <v>43509</v>
      </c>
      <c r="B1967" t="s">
        <v>26</v>
      </c>
      <c r="C1967">
        <v>60183</v>
      </c>
      <c r="D1967" t="s">
        <v>650</v>
      </c>
      <c r="E1967" s="7">
        <v>100</v>
      </c>
      <c r="F1967" t="s">
        <v>20</v>
      </c>
      <c r="G1967" t="s">
        <v>21</v>
      </c>
      <c r="H1967" t="str">
        <f>"2/9/2019"</f>
        <v>2/9/2019</v>
      </c>
      <c r="I1967" t="str">
        <f>"ROBERT RAMIREZ"</f>
        <v>ROBERT RAMIREZ</v>
      </c>
    </row>
    <row r="1968" spans="1:9" x14ac:dyDescent="0.25">
      <c r="A1968" s="6">
        <v>43509</v>
      </c>
      <c r="B1968" t="s">
        <v>26</v>
      </c>
      <c r="C1968">
        <v>60184</v>
      </c>
      <c r="D1968" t="s">
        <v>65</v>
      </c>
      <c r="E1968" s="7">
        <v>104</v>
      </c>
      <c r="F1968" t="s">
        <v>20</v>
      </c>
      <c r="G1968" t="s">
        <v>21</v>
      </c>
      <c r="H1968" t="str">
        <f>"DIR. PAY 2/2019"</f>
        <v>DIR. PAY 2/2019</v>
      </c>
      <c r="I1968" t="str">
        <f>"SAM'S CLUB/SYNCHRONY BANK"</f>
        <v>SAM'S CLUB/SYNCHRONY BANK</v>
      </c>
    </row>
    <row r="1969" spans="1:9" x14ac:dyDescent="0.25">
      <c r="A1969" s="6">
        <v>43509</v>
      </c>
      <c r="B1969" t="s">
        <v>26</v>
      </c>
      <c r="C1969">
        <v>60185</v>
      </c>
      <c r="D1969" t="s">
        <v>345</v>
      </c>
      <c r="E1969" s="7">
        <v>374</v>
      </c>
      <c r="F1969" t="s">
        <v>20</v>
      </c>
      <c r="G1969" t="s">
        <v>21</v>
      </c>
      <c r="H1969" t="str">
        <f>"2/9/2019"</f>
        <v>2/9/2019</v>
      </c>
      <c r="I1969" t="str">
        <f>"MICHAEL ISAAC MARTINEZ"</f>
        <v>MICHAEL ISAAC MARTINEZ</v>
      </c>
    </row>
    <row r="1970" spans="1:9" x14ac:dyDescent="0.25">
      <c r="A1970" s="6">
        <v>43509</v>
      </c>
      <c r="B1970" t="s">
        <v>26</v>
      </c>
      <c r="C1970">
        <v>60186</v>
      </c>
      <c r="D1970" t="s">
        <v>27</v>
      </c>
      <c r="E1970" s="7">
        <v>161.38999999999999</v>
      </c>
      <c r="F1970" t="s">
        <v>20</v>
      </c>
      <c r="G1970" t="s">
        <v>21</v>
      </c>
      <c r="H1970" t="str">
        <f>"TRWA WTR TRN"</f>
        <v>TRWA WTR TRN</v>
      </c>
      <c r="I1970" t="str">
        <f>"RICARDO CARRASCO"</f>
        <v>RICARDO CARRASCO</v>
      </c>
    </row>
    <row r="1971" spans="1:9" x14ac:dyDescent="0.25">
      <c r="A1971" s="6">
        <v>43509</v>
      </c>
      <c r="B1971" t="s">
        <v>26</v>
      </c>
      <c r="C1971">
        <v>60187</v>
      </c>
      <c r="D1971" t="s">
        <v>233</v>
      </c>
      <c r="E1971" s="7">
        <v>321.12</v>
      </c>
      <c r="F1971" t="s">
        <v>20</v>
      </c>
      <c r="G1971" t="s">
        <v>21</v>
      </c>
      <c r="H1971" t="str">
        <f>"GROUND WTR TRN"</f>
        <v>GROUND WTR TRN</v>
      </c>
      <c r="I1971" t="str">
        <f>"STEFANO CANTU"</f>
        <v>STEFANO CANTU</v>
      </c>
    </row>
    <row r="1972" spans="1:9" x14ac:dyDescent="0.25">
      <c r="A1972" s="6">
        <v>43516</v>
      </c>
      <c r="B1972" t="s">
        <v>26</v>
      </c>
      <c r="C1972">
        <v>60188</v>
      </c>
      <c r="D1972" t="s">
        <v>56</v>
      </c>
      <c r="E1972" s="7">
        <v>45</v>
      </c>
      <c r="F1972" t="s">
        <v>20</v>
      </c>
      <c r="G1972" t="s">
        <v>21</v>
      </c>
      <c r="H1972" t="str">
        <f>"172393"</f>
        <v>172393</v>
      </c>
      <c r="I1972" t="str">
        <f>"DOG FOOD"</f>
        <v>DOG FOOD</v>
      </c>
    </row>
    <row r="1973" spans="1:9" x14ac:dyDescent="0.25">
      <c r="A1973" s="6">
        <v>43516</v>
      </c>
      <c r="B1973" t="s">
        <v>26</v>
      </c>
      <c r="C1973">
        <v>60189</v>
      </c>
      <c r="D1973" t="s">
        <v>102</v>
      </c>
      <c r="E1973" s="7">
        <v>387.39</v>
      </c>
      <c r="F1973" t="s">
        <v>20</v>
      </c>
      <c r="G1973" t="s">
        <v>21</v>
      </c>
      <c r="H1973" t="str">
        <f>"1107 1ST. ST 2/19"</f>
        <v>1107 1ST. ST 2/19</v>
      </c>
      <c r="I1973" t="str">
        <f>"CENTERPOINT ENERGY ENTEX"</f>
        <v>CENTERPOINT ENERGY ENTEX</v>
      </c>
    </row>
    <row r="1974" spans="1:9" x14ac:dyDescent="0.25">
      <c r="A1974" s="6">
        <v>43516</v>
      </c>
      <c r="B1974" t="s">
        <v>26</v>
      </c>
      <c r="C1974">
        <v>60189</v>
      </c>
      <c r="D1974" t="s">
        <v>102</v>
      </c>
      <c r="E1974" s="7">
        <v>387.39</v>
      </c>
      <c r="F1974" t="s">
        <v>20</v>
      </c>
      <c r="G1974" t="s">
        <v>21</v>
      </c>
      <c r="H1974" t="str">
        <f>"1120 D. ST 2/2019"</f>
        <v>1120 D. ST 2/2019</v>
      </c>
      <c r="I1974" t="str">
        <f>"CENTERPOINT ENERGY ENTEX"</f>
        <v>CENTERPOINT ENERGY ENTEX</v>
      </c>
    </row>
    <row r="1975" spans="1:9" x14ac:dyDescent="0.25">
      <c r="A1975" s="6">
        <v>43516</v>
      </c>
      <c r="B1975" t="s">
        <v>26</v>
      </c>
      <c r="C1975">
        <v>60189</v>
      </c>
      <c r="D1975" t="s">
        <v>102</v>
      </c>
      <c r="E1975" s="7">
        <v>387.39</v>
      </c>
      <c r="F1975" t="s">
        <v>20</v>
      </c>
      <c r="G1975" t="s">
        <v>21</v>
      </c>
      <c r="H1975" t="str">
        <f>"1200 1ST.ST 2/19"</f>
        <v>1200 1ST.ST 2/19</v>
      </c>
      <c r="I1975" t="str">
        <f>"CENTERPOINT ENERGY ENTEX"</f>
        <v>CENTERPOINT ENERGY ENTEX</v>
      </c>
    </row>
    <row r="1976" spans="1:9" x14ac:dyDescent="0.25">
      <c r="A1976" s="6">
        <v>43516</v>
      </c>
      <c r="B1976" t="s">
        <v>26</v>
      </c>
      <c r="C1976">
        <v>60189</v>
      </c>
      <c r="D1976" t="s">
        <v>102</v>
      </c>
      <c r="E1976" s="7">
        <v>387.39</v>
      </c>
      <c r="F1976" t="s">
        <v>20</v>
      </c>
      <c r="G1976" t="s">
        <v>21</v>
      </c>
      <c r="H1976" t="str">
        <f>"920 C ST. 2/2019"</f>
        <v>920 C ST. 2/2019</v>
      </c>
      <c r="I1976" t="str">
        <f>"CENTERPOINT ENERGY ENTEX"</f>
        <v>CENTERPOINT ENERGY ENTEX</v>
      </c>
    </row>
    <row r="1977" spans="1:9" x14ac:dyDescent="0.25">
      <c r="A1977" s="6">
        <v>43516</v>
      </c>
      <c r="B1977" t="s">
        <v>26</v>
      </c>
      <c r="C1977">
        <v>60190</v>
      </c>
      <c r="D1977" t="s">
        <v>201</v>
      </c>
      <c r="E1977" s="7">
        <v>1190.44</v>
      </c>
      <c r="F1977" t="s">
        <v>20</v>
      </c>
      <c r="G1977" t="s">
        <v>21</v>
      </c>
      <c r="H1977" t="str">
        <f>"2/11/19"</f>
        <v>2/11/19</v>
      </c>
      <c r="I1977" t="str">
        <f>"COMBINATION LOCKS"</f>
        <v>COMBINATION LOCKS</v>
      </c>
    </row>
    <row r="1978" spans="1:9" x14ac:dyDescent="0.25">
      <c r="A1978" s="6">
        <v>43516</v>
      </c>
      <c r="B1978" t="s">
        <v>26</v>
      </c>
      <c r="C1978">
        <v>60190</v>
      </c>
      <c r="D1978" t="s">
        <v>201</v>
      </c>
      <c r="E1978" s="7">
        <v>1190.44</v>
      </c>
      <c r="F1978" t="s">
        <v>20</v>
      </c>
      <c r="G1978" t="s">
        <v>21</v>
      </c>
      <c r="H1978" t="str">
        <f>"2/11/2019"</f>
        <v>2/11/2019</v>
      </c>
      <c r="I1978" t="str">
        <f>"WILSON COUNTY HARDWARE"</f>
        <v>WILSON COUNTY HARDWARE</v>
      </c>
    </row>
    <row r="1979" spans="1:9" x14ac:dyDescent="0.25">
      <c r="A1979" s="6">
        <v>43516</v>
      </c>
      <c r="B1979" t="s">
        <v>26</v>
      </c>
      <c r="C1979">
        <v>60191</v>
      </c>
      <c r="D1979" t="s">
        <v>103</v>
      </c>
      <c r="E1979" s="7">
        <v>86143.55</v>
      </c>
      <c r="F1979" t="s">
        <v>20</v>
      </c>
      <c r="G1979" t="s">
        <v>21</v>
      </c>
      <c r="H1979" t="str">
        <f>"FEB SALES TAX"</f>
        <v>FEB SALES TAX</v>
      </c>
      <c r="I1979" t="str">
        <f>"F. E. D. C."</f>
        <v>F. E. D. C.</v>
      </c>
    </row>
    <row r="1980" spans="1:9" x14ac:dyDescent="0.25">
      <c r="A1980" s="6">
        <v>43516</v>
      </c>
      <c r="B1980" t="s">
        <v>26</v>
      </c>
      <c r="C1980">
        <v>60192</v>
      </c>
      <c r="D1980" t="s">
        <v>104</v>
      </c>
      <c r="E1980" s="7">
        <v>578.49</v>
      </c>
      <c r="F1980" t="s">
        <v>20</v>
      </c>
      <c r="G1980" t="s">
        <v>21</v>
      </c>
      <c r="H1980" t="str">
        <f>"1360090102"</f>
        <v>1360090102</v>
      </c>
      <c r="I1980" t="str">
        <f t="shared" ref="I1980:I1985" si="32">"WILSON COUNTY NEWS"</f>
        <v>WILSON COUNTY NEWS</v>
      </c>
    </row>
    <row r="1981" spans="1:9" x14ac:dyDescent="0.25">
      <c r="A1981" s="6">
        <v>43516</v>
      </c>
      <c r="B1981" t="s">
        <v>26</v>
      </c>
      <c r="C1981">
        <v>60192</v>
      </c>
      <c r="D1981" t="s">
        <v>104</v>
      </c>
      <c r="E1981" s="7">
        <v>578.49</v>
      </c>
      <c r="F1981" t="s">
        <v>20</v>
      </c>
      <c r="G1981" t="s">
        <v>21</v>
      </c>
      <c r="H1981" t="str">
        <f>"1361430109"</f>
        <v>1361430109</v>
      </c>
      <c r="I1981" t="str">
        <f t="shared" si="32"/>
        <v>WILSON COUNTY NEWS</v>
      </c>
    </row>
    <row r="1982" spans="1:9" x14ac:dyDescent="0.25">
      <c r="A1982" s="6">
        <v>43516</v>
      </c>
      <c r="B1982" t="s">
        <v>26</v>
      </c>
      <c r="C1982">
        <v>60192</v>
      </c>
      <c r="D1982" t="s">
        <v>104</v>
      </c>
      <c r="E1982" s="7">
        <v>578.49</v>
      </c>
      <c r="F1982" t="s">
        <v>20</v>
      </c>
      <c r="G1982" t="s">
        <v>21</v>
      </c>
      <c r="H1982" t="str">
        <f>"1361430116"</f>
        <v>1361430116</v>
      </c>
      <c r="I1982" t="str">
        <f t="shared" si="32"/>
        <v>WILSON COUNTY NEWS</v>
      </c>
    </row>
    <row r="1983" spans="1:9" x14ac:dyDescent="0.25">
      <c r="A1983" s="6">
        <v>43516</v>
      </c>
      <c r="B1983" t="s">
        <v>26</v>
      </c>
      <c r="C1983">
        <v>60192</v>
      </c>
      <c r="D1983" t="s">
        <v>104</v>
      </c>
      <c r="E1983" s="7">
        <v>578.49</v>
      </c>
      <c r="F1983" t="s">
        <v>20</v>
      </c>
      <c r="G1983" t="s">
        <v>21</v>
      </c>
      <c r="H1983" t="str">
        <f>"1363090123"</f>
        <v>1363090123</v>
      </c>
      <c r="I1983" t="str">
        <f t="shared" si="32"/>
        <v>WILSON COUNTY NEWS</v>
      </c>
    </row>
    <row r="1984" spans="1:9" x14ac:dyDescent="0.25">
      <c r="A1984" s="6">
        <v>43516</v>
      </c>
      <c r="B1984" t="s">
        <v>26</v>
      </c>
      <c r="C1984">
        <v>60192</v>
      </c>
      <c r="D1984" t="s">
        <v>104</v>
      </c>
      <c r="E1984" s="7">
        <v>578.49</v>
      </c>
      <c r="F1984" t="s">
        <v>20</v>
      </c>
      <c r="G1984" t="s">
        <v>21</v>
      </c>
      <c r="H1984" t="str">
        <f>"1363090130"</f>
        <v>1363090130</v>
      </c>
      <c r="I1984" t="str">
        <f t="shared" si="32"/>
        <v>WILSON COUNTY NEWS</v>
      </c>
    </row>
    <row r="1985" spans="1:9" x14ac:dyDescent="0.25">
      <c r="A1985" s="6">
        <v>43516</v>
      </c>
      <c r="B1985" t="s">
        <v>26</v>
      </c>
      <c r="C1985">
        <v>60192</v>
      </c>
      <c r="D1985" t="s">
        <v>104</v>
      </c>
      <c r="E1985" s="7">
        <v>578.49</v>
      </c>
      <c r="F1985" t="s">
        <v>20</v>
      </c>
      <c r="G1985" t="s">
        <v>21</v>
      </c>
      <c r="H1985" t="str">
        <f>"1363280130"</f>
        <v>1363280130</v>
      </c>
      <c r="I1985" t="str">
        <f t="shared" si="32"/>
        <v>WILSON COUNTY NEWS</v>
      </c>
    </row>
    <row r="1986" spans="1:9" x14ac:dyDescent="0.25">
      <c r="A1986" s="6">
        <v>43516</v>
      </c>
      <c r="B1986" t="s">
        <v>26</v>
      </c>
      <c r="C1986">
        <v>60193</v>
      </c>
      <c r="D1986" t="s">
        <v>59</v>
      </c>
      <c r="E1986" s="7">
        <v>478.13</v>
      </c>
      <c r="F1986" t="s">
        <v>20</v>
      </c>
      <c r="G1986" t="s">
        <v>21</v>
      </c>
      <c r="H1986" t="str">
        <f>"1000264.1"</f>
        <v>1000264.1</v>
      </c>
      <c r="I1986" t="str">
        <f>"SAFETY GEAR"</f>
        <v>SAFETY GEAR</v>
      </c>
    </row>
    <row r="1987" spans="1:9" x14ac:dyDescent="0.25">
      <c r="A1987" s="6">
        <v>43516</v>
      </c>
      <c r="B1987" t="s">
        <v>26</v>
      </c>
      <c r="C1987">
        <v>60193</v>
      </c>
      <c r="D1987" t="s">
        <v>59</v>
      </c>
      <c r="E1987" s="7">
        <v>478.13</v>
      </c>
      <c r="F1987" t="s">
        <v>20</v>
      </c>
      <c r="G1987" t="s">
        <v>21</v>
      </c>
      <c r="H1987" t="str">
        <f>"1003160"</f>
        <v>1003160</v>
      </c>
      <c r="I1987" t="str">
        <f>"GASKETS AND BLADES"</f>
        <v>GASKETS AND BLADES</v>
      </c>
    </row>
    <row r="1988" spans="1:9" x14ac:dyDescent="0.25">
      <c r="A1988" s="6">
        <v>43516</v>
      </c>
      <c r="B1988" t="s">
        <v>26</v>
      </c>
      <c r="C1988">
        <v>60193</v>
      </c>
      <c r="D1988" t="s">
        <v>59</v>
      </c>
      <c r="E1988" s="7">
        <v>478.13</v>
      </c>
      <c r="F1988" t="s">
        <v>20</v>
      </c>
      <c r="G1988" t="s">
        <v>21</v>
      </c>
      <c r="H1988" t="str">
        <f>"1003268"</f>
        <v>1003268</v>
      </c>
      <c r="I1988" t="str">
        <f>"MANHOLE RING &amp; COVER"</f>
        <v>MANHOLE RING &amp; COVER</v>
      </c>
    </row>
    <row r="1989" spans="1:9" x14ac:dyDescent="0.25">
      <c r="A1989" s="6">
        <v>43516</v>
      </c>
      <c r="B1989" t="s">
        <v>26</v>
      </c>
      <c r="C1989">
        <v>60194</v>
      </c>
      <c r="D1989" t="s">
        <v>166</v>
      </c>
      <c r="E1989" s="7">
        <v>601</v>
      </c>
      <c r="F1989" t="s">
        <v>20</v>
      </c>
      <c r="G1989" t="s">
        <v>21</v>
      </c>
      <c r="H1989" t="str">
        <f>"FEB 2019"</f>
        <v>FEB 2019</v>
      </c>
      <c r="I1989" t="str">
        <f>"PITNEY BOWES PURCHASE POWER"</f>
        <v>PITNEY BOWES PURCHASE POWER</v>
      </c>
    </row>
    <row r="1990" spans="1:9" x14ac:dyDescent="0.25">
      <c r="A1990" s="6">
        <v>43516</v>
      </c>
      <c r="B1990" t="s">
        <v>26</v>
      </c>
      <c r="C1990">
        <v>60195</v>
      </c>
      <c r="D1990" t="s">
        <v>273</v>
      </c>
      <c r="E1990" s="7">
        <v>2661.46</v>
      </c>
      <c r="F1990" t="s">
        <v>20</v>
      </c>
      <c r="G1990" t="s">
        <v>21</v>
      </c>
      <c r="H1990" t="str">
        <f>"5119-000086999"</f>
        <v>5119-000086999</v>
      </c>
      <c r="I1990" t="str">
        <f>"REPUBLIC SERVICES TESSMAN ROAD"</f>
        <v>REPUBLIC SERVICES TESSMAN ROAD</v>
      </c>
    </row>
    <row r="1991" spans="1:9" x14ac:dyDescent="0.25">
      <c r="A1991" s="6">
        <v>43516</v>
      </c>
      <c r="B1991" t="s">
        <v>26</v>
      </c>
      <c r="C1991">
        <v>60196</v>
      </c>
      <c r="D1991" t="s">
        <v>110</v>
      </c>
      <c r="E1991" s="7">
        <v>2099.67</v>
      </c>
      <c r="F1991" t="s">
        <v>20</v>
      </c>
      <c r="G1991" t="s">
        <v>21</v>
      </c>
      <c r="H1991" t="str">
        <f>"1452089"</f>
        <v>1452089</v>
      </c>
      <c r="I1991" t="str">
        <f t="shared" ref="I1991:I1996" si="33">"BUREAU VERITAS NORTH AMERICA"</f>
        <v>BUREAU VERITAS NORTH AMERICA</v>
      </c>
    </row>
    <row r="1992" spans="1:9" x14ac:dyDescent="0.25">
      <c r="A1992" s="6">
        <v>43516</v>
      </c>
      <c r="B1992" t="s">
        <v>26</v>
      </c>
      <c r="C1992">
        <v>60196</v>
      </c>
      <c r="D1992" t="s">
        <v>110</v>
      </c>
      <c r="E1992" s="7">
        <v>2099.67</v>
      </c>
      <c r="F1992" t="s">
        <v>20</v>
      </c>
      <c r="G1992" t="s">
        <v>21</v>
      </c>
      <c r="H1992" t="str">
        <f>"1452090"</f>
        <v>1452090</v>
      </c>
      <c r="I1992" t="str">
        <f t="shared" si="33"/>
        <v>BUREAU VERITAS NORTH AMERICA</v>
      </c>
    </row>
    <row r="1993" spans="1:9" x14ac:dyDescent="0.25">
      <c r="A1993" s="6">
        <v>43516</v>
      </c>
      <c r="B1993" t="s">
        <v>26</v>
      </c>
      <c r="C1993">
        <v>60196</v>
      </c>
      <c r="D1993" t="s">
        <v>110</v>
      </c>
      <c r="E1993" s="7">
        <v>2099.67</v>
      </c>
      <c r="F1993" t="s">
        <v>20</v>
      </c>
      <c r="G1993" t="s">
        <v>21</v>
      </c>
      <c r="H1993" t="str">
        <f>"1452091"</f>
        <v>1452091</v>
      </c>
      <c r="I1993" t="str">
        <f t="shared" si="33"/>
        <v>BUREAU VERITAS NORTH AMERICA</v>
      </c>
    </row>
    <row r="1994" spans="1:9" x14ac:dyDescent="0.25">
      <c r="A1994" s="6">
        <v>43516</v>
      </c>
      <c r="B1994" t="s">
        <v>26</v>
      </c>
      <c r="C1994">
        <v>60196</v>
      </c>
      <c r="D1994" t="s">
        <v>110</v>
      </c>
      <c r="E1994" s="7">
        <v>2099.67</v>
      </c>
      <c r="F1994" t="s">
        <v>20</v>
      </c>
      <c r="G1994" t="s">
        <v>21</v>
      </c>
      <c r="H1994" t="str">
        <f>"1452092"</f>
        <v>1452092</v>
      </c>
      <c r="I1994" t="str">
        <f t="shared" si="33"/>
        <v>BUREAU VERITAS NORTH AMERICA</v>
      </c>
    </row>
    <row r="1995" spans="1:9" x14ac:dyDescent="0.25">
      <c r="A1995" s="6">
        <v>43516</v>
      </c>
      <c r="B1995" t="s">
        <v>26</v>
      </c>
      <c r="C1995">
        <v>60196</v>
      </c>
      <c r="D1995" t="s">
        <v>110</v>
      </c>
      <c r="E1995" s="7">
        <v>2099.67</v>
      </c>
      <c r="F1995" t="s">
        <v>20</v>
      </c>
      <c r="G1995" t="s">
        <v>21</v>
      </c>
      <c r="H1995" t="str">
        <f>"1452093"</f>
        <v>1452093</v>
      </c>
      <c r="I1995" t="str">
        <f t="shared" si="33"/>
        <v>BUREAU VERITAS NORTH AMERICA</v>
      </c>
    </row>
    <row r="1996" spans="1:9" x14ac:dyDescent="0.25">
      <c r="A1996" s="6">
        <v>43516</v>
      </c>
      <c r="B1996" t="s">
        <v>26</v>
      </c>
      <c r="C1996">
        <v>60196</v>
      </c>
      <c r="D1996" t="s">
        <v>110</v>
      </c>
      <c r="E1996" s="7">
        <v>2099.67</v>
      </c>
      <c r="F1996" t="s">
        <v>20</v>
      </c>
      <c r="G1996" t="s">
        <v>21</v>
      </c>
      <c r="H1996" t="str">
        <f>"1452094"</f>
        <v>1452094</v>
      </c>
      <c r="I1996" t="str">
        <f t="shared" si="33"/>
        <v>BUREAU VERITAS NORTH AMERICA</v>
      </c>
    </row>
    <row r="1997" spans="1:9" x14ac:dyDescent="0.25">
      <c r="A1997" s="6">
        <v>43516</v>
      </c>
      <c r="B1997" t="s">
        <v>26</v>
      </c>
      <c r="C1997">
        <v>60197</v>
      </c>
      <c r="D1997" t="s">
        <v>61</v>
      </c>
      <c r="E1997" s="7">
        <v>500</v>
      </c>
      <c r="F1997" t="s">
        <v>20</v>
      </c>
      <c r="G1997" t="s">
        <v>21</v>
      </c>
      <c r="H1997" t="str">
        <f>"045-251221"</f>
        <v>045-251221</v>
      </c>
      <c r="I1997" t="str">
        <f>"TYLER TECHNOLOGIES  INC."</f>
        <v>TYLER TECHNOLOGIES  INC.</v>
      </c>
    </row>
    <row r="1998" spans="1:9" x14ac:dyDescent="0.25">
      <c r="A1998" s="6">
        <v>43516</v>
      </c>
      <c r="B1998" t="s">
        <v>26</v>
      </c>
      <c r="C1998">
        <v>60198</v>
      </c>
      <c r="D1998" t="s">
        <v>62</v>
      </c>
      <c r="E1998" s="7">
        <v>210</v>
      </c>
      <c r="F1998" t="s">
        <v>20</v>
      </c>
      <c r="G1998" t="s">
        <v>21</v>
      </c>
      <c r="H1998" t="str">
        <f>"62456"</f>
        <v>62456</v>
      </c>
      <c r="I1998" t="str">
        <f>"PROFICIENT BENEFIT SOLUTIONS"</f>
        <v>PROFICIENT BENEFIT SOLUTIONS</v>
      </c>
    </row>
    <row r="1999" spans="1:9" x14ac:dyDescent="0.25">
      <c r="A1999" s="6">
        <v>43516</v>
      </c>
      <c r="B1999" t="s">
        <v>26</v>
      </c>
      <c r="C1999">
        <v>60199</v>
      </c>
      <c r="D1999" t="s">
        <v>115</v>
      </c>
      <c r="E1999" s="7">
        <v>64.989999999999995</v>
      </c>
      <c r="F1999" t="s">
        <v>20</v>
      </c>
      <c r="G1999" t="s">
        <v>21</v>
      </c>
      <c r="H1999" t="str">
        <f>"3547349252"</f>
        <v>3547349252</v>
      </c>
      <c r="I1999" t="str">
        <f>"BATTERY"</f>
        <v>BATTERY</v>
      </c>
    </row>
    <row r="2000" spans="1:9" x14ac:dyDescent="0.25">
      <c r="A2000" s="6">
        <v>43516</v>
      </c>
      <c r="B2000" t="s">
        <v>26</v>
      </c>
      <c r="C2000">
        <v>60200</v>
      </c>
      <c r="D2000" t="s">
        <v>63</v>
      </c>
      <c r="E2000" s="7">
        <v>297</v>
      </c>
      <c r="F2000" t="s">
        <v>20</v>
      </c>
      <c r="G2000" t="s">
        <v>21</v>
      </c>
      <c r="H2000" t="str">
        <f>"8404007614"</f>
        <v>8404007614</v>
      </c>
      <c r="I2000" t="str">
        <f>"CINTAS CORPORATION"</f>
        <v>CINTAS CORPORATION</v>
      </c>
    </row>
    <row r="2001" spans="1:9" x14ac:dyDescent="0.25">
      <c r="A2001" s="6">
        <v>43516</v>
      </c>
      <c r="B2001" t="s">
        <v>26</v>
      </c>
      <c r="C2001">
        <v>60201</v>
      </c>
      <c r="D2001" t="s">
        <v>117</v>
      </c>
      <c r="E2001" s="7">
        <v>599.39</v>
      </c>
      <c r="F2001" t="s">
        <v>20</v>
      </c>
      <c r="G2001" t="s">
        <v>21</v>
      </c>
      <c r="H2001" t="str">
        <f>"12/2018"</f>
        <v>12/2018</v>
      </c>
      <c r="I2001" t="str">
        <f>"LINEBARGER GOGGAN BLAIR &amp; SAMP"</f>
        <v>LINEBARGER GOGGAN BLAIR &amp; SAMP</v>
      </c>
    </row>
    <row r="2002" spans="1:9" x14ac:dyDescent="0.25">
      <c r="A2002" s="6">
        <v>43516</v>
      </c>
      <c r="B2002" t="s">
        <v>26</v>
      </c>
      <c r="C2002">
        <v>60202</v>
      </c>
      <c r="D2002" t="s">
        <v>213</v>
      </c>
      <c r="E2002" s="7">
        <v>10623.38</v>
      </c>
      <c r="F2002" t="s">
        <v>20</v>
      </c>
      <c r="G2002" t="s">
        <v>21</v>
      </c>
      <c r="H2002" t="str">
        <f>"JANUARY 2019"</f>
        <v>JANUARY 2019</v>
      </c>
      <c r="I2002" t="str">
        <f>"RIVER BEND COMMUNITY DEVELOPME"</f>
        <v>RIVER BEND COMMUNITY DEVELOPME</v>
      </c>
    </row>
    <row r="2003" spans="1:9" x14ac:dyDescent="0.25">
      <c r="A2003" s="6">
        <v>43516</v>
      </c>
      <c r="B2003" t="s">
        <v>26</v>
      </c>
      <c r="C2003">
        <v>60203</v>
      </c>
      <c r="D2003" t="s">
        <v>66</v>
      </c>
      <c r="E2003" s="7">
        <v>550.38</v>
      </c>
      <c r="F2003" t="s">
        <v>20</v>
      </c>
      <c r="G2003" t="s">
        <v>21</v>
      </c>
      <c r="H2003" t="str">
        <f>"54459"</f>
        <v>54459</v>
      </c>
      <c r="I2003" t="str">
        <f>"LOPEZ EXTERMINATING SERVICE  I"</f>
        <v>LOPEZ EXTERMINATING SERVICE  I</v>
      </c>
    </row>
    <row r="2004" spans="1:9" x14ac:dyDescent="0.25">
      <c r="A2004" s="6">
        <v>43516</v>
      </c>
      <c r="B2004" t="s">
        <v>26</v>
      </c>
      <c r="C2004">
        <v>60203</v>
      </c>
      <c r="D2004" t="s">
        <v>66</v>
      </c>
      <c r="E2004" s="7">
        <v>550.38</v>
      </c>
      <c r="F2004" t="s">
        <v>20</v>
      </c>
      <c r="G2004" t="s">
        <v>21</v>
      </c>
      <c r="H2004" t="str">
        <f>"54465"</f>
        <v>54465</v>
      </c>
      <c r="I2004" t="str">
        <f>"LOPEZ EXTERMINATING SERVICE  I"</f>
        <v>LOPEZ EXTERMINATING SERVICE  I</v>
      </c>
    </row>
    <row r="2005" spans="1:9" x14ac:dyDescent="0.25">
      <c r="A2005" s="6">
        <v>43516</v>
      </c>
      <c r="B2005" t="s">
        <v>26</v>
      </c>
      <c r="C2005">
        <v>60204</v>
      </c>
      <c r="D2005" t="s">
        <v>120</v>
      </c>
      <c r="E2005" s="7">
        <v>1812.67</v>
      </c>
      <c r="F2005" t="s">
        <v>20</v>
      </c>
      <c r="G2005" t="s">
        <v>21</v>
      </c>
      <c r="H2005" t="str">
        <f>"71035174"</f>
        <v>71035174</v>
      </c>
      <c r="I2005" t="str">
        <f>"VERIZON BUSINESS"</f>
        <v>VERIZON BUSINESS</v>
      </c>
    </row>
    <row r="2006" spans="1:9" x14ac:dyDescent="0.25">
      <c r="A2006" s="6">
        <v>43516</v>
      </c>
      <c r="B2006" t="s">
        <v>26</v>
      </c>
      <c r="C2006">
        <v>60204</v>
      </c>
      <c r="D2006" t="s">
        <v>120</v>
      </c>
      <c r="E2006" s="7">
        <v>1812.67</v>
      </c>
      <c r="F2006" t="s">
        <v>20</v>
      </c>
      <c r="G2006" t="s">
        <v>21</v>
      </c>
      <c r="H2006" t="str">
        <f>"71035868"</f>
        <v>71035868</v>
      </c>
      <c r="I2006" t="str">
        <f>"VERIZON BUSINESS"</f>
        <v>VERIZON BUSINESS</v>
      </c>
    </row>
    <row r="2007" spans="1:9" x14ac:dyDescent="0.25">
      <c r="A2007" s="6">
        <v>43516</v>
      </c>
      <c r="B2007" t="s">
        <v>26</v>
      </c>
      <c r="C2007">
        <v>60205</v>
      </c>
      <c r="D2007" t="s">
        <v>29</v>
      </c>
      <c r="E2007" s="7">
        <v>1480</v>
      </c>
      <c r="F2007" t="s">
        <v>20</v>
      </c>
      <c r="G2007" t="s">
        <v>21</v>
      </c>
      <c r="H2007" t="str">
        <f>"35303"</f>
        <v>35303</v>
      </c>
      <c r="I2007" t="str">
        <f>"M &amp; S ENGINEERING  LLC"</f>
        <v>M &amp; S ENGINEERING  LLC</v>
      </c>
    </row>
    <row r="2008" spans="1:9" x14ac:dyDescent="0.25">
      <c r="A2008" s="6">
        <v>43516</v>
      </c>
      <c r="B2008" t="s">
        <v>26</v>
      </c>
      <c r="C2008">
        <v>60206</v>
      </c>
      <c r="D2008" t="s">
        <v>170</v>
      </c>
      <c r="E2008" s="7">
        <v>2308</v>
      </c>
      <c r="F2008" t="s">
        <v>20</v>
      </c>
      <c r="G2008" t="s">
        <v>21</v>
      </c>
      <c r="H2008" t="str">
        <f>"0000030515"</f>
        <v>0000030515</v>
      </c>
      <c r="I2008" t="str">
        <f>"BARRETT &amp; SONS  INC."</f>
        <v>BARRETT &amp; SONS  INC.</v>
      </c>
    </row>
    <row r="2009" spans="1:9" x14ac:dyDescent="0.25">
      <c r="A2009" s="6">
        <v>43516</v>
      </c>
      <c r="B2009" t="s">
        <v>26</v>
      </c>
      <c r="C2009">
        <v>60207</v>
      </c>
      <c r="D2009" t="s">
        <v>156</v>
      </c>
      <c r="E2009" s="7">
        <v>300</v>
      </c>
      <c r="F2009" t="s">
        <v>20</v>
      </c>
      <c r="G2009" t="s">
        <v>21</v>
      </c>
      <c r="H2009" t="str">
        <f>"2/20/2019"</f>
        <v>2/20/2019</v>
      </c>
      <c r="I2009" t="str">
        <f>"GLI DISTRIBUTING"</f>
        <v>GLI DISTRIBUTING</v>
      </c>
    </row>
    <row r="2010" spans="1:9" x14ac:dyDescent="0.25">
      <c r="A2010" s="6">
        <v>43516</v>
      </c>
      <c r="B2010" t="s">
        <v>26</v>
      </c>
      <c r="C2010">
        <v>60208</v>
      </c>
      <c r="D2010" t="s">
        <v>215</v>
      </c>
      <c r="E2010" s="7">
        <v>2360</v>
      </c>
      <c r="F2010" t="s">
        <v>20</v>
      </c>
      <c r="G2010" t="s">
        <v>21</v>
      </c>
      <c r="H2010" t="str">
        <f>"578532"</f>
        <v>578532</v>
      </c>
      <c r="I2010" t="str">
        <f>"UPGRADE T6 PUMP"</f>
        <v>UPGRADE T6 PUMP</v>
      </c>
    </row>
    <row r="2011" spans="1:9" x14ac:dyDescent="0.25">
      <c r="A2011" s="6">
        <v>43516</v>
      </c>
      <c r="B2011" t="s">
        <v>26</v>
      </c>
      <c r="C2011">
        <v>60209</v>
      </c>
      <c r="D2011" t="s">
        <v>75</v>
      </c>
      <c r="E2011" s="7">
        <v>574.91</v>
      </c>
      <c r="F2011" t="s">
        <v>20</v>
      </c>
      <c r="G2011" t="s">
        <v>21</v>
      </c>
      <c r="H2011" t="str">
        <f>"100628296"</f>
        <v>100628296</v>
      </c>
      <c r="I2011" t="str">
        <f>"TRACTOR SUPPLY CREDIT PLAN"</f>
        <v>TRACTOR SUPPLY CREDIT PLAN</v>
      </c>
    </row>
    <row r="2012" spans="1:9" x14ac:dyDescent="0.25">
      <c r="A2012" s="6">
        <v>43516</v>
      </c>
      <c r="B2012" t="s">
        <v>26</v>
      </c>
      <c r="C2012">
        <v>60210</v>
      </c>
      <c r="D2012" t="s">
        <v>76</v>
      </c>
      <c r="E2012" s="7">
        <v>2393.2199999999998</v>
      </c>
      <c r="F2012" t="s">
        <v>20</v>
      </c>
      <c r="G2012" t="s">
        <v>21</v>
      </c>
      <c r="H2012" t="str">
        <f>"1021"</f>
        <v>1021</v>
      </c>
      <c r="I2012" t="str">
        <f>"WILSON COUNTY TAX COLLECTOR"</f>
        <v>WILSON COUNTY TAX COLLECTOR</v>
      </c>
    </row>
    <row r="2013" spans="1:9" x14ac:dyDescent="0.25">
      <c r="A2013" s="6">
        <v>43516</v>
      </c>
      <c r="B2013" t="s">
        <v>26</v>
      </c>
      <c r="C2013">
        <v>60211</v>
      </c>
      <c r="D2013" t="s">
        <v>77</v>
      </c>
      <c r="E2013" s="7">
        <v>2659.5</v>
      </c>
      <c r="F2013" t="s">
        <v>20</v>
      </c>
      <c r="G2013" t="s">
        <v>21</v>
      </c>
      <c r="H2013" t="str">
        <f>"857000155-19"</f>
        <v>857000155-19</v>
      </c>
      <c r="I2013" t="str">
        <f>"CHLORINE"</f>
        <v>CHLORINE</v>
      </c>
    </row>
    <row r="2014" spans="1:9" x14ac:dyDescent="0.25">
      <c r="A2014" s="6">
        <v>43516</v>
      </c>
      <c r="B2014" t="s">
        <v>26</v>
      </c>
      <c r="C2014">
        <v>60211</v>
      </c>
      <c r="D2014" t="s">
        <v>77</v>
      </c>
      <c r="E2014" s="7">
        <v>2659.5</v>
      </c>
      <c r="F2014" t="s">
        <v>20</v>
      </c>
      <c r="G2014" t="s">
        <v>21</v>
      </c>
      <c r="H2014" t="str">
        <f>"857000207-19"</f>
        <v>857000207-19</v>
      </c>
      <c r="I2014" t="str">
        <f>"DPC INDUSTRIES  INC."</f>
        <v>DPC INDUSTRIES  INC.</v>
      </c>
    </row>
    <row r="2015" spans="1:9" x14ac:dyDescent="0.25">
      <c r="A2015" s="6">
        <v>43516</v>
      </c>
      <c r="B2015" t="s">
        <v>26</v>
      </c>
      <c r="C2015">
        <v>60211</v>
      </c>
      <c r="D2015" t="s">
        <v>77</v>
      </c>
      <c r="E2015" s="7">
        <v>2659.5</v>
      </c>
      <c r="F2015" t="s">
        <v>20</v>
      </c>
      <c r="G2015" t="s">
        <v>21</v>
      </c>
      <c r="H2015" t="str">
        <f>"857000210-9"</f>
        <v>857000210-9</v>
      </c>
      <c r="I2015" t="str">
        <f>"CHLORINE"</f>
        <v>CHLORINE</v>
      </c>
    </row>
    <row r="2016" spans="1:9" x14ac:dyDescent="0.25">
      <c r="A2016" s="6">
        <v>43516</v>
      </c>
      <c r="B2016" t="s">
        <v>26</v>
      </c>
      <c r="C2016">
        <v>60211</v>
      </c>
      <c r="D2016" t="s">
        <v>77</v>
      </c>
      <c r="E2016" s="7">
        <v>2659.5</v>
      </c>
      <c r="F2016" t="s">
        <v>20</v>
      </c>
      <c r="G2016" t="s">
        <v>21</v>
      </c>
      <c r="H2016" t="str">
        <f>"DE85000022-19"</f>
        <v>DE85000022-19</v>
      </c>
      <c r="I2016" t="str">
        <f>"DPC INDUSTRIES  INC."</f>
        <v>DPC INDUSTRIES  INC.</v>
      </c>
    </row>
    <row r="2017" spans="1:11" x14ac:dyDescent="0.25">
      <c r="A2017" s="6">
        <v>43516</v>
      </c>
      <c r="B2017" t="s">
        <v>26</v>
      </c>
      <c r="C2017">
        <v>60211</v>
      </c>
      <c r="D2017" t="s">
        <v>77</v>
      </c>
      <c r="E2017" s="7">
        <v>2659.5</v>
      </c>
      <c r="F2017" t="s">
        <v>20</v>
      </c>
      <c r="G2017" t="s">
        <v>21</v>
      </c>
      <c r="H2017" t="str">
        <f>"DE85000228-19"</f>
        <v>DE85000228-19</v>
      </c>
      <c r="I2017" t="str">
        <f>"DPC INDUSTRIES  INC."</f>
        <v>DPC INDUSTRIES  INC.</v>
      </c>
    </row>
    <row r="2018" spans="1:11" x14ac:dyDescent="0.25">
      <c r="A2018" s="6">
        <v>43516</v>
      </c>
      <c r="B2018" t="s">
        <v>26</v>
      </c>
      <c r="C2018">
        <v>60213</v>
      </c>
      <c r="D2018" t="s">
        <v>124</v>
      </c>
      <c r="E2018" s="7">
        <v>622.01</v>
      </c>
      <c r="F2018" t="s">
        <v>20</v>
      </c>
      <c r="G2018" t="s">
        <v>21</v>
      </c>
      <c r="H2018" t="str">
        <f>"11169225"</f>
        <v>11169225</v>
      </c>
      <c r="I2018" t="str">
        <f>"CONCRETE MIX/PALLET"</f>
        <v>CONCRETE MIX/PALLET</v>
      </c>
    </row>
    <row r="2019" spans="1:11" x14ac:dyDescent="0.25">
      <c r="A2019" s="6">
        <v>43516</v>
      </c>
      <c r="B2019" t="s">
        <v>26</v>
      </c>
      <c r="C2019">
        <v>60213</v>
      </c>
      <c r="D2019" t="s">
        <v>124</v>
      </c>
      <c r="E2019" s="7">
        <v>622.01</v>
      </c>
      <c r="F2019" t="s">
        <v>20</v>
      </c>
      <c r="G2019" t="s">
        <v>21</v>
      </c>
      <c r="H2019" t="str">
        <f>"11169998"</f>
        <v>11169998</v>
      </c>
      <c r="I2019" t="str">
        <f>"BLADES/PAINT"</f>
        <v>BLADES/PAINT</v>
      </c>
    </row>
    <row r="2020" spans="1:11" x14ac:dyDescent="0.25">
      <c r="A2020" s="6">
        <v>43516</v>
      </c>
      <c r="B2020" t="s">
        <v>26</v>
      </c>
      <c r="C2020">
        <v>60214</v>
      </c>
      <c r="D2020" t="s">
        <v>534</v>
      </c>
      <c r="E2020" s="7">
        <v>107.17</v>
      </c>
      <c r="F2020" t="s">
        <v>20</v>
      </c>
      <c r="G2020" t="s">
        <v>21</v>
      </c>
      <c r="H2020" t="str">
        <f>"8404008593"</f>
        <v>8404008593</v>
      </c>
      <c r="I2020" t="str">
        <f>"CINTAS CORPORATION NO. 2"</f>
        <v>CINTAS CORPORATION NO. 2</v>
      </c>
    </row>
    <row r="2021" spans="1:11" x14ac:dyDescent="0.25">
      <c r="A2021" s="6">
        <v>43516</v>
      </c>
      <c r="B2021" t="s">
        <v>26</v>
      </c>
      <c r="C2021">
        <v>60215</v>
      </c>
      <c r="D2021" t="s">
        <v>125</v>
      </c>
      <c r="E2021" s="7">
        <v>890</v>
      </c>
      <c r="F2021" t="s">
        <v>20</v>
      </c>
      <c r="G2021" t="s">
        <v>21</v>
      </c>
      <c r="H2021" t="str">
        <f>"18-0202 JAN.2019"</f>
        <v>18-0202 JAN.2019</v>
      </c>
      <c r="I2021" t="str">
        <f>"INTREPID SURVEYING CORPORATION"</f>
        <v>INTREPID SURVEYING CORPORATION</v>
      </c>
    </row>
    <row r="2022" spans="1:11" x14ac:dyDescent="0.25">
      <c r="A2022" s="6">
        <v>43516</v>
      </c>
      <c r="B2022" t="s">
        <v>26</v>
      </c>
      <c r="C2022">
        <v>60215</v>
      </c>
      <c r="D2022" t="s">
        <v>125</v>
      </c>
      <c r="E2022" s="7">
        <v>890</v>
      </c>
      <c r="F2022" t="s">
        <v>20</v>
      </c>
      <c r="G2022" t="s">
        <v>21</v>
      </c>
      <c r="H2022" t="str">
        <f>"19-0017"</f>
        <v>19-0017</v>
      </c>
      <c r="I2022" t="str">
        <f>"INTREPID SURVEYING CORPORATION"</f>
        <v>INTREPID SURVEYING CORPORATION</v>
      </c>
    </row>
    <row r="2023" spans="1:11" x14ac:dyDescent="0.25">
      <c r="A2023" s="6">
        <v>43516</v>
      </c>
      <c r="B2023" t="s">
        <v>26</v>
      </c>
      <c r="C2023">
        <v>60216</v>
      </c>
      <c r="D2023" t="s">
        <v>157</v>
      </c>
      <c r="E2023" s="7">
        <v>276.11</v>
      </c>
      <c r="F2023" t="s">
        <v>20</v>
      </c>
      <c r="G2023" t="s">
        <v>21</v>
      </c>
      <c r="H2023" t="str">
        <f>"2/20/2019"</f>
        <v>2/20/2019</v>
      </c>
      <c r="I2023" t="str">
        <f>"GLAZIERS"</f>
        <v>GLAZIERS</v>
      </c>
    </row>
    <row r="2024" spans="1:11" x14ac:dyDescent="0.25">
      <c r="A2024" s="6">
        <v>43516</v>
      </c>
      <c r="B2024" t="s">
        <v>26</v>
      </c>
      <c r="C2024">
        <v>60217</v>
      </c>
      <c r="D2024" t="s">
        <v>126</v>
      </c>
      <c r="E2024" s="7">
        <v>86879.41</v>
      </c>
      <c r="F2024" t="s">
        <v>20</v>
      </c>
      <c r="G2024" t="s">
        <v>21</v>
      </c>
      <c r="H2024" t="str">
        <f>"0859-002220327"</f>
        <v>0859-002220327</v>
      </c>
      <c r="I2024" t="str">
        <f>"REPUBLIC SERVICES #859"</f>
        <v>REPUBLIC SERVICES #859</v>
      </c>
    </row>
    <row r="2025" spans="1:11" x14ac:dyDescent="0.25">
      <c r="A2025" s="6">
        <v>43516</v>
      </c>
      <c r="B2025" t="s">
        <v>26</v>
      </c>
      <c r="C2025">
        <v>60217</v>
      </c>
      <c r="D2025" t="s">
        <v>126</v>
      </c>
      <c r="E2025" s="7">
        <v>86879.41</v>
      </c>
      <c r="F2025" t="s">
        <v>20</v>
      </c>
      <c r="G2025" t="s">
        <v>21</v>
      </c>
      <c r="H2025" t="str">
        <f>"0859-002224230"</f>
        <v>0859-002224230</v>
      </c>
      <c r="I2025" t="str">
        <f>"REPUBLIC SERVICES #859"</f>
        <v>REPUBLIC SERVICES #859</v>
      </c>
    </row>
    <row r="2026" spans="1:11" x14ac:dyDescent="0.25">
      <c r="A2026" s="6">
        <v>43516</v>
      </c>
      <c r="B2026" t="s">
        <v>26</v>
      </c>
      <c r="C2026">
        <v>60218</v>
      </c>
      <c r="D2026" t="s">
        <v>79</v>
      </c>
      <c r="E2026" s="7">
        <v>6.15</v>
      </c>
      <c r="F2026" t="s">
        <v>20</v>
      </c>
      <c r="G2026" t="s">
        <v>21</v>
      </c>
      <c r="H2026" t="str">
        <f>"6-453-86294"</f>
        <v>6-453-86294</v>
      </c>
      <c r="I2026" t="str">
        <f>"FEDEX"</f>
        <v>FEDEX</v>
      </c>
    </row>
    <row r="2027" spans="1:11" x14ac:dyDescent="0.25">
      <c r="A2027" s="6">
        <v>43516</v>
      </c>
      <c r="B2027" t="s">
        <v>26</v>
      </c>
      <c r="C2027">
        <v>60219</v>
      </c>
      <c r="D2027" t="s">
        <v>139</v>
      </c>
      <c r="E2027" s="7">
        <v>65</v>
      </c>
      <c r="F2027" t="s">
        <v>20</v>
      </c>
      <c r="G2027" t="s">
        <v>21</v>
      </c>
      <c r="H2027" t="str">
        <f>"25575"</f>
        <v>25575</v>
      </c>
      <c r="I2027" t="str">
        <f>"ANGEL FIRE &amp; SAFETY"</f>
        <v>ANGEL FIRE &amp; SAFETY</v>
      </c>
    </row>
    <row r="2028" spans="1:11" x14ac:dyDescent="0.25">
      <c r="A2028" s="6">
        <v>43516</v>
      </c>
      <c r="B2028" t="s">
        <v>26</v>
      </c>
      <c r="C2028">
        <v>60220</v>
      </c>
      <c r="D2028" t="s">
        <v>82</v>
      </c>
      <c r="E2028" s="7">
        <v>242</v>
      </c>
      <c r="F2028" t="s">
        <v>20</v>
      </c>
      <c r="G2028" t="s">
        <v>21</v>
      </c>
      <c r="H2028" t="str">
        <f>"SI-1033694"</f>
        <v>SI-1033694</v>
      </c>
      <c r="I2028" t="str">
        <f>"SERVEILLANCE EQUIPMENT"</f>
        <v>SERVEILLANCE EQUIPMENT</v>
      </c>
    </row>
    <row r="2029" spans="1:11" x14ac:dyDescent="0.25">
      <c r="A2029" s="6">
        <v>43516</v>
      </c>
      <c r="B2029" t="s">
        <v>26</v>
      </c>
      <c r="C2029">
        <v>60220</v>
      </c>
      <c r="D2029" t="s">
        <v>82</v>
      </c>
      <c r="E2029" s="7">
        <v>242</v>
      </c>
      <c r="F2029" t="s">
        <v>20</v>
      </c>
      <c r="G2029" t="s">
        <v>21</v>
      </c>
      <c r="H2029" t="str">
        <f>"SI-1033695"</f>
        <v>SI-1033695</v>
      </c>
      <c r="I2029" t="str">
        <f>"MONITOR"</f>
        <v>MONITOR</v>
      </c>
    </row>
    <row r="2030" spans="1:11" x14ac:dyDescent="0.25">
      <c r="A2030" s="6">
        <v>43516</v>
      </c>
      <c r="B2030" t="s">
        <v>26</v>
      </c>
      <c r="C2030">
        <v>60221</v>
      </c>
      <c r="D2030" t="s">
        <v>153</v>
      </c>
      <c r="E2030" s="7">
        <v>1500</v>
      </c>
      <c r="F2030" t="s">
        <v>20</v>
      </c>
      <c r="G2030" t="s">
        <v>21</v>
      </c>
      <c r="H2030" t="s">
        <v>677</v>
      </c>
      <c r="I2030" t="s">
        <v>678</v>
      </c>
      <c r="J2030">
        <v>1500</v>
      </c>
      <c r="K2030" t="str">
        <f>""</f>
        <v/>
      </c>
    </row>
    <row r="2031" spans="1:11" x14ac:dyDescent="0.25">
      <c r="A2031" s="6">
        <v>43516</v>
      </c>
      <c r="B2031" t="s">
        <v>26</v>
      </c>
      <c r="C2031">
        <v>60222</v>
      </c>
      <c r="D2031" t="s">
        <v>85</v>
      </c>
      <c r="E2031" s="7">
        <v>2021.88</v>
      </c>
      <c r="F2031" t="s">
        <v>20</v>
      </c>
      <c r="G2031" t="s">
        <v>21</v>
      </c>
      <c r="H2031" t="str">
        <f>"3934055 2/2019"</f>
        <v>3934055 2/2019</v>
      </c>
      <c r="I2031" t="str">
        <f>"FRONTIER"</f>
        <v>FRONTIER</v>
      </c>
    </row>
    <row r="2032" spans="1:11" x14ac:dyDescent="0.25">
      <c r="A2032" s="6">
        <v>43516</v>
      </c>
      <c r="B2032" t="s">
        <v>26</v>
      </c>
      <c r="C2032">
        <v>60222</v>
      </c>
      <c r="D2032" t="s">
        <v>85</v>
      </c>
      <c r="E2032" s="7">
        <v>2021.88</v>
      </c>
      <c r="F2032" t="s">
        <v>20</v>
      </c>
      <c r="G2032" t="s">
        <v>21</v>
      </c>
      <c r="H2032" t="str">
        <f>"3938193 2/2019"</f>
        <v>3938193 2/2019</v>
      </c>
      <c r="I2032" t="str">
        <f>"FRONTIER"</f>
        <v>FRONTIER</v>
      </c>
    </row>
    <row r="2033" spans="1:9" x14ac:dyDescent="0.25">
      <c r="A2033" s="6">
        <v>43516</v>
      </c>
      <c r="B2033" t="s">
        <v>26</v>
      </c>
      <c r="C2033">
        <v>60222</v>
      </c>
      <c r="D2033" t="s">
        <v>85</v>
      </c>
      <c r="E2033" s="7">
        <v>2021.88</v>
      </c>
      <c r="F2033" t="s">
        <v>20</v>
      </c>
      <c r="G2033" t="s">
        <v>21</v>
      </c>
      <c r="H2033" t="str">
        <f>"8301970021 2/2019"</f>
        <v>8301970021 2/2019</v>
      </c>
      <c r="I2033" t="str">
        <f>"FRONTIER"</f>
        <v>FRONTIER</v>
      </c>
    </row>
    <row r="2034" spans="1:9" x14ac:dyDescent="0.25">
      <c r="A2034" s="6">
        <v>43516</v>
      </c>
      <c r="B2034" t="s">
        <v>26</v>
      </c>
      <c r="C2034">
        <v>60223</v>
      </c>
      <c r="D2034" t="s">
        <v>175</v>
      </c>
      <c r="E2034" s="7">
        <v>500</v>
      </c>
      <c r="F2034" t="s">
        <v>20</v>
      </c>
      <c r="G2034" t="s">
        <v>21</v>
      </c>
      <c r="H2034" t="str">
        <f>"151433"</f>
        <v>151433</v>
      </c>
      <c r="I2034" t="str">
        <f>"AMER TECHNOLOGY  INC."</f>
        <v>AMER TECHNOLOGY  INC.</v>
      </c>
    </row>
    <row r="2035" spans="1:9" x14ac:dyDescent="0.25">
      <c r="A2035" s="6">
        <v>43516</v>
      </c>
      <c r="B2035" t="s">
        <v>26</v>
      </c>
      <c r="C2035">
        <v>60224</v>
      </c>
      <c r="D2035" t="s">
        <v>46</v>
      </c>
      <c r="E2035" s="7">
        <v>11000</v>
      </c>
      <c r="F2035" t="s">
        <v>20</v>
      </c>
      <c r="G2035" t="s">
        <v>21</v>
      </c>
      <c r="H2035" t="str">
        <f>"9659"</f>
        <v>9659</v>
      </c>
      <c r="I2035" t="str">
        <f>"HAYES ENGINEERING  INC"</f>
        <v>HAYES ENGINEERING  INC</v>
      </c>
    </row>
    <row r="2036" spans="1:9" x14ac:dyDescent="0.25">
      <c r="A2036" s="6">
        <v>43516</v>
      </c>
      <c r="B2036" t="s">
        <v>26</v>
      </c>
      <c r="C2036">
        <v>60225</v>
      </c>
      <c r="D2036" t="s">
        <v>326</v>
      </c>
      <c r="E2036" s="7">
        <v>69.2</v>
      </c>
      <c r="F2036" t="s">
        <v>20</v>
      </c>
      <c r="G2036" t="s">
        <v>21</v>
      </c>
      <c r="H2036" t="str">
        <f>"19027167"</f>
        <v>19027167</v>
      </c>
      <c r="I2036" t="str">
        <f>"OXYGEN"</f>
        <v>OXYGEN</v>
      </c>
    </row>
    <row r="2037" spans="1:9" x14ac:dyDescent="0.25">
      <c r="A2037" s="6">
        <v>43516</v>
      </c>
      <c r="B2037" t="s">
        <v>26</v>
      </c>
      <c r="C2037">
        <v>60225</v>
      </c>
      <c r="D2037" t="s">
        <v>326</v>
      </c>
      <c r="E2037" s="7">
        <v>69.2</v>
      </c>
      <c r="F2037" t="s">
        <v>20</v>
      </c>
      <c r="G2037" t="s">
        <v>21</v>
      </c>
      <c r="H2037" t="str">
        <f>"19092776"</f>
        <v>19092776</v>
      </c>
      <c r="I2037" t="str">
        <f>"MATHESON TRI-GAS INC"</f>
        <v>MATHESON TRI-GAS INC</v>
      </c>
    </row>
    <row r="2038" spans="1:9" x14ac:dyDescent="0.25">
      <c r="A2038" s="6">
        <v>43516</v>
      </c>
      <c r="B2038" t="s">
        <v>26</v>
      </c>
      <c r="C2038">
        <v>60226</v>
      </c>
      <c r="D2038" t="s">
        <v>38</v>
      </c>
      <c r="E2038" s="7">
        <v>159.4</v>
      </c>
      <c r="F2038" t="s">
        <v>20</v>
      </c>
      <c r="G2038" t="s">
        <v>21</v>
      </c>
      <c r="H2038" t="str">
        <f>"ELEC. OFFI. CONFRC"</f>
        <v>ELEC. OFFI. CONFRC</v>
      </c>
      <c r="I2038" t="str">
        <f>"CECELIA GONZALEZ-DIPPEL"</f>
        <v>CECELIA GONZALEZ-DIPPEL</v>
      </c>
    </row>
    <row r="2039" spans="1:9" x14ac:dyDescent="0.25">
      <c r="A2039" s="6">
        <v>43516</v>
      </c>
      <c r="B2039" t="s">
        <v>26</v>
      </c>
      <c r="C2039">
        <v>60227</v>
      </c>
      <c r="D2039" t="s">
        <v>313</v>
      </c>
      <c r="E2039" s="7">
        <v>62312</v>
      </c>
      <c r="F2039" t="s">
        <v>20</v>
      </c>
      <c r="G2039" t="s">
        <v>21</v>
      </c>
      <c r="H2039" t="str">
        <f>"EC BLDG SALES TAX"</f>
        <v>EC BLDG SALES TAX</v>
      </c>
      <c r="I2039" t="s">
        <v>498</v>
      </c>
    </row>
    <row r="2040" spans="1:9" x14ac:dyDescent="0.25">
      <c r="A2040" s="6">
        <v>43516</v>
      </c>
      <c r="B2040" t="s">
        <v>26</v>
      </c>
      <c r="C2040">
        <v>60228</v>
      </c>
      <c r="D2040" t="s">
        <v>345</v>
      </c>
      <c r="E2040" s="7">
        <v>478.5</v>
      </c>
      <c r="F2040" t="s">
        <v>20</v>
      </c>
      <c r="G2040" t="s">
        <v>21</v>
      </c>
      <c r="H2040" t="str">
        <f>"2/16/2019"</f>
        <v>2/16/2019</v>
      </c>
      <c r="I2040" t="str">
        <f>"MICHAEL ISAAC MARTINEZ"</f>
        <v>MICHAEL ISAAC MARTINEZ</v>
      </c>
    </row>
    <row r="2041" spans="1:9" x14ac:dyDescent="0.25">
      <c r="A2041" s="6">
        <v>43516</v>
      </c>
      <c r="B2041" t="s">
        <v>26</v>
      </c>
      <c r="C2041">
        <v>60229</v>
      </c>
      <c r="D2041" t="s">
        <v>584</v>
      </c>
      <c r="E2041" s="7">
        <v>50</v>
      </c>
      <c r="F2041" t="s">
        <v>20</v>
      </c>
      <c r="G2041" t="s">
        <v>21</v>
      </c>
      <c r="H2041" t="str">
        <f>"2/16/2019"</f>
        <v>2/16/2019</v>
      </c>
      <c r="I2041" t="str">
        <f>"AMANDA SENDEJO"</f>
        <v>AMANDA SENDEJO</v>
      </c>
    </row>
    <row r="2042" spans="1:9" x14ac:dyDescent="0.25">
      <c r="A2042" s="6">
        <v>43516</v>
      </c>
      <c r="B2042" t="s">
        <v>26</v>
      </c>
      <c r="C2042">
        <v>60230</v>
      </c>
      <c r="D2042" t="s">
        <v>288</v>
      </c>
      <c r="E2042" s="7">
        <v>1394</v>
      </c>
      <c r="F2042" t="s">
        <v>20</v>
      </c>
      <c r="G2042" t="s">
        <v>21</v>
      </c>
      <c r="H2042" t="str">
        <f>"SI-1572361"</f>
        <v>SI-1572361</v>
      </c>
      <c r="I2042" t="str">
        <f>"TASER CARTRIDGES/BATTERY"</f>
        <v>TASER CARTRIDGES/BATTERY</v>
      </c>
    </row>
    <row r="2043" spans="1:9" x14ac:dyDescent="0.25">
      <c r="A2043" s="6">
        <v>43516</v>
      </c>
      <c r="B2043" t="s">
        <v>26</v>
      </c>
      <c r="C2043">
        <v>60231</v>
      </c>
      <c r="D2043" t="s">
        <v>554</v>
      </c>
      <c r="E2043" s="7">
        <v>74.95</v>
      </c>
      <c r="F2043" t="s">
        <v>20</v>
      </c>
      <c r="G2043" t="s">
        <v>21</v>
      </c>
      <c r="H2043" t="str">
        <f>"AA15457"</f>
        <v>AA15457</v>
      </c>
      <c r="I2043" t="str">
        <f>"TEXAS WIRED MUSIC"</f>
        <v>TEXAS WIRED MUSIC</v>
      </c>
    </row>
    <row r="2044" spans="1:9" x14ac:dyDescent="0.25">
      <c r="A2044" s="6">
        <v>43516</v>
      </c>
      <c r="B2044" t="s">
        <v>26</v>
      </c>
      <c r="C2044">
        <v>60232</v>
      </c>
      <c r="D2044" t="s">
        <v>644</v>
      </c>
      <c r="E2044" s="7">
        <v>810.41</v>
      </c>
      <c r="F2044" t="s">
        <v>20</v>
      </c>
      <c r="G2044" t="s">
        <v>21</v>
      </c>
      <c r="H2044" t="str">
        <f>"8213248440"</f>
        <v>8213248440</v>
      </c>
      <c r="I2044" t="str">
        <f t="shared" ref="I2044:I2052" si="34">"UNIFIRST CORPORATION"</f>
        <v>UNIFIRST CORPORATION</v>
      </c>
    </row>
    <row r="2045" spans="1:9" x14ac:dyDescent="0.25">
      <c r="A2045" s="6">
        <v>43516</v>
      </c>
      <c r="B2045" t="s">
        <v>26</v>
      </c>
      <c r="C2045">
        <v>60232</v>
      </c>
      <c r="D2045" t="s">
        <v>644</v>
      </c>
      <c r="E2045" s="7">
        <v>810.41</v>
      </c>
      <c r="F2045" t="s">
        <v>20</v>
      </c>
      <c r="G2045" t="s">
        <v>21</v>
      </c>
      <c r="H2045" t="str">
        <f>"8213251231"</f>
        <v>8213251231</v>
      </c>
      <c r="I2045" t="str">
        <f t="shared" si="34"/>
        <v>UNIFIRST CORPORATION</v>
      </c>
    </row>
    <row r="2046" spans="1:9" x14ac:dyDescent="0.25">
      <c r="A2046" s="6">
        <v>43516</v>
      </c>
      <c r="B2046" t="s">
        <v>26</v>
      </c>
      <c r="C2046">
        <v>60232</v>
      </c>
      <c r="D2046" t="s">
        <v>644</v>
      </c>
      <c r="E2046" s="7">
        <v>810.41</v>
      </c>
      <c r="F2046" t="s">
        <v>20</v>
      </c>
      <c r="G2046" t="s">
        <v>21</v>
      </c>
      <c r="H2046" t="str">
        <f>"8213251232"</f>
        <v>8213251232</v>
      </c>
      <c r="I2046" t="str">
        <f t="shared" si="34"/>
        <v>UNIFIRST CORPORATION</v>
      </c>
    </row>
    <row r="2047" spans="1:9" x14ac:dyDescent="0.25">
      <c r="A2047" s="6">
        <v>43516</v>
      </c>
      <c r="B2047" t="s">
        <v>26</v>
      </c>
      <c r="C2047">
        <v>60232</v>
      </c>
      <c r="D2047" t="s">
        <v>644</v>
      </c>
      <c r="E2047" s="7">
        <v>810.41</v>
      </c>
      <c r="F2047" t="s">
        <v>20</v>
      </c>
      <c r="G2047" t="s">
        <v>21</v>
      </c>
      <c r="H2047" t="str">
        <f>"8213251233"</f>
        <v>8213251233</v>
      </c>
      <c r="I2047" t="str">
        <f t="shared" si="34"/>
        <v>UNIFIRST CORPORATION</v>
      </c>
    </row>
    <row r="2048" spans="1:9" x14ac:dyDescent="0.25">
      <c r="A2048" s="6">
        <v>43516</v>
      </c>
      <c r="B2048" t="s">
        <v>26</v>
      </c>
      <c r="C2048">
        <v>60232</v>
      </c>
      <c r="D2048" t="s">
        <v>644</v>
      </c>
      <c r="E2048" s="7">
        <v>810.41</v>
      </c>
      <c r="F2048" t="s">
        <v>20</v>
      </c>
      <c r="G2048" t="s">
        <v>21</v>
      </c>
      <c r="H2048" t="str">
        <f>"8213251235"</f>
        <v>8213251235</v>
      </c>
      <c r="I2048" t="str">
        <f t="shared" si="34"/>
        <v>UNIFIRST CORPORATION</v>
      </c>
    </row>
    <row r="2049" spans="1:11" x14ac:dyDescent="0.25">
      <c r="A2049" s="6">
        <v>43516</v>
      </c>
      <c r="B2049" t="s">
        <v>26</v>
      </c>
      <c r="C2049">
        <v>60232</v>
      </c>
      <c r="D2049" t="s">
        <v>644</v>
      </c>
      <c r="E2049" s="7">
        <v>810.41</v>
      </c>
      <c r="F2049" t="s">
        <v>20</v>
      </c>
      <c r="G2049" t="s">
        <v>21</v>
      </c>
      <c r="H2049" t="str">
        <f>"8213251236"</f>
        <v>8213251236</v>
      </c>
      <c r="I2049" t="str">
        <f t="shared" si="34"/>
        <v>UNIFIRST CORPORATION</v>
      </c>
    </row>
    <row r="2050" spans="1:11" x14ac:dyDescent="0.25">
      <c r="A2050" s="6">
        <v>43516</v>
      </c>
      <c r="B2050" t="s">
        <v>26</v>
      </c>
      <c r="C2050">
        <v>60232</v>
      </c>
      <c r="D2050" t="s">
        <v>644</v>
      </c>
      <c r="E2050" s="7">
        <v>810.41</v>
      </c>
      <c r="F2050" t="s">
        <v>20</v>
      </c>
      <c r="G2050" t="s">
        <v>21</v>
      </c>
      <c r="H2050" t="str">
        <f>"8213251237"</f>
        <v>8213251237</v>
      </c>
      <c r="I2050" t="str">
        <f t="shared" si="34"/>
        <v>UNIFIRST CORPORATION</v>
      </c>
    </row>
    <row r="2051" spans="1:11" x14ac:dyDescent="0.25">
      <c r="A2051" s="6">
        <v>43516</v>
      </c>
      <c r="B2051" t="s">
        <v>26</v>
      </c>
      <c r="C2051">
        <v>60232</v>
      </c>
      <c r="D2051" t="s">
        <v>644</v>
      </c>
      <c r="E2051" s="7">
        <v>810.41</v>
      </c>
      <c r="F2051" t="s">
        <v>20</v>
      </c>
      <c r="G2051" t="s">
        <v>21</v>
      </c>
      <c r="H2051" t="str">
        <f>"8213251324"</f>
        <v>8213251324</v>
      </c>
      <c r="I2051" t="str">
        <f t="shared" si="34"/>
        <v>UNIFIRST CORPORATION</v>
      </c>
    </row>
    <row r="2052" spans="1:11" x14ac:dyDescent="0.25">
      <c r="A2052" s="6">
        <v>43516</v>
      </c>
      <c r="B2052" t="s">
        <v>26</v>
      </c>
      <c r="C2052">
        <v>60232</v>
      </c>
      <c r="D2052" t="s">
        <v>644</v>
      </c>
      <c r="E2052" s="7">
        <v>810.41</v>
      </c>
      <c r="F2052" t="s">
        <v>20</v>
      </c>
      <c r="G2052" t="s">
        <v>21</v>
      </c>
      <c r="H2052" t="str">
        <f>"8213278928"</f>
        <v>8213278928</v>
      </c>
      <c r="I2052" t="str">
        <f t="shared" si="34"/>
        <v>UNIFIRST CORPORATION</v>
      </c>
    </row>
    <row r="2053" spans="1:11" x14ac:dyDescent="0.25">
      <c r="A2053" s="6">
        <v>43516</v>
      </c>
      <c r="B2053" t="s">
        <v>26</v>
      </c>
      <c r="C2053">
        <v>60234</v>
      </c>
      <c r="D2053" t="s">
        <v>651</v>
      </c>
      <c r="E2053" s="7">
        <v>100</v>
      </c>
      <c r="F2053" t="s">
        <v>20</v>
      </c>
      <c r="G2053" t="s">
        <v>21</v>
      </c>
      <c r="H2053" t="str">
        <f>"2/16/2019"</f>
        <v>2/16/2019</v>
      </c>
      <c r="I2053" t="str">
        <f>"NAZARETH RAMIREZ"</f>
        <v>NAZARETH RAMIREZ</v>
      </c>
    </row>
    <row r="2054" spans="1:11" x14ac:dyDescent="0.25">
      <c r="A2054" s="6">
        <v>43516</v>
      </c>
      <c r="B2054" t="s">
        <v>26</v>
      </c>
      <c r="C2054">
        <v>60235</v>
      </c>
      <c r="D2054" t="s">
        <v>679</v>
      </c>
      <c r="E2054" s="7">
        <v>4532.5</v>
      </c>
      <c r="F2054" t="s">
        <v>20</v>
      </c>
      <c r="G2054" t="s">
        <v>21</v>
      </c>
      <c r="H2054" t="str">
        <f>"38503"</f>
        <v>38503</v>
      </c>
      <c r="I2054" t="str">
        <f>"PROCESS INACTIVE RECORDS"</f>
        <v>PROCESS INACTIVE RECORDS</v>
      </c>
    </row>
    <row r="2055" spans="1:11" x14ac:dyDescent="0.25">
      <c r="A2055" s="6">
        <v>43516</v>
      </c>
      <c r="B2055" t="s">
        <v>26</v>
      </c>
      <c r="C2055">
        <v>60236</v>
      </c>
      <c r="D2055" t="s">
        <v>672</v>
      </c>
      <c r="E2055" s="7">
        <v>50</v>
      </c>
      <c r="F2055" t="s">
        <v>20</v>
      </c>
      <c r="G2055" t="s">
        <v>21</v>
      </c>
      <c r="H2055" t="str">
        <f>"2/16/2019"</f>
        <v>2/16/2019</v>
      </c>
      <c r="I2055" t="str">
        <f>"MICHAEL ANGELO GOMEZ"</f>
        <v>MICHAEL ANGELO GOMEZ</v>
      </c>
    </row>
    <row r="2056" spans="1:11" x14ac:dyDescent="0.25">
      <c r="A2056" s="6">
        <v>43516</v>
      </c>
      <c r="B2056" t="s">
        <v>26</v>
      </c>
      <c r="C2056">
        <v>60237</v>
      </c>
      <c r="D2056" t="s">
        <v>680</v>
      </c>
      <c r="E2056" s="7">
        <v>140</v>
      </c>
      <c r="F2056" t="s">
        <v>20</v>
      </c>
      <c r="G2056" t="s">
        <v>21</v>
      </c>
      <c r="H2056" t="str">
        <f>"2/16/2019"</f>
        <v>2/16/2019</v>
      </c>
      <c r="I2056" t="str">
        <f>"JOHN MUNOZ"</f>
        <v>JOHN MUNOZ</v>
      </c>
    </row>
    <row r="2057" spans="1:11" x14ac:dyDescent="0.25">
      <c r="A2057" s="6">
        <v>43516</v>
      </c>
      <c r="B2057" t="s">
        <v>26</v>
      </c>
      <c r="C2057">
        <v>60238</v>
      </c>
      <c r="D2057" t="s">
        <v>92</v>
      </c>
      <c r="E2057" s="7">
        <v>61895</v>
      </c>
      <c r="F2057" t="s">
        <v>20</v>
      </c>
      <c r="G2057" t="s">
        <v>21</v>
      </c>
      <c r="H2057" t="str">
        <f>"JAN. 2019"</f>
        <v>JAN. 2019</v>
      </c>
      <c r="I2057" t="str">
        <f>"TEXAS MUNICIPAL RETIREMENT SYS"</f>
        <v>TEXAS MUNICIPAL RETIREMENT SYS</v>
      </c>
    </row>
    <row r="2058" spans="1:11" x14ac:dyDescent="0.25">
      <c r="A2058" s="6">
        <v>43516</v>
      </c>
      <c r="B2058" t="s">
        <v>26</v>
      </c>
      <c r="C2058">
        <v>60239</v>
      </c>
      <c r="D2058" t="s">
        <v>81</v>
      </c>
      <c r="E2058" s="7">
        <v>98.8</v>
      </c>
      <c r="F2058" t="s">
        <v>20</v>
      </c>
      <c r="G2058" t="s">
        <v>21</v>
      </c>
      <c r="H2058" t="str">
        <f>"ANDREA M 2/20/2019"</f>
        <v>ANDREA M 2/20/2019</v>
      </c>
      <c r="I2058" t="str">
        <f>"CITY OF FLORESVILLE -PETTY CAS"</f>
        <v>CITY OF FLORESVILLE -PETTY CAS</v>
      </c>
    </row>
    <row r="2059" spans="1:11" x14ac:dyDescent="0.25">
      <c r="A2059" s="6">
        <v>43516</v>
      </c>
      <c r="B2059" t="s">
        <v>26</v>
      </c>
      <c r="C2059">
        <v>60240</v>
      </c>
      <c r="D2059" t="s">
        <v>313</v>
      </c>
      <c r="E2059" s="7">
        <v>16945.259999999998</v>
      </c>
      <c r="F2059" t="s">
        <v>20</v>
      </c>
      <c r="G2059" t="s">
        <v>21</v>
      </c>
      <c r="H2059" t="str">
        <f>"TAX NOTE 2/2019"</f>
        <v>TAX NOTE 2/2019</v>
      </c>
      <c r="I2059" t="s">
        <v>571</v>
      </c>
    </row>
    <row r="2060" spans="1:11" x14ac:dyDescent="0.25">
      <c r="A2060" s="6">
        <v>43517</v>
      </c>
      <c r="B2060" t="s">
        <v>26</v>
      </c>
      <c r="C2060">
        <v>60241</v>
      </c>
      <c r="D2060" t="s">
        <v>205</v>
      </c>
      <c r="E2060" s="7">
        <v>1014.66</v>
      </c>
      <c r="F2060" t="s">
        <v>20</v>
      </c>
      <c r="G2060" t="s">
        <v>21</v>
      </c>
      <c r="H2060" t="str">
        <f>"2/21/2019"</f>
        <v>2/21/2019</v>
      </c>
      <c r="I2060" t="str">
        <f>"SILVER EAGLE DISTRIBUTORS"</f>
        <v>SILVER EAGLE DISTRIBUTORS</v>
      </c>
    </row>
    <row r="2061" spans="1:11" x14ac:dyDescent="0.25">
      <c r="A2061" s="6">
        <v>43517</v>
      </c>
      <c r="B2061" t="s">
        <v>26</v>
      </c>
      <c r="C2061">
        <v>60242</v>
      </c>
      <c r="D2061" t="s">
        <v>0</v>
      </c>
      <c r="E2061" s="7">
        <v>3615.98</v>
      </c>
      <c r="F2061" t="s">
        <v>20</v>
      </c>
      <c r="G2061" t="s">
        <v>21</v>
      </c>
      <c r="H2061" t="str">
        <f>"JAN. 2019"</f>
        <v>JAN. 2019</v>
      </c>
      <c r="I2061" t="str">
        <f>"CITY OF FLORESVILLE"</f>
        <v>CITY OF FLORESVILLE</v>
      </c>
    </row>
    <row r="2062" spans="1:11" x14ac:dyDescent="0.25">
      <c r="A2062" s="6">
        <v>43517</v>
      </c>
      <c r="B2062" t="s">
        <v>26</v>
      </c>
      <c r="C2062">
        <v>60243</v>
      </c>
      <c r="D2062" t="s">
        <v>29</v>
      </c>
      <c r="E2062" s="7">
        <v>7083.5</v>
      </c>
      <c r="F2062" t="s">
        <v>20</v>
      </c>
      <c r="G2062" t="s">
        <v>21</v>
      </c>
      <c r="H2062" t="str">
        <f>"35294"</f>
        <v>35294</v>
      </c>
      <c r="I2062" t="str">
        <f>"M &amp; S ENGINEERING  LLC"</f>
        <v>M &amp; S ENGINEERING  LLC</v>
      </c>
    </row>
    <row r="2063" spans="1:11" x14ac:dyDescent="0.25">
      <c r="A2063" s="6">
        <v>43517</v>
      </c>
      <c r="B2063" t="s">
        <v>26</v>
      </c>
      <c r="C2063">
        <v>60244</v>
      </c>
      <c r="D2063" t="s">
        <v>346</v>
      </c>
      <c r="E2063" s="7">
        <v>13750</v>
      </c>
      <c r="F2063" t="s">
        <v>20</v>
      </c>
      <c r="G2063" t="s">
        <v>21</v>
      </c>
      <c r="H2063" t="str">
        <f>"1/11-2/11-2019"</f>
        <v>1/11-2/11-2019</v>
      </c>
      <c r="I2063" t="str">
        <f>"SYLVIA RODRIGUEZ"</f>
        <v>SYLVIA RODRIGUEZ</v>
      </c>
    </row>
    <row r="2064" spans="1:11" x14ac:dyDescent="0.25">
      <c r="A2064" s="6">
        <v>43517</v>
      </c>
      <c r="B2064" t="s">
        <v>26</v>
      </c>
      <c r="C2064">
        <v>60245</v>
      </c>
      <c r="D2064" t="s">
        <v>599</v>
      </c>
      <c r="E2064" s="7">
        <v>1568.16</v>
      </c>
      <c r="F2064" t="s">
        <v>20</v>
      </c>
      <c r="G2064" t="s">
        <v>21</v>
      </c>
      <c r="H2064" t="s">
        <v>681</v>
      </c>
      <c r="I2064" t="s">
        <v>682</v>
      </c>
      <c r="J2064">
        <v>1568.16</v>
      </c>
      <c r="K2064" t="str">
        <f>""</f>
        <v/>
      </c>
    </row>
    <row r="2065" spans="1:9" x14ac:dyDescent="0.25">
      <c r="A2065" s="6">
        <v>43517</v>
      </c>
      <c r="B2065" t="s">
        <v>26</v>
      </c>
      <c r="C2065">
        <v>60246</v>
      </c>
      <c r="D2065" t="s">
        <v>599</v>
      </c>
      <c r="E2065" s="7">
        <v>193382.95</v>
      </c>
      <c r="F2065" t="s">
        <v>20</v>
      </c>
      <c r="G2065" t="s">
        <v>21</v>
      </c>
      <c r="H2065" t="str">
        <f>"PAY APP #4"</f>
        <v>PAY APP #4</v>
      </c>
      <c r="I2065" t="str">
        <f>"METER INSTALL GROUP  LLC."</f>
        <v>METER INSTALL GROUP  LLC.</v>
      </c>
    </row>
    <row r="2066" spans="1:9" x14ac:dyDescent="0.25">
      <c r="A2066" s="6">
        <v>43517</v>
      </c>
      <c r="B2066" t="s">
        <v>26</v>
      </c>
      <c r="C2066">
        <v>60247</v>
      </c>
      <c r="D2066" t="s">
        <v>599</v>
      </c>
      <c r="E2066" s="7">
        <v>148067</v>
      </c>
      <c r="F2066" t="s">
        <v>20</v>
      </c>
      <c r="G2066" t="s">
        <v>21</v>
      </c>
      <c r="H2066" t="str">
        <f>"PAY APP #5"</f>
        <v>PAY APP #5</v>
      </c>
      <c r="I2066" t="str">
        <f>"METER INSTALL GROUP  LLC."</f>
        <v>METER INSTALL GROUP  LLC.</v>
      </c>
    </row>
    <row r="2067" spans="1:9" x14ac:dyDescent="0.25">
      <c r="A2067" s="6">
        <v>43518</v>
      </c>
      <c r="B2067" t="s">
        <v>26</v>
      </c>
      <c r="C2067">
        <v>60248</v>
      </c>
      <c r="D2067" t="s">
        <v>57</v>
      </c>
      <c r="E2067" s="7">
        <v>6151.21</v>
      </c>
      <c r="F2067" t="s">
        <v>20</v>
      </c>
      <c r="G2067" t="s">
        <v>21</v>
      </c>
      <c r="H2067" t="str">
        <f>"33062 1/2019"</f>
        <v>33062 1/2019</v>
      </c>
      <c r="I2067" t="str">
        <f>"F.E.L.P.S."</f>
        <v>F.E.L.P.S.</v>
      </c>
    </row>
    <row r="2068" spans="1:9" x14ac:dyDescent="0.25">
      <c r="A2068" s="6">
        <v>43522</v>
      </c>
      <c r="B2068" t="s">
        <v>26</v>
      </c>
      <c r="C2068">
        <v>60249</v>
      </c>
      <c r="D2068" t="s">
        <v>57</v>
      </c>
      <c r="E2068" s="7">
        <v>21726.15</v>
      </c>
      <c r="F2068" t="s">
        <v>20</v>
      </c>
      <c r="G2068" t="s">
        <v>21</v>
      </c>
      <c r="H2068" t="str">
        <f>"11617 3/2019"</f>
        <v>11617 3/2019</v>
      </c>
      <c r="I2068" t="str">
        <f>"F.E.L.P.S."</f>
        <v>F.E.L.P.S.</v>
      </c>
    </row>
    <row r="2069" spans="1:9" x14ac:dyDescent="0.25">
      <c r="A2069" s="6">
        <v>43522</v>
      </c>
      <c r="B2069" t="s">
        <v>26</v>
      </c>
      <c r="C2069">
        <v>60250</v>
      </c>
      <c r="D2069" t="s">
        <v>58</v>
      </c>
      <c r="E2069" s="7">
        <v>461.97</v>
      </c>
      <c r="F2069" t="s">
        <v>20</v>
      </c>
      <c r="G2069" t="s">
        <v>21</v>
      </c>
      <c r="H2069" t="str">
        <f>"553438"</f>
        <v>553438</v>
      </c>
      <c r="I2069" t="str">
        <f t="shared" ref="I2069:I2075" si="35">"DEASON ANIMAL HOSPITAL"</f>
        <v>DEASON ANIMAL HOSPITAL</v>
      </c>
    </row>
    <row r="2070" spans="1:9" x14ac:dyDescent="0.25">
      <c r="A2070" s="6">
        <v>43522</v>
      </c>
      <c r="B2070" t="s">
        <v>26</v>
      </c>
      <c r="C2070">
        <v>60250</v>
      </c>
      <c r="D2070" t="s">
        <v>58</v>
      </c>
      <c r="E2070" s="7">
        <v>461.97</v>
      </c>
      <c r="F2070" t="s">
        <v>20</v>
      </c>
      <c r="G2070" t="s">
        <v>21</v>
      </c>
      <c r="H2070" t="str">
        <f>"554620"</f>
        <v>554620</v>
      </c>
      <c r="I2070" t="str">
        <f t="shared" si="35"/>
        <v>DEASON ANIMAL HOSPITAL</v>
      </c>
    </row>
    <row r="2071" spans="1:9" x14ac:dyDescent="0.25">
      <c r="A2071" s="6">
        <v>43522</v>
      </c>
      <c r="B2071" t="s">
        <v>26</v>
      </c>
      <c r="C2071">
        <v>60250</v>
      </c>
      <c r="D2071" t="s">
        <v>58</v>
      </c>
      <c r="E2071" s="7">
        <v>461.97</v>
      </c>
      <c r="F2071" t="s">
        <v>20</v>
      </c>
      <c r="G2071" t="s">
        <v>21</v>
      </c>
      <c r="H2071" t="str">
        <f>"554861"</f>
        <v>554861</v>
      </c>
      <c r="I2071" t="str">
        <f t="shared" si="35"/>
        <v>DEASON ANIMAL HOSPITAL</v>
      </c>
    </row>
    <row r="2072" spans="1:9" x14ac:dyDescent="0.25">
      <c r="A2072" s="6">
        <v>43522</v>
      </c>
      <c r="B2072" t="s">
        <v>26</v>
      </c>
      <c r="C2072">
        <v>60250</v>
      </c>
      <c r="D2072" t="s">
        <v>58</v>
      </c>
      <c r="E2072" s="7">
        <v>461.97</v>
      </c>
      <c r="F2072" t="s">
        <v>20</v>
      </c>
      <c r="G2072" t="s">
        <v>21</v>
      </c>
      <c r="H2072" t="str">
        <f>"554882"</f>
        <v>554882</v>
      </c>
      <c r="I2072" t="str">
        <f t="shared" si="35"/>
        <v>DEASON ANIMAL HOSPITAL</v>
      </c>
    </row>
    <row r="2073" spans="1:9" x14ac:dyDescent="0.25">
      <c r="A2073" s="6">
        <v>43522</v>
      </c>
      <c r="B2073" t="s">
        <v>26</v>
      </c>
      <c r="C2073">
        <v>60250</v>
      </c>
      <c r="D2073" t="s">
        <v>58</v>
      </c>
      <c r="E2073" s="7">
        <v>461.97</v>
      </c>
      <c r="F2073" t="s">
        <v>20</v>
      </c>
      <c r="G2073" t="s">
        <v>21</v>
      </c>
      <c r="H2073" t="str">
        <f>"555121"</f>
        <v>555121</v>
      </c>
      <c r="I2073" t="str">
        <f t="shared" si="35"/>
        <v>DEASON ANIMAL HOSPITAL</v>
      </c>
    </row>
    <row r="2074" spans="1:9" x14ac:dyDescent="0.25">
      <c r="A2074" s="6">
        <v>43522</v>
      </c>
      <c r="B2074" t="s">
        <v>26</v>
      </c>
      <c r="C2074">
        <v>60250</v>
      </c>
      <c r="D2074" t="s">
        <v>58</v>
      </c>
      <c r="E2074" s="7">
        <v>461.97</v>
      </c>
      <c r="F2074" t="s">
        <v>20</v>
      </c>
      <c r="G2074" t="s">
        <v>21</v>
      </c>
      <c r="H2074" t="str">
        <f>"555675"</f>
        <v>555675</v>
      </c>
      <c r="I2074" t="str">
        <f t="shared" si="35"/>
        <v>DEASON ANIMAL HOSPITAL</v>
      </c>
    </row>
    <row r="2075" spans="1:9" x14ac:dyDescent="0.25">
      <c r="A2075" s="6">
        <v>43522</v>
      </c>
      <c r="B2075" t="s">
        <v>26</v>
      </c>
      <c r="C2075">
        <v>60250</v>
      </c>
      <c r="D2075" t="s">
        <v>58</v>
      </c>
      <c r="E2075" s="7">
        <v>461.97</v>
      </c>
      <c r="F2075" t="s">
        <v>20</v>
      </c>
      <c r="G2075" t="s">
        <v>21</v>
      </c>
      <c r="H2075" t="str">
        <f>"555697"</f>
        <v>555697</v>
      </c>
      <c r="I2075" t="str">
        <f t="shared" si="35"/>
        <v>DEASON ANIMAL HOSPITAL</v>
      </c>
    </row>
    <row r="2076" spans="1:9" x14ac:dyDescent="0.25">
      <c r="A2076" s="6">
        <v>43522</v>
      </c>
      <c r="B2076" t="s">
        <v>26</v>
      </c>
      <c r="C2076">
        <v>60252</v>
      </c>
      <c r="D2076" t="s">
        <v>240</v>
      </c>
      <c r="E2076" s="7">
        <v>113.84</v>
      </c>
      <c r="F2076" t="s">
        <v>20</v>
      </c>
      <c r="G2076" t="s">
        <v>21</v>
      </c>
      <c r="H2076" t="str">
        <f>"0161688-IN"</f>
        <v>0161688-IN</v>
      </c>
      <c r="I2076" t="str">
        <f>"UNIFORMS"</f>
        <v>UNIFORMS</v>
      </c>
    </row>
    <row r="2077" spans="1:9" x14ac:dyDescent="0.25">
      <c r="A2077" s="6">
        <v>43522</v>
      </c>
      <c r="B2077" t="s">
        <v>26</v>
      </c>
      <c r="C2077">
        <v>60253</v>
      </c>
      <c r="D2077" t="s">
        <v>168</v>
      </c>
      <c r="E2077" s="7">
        <v>2975</v>
      </c>
      <c r="F2077" t="s">
        <v>20</v>
      </c>
      <c r="G2077" t="s">
        <v>21</v>
      </c>
      <c r="H2077" t="str">
        <f>"LI-6163"</f>
        <v>LI-6163</v>
      </c>
      <c r="I2077" t="str">
        <f t="shared" ref="I2077:I2088" si="36">"BEXAR COUNTY AUDITOR/ATTN:CRIM"</f>
        <v>BEXAR COUNTY AUDITOR/ATTN:CRIM</v>
      </c>
    </row>
    <row r="2078" spans="1:9" x14ac:dyDescent="0.25">
      <c r="A2078" s="6">
        <v>43522</v>
      </c>
      <c r="B2078" t="s">
        <v>26</v>
      </c>
      <c r="C2078">
        <v>60253</v>
      </c>
      <c r="D2078" t="s">
        <v>168</v>
      </c>
      <c r="E2078" s="7">
        <v>2975</v>
      </c>
      <c r="F2078" t="s">
        <v>20</v>
      </c>
      <c r="G2078" t="s">
        <v>21</v>
      </c>
      <c r="H2078" t="str">
        <f>"LI-6164"</f>
        <v>LI-6164</v>
      </c>
      <c r="I2078" t="str">
        <f t="shared" si="36"/>
        <v>BEXAR COUNTY AUDITOR/ATTN:CRIM</v>
      </c>
    </row>
    <row r="2079" spans="1:9" x14ac:dyDescent="0.25">
      <c r="A2079" s="6">
        <v>43522</v>
      </c>
      <c r="B2079" t="s">
        <v>26</v>
      </c>
      <c r="C2079">
        <v>60253</v>
      </c>
      <c r="D2079" t="s">
        <v>168</v>
      </c>
      <c r="E2079" s="7">
        <v>2975</v>
      </c>
      <c r="F2079" t="s">
        <v>20</v>
      </c>
      <c r="G2079" t="s">
        <v>21</v>
      </c>
      <c r="H2079" t="str">
        <f>"LI-6165"</f>
        <v>LI-6165</v>
      </c>
      <c r="I2079" t="str">
        <f t="shared" si="36"/>
        <v>BEXAR COUNTY AUDITOR/ATTN:CRIM</v>
      </c>
    </row>
    <row r="2080" spans="1:9" x14ac:dyDescent="0.25">
      <c r="A2080" s="6">
        <v>43522</v>
      </c>
      <c r="B2080" t="s">
        <v>26</v>
      </c>
      <c r="C2080">
        <v>60253</v>
      </c>
      <c r="D2080" t="s">
        <v>168</v>
      </c>
      <c r="E2080" s="7">
        <v>2975</v>
      </c>
      <c r="F2080" t="s">
        <v>20</v>
      </c>
      <c r="G2080" t="s">
        <v>21</v>
      </c>
      <c r="H2080" t="str">
        <f>"LI-6166"</f>
        <v>LI-6166</v>
      </c>
      <c r="I2080" t="str">
        <f t="shared" si="36"/>
        <v>BEXAR COUNTY AUDITOR/ATTN:CRIM</v>
      </c>
    </row>
    <row r="2081" spans="1:9" x14ac:dyDescent="0.25">
      <c r="A2081" s="6">
        <v>43522</v>
      </c>
      <c r="B2081" t="s">
        <v>26</v>
      </c>
      <c r="C2081">
        <v>60253</v>
      </c>
      <c r="D2081" t="s">
        <v>168</v>
      </c>
      <c r="E2081" s="7">
        <v>2975</v>
      </c>
      <c r="F2081" t="s">
        <v>20</v>
      </c>
      <c r="G2081" t="s">
        <v>21</v>
      </c>
      <c r="H2081" t="str">
        <f>"LI-6167"</f>
        <v>LI-6167</v>
      </c>
      <c r="I2081" t="str">
        <f t="shared" si="36"/>
        <v>BEXAR COUNTY AUDITOR/ATTN:CRIM</v>
      </c>
    </row>
    <row r="2082" spans="1:9" x14ac:dyDescent="0.25">
      <c r="A2082" s="6">
        <v>43522</v>
      </c>
      <c r="B2082" t="s">
        <v>26</v>
      </c>
      <c r="C2082">
        <v>60253</v>
      </c>
      <c r="D2082" t="s">
        <v>168</v>
      </c>
      <c r="E2082" s="7">
        <v>2975</v>
      </c>
      <c r="F2082" t="s">
        <v>20</v>
      </c>
      <c r="G2082" t="s">
        <v>21</v>
      </c>
      <c r="H2082" t="str">
        <f>"LI-6168"</f>
        <v>LI-6168</v>
      </c>
      <c r="I2082" t="str">
        <f t="shared" si="36"/>
        <v>BEXAR COUNTY AUDITOR/ATTN:CRIM</v>
      </c>
    </row>
    <row r="2083" spans="1:9" x14ac:dyDescent="0.25">
      <c r="A2083" s="6">
        <v>43522</v>
      </c>
      <c r="B2083" t="s">
        <v>26</v>
      </c>
      <c r="C2083">
        <v>60253</v>
      </c>
      <c r="D2083" t="s">
        <v>168</v>
      </c>
      <c r="E2083" s="7">
        <v>2975</v>
      </c>
      <c r="F2083" t="s">
        <v>20</v>
      </c>
      <c r="G2083" t="s">
        <v>21</v>
      </c>
      <c r="H2083" t="str">
        <f>"LI-6169"</f>
        <v>LI-6169</v>
      </c>
      <c r="I2083" t="str">
        <f t="shared" si="36"/>
        <v>BEXAR COUNTY AUDITOR/ATTN:CRIM</v>
      </c>
    </row>
    <row r="2084" spans="1:9" x14ac:dyDescent="0.25">
      <c r="A2084" s="6">
        <v>43522</v>
      </c>
      <c r="B2084" t="s">
        <v>26</v>
      </c>
      <c r="C2084">
        <v>60253</v>
      </c>
      <c r="D2084" t="s">
        <v>168</v>
      </c>
      <c r="E2084" s="7">
        <v>2975</v>
      </c>
      <c r="F2084" t="s">
        <v>20</v>
      </c>
      <c r="G2084" t="s">
        <v>21</v>
      </c>
      <c r="H2084" t="str">
        <f>"LI-6170"</f>
        <v>LI-6170</v>
      </c>
      <c r="I2084" t="str">
        <f t="shared" si="36"/>
        <v>BEXAR COUNTY AUDITOR/ATTN:CRIM</v>
      </c>
    </row>
    <row r="2085" spans="1:9" x14ac:dyDescent="0.25">
      <c r="A2085" s="6">
        <v>43522</v>
      </c>
      <c r="B2085" t="s">
        <v>26</v>
      </c>
      <c r="C2085">
        <v>60253</v>
      </c>
      <c r="D2085" t="s">
        <v>168</v>
      </c>
      <c r="E2085" s="7">
        <v>2975</v>
      </c>
      <c r="F2085" t="s">
        <v>20</v>
      </c>
      <c r="G2085" t="s">
        <v>21</v>
      </c>
      <c r="H2085" t="str">
        <f>"LI-6171"</f>
        <v>LI-6171</v>
      </c>
      <c r="I2085" t="str">
        <f t="shared" si="36"/>
        <v>BEXAR COUNTY AUDITOR/ATTN:CRIM</v>
      </c>
    </row>
    <row r="2086" spans="1:9" x14ac:dyDescent="0.25">
      <c r="A2086" s="6">
        <v>43522</v>
      </c>
      <c r="B2086" t="s">
        <v>26</v>
      </c>
      <c r="C2086">
        <v>60253</v>
      </c>
      <c r="D2086" t="s">
        <v>168</v>
      </c>
      <c r="E2086" s="7">
        <v>2975</v>
      </c>
      <c r="F2086" t="s">
        <v>20</v>
      </c>
      <c r="G2086" t="s">
        <v>21</v>
      </c>
      <c r="H2086" t="str">
        <f>"LI-6172"</f>
        <v>LI-6172</v>
      </c>
      <c r="I2086" t="str">
        <f t="shared" si="36"/>
        <v>BEXAR COUNTY AUDITOR/ATTN:CRIM</v>
      </c>
    </row>
    <row r="2087" spans="1:9" x14ac:dyDescent="0.25">
      <c r="A2087" s="6">
        <v>43522</v>
      </c>
      <c r="B2087" t="s">
        <v>26</v>
      </c>
      <c r="C2087">
        <v>60253</v>
      </c>
      <c r="D2087" t="s">
        <v>168</v>
      </c>
      <c r="E2087" s="7">
        <v>2975</v>
      </c>
      <c r="F2087" t="s">
        <v>20</v>
      </c>
      <c r="G2087" t="s">
        <v>21</v>
      </c>
      <c r="H2087" t="str">
        <f>"LI-6173"</f>
        <v>LI-6173</v>
      </c>
      <c r="I2087" t="str">
        <f t="shared" si="36"/>
        <v>BEXAR COUNTY AUDITOR/ATTN:CRIM</v>
      </c>
    </row>
    <row r="2088" spans="1:9" x14ac:dyDescent="0.25">
      <c r="A2088" s="6">
        <v>43522</v>
      </c>
      <c r="B2088" t="s">
        <v>26</v>
      </c>
      <c r="C2088">
        <v>60253</v>
      </c>
      <c r="D2088" t="s">
        <v>168</v>
      </c>
      <c r="E2088" s="7">
        <v>2975</v>
      </c>
      <c r="F2088" t="s">
        <v>20</v>
      </c>
      <c r="G2088" t="s">
        <v>21</v>
      </c>
      <c r="H2088" t="str">
        <f>"LI-6174"</f>
        <v>LI-6174</v>
      </c>
      <c r="I2088" t="str">
        <f t="shared" si="36"/>
        <v>BEXAR COUNTY AUDITOR/ATTN:CRIM</v>
      </c>
    </row>
    <row r="2089" spans="1:9" x14ac:dyDescent="0.25">
      <c r="A2089" s="6">
        <v>43522</v>
      </c>
      <c r="B2089" t="s">
        <v>26</v>
      </c>
      <c r="C2089">
        <v>60255</v>
      </c>
      <c r="D2089" t="s">
        <v>169</v>
      </c>
      <c r="E2089" s="7">
        <v>35.049999999999997</v>
      </c>
      <c r="F2089" t="s">
        <v>20</v>
      </c>
      <c r="G2089" t="s">
        <v>21</v>
      </c>
      <c r="H2089" t="str">
        <f>"116438"</f>
        <v>116438</v>
      </c>
      <c r="I2089" t="str">
        <f>"THE POLICE AND SHERIFFS PRESS"</f>
        <v>THE POLICE AND SHERIFFS PRESS</v>
      </c>
    </row>
    <row r="2090" spans="1:9" x14ac:dyDescent="0.25">
      <c r="A2090" s="6">
        <v>43522</v>
      </c>
      <c r="B2090" t="s">
        <v>26</v>
      </c>
      <c r="C2090">
        <v>60255</v>
      </c>
      <c r="D2090" t="s">
        <v>169</v>
      </c>
      <c r="E2090" s="7">
        <v>35.049999999999997</v>
      </c>
      <c r="F2090" t="s">
        <v>20</v>
      </c>
      <c r="G2090" t="s">
        <v>21</v>
      </c>
      <c r="H2090" t="str">
        <f>"116759"</f>
        <v>116759</v>
      </c>
      <c r="I2090" t="str">
        <f>"THE POLICE AND SHERIFFS PRESS"</f>
        <v>THE POLICE AND SHERIFFS PRESS</v>
      </c>
    </row>
    <row r="2091" spans="1:9" x14ac:dyDescent="0.25">
      <c r="A2091" s="6">
        <v>43522</v>
      </c>
      <c r="B2091" t="s">
        <v>26</v>
      </c>
      <c r="C2091">
        <v>60256</v>
      </c>
      <c r="D2091" t="s">
        <v>29</v>
      </c>
      <c r="E2091" s="7">
        <v>8920</v>
      </c>
      <c r="F2091" t="s">
        <v>20</v>
      </c>
      <c r="G2091" t="s">
        <v>21</v>
      </c>
      <c r="H2091" t="str">
        <f>"35574"</f>
        <v>35574</v>
      </c>
      <c r="I2091" t="str">
        <f>"M &amp; S ENGINEERING  LLC"</f>
        <v>M &amp; S ENGINEERING  LLC</v>
      </c>
    </row>
    <row r="2092" spans="1:9" x14ac:dyDescent="0.25">
      <c r="A2092" s="6">
        <v>43522</v>
      </c>
      <c r="B2092" t="s">
        <v>26</v>
      </c>
      <c r="C2092">
        <v>60257</v>
      </c>
      <c r="D2092" t="s">
        <v>74</v>
      </c>
      <c r="E2092" s="7">
        <v>30.2</v>
      </c>
      <c r="F2092" t="s">
        <v>20</v>
      </c>
      <c r="G2092" t="s">
        <v>21</v>
      </c>
      <c r="H2092" t="str">
        <f>"9823741831"</f>
        <v>9823741831</v>
      </c>
      <c r="I2092" t="str">
        <f>"VERIZON WIRELESS"</f>
        <v>VERIZON WIRELESS</v>
      </c>
    </row>
    <row r="2093" spans="1:9" x14ac:dyDescent="0.25">
      <c r="A2093" s="6">
        <v>43522</v>
      </c>
      <c r="B2093" t="s">
        <v>26</v>
      </c>
      <c r="C2093">
        <v>60258</v>
      </c>
      <c r="D2093" t="s">
        <v>137</v>
      </c>
      <c r="E2093" s="7">
        <v>121.9</v>
      </c>
      <c r="F2093" t="s">
        <v>20</v>
      </c>
      <c r="G2093" t="s">
        <v>21</v>
      </c>
      <c r="H2093" t="str">
        <f>"8367"</f>
        <v>8367</v>
      </c>
      <c r="I2093" t="str">
        <f>"OMNIBUS-M  INC.D.B.A."</f>
        <v>OMNIBUS-M  INC.D.B.A.</v>
      </c>
    </row>
    <row r="2094" spans="1:9" x14ac:dyDescent="0.25">
      <c r="A2094" s="6">
        <v>43522</v>
      </c>
      <c r="B2094" t="s">
        <v>26</v>
      </c>
      <c r="C2094">
        <v>60258</v>
      </c>
      <c r="D2094" t="s">
        <v>137</v>
      </c>
      <c r="E2094" s="7">
        <v>121.9</v>
      </c>
      <c r="F2094" t="s">
        <v>20</v>
      </c>
      <c r="G2094" t="s">
        <v>21</v>
      </c>
      <c r="H2094" t="str">
        <f>"8368"</f>
        <v>8368</v>
      </c>
      <c r="I2094" t="str">
        <f>"OMNIBUS-M  INC.D.B.A."</f>
        <v>OMNIBUS-M  INC.D.B.A.</v>
      </c>
    </row>
    <row r="2095" spans="1:9" x14ac:dyDescent="0.25">
      <c r="A2095" s="6">
        <v>43522</v>
      </c>
      <c r="B2095" t="s">
        <v>91</v>
      </c>
      <c r="C2095">
        <v>60259</v>
      </c>
      <c r="D2095" t="s">
        <v>98</v>
      </c>
      <c r="E2095" s="7">
        <v>2091.39</v>
      </c>
      <c r="F2095" t="s">
        <v>20</v>
      </c>
      <c r="G2095" t="s">
        <v>21</v>
      </c>
      <c r="H2095" t="str">
        <f>"STD201902138508"</f>
        <v>STD201902138508</v>
      </c>
      <c r="I2095" t="str">
        <f>"SHORT TERM DISABILITY"</f>
        <v>SHORT TERM DISABILITY</v>
      </c>
    </row>
    <row r="2096" spans="1:9" x14ac:dyDescent="0.25">
      <c r="A2096" s="6">
        <v>43522</v>
      </c>
      <c r="B2096" t="s">
        <v>91</v>
      </c>
      <c r="C2096">
        <v>60259</v>
      </c>
      <c r="D2096" t="s">
        <v>98</v>
      </c>
      <c r="E2096" s="7">
        <v>2091.39</v>
      </c>
      <c r="F2096" t="s">
        <v>20</v>
      </c>
      <c r="G2096" t="s">
        <v>21</v>
      </c>
      <c r="H2096" t="str">
        <f>"VIS201902138508"</f>
        <v>VIS201902138508</v>
      </c>
      <c r="I2096" t="str">
        <f>"VISION INSURANCE"</f>
        <v>VISION INSURANCE</v>
      </c>
    </row>
    <row r="2097" spans="1:9" x14ac:dyDescent="0.25">
      <c r="A2097" s="6">
        <v>43522</v>
      </c>
      <c r="B2097" t="s">
        <v>91</v>
      </c>
      <c r="C2097">
        <v>60259</v>
      </c>
      <c r="D2097" t="s">
        <v>98</v>
      </c>
      <c r="E2097" s="7">
        <v>2091.39</v>
      </c>
      <c r="F2097" t="s">
        <v>20</v>
      </c>
      <c r="G2097" t="s">
        <v>21</v>
      </c>
      <c r="H2097" t="str">
        <f>"VLC201902138508"</f>
        <v>VLC201902138508</v>
      </c>
      <c r="I2097" t="str">
        <f>"CHILD LIFE INSURANCE"</f>
        <v>CHILD LIFE INSURANCE</v>
      </c>
    </row>
    <row r="2098" spans="1:9" x14ac:dyDescent="0.25">
      <c r="A2098" s="6">
        <v>43522</v>
      </c>
      <c r="B2098" t="s">
        <v>91</v>
      </c>
      <c r="C2098">
        <v>60259</v>
      </c>
      <c r="D2098" t="s">
        <v>98</v>
      </c>
      <c r="E2098" s="7">
        <v>2091.39</v>
      </c>
      <c r="F2098" t="s">
        <v>20</v>
      </c>
      <c r="G2098" t="s">
        <v>21</v>
      </c>
      <c r="H2098" t="str">
        <f>"VLS201902138508"</f>
        <v>VLS201902138508</v>
      </c>
      <c r="I2098" t="str">
        <f>"SPOUSE LIFE"</f>
        <v>SPOUSE LIFE</v>
      </c>
    </row>
    <row r="2099" spans="1:9" x14ac:dyDescent="0.25">
      <c r="A2099" s="6">
        <v>43522</v>
      </c>
      <c r="B2099" t="s">
        <v>91</v>
      </c>
      <c r="C2099">
        <v>60259</v>
      </c>
      <c r="D2099" t="s">
        <v>98</v>
      </c>
      <c r="E2099" s="7">
        <v>2091.39</v>
      </c>
      <c r="F2099" t="s">
        <v>20</v>
      </c>
      <c r="G2099" t="s">
        <v>21</v>
      </c>
      <c r="H2099" t="str">
        <f>"VOE201902138508"</f>
        <v>VOE201902138508</v>
      </c>
      <c r="I2099" t="str">
        <f>"EMPLOYEE LIFE"</f>
        <v>EMPLOYEE LIFE</v>
      </c>
    </row>
    <row r="2100" spans="1:9" x14ac:dyDescent="0.25">
      <c r="A2100" s="6">
        <v>43522</v>
      </c>
      <c r="B2100" t="s">
        <v>91</v>
      </c>
      <c r="C2100">
        <v>60259</v>
      </c>
      <c r="D2100" t="s">
        <v>98</v>
      </c>
      <c r="E2100" s="7">
        <v>2091.39</v>
      </c>
      <c r="F2100" t="s">
        <v>20</v>
      </c>
      <c r="G2100" t="s">
        <v>21</v>
      </c>
      <c r="H2100" t="str">
        <f>"VOL201902138508"</f>
        <v>VOL201902138508</v>
      </c>
      <c r="I2100" t="str">
        <f>"LIFE"</f>
        <v>LIFE</v>
      </c>
    </row>
    <row r="2101" spans="1:9" x14ac:dyDescent="0.25">
      <c r="A2101" s="6">
        <v>43522</v>
      </c>
      <c r="B2101" t="s">
        <v>91</v>
      </c>
      <c r="C2101">
        <v>60259</v>
      </c>
      <c r="D2101" t="s">
        <v>98</v>
      </c>
      <c r="E2101" s="7">
        <v>2091.39</v>
      </c>
      <c r="F2101" t="s">
        <v>20</v>
      </c>
      <c r="G2101" t="s">
        <v>93</v>
      </c>
      <c r="H2101" t="str">
        <f>"CHECK"</f>
        <v>CHECK</v>
      </c>
      <c r="I2101" t="str">
        <f>""</f>
        <v/>
      </c>
    </row>
    <row r="2102" spans="1:9" x14ac:dyDescent="0.25">
      <c r="A2102" s="6">
        <v>43522</v>
      </c>
      <c r="B2102" t="s">
        <v>26</v>
      </c>
      <c r="C2102">
        <v>60263</v>
      </c>
      <c r="D2102" t="s">
        <v>85</v>
      </c>
      <c r="E2102" s="7">
        <v>853.4</v>
      </c>
      <c r="F2102" t="s">
        <v>20</v>
      </c>
      <c r="G2102" t="s">
        <v>21</v>
      </c>
      <c r="H2102" t="str">
        <f>"2162733 2/2019"</f>
        <v>2162733 2/2019</v>
      </c>
      <c r="I2102" t="str">
        <f t="shared" ref="I2102:I2110" si="37">"FRONTIER"</f>
        <v>FRONTIER</v>
      </c>
    </row>
    <row r="2103" spans="1:9" x14ac:dyDescent="0.25">
      <c r="A2103" s="6">
        <v>43522</v>
      </c>
      <c r="B2103" t="s">
        <v>26</v>
      </c>
      <c r="C2103">
        <v>60263</v>
      </c>
      <c r="D2103" t="s">
        <v>85</v>
      </c>
      <c r="E2103" s="7">
        <v>853.4</v>
      </c>
      <c r="F2103" t="s">
        <v>20</v>
      </c>
      <c r="G2103" t="s">
        <v>21</v>
      </c>
      <c r="H2103" t="str">
        <f>"2162755 2/2019"</f>
        <v>2162755 2/2019</v>
      </c>
      <c r="I2103" t="str">
        <f t="shared" si="37"/>
        <v>FRONTIER</v>
      </c>
    </row>
    <row r="2104" spans="1:9" x14ac:dyDescent="0.25">
      <c r="A2104" s="6">
        <v>43522</v>
      </c>
      <c r="B2104" t="s">
        <v>26</v>
      </c>
      <c r="C2104">
        <v>60263</v>
      </c>
      <c r="D2104" t="s">
        <v>85</v>
      </c>
      <c r="E2104" s="7">
        <v>853.4</v>
      </c>
      <c r="F2104" t="s">
        <v>20</v>
      </c>
      <c r="G2104" t="s">
        <v>21</v>
      </c>
      <c r="H2104" t="str">
        <f>"3932056 3/2019"</f>
        <v>3932056 3/2019</v>
      </c>
      <c r="I2104" t="str">
        <f t="shared" si="37"/>
        <v>FRONTIER</v>
      </c>
    </row>
    <row r="2105" spans="1:9" x14ac:dyDescent="0.25">
      <c r="A2105" s="6">
        <v>43522</v>
      </c>
      <c r="B2105" t="s">
        <v>26</v>
      </c>
      <c r="C2105">
        <v>60263</v>
      </c>
      <c r="D2105" t="s">
        <v>85</v>
      </c>
      <c r="E2105" s="7">
        <v>853.4</v>
      </c>
      <c r="F2105" t="s">
        <v>20</v>
      </c>
      <c r="G2105" t="s">
        <v>21</v>
      </c>
      <c r="H2105" t="str">
        <f>"3932804 2/2019"</f>
        <v>3932804 2/2019</v>
      </c>
      <c r="I2105" t="str">
        <f t="shared" si="37"/>
        <v>FRONTIER</v>
      </c>
    </row>
    <row r="2106" spans="1:9" x14ac:dyDescent="0.25">
      <c r="A2106" s="6">
        <v>43522</v>
      </c>
      <c r="B2106" t="s">
        <v>26</v>
      </c>
      <c r="C2106">
        <v>60263</v>
      </c>
      <c r="D2106" t="s">
        <v>85</v>
      </c>
      <c r="E2106" s="7">
        <v>853.4</v>
      </c>
      <c r="F2106" t="s">
        <v>20</v>
      </c>
      <c r="G2106" t="s">
        <v>21</v>
      </c>
      <c r="H2106" t="str">
        <f>"3933105 3/2019"</f>
        <v>3933105 3/2019</v>
      </c>
      <c r="I2106" t="str">
        <f t="shared" si="37"/>
        <v>FRONTIER</v>
      </c>
    </row>
    <row r="2107" spans="1:9" x14ac:dyDescent="0.25">
      <c r="A2107" s="6">
        <v>43522</v>
      </c>
      <c r="B2107" t="s">
        <v>26</v>
      </c>
      <c r="C2107">
        <v>60263</v>
      </c>
      <c r="D2107" t="s">
        <v>85</v>
      </c>
      <c r="E2107" s="7">
        <v>853.4</v>
      </c>
      <c r="F2107" t="s">
        <v>20</v>
      </c>
      <c r="G2107" t="s">
        <v>21</v>
      </c>
      <c r="H2107" t="str">
        <f>"3933186 3/2019"</f>
        <v>3933186 3/2019</v>
      </c>
      <c r="I2107" t="str">
        <f t="shared" si="37"/>
        <v>FRONTIER</v>
      </c>
    </row>
    <row r="2108" spans="1:9" x14ac:dyDescent="0.25">
      <c r="A2108" s="6">
        <v>43522</v>
      </c>
      <c r="B2108" t="s">
        <v>26</v>
      </c>
      <c r="C2108">
        <v>60263</v>
      </c>
      <c r="D2108" t="s">
        <v>85</v>
      </c>
      <c r="E2108" s="7">
        <v>853.4</v>
      </c>
      <c r="F2108" t="s">
        <v>20</v>
      </c>
      <c r="G2108" t="s">
        <v>21</v>
      </c>
      <c r="H2108" t="str">
        <f>"3936616 3/2019"</f>
        <v>3936616 3/2019</v>
      </c>
      <c r="I2108" t="str">
        <f t="shared" si="37"/>
        <v>FRONTIER</v>
      </c>
    </row>
    <row r="2109" spans="1:9" x14ac:dyDescent="0.25">
      <c r="A2109" s="6">
        <v>43522</v>
      </c>
      <c r="B2109" t="s">
        <v>26</v>
      </c>
      <c r="C2109">
        <v>60263</v>
      </c>
      <c r="D2109" t="s">
        <v>85</v>
      </c>
      <c r="E2109" s="7">
        <v>853.4</v>
      </c>
      <c r="F2109" t="s">
        <v>20</v>
      </c>
      <c r="G2109" t="s">
        <v>21</v>
      </c>
      <c r="H2109" t="str">
        <f>"3936794 2/2019"</f>
        <v>3936794 2/2019</v>
      </c>
      <c r="I2109" t="str">
        <f t="shared" si="37"/>
        <v>FRONTIER</v>
      </c>
    </row>
    <row r="2110" spans="1:9" x14ac:dyDescent="0.25">
      <c r="A2110" s="6">
        <v>43522</v>
      </c>
      <c r="B2110" t="s">
        <v>26</v>
      </c>
      <c r="C2110">
        <v>60263</v>
      </c>
      <c r="D2110" t="s">
        <v>85</v>
      </c>
      <c r="E2110" s="7">
        <v>853.4</v>
      </c>
      <c r="F2110" t="s">
        <v>20</v>
      </c>
      <c r="G2110" t="s">
        <v>21</v>
      </c>
      <c r="H2110" t="str">
        <f>"3939456 3/2019"</f>
        <v>3939456 3/2019</v>
      </c>
      <c r="I2110" t="str">
        <f t="shared" si="37"/>
        <v>FRONTIER</v>
      </c>
    </row>
    <row r="2111" spans="1:9" x14ac:dyDescent="0.25">
      <c r="A2111" s="6">
        <v>43522</v>
      </c>
      <c r="B2111" t="s">
        <v>26</v>
      </c>
      <c r="C2111">
        <v>60265</v>
      </c>
      <c r="D2111" t="s">
        <v>194</v>
      </c>
      <c r="E2111" s="7">
        <v>644.24</v>
      </c>
      <c r="F2111" t="s">
        <v>20</v>
      </c>
      <c r="G2111" t="s">
        <v>21</v>
      </c>
      <c r="H2111" t="str">
        <f>"BC0746361"</f>
        <v>BC0746361</v>
      </c>
      <c r="I2111" t="str">
        <f>"GALLS  LLC-D.B.A. STERLING'S U"</f>
        <v>GALLS  LLC-D.B.A. STERLING'S U</v>
      </c>
    </row>
    <row r="2112" spans="1:9" x14ac:dyDescent="0.25">
      <c r="A2112" s="6">
        <v>43522</v>
      </c>
      <c r="B2112" t="s">
        <v>26</v>
      </c>
      <c r="C2112">
        <v>60265</v>
      </c>
      <c r="D2112" t="s">
        <v>194</v>
      </c>
      <c r="E2112" s="7">
        <v>644.24</v>
      </c>
      <c r="F2112" t="s">
        <v>20</v>
      </c>
      <c r="G2112" t="s">
        <v>21</v>
      </c>
      <c r="H2112" t="str">
        <f>"BC0763589"</f>
        <v>BC0763589</v>
      </c>
      <c r="I2112" t="str">
        <f>"GALLS  LLC-D.B.A. STERLING'S U"</f>
        <v>GALLS  LLC-D.B.A. STERLING'S U</v>
      </c>
    </row>
    <row r="2113" spans="1:9" x14ac:dyDescent="0.25">
      <c r="A2113" s="6">
        <v>43522</v>
      </c>
      <c r="B2113" t="s">
        <v>91</v>
      </c>
      <c r="C2113">
        <v>60266</v>
      </c>
      <c r="D2113" t="s">
        <v>217</v>
      </c>
      <c r="E2113" s="7">
        <v>800</v>
      </c>
      <c r="F2113" t="s">
        <v>20</v>
      </c>
      <c r="G2113" t="s">
        <v>21</v>
      </c>
      <c r="H2113" t="str">
        <f>"1901-00079"</f>
        <v>1901-00079</v>
      </c>
      <c r="I2113" t="str">
        <f>"TESTS"</f>
        <v>TESTS</v>
      </c>
    </row>
    <row r="2114" spans="1:9" x14ac:dyDescent="0.25">
      <c r="A2114" s="6">
        <v>43522</v>
      </c>
      <c r="B2114" t="s">
        <v>91</v>
      </c>
      <c r="C2114">
        <v>60266</v>
      </c>
      <c r="D2114" t="s">
        <v>217</v>
      </c>
      <c r="E2114" s="7">
        <v>800</v>
      </c>
      <c r="F2114" t="s">
        <v>20</v>
      </c>
      <c r="G2114" t="s">
        <v>93</v>
      </c>
      <c r="H2114" t="str">
        <f>"CHECK"</f>
        <v>CHECK</v>
      </c>
      <c r="I2114" t="str">
        <f>""</f>
        <v/>
      </c>
    </row>
    <row r="2115" spans="1:9" x14ac:dyDescent="0.25">
      <c r="A2115" s="6">
        <v>43522</v>
      </c>
      <c r="B2115" t="s">
        <v>26</v>
      </c>
      <c r="C2115">
        <v>60267</v>
      </c>
      <c r="D2115" t="s">
        <v>644</v>
      </c>
      <c r="E2115" s="7">
        <v>1227.3800000000001</v>
      </c>
      <c r="F2115" t="s">
        <v>20</v>
      </c>
      <c r="G2115" t="s">
        <v>21</v>
      </c>
      <c r="H2115" t="str">
        <f>"8213281647"</f>
        <v>8213281647</v>
      </c>
      <c r="I2115" t="str">
        <f t="shared" ref="I2115:I2128" si="38">"UNIFIRST CORPORATION"</f>
        <v>UNIFIRST CORPORATION</v>
      </c>
    </row>
    <row r="2116" spans="1:9" x14ac:dyDescent="0.25">
      <c r="A2116" s="6">
        <v>43522</v>
      </c>
      <c r="B2116" t="s">
        <v>26</v>
      </c>
      <c r="C2116">
        <v>60267</v>
      </c>
      <c r="D2116" t="s">
        <v>644</v>
      </c>
      <c r="E2116" s="7">
        <v>1227.3800000000001</v>
      </c>
      <c r="F2116" t="s">
        <v>20</v>
      </c>
      <c r="G2116" t="s">
        <v>21</v>
      </c>
      <c r="H2116" t="str">
        <f>"8213281648"</f>
        <v>8213281648</v>
      </c>
      <c r="I2116" t="str">
        <f t="shared" si="38"/>
        <v>UNIFIRST CORPORATION</v>
      </c>
    </row>
    <row r="2117" spans="1:9" x14ac:dyDescent="0.25">
      <c r="A2117" s="6">
        <v>43522</v>
      </c>
      <c r="B2117" t="s">
        <v>26</v>
      </c>
      <c r="C2117">
        <v>60267</v>
      </c>
      <c r="D2117" t="s">
        <v>644</v>
      </c>
      <c r="E2117" s="7">
        <v>1227.3800000000001</v>
      </c>
      <c r="F2117" t="s">
        <v>20</v>
      </c>
      <c r="G2117" t="s">
        <v>21</v>
      </c>
      <c r="H2117" t="str">
        <f>"8213281649"</f>
        <v>8213281649</v>
      </c>
      <c r="I2117" t="str">
        <f t="shared" si="38"/>
        <v>UNIFIRST CORPORATION</v>
      </c>
    </row>
    <row r="2118" spans="1:9" x14ac:dyDescent="0.25">
      <c r="A2118" s="6">
        <v>43522</v>
      </c>
      <c r="B2118" t="s">
        <v>26</v>
      </c>
      <c r="C2118">
        <v>60267</v>
      </c>
      <c r="D2118" t="s">
        <v>644</v>
      </c>
      <c r="E2118" s="7">
        <v>1227.3800000000001</v>
      </c>
      <c r="F2118" t="s">
        <v>20</v>
      </c>
      <c r="G2118" t="s">
        <v>21</v>
      </c>
      <c r="H2118" t="str">
        <f>"8213281650"</f>
        <v>8213281650</v>
      </c>
      <c r="I2118" t="str">
        <f t="shared" si="38"/>
        <v>UNIFIRST CORPORATION</v>
      </c>
    </row>
    <row r="2119" spans="1:9" x14ac:dyDescent="0.25">
      <c r="A2119" s="6">
        <v>43522</v>
      </c>
      <c r="B2119" t="s">
        <v>26</v>
      </c>
      <c r="C2119">
        <v>60267</v>
      </c>
      <c r="D2119" t="s">
        <v>644</v>
      </c>
      <c r="E2119" s="7">
        <v>1227.3800000000001</v>
      </c>
      <c r="F2119" t="s">
        <v>20</v>
      </c>
      <c r="G2119" t="s">
        <v>21</v>
      </c>
      <c r="H2119" t="str">
        <f>"8213281651"</f>
        <v>8213281651</v>
      </c>
      <c r="I2119" t="str">
        <f t="shared" si="38"/>
        <v>UNIFIRST CORPORATION</v>
      </c>
    </row>
    <row r="2120" spans="1:9" x14ac:dyDescent="0.25">
      <c r="A2120" s="6">
        <v>43522</v>
      </c>
      <c r="B2120" t="s">
        <v>26</v>
      </c>
      <c r="C2120">
        <v>60267</v>
      </c>
      <c r="D2120" t="s">
        <v>644</v>
      </c>
      <c r="E2120" s="7">
        <v>1227.3800000000001</v>
      </c>
      <c r="F2120" t="s">
        <v>20</v>
      </c>
      <c r="G2120" t="s">
        <v>21</v>
      </c>
      <c r="H2120" t="str">
        <f>"8213281652"</f>
        <v>8213281652</v>
      </c>
      <c r="I2120" t="str">
        <f t="shared" si="38"/>
        <v>UNIFIRST CORPORATION</v>
      </c>
    </row>
    <row r="2121" spans="1:9" x14ac:dyDescent="0.25">
      <c r="A2121" s="6">
        <v>43522</v>
      </c>
      <c r="B2121" t="s">
        <v>26</v>
      </c>
      <c r="C2121">
        <v>60267</v>
      </c>
      <c r="D2121" t="s">
        <v>644</v>
      </c>
      <c r="E2121" s="7">
        <v>1227.3800000000001</v>
      </c>
      <c r="F2121" t="s">
        <v>20</v>
      </c>
      <c r="G2121" t="s">
        <v>21</v>
      </c>
      <c r="H2121" t="str">
        <f>"8213281653"</f>
        <v>8213281653</v>
      </c>
      <c r="I2121" t="str">
        <f t="shared" si="38"/>
        <v>UNIFIRST CORPORATION</v>
      </c>
    </row>
    <row r="2122" spans="1:9" x14ac:dyDescent="0.25">
      <c r="A2122" s="6">
        <v>43522</v>
      </c>
      <c r="B2122" t="s">
        <v>26</v>
      </c>
      <c r="C2122">
        <v>60267</v>
      </c>
      <c r="D2122" t="s">
        <v>644</v>
      </c>
      <c r="E2122" s="7">
        <v>1227.3800000000001</v>
      </c>
      <c r="F2122" t="s">
        <v>20</v>
      </c>
      <c r="G2122" t="s">
        <v>21</v>
      </c>
      <c r="H2122" t="str">
        <f>"8213284406"</f>
        <v>8213284406</v>
      </c>
      <c r="I2122" t="str">
        <f t="shared" si="38"/>
        <v>UNIFIRST CORPORATION</v>
      </c>
    </row>
    <row r="2123" spans="1:9" x14ac:dyDescent="0.25">
      <c r="A2123" s="6">
        <v>43522</v>
      </c>
      <c r="B2123" t="s">
        <v>26</v>
      </c>
      <c r="C2123">
        <v>60267</v>
      </c>
      <c r="D2123" t="s">
        <v>644</v>
      </c>
      <c r="E2123" s="7">
        <v>1227.3800000000001</v>
      </c>
      <c r="F2123" t="s">
        <v>20</v>
      </c>
      <c r="G2123" t="s">
        <v>21</v>
      </c>
      <c r="H2123" t="str">
        <f>"8213284407"</f>
        <v>8213284407</v>
      </c>
      <c r="I2123" t="str">
        <f t="shared" si="38"/>
        <v>UNIFIRST CORPORATION</v>
      </c>
    </row>
    <row r="2124" spans="1:9" x14ac:dyDescent="0.25">
      <c r="A2124" s="6">
        <v>43522</v>
      </c>
      <c r="B2124" t="s">
        <v>26</v>
      </c>
      <c r="C2124">
        <v>60267</v>
      </c>
      <c r="D2124" t="s">
        <v>644</v>
      </c>
      <c r="E2124" s="7">
        <v>1227.3800000000001</v>
      </c>
      <c r="F2124" t="s">
        <v>20</v>
      </c>
      <c r="G2124" t="s">
        <v>21</v>
      </c>
      <c r="H2124" t="str">
        <f>"8213284408"</f>
        <v>8213284408</v>
      </c>
      <c r="I2124" t="str">
        <f t="shared" si="38"/>
        <v>UNIFIRST CORPORATION</v>
      </c>
    </row>
    <row r="2125" spans="1:9" x14ac:dyDescent="0.25">
      <c r="A2125" s="6">
        <v>43522</v>
      </c>
      <c r="B2125" t="s">
        <v>26</v>
      </c>
      <c r="C2125">
        <v>60267</v>
      </c>
      <c r="D2125" t="s">
        <v>644</v>
      </c>
      <c r="E2125" s="7">
        <v>1227.3800000000001</v>
      </c>
      <c r="F2125" t="s">
        <v>20</v>
      </c>
      <c r="G2125" t="s">
        <v>21</v>
      </c>
      <c r="H2125" t="str">
        <f>"8213284409"</f>
        <v>8213284409</v>
      </c>
      <c r="I2125" t="str">
        <f t="shared" si="38"/>
        <v>UNIFIRST CORPORATION</v>
      </c>
    </row>
    <row r="2126" spans="1:9" x14ac:dyDescent="0.25">
      <c r="A2126" s="6">
        <v>43522</v>
      </c>
      <c r="B2126" t="s">
        <v>26</v>
      </c>
      <c r="C2126">
        <v>60267</v>
      </c>
      <c r="D2126" t="s">
        <v>644</v>
      </c>
      <c r="E2126" s="7">
        <v>1227.3800000000001</v>
      </c>
      <c r="F2126" t="s">
        <v>20</v>
      </c>
      <c r="G2126" t="s">
        <v>21</v>
      </c>
      <c r="H2126" t="str">
        <f>"8213284410"</f>
        <v>8213284410</v>
      </c>
      <c r="I2126" t="str">
        <f t="shared" si="38"/>
        <v>UNIFIRST CORPORATION</v>
      </c>
    </row>
    <row r="2127" spans="1:9" x14ac:dyDescent="0.25">
      <c r="A2127" s="6">
        <v>43522</v>
      </c>
      <c r="B2127" t="s">
        <v>26</v>
      </c>
      <c r="C2127">
        <v>60267</v>
      </c>
      <c r="D2127" t="s">
        <v>644</v>
      </c>
      <c r="E2127" s="7">
        <v>1227.3800000000001</v>
      </c>
      <c r="F2127" t="s">
        <v>20</v>
      </c>
      <c r="G2127" t="s">
        <v>21</v>
      </c>
      <c r="H2127" t="str">
        <f>"8213284411"</f>
        <v>8213284411</v>
      </c>
      <c r="I2127" t="str">
        <f t="shared" si="38"/>
        <v>UNIFIRST CORPORATION</v>
      </c>
    </row>
    <row r="2128" spans="1:9" x14ac:dyDescent="0.25">
      <c r="A2128" s="6">
        <v>43522</v>
      </c>
      <c r="B2128" t="s">
        <v>26</v>
      </c>
      <c r="C2128">
        <v>60267</v>
      </c>
      <c r="D2128" t="s">
        <v>644</v>
      </c>
      <c r="E2128" s="7">
        <v>1227.3800000000001</v>
      </c>
      <c r="F2128" t="s">
        <v>20</v>
      </c>
      <c r="G2128" t="s">
        <v>21</v>
      </c>
      <c r="H2128" t="str">
        <f>"8213284412"</f>
        <v>8213284412</v>
      </c>
      <c r="I2128" t="str">
        <f t="shared" si="38"/>
        <v>UNIFIRST CORPORATION</v>
      </c>
    </row>
    <row r="2129" spans="1:9" x14ac:dyDescent="0.25">
      <c r="A2129" s="6">
        <v>43524</v>
      </c>
      <c r="B2129" t="s">
        <v>26</v>
      </c>
      <c r="C2129">
        <v>60278</v>
      </c>
      <c r="D2129" t="s">
        <v>51</v>
      </c>
      <c r="E2129" s="7">
        <v>327.84</v>
      </c>
      <c r="F2129" t="s">
        <v>20</v>
      </c>
      <c r="G2129" t="s">
        <v>21</v>
      </c>
      <c r="H2129" t="str">
        <f>"CLE201902268509"</f>
        <v>CLE201902268509</v>
      </c>
      <c r="I2129" t="str">
        <f>"CLEAT ONLY DUES"</f>
        <v>CLEAT ONLY DUES</v>
      </c>
    </row>
    <row r="2130" spans="1:9" x14ac:dyDescent="0.25">
      <c r="A2130" s="6">
        <v>43524</v>
      </c>
      <c r="B2130" t="s">
        <v>26</v>
      </c>
      <c r="C2130">
        <v>60278</v>
      </c>
      <c r="D2130" t="s">
        <v>51</v>
      </c>
      <c r="E2130" s="7">
        <v>327.84</v>
      </c>
      <c r="F2130" t="s">
        <v>20</v>
      </c>
      <c r="G2130" t="s">
        <v>21</v>
      </c>
      <c r="H2130" t="str">
        <f>"PDD201902268509"</f>
        <v>PDD201902268509</v>
      </c>
      <c r="I2130" t="str">
        <f>"POLICE OFFICERS ASSOC DUES"</f>
        <v>POLICE OFFICERS ASSOC DUES</v>
      </c>
    </row>
    <row r="2131" spans="1:9" x14ac:dyDescent="0.25">
      <c r="A2131" s="6">
        <v>43524</v>
      </c>
      <c r="B2131" t="s">
        <v>91</v>
      </c>
      <c r="C2131">
        <v>60279</v>
      </c>
      <c r="D2131" t="s">
        <v>90</v>
      </c>
      <c r="E2131" s="7">
        <v>101.1</v>
      </c>
      <c r="F2131" t="s">
        <v>20</v>
      </c>
      <c r="G2131" t="s">
        <v>21</v>
      </c>
      <c r="H2131" t="str">
        <f>"AFS201902268509"</f>
        <v>AFS201902268509</v>
      </c>
      <c r="I2131" t="str">
        <f>"AFLAC STD"</f>
        <v>AFLAC STD</v>
      </c>
    </row>
    <row r="2132" spans="1:9" x14ac:dyDescent="0.25">
      <c r="A2132" s="6">
        <v>43524</v>
      </c>
      <c r="B2132" t="s">
        <v>26</v>
      </c>
      <c r="C2132">
        <v>60280</v>
      </c>
      <c r="D2132" t="s">
        <v>52</v>
      </c>
      <c r="E2132" s="7">
        <v>1143.76</v>
      </c>
      <c r="F2132" t="s">
        <v>20</v>
      </c>
      <c r="G2132" t="s">
        <v>21</v>
      </c>
      <c r="H2132" t="str">
        <f>"CJD201902268509"</f>
        <v>CJD201902268509</v>
      </c>
      <c r="I2132" t="str">
        <f>"1371990918080637CV RUBI MUNOZ"</f>
        <v>1371990918080637CV RUBI MUNOZ</v>
      </c>
    </row>
    <row r="2133" spans="1:9" x14ac:dyDescent="0.25">
      <c r="A2133" s="6">
        <v>43524</v>
      </c>
      <c r="B2133" t="s">
        <v>26</v>
      </c>
      <c r="C2133">
        <v>60280</v>
      </c>
      <c r="D2133" t="s">
        <v>52</v>
      </c>
      <c r="E2133" s="7">
        <v>1143.76</v>
      </c>
      <c r="F2133" t="s">
        <v>20</v>
      </c>
      <c r="G2133" t="s">
        <v>21</v>
      </c>
      <c r="H2133" t="str">
        <f>"CPS201902268509"</f>
        <v>CPS201902268509</v>
      </c>
      <c r="I2133" t="str">
        <f>"G MENDOZA 00123012032010EM5054"</f>
        <v>G MENDOZA 00123012032010EM5054</v>
      </c>
    </row>
    <row r="2134" spans="1:9" x14ac:dyDescent="0.25">
      <c r="A2134" s="6">
        <v>43524</v>
      </c>
      <c r="B2134" t="s">
        <v>26</v>
      </c>
      <c r="C2134">
        <v>60280</v>
      </c>
      <c r="D2134" t="s">
        <v>52</v>
      </c>
      <c r="E2134" s="7">
        <v>1143.76</v>
      </c>
      <c r="F2134" t="s">
        <v>20</v>
      </c>
      <c r="G2134" t="s">
        <v>21</v>
      </c>
      <c r="H2134" t="str">
        <f>"CSJ201902268509"</f>
        <v>CSJ201902268509</v>
      </c>
      <c r="I2134" t="str">
        <f>"CAUSE# 0010185272 MARIANN GUTI"</f>
        <v>CAUSE# 0010185272 MARIANN GUTI</v>
      </c>
    </row>
    <row r="2135" spans="1:9" x14ac:dyDescent="0.25">
      <c r="A2135" s="6">
        <v>43524</v>
      </c>
      <c r="B2135" t="s">
        <v>26</v>
      </c>
      <c r="C2135">
        <v>60281</v>
      </c>
      <c r="D2135" t="s">
        <v>53</v>
      </c>
      <c r="E2135" s="7">
        <v>99.1</v>
      </c>
      <c r="F2135" t="s">
        <v>20</v>
      </c>
      <c r="G2135" t="s">
        <v>21</v>
      </c>
      <c r="H2135" t="str">
        <f>"MCO201902268509"</f>
        <v>MCO201902268509</v>
      </c>
      <c r="I2135" t="str">
        <f>"MONICA CORDOVA"</f>
        <v>MONICA CORDOVA</v>
      </c>
    </row>
    <row r="2136" spans="1:9" x14ac:dyDescent="0.25">
      <c r="A2136" s="6">
        <v>43524</v>
      </c>
      <c r="B2136" t="s">
        <v>26</v>
      </c>
      <c r="C2136">
        <v>60282</v>
      </c>
      <c r="D2136" t="s">
        <v>54</v>
      </c>
      <c r="E2136" s="7">
        <v>877.1</v>
      </c>
      <c r="F2136" t="s">
        <v>20</v>
      </c>
      <c r="G2136" t="s">
        <v>21</v>
      </c>
      <c r="H2136" t="str">
        <f>"457201902268509"</f>
        <v>457201902268509</v>
      </c>
      <c r="I2136" t="str">
        <f>"CASE # 180-60751 457B DEDUCT"</f>
        <v>CASE # 180-60751 457B DEDUCT</v>
      </c>
    </row>
    <row r="2137" spans="1:9" x14ac:dyDescent="0.25">
      <c r="A2137" s="6">
        <v>43523</v>
      </c>
      <c r="B2137" t="s">
        <v>26</v>
      </c>
      <c r="C2137">
        <v>60283</v>
      </c>
      <c r="D2137" t="s">
        <v>165</v>
      </c>
      <c r="E2137" s="7">
        <v>79.64</v>
      </c>
      <c r="F2137" t="s">
        <v>20</v>
      </c>
      <c r="G2137" t="s">
        <v>21</v>
      </c>
      <c r="H2137" t="str">
        <f>"1954 2/19 LST PYMT"</f>
        <v>1954 2/19 LST PYMT</v>
      </c>
      <c r="I2137" t="str">
        <f>"WAL-MART BUSINESS/SYNCB"</f>
        <v>WAL-MART BUSINESS/SYNCB</v>
      </c>
    </row>
    <row r="2138" spans="1:9" x14ac:dyDescent="0.25">
      <c r="A2138" s="6">
        <v>43523</v>
      </c>
      <c r="B2138" t="s">
        <v>26</v>
      </c>
      <c r="C2138">
        <v>60284</v>
      </c>
      <c r="D2138" t="s">
        <v>186</v>
      </c>
      <c r="E2138" s="7">
        <v>7632.08</v>
      </c>
      <c r="F2138" t="s">
        <v>20</v>
      </c>
      <c r="G2138" t="s">
        <v>21</v>
      </c>
      <c r="H2138" t="str">
        <f>"2ND QRT APRIL-JUNE"</f>
        <v>2ND QRT APRIL-JUNE</v>
      </c>
      <c r="I2138" t="str">
        <f>"WILSON COUNTY APPRAISAL DISTRI"</f>
        <v>WILSON COUNTY APPRAISAL DISTRI</v>
      </c>
    </row>
    <row r="2139" spans="1:9" x14ac:dyDescent="0.25">
      <c r="A2139" s="6">
        <v>43523</v>
      </c>
      <c r="B2139" t="s">
        <v>26</v>
      </c>
      <c r="C2139">
        <v>60285</v>
      </c>
      <c r="D2139" t="s">
        <v>194</v>
      </c>
      <c r="E2139" s="7">
        <v>350</v>
      </c>
      <c r="F2139" t="s">
        <v>20</v>
      </c>
      <c r="G2139" t="s">
        <v>21</v>
      </c>
      <c r="H2139" t="str">
        <f>"BC0756123"</f>
        <v>BC0756123</v>
      </c>
      <c r="I2139" t="str">
        <f>"GALLS  LLC-D.B.A. STERLING'S U"</f>
        <v>GALLS  LLC-D.B.A. STERLING'S U</v>
      </c>
    </row>
    <row r="2140" spans="1:9" x14ac:dyDescent="0.25">
      <c r="A2140" s="6">
        <v>43523</v>
      </c>
      <c r="B2140" t="s">
        <v>26</v>
      </c>
      <c r="C2140">
        <v>60286</v>
      </c>
      <c r="D2140" t="s">
        <v>311</v>
      </c>
      <c r="E2140" s="7">
        <v>2969.74</v>
      </c>
      <c r="F2140" t="s">
        <v>20</v>
      </c>
      <c r="G2140" t="s">
        <v>21</v>
      </c>
      <c r="H2140" t="str">
        <f>"ML-000099792 3/19"</f>
        <v>ML-000099792 3/19</v>
      </c>
      <c r="I2140" t="s">
        <v>571</v>
      </c>
    </row>
    <row r="2141" spans="1:9" x14ac:dyDescent="0.25">
      <c r="A2141" s="6">
        <v>43523</v>
      </c>
      <c r="B2141" t="s">
        <v>26</v>
      </c>
      <c r="C2141">
        <v>60287</v>
      </c>
      <c r="D2141" t="s">
        <v>528</v>
      </c>
      <c r="E2141" s="7">
        <v>43.8</v>
      </c>
      <c r="F2141" t="s">
        <v>20</v>
      </c>
      <c r="G2141" t="s">
        <v>21</v>
      </c>
      <c r="H2141" t="str">
        <f>"1857379"</f>
        <v>1857379</v>
      </c>
      <c r="I2141" t="str">
        <f>"PROSTAR SERVICES INC"</f>
        <v>PROSTAR SERVICES INC</v>
      </c>
    </row>
    <row r="2142" spans="1:9" x14ac:dyDescent="0.25">
      <c r="A2142" s="6">
        <v>43523</v>
      </c>
      <c r="B2142" t="s">
        <v>26</v>
      </c>
      <c r="C2142">
        <v>60288</v>
      </c>
      <c r="D2142" t="s">
        <v>683</v>
      </c>
      <c r="E2142" s="7">
        <v>6000</v>
      </c>
      <c r="F2142" t="s">
        <v>20</v>
      </c>
      <c r="G2142" t="s">
        <v>21</v>
      </c>
      <c r="H2142" t="str">
        <f>"00222"</f>
        <v>00222</v>
      </c>
      <c r="I2142" t="str">
        <f>"ALL PRO ASPHALT  LLC"</f>
        <v>ALL PRO ASPHALT  LLC</v>
      </c>
    </row>
    <row r="2143" spans="1:9" x14ac:dyDescent="0.25">
      <c r="A2143" s="6">
        <v>43523</v>
      </c>
      <c r="B2143" t="s">
        <v>26</v>
      </c>
      <c r="C2143">
        <v>60289</v>
      </c>
      <c r="D2143" t="s">
        <v>579</v>
      </c>
      <c r="E2143" s="7">
        <v>70</v>
      </c>
      <c r="F2143" t="s">
        <v>20</v>
      </c>
      <c r="G2143" t="s">
        <v>21</v>
      </c>
      <c r="H2143" t="str">
        <f>"2/23/2019"</f>
        <v>2/23/2019</v>
      </c>
      <c r="I2143" t="str">
        <f>"NICOLE TRINIDAD"</f>
        <v>NICOLE TRINIDAD</v>
      </c>
    </row>
    <row r="2144" spans="1:9" x14ac:dyDescent="0.25">
      <c r="A2144" s="6">
        <v>43523</v>
      </c>
      <c r="B2144" t="s">
        <v>26</v>
      </c>
      <c r="C2144">
        <v>60290</v>
      </c>
      <c r="D2144" t="s">
        <v>345</v>
      </c>
      <c r="E2144" s="7">
        <v>347</v>
      </c>
      <c r="F2144" t="s">
        <v>20</v>
      </c>
      <c r="G2144" t="s">
        <v>21</v>
      </c>
      <c r="H2144" t="str">
        <f>"2/23/2019"</f>
        <v>2/23/2019</v>
      </c>
      <c r="I2144" t="str">
        <f>"MICHAEL ISAAC MARTINEZ"</f>
        <v>MICHAEL ISAAC MARTINEZ</v>
      </c>
    </row>
    <row r="2145" spans="1:9" x14ac:dyDescent="0.25">
      <c r="A2145" s="6">
        <v>43523</v>
      </c>
      <c r="B2145" t="s">
        <v>26</v>
      </c>
      <c r="C2145">
        <v>60291</v>
      </c>
      <c r="D2145" t="s">
        <v>523</v>
      </c>
      <c r="E2145" s="7">
        <v>70</v>
      </c>
      <c r="F2145" t="s">
        <v>20</v>
      </c>
      <c r="G2145" t="s">
        <v>21</v>
      </c>
      <c r="H2145" t="str">
        <f>"2/23/2019"</f>
        <v>2/23/2019</v>
      </c>
      <c r="I2145" t="str">
        <f>"CLAUDIA GARZA"</f>
        <v>CLAUDIA GARZA</v>
      </c>
    </row>
    <row r="2146" spans="1:9" x14ac:dyDescent="0.25">
      <c r="A2146" s="6">
        <v>43523</v>
      </c>
      <c r="B2146" t="s">
        <v>26</v>
      </c>
      <c r="C2146">
        <v>60292</v>
      </c>
      <c r="D2146" t="s">
        <v>539</v>
      </c>
      <c r="E2146" s="7">
        <v>70</v>
      </c>
      <c r="F2146" t="s">
        <v>20</v>
      </c>
      <c r="G2146" t="s">
        <v>21</v>
      </c>
      <c r="H2146" t="str">
        <f>"2/23/2019"</f>
        <v>2/23/2019</v>
      </c>
      <c r="I2146" t="str">
        <f>"YVONNE G GARCIA"</f>
        <v>YVONNE G GARCIA</v>
      </c>
    </row>
    <row r="2147" spans="1:9" x14ac:dyDescent="0.25">
      <c r="A2147" s="6">
        <v>43523</v>
      </c>
      <c r="B2147" t="s">
        <v>26</v>
      </c>
      <c r="C2147">
        <v>60293</v>
      </c>
      <c r="D2147" t="s">
        <v>651</v>
      </c>
      <c r="E2147" s="7">
        <v>110</v>
      </c>
      <c r="F2147" t="s">
        <v>20</v>
      </c>
      <c r="G2147" t="s">
        <v>21</v>
      </c>
      <c r="H2147" t="str">
        <f>"2/23/2019"</f>
        <v>2/23/2019</v>
      </c>
      <c r="I2147" t="str">
        <f>"NAZARETH RAMIREZ"</f>
        <v>NAZARETH RAMIREZ</v>
      </c>
    </row>
    <row r="2148" spans="1:9" x14ac:dyDescent="0.25">
      <c r="A2148" s="6">
        <v>43528</v>
      </c>
      <c r="B2148" t="s">
        <v>26</v>
      </c>
      <c r="C2148">
        <v>60294</v>
      </c>
      <c r="D2148" t="s">
        <v>90</v>
      </c>
      <c r="E2148" s="7">
        <v>2169.6</v>
      </c>
      <c r="F2148" t="s">
        <v>20</v>
      </c>
      <c r="G2148" t="s">
        <v>329</v>
      </c>
      <c r="H2148" t="str">
        <f>"3/2019"</f>
        <v>3/2019</v>
      </c>
      <c r="I2148" t="str">
        <f>"AFLAC"</f>
        <v>AFLAC</v>
      </c>
    </row>
    <row r="2149" spans="1:9" x14ac:dyDescent="0.25">
      <c r="A2149" s="6">
        <v>43528</v>
      </c>
      <c r="B2149" t="s">
        <v>26</v>
      </c>
      <c r="C2149">
        <v>60294</v>
      </c>
      <c r="D2149" t="s">
        <v>90</v>
      </c>
      <c r="E2149" s="7">
        <v>2169.6</v>
      </c>
      <c r="F2149" t="s">
        <v>20</v>
      </c>
      <c r="G2149" t="s">
        <v>21</v>
      </c>
      <c r="H2149" t="str">
        <f>"ACA201902138508"</f>
        <v>ACA201902138508</v>
      </c>
      <c r="I2149" t="str">
        <f>"AFLAC INSURANCE"</f>
        <v>AFLAC INSURANCE</v>
      </c>
    </row>
    <row r="2150" spans="1:9" x14ac:dyDescent="0.25">
      <c r="A2150" s="6">
        <v>43528</v>
      </c>
      <c r="B2150" t="s">
        <v>26</v>
      </c>
      <c r="C2150">
        <v>60294</v>
      </c>
      <c r="D2150" t="s">
        <v>90</v>
      </c>
      <c r="E2150" s="7">
        <v>2169.6</v>
      </c>
      <c r="F2150" t="s">
        <v>20</v>
      </c>
      <c r="G2150" t="s">
        <v>21</v>
      </c>
      <c r="H2150" t="str">
        <f>"AD2201902138508"</f>
        <v>AD2201902138508</v>
      </c>
      <c r="I2150" t="str">
        <f>"AFLAC INSURANCE"</f>
        <v>AFLAC INSURANCE</v>
      </c>
    </row>
    <row r="2151" spans="1:9" x14ac:dyDescent="0.25">
      <c r="A2151" s="6">
        <v>43528</v>
      </c>
      <c r="B2151" t="s">
        <v>26</v>
      </c>
      <c r="C2151">
        <v>60294</v>
      </c>
      <c r="D2151" t="s">
        <v>90</v>
      </c>
      <c r="E2151" s="7">
        <v>2169.6</v>
      </c>
      <c r="F2151" t="s">
        <v>20</v>
      </c>
      <c r="G2151" t="s">
        <v>21</v>
      </c>
      <c r="H2151" t="str">
        <f>"ADR201902138508"</f>
        <v>ADR201902138508</v>
      </c>
      <c r="I2151" t="str">
        <f>"INSURANCE"</f>
        <v>INSURANCE</v>
      </c>
    </row>
    <row r="2152" spans="1:9" x14ac:dyDescent="0.25">
      <c r="A2152" s="6">
        <v>43528</v>
      </c>
      <c r="B2152" t="s">
        <v>26</v>
      </c>
      <c r="C2152">
        <v>60294</v>
      </c>
      <c r="D2152" t="s">
        <v>90</v>
      </c>
      <c r="E2152" s="7">
        <v>2169.6</v>
      </c>
      <c r="F2152" t="s">
        <v>20</v>
      </c>
      <c r="G2152" t="s">
        <v>21</v>
      </c>
      <c r="H2152" t="str">
        <f>"AF1201902138508"</f>
        <v>AF1201902138508</v>
      </c>
      <c r="I2152" t="str">
        <f>"AFLAC INSURANCE"</f>
        <v>AFLAC INSURANCE</v>
      </c>
    </row>
    <row r="2153" spans="1:9" x14ac:dyDescent="0.25">
      <c r="A2153" s="6">
        <v>43528</v>
      </c>
      <c r="B2153" t="s">
        <v>26</v>
      </c>
      <c r="C2153">
        <v>60294</v>
      </c>
      <c r="D2153" t="s">
        <v>90</v>
      </c>
      <c r="E2153" s="7">
        <v>2169.6</v>
      </c>
      <c r="F2153" t="s">
        <v>20</v>
      </c>
      <c r="G2153" t="s">
        <v>21</v>
      </c>
      <c r="H2153" t="str">
        <f>"ASP201902138508"</f>
        <v>ASP201902138508</v>
      </c>
      <c r="I2153" t="str">
        <f>"AFLAC INSURANCE"</f>
        <v>AFLAC INSURANCE</v>
      </c>
    </row>
    <row r="2154" spans="1:9" x14ac:dyDescent="0.25">
      <c r="A2154" s="6">
        <v>43528</v>
      </c>
      <c r="B2154" t="s">
        <v>26</v>
      </c>
      <c r="C2154">
        <v>60294</v>
      </c>
      <c r="D2154" t="s">
        <v>90</v>
      </c>
      <c r="E2154" s="7">
        <v>2169.6</v>
      </c>
      <c r="F2154" t="s">
        <v>20</v>
      </c>
      <c r="G2154" t="s">
        <v>21</v>
      </c>
      <c r="H2154" t="str">
        <f>"HCO201902138508"</f>
        <v>HCO201902138508</v>
      </c>
      <c r="I2154" t="str">
        <f>"AFLAC INSURANCE"</f>
        <v>AFLAC INSURANCE</v>
      </c>
    </row>
    <row r="2155" spans="1:9" x14ac:dyDescent="0.25">
      <c r="A2155" s="6">
        <v>43528</v>
      </c>
      <c r="B2155" t="s">
        <v>26</v>
      </c>
      <c r="C2155">
        <v>60297</v>
      </c>
      <c r="D2155" t="s">
        <v>95</v>
      </c>
      <c r="E2155" s="7">
        <v>64.959999999999994</v>
      </c>
      <c r="F2155" t="s">
        <v>20</v>
      </c>
      <c r="G2155" t="s">
        <v>21</v>
      </c>
      <c r="H2155" t="str">
        <f>"3/2019"</f>
        <v>3/2019</v>
      </c>
      <c r="I2155" t="str">
        <f>"LEGAL PLANS"</f>
        <v>LEGAL PLANS</v>
      </c>
    </row>
    <row r="2156" spans="1:9" x14ac:dyDescent="0.25">
      <c r="A2156" s="6">
        <v>43528</v>
      </c>
      <c r="B2156" t="s">
        <v>26</v>
      </c>
      <c r="C2156">
        <v>60297</v>
      </c>
      <c r="D2156" t="s">
        <v>95</v>
      </c>
      <c r="E2156" s="7">
        <v>64.959999999999994</v>
      </c>
      <c r="F2156" t="s">
        <v>20</v>
      </c>
      <c r="G2156" t="s">
        <v>21</v>
      </c>
      <c r="H2156" t="str">
        <f>"LEA201902138508"</f>
        <v>LEA201902138508</v>
      </c>
      <c r="I2156" t="str">
        <f>"INSURANCE"</f>
        <v>INSURANCE</v>
      </c>
    </row>
    <row r="2157" spans="1:9" x14ac:dyDescent="0.25">
      <c r="A2157" s="6">
        <v>43528</v>
      </c>
      <c r="B2157" t="s">
        <v>26</v>
      </c>
      <c r="C2157">
        <v>60298</v>
      </c>
      <c r="D2157" t="s">
        <v>96</v>
      </c>
      <c r="E2157" s="7">
        <v>426.4</v>
      </c>
      <c r="F2157" t="s">
        <v>20</v>
      </c>
      <c r="G2157" t="s">
        <v>329</v>
      </c>
      <c r="H2157" t="str">
        <f>"3/2019"</f>
        <v>3/2019</v>
      </c>
      <c r="I2157" t="str">
        <f>"LEGALSHIELD"</f>
        <v>LEGALSHIELD</v>
      </c>
    </row>
    <row r="2158" spans="1:9" x14ac:dyDescent="0.25">
      <c r="A2158" s="6">
        <v>43528</v>
      </c>
      <c r="B2158" t="s">
        <v>26</v>
      </c>
      <c r="C2158">
        <v>60298</v>
      </c>
      <c r="D2158" t="s">
        <v>96</v>
      </c>
      <c r="E2158" s="7">
        <v>426.4</v>
      </c>
      <c r="F2158" t="s">
        <v>20</v>
      </c>
      <c r="G2158" t="s">
        <v>21</v>
      </c>
      <c r="H2158" t="str">
        <f>"PPL201902138508"</f>
        <v>PPL201902138508</v>
      </c>
      <c r="I2158" t="str">
        <f>"INSURANCE"</f>
        <v>INSURANCE</v>
      </c>
    </row>
    <row r="2159" spans="1:9" x14ac:dyDescent="0.25">
      <c r="A2159" s="6">
        <v>43528</v>
      </c>
      <c r="B2159" t="s">
        <v>26</v>
      </c>
      <c r="C2159">
        <v>60299</v>
      </c>
      <c r="D2159" t="s">
        <v>97</v>
      </c>
      <c r="E2159" s="7">
        <v>40337.5</v>
      </c>
      <c r="F2159" t="s">
        <v>20</v>
      </c>
      <c r="G2159" t="s">
        <v>329</v>
      </c>
      <c r="H2159" t="str">
        <f>"3/2019"</f>
        <v>3/2019</v>
      </c>
      <c r="I2159" t="str">
        <f>"HEALTH CARE SERVICE CORPORATIO"</f>
        <v>HEALTH CARE SERVICE CORPORATIO</v>
      </c>
    </row>
    <row r="2160" spans="1:9" x14ac:dyDescent="0.25">
      <c r="A2160" s="6">
        <v>43528</v>
      </c>
      <c r="B2160" t="s">
        <v>26</v>
      </c>
      <c r="C2160">
        <v>60299</v>
      </c>
      <c r="D2160" t="s">
        <v>97</v>
      </c>
      <c r="E2160" s="7">
        <v>40337.5</v>
      </c>
      <c r="F2160" t="s">
        <v>20</v>
      </c>
      <c r="G2160" t="s">
        <v>21</v>
      </c>
      <c r="H2160" t="str">
        <f>"DEN201902138508"</f>
        <v>DEN201902138508</v>
      </c>
      <c r="I2160" t="str">
        <f>"DENTAL INSURANCE"</f>
        <v>DENTAL INSURANCE</v>
      </c>
    </row>
    <row r="2161" spans="1:9" x14ac:dyDescent="0.25">
      <c r="A2161" s="6">
        <v>43528</v>
      </c>
      <c r="B2161" t="s">
        <v>26</v>
      </c>
      <c r="C2161">
        <v>60299</v>
      </c>
      <c r="D2161" t="s">
        <v>97</v>
      </c>
      <c r="E2161" s="7">
        <v>40337.5</v>
      </c>
      <c r="F2161" t="s">
        <v>20</v>
      </c>
      <c r="G2161" t="s">
        <v>21</v>
      </c>
      <c r="H2161" t="str">
        <f>"MED201902138508"</f>
        <v>MED201902138508</v>
      </c>
      <c r="I2161" t="str">
        <f>"HEALTH &amp; DENTAL INSURANCE"</f>
        <v>HEALTH &amp; DENTAL INSURANCE</v>
      </c>
    </row>
    <row r="2162" spans="1:9" x14ac:dyDescent="0.25">
      <c r="A2162" s="6">
        <v>43528</v>
      </c>
      <c r="B2162" t="s">
        <v>26</v>
      </c>
      <c r="C2162">
        <v>60302</v>
      </c>
      <c r="D2162" t="s">
        <v>98</v>
      </c>
      <c r="E2162" s="7">
        <v>3839.87</v>
      </c>
      <c r="F2162" t="s">
        <v>20</v>
      </c>
      <c r="G2162" t="s">
        <v>21</v>
      </c>
      <c r="H2162" t="str">
        <f>"3/2019"</f>
        <v>3/2019</v>
      </c>
      <c r="I2162" t="str">
        <f>"DEARBORN NATIONAL"</f>
        <v>DEARBORN NATIONAL</v>
      </c>
    </row>
    <row r="2163" spans="1:9" x14ac:dyDescent="0.25">
      <c r="A2163" s="6">
        <v>43528</v>
      </c>
      <c r="B2163" t="s">
        <v>26</v>
      </c>
      <c r="C2163">
        <v>60303</v>
      </c>
      <c r="D2163" t="s">
        <v>637</v>
      </c>
      <c r="E2163" s="7">
        <v>75</v>
      </c>
      <c r="F2163" t="s">
        <v>20</v>
      </c>
      <c r="G2163" t="s">
        <v>21</v>
      </c>
      <c r="H2163" t="str">
        <f>"3/2019-COUNCIL"</f>
        <v>3/2019-COUNCIL</v>
      </c>
      <c r="I2163" t="str">
        <f>"SALARIES"</f>
        <v>SALARIES</v>
      </c>
    </row>
    <row r="2164" spans="1:9" x14ac:dyDescent="0.25">
      <c r="A2164" s="6">
        <v>43528</v>
      </c>
      <c r="B2164" t="s">
        <v>26</v>
      </c>
      <c r="C2164">
        <v>60304</v>
      </c>
      <c r="D2164" t="s">
        <v>223</v>
      </c>
      <c r="E2164" s="7">
        <v>75</v>
      </c>
      <c r="F2164" t="s">
        <v>20</v>
      </c>
      <c r="G2164" t="s">
        <v>21</v>
      </c>
      <c r="H2164" t="str">
        <f>"3/2019-COUNCIL"</f>
        <v>3/2019-COUNCIL</v>
      </c>
      <c r="I2164" t="str">
        <f>""</f>
        <v/>
      </c>
    </row>
    <row r="2165" spans="1:9" x14ac:dyDescent="0.25">
      <c r="A2165" s="6">
        <v>43528</v>
      </c>
      <c r="B2165" t="s">
        <v>26</v>
      </c>
      <c r="C2165">
        <v>60305</v>
      </c>
      <c r="D2165" t="s">
        <v>36</v>
      </c>
      <c r="E2165" s="7">
        <v>75</v>
      </c>
      <c r="F2165" t="s">
        <v>20</v>
      </c>
      <c r="G2165" t="s">
        <v>21</v>
      </c>
      <c r="H2165" t="str">
        <f>"3/2019-COUNCIL"</f>
        <v>3/2019-COUNCIL</v>
      </c>
      <c r="I2165" t="str">
        <f>""</f>
        <v/>
      </c>
    </row>
    <row r="2166" spans="1:9" x14ac:dyDescent="0.25">
      <c r="A2166" s="6">
        <v>43528</v>
      </c>
      <c r="B2166" t="s">
        <v>91</v>
      </c>
      <c r="C2166">
        <v>60306</v>
      </c>
      <c r="D2166" t="s">
        <v>37</v>
      </c>
      <c r="E2166" s="7">
        <v>75</v>
      </c>
      <c r="F2166" t="s">
        <v>20</v>
      </c>
      <c r="G2166" t="s">
        <v>21</v>
      </c>
      <c r="H2166" t="str">
        <f>"3/2019-COUNCIL"</f>
        <v>3/2019-COUNCIL</v>
      </c>
      <c r="I2166" t="str">
        <f>""</f>
        <v/>
      </c>
    </row>
    <row r="2167" spans="1:9" x14ac:dyDescent="0.25">
      <c r="A2167" s="6">
        <v>43528</v>
      </c>
      <c r="B2167" t="s">
        <v>26</v>
      </c>
      <c r="C2167">
        <v>60307</v>
      </c>
      <c r="D2167" t="s">
        <v>38</v>
      </c>
      <c r="E2167" s="7">
        <v>100</v>
      </c>
      <c r="F2167" t="s">
        <v>20</v>
      </c>
      <c r="G2167" t="s">
        <v>21</v>
      </c>
      <c r="H2167" t="str">
        <f>"3/2019-MAYOR"</f>
        <v>3/2019-MAYOR</v>
      </c>
      <c r="I2167" t="str">
        <f>""</f>
        <v/>
      </c>
    </row>
    <row r="2168" spans="1:9" x14ac:dyDescent="0.25">
      <c r="A2168" s="6">
        <v>43528</v>
      </c>
      <c r="B2168" t="s">
        <v>26</v>
      </c>
      <c r="C2168">
        <v>60308</v>
      </c>
      <c r="D2168" t="s">
        <v>558</v>
      </c>
      <c r="E2168" s="7">
        <v>75</v>
      </c>
      <c r="F2168" t="s">
        <v>20</v>
      </c>
      <c r="G2168" t="s">
        <v>21</v>
      </c>
      <c r="H2168" t="str">
        <f>"3/2019-COUNCIL"</f>
        <v>3/2019-COUNCIL</v>
      </c>
      <c r="I2168" t="str">
        <f>"SALARIES"</f>
        <v>SALARIES</v>
      </c>
    </row>
    <row r="2169" spans="1:9" x14ac:dyDescent="0.25">
      <c r="A2169" s="6">
        <v>43529</v>
      </c>
      <c r="B2169" t="s">
        <v>26</v>
      </c>
      <c r="C2169">
        <v>60309</v>
      </c>
      <c r="D2169" t="s">
        <v>102</v>
      </c>
      <c r="E2169" s="7">
        <v>26.84</v>
      </c>
      <c r="F2169" t="s">
        <v>20</v>
      </c>
      <c r="G2169" t="s">
        <v>21</v>
      </c>
      <c r="H2169" t="str">
        <f>"1107 1ST ST. FINAL"</f>
        <v>1107 1ST ST. FINAL</v>
      </c>
      <c r="I2169" t="str">
        <f>"CENTERPOINT ENERGY ENTEX"</f>
        <v>CENTERPOINT ENERGY ENTEX</v>
      </c>
    </row>
    <row r="2170" spans="1:9" x14ac:dyDescent="0.25">
      <c r="A2170" s="6">
        <v>43529</v>
      </c>
      <c r="B2170" t="s">
        <v>26</v>
      </c>
      <c r="C2170">
        <v>60310</v>
      </c>
      <c r="D2170" t="s">
        <v>57</v>
      </c>
      <c r="E2170" s="7">
        <v>653.84</v>
      </c>
      <c r="F2170" t="s">
        <v>20</v>
      </c>
      <c r="G2170" t="s">
        <v>21</v>
      </c>
      <c r="H2170" t="str">
        <f>"11617-041 MTR32260"</f>
        <v>11617-041 MTR32260</v>
      </c>
      <c r="I2170" t="str">
        <f>"F.E.L.P.S."</f>
        <v>F.E.L.P.S.</v>
      </c>
    </row>
    <row r="2171" spans="1:9" x14ac:dyDescent="0.25">
      <c r="A2171" s="6">
        <v>43529</v>
      </c>
      <c r="B2171" t="s">
        <v>26</v>
      </c>
      <c r="C2171">
        <v>60311</v>
      </c>
      <c r="D2171" t="s">
        <v>58</v>
      </c>
      <c r="E2171" s="7">
        <v>268.83999999999997</v>
      </c>
      <c r="F2171" t="s">
        <v>20</v>
      </c>
      <c r="G2171" t="s">
        <v>21</v>
      </c>
      <c r="H2171" t="str">
        <f>"556267"</f>
        <v>556267</v>
      </c>
      <c r="I2171" t="str">
        <f t="shared" ref="I2171:I2178" si="39">"DEASON ANIMAL HOSPITAL"</f>
        <v>DEASON ANIMAL HOSPITAL</v>
      </c>
    </row>
    <row r="2172" spans="1:9" x14ac:dyDescent="0.25">
      <c r="A2172" s="6">
        <v>43529</v>
      </c>
      <c r="B2172" t="s">
        <v>26</v>
      </c>
      <c r="C2172">
        <v>60311</v>
      </c>
      <c r="D2172" t="s">
        <v>58</v>
      </c>
      <c r="E2172" s="7">
        <v>268.83999999999997</v>
      </c>
      <c r="F2172" t="s">
        <v>20</v>
      </c>
      <c r="G2172" t="s">
        <v>21</v>
      </c>
      <c r="H2172" t="str">
        <f>"556524"</f>
        <v>556524</v>
      </c>
      <c r="I2172" t="str">
        <f t="shared" si="39"/>
        <v>DEASON ANIMAL HOSPITAL</v>
      </c>
    </row>
    <row r="2173" spans="1:9" x14ac:dyDescent="0.25">
      <c r="A2173" s="6">
        <v>43529</v>
      </c>
      <c r="B2173" t="s">
        <v>26</v>
      </c>
      <c r="C2173">
        <v>60311</v>
      </c>
      <c r="D2173" t="s">
        <v>58</v>
      </c>
      <c r="E2173" s="7">
        <v>268.83999999999997</v>
      </c>
      <c r="F2173" t="s">
        <v>20</v>
      </c>
      <c r="G2173" t="s">
        <v>21</v>
      </c>
      <c r="H2173" t="str">
        <f>"556928"</f>
        <v>556928</v>
      </c>
      <c r="I2173" t="str">
        <f t="shared" si="39"/>
        <v>DEASON ANIMAL HOSPITAL</v>
      </c>
    </row>
    <row r="2174" spans="1:9" x14ac:dyDescent="0.25">
      <c r="A2174" s="6">
        <v>43529</v>
      </c>
      <c r="B2174" t="s">
        <v>26</v>
      </c>
      <c r="C2174">
        <v>60311</v>
      </c>
      <c r="D2174" t="s">
        <v>58</v>
      </c>
      <c r="E2174" s="7">
        <v>268.83999999999997</v>
      </c>
      <c r="F2174" t="s">
        <v>20</v>
      </c>
      <c r="G2174" t="s">
        <v>21</v>
      </c>
      <c r="H2174" t="str">
        <f>"557140"</f>
        <v>557140</v>
      </c>
      <c r="I2174" t="str">
        <f t="shared" si="39"/>
        <v>DEASON ANIMAL HOSPITAL</v>
      </c>
    </row>
    <row r="2175" spans="1:9" x14ac:dyDescent="0.25">
      <c r="A2175" s="6">
        <v>43529</v>
      </c>
      <c r="B2175" t="s">
        <v>26</v>
      </c>
      <c r="C2175">
        <v>60311</v>
      </c>
      <c r="D2175" t="s">
        <v>58</v>
      </c>
      <c r="E2175" s="7">
        <v>268.83999999999997</v>
      </c>
      <c r="F2175" t="s">
        <v>20</v>
      </c>
      <c r="G2175" t="s">
        <v>21</v>
      </c>
      <c r="H2175" t="str">
        <f>"557787"</f>
        <v>557787</v>
      </c>
      <c r="I2175" t="str">
        <f t="shared" si="39"/>
        <v>DEASON ANIMAL HOSPITAL</v>
      </c>
    </row>
    <row r="2176" spans="1:9" x14ac:dyDescent="0.25">
      <c r="A2176" s="6">
        <v>43529</v>
      </c>
      <c r="B2176" t="s">
        <v>26</v>
      </c>
      <c r="C2176">
        <v>60311</v>
      </c>
      <c r="D2176" t="s">
        <v>58</v>
      </c>
      <c r="E2176" s="7">
        <v>268.83999999999997</v>
      </c>
      <c r="F2176" t="s">
        <v>20</v>
      </c>
      <c r="G2176" t="s">
        <v>21</v>
      </c>
      <c r="H2176" t="str">
        <f>"557983"</f>
        <v>557983</v>
      </c>
      <c r="I2176" t="str">
        <f t="shared" si="39"/>
        <v>DEASON ANIMAL HOSPITAL</v>
      </c>
    </row>
    <row r="2177" spans="1:9" x14ac:dyDescent="0.25">
      <c r="A2177" s="6">
        <v>43529</v>
      </c>
      <c r="B2177" t="s">
        <v>26</v>
      </c>
      <c r="C2177">
        <v>60311</v>
      </c>
      <c r="D2177" t="s">
        <v>58</v>
      </c>
      <c r="E2177" s="7">
        <v>268.83999999999997</v>
      </c>
      <c r="F2177" t="s">
        <v>20</v>
      </c>
      <c r="G2177" t="s">
        <v>21</v>
      </c>
      <c r="H2177" t="str">
        <f>"558104"</f>
        <v>558104</v>
      </c>
      <c r="I2177" t="str">
        <f t="shared" si="39"/>
        <v>DEASON ANIMAL HOSPITAL</v>
      </c>
    </row>
    <row r="2178" spans="1:9" x14ac:dyDescent="0.25">
      <c r="A2178" s="6">
        <v>43529</v>
      </c>
      <c r="B2178" t="s">
        <v>26</v>
      </c>
      <c r="C2178">
        <v>60311</v>
      </c>
      <c r="D2178" t="s">
        <v>58</v>
      </c>
      <c r="E2178" s="7">
        <v>268.83999999999997</v>
      </c>
      <c r="F2178" t="s">
        <v>20</v>
      </c>
      <c r="G2178" t="s">
        <v>21</v>
      </c>
      <c r="H2178" t="str">
        <f>"558346"</f>
        <v>558346</v>
      </c>
      <c r="I2178" t="str">
        <f t="shared" si="39"/>
        <v>DEASON ANIMAL HOSPITAL</v>
      </c>
    </row>
    <row r="2179" spans="1:9" x14ac:dyDescent="0.25">
      <c r="A2179" s="6">
        <v>43529</v>
      </c>
      <c r="B2179" t="s">
        <v>26</v>
      </c>
      <c r="C2179">
        <v>60313</v>
      </c>
      <c r="D2179" t="s">
        <v>104</v>
      </c>
      <c r="E2179" s="7">
        <v>188.6</v>
      </c>
      <c r="F2179" t="s">
        <v>20</v>
      </c>
      <c r="G2179" t="s">
        <v>21</v>
      </c>
      <c r="H2179" t="str">
        <f>"1364900206"</f>
        <v>1364900206</v>
      </c>
      <c r="I2179" t="str">
        <f>"WILSON COUNTY NEWS"</f>
        <v>WILSON COUNTY NEWS</v>
      </c>
    </row>
    <row r="2180" spans="1:9" x14ac:dyDescent="0.25">
      <c r="A2180" s="6">
        <v>43529</v>
      </c>
      <c r="B2180" t="s">
        <v>26</v>
      </c>
      <c r="C2180">
        <v>60313</v>
      </c>
      <c r="D2180" t="s">
        <v>104</v>
      </c>
      <c r="E2180" s="7">
        <v>188.6</v>
      </c>
      <c r="F2180" t="s">
        <v>20</v>
      </c>
      <c r="G2180" t="s">
        <v>21</v>
      </c>
      <c r="H2180" t="str">
        <f>"1368450227"</f>
        <v>1368450227</v>
      </c>
      <c r="I2180" t="str">
        <f>"WILSON COUNTY NEWS"</f>
        <v>WILSON COUNTY NEWS</v>
      </c>
    </row>
    <row r="2181" spans="1:9" x14ac:dyDescent="0.25">
      <c r="A2181" s="6">
        <v>43529</v>
      </c>
      <c r="B2181" t="s">
        <v>26</v>
      </c>
      <c r="C2181">
        <v>60314</v>
      </c>
      <c r="D2181" t="s">
        <v>59</v>
      </c>
      <c r="E2181" s="7">
        <v>3935.22</v>
      </c>
      <c r="F2181" t="s">
        <v>20</v>
      </c>
      <c r="G2181" t="s">
        <v>21</v>
      </c>
      <c r="H2181" t="str">
        <f>"1003160-1"</f>
        <v>1003160-1</v>
      </c>
      <c r="I2181" t="str">
        <f>"GASKETS AND BLADES"</f>
        <v>GASKETS AND BLADES</v>
      </c>
    </row>
    <row r="2182" spans="1:9" x14ac:dyDescent="0.25">
      <c r="A2182" s="6">
        <v>43529</v>
      </c>
      <c r="B2182" t="s">
        <v>26</v>
      </c>
      <c r="C2182">
        <v>60314</v>
      </c>
      <c r="D2182" t="s">
        <v>59</v>
      </c>
      <c r="E2182" s="7">
        <v>3935.22</v>
      </c>
      <c r="F2182" t="s">
        <v>20</v>
      </c>
      <c r="G2182" t="s">
        <v>21</v>
      </c>
      <c r="H2182" t="str">
        <f>"1003162"</f>
        <v>1003162</v>
      </c>
      <c r="I2182" t="str">
        <f>"TOOLS"</f>
        <v>TOOLS</v>
      </c>
    </row>
    <row r="2183" spans="1:9" x14ac:dyDescent="0.25">
      <c r="A2183" s="6">
        <v>43529</v>
      </c>
      <c r="B2183" t="s">
        <v>26</v>
      </c>
      <c r="C2183">
        <v>60314</v>
      </c>
      <c r="D2183" t="s">
        <v>59</v>
      </c>
      <c r="E2183" s="7">
        <v>3935.22</v>
      </c>
      <c r="F2183" t="s">
        <v>20</v>
      </c>
      <c r="G2183" t="s">
        <v>21</v>
      </c>
      <c r="H2183" t="str">
        <f>"1003814"</f>
        <v>1003814</v>
      </c>
      <c r="I2183" t="str">
        <f>"LID FOR SEWER"</f>
        <v>LID FOR SEWER</v>
      </c>
    </row>
    <row r="2184" spans="1:9" x14ac:dyDescent="0.25">
      <c r="A2184" s="6">
        <v>43529</v>
      </c>
      <c r="B2184" t="s">
        <v>26</v>
      </c>
      <c r="C2184">
        <v>60314</v>
      </c>
      <c r="D2184" t="s">
        <v>59</v>
      </c>
      <c r="E2184" s="7">
        <v>3935.22</v>
      </c>
      <c r="F2184" t="s">
        <v>20</v>
      </c>
      <c r="G2184" t="s">
        <v>21</v>
      </c>
      <c r="H2184" t="str">
        <f>"1005094"</f>
        <v>1005094</v>
      </c>
      <c r="I2184" t="str">
        <f>"PIPES AND CONNECTIONS"</f>
        <v>PIPES AND CONNECTIONS</v>
      </c>
    </row>
    <row r="2185" spans="1:9" x14ac:dyDescent="0.25">
      <c r="A2185" s="6">
        <v>43529</v>
      </c>
      <c r="B2185" t="s">
        <v>26</v>
      </c>
      <c r="C2185">
        <v>60314</v>
      </c>
      <c r="D2185" t="s">
        <v>59</v>
      </c>
      <c r="E2185" s="7">
        <v>3935.22</v>
      </c>
      <c r="F2185" t="s">
        <v>20</v>
      </c>
      <c r="G2185" t="s">
        <v>21</v>
      </c>
      <c r="H2185" t="str">
        <f>"1005319"</f>
        <v>1005319</v>
      </c>
      <c r="I2185" t="str">
        <f>"PIPE"</f>
        <v>PIPE</v>
      </c>
    </row>
    <row r="2186" spans="1:9" x14ac:dyDescent="0.25">
      <c r="A2186" s="6">
        <v>43529</v>
      </c>
      <c r="B2186" t="s">
        <v>26</v>
      </c>
      <c r="C2186">
        <v>60318</v>
      </c>
      <c r="D2186" t="s">
        <v>105</v>
      </c>
      <c r="E2186" s="7">
        <v>14</v>
      </c>
      <c r="F2186" t="s">
        <v>20</v>
      </c>
      <c r="G2186" t="s">
        <v>21</v>
      </c>
      <c r="H2186" t="str">
        <f>"315079"</f>
        <v>315079</v>
      </c>
      <c r="I2186" t="str">
        <f>"STATE INSPECTIONS"</f>
        <v>STATE INSPECTIONS</v>
      </c>
    </row>
    <row r="2187" spans="1:9" x14ac:dyDescent="0.25">
      <c r="A2187" s="6">
        <v>43529</v>
      </c>
      <c r="B2187" t="s">
        <v>26</v>
      </c>
      <c r="C2187">
        <v>60318</v>
      </c>
      <c r="D2187" t="s">
        <v>105</v>
      </c>
      <c r="E2187" s="7">
        <v>14</v>
      </c>
      <c r="F2187" t="s">
        <v>20</v>
      </c>
      <c r="G2187" t="s">
        <v>21</v>
      </c>
      <c r="H2187" t="str">
        <f>"315084"</f>
        <v>315084</v>
      </c>
      <c r="I2187" t="str">
        <f>"STATE INSPECTIONS"</f>
        <v>STATE INSPECTIONS</v>
      </c>
    </row>
    <row r="2188" spans="1:9" x14ac:dyDescent="0.25">
      <c r="A2188" s="6">
        <v>43529</v>
      </c>
      <c r="B2188" t="s">
        <v>26</v>
      </c>
      <c r="C2188">
        <v>60319</v>
      </c>
      <c r="D2188" t="s">
        <v>250</v>
      </c>
      <c r="E2188" s="7">
        <v>176.04</v>
      </c>
      <c r="F2188" t="s">
        <v>20</v>
      </c>
      <c r="G2188" t="s">
        <v>21</v>
      </c>
      <c r="H2188" t="str">
        <f>"C121582"</f>
        <v>C121582</v>
      </c>
      <c r="I2188" t="str">
        <f>"JANITORIAL"</f>
        <v>JANITORIAL</v>
      </c>
    </row>
    <row r="2189" spans="1:9" x14ac:dyDescent="0.25">
      <c r="A2189" s="6">
        <v>43529</v>
      </c>
      <c r="B2189" t="s">
        <v>26</v>
      </c>
      <c r="C2189">
        <v>60320</v>
      </c>
      <c r="D2189" t="s">
        <v>179</v>
      </c>
      <c r="E2189" s="7">
        <v>145.1</v>
      </c>
      <c r="F2189" t="s">
        <v>20</v>
      </c>
      <c r="G2189" t="s">
        <v>21</v>
      </c>
      <c r="H2189" t="str">
        <f>"240529"</f>
        <v>240529</v>
      </c>
      <c r="I2189" t="str">
        <f>"DIAGNOSIS"</f>
        <v>DIAGNOSIS</v>
      </c>
    </row>
    <row r="2190" spans="1:9" x14ac:dyDescent="0.25">
      <c r="A2190" s="6">
        <v>43529</v>
      </c>
      <c r="B2190" t="s">
        <v>26</v>
      </c>
      <c r="C2190">
        <v>60320</v>
      </c>
      <c r="D2190" t="s">
        <v>179</v>
      </c>
      <c r="E2190" s="7">
        <v>145.1</v>
      </c>
      <c r="F2190" t="s">
        <v>20</v>
      </c>
      <c r="G2190" t="s">
        <v>21</v>
      </c>
      <c r="H2190" t="str">
        <f>"56502"</f>
        <v>56502</v>
      </c>
      <c r="I2190" t="str">
        <f>"TURN SIGNAL RELAY"</f>
        <v>TURN SIGNAL RELAY</v>
      </c>
    </row>
    <row r="2191" spans="1:9" x14ac:dyDescent="0.25">
      <c r="A2191" s="6">
        <v>43529</v>
      </c>
      <c r="B2191" t="s">
        <v>26</v>
      </c>
      <c r="C2191">
        <v>60321</v>
      </c>
      <c r="D2191" t="s">
        <v>273</v>
      </c>
      <c r="E2191" s="7">
        <v>2886.09</v>
      </c>
      <c r="F2191" t="s">
        <v>20</v>
      </c>
      <c r="G2191" t="s">
        <v>21</v>
      </c>
      <c r="H2191" t="str">
        <f>"5119-000087250"</f>
        <v>5119-000087250</v>
      </c>
      <c r="I2191" t="str">
        <f>"REPUBLIC SERVICES TESSMAN ROAD"</f>
        <v>REPUBLIC SERVICES TESSMAN ROAD</v>
      </c>
    </row>
    <row r="2192" spans="1:9" x14ac:dyDescent="0.25">
      <c r="A2192" s="6">
        <v>43529</v>
      </c>
      <c r="B2192" t="s">
        <v>26</v>
      </c>
      <c r="C2192">
        <v>60322</v>
      </c>
      <c r="D2192" t="s">
        <v>108</v>
      </c>
      <c r="E2192" s="7">
        <v>1485.2</v>
      </c>
      <c r="F2192" t="s">
        <v>20</v>
      </c>
      <c r="G2192" t="s">
        <v>21</v>
      </c>
      <c r="H2192" t="str">
        <f>"041295615482"</f>
        <v>041295615482</v>
      </c>
      <c r="I2192" t="str">
        <f>"POOLSURE"</f>
        <v>POOLSURE</v>
      </c>
    </row>
    <row r="2193" spans="1:9" x14ac:dyDescent="0.25">
      <c r="A2193" s="6">
        <v>43529</v>
      </c>
      <c r="B2193" t="s">
        <v>26</v>
      </c>
      <c r="C2193">
        <v>60323</v>
      </c>
      <c r="D2193" t="s">
        <v>110</v>
      </c>
      <c r="E2193" s="7">
        <v>5464.51</v>
      </c>
      <c r="F2193" t="s">
        <v>20</v>
      </c>
      <c r="G2193" t="s">
        <v>21</v>
      </c>
      <c r="H2193" t="str">
        <f>"1456"</f>
        <v>1456</v>
      </c>
      <c r="I2193" t="str">
        <f t="shared" ref="I2193:I2207" si="40">"BUREAU VERITAS NORTH AMERICA"</f>
        <v>BUREAU VERITAS NORTH AMERICA</v>
      </c>
    </row>
    <row r="2194" spans="1:9" x14ac:dyDescent="0.25">
      <c r="A2194" s="6">
        <v>43529</v>
      </c>
      <c r="B2194" t="s">
        <v>26</v>
      </c>
      <c r="C2194">
        <v>60323</v>
      </c>
      <c r="D2194" t="s">
        <v>110</v>
      </c>
      <c r="E2194" s="7">
        <v>5464.51</v>
      </c>
      <c r="F2194" t="s">
        <v>20</v>
      </c>
      <c r="G2194" t="s">
        <v>21</v>
      </c>
      <c r="H2194" t="str">
        <f>"1456738"</f>
        <v>1456738</v>
      </c>
      <c r="I2194" t="str">
        <f t="shared" si="40"/>
        <v>BUREAU VERITAS NORTH AMERICA</v>
      </c>
    </row>
    <row r="2195" spans="1:9" x14ac:dyDescent="0.25">
      <c r="A2195" s="6">
        <v>43529</v>
      </c>
      <c r="B2195" t="s">
        <v>26</v>
      </c>
      <c r="C2195">
        <v>60323</v>
      </c>
      <c r="D2195" t="s">
        <v>110</v>
      </c>
      <c r="E2195" s="7">
        <v>5464.51</v>
      </c>
      <c r="F2195" t="s">
        <v>20</v>
      </c>
      <c r="G2195" t="s">
        <v>21</v>
      </c>
      <c r="H2195" t="str">
        <f>"1456739"</f>
        <v>1456739</v>
      </c>
      <c r="I2195" t="str">
        <f t="shared" si="40"/>
        <v>BUREAU VERITAS NORTH AMERICA</v>
      </c>
    </row>
    <row r="2196" spans="1:9" x14ac:dyDescent="0.25">
      <c r="A2196" s="6">
        <v>43529</v>
      </c>
      <c r="B2196" t="s">
        <v>26</v>
      </c>
      <c r="C2196">
        <v>60323</v>
      </c>
      <c r="D2196" t="s">
        <v>110</v>
      </c>
      <c r="E2196" s="7">
        <v>5464.51</v>
      </c>
      <c r="F2196" t="s">
        <v>20</v>
      </c>
      <c r="G2196" t="s">
        <v>21</v>
      </c>
      <c r="H2196" t="str">
        <f>"1456740"</f>
        <v>1456740</v>
      </c>
      <c r="I2196" t="str">
        <f t="shared" si="40"/>
        <v>BUREAU VERITAS NORTH AMERICA</v>
      </c>
    </row>
    <row r="2197" spans="1:9" x14ac:dyDescent="0.25">
      <c r="A2197" s="6">
        <v>43529</v>
      </c>
      <c r="B2197" t="s">
        <v>26</v>
      </c>
      <c r="C2197">
        <v>60323</v>
      </c>
      <c r="D2197" t="s">
        <v>110</v>
      </c>
      <c r="E2197" s="7">
        <v>5464.51</v>
      </c>
      <c r="F2197" t="s">
        <v>20</v>
      </c>
      <c r="G2197" t="s">
        <v>21</v>
      </c>
      <c r="H2197" t="str">
        <f>"1456742"</f>
        <v>1456742</v>
      </c>
      <c r="I2197" t="str">
        <f t="shared" si="40"/>
        <v>BUREAU VERITAS NORTH AMERICA</v>
      </c>
    </row>
    <row r="2198" spans="1:9" x14ac:dyDescent="0.25">
      <c r="A2198" s="6">
        <v>43529</v>
      </c>
      <c r="B2198" t="s">
        <v>26</v>
      </c>
      <c r="C2198">
        <v>60323</v>
      </c>
      <c r="D2198" t="s">
        <v>110</v>
      </c>
      <c r="E2198" s="7">
        <v>5464.51</v>
      </c>
      <c r="F2198" t="s">
        <v>20</v>
      </c>
      <c r="G2198" t="s">
        <v>21</v>
      </c>
      <c r="H2198" t="str">
        <f>"1456743"</f>
        <v>1456743</v>
      </c>
      <c r="I2198" t="str">
        <f t="shared" si="40"/>
        <v>BUREAU VERITAS NORTH AMERICA</v>
      </c>
    </row>
    <row r="2199" spans="1:9" x14ac:dyDescent="0.25">
      <c r="A2199" s="6">
        <v>43529</v>
      </c>
      <c r="B2199" t="s">
        <v>26</v>
      </c>
      <c r="C2199">
        <v>60323</v>
      </c>
      <c r="D2199" t="s">
        <v>110</v>
      </c>
      <c r="E2199" s="7">
        <v>5464.51</v>
      </c>
      <c r="F2199" t="s">
        <v>20</v>
      </c>
      <c r="G2199" t="s">
        <v>21</v>
      </c>
      <c r="H2199" t="str">
        <f>"1456744"</f>
        <v>1456744</v>
      </c>
      <c r="I2199" t="str">
        <f t="shared" si="40"/>
        <v>BUREAU VERITAS NORTH AMERICA</v>
      </c>
    </row>
    <row r="2200" spans="1:9" x14ac:dyDescent="0.25">
      <c r="A2200" s="6">
        <v>43529</v>
      </c>
      <c r="B2200" t="s">
        <v>26</v>
      </c>
      <c r="C2200">
        <v>60323</v>
      </c>
      <c r="D2200" t="s">
        <v>110</v>
      </c>
      <c r="E2200" s="7">
        <v>5464.51</v>
      </c>
      <c r="F2200" t="s">
        <v>20</v>
      </c>
      <c r="G2200" t="s">
        <v>21</v>
      </c>
      <c r="H2200" t="str">
        <f>"1456745"</f>
        <v>1456745</v>
      </c>
      <c r="I2200" t="str">
        <f t="shared" si="40"/>
        <v>BUREAU VERITAS NORTH AMERICA</v>
      </c>
    </row>
    <row r="2201" spans="1:9" x14ac:dyDescent="0.25">
      <c r="A2201" s="6">
        <v>43529</v>
      </c>
      <c r="B2201" t="s">
        <v>26</v>
      </c>
      <c r="C2201">
        <v>60323</v>
      </c>
      <c r="D2201" t="s">
        <v>110</v>
      </c>
      <c r="E2201" s="7">
        <v>5464.51</v>
      </c>
      <c r="F2201" t="s">
        <v>20</v>
      </c>
      <c r="G2201" t="s">
        <v>21</v>
      </c>
      <c r="H2201" t="str">
        <f>"1456746"</f>
        <v>1456746</v>
      </c>
      <c r="I2201" t="str">
        <f t="shared" si="40"/>
        <v>BUREAU VERITAS NORTH AMERICA</v>
      </c>
    </row>
    <row r="2202" spans="1:9" x14ac:dyDescent="0.25">
      <c r="A2202" s="6">
        <v>43529</v>
      </c>
      <c r="B2202" t="s">
        <v>26</v>
      </c>
      <c r="C2202">
        <v>60323</v>
      </c>
      <c r="D2202" t="s">
        <v>110</v>
      </c>
      <c r="E2202" s="7">
        <v>5464.51</v>
      </c>
      <c r="F2202" t="s">
        <v>20</v>
      </c>
      <c r="G2202" t="s">
        <v>21</v>
      </c>
      <c r="H2202" t="str">
        <f>"1456747"</f>
        <v>1456747</v>
      </c>
      <c r="I2202" t="str">
        <f t="shared" si="40"/>
        <v>BUREAU VERITAS NORTH AMERICA</v>
      </c>
    </row>
    <row r="2203" spans="1:9" x14ac:dyDescent="0.25">
      <c r="A2203" s="6">
        <v>43529</v>
      </c>
      <c r="B2203" t="s">
        <v>26</v>
      </c>
      <c r="C2203">
        <v>60323</v>
      </c>
      <c r="D2203" t="s">
        <v>110</v>
      </c>
      <c r="E2203" s="7">
        <v>5464.51</v>
      </c>
      <c r="F2203" t="s">
        <v>20</v>
      </c>
      <c r="G2203" t="s">
        <v>21</v>
      </c>
      <c r="H2203" t="str">
        <f>"1456750"</f>
        <v>1456750</v>
      </c>
      <c r="I2203" t="str">
        <f t="shared" si="40"/>
        <v>BUREAU VERITAS NORTH AMERICA</v>
      </c>
    </row>
    <row r="2204" spans="1:9" x14ac:dyDescent="0.25">
      <c r="A2204" s="6">
        <v>43529</v>
      </c>
      <c r="B2204" t="s">
        <v>26</v>
      </c>
      <c r="C2204">
        <v>60323</v>
      </c>
      <c r="D2204" t="s">
        <v>110</v>
      </c>
      <c r="E2204" s="7">
        <v>5464.51</v>
      </c>
      <c r="F2204" t="s">
        <v>20</v>
      </c>
      <c r="G2204" t="s">
        <v>21</v>
      </c>
      <c r="H2204" t="str">
        <f>"1456751"</f>
        <v>1456751</v>
      </c>
      <c r="I2204" t="str">
        <f t="shared" si="40"/>
        <v>BUREAU VERITAS NORTH AMERICA</v>
      </c>
    </row>
    <row r="2205" spans="1:9" x14ac:dyDescent="0.25">
      <c r="A2205" s="6">
        <v>43529</v>
      </c>
      <c r="B2205" t="s">
        <v>26</v>
      </c>
      <c r="C2205">
        <v>60323</v>
      </c>
      <c r="D2205" t="s">
        <v>110</v>
      </c>
      <c r="E2205" s="7">
        <v>5464.51</v>
      </c>
      <c r="F2205" t="s">
        <v>20</v>
      </c>
      <c r="G2205" t="s">
        <v>21</v>
      </c>
      <c r="H2205" t="str">
        <f>"1456752"</f>
        <v>1456752</v>
      </c>
      <c r="I2205" t="str">
        <f t="shared" si="40"/>
        <v>BUREAU VERITAS NORTH AMERICA</v>
      </c>
    </row>
    <row r="2206" spans="1:9" x14ac:dyDescent="0.25">
      <c r="A2206" s="6">
        <v>43529</v>
      </c>
      <c r="B2206" t="s">
        <v>26</v>
      </c>
      <c r="C2206">
        <v>60323</v>
      </c>
      <c r="D2206" t="s">
        <v>110</v>
      </c>
      <c r="E2206" s="7">
        <v>5464.51</v>
      </c>
      <c r="F2206" t="s">
        <v>20</v>
      </c>
      <c r="G2206" t="s">
        <v>21</v>
      </c>
      <c r="H2206" t="str">
        <f>"1456753"</f>
        <v>1456753</v>
      </c>
      <c r="I2206" t="str">
        <f t="shared" si="40"/>
        <v>BUREAU VERITAS NORTH AMERICA</v>
      </c>
    </row>
    <row r="2207" spans="1:9" x14ac:dyDescent="0.25">
      <c r="A2207" s="6">
        <v>43529</v>
      </c>
      <c r="B2207" t="s">
        <v>26</v>
      </c>
      <c r="C2207">
        <v>60323</v>
      </c>
      <c r="D2207" t="s">
        <v>110</v>
      </c>
      <c r="E2207" s="7">
        <v>5464.51</v>
      </c>
      <c r="F2207" t="s">
        <v>20</v>
      </c>
      <c r="G2207" t="s">
        <v>21</v>
      </c>
      <c r="H2207" t="str">
        <f>"1456754"</f>
        <v>1456754</v>
      </c>
      <c r="I2207" t="str">
        <f t="shared" si="40"/>
        <v>BUREAU VERITAS NORTH AMERICA</v>
      </c>
    </row>
    <row r="2208" spans="1:9" x14ac:dyDescent="0.25">
      <c r="A2208" s="6">
        <v>43529</v>
      </c>
      <c r="B2208" t="s">
        <v>26</v>
      </c>
      <c r="C2208">
        <v>60326</v>
      </c>
      <c r="D2208" t="s">
        <v>340</v>
      </c>
      <c r="E2208" s="7">
        <v>191.08</v>
      </c>
      <c r="F2208" t="s">
        <v>20</v>
      </c>
      <c r="G2208" t="s">
        <v>21</v>
      </c>
      <c r="H2208" t="str">
        <f>"1810-368915"</f>
        <v>1810-368915</v>
      </c>
      <c r="I2208" t="str">
        <f>"FUEL PUMP"</f>
        <v>FUEL PUMP</v>
      </c>
    </row>
    <row r="2209" spans="1:9" x14ac:dyDescent="0.25">
      <c r="A2209" s="6">
        <v>43529</v>
      </c>
      <c r="B2209" t="s">
        <v>26</v>
      </c>
      <c r="C2209">
        <v>60326</v>
      </c>
      <c r="D2209" t="s">
        <v>340</v>
      </c>
      <c r="E2209" s="7">
        <v>191.08</v>
      </c>
      <c r="F2209" t="s">
        <v>20</v>
      </c>
      <c r="G2209" t="s">
        <v>21</v>
      </c>
      <c r="H2209" t="str">
        <f>"1810-368916"</f>
        <v>1810-368916</v>
      </c>
      <c r="I2209" t="str">
        <f>"FUEL FILTER"</f>
        <v>FUEL FILTER</v>
      </c>
    </row>
    <row r="2210" spans="1:9" x14ac:dyDescent="0.25">
      <c r="A2210" s="6">
        <v>43529</v>
      </c>
      <c r="B2210" t="s">
        <v>26</v>
      </c>
      <c r="C2210">
        <v>60327</v>
      </c>
      <c r="D2210" t="s">
        <v>61</v>
      </c>
      <c r="E2210" s="7">
        <v>2426.41</v>
      </c>
      <c r="F2210" t="s">
        <v>20</v>
      </c>
      <c r="G2210" t="s">
        <v>21</v>
      </c>
      <c r="H2210" t="str">
        <f>"025-247830"</f>
        <v>025-247830</v>
      </c>
      <c r="I2210" t="str">
        <f>"TYLER TECHNOLOGIES  INC."</f>
        <v>TYLER TECHNOLOGIES  INC.</v>
      </c>
    </row>
    <row r="2211" spans="1:9" x14ac:dyDescent="0.25">
      <c r="A2211" s="6">
        <v>43529</v>
      </c>
      <c r="B2211" t="s">
        <v>26</v>
      </c>
      <c r="C2211">
        <v>60327</v>
      </c>
      <c r="D2211" t="s">
        <v>61</v>
      </c>
      <c r="E2211" s="7">
        <v>2426.41</v>
      </c>
      <c r="F2211" t="s">
        <v>20</v>
      </c>
      <c r="G2211" t="s">
        <v>21</v>
      </c>
      <c r="H2211" t="str">
        <f>"025-248340"</f>
        <v>025-248340</v>
      </c>
      <c r="I2211" t="str">
        <f>"TYLER TECHNOLOGIES  INC."</f>
        <v>TYLER TECHNOLOGIES  INC.</v>
      </c>
    </row>
    <row r="2212" spans="1:9" x14ac:dyDescent="0.25">
      <c r="A2212" s="6">
        <v>43529</v>
      </c>
      <c r="B2212" t="s">
        <v>26</v>
      </c>
      <c r="C2212">
        <v>60327</v>
      </c>
      <c r="D2212" t="s">
        <v>61</v>
      </c>
      <c r="E2212" s="7">
        <v>2426.41</v>
      </c>
      <c r="F2212" t="s">
        <v>20</v>
      </c>
      <c r="G2212" t="s">
        <v>21</v>
      </c>
      <c r="H2212" t="str">
        <f>"025-248697"</f>
        <v>025-248697</v>
      </c>
      <c r="I2212" t="str">
        <f>"TYLER TECHNOLOGIES  INC."</f>
        <v>TYLER TECHNOLOGIES  INC.</v>
      </c>
    </row>
    <row r="2213" spans="1:9" x14ac:dyDescent="0.25">
      <c r="A2213" s="6">
        <v>43529</v>
      </c>
      <c r="B2213" t="s">
        <v>26</v>
      </c>
      <c r="C2213">
        <v>60327</v>
      </c>
      <c r="D2213" t="s">
        <v>61</v>
      </c>
      <c r="E2213" s="7">
        <v>2426.41</v>
      </c>
      <c r="F2213" t="s">
        <v>20</v>
      </c>
      <c r="G2213" t="s">
        <v>21</v>
      </c>
      <c r="H2213" t="str">
        <f>"025-250686"</f>
        <v>025-250686</v>
      </c>
      <c r="I2213" t="str">
        <f>"TYLER TECHNOLOGIES  INC."</f>
        <v>TYLER TECHNOLOGIES  INC.</v>
      </c>
    </row>
    <row r="2214" spans="1:9" x14ac:dyDescent="0.25">
      <c r="A2214" s="6">
        <v>43529</v>
      </c>
      <c r="B2214" t="s">
        <v>26</v>
      </c>
      <c r="C2214">
        <v>60327</v>
      </c>
      <c r="D2214" t="s">
        <v>61</v>
      </c>
      <c r="E2214" s="7">
        <v>2426.41</v>
      </c>
      <c r="F2214" t="s">
        <v>20</v>
      </c>
      <c r="G2214" t="s">
        <v>21</v>
      </c>
      <c r="H2214" t="str">
        <f>"025-2511209"</f>
        <v>025-2511209</v>
      </c>
      <c r="I2214" t="str">
        <f>"TYLER TECHNOLOGIES  INC."</f>
        <v>TYLER TECHNOLOGIES  INC.</v>
      </c>
    </row>
    <row r="2215" spans="1:9" x14ac:dyDescent="0.25">
      <c r="A2215" s="6">
        <v>43529</v>
      </c>
      <c r="B2215" t="s">
        <v>26</v>
      </c>
      <c r="C2215">
        <v>60329</v>
      </c>
      <c r="D2215" t="s">
        <v>184</v>
      </c>
      <c r="E2215" s="7">
        <v>1362</v>
      </c>
      <c r="F2215" t="s">
        <v>20</v>
      </c>
      <c r="G2215" t="s">
        <v>21</v>
      </c>
      <c r="H2215" t="str">
        <f>"1053-697"</f>
        <v>1053-697</v>
      </c>
      <c r="I2215" t="str">
        <f>"POLLUTION CONTROL SERVICES"</f>
        <v>POLLUTION CONTROL SERVICES</v>
      </c>
    </row>
    <row r="2216" spans="1:9" x14ac:dyDescent="0.25">
      <c r="A2216" s="6">
        <v>43529</v>
      </c>
      <c r="B2216" t="s">
        <v>26</v>
      </c>
      <c r="C2216">
        <v>60329</v>
      </c>
      <c r="D2216" t="s">
        <v>184</v>
      </c>
      <c r="E2216" s="7">
        <v>1362</v>
      </c>
      <c r="F2216" t="s">
        <v>20</v>
      </c>
      <c r="G2216" t="s">
        <v>21</v>
      </c>
      <c r="H2216" t="str">
        <f>"1053-698"</f>
        <v>1053-698</v>
      </c>
      <c r="I2216" t="str">
        <f>"POLLUTION CONTROL SERVICES"</f>
        <v>POLLUTION CONTROL SERVICES</v>
      </c>
    </row>
    <row r="2217" spans="1:9" x14ac:dyDescent="0.25">
      <c r="A2217" s="6">
        <v>43529</v>
      </c>
      <c r="B2217" t="s">
        <v>26</v>
      </c>
      <c r="C2217">
        <v>60330</v>
      </c>
      <c r="D2217" t="s">
        <v>425</v>
      </c>
      <c r="E2217" s="7">
        <v>305.25</v>
      </c>
      <c r="F2217" t="s">
        <v>20</v>
      </c>
      <c r="G2217" t="s">
        <v>21</v>
      </c>
      <c r="H2217" t="str">
        <f>"387217"</f>
        <v>387217</v>
      </c>
      <c r="I2217" t="str">
        <f>"OFFICERS BADGES"</f>
        <v>OFFICERS BADGES</v>
      </c>
    </row>
    <row r="2218" spans="1:9" x14ac:dyDescent="0.25">
      <c r="A2218" s="6">
        <v>43529</v>
      </c>
      <c r="B2218" t="s">
        <v>26</v>
      </c>
      <c r="C2218">
        <v>60331</v>
      </c>
      <c r="D2218" t="s">
        <v>212</v>
      </c>
      <c r="E2218" s="7">
        <v>150</v>
      </c>
      <c r="F2218" t="s">
        <v>20</v>
      </c>
      <c r="G2218" t="s">
        <v>21</v>
      </c>
      <c r="H2218" t="str">
        <f>"03898"</f>
        <v>03898</v>
      </c>
      <c r="I2218" t="str">
        <f>"AACOG"</f>
        <v>AACOG</v>
      </c>
    </row>
    <row r="2219" spans="1:9" x14ac:dyDescent="0.25">
      <c r="A2219" s="6">
        <v>43529</v>
      </c>
      <c r="B2219" t="s">
        <v>26</v>
      </c>
      <c r="C2219">
        <v>60332</v>
      </c>
      <c r="D2219" t="s">
        <v>115</v>
      </c>
      <c r="E2219" s="7">
        <v>425.83</v>
      </c>
      <c r="F2219" t="s">
        <v>20</v>
      </c>
      <c r="G2219" t="s">
        <v>21</v>
      </c>
      <c r="H2219" t="str">
        <f>"3547347457"</f>
        <v>3547347457</v>
      </c>
      <c r="I2219" t="str">
        <f>"DEF FLUID"</f>
        <v>DEF FLUID</v>
      </c>
    </row>
    <row r="2220" spans="1:9" x14ac:dyDescent="0.25">
      <c r="A2220" s="6">
        <v>43529</v>
      </c>
      <c r="B2220" t="s">
        <v>26</v>
      </c>
      <c r="C2220">
        <v>60332</v>
      </c>
      <c r="D2220" t="s">
        <v>115</v>
      </c>
      <c r="E2220" s="7">
        <v>425.83</v>
      </c>
      <c r="F2220" t="s">
        <v>20</v>
      </c>
      <c r="G2220" t="s">
        <v>21</v>
      </c>
      <c r="H2220" t="str">
        <f>"3547352375"</f>
        <v>3547352375</v>
      </c>
      <c r="I2220" t="str">
        <f>"BATTERIES"</f>
        <v>BATTERIES</v>
      </c>
    </row>
    <row r="2221" spans="1:9" x14ac:dyDescent="0.25">
      <c r="A2221" s="6">
        <v>43529</v>
      </c>
      <c r="B2221" t="s">
        <v>26</v>
      </c>
      <c r="C2221">
        <v>60332</v>
      </c>
      <c r="D2221" t="s">
        <v>115</v>
      </c>
      <c r="E2221" s="7">
        <v>425.83</v>
      </c>
      <c r="F2221" t="s">
        <v>20</v>
      </c>
      <c r="G2221" t="s">
        <v>21</v>
      </c>
      <c r="H2221" t="str">
        <f>"3547354125"</f>
        <v>3547354125</v>
      </c>
      <c r="I2221" t="str">
        <f>"STARTER SWITCH"</f>
        <v>STARTER SWITCH</v>
      </c>
    </row>
    <row r="2222" spans="1:9" x14ac:dyDescent="0.25">
      <c r="A2222" s="6">
        <v>43529</v>
      </c>
      <c r="B2222" t="s">
        <v>26</v>
      </c>
      <c r="C2222">
        <v>60332</v>
      </c>
      <c r="D2222" t="s">
        <v>115</v>
      </c>
      <c r="E2222" s="7">
        <v>425.83</v>
      </c>
      <c r="F2222" t="s">
        <v>20</v>
      </c>
      <c r="G2222" t="s">
        <v>21</v>
      </c>
      <c r="H2222" t="str">
        <f>"3547354126"</f>
        <v>3547354126</v>
      </c>
      <c r="I2222" t="str">
        <f>"FUEL FILTER"</f>
        <v>FUEL FILTER</v>
      </c>
    </row>
    <row r="2223" spans="1:9" x14ac:dyDescent="0.25">
      <c r="A2223" s="6">
        <v>43529</v>
      </c>
      <c r="B2223" t="s">
        <v>26</v>
      </c>
      <c r="C2223">
        <v>60332</v>
      </c>
      <c r="D2223" t="s">
        <v>115</v>
      </c>
      <c r="E2223" s="7">
        <v>425.83</v>
      </c>
      <c r="F2223" t="s">
        <v>20</v>
      </c>
      <c r="G2223" t="s">
        <v>21</v>
      </c>
      <c r="H2223" t="str">
        <f>"3547362634"</f>
        <v>3547362634</v>
      </c>
      <c r="I2223" t="str">
        <f>"TRACKING BAR"</f>
        <v>TRACKING BAR</v>
      </c>
    </row>
    <row r="2224" spans="1:9" x14ac:dyDescent="0.25">
      <c r="A2224" s="6">
        <v>43529</v>
      </c>
      <c r="B2224" t="s">
        <v>26</v>
      </c>
      <c r="C2224">
        <v>60332</v>
      </c>
      <c r="D2224" t="s">
        <v>115</v>
      </c>
      <c r="E2224" s="7">
        <v>425.83</v>
      </c>
      <c r="F2224" t="s">
        <v>20</v>
      </c>
      <c r="G2224" t="s">
        <v>21</v>
      </c>
      <c r="H2224" t="str">
        <f>"3547364854"</f>
        <v>3547364854</v>
      </c>
      <c r="I2224" t="str">
        <f>"WIRE"</f>
        <v>WIRE</v>
      </c>
    </row>
    <row r="2225" spans="1:9" x14ac:dyDescent="0.25">
      <c r="A2225" s="6">
        <v>43529</v>
      </c>
      <c r="B2225" t="s">
        <v>26</v>
      </c>
      <c r="C2225">
        <v>60334</v>
      </c>
      <c r="D2225" t="s">
        <v>63</v>
      </c>
      <c r="E2225" s="7">
        <v>464.76</v>
      </c>
      <c r="F2225" t="s">
        <v>20</v>
      </c>
      <c r="G2225" t="s">
        <v>21</v>
      </c>
      <c r="H2225" t="str">
        <f>"8404027500"</f>
        <v>8404027500</v>
      </c>
      <c r="I2225" t="str">
        <f>"CINTAS CORPORATION"</f>
        <v>CINTAS CORPORATION</v>
      </c>
    </row>
    <row r="2226" spans="1:9" x14ac:dyDescent="0.25">
      <c r="A2226" s="6">
        <v>43529</v>
      </c>
      <c r="B2226" t="s">
        <v>26</v>
      </c>
      <c r="C2226">
        <v>60334</v>
      </c>
      <c r="D2226" t="s">
        <v>63</v>
      </c>
      <c r="E2226" s="7">
        <v>464.76</v>
      </c>
      <c r="F2226" t="s">
        <v>20</v>
      </c>
      <c r="G2226" t="s">
        <v>21</v>
      </c>
      <c r="H2226" t="str">
        <f>"8404034269"</f>
        <v>8404034269</v>
      </c>
      <c r="I2226" t="str">
        <f>"CINTAS CORPORATION"</f>
        <v>CINTAS CORPORATION</v>
      </c>
    </row>
    <row r="2227" spans="1:9" x14ac:dyDescent="0.25">
      <c r="A2227" s="6">
        <v>43529</v>
      </c>
      <c r="B2227" t="s">
        <v>26</v>
      </c>
      <c r="C2227">
        <v>60335</v>
      </c>
      <c r="D2227" t="s">
        <v>684</v>
      </c>
      <c r="E2227" s="7">
        <v>3349.33</v>
      </c>
      <c r="F2227" t="s">
        <v>20</v>
      </c>
      <c r="G2227" t="s">
        <v>21</v>
      </c>
      <c r="H2227" t="str">
        <f>"0049135"</f>
        <v>0049135</v>
      </c>
      <c r="I2227" t="str">
        <f>"SWEEPER"</f>
        <v>SWEEPER</v>
      </c>
    </row>
    <row r="2228" spans="1:9" x14ac:dyDescent="0.25">
      <c r="A2228" s="6">
        <v>43529</v>
      </c>
      <c r="B2228" t="s">
        <v>26</v>
      </c>
      <c r="C2228">
        <v>60336</v>
      </c>
      <c r="D2228" t="s">
        <v>64</v>
      </c>
      <c r="E2228" s="7">
        <v>2926</v>
      </c>
      <c r="F2228" t="s">
        <v>20</v>
      </c>
      <c r="G2228" t="s">
        <v>21</v>
      </c>
      <c r="H2228" t="str">
        <f>"7767"</f>
        <v>7767</v>
      </c>
      <c r="I2228" t="str">
        <f>"DREWA DESIGNS  INC."</f>
        <v>DREWA DESIGNS  INC.</v>
      </c>
    </row>
    <row r="2229" spans="1:9" x14ac:dyDescent="0.25">
      <c r="A2229" s="6">
        <v>43529</v>
      </c>
      <c r="B2229" t="s">
        <v>26</v>
      </c>
      <c r="C2229">
        <v>60337</v>
      </c>
      <c r="D2229" t="s">
        <v>117</v>
      </c>
      <c r="E2229" s="7">
        <v>1280.9000000000001</v>
      </c>
      <c r="F2229" t="s">
        <v>20</v>
      </c>
      <c r="G2229" t="s">
        <v>21</v>
      </c>
      <c r="H2229" t="str">
        <f>"1/2019"</f>
        <v>1/2019</v>
      </c>
      <c r="I2229" t="str">
        <f>"LINEBARGER GOGGAN BLAIR &amp; SAMP"</f>
        <v>LINEBARGER GOGGAN BLAIR &amp; SAMP</v>
      </c>
    </row>
    <row r="2230" spans="1:9" x14ac:dyDescent="0.25">
      <c r="A2230" s="6">
        <v>43529</v>
      </c>
      <c r="B2230" t="s">
        <v>26</v>
      </c>
      <c r="C2230">
        <v>60338</v>
      </c>
      <c r="D2230" t="s">
        <v>118</v>
      </c>
      <c r="E2230" s="7">
        <v>3093.71</v>
      </c>
      <c r="F2230" t="s">
        <v>20</v>
      </c>
      <c r="G2230" t="s">
        <v>21</v>
      </c>
      <c r="H2230" t="str">
        <f>"11276"</f>
        <v>11276</v>
      </c>
      <c r="I2230" t="str">
        <f>"BRYAN AIR CONDITIONING &amp; HEATI"</f>
        <v>BRYAN AIR CONDITIONING &amp; HEATI</v>
      </c>
    </row>
    <row r="2231" spans="1:9" x14ac:dyDescent="0.25">
      <c r="A2231" s="6">
        <v>43529</v>
      </c>
      <c r="B2231" t="s">
        <v>26</v>
      </c>
      <c r="C2231">
        <v>60338</v>
      </c>
      <c r="D2231" t="s">
        <v>118</v>
      </c>
      <c r="E2231" s="7">
        <v>3093.71</v>
      </c>
      <c r="F2231" t="s">
        <v>20</v>
      </c>
      <c r="G2231" t="s">
        <v>21</v>
      </c>
      <c r="H2231" t="str">
        <f>"11279"</f>
        <v>11279</v>
      </c>
      <c r="I2231" t="str">
        <f>"BRYAN AIR CONDITIONING &amp; HEATI"</f>
        <v>BRYAN AIR CONDITIONING &amp; HEATI</v>
      </c>
    </row>
    <row r="2232" spans="1:9" x14ac:dyDescent="0.25">
      <c r="A2232" s="6">
        <v>43529</v>
      </c>
      <c r="B2232" t="s">
        <v>26</v>
      </c>
      <c r="C2232">
        <v>60339</v>
      </c>
      <c r="D2232" t="s">
        <v>473</v>
      </c>
      <c r="E2232" s="7">
        <v>425.68</v>
      </c>
      <c r="F2232" t="s">
        <v>20</v>
      </c>
      <c r="G2232" t="s">
        <v>21</v>
      </c>
      <c r="H2232" t="str">
        <f>"501725331"</f>
        <v>501725331</v>
      </c>
      <c r="I2232" t="str">
        <f>"DIEBOLD"</f>
        <v>DIEBOLD</v>
      </c>
    </row>
    <row r="2233" spans="1:9" x14ac:dyDescent="0.25">
      <c r="A2233" s="6">
        <v>43529</v>
      </c>
      <c r="B2233" t="s">
        <v>26</v>
      </c>
      <c r="C2233">
        <v>60340</v>
      </c>
      <c r="D2233" t="s">
        <v>189</v>
      </c>
      <c r="E2233" s="7">
        <v>489.5</v>
      </c>
      <c r="F2233" t="s">
        <v>20</v>
      </c>
      <c r="G2233" t="s">
        <v>21</v>
      </c>
      <c r="H2233" t="str">
        <f>"PSO055957-1"</f>
        <v>PSO055957-1</v>
      </c>
      <c r="I2233" t="str">
        <f>"FUEL SHUT OFF SOLENOID"</f>
        <v>FUEL SHUT OFF SOLENOID</v>
      </c>
    </row>
    <row r="2234" spans="1:9" x14ac:dyDescent="0.25">
      <c r="A2234" s="6">
        <v>43529</v>
      </c>
      <c r="B2234" t="s">
        <v>26</v>
      </c>
      <c r="C2234">
        <v>60340</v>
      </c>
      <c r="D2234" t="s">
        <v>189</v>
      </c>
      <c r="E2234" s="7">
        <v>489.5</v>
      </c>
      <c r="F2234" t="s">
        <v>20</v>
      </c>
      <c r="G2234" t="s">
        <v>21</v>
      </c>
      <c r="H2234" t="str">
        <f>"PSO056282-1"</f>
        <v>PSO056282-1</v>
      </c>
      <c r="I2234" t="str">
        <f>"REARVIEW MIRROR"</f>
        <v>REARVIEW MIRROR</v>
      </c>
    </row>
    <row r="2235" spans="1:9" x14ac:dyDescent="0.25">
      <c r="A2235" s="6">
        <v>43529</v>
      </c>
      <c r="B2235" t="s">
        <v>26</v>
      </c>
      <c r="C2235">
        <v>60341</v>
      </c>
      <c r="D2235" t="s">
        <v>121</v>
      </c>
      <c r="E2235" s="7">
        <v>19070.63</v>
      </c>
      <c r="F2235" t="s">
        <v>20</v>
      </c>
      <c r="G2235" t="s">
        <v>21</v>
      </c>
      <c r="H2235" t="str">
        <f>"1  MAR 2019"</f>
        <v>1  MAR 2019</v>
      </c>
      <c r="I2235" t="str">
        <f>"FLORESVILLE ISD"</f>
        <v>FLORESVILLE ISD</v>
      </c>
    </row>
    <row r="2236" spans="1:9" x14ac:dyDescent="0.25">
      <c r="A2236" s="6">
        <v>43529</v>
      </c>
      <c r="B2236" t="s">
        <v>26</v>
      </c>
      <c r="C2236">
        <v>60342</v>
      </c>
      <c r="D2236" t="s">
        <v>69</v>
      </c>
      <c r="E2236" s="7">
        <v>148.80000000000001</v>
      </c>
      <c r="F2236" t="s">
        <v>20</v>
      </c>
      <c r="G2236" t="s">
        <v>21</v>
      </c>
      <c r="H2236" t="str">
        <f>"3396160"</f>
        <v>3396160</v>
      </c>
      <c r="I2236" t="str">
        <f>"2 CYCLE OIL"</f>
        <v>2 CYCLE OIL</v>
      </c>
    </row>
    <row r="2237" spans="1:9" x14ac:dyDescent="0.25">
      <c r="A2237" s="6">
        <v>43529</v>
      </c>
      <c r="B2237" t="s">
        <v>26</v>
      </c>
      <c r="C2237">
        <v>60342</v>
      </c>
      <c r="D2237" t="s">
        <v>69</v>
      </c>
      <c r="E2237" s="7">
        <v>148.80000000000001</v>
      </c>
      <c r="F2237" t="s">
        <v>20</v>
      </c>
      <c r="G2237" t="s">
        <v>21</v>
      </c>
      <c r="H2237" t="str">
        <f>"3396161"</f>
        <v>3396161</v>
      </c>
      <c r="I2237" t="str">
        <f>"EWALD KUBOTA  INC."</f>
        <v>EWALD KUBOTA  INC.</v>
      </c>
    </row>
    <row r="2238" spans="1:9" x14ac:dyDescent="0.25">
      <c r="A2238" s="6">
        <v>43529</v>
      </c>
      <c r="B2238" t="s">
        <v>26</v>
      </c>
      <c r="C2238">
        <v>60343</v>
      </c>
      <c r="D2238" t="s">
        <v>146</v>
      </c>
      <c r="E2238" s="7">
        <v>387.5</v>
      </c>
      <c r="F2238" t="s">
        <v>20</v>
      </c>
      <c r="G2238" t="s">
        <v>21</v>
      </c>
      <c r="H2238" t="str">
        <f>"964377"</f>
        <v>964377</v>
      </c>
      <c r="I2238" t="str">
        <f>"LARRY SRALLA ELECTRIC"</f>
        <v>LARRY SRALLA ELECTRIC</v>
      </c>
    </row>
    <row r="2239" spans="1:9" x14ac:dyDescent="0.25">
      <c r="A2239" s="6">
        <v>43529</v>
      </c>
      <c r="B2239" t="s">
        <v>26</v>
      </c>
      <c r="C2239">
        <v>60343</v>
      </c>
      <c r="D2239" t="s">
        <v>146</v>
      </c>
      <c r="E2239" s="7">
        <v>387.5</v>
      </c>
      <c r="F2239" t="s">
        <v>20</v>
      </c>
      <c r="G2239" t="s">
        <v>21</v>
      </c>
      <c r="H2239" t="str">
        <f>"964378"</f>
        <v>964378</v>
      </c>
      <c r="I2239" t="str">
        <f>"LARRY SRALLA ELECTRIC"</f>
        <v>LARRY SRALLA ELECTRIC</v>
      </c>
    </row>
    <row r="2240" spans="1:9" x14ac:dyDescent="0.25">
      <c r="A2240" s="6">
        <v>43529</v>
      </c>
      <c r="B2240" t="s">
        <v>26</v>
      </c>
      <c r="C2240">
        <v>60344</v>
      </c>
      <c r="D2240" t="s">
        <v>29</v>
      </c>
      <c r="E2240" s="7">
        <v>7287.5</v>
      </c>
      <c r="F2240" t="s">
        <v>20</v>
      </c>
      <c r="G2240" t="s">
        <v>21</v>
      </c>
      <c r="H2240" t="str">
        <f>"35816"</f>
        <v>35816</v>
      </c>
      <c r="I2240" t="str">
        <f>"M &amp; S ENGINEERING  LLC"</f>
        <v>M &amp; S ENGINEERING  LLC</v>
      </c>
    </row>
    <row r="2241" spans="1:9" x14ac:dyDescent="0.25">
      <c r="A2241" s="6">
        <v>43529</v>
      </c>
      <c r="B2241" t="s">
        <v>26</v>
      </c>
      <c r="C2241">
        <v>60344</v>
      </c>
      <c r="D2241" t="s">
        <v>29</v>
      </c>
      <c r="E2241" s="7">
        <v>7287.5</v>
      </c>
      <c r="F2241" t="s">
        <v>20</v>
      </c>
      <c r="G2241" t="s">
        <v>21</v>
      </c>
      <c r="H2241" t="str">
        <f>"35824"</f>
        <v>35824</v>
      </c>
      <c r="I2241" t="str">
        <f>"M &amp; S ENGINEERING  LLC"</f>
        <v>M &amp; S ENGINEERING  LLC</v>
      </c>
    </row>
    <row r="2242" spans="1:9" x14ac:dyDescent="0.25">
      <c r="A2242" s="6">
        <v>43529</v>
      </c>
      <c r="B2242" t="s">
        <v>26</v>
      </c>
      <c r="C2242">
        <v>60345</v>
      </c>
      <c r="D2242" t="s">
        <v>71</v>
      </c>
      <c r="E2242" s="7">
        <v>742.83</v>
      </c>
      <c r="F2242" t="s">
        <v>20</v>
      </c>
      <c r="G2242" t="s">
        <v>21</v>
      </c>
      <c r="H2242" t="str">
        <f>"087182961*"</f>
        <v>087182961*</v>
      </c>
      <c r="I2242" t="str">
        <f>"CINTAS CORPORATION #087"</f>
        <v>CINTAS CORPORATION #087</v>
      </c>
    </row>
    <row r="2243" spans="1:9" x14ac:dyDescent="0.25">
      <c r="A2243" s="6">
        <v>43529</v>
      </c>
      <c r="B2243" t="s">
        <v>26</v>
      </c>
      <c r="C2243">
        <v>60345</v>
      </c>
      <c r="D2243" t="s">
        <v>71</v>
      </c>
      <c r="E2243" s="7">
        <v>742.83</v>
      </c>
      <c r="F2243" t="s">
        <v>20</v>
      </c>
      <c r="G2243" t="s">
        <v>21</v>
      </c>
      <c r="H2243" t="str">
        <f>"2016726005"</f>
        <v>2016726005</v>
      </c>
      <c r="I2243" t="str">
        <f>"CINTAS CORPORATION #087"</f>
        <v>CINTAS CORPORATION #087</v>
      </c>
    </row>
    <row r="2244" spans="1:9" x14ac:dyDescent="0.25">
      <c r="A2244" s="6">
        <v>43529</v>
      </c>
      <c r="B2244" t="s">
        <v>26</v>
      </c>
      <c r="C2244">
        <v>60346</v>
      </c>
      <c r="D2244" t="s">
        <v>122</v>
      </c>
      <c r="E2244" s="7">
        <v>30</v>
      </c>
      <c r="F2244" t="s">
        <v>20</v>
      </c>
      <c r="G2244" t="s">
        <v>21</v>
      </c>
      <c r="H2244" t="str">
        <f>"322760"</f>
        <v>322760</v>
      </c>
      <c r="I2244" t="str">
        <f>"VILLA TIRES"</f>
        <v>VILLA TIRES</v>
      </c>
    </row>
    <row r="2245" spans="1:9" x14ac:dyDescent="0.25">
      <c r="A2245" s="6">
        <v>43529</v>
      </c>
      <c r="B2245" t="s">
        <v>26</v>
      </c>
      <c r="C2245">
        <v>60346</v>
      </c>
      <c r="D2245" t="s">
        <v>122</v>
      </c>
      <c r="E2245" s="7">
        <v>30</v>
      </c>
      <c r="F2245" t="s">
        <v>20</v>
      </c>
      <c r="G2245" t="s">
        <v>21</v>
      </c>
      <c r="H2245" t="str">
        <f>"322761"</f>
        <v>322761</v>
      </c>
      <c r="I2245" t="str">
        <f>"VILLA TIRES"</f>
        <v>VILLA TIRES</v>
      </c>
    </row>
    <row r="2246" spans="1:9" x14ac:dyDescent="0.25">
      <c r="A2246" s="6">
        <v>43529</v>
      </c>
      <c r="B2246" t="s">
        <v>26</v>
      </c>
      <c r="C2246">
        <v>60346</v>
      </c>
      <c r="D2246" t="s">
        <v>122</v>
      </c>
      <c r="E2246" s="7">
        <v>30</v>
      </c>
      <c r="F2246" t="s">
        <v>20</v>
      </c>
      <c r="G2246" t="s">
        <v>21</v>
      </c>
      <c r="H2246" t="str">
        <f>"322762"</f>
        <v>322762</v>
      </c>
      <c r="I2246" t="str">
        <f>"MONTHLY TIRE REPAIRS"</f>
        <v>MONTHLY TIRE REPAIRS</v>
      </c>
    </row>
    <row r="2247" spans="1:9" x14ac:dyDescent="0.25">
      <c r="A2247" s="6">
        <v>43529</v>
      </c>
      <c r="B2247" t="s">
        <v>26</v>
      </c>
      <c r="C2247">
        <v>60347</v>
      </c>
      <c r="D2247" t="s">
        <v>74</v>
      </c>
      <c r="E2247" s="7">
        <v>4960.46</v>
      </c>
      <c r="F2247" t="s">
        <v>20</v>
      </c>
      <c r="G2247" t="s">
        <v>21</v>
      </c>
      <c r="H2247" t="str">
        <f>"9824844623"</f>
        <v>9824844623</v>
      </c>
      <c r="I2247" t="str">
        <f>"VERIZON WIRELESS"</f>
        <v>VERIZON WIRELESS</v>
      </c>
    </row>
    <row r="2248" spans="1:9" x14ac:dyDescent="0.25">
      <c r="A2248" s="6">
        <v>43529</v>
      </c>
      <c r="B2248" t="s">
        <v>26</v>
      </c>
      <c r="C2248">
        <v>60347</v>
      </c>
      <c r="D2248" t="s">
        <v>74</v>
      </c>
      <c r="E2248" s="7">
        <v>4960.46</v>
      </c>
      <c r="F2248" t="s">
        <v>20</v>
      </c>
      <c r="G2248" t="s">
        <v>21</v>
      </c>
      <c r="H2248" t="str">
        <f>"9824844624"</f>
        <v>9824844624</v>
      </c>
      <c r="I2248" t="str">
        <f>"VERIZON WIRELESS"</f>
        <v>VERIZON WIRELESS</v>
      </c>
    </row>
    <row r="2249" spans="1:9" x14ac:dyDescent="0.25">
      <c r="A2249" s="6">
        <v>43529</v>
      </c>
      <c r="B2249" t="s">
        <v>26</v>
      </c>
      <c r="C2249">
        <v>60349</v>
      </c>
      <c r="D2249" t="s">
        <v>123</v>
      </c>
      <c r="E2249" s="7">
        <v>1164.08</v>
      </c>
      <c r="F2249" t="s">
        <v>20</v>
      </c>
      <c r="G2249" t="s">
        <v>21</v>
      </c>
      <c r="H2249" t="str">
        <f>"269140369001"</f>
        <v>269140369001</v>
      </c>
      <c r="I2249" t="str">
        <f>"OFFICE SUPPLIES"</f>
        <v>OFFICE SUPPLIES</v>
      </c>
    </row>
    <row r="2250" spans="1:9" x14ac:dyDescent="0.25">
      <c r="A2250" s="6">
        <v>43529</v>
      </c>
      <c r="B2250" t="s">
        <v>26</v>
      </c>
      <c r="C2250">
        <v>60349</v>
      </c>
      <c r="D2250" t="s">
        <v>123</v>
      </c>
      <c r="E2250" s="7">
        <v>1164.08</v>
      </c>
      <c r="F2250" t="s">
        <v>20</v>
      </c>
      <c r="G2250" t="s">
        <v>21</v>
      </c>
      <c r="H2250" t="str">
        <f>"269140926001"</f>
        <v>269140926001</v>
      </c>
      <c r="I2250" t="str">
        <f>"OFFICE SUPPLIES"</f>
        <v>OFFICE SUPPLIES</v>
      </c>
    </row>
    <row r="2251" spans="1:9" x14ac:dyDescent="0.25">
      <c r="A2251" s="6">
        <v>43529</v>
      </c>
      <c r="B2251" t="s">
        <v>26</v>
      </c>
      <c r="C2251">
        <v>60349</v>
      </c>
      <c r="D2251" t="s">
        <v>123</v>
      </c>
      <c r="E2251" s="7">
        <v>1164.08</v>
      </c>
      <c r="F2251" t="s">
        <v>20</v>
      </c>
      <c r="G2251" t="s">
        <v>21</v>
      </c>
      <c r="H2251" t="str">
        <f>"269531711001"</f>
        <v>269531711001</v>
      </c>
      <c r="I2251" t="str">
        <f>"OFFICE SUPPLIES"</f>
        <v>OFFICE SUPPLIES</v>
      </c>
    </row>
    <row r="2252" spans="1:9" x14ac:dyDescent="0.25">
      <c r="A2252" s="6">
        <v>43529</v>
      </c>
      <c r="B2252" t="s">
        <v>26</v>
      </c>
      <c r="C2252">
        <v>60349</v>
      </c>
      <c r="D2252" t="s">
        <v>123</v>
      </c>
      <c r="E2252" s="7">
        <v>1164.08</v>
      </c>
      <c r="F2252" t="s">
        <v>20</v>
      </c>
      <c r="G2252" t="s">
        <v>21</v>
      </c>
      <c r="H2252" t="str">
        <f>"273719564001"</f>
        <v>273719564001</v>
      </c>
      <c r="I2252" t="str">
        <f>"OFFICE SUPPLIES"</f>
        <v>OFFICE SUPPLIES</v>
      </c>
    </row>
    <row r="2253" spans="1:9" x14ac:dyDescent="0.25">
      <c r="A2253" s="6">
        <v>43529</v>
      </c>
      <c r="B2253" t="s">
        <v>26</v>
      </c>
      <c r="C2253">
        <v>60349</v>
      </c>
      <c r="D2253" t="s">
        <v>123</v>
      </c>
      <c r="E2253" s="7">
        <v>1164.08</v>
      </c>
      <c r="F2253" t="s">
        <v>20</v>
      </c>
      <c r="G2253" t="s">
        <v>21</v>
      </c>
      <c r="H2253" t="str">
        <f>"273720290001"</f>
        <v>273720290001</v>
      </c>
      <c r="I2253" t="str">
        <f>"OFFICE SUPPLIES"</f>
        <v>OFFICE SUPPLIES</v>
      </c>
    </row>
    <row r="2254" spans="1:9" x14ac:dyDescent="0.25">
      <c r="A2254" s="6">
        <v>43529</v>
      </c>
      <c r="B2254" t="s">
        <v>26</v>
      </c>
      <c r="C2254">
        <v>60349</v>
      </c>
      <c r="D2254" t="s">
        <v>123</v>
      </c>
      <c r="E2254" s="7">
        <v>1164.08</v>
      </c>
      <c r="F2254" t="s">
        <v>20</v>
      </c>
      <c r="G2254" t="s">
        <v>21</v>
      </c>
      <c r="H2254" t="str">
        <f>"274810545001"</f>
        <v>274810545001</v>
      </c>
      <c r="I2254" t="str">
        <f>"JANITORIAL SUPPLIES"</f>
        <v>JANITORIAL SUPPLIES</v>
      </c>
    </row>
    <row r="2255" spans="1:9" x14ac:dyDescent="0.25">
      <c r="A2255" s="6">
        <v>43529</v>
      </c>
      <c r="B2255" t="s">
        <v>26</v>
      </c>
      <c r="C2255">
        <v>60349</v>
      </c>
      <c r="D2255" t="s">
        <v>123</v>
      </c>
      <c r="E2255" s="7">
        <v>1164.08</v>
      </c>
      <c r="F2255" t="s">
        <v>20</v>
      </c>
      <c r="G2255" t="s">
        <v>21</v>
      </c>
      <c r="H2255" t="str">
        <f>"274811420001"</f>
        <v>274811420001</v>
      </c>
      <c r="I2255" t="str">
        <f>"JANITORIAL SUPPLIES"</f>
        <v>JANITORIAL SUPPLIES</v>
      </c>
    </row>
    <row r="2256" spans="1:9" x14ac:dyDescent="0.25">
      <c r="A2256" s="6">
        <v>43529</v>
      </c>
      <c r="B2256" t="s">
        <v>26</v>
      </c>
      <c r="C2256">
        <v>60349</v>
      </c>
      <c r="D2256" t="s">
        <v>123</v>
      </c>
      <c r="E2256" s="7">
        <v>1164.08</v>
      </c>
      <c r="F2256" t="s">
        <v>20</v>
      </c>
      <c r="G2256" t="s">
        <v>21</v>
      </c>
      <c r="H2256" t="str">
        <f>"277591584001"</f>
        <v>277591584001</v>
      </c>
      <c r="I2256" t="str">
        <f>"OFFICE DEPOT  INC."</f>
        <v>OFFICE DEPOT  INC.</v>
      </c>
    </row>
    <row r="2257" spans="1:9" x14ac:dyDescent="0.25">
      <c r="A2257" s="6">
        <v>43529</v>
      </c>
      <c r="B2257" t="s">
        <v>26</v>
      </c>
      <c r="C2257">
        <v>60349</v>
      </c>
      <c r="D2257" t="s">
        <v>123</v>
      </c>
      <c r="E2257" s="7">
        <v>1164.08</v>
      </c>
      <c r="F2257" t="s">
        <v>20</v>
      </c>
      <c r="G2257" t="s">
        <v>21</v>
      </c>
      <c r="H2257" t="str">
        <f>"278318672001"</f>
        <v>278318672001</v>
      </c>
      <c r="I2257" t="str">
        <f>"OFFICE SUPPLIES"</f>
        <v>OFFICE SUPPLIES</v>
      </c>
    </row>
    <row r="2258" spans="1:9" x14ac:dyDescent="0.25">
      <c r="A2258" s="6">
        <v>43529</v>
      </c>
      <c r="B2258" t="s">
        <v>26</v>
      </c>
      <c r="C2258">
        <v>60352</v>
      </c>
      <c r="D2258" t="s">
        <v>76</v>
      </c>
      <c r="E2258" s="7">
        <v>425</v>
      </c>
      <c r="F2258" t="s">
        <v>20</v>
      </c>
      <c r="G2258" t="s">
        <v>21</v>
      </c>
      <c r="H2258" t="str">
        <f>"BEER LIQ 1/31/2019"</f>
        <v>BEER LIQ 1/31/2019</v>
      </c>
      <c r="I2258" t="str">
        <f>"WILSON COUNTY TAX COLLECTOR"</f>
        <v>WILSON COUNTY TAX COLLECTOR</v>
      </c>
    </row>
    <row r="2259" spans="1:9" x14ac:dyDescent="0.25">
      <c r="A2259" s="6">
        <v>43529</v>
      </c>
      <c r="B2259" t="s">
        <v>26</v>
      </c>
      <c r="C2259">
        <v>60353</v>
      </c>
      <c r="D2259" t="s">
        <v>124</v>
      </c>
      <c r="E2259" s="7">
        <v>408.59</v>
      </c>
      <c r="F2259" t="s">
        <v>20</v>
      </c>
      <c r="G2259" t="s">
        <v>21</v>
      </c>
      <c r="H2259" t="str">
        <f>"11169760"</f>
        <v>11169760</v>
      </c>
      <c r="I2259" t="str">
        <f>"PORTLAND CEMENT"</f>
        <v>PORTLAND CEMENT</v>
      </c>
    </row>
    <row r="2260" spans="1:9" x14ac:dyDescent="0.25">
      <c r="A2260" s="6">
        <v>43529</v>
      </c>
      <c r="B2260" t="s">
        <v>26</v>
      </c>
      <c r="C2260">
        <v>60353</v>
      </c>
      <c r="D2260" t="s">
        <v>124</v>
      </c>
      <c r="E2260" s="7">
        <v>408.59</v>
      </c>
      <c r="F2260" t="s">
        <v>20</v>
      </c>
      <c r="G2260" t="s">
        <v>21</v>
      </c>
      <c r="H2260" t="str">
        <f>"11170332"</f>
        <v>11170332</v>
      </c>
      <c r="I2260" t="str">
        <f>"BLADE"</f>
        <v>BLADE</v>
      </c>
    </row>
    <row r="2261" spans="1:9" x14ac:dyDescent="0.25">
      <c r="A2261" s="6">
        <v>43529</v>
      </c>
      <c r="B2261" t="s">
        <v>26</v>
      </c>
      <c r="C2261">
        <v>60353</v>
      </c>
      <c r="D2261" t="s">
        <v>124</v>
      </c>
      <c r="E2261" s="7">
        <v>408.59</v>
      </c>
      <c r="F2261" t="s">
        <v>20</v>
      </c>
      <c r="G2261" t="s">
        <v>21</v>
      </c>
      <c r="H2261" t="str">
        <f>"11170381"</f>
        <v>11170381</v>
      </c>
      <c r="I2261" t="str">
        <f>"MCCOY'S CORPORATION"</f>
        <v>MCCOY'S CORPORATION</v>
      </c>
    </row>
    <row r="2262" spans="1:9" x14ac:dyDescent="0.25">
      <c r="A2262" s="6">
        <v>43529</v>
      </c>
      <c r="B2262" t="s">
        <v>26</v>
      </c>
      <c r="C2262">
        <v>60354</v>
      </c>
      <c r="D2262" t="s">
        <v>319</v>
      </c>
      <c r="E2262" s="7">
        <v>1362.5</v>
      </c>
      <c r="F2262" t="s">
        <v>20</v>
      </c>
      <c r="G2262" t="s">
        <v>21</v>
      </c>
      <c r="H2262" t="str">
        <f>"L9 052 884 3/2019"</f>
        <v>L9 052 884 3/2019</v>
      </c>
      <c r="I2262" t="str">
        <f>"PRUDENTIAL INSURANCE COMPANY"</f>
        <v>PRUDENTIAL INSURANCE COMPANY</v>
      </c>
    </row>
    <row r="2263" spans="1:9" x14ac:dyDescent="0.25">
      <c r="A2263" s="6">
        <v>43529</v>
      </c>
      <c r="B2263" t="s">
        <v>26</v>
      </c>
      <c r="C2263">
        <v>60355</v>
      </c>
      <c r="D2263" t="s">
        <v>534</v>
      </c>
      <c r="E2263" s="7">
        <v>107.17</v>
      </c>
      <c r="F2263" t="s">
        <v>20</v>
      </c>
      <c r="G2263" t="s">
        <v>21</v>
      </c>
      <c r="H2263" t="str">
        <f>"8404045799"</f>
        <v>8404045799</v>
      </c>
      <c r="I2263" t="str">
        <f>"CINTAS CORPORATION NO. 2"</f>
        <v>CINTAS CORPORATION NO. 2</v>
      </c>
    </row>
    <row r="2264" spans="1:9" x14ac:dyDescent="0.25">
      <c r="A2264" s="6">
        <v>43529</v>
      </c>
      <c r="B2264" t="s">
        <v>26</v>
      </c>
      <c r="C2264">
        <v>60356</v>
      </c>
      <c r="D2264" t="s">
        <v>79</v>
      </c>
      <c r="E2264" s="7">
        <v>12.18</v>
      </c>
      <c r="F2264" t="s">
        <v>20</v>
      </c>
      <c r="G2264" t="s">
        <v>21</v>
      </c>
      <c r="H2264" t="str">
        <f>"6-460-79970"</f>
        <v>6-460-79970</v>
      </c>
      <c r="I2264" t="str">
        <f>"FEDEX"</f>
        <v>FEDEX</v>
      </c>
    </row>
    <row r="2265" spans="1:9" x14ac:dyDescent="0.25">
      <c r="A2265" s="6">
        <v>43529</v>
      </c>
      <c r="B2265" t="s">
        <v>26</v>
      </c>
      <c r="C2265">
        <v>60356</v>
      </c>
      <c r="D2265" t="s">
        <v>79</v>
      </c>
      <c r="E2265" s="7">
        <v>12.18</v>
      </c>
      <c r="F2265" t="s">
        <v>20</v>
      </c>
      <c r="G2265" t="s">
        <v>21</v>
      </c>
      <c r="H2265" t="str">
        <f>"6-467-89296"</f>
        <v>6-467-89296</v>
      </c>
      <c r="I2265" t="str">
        <f>"FEDEX"</f>
        <v>FEDEX</v>
      </c>
    </row>
    <row r="2266" spans="1:9" x14ac:dyDescent="0.25">
      <c r="A2266" s="6">
        <v>43529</v>
      </c>
      <c r="B2266" t="s">
        <v>26</v>
      </c>
      <c r="C2266">
        <v>60357</v>
      </c>
      <c r="D2266" t="s">
        <v>80</v>
      </c>
      <c r="E2266" s="7">
        <v>1500</v>
      </c>
      <c r="F2266" t="s">
        <v>20</v>
      </c>
      <c r="G2266" t="s">
        <v>21</v>
      </c>
      <c r="H2266" t="str">
        <f>"1648-20190301-1"</f>
        <v>1648-20190301-1</v>
      </c>
      <c r="I2266" t="str">
        <f>"LVWIFI.COM"</f>
        <v>LVWIFI.COM</v>
      </c>
    </row>
    <row r="2267" spans="1:9" x14ac:dyDescent="0.25">
      <c r="A2267" s="6">
        <v>43529</v>
      </c>
      <c r="B2267" t="s">
        <v>26</v>
      </c>
      <c r="C2267">
        <v>60357</v>
      </c>
      <c r="D2267" t="s">
        <v>80</v>
      </c>
      <c r="E2267" s="7">
        <v>1500</v>
      </c>
      <c r="F2267" t="s">
        <v>20</v>
      </c>
      <c r="G2267" t="s">
        <v>21</v>
      </c>
      <c r="H2267" t="str">
        <f>"2313-20190301-1"</f>
        <v>2313-20190301-1</v>
      </c>
      <c r="I2267" t="str">
        <f>"LVWIFI.COM"</f>
        <v>LVWIFI.COM</v>
      </c>
    </row>
    <row r="2268" spans="1:9" x14ac:dyDescent="0.25">
      <c r="A2268" s="6">
        <v>43529</v>
      </c>
      <c r="B2268" t="s">
        <v>26</v>
      </c>
      <c r="C2268">
        <v>60358</v>
      </c>
      <c r="D2268" t="s">
        <v>139</v>
      </c>
      <c r="E2268" s="7">
        <v>65</v>
      </c>
      <c r="F2268" t="s">
        <v>20</v>
      </c>
      <c r="G2268" t="s">
        <v>21</v>
      </c>
      <c r="H2268" t="str">
        <f>"25827"</f>
        <v>25827</v>
      </c>
      <c r="I2268" t="str">
        <f>"ANGEL FIRE &amp; SAFETY"</f>
        <v>ANGEL FIRE &amp; SAFETY</v>
      </c>
    </row>
    <row r="2269" spans="1:9" x14ac:dyDescent="0.25">
      <c r="A2269" s="6">
        <v>43529</v>
      </c>
      <c r="B2269" t="s">
        <v>26</v>
      </c>
      <c r="C2269">
        <v>60359</v>
      </c>
      <c r="D2269" t="s">
        <v>31</v>
      </c>
      <c r="E2269" s="7">
        <v>3225</v>
      </c>
      <c r="F2269" t="s">
        <v>20</v>
      </c>
      <c r="G2269" t="s">
        <v>21</v>
      </c>
      <c r="H2269" t="str">
        <f>"2019216"</f>
        <v>2019216</v>
      </c>
      <c r="I2269" t="str">
        <f>"THE LAW OFFICE OF TOM CALDWELL"</f>
        <v>THE LAW OFFICE OF TOM CALDWELL</v>
      </c>
    </row>
    <row r="2270" spans="1:9" x14ac:dyDescent="0.25">
      <c r="A2270" s="6">
        <v>43529</v>
      </c>
      <c r="B2270" t="s">
        <v>26</v>
      </c>
      <c r="C2270">
        <v>60360</v>
      </c>
      <c r="D2270" t="s">
        <v>129</v>
      </c>
      <c r="E2270" s="7">
        <v>33.96</v>
      </c>
      <c r="F2270" t="s">
        <v>20</v>
      </c>
      <c r="G2270" t="s">
        <v>21</v>
      </c>
      <c r="H2270" t="str">
        <f>"P44567"</f>
        <v>P44567</v>
      </c>
      <c r="I2270" t="str">
        <f>"HOOK"</f>
        <v>HOOK</v>
      </c>
    </row>
    <row r="2271" spans="1:9" x14ac:dyDescent="0.25">
      <c r="A2271" s="6">
        <v>43529</v>
      </c>
      <c r="B2271" t="s">
        <v>26</v>
      </c>
      <c r="C2271">
        <v>60361</v>
      </c>
      <c r="D2271" t="s">
        <v>131</v>
      </c>
      <c r="E2271" s="7">
        <v>17.84</v>
      </c>
      <c r="F2271" t="s">
        <v>20</v>
      </c>
      <c r="G2271" t="s">
        <v>21</v>
      </c>
      <c r="H2271" t="str">
        <f>"037620"</f>
        <v>037620</v>
      </c>
      <c r="I2271" t="str">
        <f>"LIGHTS"</f>
        <v>LIGHTS</v>
      </c>
    </row>
    <row r="2272" spans="1:9" x14ac:dyDescent="0.25">
      <c r="A2272" s="6">
        <v>43529</v>
      </c>
      <c r="B2272" t="s">
        <v>26</v>
      </c>
      <c r="C2272">
        <v>60362</v>
      </c>
      <c r="D2272" t="s">
        <v>83</v>
      </c>
      <c r="E2272" s="7">
        <v>1044</v>
      </c>
      <c r="F2272" t="s">
        <v>20</v>
      </c>
      <c r="G2272" t="s">
        <v>21</v>
      </c>
      <c r="H2272" t="str">
        <f>"657850"</f>
        <v>657850</v>
      </c>
      <c r="I2272" t="str">
        <f>"APPRIVER"</f>
        <v>APPRIVER</v>
      </c>
    </row>
    <row r="2273" spans="1:9" x14ac:dyDescent="0.25">
      <c r="A2273" s="6">
        <v>43529</v>
      </c>
      <c r="B2273" t="s">
        <v>26</v>
      </c>
      <c r="C2273">
        <v>60363</v>
      </c>
      <c r="D2273" t="s">
        <v>85</v>
      </c>
      <c r="E2273" s="7">
        <v>2391.9699999999998</v>
      </c>
      <c r="F2273" t="s">
        <v>20</v>
      </c>
      <c r="G2273" t="s">
        <v>21</v>
      </c>
      <c r="H2273" t="str">
        <f>"2162691 3/2019"</f>
        <v>2162691 3/2019</v>
      </c>
      <c r="I2273" t="str">
        <f>"FRONTIER"</f>
        <v>FRONTIER</v>
      </c>
    </row>
    <row r="2274" spans="1:9" x14ac:dyDescent="0.25">
      <c r="A2274" s="6">
        <v>43529</v>
      </c>
      <c r="B2274" t="s">
        <v>26</v>
      </c>
      <c r="C2274">
        <v>60363</v>
      </c>
      <c r="D2274" t="s">
        <v>85</v>
      </c>
      <c r="E2274" s="7">
        <v>2391.9699999999998</v>
      </c>
      <c r="F2274" t="s">
        <v>20</v>
      </c>
      <c r="G2274" t="s">
        <v>21</v>
      </c>
      <c r="H2274" t="str">
        <f>"2162745 3/2019"</f>
        <v>2162745 3/2019</v>
      </c>
      <c r="I2274" t="str">
        <f>"FRONTIER"</f>
        <v>FRONTIER</v>
      </c>
    </row>
    <row r="2275" spans="1:9" x14ac:dyDescent="0.25">
      <c r="A2275" s="6">
        <v>43529</v>
      </c>
      <c r="B2275" t="s">
        <v>26</v>
      </c>
      <c r="C2275">
        <v>60363</v>
      </c>
      <c r="D2275" t="s">
        <v>85</v>
      </c>
      <c r="E2275" s="7">
        <v>2391.9699999999998</v>
      </c>
      <c r="F2275" t="s">
        <v>20</v>
      </c>
      <c r="G2275" t="s">
        <v>21</v>
      </c>
      <c r="H2275" t="str">
        <f>"3933718 3/2019"</f>
        <v>3933718 3/2019</v>
      </c>
      <c r="I2275" t="str">
        <f>"FRONTIER"</f>
        <v>FRONTIER</v>
      </c>
    </row>
    <row r="2276" spans="1:9" x14ac:dyDescent="0.25">
      <c r="A2276" s="6">
        <v>43529</v>
      </c>
      <c r="B2276" t="s">
        <v>26</v>
      </c>
      <c r="C2276">
        <v>60363</v>
      </c>
      <c r="D2276" t="s">
        <v>85</v>
      </c>
      <c r="E2276" s="7">
        <v>2391.9699999999998</v>
      </c>
      <c r="F2276" t="s">
        <v>20</v>
      </c>
      <c r="G2276" t="s">
        <v>21</v>
      </c>
      <c r="H2276" t="str">
        <f>"3937070 3/2019"</f>
        <v>3937070 3/2019</v>
      </c>
      <c r="I2276" t="str">
        <f>"FRONTIER"</f>
        <v>FRONTIER</v>
      </c>
    </row>
    <row r="2277" spans="1:9" x14ac:dyDescent="0.25">
      <c r="A2277" s="6">
        <v>43529</v>
      </c>
      <c r="B2277" t="s">
        <v>26</v>
      </c>
      <c r="C2277">
        <v>60363</v>
      </c>
      <c r="D2277" t="s">
        <v>85</v>
      </c>
      <c r="E2277" s="7">
        <v>2391.9699999999998</v>
      </c>
      <c r="F2277" t="s">
        <v>20</v>
      </c>
      <c r="G2277" t="s">
        <v>21</v>
      </c>
      <c r="H2277" t="str">
        <f>"9837110024 2/2019"</f>
        <v>9837110024 2/2019</v>
      </c>
      <c r="I2277" t="str">
        <f>"FRONTIER"</f>
        <v>FRONTIER</v>
      </c>
    </row>
    <row r="2278" spans="1:9" x14ac:dyDescent="0.25">
      <c r="A2278" s="6">
        <v>43529</v>
      </c>
      <c r="B2278" t="s">
        <v>26</v>
      </c>
      <c r="C2278">
        <v>60364</v>
      </c>
      <c r="D2278" t="s">
        <v>195</v>
      </c>
      <c r="E2278" s="7">
        <v>1776.73</v>
      </c>
      <c r="F2278" t="s">
        <v>20</v>
      </c>
      <c r="G2278" t="s">
        <v>21</v>
      </c>
      <c r="H2278" t="str">
        <f>"1565201902"</f>
        <v>1565201902</v>
      </c>
      <c r="I2278" t="str">
        <f>"ARISTA INFORMATION SYSTEMS  IN"</f>
        <v>ARISTA INFORMATION SYSTEMS  IN</v>
      </c>
    </row>
    <row r="2279" spans="1:9" x14ac:dyDescent="0.25">
      <c r="A2279" s="6">
        <v>43529</v>
      </c>
      <c r="B2279" t="s">
        <v>26</v>
      </c>
      <c r="C2279">
        <v>60364</v>
      </c>
      <c r="D2279" t="s">
        <v>195</v>
      </c>
      <c r="E2279" s="7">
        <v>1776.73</v>
      </c>
      <c r="F2279" t="s">
        <v>20</v>
      </c>
      <c r="G2279" t="s">
        <v>21</v>
      </c>
      <c r="H2279" t="str">
        <f>"26963"</f>
        <v>26963</v>
      </c>
      <c r="I2279" t="str">
        <f>"ARISTA INFORMATION SYSTEMS  IN"</f>
        <v>ARISTA INFORMATION SYSTEMS  IN</v>
      </c>
    </row>
    <row r="2280" spans="1:9" x14ac:dyDescent="0.25">
      <c r="A2280" s="6">
        <v>43529</v>
      </c>
      <c r="B2280" t="s">
        <v>26</v>
      </c>
      <c r="C2280">
        <v>60365</v>
      </c>
      <c r="D2280" t="s">
        <v>345</v>
      </c>
      <c r="E2280" s="7">
        <v>346.5</v>
      </c>
      <c r="F2280" t="s">
        <v>20</v>
      </c>
      <c r="G2280" t="s">
        <v>21</v>
      </c>
      <c r="H2280" t="str">
        <f>"3/4/2019"</f>
        <v>3/4/2019</v>
      </c>
      <c r="I2280" t="str">
        <f>"MICHAEL ISAAC MARTINEZ"</f>
        <v>MICHAEL ISAAC MARTINEZ</v>
      </c>
    </row>
    <row r="2281" spans="1:9" x14ac:dyDescent="0.25">
      <c r="A2281" s="6">
        <v>43529</v>
      </c>
      <c r="B2281" t="s">
        <v>26</v>
      </c>
      <c r="C2281">
        <v>60366</v>
      </c>
      <c r="D2281" t="s">
        <v>218</v>
      </c>
      <c r="E2281" s="7">
        <v>130</v>
      </c>
      <c r="F2281" t="s">
        <v>20</v>
      </c>
      <c r="G2281" t="s">
        <v>21</v>
      </c>
      <c r="H2281" t="str">
        <f>"3526"</f>
        <v>3526</v>
      </c>
      <c r="I2281" t="str">
        <f>"TOWING SERVICE"</f>
        <v>TOWING SERVICE</v>
      </c>
    </row>
    <row r="2282" spans="1:9" x14ac:dyDescent="0.25">
      <c r="A2282" s="6">
        <v>43529</v>
      </c>
      <c r="B2282" t="s">
        <v>26</v>
      </c>
      <c r="C2282">
        <v>60366</v>
      </c>
      <c r="D2282" t="s">
        <v>218</v>
      </c>
      <c r="E2282" s="7">
        <v>130</v>
      </c>
      <c r="F2282" t="s">
        <v>20</v>
      </c>
      <c r="G2282" t="s">
        <v>21</v>
      </c>
      <c r="H2282" t="str">
        <f>"3539"</f>
        <v>3539</v>
      </c>
      <c r="I2282" t="str">
        <f>"TOWING"</f>
        <v>TOWING</v>
      </c>
    </row>
    <row r="2283" spans="1:9" x14ac:dyDescent="0.25">
      <c r="A2283" s="6">
        <v>43529</v>
      </c>
      <c r="B2283" t="s">
        <v>26</v>
      </c>
      <c r="C2283">
        <v>60367</v>
      </c>
      <c r="D2283" t="s">
        <v>238</v>
      </c>
      <c r="E2283" s="7">
        <v>525</v>
      </c>
      <c r="F2283" t="s">
        <v>20</v>
      </c>
      <c r="G2283" t="s">
        <v>21</v>
      </c>
      <c r="H2283" t="str">
        <f>"1834"</f>
        <v>1834</v>
      </c>
      <c r="I2283" t="str">
        <f>"AA SOUTH TEXAS BACKFLOW &amp; IRRI"</f>
        <v>AA SOUTH TEXAS BACKFLOW &amp; IRRI</v>
      </c>
    </row>
    <row r="2284" spans="1:9" x14ac:dyDescent="0.25">
      <c r="A2284" s="6">
        <v>43529</v>
      </c>
      <c r="B2284" t="s">
        <v>26</v>
      </c>
      <c r="C2284">
        <v>60368</v>
      </c>
      <c r="D2284" t="s">
        <v>351</v>
      </c>
      <c r="E2284" s="7">
        <v>75</v>
      </c>
      <c r="F2284" t="s">
        <v>20</v>
      </c>
      <c r="G2284" t="s">
        <v>21</v>
      </c>
      <c r="H2284" t="str">
        <f>"841487"</f>
        <v>841487</v>
      </c>
      <c r="I2284" t="str">
        <f>"H &amp; H OIL"</f>
        <v>H &amp; H OIL</v>
      </c>
    </row>
    <row r="2285" spans="1:9" x14ac:dyDescent="0.25">
      <c r="A2285" s="6">
        <v>43529</v>
      </c>
      <c r="B2285" t="s">
        <v>26</v>
      </c>
      <c r="C2285">
        <v>60369</v>
      </c>
      <c r="D2285" t="s">
        <v>398</v>
      </c>
      <c r="E2285" s="7">
        <v>55</v>
      </c>
      <c r="F2285" t="s">
        <v>20</v>
      </c>
      <c r="G2285" t="s">
        <v>21</v>
      </c>
      <c r="H2285" t="str">
        <f>"20190302"</f>
        <v>20190302</v>
      </c>
      <c r="I2285" t="str">
        <f>"INTERCEPTOR TECHNOLOGY GROUP L"</f>
        <v>INTERCEPTOR TECHNOLOGY GROUP L</v>
      </c>
    </row>
    <row r="2286" spans="1:9" x14ac:dyDescent="0.25">
      <c r="A2286" s="6">
        <v>43529</v>
      </c>
      <c r="B2286" t="s">
        <v>26</v>
      </c>
      <c r="C2286">
        <v>60370</v>
      </c>
      <c r="D2286" t="s">
        <v>528</v>
      </c>
      <c r="E2286" s="7">
        <v>137.19999999999999</v>
      </c>
      <c r="F2286" t="s">
        <v>20</v>
      </c>
      <c r="G2286" t="s">
        <v>21</v>
      </c>
      <c r="H2286" t="str">
        <f>"1998711"</f>
        <v>1998711</v>
      </c>
      <c r="I2286" t="str">
        <f>"PROSTAR SERVICES INC"</f>
        <v>PROSTAR SERVICES INC</v>
      </c>
    </row>
    <row r="2287" spans="1:9" x14ac:dyDescent="0.25">
      <c r="A2287" s="6">
        <v>43529</v>
      </c>
      <c r="B2287" t="s">
        <v>26</v>
      </c>
      <c r="C2287">
        <v>60371</v>
      </c>
      <c r="D2287" t="s">
        <v>554</v>
      </c>
      <c r="E2287" s="7">
        <v>74.95</v>
      </c>
      <c r="F2287" t="s">
        <v>20</v>
      </c>
      <c r="G2287" t="s">
        <v>21</v>
      </c>
      <c r="H2287" t="str">
        <f>"AA19505"</f>
        <v>AA19505</v>
      </c>
      <c r="I2287" t="str">
        <f>"TEXAS WIRED MUSIC"</f>
        <v>TEXAS WIRED MUSIC</v>
      </c>
    </row>
    <row r="2288" spans="1:9" x14ac:dyDescent="0.25">
      <c r="A2288" s="6">
        <v>43529</v>
      </c>
      <c r="B2288" t="s">
        <v>26</v>
      </c>
      <c r="C2288">
        <v>60372</v>
      </c>
      <c r="D2288" t="s">
        <v>599</v>
      </c>
      <c r="E2288" s="7">
        <v>2003.33</v>
      </c>
      <c r="F2288" t="s">
        <v>20</v>
      </c>
      <c r="G2288" t="s">
        <v>21</v>
      </c>
      <c r="H2288" t="str">
        <f>"1972"</f>
        <v>1972</v>
      </c>
      <c r="I2288" t="str">
        <f>"METER INSTALL GROUP  LLC."</f>
        <v>METER INSTALL GROUP  LLC.</v>
      </c>
    </row>
    <row r="2289" spans="1:9" x14ac:dyDescent="0.25">
      <c r="A2289" s="6">
        <v>43529</v>
      </c>
      <c r="B2289" t="s">
        <v>26</v>
      </c>
      <c r="C2289">
        <v>60372</v>
      </c>
      <c r="D2289" t="s">
        <v>599</v>
      </c>
      <c r="E2289" s="7">
        <v>2003.33</v>
      </c>
      <c r="F2289" t="s">
        <v>20</v>
      </c>
      <c r="G2289" t="s">
        <v>21</v>
      </c>
      <c r="H2289" t="str">
        <f>"FC8"</f>
        <v>FC8</v>
      </c>
      <c r="I2289" t="str">
        <f>"METER INSTALL GROUP  LLC."</f>
        <v>METER INSTALL GROUP  LLC.</v>
      </c>
    </row>
    <row r="2290" spans="1:9" x14ac:dyDescent="0.25">
      <c r="A2290" s="6">
        <v>43529</v>
      </c>
      <c r="B2290" t="s">
        <v>26</v>
      </c>
      <c r="C2290">
        <v>60373</v>
      </c>
      <c r="D2290" t="s">
        <v>644</v>
      </c>
      <c r="E2290" s="7">
        <v>826.92</v>
      </c>
      <c r="F2290" t="s">
        <v>20</v>
      </c>
      <c r="G2290" t="s">
        <v>21</v>
      </c>
      <c r="H2290" t="str">
        <f>"8213262461"</f>
        <v>8213262461</v>
      </c>
      <c r="I2290" t="str">
        <f t="shared" ref="I2290:I2299" si="41">"UNIFIRST CORPORATION"</f>
        <v>UNIFIRST CORPORATION</v>
      </c>
    </row>
    <row r="2291" spans="1:9" x14ac:dyDescent="0.25">
      <c r="A2291" s="6">
        <v>43529</v>
      </c>
      <c r="B2291" t="s">
        <v>26</v>
      </c>
      <c r="C2291">
        <v>60373</v>
      </c>
      <c r="D2291" t="s">
        <v>644</v>
      </c>
      <c r="E2291" s="7">
        <v>826.92</v>
      </c>
      <c r="F2291" t="s">
        <v>20</v>
      </c>
      <c r="G2291" t="s">
        <v>21</v>
      </c>
      <c r="H2291" t="str">
        <f>"8213265132"</f>
        <v>8213265132</v>
      </c>
      <c r="I2291" t="str">
        <f t="shared" si="41"/>
        <v>UNIFIRST CORPORATION</v>
      </c>
    </row>
    <row r="2292" spans="1:9" x14ac:dyDescent="0.25">
      <c r="A2292" s="6">
        <v>43529</v>
      </c>
      <c r="B2292" t="s">
        <v>26</v>
      </c>
      <c r="C2292">
        <v>60373</v>
      </c>
      <c r="D2292" t="s">
        <v>644</v>
      </c>
      <c r="E2292" s="7">
        <v>826.92</v>
      </c>
      <c r="F2292" t="s">
        <v>20</v>
      </c>
      <c r="G2292" t="s">
        <v>21</v>
      </c>
      <c r="H2292" t="str">
        <f>"8213267932"</f>
        <v>8213267932</v>
      </c>
      <c r="I2292" t="str">
        <f t="shared" si="41"/>
        <v>UNIFIRST CORPORATION</v>
      </c>
    </row>
    <row r="2293" spans="1:9" x14ac:dyDescent="0.25">
      <c r="A2293" s="6">
        <v>43529</v>
      </c>
      <c r="B2293" t="s">
        <v>26</v>
      </c>
      <c r="C2293">
        <v>60373</v>
      </c>
      <c r="D2293" t="s">
        <v>644</v>
      </c>
      <c r="E2293" s="7">
        <v>826.92</v>
      </c>
      <c r="F2293" t="s">
        <v>20</v>
      </c>
      <c r="G2293" t="s">
        <v>21</v>
      </c>
      <c r="H2293" t="str">
        <f>"8213287184"</f>
        <v>8213287184</v>
      </c>
      <c r="I2293" t="str">
        <f t="shared" si="41"/>
        <v>UNIFIRST CORPORATION</v>
      </c>
    </row>
    <row r="2294" spans="1:9" x14ac:dyDescent="0.25">
      <c r="A2294" s="6">
        <v>43529</v>
      </c>
      <c r="B2294" t="s">
        <v>26</v>
      </c>
      <c r="C2294">
        <v>60373</v>
      </c>
      <c r="D2294" t="s">
        <v>644</v>
      </c>
      <c r="E2294" s="7">
        <v>826.92</v>
      </c>
      <c r="F2294" t="s">
        <v>20</v>
      </c>
      <c r="G2294" t="s">
        <v>21</v>
      </c>
      <c r="H2294" t="str">
        <f>"8213287185"</f>
        <v>8213287185</v>
      </c>
      <c r="I2294" t="str">
        <f t="shared" si="41"/>
        <v>UNIFIRST CORPORATION</v>
      </c>
    </row>
    <row r="2295" spans="1:9" x14ac:dyDescent="0.25">
      <c r="A2295" s="6">
        <v>43529</v>
      </c>
      <c r="B2295" t="s">
        <v>26</v>
      </c>
      <c r="C2295">
        <v>60373</v>
      </c>
      <c r="D2295" t="s">
        <v>644</v>
      </c>
      <c r="E2295" s="7">
        <v>826.92</v>
      </c>
      <c r="F2295" t="s">
        <v>20</v>
      </c>
      <c r="G2295" t="s">
        <v>21</v>
      </c>
      <c r="H2295" t="str">
        <f>"8213287186"</f>
        <v>8213287186</v>
      </c>
      <c r="I2295" t="str">
        <f t="shared" si="41"/>
        <v>UNIFIRST CORPORATION</v>
      </c>
    </row>
    <row r="2296" spans="1:9" x14ac:dyDescent="0.25">
      <c r="A2296" s="6">
        <v>43529</v>
      </c>
      <c r="B2296" t="s">
        <v>26</v>
      </c>
      <c r="C2296">
        <v>60373</v>
      </c>
      <c r="D2296" t="s">
        <v>644</v>
      </c>
      <c r="E2296" s="7">
        <v>826.92</v>
      </c>
      <c r="F2296" t="s">
        <v>20</v>
      </c>
      <c r="G2296" t="s">
        <v>21</v>
      </c>
      <c r="H2296" t="str">
        <f>"8213287187"</f>
        <v>8213287187</v>
      </c>
      <c r="I2296" t="str">
        <f t="shared" si="41"/>
        <v>UNIFIRST CORPORATION</v>
      </c>
    </row>
    <row r="2297" spans="1:9" x14ac:dyDescent="0.25">
      <c r="A2297" s="6">
        <v>43529</v>
      </c>
      <c r="B2297" t="s">
        <v>26</v>
      </c>
      <c r="C2297">
        <v>60373</v>
      </c>
      <c r="D2297" t="s">
        <v>644</v>
      </c>
      <c r="E2297" s="7">
        <v>826.92</v>
      </c>
      <c r="F2297" t="s">
        <v>20</v>
      </c>
      <c r="G2297" t="s">
        <v>21</v>
      </c>
      <c r="H2297" t="str">
        <f>"8213287188"</f>
        <v>8213287188</v>
      </c>
      <c r="I2297" t="str">
        <f t="shared" si="41"/>
        <v>UNIFIRST CORPORATION</v>
      </c>
    </row>
    <row r="2298" spans="1:9" x14ac:dyDescent="0.25">
      <c r="A2298" s="6">
        <v>43529</v>
      </c>
      <c r="B2298" t="s">
        <v>26</v>
      </c>
      <c r="C2298">
        <v>60373</v>
      </c>
      <c r="D2298" t="s">
        <v>644</v>
      </c>
      <c r="E2298" s="7">
        <v>826.92</v>
      </c>
      <c r="F2298" t="s">
        <v>20</v>
      </c>
      <c r="G2298" t="s">
        <v>21</v>
      </c>
      <c r="H2298" t="str">
        <f>"8213287189"</f>
        <v>8213287189</v>
      </c>
      <c r="I2298" t="str">
        <f t="shared" si="41"/>
        <v>UNIFIRST CORPORATION</v>
      </c>
    </row>
    <row r="2299" spans="1:9" x14ac:dyDescent="0.25">
      <c r="A2299" s="6">
        <v>43529</v>
      </c>
      <c r="B2299" t="s">
        <v>26</v>
      </c>
      <c r="C2299">
        <v>60373</v>
      </c>
      <c r="D2299" t="s">
        <v>644</v>
      </c>
      <c r="E2299" s="7">
        <v>826.92</v>
      </c>
      <c r="F2299" t="s">
        <v>20</v>
      </c>
      <c r="G2299" t="s">
        <v>21</v>
      </c>
      <c r="H2299" t="str">
        <f>"8213287190"</f>
        <v>8213287190</v>
      </c>
      <c r="I2299" t="str">
        <f t="shared" si="41"/>
        <v>UNIFIRST CORPORATION</v>
      </c>
    </row>
    <row r="2300" spans="1:9" x14ac:dyDescent="0.25">
      <c r="A2300" s="6">
        <v>43529</v>
      </c>
      <c r="B2300" t="s">
        <v>26</v>
      </c>
      <c r="C2300">
        <v>60375</v>
      </c>
      <c r="D2300" t="s">
        <v>647</v>
      </c>
      <c r="E2300" s="7">
        <v>5877.33</v>
      </c>
      <c r="F2300" t="s">
        <v>20</v>
      </c>
      <c r="G2300" t="s">
        <v>21</v>
      </c>
      <c r="H2300" t="str">
        <f>"24221250"</f>
        <v>24221250</v>
      </c>
      <c r="I2300" t="str">
        <f>"DOCUMATION  INC."</f>
        <v>DOCUMATION  INC.</v>
      </c>
    </row>
    <row r="2301" spans="1:9" x14ac:dyDescent="0.25">
      <c r="A2301" s="6">
        <v>43529</v>
      </c>
      <c r="B2301" t="s">
        <v>26</v>
      </c>
      <c r="C2301">
        <v>60376</v>
      </c>
      <c r="D2301" t="s">
        <v>685</v>
      </c>
      <c r="E2301" s="7">
        <v>827.9</v>
      </c>
      <c r="F2301" t="s">
        <v>20</v>
      </c>
      <c r="G2301" t="s">
        <v>21</v>
      </c>
      <c r="H2301" t="str">
        <f>"7910-5"</f>
        <v>7910-5</v>
      </c>
      <c r="I2301" t="str">
        <f>"TEXAS STATE RENTALS; TEXAS STA"</f>
        <v>TEXAS STATE RENTALS; TEXAS STA</v>
      </c>
    </row>
    <row r="2302" spans="1:9" x14ac:dyDescent="0.25">
      <c r="A2302" s="6">
        <v>43531</v>
      </c>
      <c r="B2302" t="s">
        <v>26</v>
      </c>
      <c r="C2302">
        <v>60377</v>
      </c>
      <c r="D2302" t="s">
        <v>54</v>
      </c>
      <c r="E2302" s="7">
        <v>50</v>
      </c>
      <c r="F2302" t="s">
        <v>20</v>
      </c>
      <c r="G2302" t="s">
        <v>21</v>
      </c>
      <c r="H2302" t="str">
        <f>"3/7/2019"</f>
        <v>3/7/2019</v>
      </c>
      <c r="I2302" t="str">
        <f>"NATIONWIDE TRUST COMPANY  FSB"</f>
        <v>NATIONWIDE TRUST COMPANY  FSB</v>
      </c>
    </row>
    <row r="2303" spans="1:9" x14ac:dyDescent="0.25">
      <c r="A2303" s="6">
        <v>43531</v>
      </c>
      <c r="B2303" t="s">
        <v>91</v>
      </c>
      <c r="C2303">
        <v>60378</v>
      </c>
      <c r="D2303" t="s">
        <v>686</v>
      </c>
      <c r="E2303" s="7">
        <v>1400</v>
      </c>
      <c r="F2303" t="s">
        <v>20</v>
      </c>
      <c r="G2303" t="s">
        <v>21</v>
      </c>
      <c r="H2303" t="str">
        <f>"371039"</f>
        <v>371039</v>
      </c>
      <c r="I2303" t="str">
        <f>"FINDERS KEEPERS MARKET"</f>
        <v>FINDERS KEEPERS MARKET</v>
      </c>
    </row>
    <row r="2304" spans="1:9" x14ac:dyDescent="0.25">
      <c r="A2304" s="6">
        <v>43531</v>
      </c>
      <c r="B2304" t="s">
        <v>91</v>
      </c>
      <c r="C2304">
        <v>60378</v>
      </c>
      <c r="D2304" t="s">
        <v>686</v>
      </c>
      <c r="E2304" s="7">
        <v>1400</v>
      </c>
      <c r="F2304" t="s">
        <v>20</v>
      </c>
      <c r="G2304" t="s">
        <v>93</v>
      </c>
      <c r="H2304" t="str">
        <f>"CHECK"</f>
        <v>CHECK</v>
      </c>
      <c r="I2304" t="str">
        <f>""</f>
        <v/>
      </c>
    </row>
    <row r="2305" spans="1:9" x14ac:dyDescent="0.25">
      <c r="A2305" s="6">
        <v>43531</v>
      </c>
      <c r="B2305" t="s">
        <v>26</v>
      </c>
      <c r="C2305">
        <v>60379</v>
      </c>
      <c r="D2305" t="s">
        <v>687</v>
      </c>
      <c r="E2305" s="7">
        <v>1400</v>
      </c>
      <c r="F2305" t="s">
        <v>20</v>
      </c>
      <c r="G2305" t="s">
        <v>21</v>
      </c>
      <c r="H2305" t="str">
        <f>"371039*"</f>
        <v>371039*</v>
      </c>
      <c r="I2305" t="str">
        <f>"DENISE STONE"</f>
        <v>DENISE STONE</v>
      </c>
    </row>
    <row r="2306" spans="1:9" x14ac:dyDescent="0.25">
      <c r="A2306" s="6">
        <v>43539</v>
      </c>
      <c r="B2306" t="s">
        <v>26</v>
      </c>
      <c r="C2306">
        <v>60389</v>
      </c>
      <c r="D2306" t="s">
        <v>51</v>
      </c>
      <c r="E2306" s="7">
        <v>327.84</v>
      </c>
      <c r="F2306" t="s">
        <v>20</v>
      </c>
      <c r="G2306" t="s">
        <v>21</v>
      </c>
      <c r="H2306" t="str">
        <f>"CLE201903138510"</f>
        <v>CLE201903138510</v>
      </c>
      <c r="I2306" t="str">
        <f>"CLEAT ONLY DUES"</f>
        <v>CLEAT ONLY DUES</v>
      </c>
    </row>
    <row r="2307" spans="1:9" x14ac:dyDescent="0.25">
      <c r="A2307" s="6">
        <v>43539</v>
      </c>
      <c r="B2307" t="s">
        <v>26</v>
      </c>
      <c r="C2307">
        <v>60389</v>
      </c>
      <c r="D2307" t="s">
        <v>51</v>
      </c>
      <c r="E2307" s="7">
        <v>327.84</v>
      </c>
      <c r="F2307" t="s">
        <v>20</v>
      </c>
      <c r="G2307" t="s">
        <v>21</v>
      </c>
      <c r="H2307" t="str">
        <f>"PDD201903138510"</f>
        <v>PDD201903138510</v>
      </c>
      <c r="I2307" t="str">
        <f>"POLICE OFFICERS ASSOC DUES"</f>
        <v>POLICE OFFICERS ASSOC DUES</v>
      </c>
    </row>
    <row r="2308" spans="1:9" x14ac:dyDescent="0.25">
      <c r="A2308" s="6">
        <v>43539</v>
      </c>
      <c r="B2308" t="s">
        <v>91</v>
      </c>
      <c r="C2308">
        <v>60390</v>
      </c>
      <c r="D2308" t="s">
        <v>90</v>
      </c>
      <c r="E2308" s="7">
        <v>101.1</v>
      </c>
      <c r="F2308" t="s">
        <v>20</v>
      </c>
      <c r="G2308" t="s">
        <v>21</v>
      </c>
      <c r="H2308" t="str">
        <f>"AFS201903138510"</f>
        <v>AFS201903138510</v>
      </c>
      <c r="I2308" t="str">
        <f>"AFLAC STD"</f>
        <v>AFLAC STD</v>
      </c>
    </row>
    <row r="2309" spans="1:9" x14ac:dyDescent="0.25">
      <c r="A2309" s="6">
        <v>43539</v>
      </c>
      <c r="B2309" t="s">
        <v>26</v>
      </c>
      <c r="C2309">
        <v>60391</v>
      </c>
      <c r="D2309" t="s">
        <v>52</v>
      </c>
      <c r="E2309" s="7">
        <v>1371.29</v>
      </c>
      <c r="F2309" t="s">
        <v>20</v>
      </c>
      <c r="G2309" t="s">
        <v>21</v>
      </c>
      <c r="H2309" t="str">
        <f>"CJD201903138510"</f>
        <v>CJD201903138510</v>
      </c>
      <c r="I2309" t="str">
        <f>"1371990918080637CV RUBI MUNOZ"</f>
        <v>1371990918080637CV RUBI MUNOZ</v>
      </c>
    </row>
    <row r="2310" spans="1:9" x14ac:dyDescent="0.25">
      <c r="A2310" s="6">
        <v>43539</v>
      </c>
      <c r="B2310" t="s">
        <v>26</v>
      </c>
      <c r="C2310">
        <v>60391</v>
      </c>
      <c r="D2310" t="s">
        <v>52</v>
      </c>
      <c r="E2310" s="7">
        <v>1371.29</v>
      </c>
      <c r="F2310" t="s">
        <v>20</v>
      </c>
      <c r="G2310" t="s">
        <v>21</v>
      </c>
      <c r="H2310" t="str">
        <f>"CPS201903138510"</f>
        <v>CPS201903138510</v>
      </c>
      <c r="I2310" t="str">
        <f>"G MENDOZA 00123012032010EM5054"</f>
        <v>G MENDOZA 00123012032010EM5054</v>
      </c>
    </row>
    <row r="2311" spans="1:9" x14ac:dyDescent="0.25">
      <c r="A2311" s="6">
        <v>43539</v>
      </c>
      <c r="B2311" t="s">
        <v>26</v>
      </c>
      <c r="C2311">
        <v>60391</v>
      </c>
      <c r="D2311" t="s">
        <v>52</v>
      </c>
      <c r="E2311" s="7">
        <v>1371.29</v>
      </c>
      <c r="F2311" t="s">
        <v>20</v>
      </c>
      <c r="G2311" t="s">
        <v>21</v>
      </c>
      <c r="H2311" t="str">
        <f>"CS 201903138510"</f>
        <v>CS 201903138510</v>
      </c>
      <c r="I2311" t="str">
        <f>"CAUSE#98EM504113 PEGGY RIVAS"</f>
        <v>CAUSE#98EM504113 PEGGY RIVAS</v>
      </c>
    </row>
    <row r="2312" spans="1:9" x14ac:dyDescent="0.25">
      <c r="A2312" s="6">
        <v>43539</v>
      </c>
      <c r="B2312" t="s">
        <v>26</v>
      </c>
      <c r="C2312">
        <v>60391</v>
      </c>
      <c r="D2312" t="s">
        <v>52</v>
      </c>
      <c r="E2312" s="7">
        <v>1371.29</v>
      </c>
      <c r="F2312" t="s">
        <v>20</v>
      </c>
      <c r="G2312" t="s">
        <v>21</v>
      </c>
      <c r="H2312" t="str">
        <f>"CSJ201903138510"</f>
        <v>CSJ201903138510</v>
      </c>
      <c r="I2312" t="str">
        <f>"CAUSE# 0010185272 MARIANN GUTI"</f>
        <v>CAUSE# 0010185272 MARIANN GUTI</v>
      </c>
    </row>
    <row r="2313" spans="1:9" x14ac:dyDescent="0.25">
      <c r="A2313" s="6">
        <v>43539</v>
      </c>
      <c r="B2313" t="s">
        <v>26</v>
      </c>
      <c r="C2313">
        <v>60392</v>
      </c>
      <c r="D2313" t="s">
        <v>53</v>
      </c>
      <c r="E2313" s="7">
        <v>99.1</v>
      </c>
      <c r="F2313" t="s">
        <v>20</v>
      </c>
      <c r="G2313" t="s">
        <v>21</v>
      </c>
      <c r="H2313" t="str">
        <f>"MCO201903138510"</f>
        <v>MCO201903138510</v>
      </c>
      <c r="I2313" t="str">
        <f>"MONICA CORDOVA"</f>
        <v>MONICA CORDOVA</v>
      </c>
    </row>
    <row r="2314" spans="1:9" x14ac:dyDescent="0.25">
      <c r="A2314" s="6">
        <v>43539</v>
      </c>
      <c r="B2314" t="s">
        <v>26</v>
      </c>
      <c r="C2314">
        <v>60393</v>
      </c>
      <c r="D2314" t="s">
        <v>54</v>
      </c>
      <c r="E2314" s="7">
        <v>877.1</v>
      </c>
      <c r="F2314" t="s">
        <v>20</v>
      </c>
      <c r="G2314" t="s">
        <v>21</v>
      </c>
      <c r="H2314" t="str">
        <f>"457201903138510"</f>
        <v>457201903138510</v>
      </c>
      <c r="I2314" t="str">
        <f>"CASE # 180-60751 457B DEDUCT"</f>
        <v>CASE # 180-60751 457B DEDUCT</v>
      </c>
    </row>
    <row r="2315" spans="1:9" x14ac:dyDescent="0.25">
      <c r="A2315" s="6">
        <v>43537</v>
      </c>
      <c r="B2315" t="s">
        <v>26</v>
      </c>
      <c r="C2315">
        <v>60394</v>
      </c>
      <c r="D2315" t="s">
        <v>57</v>
      </c>
      <c r="E2315" s="7">
        <v>6686.06</v>
      </c>
      <c r="F2315" t="s">
        <v>20</v>
      </c>
      <c r="G2315" t="s">
        <v>21</v>
      </c>
      <c r="H2315" t="str">
        <f>"11617 PK/FLD  3/20"</f>
        <v>11617 PK/FLD  3/20</v>
      </c>
      <c r="I2315" t="str">
        <f>"F.E.L.P.S."</f>
        <v>F.E.L.P.S.</v>
      </c>
    </row>
    <row r="2316" spans="1:9" x14ac:dyDescent="0.25">
      <c r="A2316" s="6">
        <v>43537</v>
      </c>
      <c r="B2316" t="s">
        <v>26</v>
      </c>
      <c r="C2316">
        <v>60394</v>
      </c>
      <c r="D2316" t="s">
        <v>57</v>
      </c>
      <c r="E2316" s="7">
        <v>6686.06</v>
      </c>
      <c r="F2316" t="s">
        <v>20</v>
      </c>
      <c r="G2316" t="s">
        <v>21</v>
      </c>
      <c r="H2316" t="str">
        <f>"11617-015 2/2019"</f>
        <v>11617-015 2/2019</v>
      </c>
      <c r="I2316" t="str">
        <f>"F.E.L.P.S."</f>
        <v>F.E.L.P.S.</v>
      </c>
    </row>
    <row r="2317" spans="1:9" x14ac:dyDescent="0.25">
      <c r="A2317" s="6">
        <v>43537</v>
      </c>
      <c r="B2317" t="s">
        <v>26</v>
      </c>
      <c r="C2317">
        <v>60394</v>
      </c>
      <c r="D2317" t="s">
        <v>57</v>
      </c>
      <c r="E2317" s="7">
        <v>6686.06</v>
      </c>
      <c r="F2317" t="s">
        <v>20</v>
      </c>
      <c r="G2317" t="s">
        <v>21</v>
      </c>
      <c r="H2317" t="str">
        <f>"33062 2/2019"</f>
        <v>33062 2/2019</v>
      </c>
      <c r="I2317" t="str">
        <f>"F.E.L.P.S."</f>
        <v>F.E.L.P.S.</v>
      </c>
    </row>
    <row r="2318" spans="1:9" x14ac:dyDescent="0.25">
      <c r="A2318" s="6">
        <v>43537</v>
      </c>
      <c r="B2318" t="s">
        <v>26</v>
      </c>
      <c r="C2318">
        <v>60395</v>
      </c>
      <c r="D2318" t="s">
        <v>273</v>
      </c>
      <c r="E2318" s="7">
        <v>5588.86</v>
      </c>
      <c r="F2318" t="s">
        <v>20</v>
      </c>
      <c r="G2318" t="s">
        <v>21</v>
      </c>
      <c r="H2318" t="str">
        <f>"5119-000087471"</f>
        <v>5119-000087471</v>
      </c>
      <c r="I2318" t="str">
        <f>"REPUBLIC SERVICES TESSMAN ROAD"</f>
        <v>REPUBLIC SERVICES TESSMAN ROAD</v>
      </c>
    </row>
    <row r="2319" spans="1:9" x14ac:dyDescent="0.25">
      <c r="A2319" s="6">
        <v>43537</v>
      </c>
      <c r="B2319" t="s">
        <v>26</v>
      </c>
      <c r="C2319">
        <v>60396</v>
      </c>
      <c r="D2319" t="s">
        <v>0</v>
      </c>
      <c r="E2319" s="7">
        <v>3654.34</v>
      </c>
      <c r="F2319" t="s">
        <v>20</v>
      </c>
      <c r="G2319" t="s">
        <v>21</v>
      </c>
      <c r="H2319" t="str">
        <f>"FEB 2019"</f>
        <v>FEB 2019</v>
      </c>
      <c r="I2319" t="str">
        <f>"CITY OF FLORESVILLE"</f>
        <v>CITY OF FLORESVILLE</v>
      </c>
    </row>
    <row r="2320" spans="1:9" x14ac:dyDescent="0.25">
      <c r="A2320" s="6">
        <v>43537</v>
      </c>
      <c r="B2320" t="s">
        <v>26</v>
      </c>
      <c r="C2320">
        <v>60397</v>
      </c>
      <c r="D2320" t="s">
        <v>92</v>
      </c>
      <c r="E2320" s="7">
        <v>40358.699999999997</v>
      </c>
      <c r="F2320" t="s">
        <v>20</v>
      </c>
      <c r="G2320" t="s">
        <v>329</v>
      </c>
      <c r="H2320" t="str">
        <f>"FEB 2019"</f>
        <v>FEB 2019</v>
      </c>
      <c r="I2320" t="str">
        <f>"TEXAS MUNICIPAL RETIREMENT SYS"</f>
        <v>TEXAS MUNICIPAL RETIREMENT SYS</v>
      </c>
    </row>
    <row r="2321" spans="1:9" x14ac:dyDescent="0.25">
      <c r="A2321" s="6">
        <v>43537</v>
      </c>
      <c r="B2321" t="s">
        <v>26</v>
      </c>
      <c r="C2321">
        <v>60397</v>
      </c>
      <c r="D2321" t="s">
        <v>92</v>
      </c>
      <c r="E2321" s="7">
        <v>40358.699999999997</v>
      </c>
      <c r="F2321" t="s">
        <v>20</v>
      </c>
      <c r="G2321" t="s">
        <v>21</v>
      </c>
      <c r="H2321" t="str">
        <f>"RET201903138510"</f>
        <v>RET201903138510</v>
      </c>
      <c r="I2321" t="str">
        <f>"TMRS CITY OF FLORESVILLE"</f>
        <v>TMRS CITY OF FLORESVILLE</v>
      </c>
    </row>
    <row r="2322" spans="1:9" x14ac:dyDescent="0.25">
      <c r="A2322" s="6">
        <v>43537</v>
      </c>
      <c r="B2322" t="s">
        <v>26</v>
      </c>
      <c r="C2322">
        <v>60400</v>
      </c>
      <c r="D2322" t="s">
        <v>213</v>
      </c>
      <c r="E2322" s="7">
        <v>3571.03</v>
      </c>
      <c r="F2322" t="s">
        <v>20</v>
      </c>
      <c r="G2322" t="s">
        <v>21</v>
      </c>
      <c r="H2322" t="str">
        <f>"FEB 2019"</f>
        <v>FEB 2019</v>
      </c>
      <c r="I2322" t="str">
        <f>"RIVER BEND COMMUNITY DEVELOPME"</f>
        <v>RIVER BEND COMMUNITY DEVELOPME</v>
      </c>
    </row>
    <row r="2323" spans="1:9" x14ac:dyDescent="0.25">
      <c r="A2323" s="6">
        <v>43537</v>
      </c>
      <c r="B2323" t="s">
        <v>26</v>
      </c>
      <c r="C2323">
        <v>60401</v>
      </c>
      <c r="D2323" t="s">
        <v>29</v>
      </c>
      <c r="E2323" s="7">
        <v>6740</v>
      </c>
      <c r="F2323" t="s">
        <v>20</v>
      </c>
      <c r="G2323" t="s">
        <v>21</v>
      </c>
      <c r="H2323" t="str">
        <f>"36116"</f>
        <v>36116</v>
      </c>
      <c r="I2323" t="str">
        <f>"M &amp; S ENGINEERING  LLC"</f>
        <v>M &amp; S ENGINEERING  LLC</v>
      </c>
    </row>
    <row r="2324" spans="1:9" x14ac:dyDescent="0.25">
      <c r="A2324" s="6">
        <v>43537</v>
      </c>
      <c r="B2324" t="s">
        <v>26</v>
      </c>
      <c r="C2324">
        <v>60402</v>
      </c>
      <c r="D2324" t="s">
        <v>75</v>
      </c>
      <c r="E2324" s="7">
        <v>137.96</v>
      </c>
      <c r="F2324" t="s">
        <v>20</v>
      </c>
      <c r="G2324" t="s">
        <v>21</v>
      </c>
      <c r="H2324" t="str">
        <f>"200670104"</f>
        <v>200670104</v>
      </c>
      <c r="I2324" t="str">
        <f>"TRACTOR SUPPLY CREDIT PLAN"</f>
        <v>TRACTOR SUPPLY CREDIT PLAN</v>
      </c>
    </row>
    <row r="2325" spans="1:9" x14ac:dyDescent="0.25">
      <c r="A2325" s="6">
        <v>43537</v>
      </c>
      <c r="B2325" t="s">
        <v>26</v>
      </c>
      <c r="C2325">
        <v>60403</v>
      </c>
      <c r="D2325" t="s">
        <v>125</v>
      </c>
      <c r="E2325" s="7">
        <v>720</v>
      </c>
      <c r="F2325" t="s">
        <v>20</v>
      </c>
      <c r="G2325" t="s">
        <v>21</v>
      </c>
      <c r="H2325" t="str">
        <f>"19-0149 3/2019"</f>
        <v>19-0149 3/2019</v>
      </c>
      <c r="I2325" t="str">
        <f>"INTREPID SURVEYING CORPORATION"</f>
        <v>INTREPID SURVEYING CORPORATION</v>
      </c>
    </row>
    <row r="2326" spans="1:9" x14ac:dyDescent="0.25">
      <c r="A2326" s="6">
        <v>43537</v>
      </c>
      <c r="B2326" t="s">
        <v>26</v>
      </c>
      <c r="C2326">
        <v>60404</v>
      </c>
      <c r="D2326" t="s">
        <v>579</v>
      </c>
      <c r="E2326" s="7">
        <v>70</v>
      </c>
      <c r="F2326" t="s">
        <v>20</v>
      </c>
      <c r="G2326" t="s">
        <v>21</v>
      </c>
      <c r="H2326" t="str">
        <f>"3/9/2019"</f>
        <v>3/9/2019</v>
      </c>
      <c r="I2326" t="str">
        <f>"NICOLE TRINIDAD"</f>
        <v>NICOLE TRINIDAD</v>
      </c>
    </row>
    <row r="2327" spans="1:9" x14ac:dyDescent="0.25">
      <c r="A2327" s="6">
        <v>43537</v>
      </c>
      <c r="B2327" t="s">
        <v>26</v>
      </c>
      <c r="C2327">
        <v>60405</v>
      </c>
      <c r="D2327" t="s">
        <v>85</v>
      </c>
      <c r="E2327" s="7">
        <v>1421.74</v>
      </c>
      <c r="F2327" t="s">
        <v>20</v>
      </c>
      <c r="G2327" t="s">
        <v>21</v>
      </c>
      <c r="H2327" t="str">
        <f>"3930579 3/2019"</f>
        <v>3930579 3/2019</v>
      </c>
      <c r="I2327" t="str">
        <f>"FRONTIER"</f>
        <v>FRONTIER</v>
      </c>
    </row>
    <row r="2328" spans="1:9" x14ac:dyDescent="0.25">
      <c r="A2328" s="6">
        <v>43537</v>
      </c>
      <c r="B2328" t="s">
        <v>26</v>
      </c>
      <c r="C2328">
        <v>60405</v>
      </c>
      <c r="D2328" t="s">
        <v>85</v>
      </c>
      <c r="E2328" s="7">
        <v>1421.74</v>
      </c>
      <c r="F2328" t="s">
        <v>20</v>
      </c>
      <c r="G2328" t="s">
        <v>21</v>
      </c>
      <c r="H2328" t="str">
        <f>"3933108 3/2019"</f>
        <v>3933108 3/2019</v>
      </c>
      <c r="I2328" t="str">
        <f>"FRONTIER"</f>
        <v>FRONTIER</v>
      </c>
    </row>
    <row r="2329" spans="1:9" x14ac:dyDescent="0.25">
      <c r="A2329" s="6">
        <v>43537</v>
      </c>
      <c r="B2329" t="s">
        <v>26</v>
      </c>
      <c r="C2329">
        <v>60405</v>
      </c>
      <c r="D2329" t="s">
        <v>85</v>
      </c>
      <c r="E2329" s="7">
        <v>1421.74</v>
      </c>
      <c r="F2329" t="s">
        <v>20</v>
      </c>
      <c r="G2329" t="s">
        <v>21</v>
      </c>
      <c r="H2329" t="str">
        <f>"3939791 3/2019"</f>
        <v>3939791 3/2019</v>
      </c>
      <c r="I2329" t="str">
        <f>"FRONTIER"</f>
        <v>FRONTIER</v>
      </c>
    </row>
    <row r="2330" spans="1:9" x14ac:dyDescent="0.25">
      <c r="A2330" s="6">
        <v>43537</v>
      </c>
      <c r="B2330" t="s">
        <v>26</v>
      </c>
      <c r="C2330">
        <v>60405</v>
      </c>
      <c r="D2330" t="s">
        <v>85</v>
      </c>
      <c r="E2330" s="7">
        <v>1421.74</v>
      </c>
      <c r="F2330" t="s">
        <v>20</v>
      </c>
      <c r="G2330" t="s">
        <v>21</v>
      </c>
      <c r="H2330" t="str">
        <f>"8301970024 3/19"</f>
        <v>8301970024 3/19</v>
      </c>
      <c r="I2330" t="str">
        <f>"FRONTIER"</f>
        <v>FRONTIER</v>
      </c>
    </row>
    <row r="2331" spans="1:9" x14ac:dyDescent="0.25">
      <c r="A2331" s="6">
        <v>43537</v>
      </c>
      <c r="B2331" t="s">
        <v>26</v>
      </c>
      <c r="C2331">
        <v>60406</v>
      </c>
      <c r="D2331" t="s">
        <v>132</v>
      </c>
      <c r="E2331" s="7">
        <v>59.38</v>
      </c>
      <c r="F2331" t="s">
        <v>20</v>
      </c>
      <c r="G2331" t="s">
        <v>21</v>
      </c>
      <c r="H2331" t="str">
        <f>"2720"</f>
        <v>2720</v>
      </c>
      <c r="I2331" t="str">
        <f>"SPARKLETTS &amp; SIERRA SPRINGS"</f>
        <v>SPARKLETTS &amp; SIERRA SPRINGS</v>
      </c>
    </row>
    <row r="2332" spans="1:9" x14ac:dyDescent="0.25">
      <c r="A2332" s="6">
        <v>43537</v>
      </c>
      <c r="B2332" t="s">
        <v>26</v>
      </c>
      <c r="C2332">
        <v>60407</v>
      </c>
      <c r="D2332" t="s">
        <v>345</v>
      </c>
      <c r="E2332" s="7">
        <v>467.5</v>
      </c>
      <c r="F2332" t="s">
        <v>20</v>
      </c>
      <c r="G2332" t="s">
        <v>21</v>
      </c>
      <c r="H2332" t="str">
        <f>"3/9/2019"</f>
        <v>3/9/2019</v>
      </c>
      <c r="I2332" t="str">
        <f>"MICHAEL ISAAC MARTINEZ"</f>
        <v>MICHAEL ISAAC MARTINEZ</v>
      </c>
    </row>
    <row r="2333" spans="1:9" x14ac:dyDescent="0.25">
      <c r="A2333" s="6">
        <v>43537</v>
      </c>
      <c r="B2333" t="s">
        <v>26</v>
      </c>
      <c r="C2333">
        <v>60408</v>
      </c>
      <c r="D2333" t="s">
        <v>452</v>
      </c>
      <c r="E2333" s="7">
        <v>70</v>
      </c>
      <c r="F2333" t="s">
        <v>20</v>
      </c>
      <c r="G2333" t="s">
        <v>21</v>
      </c>
      <c r="H2333" t="str">
        <f>"3/9/2019"</f>
        <v>3/9/2019</v>
      </c>
      <c r="I2333" t="str">
        <f>"DESIREE PEREZ"</f>
        <v>DESIREE PEREZ</v>
      </c>
    </row>
    <row r="2334" spans="1:9" x14ac:dyDescent="0.25">
      <c r="A2334" s="6">
        <v>43537</v>
      </c>
      <c r="B2334" t="s">
        <v>26</v>
      </c>
      <c r="C2334">
        <v>60409</v>
      </c>
      <c r="D2334" t="s">
        <v>539</v>
      </c>
      <c r="E2334" s="7">
        <v>70</v>
      </c>
      <c r="F2334" t="s">
        <v>20</v>
      </c>
      <c r="G2334" t="s">
        <v>21</v>
      </c>
      <c r="H2334" t="str">
        <f>"3/9/2019"</f>
        <v>3/9/2019</v>
      </c>
      <c r="I2334" t="str">
        <f>"YVONNE G GARCIA"</f>
        <v>YVONNE G GARCIA</v>
      </c>
    </row>
    <row r="2335" spans="1:9" x14ac:dyDescent="0.25">
      <c r="A2335" s="6">
        <v>43544</v>
      </c>
      <c r="B2335" t="s">
        <v>26</v>
      </c>
      <c r="C2335">
        <v>60410</v>
      </c>
      <c r="D2335" t="s">
        <v>56</v>
      </c>
      <c r="E2335" s="7">
        <v>370</v>
      </c>
      <c r="F2335" t="s">
        <v>20</v>
      </c>
      <c r="G2335" t="s">
        <v>21</v>
      </c>
      <c r="H2335" t="str">
        <f>"173004"</f>
        <v>173004</v>
      </c>
      <c r="I2335" t="str">
        <f>"WEED KILLER"</f>
        <v>WEED KILLER</v>
      </c>
    </row>
    <row r="2336" spans="1:9" x14ac:dyDescent="0.25">
      <c r="A2336" s="6">
        <v>43544</v>
      </c>
      <c r="B2336" t="s">
        <v>26</v>
      </c>
      <c r="C2336">
        <v>60411</v>
      </c>
      <c r="D2336" t="s">
        <v>102</v>
      </c>
      <c r="E2336" s="7">
        <v>338.28</v>
      </c>
      <c r="F2336" t="s">
        <v>20</v>
      </c>
      <c r="G2336" t="s">
        <v>21</v>
      </c>
      <c r="H2336" t="str">
        <f>"1120 D.ST 3/19"</f>
        <v>1120 D.ST 3/19</v>
      </c>
      <c r="I2336" t="str">
        <f>"CENTERPOINT ENERGY ENTEX"</f>
        <v>CENTERPOINT ENERGY ENTEX</v>
      </c>
    </row>
    <row r="2337" spans="1:9" x14ac:dyDescent="0.25">
      <c r="A2337" s="6">
        <v>43544</v>
      </c>
      <c r="B2337" t="s">
        <v>26</v>
      </c>
      <c r="C2337">
        <v>60411</v>
      </c>
      <c r="D2337" t="s">
        <v>102</v>
      </c>
      <c r="E2337" s="7">
        <v>338.28</v>
      </c>
      <c r="F2337" t="s">
        <v>20</v>
      </c>
      <c r="G2337" t="s">
        <v>21</v>
      </c>
      <c r="H2337" t="str">
        <f>"1200 1ST ST 3/19"</f>
        <v>1200 1ST ST 3/19</v>
      </c>
      <c r="I2337" t="str">
        <f>"CENTERPOINT ENERGY ENTEX"</f>
        <v>CENTERPOINT ENERGY ENTEX</v>
      </c>
    </row>
    <row r="2338" spans="1:9" x14ac:dyDescent="0.25">
      <c r="A2338" s="6">
        <v>43544</v>
      </c>
      <c r="B2338" t="s">
        <v>26</v>
      </c>
      <c r="C2338">
        <v>60411</v>
      </c>
      <c r="D2338" t="s">
        <v>102</v>
      </c>
      <c r="E2338" s="7">
        <v>338.28</v>
      </c>
      <c r="F2338" t="s">
        <v>20</v>
      </c>
      <c r="G2338" t="s">
        <v>21</v>
      </c>
      <c r="H2338" t="str">
        <f>"920 C ST 3/19"</f>
        <v>920 C ST 3/19</v>
      </c>
      <c r="I2338" t="str">
        <f>"CENTERPOINT ENERGY ENTEX"</f>
        <v>CENTERPOINT ENERGY ENTEX</v>
      </c>
    </row>
    <row r="2339" spans="1:9" x14ac:dyDescent="0.25">
      <c r="A2339" s="6">
        <v>43544</v>
      </c>
      <c r="B2339" t="s">
        <v>26</v>
      </c>
      <c r="C2339">
        <v>60412</v>
      </c>
      <c r="D2339" t="s">
        <v>201</v>
      </c>
      <c r="E2339" s="7">
        <v>119.24</v>
      </c>
      <c r="F2339" t="s">
        <v>20</v>
      </c>
      <c r="G2339" t="s">
        <v>21</v>
      </c>
      <c r="H2339" t="str">
        <f>"138957"</f>
        <v>138957</v>
      </c>
      <c r="I2339" t="str">
        <f>"WILSON COUNTY HARDWARE"</f>
        <v>WILSON COUNTY HARDWARE</v>
      </c>
    </row>
    <row r="2340" spans="1:9" x14ac:dyDescent="0.25">
      <c r="A2340" s="6">
        <v>43544</v>
      </c>
      <c r="B2340" t="s">
        <v>26</v>
      </c>
      <c r="C2340">
        <v>60412</v>
      </c>
      <c r="D2340" t="s">
        <v>201</v>
      </c>
      <c r="E2340" s="7">
        <v>119.24</v>
      </c>
      <c r="F2340" t="s">
        <v>20</v>
      </c>
      <c r="G2340" t="s">
        <v>21</v>
      </c>
      <c r="H2340" t="str">
        <f>"138958"</f>
        <v>138958</v>
      </c>
      <c r="I2340" t="str">
        <f>"WILSON COUNTY HARDWARE"</f>
        <v>WILSON COUNTY HARDWARE</v>
      </c>
    </row>
    <row r="2341" spans="1:9" x14ac:dyDescent="0.25">
      <c r="A2341" s="6">
        <v>43544</v>
      </c>
      <c r="B2341" t="s">
        <v>26</v>
      </c>
      <c r="C2341">
        <v>60412</v>
      </c>
      <c r="D2341" t="s">
        <v>201</v>
      </c>
      <c r="E2341" s="7">
        <v>119.24</v>
      </c>
      <c r="F2341" t="s">
        <v>20</v>
      </c>
      <c r="G2341" t="s">
        <v>21</v>
      </c>
      <c r="H2341" t="str">
        <f>"138959"</f>
        <v>138959</v>
      </c>
      <c r="I2341" t="str">
        <f>"WILSON COUNTY HARDWARE"</f>
        <v>WILSON COUNTY HARDWARE</v>
      </c>
    </row>
    <row r="2342" spans="1:9" x14ac:dyDescent="0.25">
      <c r="A2342" s="6">
        <v>43544</v>
      </c>
      <c r="B2342" t="s">
        <v>26</v>
      </c>
      <c r="C2342">
        <v>60413</v>
      </c>
      <c r="D2342" t="s">
        <v>103</v>
      </c>
      <c r="E2342" s="7">
        <v>59774.12</v>
      </c>
      <c r="F2342" t="s">
        <v>20</v>
      </c>
      <c r="G2342" t="s">
        <v>21</v>
      </c>
      <c r="H2342" t="str">
        <f>"MARCH SALES TAX"</f>
        <v>MARCH SALES TAX</v>
      </c>
      <c r="I2342" t="str">
        <f>"F. E. D. C."</f>
        <v>F. E. D. C.</v>
      </c>
    </row>
    <row r="2343" spans="1:9" x14ac:dyDescent="0.25">
      <c r="A2343" s="6">
        <v>43544</v>
      </c>
      <c r="B2343" t="s">
        <v>26</v>
      </c>
      <c r="C2343">
        <v>60414</v>
      </c>
      <c r="D2343" t="s">
        <v>166</v>
      </c>
      <c r="E2343" s="7">
        <v>601</v>
      </c>
      <c r="F2343" t="s">
        <v>20</v>
      </c>
      <c r="G2343" t="s">
        <v>21</v>
      </c>
      <c r="H2343" t="str">
        <f>"19265766"</f>
        <v>19265766</v>
      </c>
      <c r="I2343" t="str">
        <f>"PITNEY BOWES PURCHASE POWER"</f>
        <v>PITNEY BOWES PURCHASE POWER</v>
      </c>
    </row>
    <row r="2344" spans="1:9" x14ac:dyDescent="0.25">
      <c r="A2344" s="6">
        <v>43544</v>
      </c>
      <c r="B2344" t="s">
        <v>26</v>
      </c>
      <c r="C2344">
        <v>60415</v>
      </c>
      <c r="D2344" t="s">
        <v>179</v>
      </c>
      <c r="E2344" s="7">
        <v>118.11</v>
      </c>
      <c r="F2344" t="s">
        <v>20</v>
      </c>
      <c r="G2344" t="s">
        <v>21</v>
      </c>
      <c r="H2344" t="str">
        <f>"56589"</f>
        <v>56589</v>
      </c>
      <c r="I2344" t="str">
        <f>"FILTERS"</f>
        <v>FILTERS</v>
      </c>
    </row>
    <row r="2345" spans="1:9" x14ac:dyDescent="0.25">
      <c r="A2345" s="6">
        <v>43544</v>
      </c>
      <c r="B2345" t="s">
        <v>26</v>
      </c>
      <c r="C2345">
        <v>60416</v>
      </c>
      <c r="D2345" t="s">
        <v>688</v>
      </c>
      <c r="E2345" s="7">
        <v>79.5</v>
      </c>
      <c r="F2345" t="s">
        <v>20</v>
      </c>
      <c r="G2345" t="s">
        <v>21</v>
      </c>
      <c r="H2345" t="str">
        <f>"298587-0000"</f>
        <v>298587-0000</v>
      </c>
      <c r="I2345" t="str">
        <f>"EVIDENCE LABELS"</f>
        <v>EVIDENCE LABELS</v>
      </c>
    </row>
    <row r="2346" spans="1:9" x14ac:dyDescent="0.25">
      <c r="A2346" s="6">
        <v>43544</v>
      </c>
      <c r="B2346" t="s">
        <v>26</v>
      </c>
      <c r="C2346">
        <v>60417</v>
      </c>
      <c r="D2346" t="s">
        <v>203</v>
      </c>
      <c r="E2346" s="7">
        <v>359.71</v>
      </c>
      <c r="F2346" t="s">
        <v>20</v>
      </c>
      <c r="G2346" t="s">
        <v>21</v>
      </c>
      <c r="H2346" t="str">
        <f>"825700"</f>
        <v>825700</v>
      </c>
      <c r="I2346" t="str">
        <f>"SUPPLIES"</f>
        <v>SUPPLIES</v>
      </c>
    </row>
    <row r="2347" spans="1:9" x14ac:dyDescent="0.25">
      <c r="A2347" s="6">
        <v>43544</v>
      </c>
      <c r="B2347" t="s">
        <v>26</v>
      </c>
      <c r="C2347">
        <v>60418</v>
      </c>
      <c r="D2347" t="s">
        <v>240</v>
      </c>
      <c r="E2347" s="7">
        <v>3731.39</v>
      </c>
      <c r="F2347" t="s">
        <v>20</v>
      </c>
      <c r="G2347" t="s">
        <v>21</v>
      </c>
      <c r="H2347" t="str">
        <f>"0162405-IN"</f>
        <v>0162405-IN</v>
      </c>
      <c r="I2347" t="str">
        <f>"UNIFORM"</f>
        <v>UNIFORM</v>
      </c>
    </row>
    <row r="2348" spans="1:9" x14ac:dyDescent="0.25">
      <c r="A2348" s="6">
        <v>43544</v>
      </c>
      <c r="B2348" t="s">
        <v>26</v>
      </c>
      <c r="C2348">
        <v>60418</v>
      </c>
      <c r="D2348" t="s">
        <v>240</v>
      </c>
      <c r="E2348" s="7">
        <v>3731.39</v>
      </c>
      <c r="F2348" t="s">
        <v>20</v>
      </c>
      <c r="G2348" t="s">
        <v>21</v>
      </c>
      <c r="H2348" t="str">
        <f>"0162406-IN"</f>
        <v>0162406-IN</v>
      </c>
      <c r="I2348" t="str">
        <f>"NARDIS PUBLIC SAFETY"</f>
        <v>NARDIS PUBLIC SAFETY</v>
      </c>
    </row>
    <row r="2349" spans="1:9" x14ac:dyDescent="0.25">
      <c r="A2349" s="6">
        <v>43544</v>
      </c>
      <c r="B2349" t="s">
        <v>26</v>
      </c>
      <c r="C2349">
        <v>60418</v>
      </c>
      <c r="D2349" t="s">
        <v>240</v>
      </c>
      <c r="E2349" s="7">
        <v>3731.39</v>
      </c>
      <c r="F2349" t="s">
        <v>20</v>
      </c>
      <c r="G2349" t="s">
        <v>21</v>
      </c>
      <c r="H2349" t="str">
        <f>"0164413-IN"</f>
        <v>0164413-IN</v>
      </c>
      <c r="I2349" t="str">
        <f>"UNIFORM"</f>
        <v>UNIFORM</v>
      </c>
    </row>
    <row r="2350" spans="1:9" x14ac:dyDescent="0.25">
      <c r="A2350" s="6">
        <v>43544</v>
      </c>
      <c r="B2350" t="s">
        <v>26</v>
      </c>
      <c r="C2350">
        <v>60419</v>
      </c>
      <c r="D2350" t="s">
        <v>340</v>
      </c>
      <c r="E2350" s="7">
        <v>8.49</v>
      </c>
      <c r="F2350" t="s">
        <v>20</v>
      </c>
      <c r="G2350" t="s">
        <v>21</v>
      </c>
      <c r="H2350" t="str">
        <f>"1810-375199"</f>
        <v>1810-375199</v>
      </c>
      <c r="I2350" t="str">
        <f>"GASKET MATERIAL"</f>
        <v>GASKET MATERIAL</v>
      </c>
    </row>
    <row r="2351" spans="1:9" x14ac:dyDescent="0.25">
      <c r="A2351" s="6">
        <v>43544</v>
      </c>
      <c r="B2351" t="s">
        <v>26</v>
      </c>
      <c r="C2351">
        <v>60420</v>
      </c>
      <c r="D2351" t="s">
        <v>184</v>
      </c>
      <c r="E2351" s="7">
        <v>948</v>
      </c>
      <c r="F2351" t="s">
        <v>20</v>
      </c>
      <c r="G2351" t="s">
        <v>21</v>
      </c>
      <c r="H2351" t="str">
        <f>"1054-000"</f>
        <v>1054-000</v>
      </c>
      <c r="I2351" t="str">
        <f>"POLLUTION CONTROL SERVICES"</f>
        <v>POLLUTION CONTROL SERVICES</v>
      </c>
    </row>
    <row r="2352" spans="1:9" x14ac:dyDescent="0.25">
      <c r="A2352" s="6">
        <v>43544</v>
      </c>
      <c r="B2352" t="s">
        <v>26</v>
      </c>
      <c r="C2352">
        <v>60420</v>
      </c>
      <c r="D2352" t="s">
        <v>184</v>
      </c>
      <c r="E2352" s="7">
        <v>948</v>
      </c>
      <c r="F2352" t="s">
        <v>20</v>
      </c>
      <c r="G2352" t="s">
        <v>21</v>
      </c>
      <c r="H2352" t="str">
        <f>"1054-001"</f>
        <v>1054-001</v>
      </c>
      <c r="I2352" t="str">
        <f>"POLLUTION CONTROL SERVICES"</f>
        <v>POLLUTION CONTROL SERVICES</v>
      </c>
    </row>
    <row r="2353" spans="1:9" x14ac:dyDescent="0.25">
      <c r="A2353" s="6">
        <v>43544</v>
      </c>
      <c r="B2353" t="s">
        <v>26</v>
      </c>
      <c r="C2353">
        <v>60421</v>
      </c>
      <c r="D2353" t="s">
        <v>62</v>
      </c>
      <c r="E2353" s="7">
        <v>210</v>
      </c>
      <c r="F2353" t="s">
        <v>20</v>
      </c>
      <c r="G2353" t="s">
        <v>21</v>
      </c>
      <c r="H2353" t="str">
        <f>"62832"</f>
        <v>62832</v>
      </c>
      <c r="I2353" t="str">
        <f>"PROFICIENT BENEFIT SOLUTIONS"</f>
        <v>PROFICIENT BENEFIT SOLUTIONS</v>
      </c>
    </row>
    <row r="2354" spans="1:9" x14ac:dyDescent="0.25">
      <c r="A2354" s="6">
        <v>43544</v>
      </c>
      <c r="B2354" t="s">
        <v>26</v>
      </c>
      <c r="C2354">
        <v>60422</v>
      </c>
      <c r="D2354" t="s">
        <v>115</v>
      </c>
      <c r="E2354" s="7">
        <v>60.43</v>
      </c>
      <c r="F2354" t="s">
        <v>20</v>
      </c>
      <c r="G2354" t="s">
        <v>21</v>
      </c>
      <c r="H2354" t="str">
        <f>"3547370837"</f>
        <v>3547370837</v>
      </c>
      <c r="I2354" t="str">
        <f>"FILTERS/COUPLER/BOLTS"</f>
        <v>FILTERS/COUPLER/BOLTS</v>
      </c>
    </row>
    <row r="2355" spans="1:9" x14ac:dyDescent="0.25">
      <c r="A2355" s="6">
        <v>43544</v>
      </c>
      <c r="B2355" t="s">
        <v>26</v>
      </c>
      <c r="C2355">
        <v>60422</v>
      </c>
      <c r="D2355" t="s">
        <v>115</v>
      </c>
      <c r="E2355" s="7">
        <v>60.43</v>
      </c>
      <c r="F2355" t="s">
        <v>20</v>
      </c>
      <c r="G2355" t="s">
        <v>21</v>
      </c>
      <c r="H2355" t="str">
        <f>"3547376204"</f>
        <v>3547376204</v>
      </c>
      <c r="I2355" t="str">
        <f>"RADIATOR CAP"</f>
        <v>RADIATOR CAP</v>
      </c>
    </row>
    <row r="2356" spans="1:9" x14ac:dyDescent="0.25">
      <c r="A2356" s="6">
        <v>43544</v>
      </c>
      <c r="B2356" t="s">
        <v>26</v>
      </c>
      <c r="C2356">
        <v>60423</v>
      </c>
      <c r="D2356" t="s">
        <v>63</v>
      </c>
      <c r="E2356" s="7">
        <v>297</v>
      </c>
      <c r="F2356" t="s">
        <v>20</v>
      </c>
      <c r="G2356" t="s">
        <v>21</v>
      </c>
      <c r="H2356" t="str">
        <f>"8404044773"</f>
        <v>8404044773</v>
      </c>
      <c r="I2356" t="str">
        <f>"CINTAS CORPORATION"</f>
        <v>CINTAS CORPORATION</v>
      </c>
    </row>
    <row r="2357" spans="1:9" x14ac:dyDescent="0.25">
      <c r="A2357" s="6">
        <v>43544</v>
      </c>
      <c r="B2357" t="s">
        <v>26</v>
      </c>
      <c r="C2357">
        <v>60424</v>
      </c>
      <c r="D2357" t="s">
        <v>117</v>
      </c>
      <c r="E2357" s="7">
        <v>1159.33</v>
      </c>
      <c r="F2357" t="s">
        <v>20</v>
      </c>
      <c r="G2357" t="s">
        <v>21</v>
      </c>
      <c r="H2357" t="str">
        <f>"FEBRUARY 2019"</f>
        <v>FEBRUARY 2019</v>
      </c>
      <c r="I2357" t="str">
        <f>"LINEBARGER GOGGAN BLAIR &amp; SAMP"</f>
        <v>LINEBARGER GOGGAN BLAIR &amp; SAMP</v>
      </c>
    </row>
    <row r="2358" spans="1:9" x14ac:dyDescent="0.25">
      <c r="A2358" s="6">
        <v>43544</v>
      </c>
      <c r="B2358" t="s">
        <v>26</v>
      </c>
      <c r="C2358">
        <v>60424</v>
      </c>
      <c r="D2358" t="s">
        <v>117</v>
      </c>
      <c r="E2358" s="7">
        <v>1159.33</v>
      </c>
      <c r="F2358" t="s">
        <v>20</v>
      </c>
      <c r="G2358" t="s">
        <v>21</v>
      </c>
      <c r="H2358" t="str">
        <f>"JANUARY 2019"</f>
        <v>JANUARY 2019</v>
      </c>
      <c r="I2358" t="str">
        <f>"LINEBARGER GOGGAN BLAIR &amp; SAMP"</f>
        <v>LINEBARGER GOGGAN BLAIR &amp; SAMP</v>
      </c>
    </row>
    <row r="2359" spans="1:9" x14ac:dyDescent="0.25">
      <c r="A2359" s="6">
        <v>43544</v>
      </c>
      <c r="B2359" t="s">
        <v>26</v>
      </c>
      <c r="C2359">
        <v>60425</v>
      </c>
      <c r="D2359" t="s">
        <v>689</v>
      </c>
      <c r="E2359" s="7">
        <v>90</v>
      </c>
      <c r="F2359" t="s">
        <v>20</v>
      </c>
      <c r="G2359" t="s">
        <v>21</v>
      </c>
      <c r="H2359" t="str">
        <f>"1473"</f>
        <v>1473</v>
      </c>
      <c r="I2359" t="str">
        <f>"PUMP PACKING"</f>
        <v>PUMP PACKING</v>
      </c>
    </row>
    <row r="2360" spans="1:9" x14ac:dyDescent="0.25">
      <c r="A2360" s="6">
        <v>43544</v>
      </c>
      <c r="B2360" t="s">
        <v>26</v>
      </c>
      <c r="C2360">
        <v>60426</v>
      </c>
      <c r="D2360" t="s">
        <v>118</v>
      </c>
      <c r="E2360" s="7">
        <v>446.7</v>
      </c>
      <c r="F2360" t="s">
        <v>20</v>
      </c>
      <c r="G2360" t="s">
        <v>21</v>
      </c>
      <c r="H2360" t="str">
        <f>"11304"</f>
        <v>11304</v>
      </c>
      <c r="I2360" t="str">
        <f>"BRYAN AIR CONDITIONING &amp; HEATI"</f>
        <v>BRYAN AIR CONDITIONING &amp; HEATI</v>
      </c>
    </row>
    <row r="2361" spans="1:9" x14ac:dyDescent="0.25">
      <c r="A2361" s="6">
        <v>43544</v>
      </c>
      <c r="B2361" t="s">
        <v>26</v>
      </c>
      <c r="C2361">
        <v>60427</v>
      </c>
      <c r="D2361" t="s">
        <v>495</v>
      </c>
      <c r="E2361" s="7">
        <v>80.75</v>
      </c>
      <c r="F2361" t="s">
        <v>20</v>
      </c>
      <c r="G2361" t="s">
        <v>21</v>
      </c>
      <c r="H2361" t="str">
        <f>"0387105-IN"</f>
        <v>0387105-IN</v>
      </c>
      <c r="I2361" t="str">
        <f>"INTEGRITY BAGS"</f>
        <v>INTEGRITY BAGS</v>
      </c>
    </row>
    <row r="2362" spans="1:9" x14ac:dyDescent="0.25">
      <c r="A2362" s="6">
        <v>43544</v>
      </c>
      <c r="B2362" t="s">
        <v>26</v>
      </c>
      <c r="C2362">
        <v>60428</v>
      </c>
      <c r="D2362" t="s">
        <v>120</v>
      </c>
      <c r="E2362" s="7">
        <v>1812.67</v>
      </c>
      <c r="F2362" t="s">
        <v>20</v>
      </c>
      <c r="G2362" t="s">
        <v>21</v>
      </c>
      <c r="H2362" t="str">
        <f>"71061898"</f>
        <v>71061898</v>
      </c>
      <c r="I2362" t="str">
        <f>"VERIZON BUSINESS"</f>
        <v>VERIZON BUSINESS</v>
      </c>
    </row>
    <row r="2363" spans="1:9" x14ac:dyDescent="0.25">
      <c r="A2363" s="6">
        <v>43544</v>
      </c>
      <c r="B2363" t="s">
        <v>26</v>
      </c>
      <c r="C2363">
        <v>60428</v>
      </c>
      <c r="D2363" t="s">
        <v>120</v>
      </c>
      <c r="E2363" s="7">
        <v>1812.67</v>
      </c>
      <c r="F2363" t="s">
        <v>20</v>
      </c>
      <c r="G2363" t="s">
        <v>21</v>
      </c>
      <c r="H2363" t="str">
        <f>"71062187"</f>
        <v>71062187</v>
      </c>
      <c r="I2363" t="str">
        <f>"VERIZON BUSINESS"</f>
        <v>VERIZON BUSINESS</v>
      </c>
    </row>
    <row r="2364" spans="1:9" x14ac:dyDescent="0.25">
      <c r="A2364" s="6">
        <v>43544</v>
      </c>
      <c r="B2364" t="s">
        <v>26</v>
      </c>
      <c r="C2364">
        <v>60429</v>
      </c>
      <c r="D2364" t="s">
        <v>189</v>
      </c>
      <c r="E2364" s="7">
        <v>188.1</v>
      </c>
      <c r="F2364" t="s">
        <v>20</v>
      </c>
      <c r="G2364" t="s">
        <v>21</v>
      </c>
      <c r="H2364" t="str">
        <f>"PSO061967-1"</f>
        <v>PSO061967-1</v>
      </c>
      <c r="I2364" t="str">
        <f>"COOLANT RESERVOIR"</f>
        <v>COOLANT RESERVOIR</v>
      </c>
    </row>
    <row r="2365" spans="1:9" x14ac:dyDescent="0.25">
      <c r="A2365" s="6">
        <v>43544</v>
      </c>
      <c r="B2365" t="s">
        <v>26</v>
      </c>
      <c r="C2365">
        <v>60430</v>
      </c>
      <c r="D2365" t="s">
        <v>255</v>
      </c>
      <c r="E2365" s="7">
        <v>150.97999999999999</v>
      </c>
      <c r="F2365" t="s">
        <v>20</v>
      </c>
      <c r="G2365" t="s">
        <v>21</v>
      </c>
      <c r="H2365" t="str">
        <f>"202735664 3/2019"</f>
        <v>202735664 3/2019</v>
      </c>
      <c r="I2365" t="str">
        <f>"ADT SECURITY SERVICES"</f>
        <v>ADT SECURITY SERVICES</v>
      </c>
    </row>
    <row r="2366" spans="1:9" x14ac:dyDescent="0.25">
      <c r="A2366" s="6">
        <v>43544</v>
      </c>
      <c r="B2366" t="s">
        <v>26</v>
      </c>
      <c r="C2366">
        <v>60431</v>
      </c>
      <c r="D2366" t="s">
        <v>248</v>
      </c>
      <c r="E2366" s="7">
        <v>426.54</v>
      </c>
      <c r="F2366" t="s">
        <v>20</v>
      </c>
      <c r="G2366" t="s">
        <v>21</v>
      </c>
      <c r="H2366" t="str">
        <f>"1011586914"</f>
        <v>1011586914</v>
      </c>
      <c r="I2366" t="str">
        <f>"PITNEY BOWES"</f>
        <v>PITNEY BOWES</v>
      </c>
    </row>
    <row r="2367" spans="1:9" x14ac:dyDescent="0.25">
      <c r="A2367" s="6">
        <v>43544</v>
      </c>
      <c r="B2367" t="s">
        <v>26</v>
      </c>
      <c r="C2367">
        <v>60431</v>
      </c>
      <c r="D2367" t="s">
        <v>248</v>
      </c>
      <c r="E2367" s="7">
        <v>426.54</v>
      </c>
      <c r="F2367" t="s">
        <v>20</v>
      </c>
      <c r="G2367" t="s">
        <v>21</v>
      </c>
      <c r="H2367" t="str">
        <f>"1011590305"</f>
        <v>1011590305</v>
      </c>
      <c r="I2367" t="str">
        <f>"PITNEY BOWES"</f>
        <v>PITNEY BOWES</v>
      </c>
    </row>
    <row r="2368" spans="1:9" x14ac:dyDescent="0.25">
      <c r="A2368" s="6">
        <v>43544</v>
      </c>
      <c r="B2368" t="s">
        <v>26</v>
      </c>
      <c r="C2368">
        <v>60432</v>
      </c>
      <c r="D2368" t="s">
        <v>159</v>
      </c>
      <c r="E2368" s="7">
        <v>755</v>
      </c>
      <c r="F2368" t="s">
        <v>20</v>
      </c>
      <c r="G2368" t="s">
        <v>21</v>
      </c>
      <c r="H2368" t="str">
        <f>"37922"</f>
        <v>37922</v>
      </c>
      <c r="I2368" t="str">
        <f>"PHOTOGRAPHS BY JIM"</f>
        <v>PHOTOGRAPHS BY JIM</v>
      </c>
    </row>
    <row r="2369" spans="1:9" x14ac:dyDescent="0.25">
      <c r="A2369" s="6">
        <v>43544</v>
      </c>
      <c r="B2369" t="s">
        <v>26</v>
      </c>
      <c r="C2369">
        <v>60432</v>
      </c>
      <c r="D2369" t="s">
        <v>159</v>
      </c>
      <c r="E2369" s="7">
        <v>755</v>
      </c>
      <c r="F2369" t="s">
        <v>20</v>
      </c>
      <c r="G2369" t="s">
        <v>21</v>
      </c>
      <c r="H2369" t="str">
        <f>"37923"</f>
        <v>37923</v>
      </c>
      <c r="I2369" t="str">
        <f>"PHOTOGRAPHS BY JIM"</f>
        <v>PHOTOGRAPHS BY JIM</v>
      </c>
    </row>
    <row r="2370" spans="1:9" x14ac:dyDescent="0.25">
      <c r="A2370" s="6">
        <v>43544</v>
      </c>
      <c r="B2370" t="s">
        <v>26</v>
      </c>
      <c r="C2370">
        <v>60433</v>
      </c>
      <c r="D2370" t="s">
        <v>570</v>
      </c>
      <c r="E2370" s="7">
        <v>1836.99</v>
      </c>
      <c r="F2370" t="s">
        <v>20</v>
      </c>
      <c r="G2370" t="s">
        <v>21</v>
      </c>
      <c r="H2370" t="str">
        <f>"DVS127408"</f>
        <v>DVS127408</v>
      </c>
      <c r="I2370" t="str">
        <f>"DOMINION VOTING"</f>
        <v>DOMINION VOTING</v>
      </c>
    </row>
    <row r="2371" spans="1:9" x14ac:dyDescent="0.25">
      <c r="A2371" s="6">
        <v>43544</v>
      </c>
      <c r="B2371" t="s">
        <v>26</v>
      </c>
      <c r="C2371">
        <v>60433</v>
      </c>
      <c r="D2371" t="s">
        <v>570</v>
      </c>
      <c r="E2371" s="7">
        <v>1836.99</v>
      </c>
      <c r="F2371" t="s">
        <v>20</v>
      </c>
      <c r="G2371" t="s">
        <v>21</v>
      </c>
      <c r="H2371" t="str">
        <f>"DVS127445"</f>
        <v>DVS127445</v>
      </c>
      <c r="I2371" t="str">
        <f>"DOMINION VOTING"</f>
        <v>DOMINION VOTING</v>
      </c>
    </row>
    <row r="2372" spans="1:9" x14ac:dyDescent="0.25">
      <c r="A2372" s="6">
        <v>43544</v>
      </c>
      <c r="B2372" t="s">
        <v>26</v>
      </c>
      <c r="C2372">
        <v>60434</v>
      </c>
      <c r="D2372" t="s">
        <v>146</v>
      </c>
      <c r="E2372" s="7">
        <v>337.5</v>
      </c>
      <c r="F2372" t="s">
        <v>20</v>
      </c>
      <c r="G2372" t="s">
        <v>21</v>
      </c>
      <c r="H2372" t="str">
        <f>"964391"</f>
        <v>964391</v>
      </c>
      <c r="I2372" t="str">
        <f>"LARRY SRALLA ELECTRIC"</f>
        <v>LARRY SRALLA ELECTRIC</v>
      </c>
    </row>
    <row r="2373" spans="1:9" x14ac:dyDescent="0.25">
      <c r="A2373" s="6">
        <v>43544</v>
      </c>
      <c r="B2373" t="s">
        <v>26</v>
      </c>
      <c r="C2373">
        <v>60434</v>
      </c>
      <c r="D2373" t="s">
        <v>146</v>
      </c>
      <c r="E2373" s="7">
        <v>337.5</v>
      </c>
      <c r="F2373" t="s">
        <v>20</v>
      </c>
      <c r="G2373" t="s">
        <v>21</v>
      </c>
      <c r="H2373" t="str">
        <f>"964392"</f>
        <v>964392</v>
      </c>
      <c r="I2373" t="str">
        <f>"LARRY SRALLA ELECTRIC"</f>
        <v>LARRY SRALLA ELECTRIC</v>
      </c>
    </row>
    <row r="2374" spans="1:9" x14ac:dyDescent="0.25">
      <c r="A2374" s="6">
        <v>43544</v>
      </c>
      <c r="B2374" t="s">
        <v>26</v>
      </c>
      <c r="C2374">
        <v>60434</v>
      </c>
      <c r="D2374" t="s">
        <v>146</v>
      </c>
      <c r="E2374" s="7">
        <v>337.5</v>
      </c>
      <c r="F2374" t="s">
        <v>20</v>
      </c>
      <c r="G2374" t="s">
        <v>21</v>
      </c>
      <c r="H2374" t="str">
        <f>"964393"</f>
        <v>964393</v>
      </c>
      <c r="I2374" t="str">
        <f>"LARRY SRALLA ELECTRIC"</f>
        <v>LARRY SRALLA ELECTRIC</v>
      </c>
    </row>
    <row r="2375" spans="1:9" x14ac:dyDescent="0.25">
      <c r="A2375" s="6">
        <v>43544</v>
      </c>
      <c r="B2375" t="s">
        <v>26</v>
      </c>
      <c r="C2375">
        <v>60435</v>
      </c>
      <c r="D2375" t="s">
        <v>29</v>
      </c>
      <c r="E2375" s="7">
        <v>10848.94</v>
      </c>
      <c r="F2375" t="s">
        <v>20</v>
      </c>
      <c r="G2375" t="s">
        <v>21</v>
      </c>
      <c r="H2375" t="str">
        <f>"36355"</f>
        <v>36355</v>
      </c>
      <c r="I2375" t="str">
        <f>"M &amp; S ENGINEERING  LLC"</f>
        <v>M &amp; S ENGINEERING  LLC</v>
      </c>
    </row>
    <row r="2376" spans="1:9" x14ac:dyDescent="0.25">
      <c r="A2376" s="6">
        <v>43544</v>
      </c>
      <c r="B2376" t="s">
        <v>26</v>
      </c>
      <c r="C2376">
        <v>60435</v>
      </c>
      <c r="D2376" t="s">
        <v>29</v>
      </c>
      <c r="E2376" s="7">
        <v>10848.94</v>
      </c>
      <c r="F2376" t="s">
        <v>20</v>
      </c>
      <c r="G2376" t="s">
        <v>21</v>
      </c>
      <c r="H2376" t="str">
        <f>"36371"</f>
        <v>36371</v>
      </c>
      <c r="I2376" t="str">
        <f>"M &amp; S ENGINEERING  LLC"</f>
        <v>M &amp; S ENGINEERING  LLC</v>
      </c>
    </row>
    <row r="2377" spans="1:9" x14ac:dyDescent="0.25">
      <c r="A2377" s="6">
        <v>43544</v>
      </c>
      <c r="B2377" t="s">
        <v>26</v>
      </c>
      <c r="C2377">
        <v>60435</v>
      </c>
      <c r="D2377" t="s">
        <v>29</v>
      </c>
      <c r="E2377" s="7">
        <v>10848.94</v>
      </c>
      <c r="F2377" t="s">
        <v>20</v>
      </c>
      <c r="G2377" t="s">
        <v>21</v>
      </c>
      <c r="H2377" t="str">
        <f>"36384"</f>
        <v>36384</v>
      </c>
      <c r="I2377" t="str">
        <f>"M &amp; S ENGINEERING  LLC"</f>
        <v>M &amp; S ENGINEERING  LLC</v>
      </c>
    </row>
    <row r="2378" spans="1:9" x14ac:dyDescent="0.25">
      <c r="A2378" s="6">
        <v>43544</v>
      </c>
      <c r="B2378" t="s">
        <v>26</v>
      </c>
      <c r="C2378">
        <v>60435</v>
      </c>
      <c r="D2378" t="s">
        <v>29</v>
      </c>
      <c r="E2378" s="7">
        <v>10848.94</v>
      </c>
      <c r="F2378" t="s">
        <v>20</v>
      </c>
      <c r="G2378" t="s">
        <v>21</v>
      </c>
      <c r="H2378" t="str">
        <f>"36385"</f>
        <v>36385</v>
      </c>
      <c r="I2378" t="str">
        <f>"M &amp; S ENGINEERING  LLC"</f>
        <v>M &amp; S ENGINEERING  LLC</v>
      </c>
    </row>
    <row r="2379" spans="1:9" x14ac:dyDescent="0.25">
      <c r="A2379" s="6">
        <v>43544</v>
      </c>
      <c r="B2379" t="s">
        <v>26</v>
      </c>
      <c r="C2379">
        <v>60436</v>
      </c>
      <c r="D2379" t="s">
        <v>74</v>
      </c>
      <c r="E2379" s="7">
        <v>30.2</v>
      </c>
      <c r="F2379" t="s">
        <v>20</v>
      </c>
      <c r="G2379" t="s">
        <v>21</v>
      </c>
      <c r="H2379" t="str">
        <f>"9825706503"</f>
        <v>9825706503</v>
      </c>
      <c r="I2379" t="str">
        <f>"VERIZON WIRELESS"</f>
        <v>VERIZON WIRELESS</v>
      </c>
    </row>
    <row r="2380" spans="1:9" x14ac:dyDescent="0.25">
      <c r="A2380" s="6">
        <v>43544</v>
      </c>
      <c r="B2380" t="s">
        <v>26</v>
      </c>
      <c r="C2380">
        <v>60437</v>
      </c>
      <c r="D2380" t="s">
        <v>690</v>
      </c>
      <c r="E2380" s="7">
        <v>45</v>
      </c>
      <c r="F2380" t="s">
        <v>20</v>
      </c>
      <c r="G2380" t="s">
        <v>21</v>
      </c>
      <c r="H2380" t="str">
        <f>"300010027"</f>
        <v>300010027</v>
      </c>
      <c r="I2380" t="str">
        <f>"TEXAS FLOODPLAIN MANAGEMENT AS"</f>
        <v>TEXAS FLOODPLAIN MANAGEMENT AS</v>
      </c>
    </row>
    <row r="2381" spans="1:9" x14ac:dyDescent="0.25">
      <c r="A2381" s="6">
        <v>43544</v>
      </c>
      <c r="B2381" t="s">
        <v>26</v>
      </c>
      <c r="C2381">
        <v>60438</v>
      </c>
      <c r="D2381" t="s">
        <v>123</v>
      </c>
      <c r="E2381" s="7">
        <v>2499.2199999999998</v>
      </c>
      <c r="F2381" t="s">
        <v>20</v>
      </c>
      <c r="G2381" t="s">
        <v>21</v>
      </c>
      <c r="H2381" t="str">
        <f>"278318357001"</f>
        <v>278318357001</v>
      </c>
      <c r="I2381" t="str">
        <f>"OFFICE SUPPLIES"</f>
        <v>OFFICE SUPPLIES</v>
      </c>
    </row>
    <row r="2382" spans="1:9" x14ac:dyDescent="0.25">
      <c r="A2382" s="6">
        <v>43544</v>
      </c>
      <c r="B2382" t="s">
        <v>26</v>
      </c>
      <c r="C2382">
        <v>60438</v>
      </c>
      <c r="D2382" t="s">
        <v>123</v>
      </c>
      <c r="E2382" s="7">
        <v>2499.2199999999998</v>
      </c>
      <c r="F2382" t="s">
        <v>20</v>
      </c>
      <c r="G2382" t="s">
        <v>21</v>
      </c>
      <c r="H2382" t="str">
        <f>"278318357001*"</f>
        <v>278318357001*</v>
      </c>
      <c r="I2382" t="str">
        <f>"OFFICE DEPOT  INC."</f>
        <v>OFFICE DEPOT  INC.</v>
      </c>
    </row>
    <row r="2383" spans="1:9" x14ac:dyDescent="0.25">
      <c r="A2383" s="6">
        <v>43544</v>
      </c>
      <c r="B2383" t="s">
        <v>26</v>
      </c>
      <c r="C2383">
        <v>60438</v>
      </c>
      <c r="D2383" t="s">
        <v>123</v>
      </c>
      <c r="E2383" s="7">
        <v>2499.2199999999998</v>
      </c>
      <c r="F2383" t="s">
        <v>20</v>
      </c>
      <c r="G2383" t="s">
        <v>21</v>
      </c>
      <c r="H2383" t="str">
        <f>"281172832001"</f>
        <v>281172832001</v>
      </c>
      <c r="I2383" t="str">
        <f>"OFFICE SUPPLIES"</f>
        <v>OFFICE SUPPLIES</v>
      </c>
    </row>
    <row r="2384" spans="1:9" x14ac:dyDescent="0.25">
      <c r="A2384" s="6">
        <v>43544</v>
      </c>
      <c r="B2384" t="s">
        <v>26</v>
      </c>
      <c r="C2384">
        <v>60438</v>
      </c>
      <c r="D2384" t="s">
        <v>123</v>
      </c>
      <c r="E2384" s="7">
        <v>2499.2199999999998</v>
      </c>
      <c r="F2384" t="s">
        <v>20</v>
      </c>
      <c r="G2384" t="s">
        <v>21</v>
      </c>
      <c r="H2384" t="str">
        <f>"281173117001"</f>
        <v>281173117001</v>
      </c>
      <c r="I2384" t="str">
        <f>"OFFICE SUPPLIES"</f>
        <v>OFFICE SUPPLIES</v>
      </c>
    </row>
    <row r="2385" spans="1:9" x14ac:dyDescent="0.25">
      <c r="A2385" s="6">
        <v>43544</v>
      </c>
      <c r="B2385" t="s">
        <v>26</v>
      </c>
      <c r="C2385">
        <v>60438</v>
      </c>
      <c r="D2385" t="s">
        <v>123</v>
      </c>
      <c r="E2385" s="7">
        <v>2499.2199999999998</v>
      </c>
      <c r="F2385" t="s">
        <v>20</v>
      </c>
      <c r="G2385" t="s">
        <v>21</v>
      </c>
      <c r="H2385" t="str">
        <f>"281173117001*"</f>
        <v>281173117001*</v>
      </c>
      <c r="I2385" t="str">
        <f>"OFFICE DEPOT  INC."</f>
        <v>OFFICE DEPOT  INC.</v>
      </c>
    </row>
    <row r="2386" spans="1:9" x14ac:dyDescent="0.25">
      <c r="A2386" s="6">
        <v>43544</v>
      </c>
      <c r="B2386" t="s">
        <v>26</v>
      </c>
      <c r="C2386">
        <v>60438</v>
      </c>
      <c r="D2386" t="s">
        <v>123</v>
      </c>
      <c r="E2386" s="7">
        <v>2499.2199999999998</v>
      </c>
      <c r="F2386" t="s">
        <v>20</v>
      </c>
      <c r="G2386" t="s">
        <v>21</v>
      </c>
      <c r="H2386" t="str">
        <f>"281173118001"</f>
        <v>281173118001</v>
      </c>
      <c r="I2386" t="str">
        <f>"OFFICE SUPPLIES"</f>
        <v>OFFICE SUPPLIES</v>
      </c>
    </row>
    <row r="2387" spans="1:9" x14ac:dyDescent="0.25">
      <c r="A2387" s="6">
        <v>43544</v>
      </c>
      <c r="B2387" t="s">
        <v>26</v>
      </c>
      <c r="C2387">
        <v>60438</v>
      </c>
      <c r="D2387" t="s">
        <v>123</v>
      </c>
      <c r="E2387" s="7">
        <v>2499.2199999999998</v>
      </c>
      <c r="F2387" t="s">
        <v>20</v>
      </c>
      <c r="G2387" t="s">
        <v>21</v>
      </c>
      <c r="H2387" t="str">
        <f>"281173119001"</f>
        <v>281173119001</v>
      </c>
      <c r="I2387" t="str">
        <f>"OFFICE SUPPLIES"</f>
        <v>OFFICE SUPPLIES</v>
      </c>
    </row>
    <row r="2388" spans="1:9" x14ac:dyDescent="0.25">
      <c r="A2388" s="6">
        <v>43544</v>
      </c>
      <c r="B2388" t="s">
        <v>26</v>
      </c>
      <c r="C2388">
        <v>60438</v>
      </c>
      <c r="D2388" t="s">
        <v>123</v>
      </c>
      <c r="E2388" s="7">
        <v>2499.2199999999998</v>
      </c>
      <c r="F2388" t="s">
        <v>20</v>
      </c>
      <c r="G2388" t="s">
        <v>21</v>
      </c>
      <c r="H2388" t="str">
        <f>"281173120001"</f>
        <v>281173120001</v>
      </c>
      <c r="I2388" t="str">
        <f>"OFFICE SUPPLIES"</f>
        <v>OFFICE SUPPLIES</v>
      </c>
    </row>
    <row r="2389" spans="1:9" x14ac:dyDescent="0.25">
      <c r="A2389" s="6">
        <v>43544</v>
      </c>
      <c r="B2389" t="s">
        <v>26</v>
      </c>
      <c r="C2389">
        <v>60438</v>
      </c>
      <c r="D2389" t="s">
        <v>123</v>
      </c>
      <c r="E2389" s="7">
        <v>2499.2199999999998</v>
      </c>
      <c r="F2389" t="s">
        <v>20</v>
      </c>
      <c r="G2389" t="s">
        <v>21</v>
      </c>
      <c r="H2389" t="str">
        <f>"281175089001"</f>
        <v>281175089001</v>
      </c>
      <c r="I2389" t="str">
        <f>"CLEANSER"</f>
        <v>CLEANSER</v>
      </c>
    </row>
    <row r="2390" spans="1:9" x14ac:dyDescent="0.25">
      <c r="A2390" s="6">
        <v>43544</v>
      </c>
      <c r="B2390" t="s">
        <v>26</v>
      </c>
      <c r="C2390">
        <v>60438</v>
      </c>
      <c r="D2390" t="s">
        <v>123</v>
      </c>
      <c r="E2390" s="7">
        <v>2499.2199999999998</v>
      </c>
      <c r="F2390" t="s">
        <v>20</v>
      </c>
      <c r="G2390" t="s">
        <v>21</v>
      </c>
      <c r="H2390" t="str">
        <f>"281789108001"</f>
        <v>281789108001</v>
      </c>
      <c r="I2390" t="str">
        <f>"OFFICE DEPOT  INC."</f>
        <v>OFFICE DEPOT  INC.</v>
      </c>
    </row>
    <row r="2391" spans="1:9" x14ac:dyDescent="0.25">
      <c r="A2391" s="6">
        <v>43544</v>
      </c>
      <c r="B2391" t="s">
        <v>26</v>
      </c>
      <c r="C2391">
        <v>60438</v>
      </c>
      <c r="D2391" t="s">
        <v>123</v>
      </c>
      <c r="E2391" s="7">
        <v>2499.2199999999998</v>
      </c>
      <c r="F2391" t="s">
        <v>20</v>
      </c>
      <c r="G2391" t="s">
        <v>21</v>
      </c>
      <c r="H2391" t="str">
        <f>"281790132001"</f>
        <v>281790132001</v>
      </c>
      <c r="I2391" t="str">
        <f>"OFFICE DEPOT  INC."</f>
        <v>OFFICE DEPOT  INC.</v>
      </c>
    </row>
    <row r="2392" spans="1:9" x14ac:dyDescent="0.25">
      <c r="A2392" s="6">
        <v>43544</v>
      </c>
      <c r="B2392" t="s">
        <v>26</v>
      </c>
      <c r="C2392">
        <v>60438</v>
      </c>
      <c r="D2392" t="s">
        <v>123</v>
      </c>
      <c r="E2392" s="7">
        <v>2499.2199999999998</v>
      </c>
      <c r="F2392" t="s">
        <v>20</v>
      </c>
      <c r="G2392" t="s">
        <v>21</v>
      </c>
      <c r="H2392" t="str">
        <f>"281790133001"</f>
        <v>281790133001</v>
      </c>
      <c r="I2392" t="str">
        <f>"OFFICE DEPOT  INC."</f>
        <v>OFFICE DEPOT  INC.</v>
      </c>
    </row>
    <row r="2393" spans="1:9" x14ac:dyDescent="0.25">
      <c r="A2393" s="6">
        <v>43544</v>
      </c>
      <c r="B2393" t="s">
        <v>26</v>
      </c>
      <c r="C2393">
        <v>60438</v>
      </c>
      <c r="D2393" t="s">
        <v>123</v>
      </c>
      <c r="E2393" s="7">
        <v>2499.2199999999998</v>
      </c>
      <c r="F2393" t="s">
        <v>20</v>
      </c>
      <c r="G2393" t="s">
        <v>21</v>
      </c>
      <c r="H2393" t="str">
        <f>"281790134001"</f>
        <v>281790134001</v>
      </c>
      <c r="I2393" t="str">
        <f>"OFFICE DEPOT  INC."</f>
        <v>OFFICE DEPOT  INC.</v>
      </c>
    </row>
    <row r="2394" spans="1:9" x14ac:dyDescent="0.25">
      <c r="A2394" s="6">
        <v>43544</v>
      </c>
      <c r="B2394" t="s">
        <v>26</v>
      </c>
      <c r="C2394">
        <v>60438</v>
      </c>
      <c r="D2394" t="s">
        <v>123</v>
      </c>
      <c r="E2394" s="7">
        <v>2499.2199999999998</v>
      </c>
      <c r="F2394" t="s">
        <v>20</v>
      </c>
      <c r="G2394" t="s">
        <v>21</v>
      </c>
      <c r="H2394" t="str">
        <f>"28209801001"</f>
        <v>28209801001</v>
      </c>
      <c r="I2394" t="str">
        <f>"OFFICE SUPPLIES"</f>
        <v>OFFICE SUPPLIES</v>
      </c>
    </row>
    <row r="2395" spans="1:9" x14ac:dyDescent="0.25">
      <c r="A2395" s="6">
        <v>43544</v>
      </c>
      <c r="B2395" t="s">
        <v>26</v>
      </c>
      <c r="C2395">
        <v>60438</v>
      </c>
      <c r="D2395" t="s">
        <v>123</v>
      </c>
      <c r="E2395" s="7">
        <v>2499.2199999999998</v>
      </c>
      <c r="F2395" t="s">
        <v>20</v>
      </c>
      <c r="G2395" t="s">
        <v>21</v>
      </c>
      <c r="H2395" t="str">
        <f>"2835636101001"</f>
        <v>2835636101001</v>
      </c>
      <c r="I2395" t="str">
        <f>"OFFICE SUPPLIES"</f>
        <v>OFFICE SUPPLIES</v>
      </c>
    </row>
    <row r="2396" spans="1:9" x14ac:dyDescent="0.25">
      <c r="A2396" s="6">
        <v>43544</v>
      </c>
      <c r="B2396" t="s">
        <v>26</v>
      </c>
      <c r="C2396">
        <v>60438</v>
      </c>
      <c r="D2396" t="s">
        <v>123</v>
      </c>
      <c r="E2396" s="7">
        <v>2499.2199999999998</v>
      </c>
      <c r="F2396" t="s">
        <v>20</v>
      </c>
      <c r="G2396" t="s">
        <v>21</v>
      </c>
      <c r="H2396" t="str">
        <f>"285387129001"</f>
        <v>285387129001</v>
      </c>
      <c r="I2396" t="str">
        <f>"JANITORIAL SUPPLIES"</f>
        <v>JANITORIAL SUPPLIES</v>
      </c>
    </row>
    <row r="2397" spans="1:9" x14ac:dyDescent="0.25">
      <c r="A2397" s="6">
        <v>43544</v>
      </c>
      <c r="B2397" t="s">
        <v>26</v>
      </c>
      <c r="C2397">
        <v>60438</v>
      </c>
      <c r="D2397" t="s">
        <v>123</v>
      </c>
      <c r="E2397" s="7">
        <v>2499.2199999999998</v>
      </c>
      <c r="F2397" t="s">
        <v>20</v>
      </c>
      <c r="G2397" t="s">
        <v>21</v>
      </c>
      <c r="H2397" t="str">
        <f>"285400164001"</f>
        <v>285400164001</v>
      </c>
      <c r="I2397" t="str">
        <f>"JANITORIAL SUPPLIES"</f>
        <v>JANITORIAL SUPPLIES</v>
      </c>
    </row>
    <row r="2398" spans="1:9" x14ac:dyDescent="0.25">
      <c r="A2398" s="6">
        <v>43544</v>
      </c>
      <c r="B2398" t="s">
        <v>26</v>
      </c>
      <c r="C2398">
        <v>60438</v>
      </c>
      <c r="D2398" t="s">
        <v>123</v>
      </c>
      <c r="E2398" s="7">
        <v>2499.2199999999998</v>
      </c>
      <c r="F2398" t="s">
        <v>20</v>
      </c>
      <c r="G2398" t="s">
        <v>21</v>
      </c>
      <c r="H2398" t="str">
        <f>"285400168001"</f>
        <v>285400168001</v>
      </c>
      <c r="I2398" t="str">
        <f>"JANITORIAL SUPPLIES"</f>
        <v>JANITORIAL SUPPLIES</v>
      </c>
    </row>
    <row r="2399" spans="1:9" x14ac:dyDescent="0.25">
      <c r="A2399" s="6">
        <v>43544</v>
      </c>
      <c r="B2399" t="s">
        <v>26</v>
      </c>
      <c r="C2399">
        <v>60445</v>
      </c>
      <c r="D2399" t="s">
        <v>77</v>
      </c>
      <c r="E2399" s="7">
        <v>1306.2</v>
      </c>
      <c r="F2399" t="s">
        <v>20</v>
      </c>
      <c r="G2399" t="s">
        <v>21</v>
      </c>
      <c r="H2399" t="str">
        <f>"857000392-19"</f>
        <v>857000392-19</v>
      </c>
      <c r="I2399" t="str">
        <f>"CHLORINE"</f>
        <v>CHLORINE</v>
      </c>
    </row>
    <row r="2400" spans="1:9" x14ac:dyDescent="0.25">
      <c r="A2400" s="6">
        <v>43544</v>
      </c>
      <c r="B2400" t="s">
        <v>26</v>
      </c>
      <c r="C2400">
        <v>60445</v>
      </c>
      <c r="D2400" t="s">
        <v>77</v>
      </c>
      <c r="E2400" s="7">
        <v>1306.2</v>
      </c>
      <c r="F2400" t="s">
        <v>20</v>
      </c>
      <c r="G2400" t="s">
        <v>21</v>
      </c>
      <c r="H2400" t="str">
        <f>"857000392-19*"</f>
        <v>857000392-19*</v>
      </c>
      <c r="I2400" t="str">
        <f>"DPC INDUSTRIES  INC."</f>
        <v>DPC INDUSTRIES  INC.</v>
      </c>
    </row>
    <row r="2401" spans="1:9" x14ac:dyDescent="0.25">
      <c r="A2401" s="6">
        <v>43544</v>
      </c>
      <c r="B2401" t="s">
        <v>26</v>
      </c>
      <c r="C2401">
        <v>60445</v>
      </c>
      <c r="D2401" t="s">
        <v>77</v>
      </c>
      <c r="E2401" s="7">
        <v>1306.2</v>
      </c>
      <c r="F2401" t="s">
        <v>20</v>
      </c>
      <c r="G2401" t="s">
        <v>21</v>
      </c>
      <c r="H2401" t="str">
        <f>"DE85000284-19"</f>
        <v>DE85000284-19</v>
      </c>
      <c r="I2401" t="str">
        <f>"DPC INDUSTRIES  INC."</f>
        <v>DPC INDUSTRIES  INC.</v>
      </c>
    </row>
    <row r="2402" spans="1:9" x14ac:dyDescent="0.25">
      <c r="A2402" s="6">
        <v>43544</v>
      </c>
      <c r="B2402" t="s">
        <v>26</v>
      </c>
      <c r="C2402">
        <v>60445</v>
      </c>
      <c r="D2402" t="s">
        <v>77</v>
      </c>
      <c r="E2402" s="7">
        <v>1306.2</v>
      </c>
      <c r="F2402" t="s">
        <v>20</v>
      </c>
      <c r="G2402" t="s">
        <v>21</v>
      </c>
      <c r="H2402" t="str">
        <f>"DE85000490-19"</f>
        <v>DE85000490-19</v>
      </c>
      <c r="I2402" t="str">
        <f>"DPC INDUSTRIES  INC."</f>
        <v>DPC INDUSTRIES  INC.</v>
      </c>
    </row>
    <row r="2403" spans="1:9" x14ac:dyDescent="0.25">
      <c r="A2403" s="6">
        <v>43544</v>
      </c>
      <c r="B2403" t="s">
        <v>26</v>
      </c>
      <c r="C2403">
        <v>60446</v>
      </c>
      <c r="D2403" t="s">
        <v>124</v>
      </c>
      <c r="E2403" s="7">
        <v>1497.82</v>
      </c>
      <c r="F2403" t="s">
        <v>20</v>
      </c>
      <c r="G2403" t="s">
        <v>21</v>
      </c>
      <c r="H2403" t="str">
        <f>"11170371"</f>
        <v>11170371</v>
      </c>
      <c r="I2403" t="str">
        <f>"PVC /COPPER WIRE"</f>
        <v>PVC /COPPER WIRE</v>
      </c>
    </row>
    <row r="2404" spans="1:9" x14ac:dyDescent="0.25">
      <c r="A2404" s="6">
        <v>43544</v>
      </c>
      <c r="B2404" t="s">
        <v>26</v>
      </c>
      <c r="C2404">
        <v>60446</v>
      </c>
      <c r="D2404" t="s">
        <v>124</v>
      </c>
      <c r="E2404" s="7">
        <v>1497.82</v>
      </c>
      <c r="F2404" t="s">
        <v>20</v>
      </c>
      <c r="G2404" t="s">
        <v>21</v>
      </c>
      <c r="H2404" t="str">
        <f>"11170678"</f>
        <v>11170678</v>
      </c>
      <c r="I2404" t="str">
        <f>"MATERIAL"</f>
        <v>MATERIAL</v>
      </c>
    </row>
    <row r="2405" spans="1:9" x14ac:dyDescent="0.25">
      <c r="A2405" s="6">
        <v>43544</v>
      </c>
      <c r="B2405" t="s">
        <v>26</v>
      </c>
      <c r="C2405">
        <v>60446</v>
      </c>
      <c r="D2405" t="s">
        <v>124</v>
      </c>
      <c r="E2405" s="7">
        <v>1497.82</v>
      </c>
      <c r="F2405" t="s">
        <v>20</v>
      </c>
      <c r="G2405" t="s">
        <v>21</v>
      </c>
      <c r="H2405" t="str">
        <f>"11170711"</f>
        <v>11170711</v>
      </c>
      <c r="I2405" t="str">
        <f>"TREATED POST"</f>
        <v>TREATED POST</v>
      </c>
    </row>
    <row r="2406" spans="1:9" x14ac:dyDescent="0.25">
      <c r="A2406" s="6">
        <v>43544</v>
      </c>
      <c r="B2406" t="s">
        <v>26</v>
      </c>
      <c r="C2406">
        <v>60446</v>
      </c>
      <c r="D2406" t="s">
        <v>124</v>
      </c>
      <c r="E2406" s="7">
        <v>1497.82</v>
      </c>
      <c r="F2406" t="s">
        <v>20</v>
      </c>
      <c r="G2406" t="s">
        <v>21</v>
      </c>
      <c r="H2406" t="str">
        <f>"11170819"</f>
        <v>11170819</v>
      </c>
      <c r="I2406" t="str">
        <f>"POSTS/STEPLADDER/FOAM"</f>
        <v>POSTS/STEPLADDER/FOAM</v>
      </c>
    </row>
    <row r="2407" spans="1:9" x14ac:dyDescent="0.25">
      <c r="A2407" s="6">
        <v>43544</v>
      </c>
      <c r="B2407" t="s">
        <v>26</v>
      </c>
      <c r="C2407">
        <v>60447</v>
      </c>
      <c r="D2407" t="s">
        <v>126</v>
      </c>
      <c r="E2407" s="7">
        <v>90288.4</v>
      </c>
      <c r="F2407" t="s">
        <v>20</v>
      </c>
      <c r="G2407" t="s">
        <v>21</v>
      </c>
      <c r="H2407" t="str">
        <f>"0859-002235679"</f>
        <v>0859-002235679</v>
      </c>
      <c r="I2407" t="str">
        <f>"REPUBLIC SERVICES #859"</f>
        <v>REPUBLIC SERVICES #859</v>
      </c>
    </row>
    <row r="2408" spans="1:9" x14ac:dyDescent="0.25">
      <c r="A2408" s="6">
        <v>43544</v>
      </c>
      <c r="B2408" t="s">
        <v>26</v>
      </c>
      <c r="C2408">
        <v>60447</v>
      </c>
      <c r="D2408" t="s">
        <v>126</v>
      </c>
      <c r="E2408" s="7">
        <v>90288.4</v>
      </c>
      <c r="F2408" t="s">
        <v>20</v>
      </c>
      <c r="G2408" t="s">
        <v>21</v>
      </c>
      <c r="H2408" t="str">
        <f>"0859-002239301"</f>
        <v>0859-002239301</v>
      </c>
      <c r="I2408" t="str">
        <f>"REPUBLIC SERVICES #859"</f>
        <v>REPUBLIC SERVICES #859</v>
      </c>
    </row>
    <row r="2409" spans="1:9" x14ac:dyDescent="0.25">
      <c r="A2409" s="6">
        <v>43544</v>
      </c>
      <c r="B2409" t="s">
        <v>26</v>
      </c>
      <c r="C2409">
        <v>60448</v>
      </c>
      <c r="D2409" t="s">
        <v>79</v>
      </c>
      <c r="E2409" s="7">
        <v>30.84</v>
      </c>
      <c r="F2409" t="s">
        <v>20</v>
      </c>
      <c r="G2409" t="s">
        <v>21</v>
      </c>
      <c r="H2409" t="str">
        <f>"6-482-52400"</f>
        <v>6-482-52400</v>
      </c>
      <c r="I2409" t="str">
        <f>"FEDEX"</f>
        <v>FEDEX</v>
      </c>
    </row>
    <row r="2410" spans="1:9" x14ac:dyDescent="0.25">
      <c r="A2410" s="6">
        <v>43544</v>
      </c>
      <c r="B2410" t="s">
        <v>26</v>
      </c>
      <c r="C2410">
        <v>60448</v>
      </c>
      <c r="D2410" t="s">
        <v>79</v>
      </c>
      <c r="E2410" s="7">
        <v>30.84</v>
      </c>
      <c r="F2410" t="s">
        <v>20</v>
      </c>
      <c r="G2410" t="s">
        <v>21</v>
      </c>
      <c r="H2410" t="str">
        <f>"6-489-92155"</f>
        <v>6-489-92155</v>
      </c>
      <c r="I2410" t="str">
        <f>"FEDEX"</f>
        <v>FEDEX</v>
      </c>
    </row>
    <row r="2411" spans="1:9" x14ac:dyDescent="0.25">
      <c r="A2411" s="6">
        <v>43544</v>
      </c>
      <c r="B2411" t="s">
        <v>26</v>
      </c>
      <c r="C2411">
        <v>60449</v>
      </c>
      <c r="D2411" t="s">
        <v>139</v>
      </c>
      <c r="E2411" s="7">
        <v>120</v>
      </c>
      <c r="F2411" t="s">
        <v>20</v>
      </c>
      <c r="G2411" t="s">
        <v>21</v>
      </c>
      <c r="H2411" t="str">
        <f>"25918"</f>
        <v>25918</v>
      </c>
      <c r="I2411" t="str">
        <f>"ANGEL FIRE &amp; SAFETY"</f>
        <v>ANGEL FIRE &amp; SAFETY</v>
      </c>
    </row>
    <row r="2412" spans="1:9" x14ac:dyDescent="0.25">
      <c r="A2412" s="6">
        <v>43544</v>
      </c>
      <c r="B2412" t="s">
        <v>26</v>
      </c>
      <c r="C2412">
        <v>60450</v>
      </c>
      <c r="D2412" t="s">
        <v>430</v>
      </c>
      <c r="E2412" s="7">
        <v>281.64</v>
      </c>
      <c r="F2412" t="s">
        <v>20</v>
      </c>
      <c r="G2412" t="s">
        <v>21</v>
      </c>
      <c r="H2412" t="str">
        <f>"4/8-12/19 BSC CRS"</f>
        <v>4/8-12/19 BSC CRS</v>
      </c>
      <c r="I2412" t="str">
        <f>"BASIC INSTRUCTOR COURSE"</f>
        <v>BASIC INSTRUCTOR COURSE</v>
      </c>
    </row>
    <row r="2413" spans="1:9" x14ac:dyDescent="0.25">
      <c r="A2413" s="6">
        <v>43544</v>
      </c>
      <c r="B2413" t="s">
        <v>26</v>
      </c>
      <c r="C2413">
        <v>60451</v>
      </c>
      <c r="D2413" t="s">
        <v>129</v>
      </c>
      <c r="E2413" s="7">
        <v>264.02</v>
      </c>
      <c r="F2413" t="s">
        <v>20</v>
      </c>
      <c r="G2413" t="s">
        <v>21</v>
      </c>
      <c r="H2413" t="str">
        <f>"P46366"</f>
        <v>P46366</v>
      </c>
      <c r="I2413" t="str">
        <f>"BELT AND BLADE"</f>
        <v>BELT AND BLADE</v>
      </c>
    </row>
    <row r="2414" spans="1:9" x14ac:dyDescent="0.25">
      <c r="A2414" s="6">
        <v>43544</v>
      </c>
      <c r="B2414" t="s">
        <v>26</v>
      </c>
      <c r="C2414">
        <v>60452</v>
      </c>
      <c r="D2414" t="s">
        <v>373</v>
      </c>
      <c r="E2414" s="7">
        <v>1560</v>
      </c>
      <c r="F2414" t="s">
        <v>20</v>
      </c>
      <c r="G2414" t="s">
        <v>21</v>
      </c>
      <c r="H2414" t="str">
        <f>"2720"</f>
        <v>2720</v>
      </c>
      <c r="I2414" t="str">
        <f>"TOP SOIL"</f>
        <v>TOP SOIL</v>
      </c>
    </row>
    <row r="2415" spans="1:9" x14ac:dyDescent="0.25">
      <c r="A2415" s="6">
        <v>43544</v>
      </c>
      <c r="B2415" t="s">
        <v>26</v>
      </c>
      <c r="C2415">
        <v>60453</v>
      </c>
      <c r="D2415" t="s">
        <v>85</v>
      </c>
      <c r="E2415" s="7">
        <v>2424.1799999999998</v>
      </c>
      <c r="F2415" t="s">
        <v>20</v>
      </c>
      <c r="G2415" t="s">
        <v>21</v>
      </c>
      <c r="H2415" t="str">
        <f>"2162733 3/19"</f>
        <v>2162733 3/19</v>
      </c>
      <c r="I2415" t="str">
        <f t="shared" ref="I2415:I2422" si="42">"FRONTIER"</f>
        <v>FRONTIER</v>
      </c>
    </row>
    <row r="2416" spans="1:9" x14ac:dyDescent="0.25">
      <c r="A2416" s="6">
        <v>43544</v>
      </c>
      <c r="B2416" t="s">
        <v>26</v>
      </c>
      <c r="C2416">
        <v>60453</v>
      </c>
      <c r="D2416" t="s">
        <v>85</v>
      </c>
      <c r="E2416" s="7">
        <v>2424.1799999999998</v>
      </c>
      <c r="F2416" t="s">
        <v>20</v>
      </c>
      <c r="G2416" t="s">
        <v>21</v>
      </c>
      <c r="H2416" t="str">
        <f>"2162755 3/19"</f>
        <v>2162755 3/19</v>
      </c>
      <c r="I2416" t="str">
        <f t="shared" si="42"/>
        <v>FRONTIER</v>
      </c>
    </row>
    <row r="2417" spans="1:9" x14ac:dyDescent="0.25">
      <c r="A2417" s="6">
        <v>43544</v>
      </c>
      <c r="B2417" t="s">
        <v>26</v>
      </c>
      <c r="C2417">
        <v>60453</v>
      </c>
      <c r="D2417" t="s">
        <v>85</v>
      </c>
      <c r="E2417" s="7">
        <v>2424.1799999999998</v>
      </c>
      <c r="F2417" t="s">
        <v>20</v>
      </c>
      <c r="G2417" t="s">
        <v>21</v>
      </c>
      <c r="H2417" t="str">
        <f>"3932804 3/19"</f>
        <v>3932804 3/19</v>
      </c>
      <c r="I2417" t="str">
        <f t="shared" si="42"/>
        <v>FRONTIER</v>
      </c>
    </row>
    <row r="2418" spans="1:9" x14ac:dyDescent="0.25">
      <c r="A2418" s="6">
        <v>43544</v>
      </c>
      <c r="B2418" t="s">
        <v>26</v>
      </c>
      <c r="C2418">
        <v>60453</v>
      </c>
      <c r="D2418" t="s">
        <v>85</v>
      </c>
      <c r="E2418" s="7">
        <v>2424.1799999999998</v>
      </c>
      <c r="F2418" t="s">
        <v>20</v>
      </c>
      <c r="G2418" t="s">
        <v>21</v>
      </c>
      <c r="H2418" t="str">
        <f>"3934055 3/19"</f>
        <v>3934055 3/19</v>
      </c>
      <c r="I2418" t="str">
        <f t="shared" si="42"/>
        <v>FRONTIER</v>
      </c>
    </row>
    <row r="2419" spans="1:9" x14ac:dyDescent="0.25">
      <c r="A2419" s="6">
        <v>43544</v>
      </c>
      <c r="B2419" t="s">
        <v>26</v>
      </c>
      <c r="C2419">
        <v>60453</v>
      </c>
      <c r="D2419" t="s">
        <v>85</v>
      </c>
      <c r="E2419" s="7">
        <v>2424.1799999999998</v>
      </c>
      <c r="F2419" t="s">
        <v>20</v>
      </c>
      <c r="G2419" t="s">
        <v>21</v>
      </c>
      <c r="H2419" t="str">
        <f>"3936794 3/19"</f>
        <v>3936794 3/19</v>
      </c>
      <c r="I2419" t="str">
        <f t="shared" si="42"/>
        <v>FRONTIER</v>
      </c>
    </row>
    <row r="2420" spans="1:9" x14ac:dyDescent="0.25">
      <c r="A2420" s="6">
        <v>43544</v>
      </c>
      <c r="B2420" t="s">
        <v>26</v>
      </c>
      <c r="C2420">
        <v>60453</v>
      </c>
      <c r="D2420" t="s">
        <v>85</v>
      </c>
      <c r="E2420" s="7">
        <v>2424.1799999999998</v>
      </c>
      <c r="F2420" t="s">
        <v>20</v>
      </c>
      <c r="G2420" t="s">
        <v>21</v>
      </c>
      <c r="H2420" t="str">
        <f>"3938193 3/19"</f>
        <v>3938193 3/19</v>
      </c>
      <c r="I2420" t="str">
        <f t="shared" si="42"/>
        <v>FRONTIER</v>
      </c>
    </row>
    <row r="2421" spans="1:9" x14ac:dyDescent="0.25">
      <c r="A2421" s="6">
        <v>43544</v>
      </c>
      <c r="B2421" t="s">
        <v>26</v>
      </c>
      <c r="C2421">
        <v>60453</v>
      </c>
      <c r="D2421" t="s">
        <v>85</v>
      </c>
      <c r="E2421" s="7">
        <v>2424.1799999999998</v>
      </c>
      <c r="F2421" t="s">
        <v>20</v>
      </c>
      <c r="G2421" t="s">
        <v>21</v>
      </c>
      <c r="H2421" t="str">
        <f>"8301970021 3/19"</f>
        <v>8301970021 3/19</v>
      </c>
      <c r="I2421" t="str">
        <f t="shared" si="42"/>
        <v>FRONTIER</v>
      </c>
    </row>
    <row r="2422" spans="1:9" x14ac:dyDescent="0.25">
      <c r="A2422" s="6">
        <v>43544</v>
      </c>
      <c r="B2422" t="s">
        <v>26</v>
      </c>
      <c r="C2422">
        <v>60453</v>
      </c>
      <c r="D2422" t="s">
        <v>85</v>
      </c>
      <c r="E2422" s="7">
        <v>2424.1799999999998</v>
      </c>
      <c r="F2422" t="s">
        <v>20</v>
      </c>
      <c r="G2422" t="s">
        <v>21</v>
      </c>
      <c r="H2422" t="str">
        <f>"9837110018 3/19"</f>
        <v>9837110018 3/19</v>
      </c>
      <c r="I2422" t="str">
        <f t="shared" si="42"/>
        <v>FRONTIER</v>
      </c>
    </row>
    <row r="2423" spans="1:9" x14ac:dyDescent="0.25">
      <c r="A2423" s="6">
        <v>43544</v>
      </c>
      <c r="B2423" t="s">
        <v>26</v>
      </c>
      <c r="C2423">
        <v>60455</v>
      </c>
      <c r="D2423" t="s">
        <v>194</v>
      </c>
      <c r="E2423" s="7">
        <v>130.74</v>
      </c>
      <c r="F2423" t="s">
        <v>20</v>
      </c>
      <c r="G2423" t="s">
        <v>21</v>
      </c>
      <c r="H2423" t="str">
        <f>"012073062"</f>
        <v>012073062</v>
      </c>
      <c r="I2423" t="str">
        <f>"UNIFORMS"</f>
        <v>UNIFORMS</v>
      </c>
    </row>
    <row r="2424" spans="1:9" x14ac:dyDescent="0.25">
      <c r="A2424" s="6">
        <v>43544</v>
      </c>
      <c r="B2424" t="s">
        <v>26</v>
      </c>
      <c r="C2424">
        <v>60455</v>
      </c>
      <c r="D2424" t="s">
        <v>194</v>
      </c>
      <c r="E2424" s="7">
        <v>130.74</v>
      </c>
      <c r="F2424" t="s">
        <v>20</v>
      </c>
      <c r="G2424" t="s">
        <v>21</v>
      </c>
      <c r="H2424" t="str">
        <f>"012079482"</f>
        <v>012079482</v>
      </c>
      <c r="I2424" t="str">
        <f>"UNIFORMS"</f>
        <v>UNIFORMS</v>
      </c>
    </row>
    <row r="2425" spans="1:9" x14ac:dyDescent="0.25">
      <c r="A2425" s="6">
        <v>43544</v>
      </c>
      <c r="B2425" t="s">
        <v>26</v>
      </c>
      <c r="C2425">
        <v>60456</v>
      </c>
      <c r="D2425" t="s">
        <v>175</v>
      </c>
      <c r="E2425" s="7">
        <v>500</v>
      </c>
      <c r="F2425" t="s">
        <v>20</v>
      </c>
      <c r="G2425" t="s">
        <v>21</v>
      </c>
      <c r="H2425" t="str">
        <f>"151455 3/2019"</f>
        <v>151455 3/2019</v>
      </c>
      <c r="I2425" t="str">
        <f>"AMER TECHNOLOGY  INC."</f>
        <v>AMER TECHNOLOGY  INC.</v>
      </c>
    </row>
    <row r="2426" spans="1:9" x14ac:dyDescent="0.25">
      <c r="A2426" s="6">
        <v>43544</v>
      </c>
      <c r="B2426" t="s">
        <v>26</v>
      </c>
      <c r="C2426">
        <v>60457</v>
      </c>
      <c r="D2426" t="s">
        <v>46</v>
      </c>
      <c r="E2426" s="7">
        <v>22000</v>
      </c>
      <c r="F2426" t="s">
        <v>20</v>
      </c>
      <c r="G2426" t="s">
        <v>21</v>
      </c>
      <c r="H2426" t="str">
        <f>"9694"</f>
        <v>9694</v>
      </c>
      <c r="I2426" t="str">
        <f>"HAYES ENGINEERING  INC"</f>
        <v>HAYES ENGINEERING  INC</v>
      </c>
    </row>
    <row r="2427" spans="1:9" x14ac:dyDescent="0.25">
      <c r="A2427" s="6">
        <v>43544</v>
      </c>
      <c r="B2427" t="s">
        <v>26</v>
      </c>
      <c r="C2427">
        <v>60458</v>
      </c>
      <c r="D2427" t="s">
        <v>326</v>
      </c>
      <c r="E2427" s="7">
        <v>29</v>
      </c>
      <c r="F2427" t="s">
        <v>20</v>
      </c>
      <c r="G2427" t="s">
        <v>21</v>
      </c>
      <c r="H2427" t="str">
        <f>"19265766"</f>
        <v>19265766</v>
      </c>
      <c r="I2427" t="str">
        <f>"MATHESON TRI-GAS INC"</f>
        <v>MATHESON TRI-GAS INC</v>
      </c>
    </row>
    <row r="2428" spans="1:9" x14ac:dyDescent="0.25">
      <c r="A2428" s="6">
        <v>43544</v>
      </c>
      <c r="B2428" t="s">
        <v>26</v>
      </c>
      <c r="C2428">
        <v>60459</v>
      </c>
      <c r="D2428" t="s">
        <v>336</v>
      </c>
      <c r="E2428" s="7">
        <v>230</v>
      </c>
      <c r="F2428" t="s">
        <v>20</v>
      </c>
      <c r="G2428" t="s">
        <v>21</v>
      </c>
      <c r="H2428" t="str">
        <f>"4/8-12/19 BSC CRSE"</f>
        <v>4/8-12/19 BSC CRSE</v>
      </c>
      <c r="I2428" t="str">
        <f>"BASIC INSTRUCTOR COURSE"</f>
        <v>BASIC INSTRUCTOR COURSE</v>
      </c>
    </row>
    <row r="2429" spans="1:9" x14ac:dyDescent="0.25">
      <c r="A2429" s="6">
        <v>43544</v>
      </c>
      <c r="B2429" t="s">
        <v>26</v>
      </c>
      <c r="C2429">
        <v>60460</v>
      </c>
      <c r="D2429" t="s">
        <v>195</v>
      </c>
      <c r="E2429" s="7">
        <v>2966.52</v>
      </c>
      <c r="F2429" t="s">
        <v>20</v>
      </c>
      <c r="G2429" t="s">
        <v>21</v>
      </c>
      <c r="H2429" t="str">
        <f>"1565201903"</f>
        <v>1565201903</v>
      </c>
      <c r="I2429" t="str">
        <f>"ARISTA INFORMATION SYSTEMS  IN"</f>
        <v>ARISTA INFORMATION SYSTEMS  IN</v>
      </c>
    </row>
    <row r="2430" spans="1:9" x14ac:dyDescent="0.25">
      <c r="A2430" s="6">
        <v>43544</v>
      </c>
      <c r="B2430" t="s">
        <v>26</v>
      </c>
      <c r="C2430">
        <v>60460</v>
      </c>
      <c r="D2430" t="s">
        <v>195</v>
      </c>
      <c r="E2430" s="7">
        <v>2966.52</v>
      </c>
      <c r="F2430" t="s">
        <v>20</v>
      </c>
      <c r="G2430" t="s">
        <v>21</v>
      </c>
      <c r="H2430" t="str">
        <f>"27145"</f>
        <v>27145</v>
      </c>
      <c r="I2430" t="str">
        <f>"ARISTA INFORMATION SYSTEMS  IN"</f>
        <v>ARISTA INFORMATION SYSTEMS  IN</v>
      </c>
    </row>
    <row r="2431" spans="1:9" x14ac:dyDescent="0.25">
      <c r="A2431" s="6">
        <v>43544</v>
      </c>
      <c r="B2431" t="s">
        <v>26</v>
      </c>
      <c r="C2431">
        <v>60461</v>
      </c>
      <c r="D2431" t="s">
        <v>345</v>
      </c>
      <c r="E2431" s="7">
        <v>495</v>
      </c>
      <c r="F2431" t="s">
        <v>20</v>
      </c>
      <c r="G2431" t="s">
        <v>21</v>
      </c>
      <c r="H2431" t="str">
        <f>"3/18/19"</f>
        <v>3/18/19</v>
      </c>
      <c r="I2431" t="str">
        <f>"MICHAEL ISAAC MARTINEZ"</f>
        <v>MICHAEL ISAAC MARTINEZ</v>
      </c>
    </row>
    <row r="2432" spans="1:9" x14ac:dyDescent="0.25">
      <c r="A2432" s="6">
        <v>43544</v>
      </c>
      <c r="B2432" t="s">
        <v>26</v>
      </c>
      <c r="C2432">
        <v>60462</v>
      </c>
      <c r="D2432" t="s">
        <v>365</v>
      </c>
      <c r="E2432" s="7">
        <v>400</v>
      </c>
      <c r="F2432" t="s">
        <v>20</v>
      </c>
      <c r="G2432" t="s">
        <v>21</v>
      </c>
      <c r="H2432" t="str">
        <f>"2330190"</f>
        <v>2330190</v>
      </c>
      <c r="I2432" t="str">
        <f>"KIDDIE EXPRESS TRAIN  LLC"</f>
        <v>KIDDIE EXPRESS TRAIN  LLC</v>
      </c>
    </row>
    <row r="2433" spans="1:9" x14ac:dyDescent="0.25">
      <c r="A2433" s="6">
        <v>43544</v>
      </c>
      <c r="B2433" t="s">
        <v>26</v>
      </c>
      <c r="C2433">
        <v>60463</v>
      </c>
      <c r="D2433" t="s">
        <v>48</v>
      </c>
      <c r="E2433" s="7">
        <v>855</v>
      </c>
      <c r="F2433" t="s">
        <v>20</v>
      </c>
      <c r="G2433" t="s">
        <v>21</v>
      </c>
      <c r="H2433" t="str">
        <f>"1676"</f>
        <v>1676</v>
      </c>
      <c r="I2433" t="str">
        <f>"RANDY HOLLAR  LLC"</f>
        <v>RANDY HOLLAR  LLC</v>
      </c>
    </row>
    <row r="2434" spans="1:9" x14ac:dyDescent="0.25">
      <c r="A2434" s="6">
        <v>43544</v>
      </c>
      <c r="B2434" t="s">
        <v>26</v>
      </c>
      <c r="C2434">
        <v>60464</v>
      </c>
      <c r="D2434" t="s">
        <v>443</v>
      </c>
      <c r="E2434" s="7">
        <v>4116.67</v>
      </c>
      <c r="F2434" t="s">
        <v>20</v>
      </c>
      <c r="G2434" t="s">
        <v>21</v>
      </c>
      <c r="H2434" t="str">
        <f>"10540"</f>
        <v>10540</v>
      </c>
      <c r="I2434" t="str">
        <f>"RIOJAS TURF CARE  LLC"</f>
        <v>RIOJAS TURF CARE  LLC</v>
      </c>
    </row>
    <row r="2435" spans="1:9" x14ac:dyDescent="0.25">
      <c r="A2435" s="6">
        <v>43544</v>
      </c>
      <c r="B2435" t="s">
        <v>26</v>
      </c>
      <c r="C2435">
        <v>60465</v>
      </c>
      <c r="D2435" t="s">
        <v>505</v>
      </c>
      <c r="E2435" s="7">
        <v>263.5</v>
      </c>
      <c r="F2435" t="s">
        <v>20</v>
      </c>
      <c r="G2435" t="s">
        <v>21</v>
      </c>
      <c r="H2435" t="str">
        <f>"128"</f>
        <v>128</v>
      </c>
      <c r="I2435" t="str">
        <f>"TRAINING"</f>
        <v>TRAINING</v>
      </c>
    </row>
    <row r="2436" spans="1:9" x14ac:dyDescent="0.25">
      <c r="A2436" s="6">
        <v>43544</v>
      </c>
      <c r="B2436" t="s">
        <v>26</v>
      </c>
      <c r="C2436">
        <v>60466</v>
      </c>
      <c r="D2436" t="s">
        <v>568</v>
      </c>
      <c r="E2436" s="7">
        <v>276.48</v>
      </c>
      <c r="F2436" t="s">
        <v>20</v>
      </c>
      <c r="G2436" t="s">
        <v>21</v>
      </c>
      <c r="H2436" t="str">
        <f>"6583172"</f>
        <v>6583172</v>
      </c>
      <c r="I2436" t="str">
        <f>"TIRE HUB"</f>
        <v>TIRE HUB</v>
      </c>
    </row>
    <row r="2437" spans="1:9" x14ac:dyDescent="0.25">
      <c r="A2437" s="6">
        <v>43544</v>
      </c>
      <c r="B2437" t="s">
        <v>26</v>
      </c>
      <c r="C2437">
        <v>60467</v>
      </c>
      <c r="D2437" t="s">
        <v>630</v>
      </c>
      <c r="E2437" s="7">
        <v>1862.78</v>
      </c>
      <c r="F2437" t="s">
        <v>20</v>
      </c>
      <c r="G2437" t="s">
        <v>21</v>
      </c>
      <c r="H2437" t="str">
        <f>"22736"</f>
        <v>22736</v>
      </c>
      <c r="I2437" t="str">
        <f>"METERS"</f>
        <v>METERS</v>
      </c>
    </row>
    <row r="2438" spans="1:9" x14ac:dyDescent="0.25">
      <c r="A2438" s="6">
        <v>43544</v>
      </c>
      <c r="B2438" t="s">
        <v>26</v>
      </c>
      <c r="C2438">
        <v>60468</v>
      </c>
      <c r="D2438" t="s">
        <v>644</v>
      </c>
      <c r="E2438" s="7">
        <v>1106.0899999999999</v>
      </c>
      <c r="F2438" t="s">
        <v>20</v>
      </c>
      <c r="G2438" t="s">
        <v>21</v>
      </c>
      <c r="H2438" t="str">
        <f>"8213289955"</f>
        <v>8213289955</v>
      </c>
      <c r="I2438" t="str">
        <f t="shared" ref="I2438:I2450" si="43">"UNIFIRST CORPORATION"</f>
        <v>UNIFIRST CORPORATION</v>
      </c>
    </row>
    <row r="2439" spans="1:9" x14ac:dyDescent="0.25">
      <c r="A2439" s="6">
        <v>43544</v>
      </c>
      <c r="B2439" t="s">
        <v>26</v>
      </c>
      <c r="C2439">
        <v>60468</v>
      </c>
      <c r="D2439" t="s">
        <v>644</v>
      </c>
      <c r="E2439" s="7">
        <v>1106.0899999999999</v>
      </c>
      <c r="F2439" t="s">
        <v>20</v>
      </c>
      <c r="G2439" t="s">
        <v>21</v>
      </c>
      <c r="H2439" t="str">
        <f>"8213289956"</f>
        <v>8213289956</v>
      </c>
      <c r="I2439" t="str">
        <f t="shared" si="43"/>
        <v>UNIFIRST CORPORATION</v>
      </c>
    </row>
    <row r="2440" spans="1:9" x14ac:dyDescent="0.25">
      <c r="A2440" s="6">
        <v>43544</v>
      </c>
      <c r="B2440" t="s">
        <v>26</v>
      </c>
      <c r="C2440">
        <v>60468</v>
      </c>
      <c r="D2440" t="s">
        <v>644</v>
      </c>
      <c r="E2440" s="7">
        <v>1106.0899999999999</v>
      </c>
      <c r="F2440" t="s">
        <v>20</v>
      </c>
      <c r="G2440" t="s">
        <v>21</v>
      </c>
      <c r="H2440" t="str">
        <f>"8213289957"</f>
        <v>8213289957</v>
      </c>
      <c r="I2440" t="str">
        <f t="shared" si="43"/>
        <v>UNIFIRST CORPORATION</v>
      </c>
    </row>
    <row r="2441" spans="1:9" x14ac:dyDescent="0.25">
      <c r="A2441" s="6">
        <v>43544</v>
      </c>
      <c r="B2441" t="s">
        <v>26</v>
      </c>
      <c r="C2441">
        <v>60468</v>
      </c>
      <c r="D2441" t="s">
        <v>644</v>
      </c>
      <c r="E2441" s="7">
        <v>1106.0899999999999</v>
      </c>
      <c r="F2441" t="s">
        <v>20</v>
      </c>
      <c r="G2441" t="s">
        <v>21</v>
      </c>
      <c r="H2441" t="str">
        <f>"8213289958"</f>
        <v>8213289958</v>
      </c>
      <c r="I2441" t="str">
        <f t="shared" si="43"/>
        <v>UNIFIRST CORPORATION</v>
      </c>
    </row>
    <row r="2442" spans="1:9" x14ac:dyDescent="0.25">
      <c r="A2442" s="6">
        <v>43544</v>
      </c>
      <c r="B2442" t="s">
        <v>26</v>
      </c>
      <c r="C2442">
        <v>60468</v>
      </c>
      <c r="D2442" t="s">
        <v>644</v>
      </c>
      <c r="E2442" s="7">
        <v>1106.0899999999999</v>
      </c>
      <c r="F2442" t="s">
        <v>20</v>
      </c>
      <c r="G2442" t="s">
        <v>21</v>
      </c>
      <c r="H2442" t="str">
        <f>"8213289959"</f>
        <v>8213289959</v>
      </c>
      <c r="I2442" t="str">
        <f t="shared" si="43"/>
        <v>UNIFIRST CORPORATION</v>
      </c>
    </row>
    <row r="2443" spans="1:9" x14ac:dyDescent="0.25">
      <c r="A2443" s="6">
        <v>43544</v>
      </c>
      <c r="B2443" t="s">
        <v>26</v>
      </c>
      <c r="C2443">
        <v>60468</v>
      </c>
      <c r="D2443" t="s">
        <v>644</v>
      </c>
      <c r="E2443" s="7">
        <v>1106.0899999999999</v>
      </c>
      <c r="F2443" t="s">
        <v>20</v>
      </c>
      <c r="G2443" t="s">
        <v>21</v>
      </c>
      <c r="H2443" t="str">
        <f>"8213289960"</f>
        <v>8213289960</v>
      </c>
      <c r="I2443" t="str">
        <f t="shared" si="43"/>
        <v>UNIFIRST CORPORATION</v>
      </c>
    </row>
    <row r="2444" spans="1:9" x14ac:dyDescent="0.25">
      <c r="A2444" s="6">
        <v>43544</v>
      </c>
      <c r="B2444" t="s">
        <v>26</v>
      </c>
      <c r="C2444">
        <v>60468</v>
      </c>
      <c r="D2444" t="s">
        <v>644</v>
      </c>
      <c r="E2444" s="7">
        <v>1106.0899999999999</v>
      </c>
      <c r="F2444" t="s">
        <v>20</v>
      </c>
      <c r="G2444" t="s">
        <v>21</v>
      </c>
      <c r="H2444" t="str">
        <f>"8213289961"</f>
        <v>8213289961</v>
      </c>
      <c r="I2444" t="str">
        <f t="shared" si="43"/>
        <v>UNIFIRST CORPORATION</v>
      </c>
    </row>
    <row r="2445" spans="1:9" x14ac:dyDescent="0.25">
      <c r="A2445" s="6">
        <v>43544</v>
      </c>
      <c r="B2445" t="s">
        <v>26</v>
      </c>
      <c r="C2445">
        <v>60468</v>
      </c>
      <c r="D2445" t="s">
        <v>644</v>
      </c>
      <c r="E2445" s="7">
        <v>1106.0899999999999</v>
      </c>
      <c r="F2445" t="s">
        <v>20</v>
      </c>
      <c r="G2445" t="s">
        <v>21</v>
      </c>
      <c r="H2445" t="str">
        <f>"8213292659"</f>
        <v>8213292659</v>
      </c>
      <c r="I2445" t="str">
        <f t="shared" si="43"/>
        <v>UNIFIRST CORPORATION</v>
      </c>
    </row>
    <row r="2446" spans="1:9" x14ac:dyDescent="0.25">
      <c r="A2446" s="6">
        <v>43544</v>
      </c>
      <c r="B2446" t="s">
        <v>26</v>
      </c>
      <c r="C2446">
        <v>60468</v>
      </c>
      <c r="D2446" t="s">
        <v>644</v>
      </c>
      <c r="E2446" s="7">
        <v>1106.0899999999999</v>
      </c>
      <c r="F2446" t="s">
        <v>20</v>
      </c>
      <c r="G2446" t="s">
        <v>21</v>
      </c>
      <c r="H2446" t="str">
        <f>"8213292660"</f>
        <v>8213292660</v>
      </c>
      <c r="I2446" t="str">
        <f t="shared" si="43"/>
        <v>UNIFIRST CORPORATION</v>
      </c>
    </row>
    <row r="2447" spans="1:9" x14ac:dyDescent="0.25">
      <c r="A2447" s="6">
        <v>43544</v>
      </c>
      <c r="B2447" t="s">
        <v>26</v>
      </c>
      <c r="C2447">
        <v>60468</v>
      </c>
      <c r="D2447" t="s">
        <v>644</v>
      </c>
      <c r="E2447" s="7">
        <v>1106.0899999999999</v>
      </c>
      <c r="F2447" t="s">
        <v>20</v>
      </c>
      <c r="G2447" t="s">
        <v>21</v>
      </c>
      <c r="H2447" t="str">
        <f>"8213292661"</f>
        <v>8213292661</v>
      </c>
      <c r="I2447" t="str">
        <f t="shared" si="43"/>
        <v>UNIFIRST CORPORATION</v>
      </c>
    </row>
    <row r="2448" spans="1:9" x14ac:dyDescent="0.25">
      <c r="A2448" s="6">
        <v>43544</v>
      </c>
      <c r="B2448" t="s">
        <v>26</v>
      </c>
      <c r="C2448">
        <v>60468</v>
      </c>
      <c r="D2448" t="s">
        <v>644</v>
      </c>
      <c r="E2448" s="7">
        <v>1106.0899999999999</v>
      </c>
      <c r="F2448" t="s">
        <v>20</v>
      </c>
      <c r="G2448" t="s">
        <v>21</v>
      </c>
      <c r="H2448" t="str">
        <f>"8213292662"</f>
        <v>8213292662</v>
      </c>
      <c r="I2448" t="str">
        <f t="shared" si="43"/>
        <v>UNIFIRST CORPORATION</v>
      </c>
    </row>
    <row r="2449" spans="1:9" x14ac:dyDescent="0.25">
      <c r="A2449" s="6">
        <v>43544</v>
      </c>
      <c r="B2449" t="s">
        <v>26</v>
      </c>
      <c r="C2449">
        <v>60468</v>
      </c>
      <c r="D2449" t="s">
        <v>644</v>
      </c>
      <c r="E2449" s="7">
        <v>1106.0899999999999</v>
      </c>
      <c r="F2449" t="s">
        <v>20</v>
      </c>
      <c r="G2449" t="s">
        <v>21</v>
      </c>
      <c r="H2449" t="str">
        <f>"8213292663"</f>
        <v>8213292663</v>
      </c>
      <c r="I2449" t="str">
        <f t="shared" si="43"/>
        <v>UNIFIRST CORPORATION</v>
      </c>
    </row>
    <row r="2450" spans="1:9" x14ac:dyDescent="0.25">
      <c r="A2450" s="6">
        <v>43544</v>
      </c>
      <c r="B2450" t="s">
        <v>26</v>
      </c>
      <c r="C2450">
        <v>60468</v>
      </c>
      <c r="D2450" t="s">
        <v>644</v>
      </c>
      <c r="E2450" s="7">
        <v>1106.0899999999999</v>
      </c>
      <c r="F2450" t="s">
        <v>20</v>
      </c>
      <c r="G2450" t="s">
        <v>21</v>
      </c>
      <c r="H2450" t="str">
        <f>"8213292664"</f>
        <v>8213292664</v>
      </c>
      <c r="I2450" t="str">
        <f t="shared" si="43"/>
        <v>UNIFIRST CORPORATION</v>
      </c>
    </row>
    <row r="2451" spans="1:9" x14ac:dyDescent="0.25">
      <c r="A2451" s="6">
        <v>43544</v>
      </c>
      <c r="B2451" t="s">
        <v>26</v>
      </c>
      <c r="C2451">
        <v>60471</v>
      </c>
      <c r="D2451" t="s">
        <v>685</v>
      </c>
      <c r="E2451" s="7">
        <v>4317.99</v>
      </c>
      <c r="F2451" t="s">
        <v>20</v>
      </c>
      <c r="G2451" t="s">
        <v>21</v>
      </c>
      <c r="H2451" t="str">
        <f>"7856-5"</f>
        <v>7856-5</v>
      </c>
      <c r="I2451" t="str">
        <f>"TEXAS STATE RENTALS; TEXAS STA"</f>
        <v>TEXAS STATE RENTALS; TEXAS STA</v>
      </c>
    </row>
    <row r="2452" spans="1:9" x14ac:dyDescent="0.25">
      <c r="A2452" s="6">
        <v>43544</v>
      </c>
      <c r="B2452" t="s">
        <v>26</v>
      </c>
      <c r="C2452">
        <v>60472</v>
      </c>
      <c r="D2452" t="s">
        <v>62</v>
      </c>
      <c r="E2452" s="7">
        <v>500</v>
      </c>
      <c r="F2452" t="s">
        <v>20</v>
      </c>
      <c r="G2452" t="s">
        <v>21</v>
      </c>
      <c r="H2452" t="str">
        <f>"K.DEEN 3/2019"</f>
        <v>K.DEEN 3/2019</v>
      </c>
      <c r="I2452" t="str">
        <f>"PROFICIENT BENEFIT SOLUTIONS"</f>
        <v>PROFICIENT BENEFIT SOLUTIONS</v>
      </c>
    </row>
    <row r="2453" spans="1:9" x14ac:dyDescent="0.25">
      <c r="A2453" s="6">
        <v>43544</v>
      </c>
      <c r="B2453" t="s">
        <v>26</v>
      </c>
      <c r="C2453">
        <v>60473</v>
      </c>
      <c r="D2453" t="s">
        <v>123</v>
      </c>
      <c r="E2453" s="7">
        <v>29.95</v>
      </c>
      <c r="F2453" t="s">
        <v>20</v>
      </c>
      <c r="G2453" t="s">
        <v>21</v>
      </c>
      <c r="H2453" t="str">
        <f>"241842221001-SH"</f>
        <v>241842221001-SH</v>
      </c>
      <c r="I2453" t="str">
        <f>"OFFICE DEPOT  INC."</f>
        <v>OFFICE DEPOT  INC.</v>
      </c>
    </row>
    <row r="2454" spans="1:9" x14ac:dyDescent="0.25">
      <c r="A2454" s="6">
        <v>43544</v>
      </c>
      <c r="B2454" t="s">
        <v>26</v>
      </c>
      <c r="C2454">
        <v>60474</v>
      </c>
      <c r="D2454" t="s">
        <v>552</v>
      </c>
      <c r="E2454" s="7">
        <v>1023.24</v>
      </c>
      <c r="F2454" t="s">
        <v>20</v>
      </c>
      <c r="G2454" t="s">
        <v>21</v>
      </c>
      <c r="H2454" t="str">
        <f>"10032*"</f>
        <v>10032*</v>
      </c>
      <c r="I2454" t="str">
        <f>"G.E.M. MATERIALS INC."</f>
        <v>G.E.M. MATERIALS INC.</v>
      </c>
    </row>
    <row r="2455" spans="1:9" x14ac:dyDescent="0.25">
      <c r="A2455" s="6">
        <v>43551</v>
      </c>
      <c r="B2455" t="s">
        <v>26</v>
      </c>
      <c r="C2455">
        <v>60483</v>
      </c>
      <c r="D2455" t="s">
        <v>51</v>
      </c>
      <c r="E2455" s="7">
        <v>327.84</v>
      </c>
      <c r="F2455" t="s">
        <v>20</v>
      </c>
      <c r="G2455" t="s">
        <v>21</v>
      </c>
      <c r="H2455" t="str">
        <f>"CLE201903278511"</f>
        <v>CLE201903278511</v>
      </c>
      <c r="I2455" t="str">
        <f>"CLEAT ONLY DUES"</f>
        <v>CLEAT ONLY DUES</v>
      </c>
    </row>
    <row r="2456" spans="1:9" x14ac:dyDescent="0.25">
      <c r="A2456" s="6">
        <v>43551</v>
      </c>
      <c r="B2456" t="s">
        <v>26</v>
      </c>
      <c r="C2456">
        <v>60483</v>
      </c>
      <c r="D2456" t="s">
        <v>51</v>
      </c>
      <c r="E2456" s="7">
        <v>327.84</v>
      </c>
      <c r="F2456" t="s">
        <v>20</v>
      </c>
      <c r="G2456" t="s">
        <v>21</v>
      </c>
      <c r="H2456" t="str">
        <f>"PDD201903278511"</f>
        <v>PDD201903278511</v>
      </c>
      <c r="I2456" t="str">
        <f>"POLICE OFFICERS ASSOC DUES"</f>
        <v>POLICE OFFICERS ASSOC DUES</v>
      </c>
    </row>
    <row r="2457" spans="1:9" x14ac:dyDescent="0.25">
      <c r="A2457" s="6">
        <v>43551</v>
      </c>
      <c r="B2457" t="s">
        <v>91</v>
      </c>
      <c r="C2457">
        <v>60484</v>
      </c>
      <c r="D2457" t="s">
        <v>90</v>
      </c>
      <c r="E2457" s="7">
        <v>101.1</v>
      </c>
      <c r="F2457" t="s">
        <v>20</v>
      </c>
      <c r="G2457" t="s">
        <v>21</v>
      </c>
      <c r="H2457" t="str">
        <f>"AFS201903278511"</f>
        <v>AFS201903278511</v>
      </c>
      <c r="I2457" t="str">
        <f>"AFLAC STD"</f>
        <v>AFLAC STD</v>
      </c>
    </row>
    <row r="2458" spans="1:9" x14ac:dyDescent="0.25">
      <c r="A2458" s="6">
        <v>43551</v>
      </c>
      <c r="B2458" t="s">
        <v>26</v>
      </c>
      <c r="C2458">
        <v>60485</v>
      </c>
      <c r="D2458" t="s">
        <v>52</v>
      </c>
      <c r="E2458" s="7">
        <v>1371.29</v>
      </c>
      <c r="F2458" t="s">
        <v>20</v>
      </c>
      <c r="G2458" t="s">
        <v>21</v>
      </c>
      <c r="H2458" t="str">
        <f>"CJD201903278511"</f>
        <v>CJD201903278511</v>
      </c>
      <c r="I2458" t="str">
        <f>"1371990918080637CV RUBI MUNOZ"</f>
        <v>1371990918080637CV RUBI MUNOZ</v>
      </c>
    </row>
    <row r="2459" spans="1:9" x14ac:dyDescent="0.25">
      <c r="A2459" s="6">
        <v>43551</v>
      </c>
      <c r="B2459" t="s">
        <v>26</v>
      </c>
      <c r="C2459">
        <v>60485</v>
      </c>
      <c r="D2459" t="s">
        <v>52</v>
      </c>
      <c r="E2459" s="7">
        <v>1371.29</v>
      </c>
      <c r="F2459" t="s">
        <v>20</v>
      </c>
      <c r="G2459" t="s">
        <v>21</v>
      </c>
      <c r="H2459" t="str">
        <f>"CPS201903278511"</f>
        <v>CPS201903278511</v>
      </c>
      <c r="I2459" t="str">
        <f>"G MENDOZA 00123012032010EM5054"</f>
        <v>G MENDOZA 00123012032010EM5054</v>
      </c>
    </row>
    <row r="2460" spans="1:9" x14ac:dyDescent="0.25">
      <c r="A2460" s="6">
        <v>43551</v>
      </c>
      <c r="B2460" t="s">
        <v>26</v>
      </c>
      <c r="C2460">
        <v>60485</v>
      </c>
      <c r="D2460" t="s">
        <v>52</v>
      </c>
      <c r="E2460" s="7">
        <v>1371.29</v>
      </c>
      <c r="F2460" t="s">
        <v>20</v>
      </c>
      <c r="G2460" t="s">
        <v>21</v>
      </c>
      <c r="H2460" t="str">
        <f>"CS 201903278511"</f>
        <v>CS 201903278511</v>
      </c>
      <c r="I2460" t="str">
        <f>"CAUSE#98EM504113 PEGGY RIVAS"</f>
        <v>CAUSE#98EM504113 PEGGY RIVAS</v>
      </c>
    </row>
    <row r="2461" spans="1:9" x14ac:dyDescent="0.25">
      <c r="A2461" s="6">
        <v>43551</v>
      </c>
      <c r="B2461" t="s">
        <v>26</v>
      </c>
      <c r="C2461">
        <v>60485</v>
      </c>
      <c r="D2461" t="s">
        <v>52</v>
      </c>
      <c r="E2461" s="7">
        <v>1371.29</v>
      </c>
      <c r="F2461" t="s">
        <v>20</v>
      </c>
      <c r="G2461" t="s">
        <v>21</v>
      </c>
      <c r="H2461" t="str">
        <f>"CSJ201903278511"</f>
        <v>CSJ201903278511</v>
      </c>
      <c r="I2461" t="str">
        <f>"CAUSE# 0010185272 MARIANN GUTI"</f>
        <v>CAUSE# 0010185272 MARIANN GUTI</v>
      </c>
    </row>
    <row r="2462" spans="1:9" x14ac:dyDescent="0.25">
      <c r="A2462" s="6">
        <v>43551</v>
      </c>
      <c r="B2462" t="s">
        <v>26</v>
      </c>
      <c r="C2462">
        <v>60486</v>
      </c>
      <c r="D2462" t="s">
        <v>53</v>
      </c>
      <c r="E2462" s="7">
        <v>99.1</v>
      </c>
      <c r="F2462" t="s">
        <v>20</v>
      </c>
      <c r="G2462" t="s">
        <v>21</v>
      </c>
      <c r="H2462" t="str">
        <f>"MCO201903278511"</f>
        <v>MCO201903278511</v>
      </c>
      <c r="I2462" t="str">
        <f>"MONICA CORDOVA"</f>
        <v>MONICA CORDOVA</v>
      </c>
    </row>
    <row r="2463" spans="1:9" x14ac:dyDescent="0.25">
      <c r="A2463" s="6">
        <v>43551</v>
      </c>
      <c r="B2463" t="s">
        <v>26</v>
      </c>
      <c r="C2463">
        <v>60487</v>
      </c>
      <c r="D2463" t="s">
        <v>54</v>
      </c>
      <c r="E2463" s="7">
        <v>877.1</v>
      </c>
      <c r="F2463" t="s">
        <v>20</v>
      </c>
      <c r="G2463" t="s">
        <v>21</v>
      </c>
      <c r="H2463" t="str">
        <f>"457201903278511"</f>
        <v>457201903278511</v>
      </c>
      <c r="I2463" t="str">
        <f>"CASE # 180-60751 457B DEDUCT"</f>
        <v>CASE # 180-60751 457B DEDUCT</v>
      </c>
    </row>
    <row r="2464" spans="1:9" x14ac:dyDescent="0.25">
      <c r="A2464" s="6">
        <v>43551</v>
      </c>
      <c r="B2464" t="s">
        <v>26</v>
      </c>
      <c r="C2464">
        <v>60488</v>
      </c>
      <c r="D2464" t="s">
        <v>57</v>
      </c>
      <c r="E2464" s="7">
        <v>20656.009999999998</v>
      </c>
      <c r="F2464" t="s">
        <v>20</v>
      </c>
      <c r="G2464" t="s">
        <v>21</v>
      </c>
      <c r="H2464" t="str">
        <f>"11617 4/2019"</f>
        <v>11617 4/2019</v>
      </c>
      <c r="I2464" t="str">
        <f>"F.E.L.P.S."</f>
        <v>F.E.L.P.S.</v>
      </c>
    </row>
    <row r="2465" spans="1:9" x14ac:dyDescent="0.25">
      <c r="A2465" s="6">
        <v>43551</v>
      </c>
      <c r="B2465" t="s">
        <v>26</v>
      </c>
      <c r="C2465">
        <v>60489</v>
      </c>
      <c r="D2465" t="s">
        <v>61</v>
      </c>
      <c r="E2465" s="7">
        <v>13492.45</v>
      </c>
      <c r="F2465" t="s">
        <v>20</v>
      </c>
      <c r="G2465" t="s">
        <v>21</v>
      </c>
      <c r="H2465" t="str">
        <f>"025-252816"</f>
        <v>025-252816</v>
      </c>
      <c r="I2465" t="str">
        <f>"TYLER TECHNOLOGIES  INC."</f>
        <v>TYLER TECHNOLOGIES  INC.</v>
      </c>
    </row>
    <row r="2466" spans="1:9" x14ac:dyDescent="0.25">
      <c r="A2466" s="6">
        <v>43551</v>
      </c>
      <c r="B2466" t="s">
        <v>26</v>
      </c>
      <c r="C2466">
        <v>60489</v>
      </c>
      <c r="D2466" t="s">
        <v>61</v>
      </c>
      <c r="E2466" s="7">
        <v>13492.45</v>
      </c>
      <c r="F2466" t="s">
        <v>20</v>
      </c>
      <c r="G2466" t="s">
        <v>21</v>
      </c>
      <c r="H2466" t="str">
        <f>"025-253238"</f>
        <v>025-253238</v>
      </c>
      <c r="I2466" t="str">
        <f>"TYLER TECHNOLOGIES  INC."</f>
        <v>TYLER TECHNOLOGIES  INC.</v>
      </c>
    </row>
    <row r="2467" spans="1:9" x14ac:dyDescent="0.25">
      <c r="A2467" s="6">
        <v>43551</v>
      </c>
      <c r="B2467" t="s">
        <v>26</v>
      </c>
      <c r="C2467">
        <v>60489</v>
      </c>
      <c r="D2467" t="s">
        <v>61</v>
      </c>
      <c r="E2467" s="7">
        <v>13492.45</v>
      </c>
      <c r="F2467" t="s">
        <v>20</v>
      </c>
      <c r="G2467" t="s">
        <v>21</v>
      </c>
      <c r="H2467" t="str">
        <f>"025-253421"</f>
        <v>025-253421</v>
      </c>
      <c r="I2467" t="str">
        <f>"TYLER TECHNOLOGIES  INC."</f>
        <v>TYLER TECHNOLOGIES  INC.</v>
      </c>
    </row>
    <row r="2468" spans="1:9" x14ac:dyDescent="0.25">
      <c r="A2468" s="6">
        <v>43551</v>
      </c>
      <c r="B2468" t="s">
        <v>26</v>
      </c>
      <c r="C2468">
        <v>60490</v>
      </c>
      <c r="D2468" t="s">
        <v>212</v>
      </c>
      <c r="E2468" s="7">
        <v>600</v>
      </c>
      <c r="F2468" t="s">
        <v>20</v>
      </c>
      <c r="G2468" t="s">
        <v>21</v>
      </c>
      <c r="H2468" t="str">
        <f>"2019 DUES COUNCIL"</f>
        <v>2019 DUES COUNCIL</v>
      </c>
      <c r="I2468" t="str">
        <f>"AACOG"</f>
        <v>AACOG</v>
      </c>
    </row>
    <row r="2469" spans="1:9" x14ac:dyDescent="0.25">
      <c r="A2469" s="6">
        <v>43551</v>
      </c>
      <c r="B2469" t="s">
        <v>26</v>
      </c>
      <c r="C2469">
        <v>60491</v>
      </c>
      <c r="D2469" t="s">
        <v>63</v>
      </c>
      <c r="E2469" s="7">
        <v>398.83</v>
      </c>
      <c r="F2469" t="s">
        <v>20</v>
      </c>
      <c r="G2469" t="s">
        <v>21</v>
      </c>
      <c r="H2469" t="str">
        <f>"8404065711"</f>
        <v>8404065711</v>
      </c>
      <c r="I2469" t="str">
        <f>"CINTAS CORPORATION"</f>
        <v>CINTAS CORPORATION</v>
      </c>
    </row>
    <row r="2470" spans="1:9" x14ac:dyDescent="0.25">
      <c r="A2470" s="6">
        <v>43551</v>
      </c>
      <c r="B2470" t="s">
        <v>26</v>
      </c>
      <c r="C2470">
        <v>60492</v>
      </c>
      <c r="D2470" t="s">
        <v>252</v>
      </c>
      <c r="E2470" s="7">
        <v>101737.31</v>
      </c>
      <c r="F2470" t="s">
        <v>20</v>
      </c>
      <c r="G2470" t="s">
        <v>21</v>
      </c>
      <c r="H2470" t="str">
        <f>"PAY APP #4"</f>
        <v>PAY APP #4</v>
      </c>
      <c r="I2470" t="str">
        <f>"RAM II GENERAL CONTRACTOR INC."</f>
        <v>RAM II GENERAL CONTRACTOR INC.</v>
      </c>
    </row>
    <row r="2471" spans="1:9" x14ac:dyDescent="0.25">
      <c r="A2471" s="6">
        <v>43551</v>
      </c>
      <c r="B2471" t="s">
        <v>26</v>
      </c>
      <c r="C2471">
        <v>60493</v>
      </c>
      <c r="D2471" t="s">
        <v>316</v>
      </c>
      <c r="E2471" s="7">
        <v>44085.25</v>
      </c>
      <c r="F2471" t="s">
        <v>20</v>
      </c>
      <c r="G2471" t="s">
        <v>21</v>
      </c>
      <c r="H2471" t="str">
        <f>"1910005298"</f>
        <v>1910005298</v>
      </c>
      <c r="I2471" t="s">
        <v>571</v>
      </c>
    </row>
    <row r="2472" spans="1:9" x14ac:dyDescent="0.25">
      <c r="A2472" s="6">
        <v>43551</v>
      </c>
      <c r="B2472" t="s">
        <v>26</v>
      </c>
      <c r="C2472">
        <v>60494</v>
      </c>
      <c r="D2472" t="s">
        <v>159</v>
      </c>
      <c r="E2472" s="7">
        <v>753.75</v>
      </c>
      <c r="F2472" t="s">
        <v>20</v>
      </c>
      <c r="G2472" t="s">
        <v>21</v>
      </c>
      <c r="H2472" t="str">
        <f>"37927"</f>
        <v>37927</v>
      </c>
      <c r="I2472" t="str">
        <f>"PHOTOGRAPHS BY JIM"</f>
        <v>PHOTOGRAPHS BY JIM</v>
      </c>
    </row>
    <row r="2473" spans="1:9" x14ac:dyDescent="0.25">
      <c r="A2473" s="6">
        <v>43551</v>
      </c>
      <c r="B2473" t="s">
        <v>26</v>
      </c>
      <c r="C2473">
        <v>60494</v>
      </c>
      <c r="D2473" t="s">
        <v>159</v>
      </c>
      <c r="E2473" s="7">
        <v>753.75</v>
      </c>
      <c r="F2473" t="s">
        <v>20</v>
      </c>
      <c r="G2473" t="s">
        <v>21</v>
      </c>
      <c r="H2473" t="str">
        <f>"37928"</f>
        <v>37928</v>
      </c>
      <c r="I2473" t="str">
        <f>"PHOTOGRAPHS BY JIM"</f>
        <v>PHOTOGRAPHS BY JIM</v>
      </c>
    </row>
    <row r="2474" spans="1:9" x14ac:dyDescent="0.25">
      <c r="A2474" s="6">
        <v>43551</v>
      </c>
      <c r="B2474" t="s">
        <v>26</v>
      </c>
      <c r="C2474">
        <v>60495</v>
      </c>
      <c r="D2474" t="s">
        <v>29</v>
      </c>
      <c r="E2474" s="7">
        <v>6877.5</v>
      </c>
      <c r="F2474" t="s">
        <v>20</v>
      </c>
      <c r="G2474" t="s">
        <v>21</v>
      </c>
      <c r="H2474" t="str">
        <f>"36370"</f>
        <v>36370</v>
      </c>
      <c r="I2474" t="str">
        <f>"M &amp; S ENGINEERING  LLC"</f>
        <v>M &amp; S ENGINEERING  LLC</v>
      </c>
    </row>
    <row r="2475" spans="1:9" x14ac:dyDescent="0.25">
      <c r="A2475" s="6">
        <v>43551</v>
      </c>
      <c r="B2475" t="s">
        <v>26</v>
      </c>
      <c r="C2475">
        <v>60496</v>
      </c>
      <c r="D2475" t="s">
        <v>71</v>
      </c>
      <c r="E2475" s="7">
        <v>753.42</v>
      </c>
      <c r="F2475" t="s">
        <v>20</v>
      </c>
      <c r="G2475" t="s">
        <v>21</v>
      </c>
      <c r="H2475" t="str">
        <f>"4018689872"</f>
        <v>4018689872</v>
      </c>
      <c r="I2475" t="str">
        <f>"CINTAS CORPORATION #087"</f>
        <v>CINTAS CORPORATION #087</v>
      </c>
    </row>
    <row r="2476" spans="1:9" x14ac:dyDescent="0.25">
      <c r="A2476" s="6">
        <v>43551</v>
      </c>
      <c r="B2476" t="s">
        <v>26</v>
      </c>
      <c r="C2476">
        <v>60496</v>
      </c>
      <c r="D2476" t="s">
        <v>71</v>
      </c>
      <c r="E2476" s="7">
        <v>753.42</v>
      </c>
      <c r="F2476" t="s">
        <v>20</v>
      </c>
      <c r="G2476" t="s">
        <v>21</v>
      </c>
      <c r="H2476" t="str">
        <f>"4018689907"</f>
        <v>4018689907</v>
      </c>
      <c r="I2476" t="str">
        <f>"CINTAS CORPORATION #087"</f>
        <v>CINTAS CORPORATION #087</v>
      </c>
    </row>
    <row r="2477" spans="1:9" x14ac:dyDescent="0.25">
      <c r="A2477" s="6">
        <v>43551</v>
      </c>
      <c r="B2477" t="s">
        <v>26</v>
      </c>
      <c r="C2477">
        <v>60497</v>
      </c>
      <c r="D2477" t="s">
        <v>77</v>
      </c>
      <c r="E2477" s="7">
        <v>1345.3</v>
      </c>
      <c r="F2477" t="s">
        <v>20</v>
      </c>
      <c r="G2477" t="s">
        <v>21</v>
      </c>
      <c r="H2477" t="str">
        <f>"857000421-19"</f>
        <v>857000421-19</v>
      </c>
      <c r="I2477" t="str">
        <f>"CHLORINE"</f>
        <v>CHLORINE</v>
      </c>
    </row>
    <row r="2478" spans="1:9" x14ac:dyDescent="0.25">
      <c r="A2478" s="6">
        <v>43551</v>
      </c>
      <c r="B2478" t="s">
        <v>26</v>
      </c>
      <c r="C2478">
        <v>60497</v>
      </c>
      <c r="D2478" t="s">
        <v>77</v>
      </c>
      <c r="E2478" s="7">
        <v>1345.3</v>
      </c>
      <c r="F2478" t="s">
        <v>20</v>
      </c>
      <c r="G2478" t="s">
        <v>21</v>
      </c>
      <c r="H2478" t="str">
        <f>"857000422-19"</f>
        <v>857000422-19</v>
      </c>
      <c r="I2478" t="str">
        <f>"CHLORINE"</f>
        <v>CHLORINE</v>
      </c>
    </row>
    <row r="2479" spans="1:9" x14ac:dyDescent="0.25">
      <c r="A2479" s="6">
        <v>43551</v>
      </c>
      <c r="B2479" t="s">
        <v>26</v>
      </c>
      <c r="C2479">
        <v>60498</v>
      </c>
      <c r="D2479" t="s">
        <v>633</v>
      </c>
      <c r="E2479" s="7">
        <v>794.96</v>
      </c>
      <c r="F2479" t="s">
        <v>20</v>
      </c>
      <c r="G2479" t="s">
        <v>21</v>
      </c>
      <c r="H2479" t="str">
        <f>"0096540776"</f>
        <v>0096540776</v>
      </c>
      <c r="I2479" t="str">
        <f>"CINTAS FIRE 636525"</f>
        <v>CINTAS FIRE 636525</v>
      </c>
    </row>
    <row r="2480" spans="1:9" x14ac:dyDescent="0.25">
      <c r="A2480" s="6">
        <v>43551</v>
      </c>
      <c r="B2480" t="s">
        <v>26</v>
      </c>
      <c r="C2480">
        <v>60499</v>
      </c>
      <c r="D2480" t="s">
        <v>128</v>
      </c>
      <c r="E2480" s="7">
        <v>189.29</v>
      </c>
      <c r="F2480" t="s">
        <v>20</v>
      </c>
      <c r="G2480" t="s">
        <v>21</v>
      </c>
      <c r="H2480" t="str">
        <f>"GFOAT EXAM"</f>
        <v>GFOAT EXAM</v>
      </c>
      <c r="I2480" t="str">
        <f>"HELEN S. MARTINEZ"</f>
        <v>HELEN S. MARTINEZ</v>
      </c>
    </row>
    <row r="2481" spans="1:9" x14ac:dyDescent="0.25">
      <c r="A2481" s="6">
        <v>43551</v>
      </c>
      <c r="B2481" t="s">
        <v>26</v>
      </c>
      <c r="C2481">
        <v>60499</v>
      </c>
      <c r="D2481" t="s">
        <v>128</v>
      </c>
      <c r="E2481" s="7">
        <v>189.29</v>
      </c>
      <c r="F2481" t="s">
        <v>20</v>
      </c>
      <c r="G2481" t="s">
        <v>21</v>
      </c>
      <c r="H2481" t="str">
        <f>"GFOAT LUNCH"</f>
        <v>GFOAT LUNCH</v>
      </c>
      <c r="I2481" t="str">
        <f>"HELEN S. MARTINEZ"</f>
        <v>HELEN S. MARTINEZ</v>
      </c>
    </row>
    <row r="2482" spans="1:9" x14ac:dyDescent="0.25">
      <c r="A2482" s="6">
        <v>43551</v>
      </c>
      <c r="B2482" t="s">
        <v>26</v>
      </c>
      <c r="C2482">
        <v>60500</v>
      </c>
      <c r="D2482" t="s">
        <v>81</v>
      </c>
      <c r="E2482" s="7">
        <v>337.93</v>
      </c>
      <c r="F2482" t="s">
        <v>20</v>
      </c>
      <c r="G2482" t="s">
        <v>21</v>
      </c>
      <c r="H2482" t="str">
        <f>"A.MARTINEZ 3/25/19"</f>
        <v>A.MARTINEZ 3/25/19</v>
      </c>
      <c r="I2482" t="str">
        <f>"CITY OF FLORESVILLE -PETTY CAS"</f>
        <v>CITY OF FLORESVILLE -PETTY CAS</v>
      </c>
    </row>
    <row r="2483" spans="1:9" x14ac:dyDescent="0.25">
      <c r="A2483" s="6">
        <v>43551</v>
      </c>
      <c r="B2483" t="s">
        <v>26</v>
      </c>
      <c r="C2483">
        <v>60500</v>
      </c>
      <c r="D2483" t="s">
        <v>81</v>
      </c>
      <c r="E2483" s="7">
        <v>337.93</v>
      </c>
      <c r="F2483" t="s">
        <v>20</v>
      </c>
      <c r="G2483" t="s">
        <v>21</v>
      </c>
      <c r="H2483" t="str">
        <f>"B.CANTU 3/25/19"</f>
        <v>B.CANTU 3/25/19</v>
      </c>
      <c r="I2483" t="str">
        <f>"CITY OF FLORESVILLE -PETTY CAS"</f>
        <v>CITY OF FLORESVILLE -PETTY CAS</v>
      </c>
    </row>
    <row r="2484" spans="1:9" x14ac:dyDescent="0.25">
      <c r="A2484" s="6">
        <v>43551</v>
      </c>
      <c r="B2484" t="s">
        <v>26</v>
      </c>
      <c r="C2484">
        <v>60501</v>
      </c>
      <c r="D2484" t="s">
        <v>82</v>
      </c>
      <c r="E2484" s="7">
        <v>153.88999999999999</v>
      </c>
      <c r="F2484" t="s">
        <v>20</v>
      </c>
      <c r="G2484" t="s">
        <v>21</v>
      </c>
      <c r="H2484" t="str">
        <f>"SI-1033952"</f>
        <v>SI-1033952</v>
      </c>
      <c r="I2484" t="str">
        <f>"SOFTWARE FOR COMPUTER"</f>
        <v>SOFTWARE FOR COMPUTER</v>
      </c>
    </row>
    <row r="2485" spans="1:9" x14ac:dyDescent="0.25">
      <c r="A2485" s="6">
        <v>43551</v>
      </c>
      <c r="B2485" t="s">
        <v>26</v>
      </c>
      <c r="C2485">
        <v>60502</v>
      </c>
      <c r="D2485" t="s">
        <v>85</v>
      </c>
      <c r="E2485" s="7">
        <v>3180.88</v>
      </c>
      <c r="F2485" t="s">
        <v>20</v>
      </c>
      <c r="G2485" t="s">
        <v>21</v>
      </c>
      <c r="H2485" t="str">
        <f>"3932056 4/19"</f>
        <v>3932056 4/19</v>
      </c>
      <c r="I2485" t="str">
        <f t="shared" ref="I2485:I2490" si="44">"FRONTIER"</f>
        <v>FRONTIER</v>
      </c>
    </row>
    <row r="2486" spans="1:9" x14ac:dyDescent="0.25">
      <c r="A2486" s="6">
        <v>43551</v>
      </c>
      <c r="B2486" t="s">
        <v>26</v>
      </c>
      <c r="C2486">
        <v>60502</v>
      </c>
      <c r="D2486" t="s">
        <v>85</v>
      </c>
      <c r="E2486" s="7">
        <v>3180.88</v>
      </c>
      <c r="F2486" t="s">
        <v>20</v>
      </c>
      <c r="G2486" t="s">
        <v>21</v>
      </c>
      <c r="H2486" t="str">
        <f>"3933105 4/19"</f>
        <v>3933105 4/19</v>
      </c>
      <c r="I2486" t="str">
        <f t="shared" si="44"/>
        <v>FRONTIER</v>
      </c>
    </row>
    <row r="2487" spans="1:9" x14ac:dyDescent="0.25">
      <c r="A2487" s="6">
        <v>43551</v>
      </c>
      <c r="B2487" t="s">
        <v>26</v>
      </c>
      <c r="C2487">
        <v>60502</v>
      </c>
      <c r="D2487" t="s">
        <v>85</v>
      </c>
      <c r="E2487" s="7">
        <v>3180.88</v>
      </c>
      <c r="F2487" t="s">
        <v>20</v>
      </c>
      <c r="G2487" t="s">
        <v>21</v>
      </c>
      <c r="H2487" t="str">
        <f>"3933186 4/19"</f>
        <v>3933186 4/19</v>
      </c>
      <c r="I2487" t="str">
        <f t="shared" si="44"/>
        <v>FRONTIER</v>
      </c>
    </row>
    <row r="2488" spans="1:9" x14ac:dyDescent="0.25">
      <c r="A2488" s="6">
        <v>43551</v>
      </c>
      <c r="B2488" t="s">
        <v>26</v>
      </c>
      <c r="C2488">
        <v>60502</v>
      </c>
      <c r="D2488" t="s">
        <v>85</v>
      </c>
      <c r="E2488" s="7">
        <v>3180.88</v>
      </c>
      <c r="F2488" t="s">
        <v>20</v>
      </c>
      <c r="G2488" t="s">
        <v>21</v>
      </c>
      <c r="H2488" t="str">
        <f>"3936616 4/19"</f>
        <v>3936616 4/19</v>
      </c>
      <c r="I2488" t="str">
        <f t="shared" si="44"/>
        <v>FRONTIER</v>
      </c>
    </row>
    <row r="2489" spans="1:9" x14ac:dyDescent="0.25">
      <c r="A2489" s="6">
        <v>43551</v>
      </c>
      <c r="B2489" t="s">
        <v>26</v>
      </c>
      <c r="C2489">
        <v>60502</v>
      </c>
      <c r="D2489" t="s">
        <v>85</v>
      </c>
      <c r="E2489" s="7">
        <v>3180.88</v>
      </c>
      <c r="F2489" t="s">
        <v>20</v>
      </c>
      <c r="G2489" t="s">
        <v>21</v>
      </c>
      <c r="H2489" t="str">
        <f>"3939456 4/19"</f>
        <v>3939456 4/19</v>
      </c>
      <c r="I2489" t="str">
        <f t="shared" si="44"/>
        <v>FRONTIER</v>
      </c>
    </row>
    <row r="2490" spans="1:9" x14ac:dyDescent="0.25">
      <c r="A2490" s="6">
        <v>43551</v>
      </c>
      <c r="B2490" t="s">
        <v>26</v>
      </c>
      <c r="C2490">
        <v>60502</v>
      </c>
      <c r="D2490" t="s">
        <v>85</v>
      </c>
      <c r="E2490" s="7">
        <v>3180.88</v>
      </c>
      <c r="F2490" t="s">
        <v>20</v>
      </c>
      <c r="G2490" t="s">
        <v>21</v>
      </c>
      <c r="H2490" t="str">
        <f>"8301970024 4/19"</f>
        <v>8301970024 4/19</v>
      </c>
      <c r="I2490" t="str">
        <f t="shared" si="44"/>
        <v>FRONTIER</v>
      </c>
    </row>
    <row r="2491" spans="1:9" x14ac:dyDescent="0.25">
      <c r="A2491" s="6">
        <v>43551</v>
      </c>
      <c r="B2491" t="s">
        <v>26</v>
      </c>
      <c r="C2491">
        <v>60503</v>
      </c>
      <c r="D2491" t="s">
        <v>275</v>
      </c>
      <c r="E2491" s="7">
        <v>445</v>
      </c>
      <c r="F2491" t="s">
        <v>20</v>
      </c>
      <c r="G2491" t="s">
        <v>21</v>
      </c>
      <c r="H2491" t="str">
        <f>"42252"</f>
        <v>42252</v>
      </c>
      <c r="I2491" t="str">
        <f>"CORTEZ LIQUID WASTE SERVICES"</f>
        <v>CORTEZ LIQUID WASTE SERVICES</v>
      </c>
    </row>
    <row r="2492" spans="1:9" x14ac:dyDescent="0.25">
      <c r="A2492" s="6">
        <v>43551</v>
      </c>
      <c r="B2492" t="s">
        <v>26</v>
      </c>
      <c r="C2492">
        <v>60504</v>
      </c>
      <c r="D2492" t="s">
        <v>47</v>
      </c>
      <c r="E2492" s="7">
        <v>164596.63</v>
      </c>
      <c r="F2492" t="s">
        <v>20</v>
      </c>
      <c r="G2492" t="s">
        <v>21</v>
      </c>
      <c r="H2492" t="str">
        <f>"COFEP3202019"</f>
        <v>COFEP3202019</v>
      </c>
      <c r="I2492" t="str">
        <f>"HEARTLAND PARK &amp; RECREATION  L"</f>
        <v>HEARTLAND PARK &amp; RECREATION  L</v>
      </c>
    </row>
    <row r="2493" spans="1:9" x14ac:dyDescent="0.25">
      <c r="A2493" s="6">
        <v>43551</v>
      </c>
      <c r="B2493" t="s">
        <v>26</v>
      </c>
      <c r="C2493">
        <v>60505</v>
      </c>
      <c r="D2493" t="s">
        <v>370</v>
      </c>
      <c r="E2493" s="7">
        <v>500</v>
      </c>
      <c r="F2493" t="s">
        <v>20</v>
      </c>
      <c r="G2493" t="s">
        <v>21</v>
      </c>
      <c r="H2493" t="str">
        <f>"CB BREAKFAST 2019"</f>
        <v>CB BREAKFAST 2019</v>
      </c>
      <c r="I2493" t="str">
        <f>"WILSON AREA CHILDREN'S FOUNDAT"</f>
        <v>WILSON AREA CHILDREN'S FOUNDAT</v>
      </c>
    </row>
    <row r="2494" spans="1:9" x14ac:dyDescent="0.25">
      <c r="A2494" s="6">
        <v>43551</v>
      </c>
      <c r="B2494" t="s">
        <v>26</v>
      </c>
      <c r="C2494">
        <v>60506</v>
      </c>
      <c r="D2494" t="s">
        <v>345</v>
      </c>
      <c r="E2494" s="7">
        <v>473</v>
      </c>
      <c r="F2494" t="s">
        <v>20</v>
      </c>
      <c r="G2494" t="s">
        <v>21</v>
      </c>
      <c r="H2494" t="str">
        <f>"3/23/2019"</f>
        <v>3/23/2019</v>
      </c>
      <c r="I2494" t="str">
        <f>"MICHAEL ISAAC MARTINEZ"</f>
        <v>MICHAEL ISAAC MARTINEZ</v>
      </c>
    </row>
    <row r="2495" spans="1:9" x14ac:dyDescent="0.25">
      <c r="A2495" s="6">
        <v>43551</v>
      </c>
      <c r="B2495" t="s">
        <v>26</v>
      </c>
      <c r="C2495">
        <v>60507</v>
      </c>
      <c r="D2495" t="s">
        <v>262</v>
      </c>
      <c r="E2495" s="7">
        <v>3025</v>
      </c>
      <c r="F2495" t="s">
        <v>20</v>
      </c>
      <c r="G2495" t="s">
        <v>21</v>
      </c>
      <c r="H2495" t="str">
        <f>"5"</f>
        <v>5</v>
      </c>
      <c r="I2495" t="str">
        <f>"GRANTWORKS INC"</f>
        <v>GRANTWORKS INC</v>
      </c>
    </row>
    <row r="2496" spans="1:9" x14ac:dyDescent="0.25">
      <c r="A2496" s="6">
        <v>43551</v>
      </c>
      <c r="B2496" t="s">
        <v>26</v>
      </c>
      <c r="C2496">
        <v>60508</v>
      </c>
      <c r="D2496" t="s">
        <v>293</v>
      </c>
      <c r="E2496" s="7">
        <v>16170</v>
      </c>
      <c r="F2496" t="s">
        <v>20</v>
      </c>
      <c r="G2496" t="s">
        <v>21</v>
      </c>
      <c r="H2496" t="str">
        <f>"3819"</f>
        <v>3819</v>
      </c>
      <c r="I2496" t="str">
        <f>"CASTILLON CONSTRUCTION INC"</f>
        <v>CASTILLON CONSTRUCTION INC</v>
      </c>
    </row>
    <row r="2497" spans="1:9" x14ac:dyDescent="0.25">
      <c r="A2497" s="6">
        <v>43551</v>
      </c>
      <c r="B2497" t="s">
        <v>26</v>
      </c>
      <c r="C2497">
        <v>60509</v>
      </c>
      <c r="D2497" t="s">
        <v>346</v>
      </c>
      <c r="E2497" s="7">
        <v>13750</v>
      </c>
      <c r="F2497" t="s">
        <v>20</v>
      </c>
      <c r="G2497" t="s">
        <v>21</v>
      </c>
      <c r="H2497" t="str">
        <f>"2/11-3/11 2019"</f>
        <v>2/11-3/11 2019</v>
      </c>
      <c r="I2497" t="str">
        <f>"SYLVIA RODRIGUEZ"</f>
        <v>SYLVIA RODRIGUEZ</v>
      </c>
    </row>
    <row r="2498" spans="1:9" x14ac:dyDescent="0.25">
      <c r="A2498" s="6">
        <v>43551</v>
      </c>
      <c r="B2498" t="s">
        <v>26</v>
      </c>
      <c r="C2498">
        <v>60510</v>
      </c>
      <c r="D2498" t="s">
        <v>423</v>
      </c>
      <c r="E2498" s="7">
        <v>218</v>
      </c>
      <c r="F2498" t="s">
        <v>20</v>
      </c>
      <c r="G2498" t="s">
        <v>21</v>
      </c>
      <c r="H2498" t="str">
        <f>"03434740 MEM. DUES"</f>
        <v>03434740 MEM. DUES</v>
      </c>
      <c r="I2498" t="str">
        <f>"AMERICAN WATER WORKS ASSOCIATI"</f>
        <v>AMERICAN WATER WORKS ASSOCIATI</v>
      </c>
    </row>
    <row r="2499" spans="1:9" x14ac:dyDescent="0.25">
      <c r="A2499" s="6">
        <v>43551</v>
      </c>
      <c r="B2499" t="s">
        <v>26</v>
      </c>
      <c r="C2499">
        <v>60511</v>
      </c>
      <c r="D2499" t="s">
        <v>644</v>
      </c>
      <c r="E2499" s="7">
        <v>1195.76</v>
      </c>
      <c r="F2499" t="s">
        <v>20</v>
      </c>
      <c r="G2499" t="s">
        <v>21</v>
      </c>
      <c r="H2499" t="str">
        <f>"8213267933"</f>
        <v>8213267933</v>
      </c>
      <c r="I2499" t="str">
        <f t="shared" ref="I2499:I2512" si="45">"UNIFIRST CORPORATION"</f>
        <v>UNIFIRST CORPORATION</v>
      </c>
    </row>
    <row r="2500" spans="1:9" x14ac:dyDescent="0.25">
      <c r="A2500" s="6">
        <v>43551</v>
      </c>
      <c r="B2500" t="s">
        <v>26</v>
      </c>
      <c r="C2500">
        <v>60511</v>
      </c>
      <c r="D2500" t="s">
        <v>644</v>
      </c>
      <c r="E2500" s="7">
        <v>1195.76</v>
      </c>
      <c r="F2500" t="s">
        <v>20</v>
      </c>
      <c r="G2500" t="s">
        <v>21</v>
      </c>
      <c r="H2500" t="str">
        <f>"8213267934"</f>
        <v>8213267934</v>
      </c>
      <c r="I2500" t="str">
        <f t="shared" si="45"/>
        <v>UNIFIRST CORPORATION</v>
      </c>
    </row>
    <row r="2501" spans="1:9" x14ac:dyDescent="0.25">
      <c r="A2501" s="6">
        <v>43551</v>
      </c>
      <c r="B2501" t="s">
        <v>26</v>
      </c>
      <c r="C2501">
        <v>60511</v>
      </c>
      <c r="D2501" t="s">
        <v>644</v>
      </c>
      <c r="E2501" s="7">
        <v>1195.76</v>
      </c>
      <c r="F2501" t="s">
        <v>20</v>
      </c>
      <c r="G2501" t="s">
        <v>21</v>
      </c>
      <c r="H2501" t="str">
        <f>"8213267935"</f>
        <v>8213267935</v>
      </c>
      <c r="I2501" t="str">
        <f t="shared" si="45"/>
        <v>UNIFIRST CORPORATION</v>
      </c>
    </row>
    <row r="2502" spans="1:9" x14ac:dyDescent="0.25">
      <c r="A2502" s="6">
        <v>43551</v>
      </c>
      <c r="B2502" t="s">
        <v>26</v>
      </c>
      <c r="C2502">
        <v>60511</v>
      </c>
      <c r="D2502" t="s">
        <v>644</v>
      </c>
      <c r="E2502" s="7">
        <v>1195.76</v>
      </c>
      <c r="F2502" t="s">
        <v>20</v>
      </c>
      <c r="G2502" t="s">
        <v>21</v>
      </c>
      <c r="H2502" t="str">
        <f>"8213267936"</f>
        <v>8213267936</v>
      </c>
      <c r="I2502" t="str">
        <f t="shared" si="45"/>
        <v>UNIFIRST CORPORATION</v>
      </c>
    </row>
    <row r="2503" spans="1:9" x14ac:dyDescent="0.25">
      <c r="A2503" s="6">
        <v>43551</v>
      </c>
      <c r="B2503" t="s">
        <v>26</v>
      </c>
      <c r="C2503">
        <v>60511</v>
      </c>
      <c r="D2503" t="s">
        <v>644</v>
      </c>
      <c r="E2503" s="7">
        <v>1195.76</v>
      </c>
      <c r="F2503" t="s">
        <v>20</v>
      </c>
      <c r="G2503" t="s">
        <v>21</v>
      </c>
      <c r="H2503" t="str">
        <f>"8213267937"</f>
        <v>8213267937</v>
      </c>
      <c r="I2503" t="str">
        <f t="shared" si="45"/>
        <v>UNIFIRST CORPORATION</v>
      </c>
    </row>
    <row r="2504" spans="1:9" x14ac:dyDescent="0.25">
      <c r="A2504" s="6">
        <v>43551</v>
      </c>
      <c r="B2504" t="s">
        <v>26</v>
      </c>
      <c r="C2504">
        <v>60511</v>
      </c>
      <c r="D2504" t="s">
        <v>644</v>
      </c>
      <c r="E2504" s="7">
        <v>1195.76</v>
      </c>
      <c r="F2504" t="s">
        <v>20</v>
      </c>
      <c r="G2504" t="s">
        <v>21</v>
      </c>
      <c r="H2504" t="str">
        <f>"8213270779"</f>
        <v>8213270779</v>
      </c>
      <c r="I2504" t="str">
        <f t="shared" si="45"/>
        <v>UNIFIRST CORPORATION</v>
      </c>
    </row>
    <row r="2505" spans="1:9" x14ac:dyDescent="0.25">
      <c r="A2505" s="6">
        <v>43551</v>
      </c>
      <c r="B2505" t="s">
        <v>26</v>
      </c>
      <c r="C2505">
        <v>60511</v>
      </c>
      <c r="D2505" t="s">
        <v>644</v>
      </c>
      <c r="E2505" s="7">
        <v>1195.76</v>
      </c>
      <c r="F2505" t="s">
        <v>20</v>
      </c>
      <c r="G2505" t="s">
        <v>21</v>
      </c>
      <c r="H2505" t="str">
        <f>"8213292658"</f>
        <v>8213292658</v>
      </c>
      <c r="I2505" t="str">
        <f t="shared" si="45"/>
        <v>UNIFIRST CORPORATION</v>
      </c>
    </row>
    <row r="2506" spans="1:9" x14ac:dyDescent="0.25">
      <c r="A2506" s="6">
        <v>43551</v>
      </c>
      <c r="B2506" t="s">
        <v>26</v>
      </c>
      <c r="C2506">
        <v>60511</v>
      </c>
      <c r="D2506" t="s">
        <v>644</v>
      </c>
      <c r="E2506" s="7">
        <v>1195.76</v>
      </c>
      <c r="F2506" t="s">
        <v>20</v>
      </c>
      <c r="G2506" t="s">
        <v>21</v>
      </c>
      <c r="H2506" t="str">
        <f>"8213295434"</f>
        <v>8213295434</v>
      </c>
      <c r="I2506" t="str">
        <f t="shared" si="45"/>
        <v>UNIFIRST CORPORATION</v>
      </c>
    </row>
    <row r="2507" spans="1:9" x14ac:dyDescent="0.25">
      <c r="A2507" s="6">
        <v>43551</v>
      </c>
      <c r="B2507" t="s">
        <v>26</v>
      </c>
      <c r="C2507">
        <v>60511</v>
      </c>
      <c r="D2507" t="s">
        <v>644</v>
      </c>
      <c r="E2507" s="7">
        <v>1195.76</v>
      </c>
      <c r="F2507" t="s">
        <v>20</v>
      </c>
      <c r="G2507" t="s">
        <v>21</v>
      </c>
      <c r="H2507" t="str">
        <f>"8213295435"</f>
        <v>8213295435</v>
      </c>
      <c r="I2507" t="str">
        <f t="shared" si="45"/>
        <v>UNIFIRST CORPORATION</v>
      </c>
    </row>
    <row r="2508" spans="1:9" x14ac:dyDescent="0.25">
      <c r="A2508" s="6">
        <v>43551</v>
      </c>
      <c r="B2508" t="s">
        <v>26</v>
      </c>
      <c r="C2508">
        <v>60511</v>
      </c>
      <c r="D2508" t="s">
        <v>644</v>
      </c>
      <c r="E2508" s="7">
        <v>1195.76</v>
      </c>
      <c r="F2508" t="s">
        <v>20</v>
      </c>
      <c r="G2508" t="s">
        <v>21</v>
      </c>
      <c r="H2508" t="str">
        <f>"8213295436"</f>
        <v>8213295436</v>
      </c>
      <c r="I2508" t="str">
        <f t="shared" si="45"/>
        <v>UNIFIRST CORPORATION</v>
      </c>
    </row>
    <row r="2509" spans="1:9" x14ac:dyDescent="0.25">
      <c r="A2509" s="6">
        <v>43551</v>
      </c>
      <c r="B2509" t="s">
        <v>26</v>
      </c>
      <c r="C2509">
        <v>60511</v>
      </c>
      <c r="D2509" t="s">
        <v>644</v>
      </c>
      <c r="E2509" s="7">
        <v>1195.76</v>
      </c>
      <c r="F2509" t="s">
        <v>20</v>
      </c>
      <c r="G2509" t="s">
        <v>21</v>
      </c>
      <c r="H2509" t="str">
        <f>"8213295437"</f>
        <v>8213295437</v>
      </c>
      <c r="I2509" t="str">
        <f t="shared" si="45"/>
        <v>UNIFIRST CORPORATION</v>
      </c>
    </row>
    <row r="2510" spans="1:9" x14ac:dyDescent="0.25">
      <c r="A2510" s="6">
        <v>43551</v>
      </c>
      <c r="B2510" t="s">
        <v>26</v>
      </c>
      <c r="C2510">
        <v>60511</v>
      </c>
      <c r="D2510" t="s">
        <v>644</v>
      </c>
      <c r="E2510" s="7">
        <v>1195.76</v>
      </c>
      <c r="F2510" t="s">
        <v>20</v>
      </c>
      <c r="G2510" t="s">
        <v>21</v>
      </c>
      <c r="H2510" t="str">
        <f>"8213295438"</f>
        <v>8213295438</v>
      </c>
      <c r="I2510" t="str">
        <f t="shared" si="45"/>
        <v>UNIFIRST CORPORATION</v>
      </c>
    </row>
    <row r="2511" spans="1:9" x14ac:dyDescent="0.25">
      <c r="A2511" s="6">
        <v>43551</v>
      </c>
      <c r="B2511" t="s">
        <v>26</v>
      </c>
      <c r="C2511">
        <v>60511</v>
      </c>
      <c r="D2511" t="s">
        <v>644</v>
      </c>
      <c r="E2511" s="7">
        <v>1195.76</v>
      </c>
      <c r="F2511" t="s">
        <v>20</v>
      </c>
      <c r="G2511" t="s">
        <v>21</v>
      </c>
      <c r="H2511" t="str">
        <f>"8213295439"</f>
        <v>8213295439</v>
      </c>
      <c r="I2511" t="str">
        <f t="shared" si="45"/>
        <v>UNIFIRST CORPORATION</v>
      </c>
    </row>
    <row r="2512" spans="1:9" x14ac:dyDescent="0.25">
      <c r="A2512" s="6">
        <v>43551</v>
      </c>
      <c r="B2512" t="s">
        <v>26</v>
      </c>
      <c r="C2512">
        <v>60511</v>
      </c>
      <c r="D2512" t="s">
        <v>644</v>
      </c>
      <c r="E2512" s="7">
        <v>1195.76</v>
      </c>
      <c r="F2512" t="s">
        <v>20</v>
      </c>
      <c r="G2512" t="s">
        <v>21</v>
      </c>
      <c r="H2512" t="str">
        <f>"8213295440"</f>
        <v>8213295440</v>
      </c>
      <c r="I2512" t="str">
        <f t="shared" si="45"/>
        <v>UNIFIRST CORPORATION</v>
      </c>
    </row>
    <row r="2513" spans="1:9" x14ac:dyDescent="0.25">
      <c r="A2513" s="6">
        <v>43551</v>
      </c>
      <c r="B2513" t="s">
        <v>26</v>
      </c>
      <c r="C2513">
        <v>60514</v>
      </c>
      <c r="D2513" t="s">
        <v>679</v>
      </c>
      <c r="E2513" s="7">
        <v>3167.5</v>
      </c>
      <c r="F2513" t="s">
        <v>20</v>
      </c>
      <c r="G2513" t="s">
        <v>21</v>
      </c>
      <c r="H2513" t="str">
        <f>"38933"</f>
        <v>38933</v>
      </c>
      <c r="I2513" t="str">
        <f>"RECORDS CONSULTANTS  INC"</f>
        <v>RECORDS CONSULTANTS  INC</v>
      </c>
    </row>
    <row r="2514" spans="1:9" x14ac:dyDescent="0.25">
      <c r="A2514" s="6">
        <v>43551</v>
      </c>
      <c r="B2514" t="s">
        <v>26</v>
      </c>
      <c r="C2514">
        <v>60515</v>
      </c>
      <c r="D2514" t="s">
        <v>691</v>
      </c>
      <c r="E2514" s="7">
        <v>25</v>
      </c>
      <c r="F2514" t="s">
        <v>20</v>
      </c>
      <c r="G2514" t="s">
        <v>21</v>
      </c>
      <c r="H2514" t="str">
        <f>"LAS CERT 4/2019"</f>
        <v>LAS CERT 4/2019</v>
      </c>
      <c r="I2514" t="str">
        <f>"TEXAS WATER UTILITIES ASSOCIAT"</f>
        <v>TEXAS WATER UTILITIES ASSOCIAT</v>
      </c>
    </row>
    <row r="2515" spans="1:9" x14ac:dyDescent="0.25">
      <c r="A2515" s="6">
        <v>43553</v>
      </c>
      <c r="B2515" t="s">
        <v>26</v>
      </c>
      <c r="C2515">
        <v>60516</v>
      </c>
      <c r="D2515" t="s">
        <v>215</v>
      </c>
      <c r="E2515" s="7">
        <v>35859.4</v>
      </c>
      <c r="F2515" t="s">
        <v>20</v>
      </c>
      <c r="G2515" t="s">
        <v>21</v>
      </c>
      <c r="H2515" t="str">
        <f>"585597"</f>
        <v>585597</v>
      </c>
      <c r="I2515" t="str">
        <f>"PUMP UNIT"</f>
        <v>PUMP UNIT</v>
      </c>
    </row>
    <row r="2516" spans="1:9" x14ac:dyDescent="0.25">
      <c r="A2516" s="6">
        <v>43556</v>
      </c>
      <c r="B2516" t="s">
        <v>26</v>
      </c>
      <c r="C2516">
        <v>60517</v>
      </c>
      <c r="D2516" t="s">
        <v>660</v>
      </c>
      <c r="E2516" s="7">
        <v>250</v>
      </c>
      <c r="F2516" t="s">
        <v>20</v>
      </c>
      <c r="G2516" t="s">
        <v>21</v>
      </c>
      <c r="H2516" t="str">
        <f>"3/20/2019"</f>
        <v>3/20/2019</v>
      </c>
      <c r="I2516" t="str">
        <f>"STEVE GUERRERO"</f>
        <v>STEVE GUERRERO</v>
      </c>
    </row>
    <row r="2517" spans="1:9" x14ac:dyDescent="0.25">
      <c r="A2517" s="6">
        <v>43556</v>
      </c>
      <c r="B2517" t="s">
        <v>26</v>
      </c>
      <c r="C2517">
        <v>60518</v>
      </c>
      <c r="D2517" t="s">
        <v>90</v>
      </c>
      <c r="E2517" s="7">
        <v>2169.6</v>
      </c>
      <c r="F2517" t="s">
        <v>20</v>
      </c>
      <c r="G2517" t="s">
        <v>329</v>
      </c>
      <c r="H2517" t="str">
        <f>"4/1/2019"</f>
        <v>4/1/2019</v>
      </c>
      <c r="I2517" t="str">
        <f>"AFLAC"</f>
        <v>AFLAC</v>
      </c>
    </row>
    <row r="2518" spans="1:9" x14ac:dyDescent="0.25">
      <c r="A2518" s="6">
        <v>43556</v>
      </c>
      <c r="B2518" t="s">
        <v>26</v>
      </c>
      <c r="C2518">
        <v>60518</v>
      </c>
      <c r="D2518" t="s">
        <v>90</v>
      </c>
      <c r="E2518" s="7">
        <v>2169.6</v>
      </c>
      <c r="F2518" t="s">
        <v>20</v>
      </c>
      <c r="G2518" t="s">
        <v>21</v>
      </c>
      <c r="H2518" t="str">
        <f>"ACA201903138510"</f>
        <v>ACA201903138510</v>
      </c>
      <c r="I2518" t="str">
        <f>"AFLAC INSURANCE"</f>
        <v>AFLAC INSURANCE</v>
      </c>
    </row>
    <row r="2519" spans="1:9" x14ac:dyDescent="0.25">
      <c r="A2519" s="6">
        <v>43556</v>
      </c>
      <c r="B2519" t="s">
        <v>26</v>
      </c>
      <c r="C2519">
        <v>60518</v>
      </c>
      <c r="D2519" t="s">
        <v>90</v>
      </c>
      <c r="E2519" s="7">
        <v>2169.6</v>
      </c>
      <c r="F2519" t="s">
        <v>20</v>
      </c>
      <c r="G2519" t="s">
        <v>21</v>
      </c>
      <c r="H2519" t="str">
        <f>"AD2201903138510"</f>
        <v>AD2201903138510</v>
      </c>
      <c r="I2519" t="str">
        <f>"AFLAC INSURANCE"</f>
        <v>AFLAC INSURANCE</v>
      </c>
    </row>
    <row r="2520" spans="1:9" x14ac:dyDescent="0.25">
      <c r="A2520" s="6">
        <v>43556</v>
      </c>
      <c r="B2520" t="s">
        <v>26</v>
      </c>
      <c r="C2520">
        <v>60518</v>
      </c>
      <c r="D2520" t="s">
        <v>90</v>
      </c>
      <c r="E2520" s="7">
        <v>2169.6</v>
      </c>
      <c r="F2520" t="s">
        <v>20</v>
      </c>
      <c r="G2520" t="s">
        <v>21</v>
      </c>
      <c r="H2520" t="str">
        <f>"ADR201903138510"</f>
        <v>ADR201903138510</v>
      </c>
      <c r="I2520" t="str">
        <f>"INSURANCE"</f>
        <v>INSURANCE</v>
      </c>
    </row>
    <row r="2521" spans="1:9" x14ac:dyDescent="0.25">
      <c r="A2521" s="6">
        <v>43556</v>
      </c>
      <c r="B2521" t="s">
        <v>26</v>
      </c>
      <c r="C2521">
        <v>60518</v>
      </c>
      <c r="D2521" t="s">
        <v>90</v>
      </c>
      <c r="E2521" s="7">
        <v>2169.6</v>
      </c>
      <c r="F2521" t="s">
        <v>20</v>
      </c>
      <c r="G2521" t="s">
        <v>21</v>
      </c>
      <c r="H2521" t="str">
        <f>"AF1201903138510"</f>
        <v>AF1201903138510</v>
      </c>
      <c r="I2521" t="str">
        <f>"AFLAC INSURANCE"</f>
        <v>AFLAC INSURANCE</v>
      </c>
    </row>
    <row r="2522" spans="1:9" x14ac:dyDescent="0.25">
      <c r="A2522" s="6">
        <v>43556</v>
      </c>
      <c r="B2522" t="s">
        <v>26</v>
      </c>
      <c r="C2522">
        <v>60518</v>
      </c>
      <c r="D2522" t="s">
        <v>90</v>
      </c>
      <c r="E2522" s="7">
        <v>2169.6</v>
      </c>
      <c r="F2522" t="s">
        <v>20</v>
      </c>
      <c r="G2522" t="s">
        <v>21</v>
      </c>
      <c r="H2522" t="str">
        <f>"ASP201903138510"</f>
        <v>ASP201903138510</v>
      </c>
      <c r="I2522" t="str">
        <f>"AFLAC INSURANCE"</f>
        <v>AFLAC INSURANCE</v>
      </c>
    </row>
    <row r="2523" spans="1:9" x14ac:dyDescent="0.25">
      <c r="A2523" s="6">
        <v>43556</v>
      </c>
      <c r="B2523" t="s">
        <v>26</v>
      </c>
      <c r="C2523">
        <v>60518</v>
      </c>
      <c r="D2523" t="s">
        <v>90</v>
      </c>
      <c r="E2523" s="7">
        <v>2169.6</v>
      </c>
      <c r="F2523" t="s">
        <v>20</v>
      </c>
      <c r="G2523" t="s">
        <v>21</v>
      </c>
      <c r="H2523" t="str">
        <f>"HCO201903138510"</f>
        <v>HCO201903138510</v>
      </c>
      <c r="I2523" t="str">
        <f>"AFLAC INSURANCE"</f>
        <v>AFLAC INSURANCE</v>
      </c>
    </row>
    <row r="2524" spans="1:9" x14ac:dyDescent="0.25">
      <c r="A2524" s="6">
        <v>43556</v>
      </c>
      <c r="B2524" t="s">
        <v>26</v>
      </c>
      <c r="C2524">
        <v>60521</v>
      </c>
      <c r="D2524" t="s">
        <v>95</v>
      </c>
      <c r="E2524" s="7">
        <v>64.959999999999994</v>
      </c>
      <c r="F2524" t="s">
        <v>20</v>
      </c>
      <c r="G2524" t="s">
        <v>329</v>
      </c>
      <c r="H2524" t="str">
        <f>"4/1/2019"</f>
        <v>4/1/2019</v>
      </c>
      <c r="I2524" t="str">
        <f>"LEGAL PLANS"</f>
        <v>LEGAL PLANS</v>
      </c>
    </row>
    <row r="2525" spans="1:9" x14ac:dyDescent="0.25">
      <c r="A2525" s="6">
        <v>43556</v>
      </c>
      <c r="B2525" t="s">
        <v>26</v>
      </c>
      <c r="C2525">
        <v>60521</v>
      </c>
      <c r="D2525" t="s">
        <v>95</v>
      </c>
      <c r="E2525" s="7">
        <v>64.959999999999994</v>
      </c>
      <c r="F2525" t="s">
        <v>20</v>
      </c>
      <c r="G2525" t="s">
        <v>21</v>
      </c>
      <c r="H2525" t="str">
        <f>"LEA201903138510"</f>
        <v>LEA201903138510</v>
      </c>
      <c r="I2525" t="str">
        <f>"INSURANCE"</f>
        <v>INSURANCE</v>
      </c>
    </row>
    <row r="2526" spans="1:9" x14ac:dyDescent="0.25">
      <c r="A2526" s="6">
        <v>43556</v>
      </c>
      <c r="B2526" t="s">
        <v>26</v>
      </c>
      <c r="C2526">
        <v>60522</v>
      </c>
      <c r="D2526" t="s">
        <v>96</v>
      </c>
      <c r="E2526" s="7">
        <v>426.4</v>
      </c>
      <c r="F2526" t="s">
        <v>20</v>
      </c>
      <c r="G2526" t="s">
        <v>329</v>
      </c>
      <c r="H2526" t="str">
        <f>"4/1/2019"</f>
        <v>4/1/2019</v>
      </c>
      <c r="I2526" t="str">
        <f>"LEGALSHIELD"</f>
        <v>LEGALSHIELD</v>
      </c>
    </row>
    <row r="2527" spans="1:9" x14ac:dyDescent="0.25">
      <c r="A2527" s="6">
        <v>43556</v>
      </c>
      <c r="B2527" t="s">
        <v>26</v>
      </c>
      <c r="C2527">
        <v>60522</v>
      </c>
      <c r="D2527" t="s">
        <v>96</v>
      </c>
      <c r="E2527" s="7">
        <v>426.4</v>
      </c>
      <c r="F2527" t="s">
        <v>20</v>
      </c>
      <c r="G2527" t="s">
        <v>21</v>
      </c>
      <c r="H2527" t="str">
        <f>"PPL201903138510"</f>
        <v>PPL201903138510</v>
      </c>
      <c r="I2527" t="str">
        <f>"INSURANCE"</f>
        <v>INSURANCE</v>
      </c>
    </row>
    <row r="2528" spans="1:9" x14ac:dyDescent="0.25">
      <c r="A2528" s="6">
        <v>43556</v>
      </c>
      <c r="B2528" t="s">
        <v>26</v>
      </c>
      <c r="C2528">
        <v>60523</v>
      </c>
      <c r="D2528" t="s">
        <v>97</v>
      </c>
      <c r="E2528" s="7">
        <v>45266.76</v>
      </c>
      <c r="F2528" t="s">
        <v>20</v>
      </c>
      <c r="G2528" t="s">
        <v>329</v>
      </c>
      <c r="H2528" t="str">
        <f>"4/1/19"</f>
        <v>4/1/19</v>
      </c>
      <c r="I2528" t="str">
        <f>"HEALTH CARE SERVICE CORPORATIO"</f>
        <v>HEALTH CARE SERVICE CORPORATIO</v>
      </c>
    </row>
    <row r="2529" spans="1:9" x14ac:dyDescent="0.25">
      <c r="A2529" s="6">
        <v>43556</v>
      </c>
      <c r="B2529" t="s">
        <v>26</v>
      </c>
      <c r="C2529">
        <v>60523</v>
      </c>
      <c r="D2529" t="s">
        <v>97</v>
      </c>
      <c r="E2529" s="7">
        <v>45266.76</v>
      </c>
      <c r="F2529" t="s">
        <v>20</v>
      </c>
      <c r="G2529" t="s">
        <v>21</v>
      </c>
      <c r="H2529" t="str">
        <f>"DEN201903138510"</f>
        <v>DEN201903138510</v>
      </c>
      <c r="I2529" t="str">
        <f>"DENTAL INSURANCE"</f>
        <v>DENTAL INSURANCE</v>
      </c>
    </row>
    <row r="2530" spans="1:9" x14ac:dyDescent="0.25">
      <c r="A2530" s="6">
        <v>43556</v>
      </c>
      <c r="B2530" t="s">
        <v>26</v>
      </c>
      <c r="C2530">
        <v>60523</v>
      </c>
      <c r="D2530" t="s">
        <v>97</v>
      </c>
      <c r="E2530" s="7">
        <v>45266.76</v>
      </c>
      <c r="F2530" t="s">
        <v>20</v>
      </c>
      <c r="G2530" t="s">
        <v>21</v>
      </c>
      <c r="H2530" t="str">
        <f>"MED201903138510"</f>
        <v>MED201903138510</v>
      </c>
      <c r="I2530" t="str">
        <f>"HEALTH &amp; DENTAL INSURANCE"</f>
        <v>HEALTH &amp; DENTAL INSURANCE</v>
      </c>
    </row>
    <row r="2531" spans="1:9" x14ac:dyDescent="0.25">
      <c r="A2531" s="6">
        <v>43556</v>
      </c>
      <c r="B2531" t="s">
        <v>26</v>
      </c>
      <c r="C2531">
        <v>60526</v>
      </c>
      <c r="D2531" t="s">
        <v>98</v>
      </c>
      <c r="E2531" s="7">
        <v>4045.79</v>
      </c>
      <c r="F2531" t="s">
        <v>20</v>
      </c>
      <c r="G2531" t="s">
        <v>329</v>
      </c>
      <c r="H2531" t="str">
        <f>"4/1/2019"</f>
        <v>4/1/2019</v>
      </c>
      <c r="I2531" t="str">
        <f>"DEARBORN NATIONAL"</f>
        <v>DEARBORN NATIONAL</v>
      </c>
    </row>
    <row r="2532" spans="1:9" x14ac:dyDescent="0.25">
      <c r="A2532" s="6">
        <v>43556</v>
      </c>
      <c r="B2532" t="s">
        <v>26</v>
      </c>
      <c r="C2532">
        <v>60526</v>
      </c>
      <c r="D2532" t="s">
        <v>98</v>
      </c>
      <c r="E2532" s="7">
        <v>4045.79</v>
      </c>
      <c r="F2532" t="s">
        <v>20</v>
      </c>
      <c r="G2532" t="s">
        <v>21</v>
      </c>
      <c r="H2532" t="str">
        <f>"STD201903138510"</f>
        <v>STD201903138510</v>
      </c>
      <c r="I2532" t="str">
        <f>"SHORT TERM DISABILITY"</f>
        <v>SHORT TERM DISABILITY</v>
      </c>
    </row>
    <row r="2533" spans="1:9" x14ac:dyDescent="0.25">
      <c r="A2533" s="6">
        <v>43556</v>
      </c>
      <c r="B2533" t="s">
        <v>26</v>
      </c>
      <c r="C2533">
        <v>60526</v>
      </c>
      <c r="D2533" t="s">
        <v>98</v>
      </c>
      <c r="E2533" s="7">
        <v>4045.79</v>
      </c>
      <c r="F2533" t="s">
        <v>20</v>
      </c>
      <c r="G2533" t="s">
        <v>21</v>
      </c>
      <c r="H2533" t="str">
        <f>"VIS201903138510"</f>
        <v>VIS201903138510</v>
      </c>
      <c r="I2533" t="str">
        <f>"VISION INSURANCE"</f>
        <v>VISION INSURANCE</v>
      </c>
    </row>
    <row r="2534" spans="1:9" x14ac:dyDescent="0.25">
      <c r="A2534" s="6">
        <v>43556</v>
      </c>
      <c r="B2534" t="s">
        <v>26</v>
      </c>
      <c r="C2534">
        <v>60526</v>
      </c>
      <c r="D2534" t="s">
        <v>98</v>
      </c>
      <c r="E2534" s="7">
        <v>4045.79</v>
      </c>
      <c r="F2534" t="s">
        <v>20</v>
      </c>
      <c r="G2534" t="s">
        <v>21</v>
      </c>
      <c r="H2534" t="str">
        <f>"VLC201903138510"</f>
        <v>VLC201903138510</v>
      </c>
      <c r="I2534" t="str">
        <f>"CHILD LIFE INSURANCE"</f>
        <v>CHILD LIFE INSURANCE</v>
      </c>
    </row>
    <row r="2535" spans="1:9" x14ac:dyDescent="0.25">
      <c r="A2535" s="6">
        <v>43556</v>
      </c>
      <c r="B2535" t="s">
        <v>26</v>
      </c>
      <c r="C2535">
        <v>60526</v>
      </c>
      <c r="D2535" t="s">
        <v>98</v>
      </c>
      <c r="E2535" s="7">
        <v>4045.79</v>
      </c>
      <c r="F2535" t="s">
        <v>20</v>
      </c>
      <c r="G2535" t="s">
        <v>21</v>
      </c>
      <c r="H2535" t="str">
        <f>"VLS201903138510"</f>
        <v>VLS201903138510</v>
      </c>
      <c r="I2535" t="str">
        <f>"SPOUSE LIFE"</f>
        <v>SPOUSE LIFE</v>
      </c>
    </row>
    <row r="2536" spans="1:9" x14ac:dyDescent="0.25">
      <c r="A2536" s="6">
        <v>43556</v>
      </c>
      <c r="B2536" t="s">
        <v>26</v>
      </c>
      <c r="C2536">
        <v>60526</v>
      </c>
      <c r="D2536" t="s">
        <v>98</v>
      </c>
      <c r="E2536" s="7">
        <v>4045.79</v>
      </c>
      <c r="F2536" t="s">
        <v>20</v>
      </c>
      <c r="G2536" t="s">
        <v>21</v>
      </c>
      <c r="H2536" t="str">
        <f>"VOE201903138510"</f>
        <v>VOE201903138510</v>
      </c>
      <c r="I2536" t="str">
        <f>"EMPLOYEE LIFE"</f>
        <v>EMPLOYEE LIFE</v>
      </c>
    </row>
    <row r="2537" spans="1:9" x14ac:dyDescent="0.25">
      <c r="A2537" s="6">
        <v>43556</v>
      </c>
      <c r="B2537" t="s">
        <v>26</v>
      </c>
      <c r="C2537">
        <v>60526</v>
      </c>
      <c r="D2537" t="s">
        <v>98</v>
      </c>
      <c r="E2537" s="7">
        <v>4045.79</v>
      </c>
      <c r="F2537" t="s">
        <v>20</v>
      </c>
      <c r="G2537" t="s">
        <v>21</v>
      </c>
      <c r="H2537" t="str">
        <f>"VOL201903138510"</f>
        <v>VOL201903138510</v>
      </c>
      <c r="I2537" t="str">
        <f>"LIFE"</f>
        <v>LIFE</v>
      </c>
    </row>
    <row r="2538" spans="1:9" x14ac:dyDescent="0.25">
      <c r="A2538" s="6">
        <v>43558</v>
      </c>
      <c r="B2538" t="s">
        <v>26</v>
      </c>
      <c r="C2538">
        <v>60531</v>
      </c>
      <c r="D2538" t="s">
        <v>56</v>
      </c>
      <c r="E2538" s="7">
        <v>137.5</v>
      </c>
      <c r="F2538" t="s">
        <v>20</v>
      </c>
      <c r="G2538" t="s">
        <v>21</v>
      </c>
      <c r="H2538" t="str">
        <f>"173510"</f>
        <v>173510</v>
      </c>
      <c r="I2538" t="str">
        <f>"GRASS SEED/WEED KILLER"</f>
        <v>GRASS SEED/WEED KILLER</v>
      </c>
    </row>
    <row r="2539" spans="1:9" x14ac:dyDescent="0.25">
      <c r="A2539" s="6">
        <v>43558</v>
      </c>
      <c r="B2539" t="s">
        <v>26</v>
      </c>
      <c r="C2539">
        <v>60532</v>
      </c>
      <c r="D2539" t="s">
        <v>143</v>
      </c>
      <c r="E2539" s="7">
        <v>515.25</v>
      </c>
      <c r="F2539" t="s">
        <v>20</v>
      </c>
      <c r="G2539" t="s">
        <v>21</v>
      </c>
      <c r="H2539" t="str">
        <f>"9402012355"</f>
        <v>9402012355</v>
      </c>
      <c r="I2539" t="str">
        <f>"OIL"</f>
        <v>OIL</v>
      </c>
    </row>
    <row r="2540" spans="1:9" x14ac:dyDescent="0.25">
      <c r="A2540" s="6">
        <v>43558</v>
      </c>
      <c r="B2540" t="s">
        <v>26</v>
      </c>
      <c r="C2540">
        <v>60533</v>
      </c>
      <c r="D2540" t="s">
        <v>104</v>
      </c>
      <c r="E2540" s="7">
        <v>344.4</v>
      </c>
      <c r="F2540" t="s">
        <v>20</v>
      </c>
      <c r="G2540" t="s">
        <v>21</v>
      </c>
      <c r="H2540" t="str">
        <f>"5026984204"</f>
        <v>5026984204</v>
      </c>
      <c r="I2540" t="str">
        <f>"ENVELOPES"</f>
        <v>ENVELOPES</v>
      </c>
    </row>
    <row r="2541" spans="1:9" x14ac:dyDescent="0.25">
      <c r="A2541" s="6">
        <v>43558</v>
      </c>
      <c r="B2541" t="s">
        <v>26</v>
      </c>
      <c r="C2541">
        <v>60534</v>
      </c>
      <c r="D2541" t="s">
        <v>59</v>
      </c>
      <c r="E2541" s="7">
        <v>19916.39</v>
      </c>
      <c r="F2541" t="s">
        <v>20</v>
      </c>
      <c r="G2541" t="s">
        <v>21</v>
      </c>
      <c r="H2541" t="str">
        <f>"1003162-1"</f>
        <v>1003162-1</v>
      </c>
      <c r="I2541" t="str">
        <f>"TOOLS"</f>
        <v>TOOLS</v>
      </c>
    </row>
    <row r="2542" spans="1:9" x14ac:dyDescent="0.25">
      <c r="A2542" s="6">
        <v>43558</v>
      </c>
      <c r="B2542" t="s">
        <v>26</v>
      </c>
      <c r="C2542">
        <v>60534</v>
      </c>
      <c r="D2542" t="s">
        <v>59</v>
      </c>
      <c r="E2542" s="7">
        <v>19916.39</v>
      </c>
      <c r="F2542" t="s">
        <v>20</v>
      </c>
      <c r="G2542" t="s">
        <v>21</v>
      </c>
      <c r="H2542" t="str">
        <f>"1005094-1"</f>
        <v>1005094-1</v>
      </c>
      <c r="I2542" t="str">
        <f>"PIPES AND CONNECTIONS"</f>
        <v>PIPES AND CONNECTIONS</v>
      </c>
    </row>
    <row r="2543" spans="1:9" x14ac:dyDescent="0.25">
      <c r="A2543" s="6">
        <v>43558</v>
      </c>
      <c r="B2543" t="s">
        <v>26</v>
      </c>
      <c r="C2543">
        <v>60534</v>
      </c>
      <c r="D2543" t="s">
        <v>59</v>
      </c>
      <c r="E2543" s="7">
        <v>19916.39</v>
      </c>
      <c r="F2543" t="s">
        <v>20</v>
      </c>
      <c r="G2543" t="s">
        <v>21</v>
      </c>
      <c r="H2543" t="str">
        <f>"1005094-2"</f>
        <v>1005094-2</v>
      </c>
      <c r="I2543" t="str">
        <f>"PIPES AND CONNECTIONS"</f>
        <v>PIPES AND CONNECTIONS</v>
      </c>
    </row>
    <row r="2544" spans="1:9" x14ac:dyDescent="0.25">
      <c r="A2544" s="6">
        <v>43558</v>
      </c>
      <c r="B2544" t="s">
        <v>26</v>
      </c>
      <c r="C2544">
        <v>60534</v>
      </c>
      <c r="D2544" t="s">
        <v>59</v>
      </c>
      <c r="E2544" s="7">
        <v>19916.39</v>
      </c>
      <c r="F2544" t="s">
        <v>20</v>
      </c>
      <c r="G2544" t="s">
        <v>21</v>
      </c>
      <c r="H2544" t="str">
        <f>"1007420"</f>
        <v>1007420</v>
      </c>
      <c r="I2544" t="str">
        <f>"PVC PIPE"</f>
        <v>PVC PIPE</v>
      </c>
    </row>
    <row r="2545" spans="1:9" x14ac:dyDescent="0.25">
      <c r="A2545" s="6">
        <v>43558</v>
      </c>
      <c r="B2545" t="s">
        <v>26</v>
      </c>
      <c r="C2545">
        <v>60534</v>
      </c>
      <c r="D2545" t="s">
        <v>59</v>
      </c>
      <c r="E2545" s="7">
        <v>19916.39</v>
      </c>
      <c r="F2545" t="s">
        <v>20</v>
      </c>
      <c r="G2545" t="s">
        <v>21</v>
      </c>
      <c r="H2545" t="str">
        <f>"1007420-1"</f>
        <v>1007420-1</v>
      </c>
      <c r="I2545" t="str">
        <f>"PVC PIPE"</f>
        <v>PVC PIPE</v>
      </c>
    </row>
    <row r="2546" spans="1:9" x14ac:dyDescent="0.25">
      <c r="A2546" s="6">
        <v>43558</v>
      </c>
      <c r="B2546" t="s">
        <v>26</v>
      </c>
      <c r="C2546">
        <v>60534</v>
      </c>
      <c r="D2546" t="s">
        <v>59</v>
      </c>
      <c r="E2546" s="7">
        <v>19916.39</v>
      </c>
      <c r="F2546" t="s">
        <v>20</v>
      </c>
      <c r="G2546" t="s">
        <v>21</v>
      </c>
      <c r="H2546" t="str">
        <f>"1007422"</f>
        <v>1007422</v>
      </c>
      <c r="I2546" t="str">
        <f>"FERGUSON WATERWORKS - MUNICIPA"</f>
        <v>FERGUSON WATERWORKS - MUNICIPA</v>
      </c>
    </row>
    <row r="2547" spans="1:9" x14ac:dyDescent="0.25">
      <c r="A2547" s="6">
        <v>43558</v>
      </c>
      <c r="B2547" t="s">
        <v>26</v>
      </c>
      <c r="C2547">
        <v>60534</v>
      </c>
      <c r="D2547" t="s">
        <v>59</v>
      </c>
      <c r="E2547" s="7">
        <v>19916.39</v>
      </c>
      <c r="F2547" t="s">
        <v>20</v>
      </c>
      <c r="G2547" t="s">
        <v>21</v>
      </c>
      <c r="H2547" t="str">
        <f>"1007423"</f>
        <v>1007423</v>
      </c>
      <c r="I2547" t="str">
        <f>"PVC PIPE"</f>
        <v>PVC PIPE</v>
      </c>
    </row>
    <row r="2548" spans="1:9" x14ac:dyDescent="0.25">
      <c r="A2548" s="6">
        <v>43558</v>
      </c>
      <c r="B2548" t="s">
        <v>26</v>
      </c>
      <c r="C2548">
        <v>60534</v>
      </c>
      <c r="D2548" t="s">
        <v>59</v>
      </c>
      <c r="E2548" s="7">
        <v>19916.39</v>
      </c>
      <c r="F2548" t="s">
        <v>20</v>
      </c>
      <c r="G2548" t="s">
        <v>21</v>
      </c>
      <c r="H2548" t="str">
        <f>"1007423-1"</f>
        <v>1007423-1</v>
      </c>
      <c r="I2548" t="str">
        <f>"PVC PIPE"</f>
        <v>PVC PIPE</v>
      </c>
    </row>
    <row r="2549" spans="1:9" x14ac:dyDescent="0.25">
      <c r="A2549" s="6">
        <v>43558</v>
      </c>
      <c r="B2549" t="s">
        <v>26</v>
      </c>
      <c r="C2549">
        <v>60534</v>
      </c>
      <c r="D2549" t="s">
        <v>59</v>
      </c>
      <c r="E2549" s="7">
        <v>19916.39</v>
      </c>
      <c r="F2549" t="s">
        <v>20</v>
      </c>
      <c r="G2549" t="s">
        <v>21</v>
      </c>
      <c r="H2549" t="str">
        <f>"1007473"</f>
        <v>1007473</v>
      </c>
      <c r="I2549" t="str">
        <f>"SWR PIPE"</f>
        <v>SWR PIPE</v>
      </c>
    </row>
    <row r="2550" spans="1:9" x14ac:dyDescent="0.25">
      <c r="A2550" s="6">
        <v>43558</v>
      </c>
      <c r="B2550" t="s">
        <v>26</v>
      </c>
      <c r="C2550">
        <v>60534</v>
      </c>
      <c r="D2550" t="s">
        <v>59</v>
      </c>
      <c r="E2550" s="7">
        <v>19916.39</v>
      </c>
      <c r="F2550" t="s">
        <v>20</v>
      </c>
      <c r="G2550" t="s">
        <v>21</v>
      </c>
      <c r="H2550" t="str">
        <f>"1007473-1"</f>
        <v>1007473-1</v>
      </c>
      <c r="I2550" t="str">
        <f>"SWR PIPE"</f>
        <v>SWR PIPE</v>
      </c>
    </row>
    <row r="2551" spans="1:9" x14ac:dyDescent="0.25">
      <c r="A2551" s="6">
        <v>43558</v>
      </c>
      <c r="B2551" t="s">
        <v>26</v>
      </c>
      <c r="C2551">
        <v>60534</v>
      </c>
      <c r="D2551" t="s">
        <v>59</v>
      </c>
      <c r="E2551" s="7">
        <v>19916.39</v>
      </c>
      <c r="F2551" t="s">
        <v>20</v>
      </c>
      <c r="G2551" t="s">
        <v>21</v>
      </c>
      <c r="H2551" t="str">
        <f>"1008492"</f>
        <v>1008492</v>
      </c>
      <c r="I2551" t="str">
        <f>"PVC PIPE"</f>
        <v>PVC PIPE</v>
      </c>
    </row>
    <row r="2552" spans="1:9" x14ac:dyDescent="0.25">
      <c r="A2552" s="6">
        <v>43558</v>
      </c>
      <c r="B2552" t="s">
        <v>26</v>
      </c>
      <c r="C2552">
        <v>60534</v>
      </c>
      <c r="D2552" t="s">
        <v>59</v>
      </c>
      <c r="E2552" s="7">
        <v>19916.39</v>
      </c>
      <c r="F2552" t="s">
        <v>20</v>
      </c>
      <c r="G2552" t="s">
        <v>21</v>
      </c>
      <c r="H2552" t="str">
        <f>"1008757"</f>
        <v>1008757</v>
      </c>
      <c r="I2552" t="str">
        <f>"CLAMPS"</f>
        <v>CLAMPS</v>
      </c>
    </row>
    <row r="2553" spans="1:9" x14ac:dyDescent="0.25">
      <c r="A2553" s="6">
        <v>43558</v>
      </c>
      <c r="B2553" t="s">
        <v>26</v>
      </c>
      <c r="C2553">
        <v>60534</v>
      </c>
      <c r="D2553" t="s">
        <v>59</v>
      </c>
      <c r="E2553" s="7">
        <v>19916.39</v>
      </c>
      <c r="F2553" t="s">
        <v>20</v>
      </c>
      <c r="G2553" t="s">
        <v>21</v>
      </c>
      <c r="H2553" t="str">
        <f>"1009748"</f>
        <v>1009748</v>
      </c>
      <c r="I2553" t="str">
        <f>"PIPE &amp; CONNECTIONS"</f>
        <v>PIPE &amp; CONNECTIONS</v>
      </c>
    </row>
    <row r="2554" spans="1:9" x14ac:dyDescent="0.25">
      <c r="A2554" s="6">
        <v>43558</v>
      </c>
      <c r="B2554" t="s">
        <v>26</v>
      </c>
      <c r="C2554">
        <v>60534</v>
      </c>
      <c r="D2554" t="s">
        <v>59</v>
      </c>
      <c r="E2554" s="7">
        <v>19916.39</v>
      </c>
      <c r="F2554" t="s">
        <v>20</v>
      </c>
      <c r="G2554" t="s">
        <v>21</v>
      </c>
      <c r="H2554" t="str">
        <f>"1009752"</f>
        <v>1009752</v>
      </c>
      <c r="I2554" t="str">
        <f>"PVC PIPE  VALVES"</f>
        <v>PVC PIPE  VALVES</v>
      </c>
    </row>
    <row r="2555" spans="1:9" x14ac:dyDescent="0.25">
      <c r="A2555" s="6">
        <v>43558</v>
      </c>
      <c r="B2555" t="s">
        <v>26</v>
      </c>
      <c r="C2555">
        <v>60543</v>
      </c>
      <c r="D2555" t="s">
        <v>105</v>
      </c>
      <c r="E2555" s="7">
        <v>7</v>
      </c>
      <c r="F2555" t="s">
        <v>20</v>
      </c>
      <c r="G2555" t="s">
        <v>21</v>
      </c>
      <c r="H2555" t="str">
        <f>"318377"</f>
        <v>318377</v>
      </c>
      <c r="I2555" t="str">
        <f>"INSPECTION"</f>
        <v>INSPECTION</v>
      </c>
    </row>
    <row r="2556" spans="1:9" x14ac:dyDescent="0.25">
      <c r="A2556" s="6">
        <v>43558</v>
      </c>
      <c r="B2556" t="s">
        <v>26</v>
      </c>
      <c r="C2556">
        <v>60544</v>
      </c>
      <c r="D2556" t="s">
        <v>273</v>
      </c>
      <c r="E2556" s="7">
        <v>2897.55</v>
      </c>
      <c r="F2556" t="s">
        <v>20</v>
      </c>
      <c r="G2556" t="s">
        <v>21</v>
      </c>
      <c r="H2556" t="str">
        <f>"5119-000087686"</f>
        <v>5119-000087686</v>
      </c>
      <c r="I2556" t="str">
        <f>"REPUBLIC SERVICES TESSMAN ROAD"</f>
        <v>REPUBLIC SERVICES TESSMAN ROAD</v>
      </c>
    </row>
    <row r="2557" spans="1:9" x14ac:dyDescent="0.25">
      <c r="A2557" s="6">
        <v>43558</v>
      </c>
      <c r="B2557" t="s">
        <v>26</v>
      </c>
      <c r="C2557">
        <v>60545</v>
      </c>
      <c r="D2557" t="s">
        <v>108</v>
      </c>
      <c r="E2557" s="7">
        <v>2435.58</v>
      </c>
      <c r="F2557" t="s">
        <v>20</v>
      </c>
      <c r="G2557" t="s">
        <v>21</v>
      </c>
      <c r="H2557" t="str">
        <f>"041295617262"</f>
        <v>041295617262</v>
      </c>
      <c r="I2557" t="str">
        <f>"POOLSURE"</f>
        <v>POOLSURE</v>
      </c>
    </row>
    <row r="2558" spans="1:9" x14ac:dyDescent="0.25">
      <c r="A2558" s="6">
        <v>43558</v>
      </c>
      <c r="B2558" t="s">
        <v>26</v>
      </c>
      <c r="C2558">
        <v>60546</v>
      </c>
      <c r="D2558" t="s">
        <v>240</v>
      </c>
      <c r="E2558" s="7">
        <v>759.9</v>
      </c>
      <c r="F2558" t="s">
        <v>20</v>
      </c>
      <c r="G2558" t="s">
        <v>21</v>
      </c>
      <c r="H2558" t="str">
        <f>"0162511-IN"</f>
        <v>0162511-IN</v>
      </c>
      <c r="I2558" t="str">
        <f>"NARDIS PUBLIC SAFETY"</f>
        <v>NARDIS PUBLIC SAFETY</v>
      </c>
    </row>
    <row r="2559" spans="1:9" x14ac:dyDescent="0.25">
      <c r="A2559" s="6">
        <v>43558</v>
      </c>
      <c r="B2559" t="s">
        <v>26</v>
      </c>
      <c r="C2559">
        <v>60546</v>
      </c>
      <c r="D2559" t="s">
        <v>240</v>
      </c>
      <c r="E2559" s="7">
        <v>759.9</v>
      </c>
      <c r="F2559" t="s">
        <v>20</v>
      </c>
      <c r="G2559" t="s">
        <v>21</v>
      </c>
      <c r="H2559" t="str">
        <f>"0163058-IN"</f>
        <v>0163058-IN</v>
      </c>
      <c r="I2559" t="str">
        <f>"NARDIS PUBLIC SAFETY"</f>
        <v>NARDIS PUBLIC SAFETY</v>
      </c>
    </row>
    <row r="2560" spans="1:9" x14ac:dyDescent="0.25">
      <c r="A2560" s="6">
        <v>43558</v>
      </c>
      <c r="B2560" t="s">
        <v>26</v>
      </c>
      <c r="C2560">
        <v>60546</v>
      </c>
      <c r="D2560" t="s">
        <v>240</v>
      </c>
      <c r="E2560" s="7">
        <v>759.9</v>
      </c>
      <c r="F2560" t="s">
        <v>20</v>
      </c>
      <c r="G2560" t="s">
        <v>21</v>
      </c>
      <c r="H2560" t="str">
        <f>"0163865-IN"</f>
        <v>0163865-IN</v>
      </c>
      <c r="I2560" t="str">
        <f>"NARDIS PUBLIC SAFETY"</f>
        <v>NARDIS PUBLIC SAFETY</v>
      </c>
    </row>
    <row r="2561" spans="1:9" x14ac:dyDescent="0.25">
      <c r="A2561" s="6">
        <v>43558</v>
      </c>
      <c r="B2561" t="s">
        <v>26</v>
      </c>
      <c r="C2561">
        <v>60546</v>
      </c>
      <c r="D2561" t="s">
        <v>240</v>
      </c>
      <c r="E2561" s="7">
        <v>759.9</v>
      </c>
      <c r="F2561" t="s">
        <v>20</v>
      </c>
      <c r="G2561" t="s">
        <v>21</v>
      </c>
      <c r="H2561" t="str">
        <f>"0164746-IN"</f>
        <v>0164746-IN</v>
      </c>
      <c r="I2561" t="str">
        <f>"NARDIS PUBLIC SAFETY"</f>
        <v>NARDIS PUBLIC SAFETY</v>
      </c>
    </row>
    <row r="2562" spans="1:9" x14ac:dyDescent="0.25">
      <c r="A2562" s="6">
        <v>43558</v>
      </c>
      <c r="B2562" t="s">
        <v>26</v>
      </c>
      <c r="C2562">
        <v>60547</v>
      </c>
      <c r="D2562" t="s">
        <v>110</v>
      </c>
      <c r="E2562" s="7">
        <v>3428.7</v>
      </c>
      <c r="F2562" t="s">
        <v>20</v>
      </c>
      <c r="G2562" t="s">
        <v>21</v>
      </c>
      <c r="H2562" t="str">
        <f>"1433762"</f>
        <v>1433762</v>
      </c>
      <c r="I2562" t="str">
        <f t="shared" ref="I2562:I2569" si="46">"BUREAU VERITAS NORTH AMERICA"</f>
        <v>BUREAU VERITAS NORTH AMERICA</v>
      </c>
    </row>
    <row r="2563" spans="1:9" x14ac:dyDescent="0.25">
      <c r="A2563" s="6">
        <v>43558</v>
      </c>
      <c r="B2563" t="s">
        <v>26</v>
      </c>
      <c r="C2563">
        <v>60547</v>
      </c>
      <c r="D2563" t="s">
        <v>110</v>
      </c>
      <c r="E2563" s="7">
        <v>3428.7</v>
      </c>
      <c r="F2563" t="s">
        <v>20</v>
      </c>
      <c r="G2563" t="s">
        <v>21</v>
      </c>
      <c r="H2563" t="str">
        <f>"1433763"</f>
        <v>1433763</v>
      </c>
      <c r="I2563" t="str">
        <f t="shared" si="46"/>
        <v>BUREAU VERITAS NORTH AMERICA</v>
      </c>
    </row>
    <row r="2564" spans="1:9" x14ac:dyDescent="0.25">
      <c r="A2564" s="6">
        <v>43558</v>
      </c>
      <c r="B2564" t="s">
        <v>26</v>
      </c>
      <c r="C2564">
        <v>60547</v>
      </c>
      <c r="D2564" t="s">
        <v>110</v>
      </c>
      <c r="E2564" s="7">
        <v>3428.7</v>
      </c>
      <c r="F2564" t="s">
        <v>20</v>
      </c>
      <c r="G2564" t="s">
        <v>21</v>
      </c>
      <c r="H2564" t="str">
        <f>"1433764"</f>
        <v>1433764</v>
      </c>
      <c r="I2564" t="str">
        <f t="shared" si="46"/>
        <v>BUREAU VERITAS NORTH AMERICA</v>
      </c>
    </row>
    <row r="2565" spans="1:9" x14ac:dyDescent="0.25">
      <c r="A2565" s="6">
        <v>43558</v>
      </c>
      <c r="B2565" t="s">
        <v>26</v>
      </c>
      <c r="C2565">
        <v>60547</v>
      </c>
      <c r="D2565" t="s">
        <v>110</v>
      </c>
      <c r="E2565" s="7">
        <v>3428.7</v>
      </c>
      <c r="F2565" t="s">
        <v>20</v>
      </c>
      <c r="G2565" t="s">
        <v>21</v>
      </c>
      <c r="H2565" t="str">
        <f>"1433765"</f>
        <v>1433765</v>
      </c>
      <c r="I2565" t="str">
        <f t="shared" si="46"/>
        <v>BUREAU VERITAS NORTH AMERICA</v>
      </c>
    </row>
    <row r="2566" spans="1:9" x14ac:dyDescent="0.25">
      <c r="A2566" s="6">
        <v>43558</v>
      </c>
      <c r="B2566" t="s">
        <v>26</v>
      </c>
      <c r="C2566">
        <v>60547</v>
      </c>
      <c r="D2566" t="s">
        <v>110</v>
      </c>
      <c r="E2566" s="7">
        <v>3428.7</v>
      </c>
      <c r="F2566" t="s">
        <v>20</v>
      </c>
      <c r="G2566" t="s">
        <v>21</v>
      </c>
      <c r="H2566" t="str">
        <f>"1433766"</f>
        <v>1433766</v>
      </c>
      <c r="I2566" t="str">
        <f t="shared" si="46"/>
        <v>BUREAU VERITAS NORTH AMERICA</v>
      </c>
    </row>
    <row r="2567" spans="1:9" x14ac:dyDescent="0.25">
      <c r="A2567" s="6">
        <v>43558</v>
      </c>
      <c r="B2567" t="s">
        <v>26</v>
      </c>
      <c r="C2567">
        <v>60547</v>
      </c>
      <c r="D2567" t="s">
        <v>110</v>
      </c>
      <c r="E2567" s="7">
        <v>3428.7</v>
      </c>
      <c r="F2567" t="s">
        <v>20</v>
      </c>
      <c r="G2567" t="s">
        <v>21</v>
      </c>
      <c r="H2567" t="str">
        <f>"1433768"</f>
        <v>1433768</v>
      </c>
      <c r="I2567" t="str">
        <f t="shared" si="46"/>
        <v>BUREAU VERITAS NORTH AMERICA</v>
      </c>
    </row>
    <row r="2568" spans="1:9" x14ac:dyDescent="0.25">
      <c r="A2568" s="6">
        <v>43558</v>
      </c>
      <c r="B2568" t="s">
        <v>26</v>
      </c>
      <c r="C2568">
        <v>60547</v>
      </c>
      <c r="D2568" t="s">
        <v>110</v>
      </c>
      <c r="E2568" s="7">
        <v>3428.7</v>
      </c>
      <c r="F2568" t="s">
        <v>20</v>
      </c>
      <c r="G2568" t="s">
        <v>21</v>
      </c>
      <c r="H2568" t="str">
        <f>"1433769"</f>
        <v>1433769</v>
      </c>
      <c r="I2568" t="str">
        <f t="shared" si="46"/>
        <v>BUREAU VERITAS NORTH AMERICA</v>
      </c>
    </row>
    <row r="2569" spans="1:9" x14ac:dyDescent="0.25">
      <c r="A2569" s="6">
        <v>43558</v>
      </c>
      <c r="B2569" t="s">
        <v>26</v>
      </c>
      <c r="C2569">
        <v>60547</v>
      </c>
      <c r="D2569" t="s">
        <v>110</v>
      </c>
      <c r="E2569" s="7">
        <v>3428.7</v>
      </c>
      <c r="F2569" t="s">
        <v>20</v>
      </c>
      <c r="G2569" t="s">
        <v>21</v>
      </c>
      <c r="H2569" t="str">
        <f>"1433770"</f>
        <v>1433770</v>
      </c>
      <c r="I2569" t="str">
        <f t="shared" si="46"/>
        <v>BUREAU VERITAS NORTH AMERICA</v>
      </c>
    </row>
    <row r="2570" spans="1:9" x14ac:dyDescent="0.25">
      <c r="A2570" s="6">
        <v>43558</v>
      </c>
      <c r="B2570" t="s">
        <v>26</v>
      </c>
      <c r="C2570">
        <v>60549</v>
      </c>
      <c r="D2570" t="s">
        <v>340</v>
      </c>
      <c r="E2570" s="7">
        <v>371.48</v>
      </c>
      <c r="F2570" t="s">
        <v>20</v>
      </c>
      <c r="G2570" t="s">
        <v>21</v>
      </c>
      <c r="H2570" t="str">
        <f>"1810-377859"</f>
        <v>1810-377859</v>
      </c>
      <c r="I2570" t="str">
        <f>"WHEEL BARING"</f>
        <v>WHEEL BARING</v>
      </c>
    </row>
    <row r="2571" spans="1:9" x14ac:dyDescent="0.25">
      <c r="A2571" s="6">
        <v>43558</v>
      </c>
      <c r="B2571" t="s">
        <v>26</v>
      </c>
      <c r="C2571">
        <v>60549</v>
      </c>
      <c r="D2571" t="s">
        <v>340</v>
      </c>
      <c r="E2571" s="7">
        <v>371.48</v>
      </c>
      <c r="F2571" t="s">
        <v>20</v>
      </c>
      <c r="G2571" t="s">
        <v>21</v>
      </c>
      <c r="H2571" t="str">
        <f>"1810-377934"</f>
        <v>1810-377934</v>
      </c>
      <c r="I2571" t="str">
        <f>"WHEEL BARING"</f>
        <v>WHEEL BARING</v>
      </c>
    </row>
    <row r="2572" spans="1:9" x14ac:dyDescent="0.25">
      <c r="A2572" s="6">
        <v>43558</v>
      </c>
      <c r="B2572" t="s">
        <v>26</v>
      </c>
      <c r="C2572">
        <v>60549</v>
      </c>
      <c r="D2572" t="s">
        <v>340</v>
      </c>
      <c r="E2572" s="7">
        <v>371.48</v>
      </c>
      <c r="F2572" t="s">
        <v>20</v>
      </c>
      <c r="G2572" t="s">
        <v>21</v>
      </c>
      <c r="H2572" t="str">
        <f>"1810-378135"</f>
        <v>1810-378135</v>
      </c>
      <c r="I2572" t="str">
        <f>"IGNITION MODULE"</f>
        <v>IGNITION MODULE</v>
      </c>
    </row>
    <row r="2573" spans="1:9" x14ac:dyDescent="0.25">
      <c r="A2573" s="6">
        <v>43558</v>
      </c>
      <c r="B2573" t="s">
        <v>26</v>
      </c>
      <c r="C2573">
        <v>60550</v>
      </c>
      <c r="D2573" t="s">
        <v>181</v>
      </c>
      <c r="E2573" s="7">
        <v>42.94</v>
      </c>
      <c r="F2573" t="s">
        <v>20</v>
      </c>
      <c r="G2573" t="s">
        <v>21</v>
      </c>
      <c r="H2573" t="str">
        <f>"8303933186 3/19"</f>
        <v>8303933186 3/19</v>
      </c>
      <c r="I2573" t="str">
        <f>"AT&amp;T"</f>
        <v>AT&amp;T</v>
      </c>
    </row>
    <row r="2574" spans="1:9" x14ac:dyDescent="0.25">
      <c r="A2574" s="6">
        <v>43558</v>
      </c>
      <c r="B2574" t="s">
        <v>26</v>
      </c>
      <c r="C2574">
        <v>60551</v>
      </c>
      <c r="D2574" t="s">
        <v>692</v>
      </c>
      <c r="E2574" s="7">
        <v>50</v>
      </c>
      <c r="F2574" t="s">
        <v>20</v>
      </c>
      <c r="G2574" t="s">
        <v>21</v>
      </c>
      <c r="H2574" t="str">
        <f>"DEP. REFND 3/30/19"</f>
        <v>DEP. REFND 3/30/19</v>
      </c>
      <c r="I2574" t="str">
        <f>"REFUND"</f>
        <v>REFUND</v>
      </c>
    </row>
    <row r="2575" spans="1:9" x14ac:dyDescent="0.25">
      <c r="A2575" s="6">
        <v>43558</v>
      </c>
      <c r="B2575" t="s">
        <v>26</v>
      </c>
      <c r="C2575">
        <v>60552</v>
      </c>
      <c r="D2575" t="s">
        <v>0</v>
      </c>
      <c r="E2575" s="7">
        <v>3486.38</v>
      </c>
      <c r="F2575" t="s">
        <v>20</v>
      </c>
      <c r="G2575" t="s">
        <v>21</v>
      </c>
      <c r="H2575" t="str">
        <f>"MARCH 2019"</f>
        <v>MARCH 2019</v>
      </c>
      <c r="I2575" t="str">
        <f>"CITY OF FLORESVILLE"</f>
        <v>CITY OF FLORESVILLE</v>
      </c>
    </row>
    <row r="2576" spans="1:9" x14ac:dyDescent="0.25">
      <c r="A2576" s="6">
        <v>43558</v>
      </c>
      <c r="B2576" t="s">
        <v>26</v>
      </c>
      <c r="C2576">
        <v>60553</v>
      </c>
      <c r="D2576" t="s">
        <v>169</v>
      </c>
      <c r="E2576" s="7">
        <v>17.55</v>
      </c>
      <c r="F2576" t="s">
        <v>20</v>
      </c>
      <c r="G2576" t="s">
        <v>21</v>
      </c>
      <c r="H2576" t="str">
        <f>"118056"</f>
        <v>118056</v>
      </c>
      <c r="I2576" t="str">
        <f>"THE POLICE AND SHERIFFS PRESS"</f>
        <v>THE POLICE AND SHERIFFS PRESS</v>
      </c>
    </row>
    <row r="2577" spans="1:9" x14ac:dyDescent="0.25">
      <c r="A2577" s="6">
        <v>43558</v>
      </c>
      <c r="B2577" t="s">
        <v>26</v>
      </c>
      <c r="C2577">
        <v>60554</v>
      </c>
      <c r="D2577" t="s">
        <v>63</v>
      </c>
      <c r="E2577" s="7">
        <v>429.59</v>
      </c>
      <c r="F2577" t="s">
        <v>20</v>
      </c>
      <c r="G2577" t="s">
        <v>21</v>
      </c>
      <c r="H2577" t="str">
        <f>"8404072582"</f>
        <v>8404072582</v>
      </c>
      <c r="I2577" t="str">
        <f>"CINTAS CORPORATION"</f>
        <v>CINTAS CORPORATION</v>
      </c>
    </row>
    <row r="2578" spans="1:9" x14ac:dyDescent="0.25">
      <c r="A2578" s="6">
        <v>43558</v>
      </c>
      <c r="B2578" t="s">
        <v>26</v>
      </c>
      <c r="C2578">
        <v>60555</v>
      </c>
      <c r="D2578" t="s">
        <v>117</v>
      </c>
      <c r="E2578" s="7">
        <v>489.49</v>
      </c>
      <c r="F2578" t="s">
        <v>20</v>
      </c>
      <c r="G2578" t="s">
        <v>21</v>
      </c>
      <c r="H2578" t="str">
        <f>"FEB. 2019"</f>
        <v>FEB. 2019</v>
      </c>
      <c r="I2578" t="str">
        <f>"LINEBARGER GOGGAN BLAIR &amp; SAMP"</f>
        <v>LINEBARGER GOGGAN BLAIR &amp; SAMP</v>
      </c>
    </row>
    <row r="2579" spans="1:9" x14ac:dyDescent="0.25">
      <c r="A2579" s="6">
        <v>43558</v>
      </c>
      <c r="B2579" t="s">
        <v>26</v>
      </c>
      <c r="C2579">
        <v>60556</v>
      </c>
      <c r="D2579" t="s">
        <v>65</v>
      </c>
      <c r="E2579" s="7">
        <v>45</v>
      </c>
      <c r="F2579" t="s">
        <v>20</v>
      </c>
      <c r="G2579" t="s">
        <v>21</v>
      </c>
      <c r="H2579" t="str">
        <f>"RENEWAL 4/1/19"</f>
        <v>RENEWAL 4/1/19</v>
      </c>
      <c r="I2579" t="str">
        <f>"SAM'S CLUB/SYNCHRONY BANK"</f>
        <v>SAM'S CLUB/SYNCHRONY BANK</v>
      </c>
    </row>
    <row r="2580" spans="1:9" x14ac:dyDescent="0.25">
      <c r="A2580" s="6">
        <v>43558</v>
      </c>
      <c r="B2580" t="s">
        <v>91</v>
      </c>
      <c r="C2580">
        <v>60557</v>
      </c>
      <c r="D2580" t="s">
        <v>469</v>
      </c>
      <c r="E2580" s="7">
        <v>338</v>
      </c>
      <c r="F2580" t="s">
        <v>20</v>
      </c>
      <c r="G2580" t="s">
        <v>21</v>
      </c>
      <c r="H2580" t="str">
        <f>"TX PD CHIEF LDRSHP"</f>
        <v>TX PD CHIEF LDRSHP</v>
      </c>
      <c r="I2580" t="str">
        <f>"TRAVEL/TRAINING/HOTEL"</f>
        <v>TRAVEL/TRAINING/HOTEL</v>
      </c>
    </row>
    <row r="2581" spans="1:9" x14ac:dyDescent="0.25">
      <c r="A2581" s="6">
        <v>43558</v>
      </c>
      <c r="B2581" t="s">
        <v>91</v>
      </c>
      <c r="C2581">
        <v>60557</v>
      </c>
      <c r="D2581" t="s">
        <v>469</v>
      </c>
      <c r="E2581" s="7">
        <v>338</v>
      </c>
      <c r="F2581" t="s">
        <v>20</v>
      </c>
      <c r="G2581" t="s">
        <v>93</v>
      </c>
      <c r="H2581" t="str">
        <f>"CHECK"</f>
        <v>CHECK</v>
      </c>
      <c r="I2581" t="str">
        <f>""</f>
        <v/>
      </c>
    </row>
    <row r="2582" spans="1:9" x14ac:dyDescent="0.25">
      <c r="A2582" s="6">
        <v>43558</v>
      </c>
      <c r="B2582" t="s">
        <v>26</v>
      </c>
      <c r="C2582">
        <v>60558</v>
      </c>
      <c r="D2582" t="s">
        <v>562</v>
      </c>
      <c r="E2582" s="7">
        <v>344.8</v>
      </c>
      <c r="F2582" t="s">
        <v>20</v>
      </c>
      <c r="G2582" t="s">
        <v>21</v>
      </c>
      <c r="H2582" t="str">
        <f>"TX UNIFRM CRIME RP"</f>
        <v>TX UNIFRM CRIME RP</v>
      </c>
      <c r="I2582" t="str">
        <f>"TRAVEL/TRAINING"</f>
        <v>TRAVEL/TRAINING</v>
      </c>
    </row>
    <row r="2583" spans="1:9" x14ac:dyDescent="0.25">
      <c r="A2583" s="6">
        <v>43558</v>
      </c>
      <c r="B2583" t="s">
        <v>26</v>
      </c>
      <c r="C2583">
        <v>60559</v>
      </c>
      <c r="D2583" t="s">
        <v>214</v>
      </c>
      <c r="E2583" s="7">
        <v>302.8</v>
      </c>
      <c r="F2583" t="s">
        <v>20</v>
      </c>
      <c r="G2583" t="s">
        <v>21</v>
      </c>
      <c r="H2583" t="str">
        <f>"0017372-IN"</f>
        <v>0017372-IN</v>
      </c>
      <c r="I2583" t="str">
        <f>"FLAGS"</f>
        <v>FLAGS</v>
      </c>
    </row>
    <row r="2584" spans="1:9" x14ac:dyDescent="0.25">
      <c r="A2584" s="6">
        <v>43558</v>
      </c>
      <c r="B2584" t="s">
        <v>26</v>
      </c>
      <c r="C2584">
        <v>60560</v>
      </c>
      <c r="D2584" t="s">
        <v>248</v>
      </c>
      <c r="E2584" s="7">
        <v>51.2</v>
      </c>
      <c r="F2584" t="s">
        <v>20</v>
      </c>
      <c r="G2584" t="s">
        <v>21</v>
      </c>
      <c r="H2584" t="str">
        <f>"1011779635"</f>
        <v>1011779635</v>
      </c>
      <c r="I2584" t="str">
        <f>"PITNEY BOWES"</f>
        <v>PITNEY BOWES</v>
      </c>
    </row>
    <row r="2585" spans="1:9" x14ac:dyDescent="0.25">
      <c r="A2585" s="6">
        <v>43558</v>
      </c>
      <c r="B2585" t="s">
        <v>26</v>
      </c>
      <c r="C2585">
        <v>60561</v>
      </c>
      <c r="D2585" t="s">
        <v>159</v>
      </c>
      <c r="E2585" s="7">
        <v>264.70999999999998</v>
      </c>
      <c r="F2585" t="s">
        <v>20</v>
      </c>
      <c r="G2585" t="s">
        <v>21</v>
      </c>
      <c r="H2585" t="str">
        <f>"37926"</f>
        <v>37926</v>
      </c>
      <c r="I2585" t="str">
        <f>"PHOTOGRAPHS BY JIM"</f>
        <v>PHOTOGRAPHS BY JIM</v>
      </c>
    </row>
    <row r="2586" spans="1:9" x14ac:dyDescent="0.25">
      <c r="A2586" s="6">
        <v>43558</v>
      </c>
      <c r="B2586" t="s">
        <v>26</v>
      </c>
      <c r="C2586">
        <v>60562</v>
      </c>
      <c r="D2586" t="s">
        <v>71</v>
      </c>
      <c r="E2586" s="7">
        <v>1150.26</v>
      </c>
      <c r="F2586" t="s">
        <v>20</v>
      </c>
      <c r="G2586" t="s">
        <v>21</v>
      </c>
      <c r="H2586" t="str">
        <f>"4015989620"</f>
        <v>4015989620</v>
      </c>
      <c r="I2586" t="str">
        <f>"CINTAS CORPORATION #087"</f>
        <v>CINTAS CORPORATION #087</v>
      </c>
    </row>
    <row r="2587" spans="1:9" x14ac:dyDescent="0.25">
      <c r="A2587" s="6">
        <v>43558</v>
      </c>
      <c r="B2587" t="s">
        <v>26</v>
      </c>
      <c r="C2587">
        <v>60563</v>
      </c>
      <c r="D2587" t="s">
        <v>693</v>
      </c>
      <c r="E2587" s="7">
        <v>111</v>
      </c>
      <c r="F2587" t="s">
        <v>20</v>
      </c>
      <c r="G2587" t="s">
        <v>21</v>
      </c>
      <c r="H2587" t="str">
        <f>"TX UNIFRM CRIME RP"</f>
        <v>TX UNIFRM CRIME RP</v>
      </c>
      <c r="I2587" t="str">
        <f>"TRAVEL/TRAINING/MEALS"</f>
        <v>TRAVEL/TRAINING/MEALS</v>
      </c>
    </row>
    <row r="2588" spans="1:9" x14ac:dyDescent="0.25">
      <c r="A2588" s="6">
        <v>43558</v>
      </c>
      <c r="B2588" t="s">
        <v>26</v>
      </c>
      <c r="C2588">
        <v>60564</v>
      </c>
      <c r="D2588" t="s">
        <v>122</v>
      </c>
      <c r="E2588" s="7">
        <v>202</v>
      </c>
      <c r="F2588" t="s">
        <v>20</v>
      </c>
      <c r="G2588" t="s">
        <v>21</v>
      </c>
      <c r="H2588" t="str">
        <f>"322757"</f>
        <v>322757</v>
      </c>
      <c r="I2588" t="str">
        <f>"MONTHLY TIRE REPAIRS"</f>
        <v>MONTHLY TIRE REPAIRS</v>
      </c>
    </row>
    <row r="2589" spans="1:9" x14ac:dyDescent="0.25">
      <c r="A2589" s="6">
        <v>43558</v>
      </c>
      <c r="B2589" t="s">
        <v>26</v>
      </c>
      <c r="C2589">
        <v>60564</v>
      </c>
      <c r="D2589" t="s">
        <v>122</v>
      </c>
      <c r="E2589" s="7">
        <v>202</v>
      </c>
      <c r="F2589" t="s">
        <v>20</v>
      </c>
      <c r="G2589" t="s">
        <v>21</v>
      </c>
      <c r="H2589" t="str">
        <f>"322780"</f>
        <v>322780</v>
      </c>
      <c r="I2589" t="str">
        <f>"MONTHLY TIRE REPAIRS"</f>
        <v>MONTHLY TIRE REPAIRS</v>
      </c>
    </row>
    <row r="2590" spans="1:9" x14ac:dyDescent="0.25">
      <c r="A2590" s="6">
        <v>43558</v>
      </c>
      <c r="B2590" t="s">
        <v>26</v>
      </c>
      <c r="C2590">
        <v>60564</v>
      </c>
      <c r="D2590" t="s">
        <v>122</v>
      </c>
      <c r="E2590" s="7">
        <v>202</v>
      </c>
      <c r="F2590" t="s">
        <v>20</v>
      </c>
      <c r="G2590" t="s">
        <v>21</v>
      </c>
      <c r="H2590" t="str">
        <f>"322790"</f>
        <v>322790</v>
      </c>
      <c r="I2590" t="str">
        <f>"MONTHLY TIRE REPAIRS"</f>
        <v>MONTHLY TIRE REPAIRS</v>
      </c>
    </row>
    <row r="2591" spans="1:9" x14ac:dyDescent="0.25">
      <c r="A2591" s="6">
        <v>43558</v>
      </c>
      <c r="B2591" t="s">
        <v>26</v>
      </c>
      <c r="C2591">
        <v>60564</v>
      </c>
      <c r="D2591" t="s">
        <v>122</v>
      </c>
      <c r="E2591" s="7">
        <v>202</v>
      </c>
      <c r="F2591" t="s">
        <v>20</v>
      </c>
      <c r="G2591" t="s">
        <v>21</v>
      </c>
      <c r="H2591" t="str">
        <f>"322796"</f>
        <v>322796</v>
      </c>
      <c r="I2591" t="str">
        <f>"MONTHLY TIRE REPAIRS"</f>
        <v>MONTHLY TIRE REPAIRS</v>
      </c>
    </row>
    <row r="2592" spans="1:9" x14ac:dyDescent="0.25">
      <c r="A2592" s="6">
        <v>43558</v>
      </c>
      <c r="B2592" t="s">
        <v>26</v>
      </c>
      <c r="C2592">
        <v>60565</v>
      </c>
      <c r="D2592" t="s">
        <v>74</v>
      </c>
      <c r="E2592" s="7">
        <v>92.44</v>
      </c>
      <c r="F2592" t="s">
        <v>20</v>
      </c>
      <c r="G2592" t="s">
        <v>21</v>
      </c>
      <c r="H2592" t="str">
        <f>"9826836784"</f>
        <v>9826836784</v>
      </c>
      <c r="I2592" t="str">
        <f>"VERIZON WIRELESS"</f>
        <v>VERIZON WIRELESS</v>
      </c>
    </row>
    <row r="2593" spans="1:9" x14ac:dyDescent="0.25">
      <c r="A2593" s="6">
        <v>43558</v>
      </c>
      <c r="B2593" t="s">
        <v>26</v>
      </c>
      <c r="C2593">
        <v>60566</v>
      </c>
      <c r="D2593" t="s">
        <v>170</v>
      </c>
      <c r="E2593" s="7">
        <v>315</v>
      </c>
      <c r="F2593" t="s">
        <v>20</v>
      </c>
      <c r="G2593" t="s">
        <v>21</v>
      </c>
      <c r="H2593" t="str">
        <f>"0000030618"</f>
        <v>0000030618</v>
      </c>
      <c r="I2593" t="str">
        <f>"BARRETT &amp; SONS  INC."</f>
        <v>BARRETT &amp; SONS  INC.</v>
      </c>
    </row>
    <row r="2594" spans="1:9" x14ac:dyDescent="0.25">
      <c r="A2594" s="6">
        <v>43558</v>
      </c>
      <c r="B2594" t="s">
        <v>26</v>
      </c>
      <c r="C2594">
        <v>60567</v>
      </c>
      <c r="D2594" t="s">
        <v>235</v>
      </c>
      <c r="E2594" s="7">
        <v>12100</v>
      </c>
      <c r="F2594" t="s">
        <v>20</v>
      </c>
      <c r="G2594" t="s">
        <v>21</v>
      </c>
      <c r="H2594" t="str">
        <f>"FOOD EST. 2019"</f>
        <v>FOOD EST. 2019</v>
      </c>
      <c r="I2594" t="str">
        <f>"WILSON COUNTY AUDITOR"</f>
        <v>WILSON COUNTY AUDITOR</v>
      </c>
    </row>
    <row r="2595" spans="1:9" x14ac:dyDescent="0.25">
      <c r="A2595" s="6">
        <v>43558</v>
      </c>
      <c r="B2595" t="s">
        <v>26</v>
      </c>
      <c r="C2595">
        <v>60568</v>
      </c>
      <c r="D2595" t="s">
        <v>215</v>
      </c>
      <c r="E2595" s="7">
        <v>4157.2</v>
      </c>
      <c r="F2595" t="s">
        <v>20</v>
      </c>
      <c r="G2595" t="s">
        <v>21</v>
      </c>
      <c r="H2595" t="str">
        <f>"577547"</f>
        <v>577547</v>
      </c>
      <c r="I2595" t="str">
        <f>"ODESSA PUMPS &amp; EQUIPMENT"</f>
        <v>ODESSA PUMPS &amp; EQUIPMENT</v>
      </c>
    </row>
    <row r="2596" spans="1:9" x14ac:dyDescent="0.25">
      <c r="A2596" s="6">
        <v>43558</v>
      </c>
      <c r="B2596" t="s">
        <v>26</v>
      </c>
      <c r="C2596">
        <v>60569</v>
      </c>
      <c r="D2596" t="s">
        <v>123</v>
      </c>
      <c r="E2596" s="7">
        <v>588.32000000000005</v>
      </c>
      <c r="F2596" t="s">
        <v>20</v>
      </c>
      <c r="G2596" t="s">
        <v>21</v>
      </c>
      <c r="H2596" t="str">
        <f>"285400164002"</f>
        <v>285400164002</v>
      </c>
      <c r="I2596" t="str">
        <f>"JANITORIAL SUPPLIES"</f>
        <v>JANITORIAL SUPPLIES</v>
      </c>
    </row>
    <row r="2597" spans="1:9" x14ac:dyDescent="0.25">
      <c r="A2597" s="6">
        <v>43558</v>
      </c>
      <c r="B2597" t="s">
        <v>26</v>
      </c>
      <c r="C2597">
        <v>60569</v>
      </c>
      <c r="D2597" t="s">
        <v>123</v>
      </c>
      <c r="E2597" s="7">
        <v>588.32000000000005</v>
      </c>
      <c r="F2597" t="s">
        <v>20</v>
      </c>
      <c r="G2597" t="s">
        <v>21</v>
      </c>
      <c r="H2597" t="str">
        <f>"285400167001"</f>
        <v>285400167001</v>
      </c>
      <c r="I2597" t="str">
        <f>"JANITORIAL SUPPLIES"</f>
        <v>JANITORIAL SUPPLIES</v>
      </c>
    </row>
    <row r="2598" spans="1:9" x14ac:dyDescent="0.25">
      <c r="A2598" s="6">
        <v>43558</v>
      </c>
      <c r="B2598" t="s">
        <v>26</v>
      </c>
      <c r="C2598">
        <v>60569</v>
      </c>
      <c r="D2598" t="s">
        <v>123</v>
      </c>
      <c r="E2598" s="7">
        <v>588.32000000000005</v>
      </c>
      <c r="F2598" t="s">
        <v>20</v>
      </c>
      <c r="G2598" t="s">
        <v>21</v>
      </c>
      <c r="H2598" t="str">
        <f>"285400169001"</f>
        <v>285400169001</v>
      </c>
      <c r="I2598" t="str">
        <f>"JANITORIAL SUPPLIES"</f>
        <v>JANITORIAL SUPPLIES</v>
      </c>
    </row>
    <row r="2599" spans="1:9" x14ac:dyDescent="0.25">
      <c r="A2599" s="6">
        <v>43558</v>
      </c>
      <c r="B2599" t="s">
        <v>26</v>
      </c>
      <c r="C2599">
        <v>60569</v>
      </c>
      <c r="D2599" t="s">
        <v>123</v>
      </c>
      <c r="E2599" s="7">
        <v>588.32000000000005</v>
      </c>
      <c r="F2599" t="s">
        <v>20</v>
      </c>
      <c r="G2599" t="s">
        <v>21</v>
      </c>
      <c r="H2599" t="str">
        <f>"290694642001"</f>
        <v>290694642001</v>
      </c>
      <c r="I2599" t="str">
        <f>"OFFICE SUPPLIES"</f>
        <v>OFFICE SUPPLIES</v>
      </c>
    </row>
    <row r="2600" spans="1:9" x14ac:dyDescent="0.25">
      <c r="A2600" s="6">
        <v>43558</v>
      </c>
      <c r="B2600" t="s">
        <v>26</v>
      </c>
      <c r="C2600">
        <v>60569</v>
      </c>
      <c r="D2600" t="s">
        <v>123</v>
      </c>
      <c r="E2600" s="7">
        <v>588.32000000000005</v>
      </c>
      <c r="F2600" t="s">
        <v>20</v>
      </c>
      <c r="G2600" t="s">
        <v>21</v>
      </c>
      <c r="H2600" t="str">
        <f>"29069535001"</f>
        <v>29069535001</v>
      </c>
      <c r="I2600" t="str">
        <f>"OFFICE SUPPLIES"</f>
        <v>OFFICE SUPPLIES</v>
      </c>
    </row>
    <row r="2601" spans="1:9" x14ac:dyDescent="0.25">
      <c r="A2601" s="6">
        <v>43558</v>
      </c>
      <c r="B2601" t="s">
        <v>26</v>
      </c>
      <c r="C2601">
        <v>60569</v>
      </c>
      <c r="D2601" t="s">
        <v>123</v>
      </c>
      <c r="E2601" s="7">
        <v>588.32000000000005</v>
      </c>
      <c r="F2601" t="s">
        <v>20</v>
      </c>
      <c r="G2601" t="s">
        <v>21</v>
      </c>
      <c r="H2601" t="str">
        <f>"290897139001"</f>
        <v>290897139001</v>
      </c>
      <c r="I2601" t="str">
        <f>"OFFICE DEPOT  INC."</f>
        <v>OFFICE DEPOT  INC.</v>
      </c>
    </row>
    <row r="2602" spans="1:9" x14ac:dyDescent="0.25">
      <c r="A2602" s="6">
        <v>43558</v>
      </c>
      <c r="B2602" t="s">
        <v>26</v>
      </c>
      <c r="C2602">
        <v>60571</v>
      </c>
      <c r="D2602" t="s">
        <v>137</v>
      </c>
      <c r="E2602" s="7">
        <v>121.9</v>
      </c>
      <c r="F2602" t="s">
        <v>20</v>
      </c>
      <c r="G2602" t="s">
        <v>21</v>
      </c>
      <c r="H2602" t="str">
        <f>"9482"</f>
        <v>9482</v>
      </c>
      <c r="I2602" t="str">
        <f>"OMNIBUS-M  INC.D.B.A."</f>
        <v>OMNIBUS-M  INC.D.B.A.</v>
      </c>
    </row>
    <row r="2603" spans="1:9" x14ac:dyDescent="0.25">
      <c r="A2603" s="6">
        <v>43558</v>
      </c>
      <c r="B2603" t="s">
        <v>26</v>
      </c>
      <c r="C2603">
        <v>60571</v>
      </c>
      <c r="D2603" t="s">
        <v>137</v>
      </c>
      <c r="E2603" s="7">
        <v>121.9</v>
      </c>
      <c r="F2603" t="s">
        <v>20</v>
      </c>
      <c r="G2603" t="s">
        <v>21</v>
      </c>
      <c r="H2603" t="str">
        <f>"9483"</f>
        <v>9483</v>
      </c>
      <c r="I2603" t="str">
        <f>"OMNIBUS-M  INC.D.B.A."</f>
        <v>OMNIBUS-M  INC.D.B.A.</v>
      </c>
    </row>
    <row r="2604" spans="1:9" x14ac:dyDescent="0.25">
      <c r="A2604" s="6">
        <v>43558</v>
      </c>
      <c r="B2604" t="s">
        <v>26</v>
      </c>
      <c r="C2604">
        <v>60572</v>
      </c>
      <c r="D2604" t="s">
        <v>124</v>
      </c>
      <c r="E2604" s="7">
        <v>641.54</v>
      </c>
      <c r="F2604" t="s">
        <v>20</v>
      </c>
      <c r="G2604" t="s">
        <v>21</v>
      </c>
      <c r="H2604" t="str">
        <f>"11170962"</f>
        <v>11170962</v>
      </c>
      <c r="I2604" t="str">
        <f>"ACRYLIC SHEETS"</f>
        <v>ACRYLIC SHEETS</v>
      </c>
    </row>
    <row r="2605" spans="1:9" x14ac:dyDescent="0.25">
      <c r="A2605" s="6">
        <v>43558</v>
      </c>
      <c r="B2605" t="s">
        <v>26</v>
      </c>
      <c r="C2605">
        <v>60572</v>
      </c>
      <c r="D2605" t="s">
        <v>124</v>
      </c>
      <c r="E2605" s="7">
        <v>641.54</v>
      </c>
      <c r="F2605" t="s">
        <v>20</v>
      </c>
      <c r="G2605" t="s">
        <v>21</v>
      </c>
      <c r="H2605" t="str">
        <f>"11171335"</f>
        <v>11171335</v>
      </c>
      <c r="I2605" t="str">
        <f>"POSTS/STEPLADDER/FOAM"</f>
        <v>POSTS/STEPLADDER/FOAM</v>
      </c>
    </row>
    <row r="2606" spans="1:9" x14ac:dyDescent="0.25">
      <c r="A2606" s="6">
        <v>43558</v>
      </c>
      <c r="B2606" t="s">
        <v>26</v>
      </c>
      <c r="C2606">
        <v>60573</v>
      </c>
      <c r="D2606" t="s">
        <v>79</v>
      </c>
      <c r="E2606" s="7">
        <v>12.24</v>
      </c>
      <c r="F2606" t="s">
        <v>20</v>
      </c>
      <c r="G2606" t="s">
        <v>21</v>
      </c>
      <c r="H2606" t="str">
        <f>"6-497-15138"</f>
        <v>6-497-15138</v>
      </c>
      <c r="I2606" t="str">
        <f>"FEDEX"</f>
        <v>FEDEX</v>
      </c>
    </row>
    <row r="2607" spans="1:9" x14ac:dyDescent="0.25">
      <c r="A2607" s="6">
        <v>43558</v>
      </c>
      <c r="B2607" t="s">
        <v>26</v>
      </c>
      <c r="C2607">
        <v>60574</v>
      </c>
      <c r="D2607" t="s">
        <v>80</v>
      </c>
      <c r="E2607" s="7">
        <v>1500</v>
      </c>
      <c r="F2607" t="s">
        <v>20</v>
      </c>
      <c r="G2607" t="s">
        <v>21</v>
      </c>
      <c r="H2607" t="str">
        <f>"1648-20190401-1"</f>
        <v>1648-20190401-1</v>
      </c>
      <c r="I2607" t="str">
        <f>"LVWIFI.COM"</f>
        <v>LVWIFI.COM</v>
      </c>
    </row>
    <row r="2608" spans="1:9" x14ac:dyDescent="0.25">
      <c r="A2608" s="6">
        <v>43558</v>
      </c>
      <c r="B2608" t="s">
        <v>26</v>
      </c>
      <c r="C2608">
        <v>60574</v>
      </c>
      <c r="D2608" t="s">
        <v>80</v>
      </c>
      <c r="E2608" s="7">
        <v>1500</v>
      </c>
      <c r="F2608" t="s">
        <v>20</v>
      </c>
      <c r="G2608" t="s">
        <v>21</v>
      </c>
      <c r="H2608" t="str">
        <f>"2313-20190401-1"</f>
        <v>2313-20190401-1</v>
      </c>
      <c r="I2608" t="str">
        <f>"LVWIFI.COM"</f>
        <v>LVWIFI.COM</v>
      </c>
    </row>
    <row r="2609" spans="1:9" x14ac:dyDescent="0.25">
      <c r="A2609" s="6">
        <v>43558</v>
      </c>
      <c r="B2609" t="s">
        <v>26</v>
      </c>
      <c r="C2609">
        <v>60575</v>
      </c>
      <c r="D2609" t="s">
        <v>139</v>
      </c>
      <c r="E2609" s="7">
        <v>143</v>
      </c>
      <c r="F2609" t="s">
        <v>20</v>
      </c>
      <c r="G2609" t="s">
        <v>21</v>
      </c>
      <c r="H2609" t="str">
        <f>"26000"</f>
        <v>26000</v>
      </c>
      <c r="I2609" t="str">
        <f>"ANGEL FIRE &amp; SAFETY"</f>
        <v>ANGEL FIRE &amp; SAFETY</v>
      </c>
    </row>
    <row r="2610" spans="1:9" x14ac:dyDescent="0.25">
      <c r="A2610" s="6">
        <v>43558</v>
      </c>
      <c r="B2610" t="s">
        <v>26</v>
      </c>
      <c r="C2610">
        <v>60576</v>
      </c>
      <c r="D2610" t="s">
        <v>191</v>
      </c>
      <c r="E2610" s="7">
        <v>1582.12</v>
      </c>
      <c r="F2610" t="s">
        <v>20</v>
      </c>
      <c r="G2610" t="s">
        <v>21</v>
      </c>
      <c r="H2610" t="str">
        <f>"INV06-005545"</f>
        <v>INV06-005545</v>
      </c>
      <c r="I2610" t="str">
        <f>"MUNISERVICES  LLC"</f>
        <v>MUNISERVICES  LLC</v>
      </c>
    </row>
    <row r="2611" spans="1:9" x14ac:dyDescent="0.25">
      <c r="A2611" s="6">
        <v>43558</v>
      </c>
      <c r="B2611" t="s">
        <v>26</v>
      </c>
      <c r="C2611">
        <v>60577</v>
      </c>
      <c r="D2611" t="s">
        <v>31</v>
      </c>
      <c r="E2611" s="7">
        <v>2875</v>
      </c>
      <c r="F2611" t="s">
        <v>20</v>
      </c>
      <c r="G2611" t="s">
        <v>21</v>
      </c>
      <c r="H2611" t="str">
        <f>"2019217"</f>
        <v>2019217</v>
      </c>
      <c r="I2611" t="str">
        <f>"THE LAW OFFICE OF TOM CALDWELL"</f>
        <v>THE LAW OFFICE OF TOM CALDWELL</v>
      </c>
    </row>
    <row r="2612" spans="1:9" x14ac:dyDescent="0.25">
      <c r="A2612" s="6">
        <v>43558</v>
      </c>
      <c r="B2612" t="s">
        <v>26</v>
      </c>
      <c r="C2612">
        <v>60578</v>
      </c>
      <c r="D2612" t="s">
        <v>83</v>
      </c>
      <c r="E2612" s="7">
        <v>1044</v>
      </c>
      <c r="F2612" t="s">
        <v>20</v>
      </c>
      <c r="G2612" t="s">
        <v>21</v>
      </c>
      <c r="H2612" t="str">
        <f>"689259"</f>
        <v>689259</v>
      </c>
      <c r="I2612" t="str">
        <f>"APPRIVER"</f>
        <v>APPRIVER</v>
      </c>
    </row>
    <row r="2613" spans="1:9" x14ac:dyDescent="0.25">
      <c r="A2613" s="6">
        <v>43558</v>
      </c>
      <c r="B2613" t="s">
        <v>26</v>
      </c>
      <c r="C2613">
        <v>60579</v>
      </c>
      <c r="D2613" t="s">
        <v>85</v>
      </c>
      <c r="E2613" s="7">
        <v>160.82</v>
      </c>
      <c r="F2613" t="s">
        <v>20</v>
      </c>
      <c r="G2613" t="s">
        <v>21</v>
      </c>
      <c r="H2613" t="str">
        <f>"2162691 4/19"</f>
        <v>2162691 4/19</v>
      </c>
      <c r="I2613" t="str">
        <f>"FRONTIER"</f>
        <v>FRONTIER</v>
      </c>
    </row>
    <row r="2614" spans="1:9" x14ac:dyDescent="0.25">
      <c r="A2614" s="6">
        <v>43558</v>
      </c>
      <c r="B2614" t="s">
        <v>26</v>
      </c>
      <c r="C2614">
        <v>60579</v>
      </c>
      <c r="D2614" t="s">
        <v>85</v>
      </c>
      <c r="E2614" s="7">
        <v>160.82</v>
      </c>
      <c r="F2614" t="s">
        <v>20</v>
      </c>
      <c r="G2614" t="s">
        <v>21</v>
      </c>
      <c r="H2614" t="str">
        <f>"2162745 4/2019"</f>
        <v>2162745 4/2019</v>
      </c>
      <c r="I2614" t="str">
        <f>"FRONTIER"</f>
        <v>FRONTIER</v>
      </c>
    </row>
    <row r="2615" spans="1:9" x14ac:dyDescent="0.25">
      <c r="A2615" s="6">
        <v>43558</v>
      </c>
      <c r="B2615" t="s">
        <v>26</v>
      </c>
      <c r="C2615">
        <v>60579</v>
      </c>
      <c r="D2615" t="s">
        <v>85</v>
      </c>
      <c r="E2615" s="7">
        <v>160.82</v>
      </c>
      <c r="F2615" t="s">
        <v>20</v>
      </c>
      <c r="G2615" t="s">
        <v>21</v>
      </c>
      <c r="H2615" t="str">
        <f>"3933718 4/19"</f>
        <v>3933718 4/19</v>
      </c>
      <c r="I2615" t="str">
        <f>"FRONTIER"</f>
        <v>FRONTIER</v>
      </c>
    </row>
    <row r="2616" spans="1:9" x14ac:dyDescent="0.25">
      <c r="A2616" s="6">
        <v>43558</v>
      </c>
      <c r="B2616" t="s">
        <v>26</v>
      </c>
      <c r="C2616">
        <v>60580</v>
      </c>
      <c r="D2616" t="s">
        <v>194</v>
      </c>
      <c r="E2616" s="7">
        <v>565</v>
      </c>
      <c r="F2616" t="s">
        <v>20</v>
      </c>
      <c r="G2616" t="s">
        <v>21</v>
      </c>
      <c r="H2616" t="str">
        <f>"BC0795885"</f>
        <v>BC0795885</v>
      </c>
      <c r="I2616" t="str">
        <f>"UNIFORM"</f>
        <v>UNIFORM</v>
      </c>
    </row>
    <row r="2617" spans="1:9" x14ac:dyDescent="0.25">
      <c r="A2617" s="6">
        <v>43558</v>
      </c>
      <c r="B2617" t="s">
        <v>26</v>
      </c>
      <c r="C2617">
        <v>60581</v>
      </c>
      <c r="D2617" t="s">
        <v>275</v>
      </c>
      <c r="E2617" s="7">
        <v>390</v>
      </c>
      <c r="F2617" t="s">
        <v>20</v>
      </c>
      <c r="G2617" t="s">
        <v>21</v>
      </c>
      <c r="H2617" t="str">
        <f>"42626"</f>
        <v>42626</v>
      </c>
      <c r="I2617" t="str">
        <f>"CORTEZ LIQUID WASTE SERVICES"</f>
        <v>CORTEZ LIQUID WASTE SERVICES</v>
      </c>
    </row>
    <row r="2618" spans="1:9" x14ac:dyDescent="0.25">
      <c r="A2618" s="6">
        <v>43558</v>
      </c>
      <c r="B2618" t="s">
        <v>26</v>
      </c>
      <c r="C2618">
        <v>60582</v>
      </c>
      <c r="D2618" t="s">
        <v>312</v>
      </c>
      <c r="E2618" s="7">
        <v>491.5</v>
      </c>
      <c r="F2618" t="s">
        <v>20</v>
      </c>
      <c r="G2618" t="s">
        <v>21</v>
      </c>
      <c r="H2618" t="str">
        <f>"19-561"</f>
        <v>19-561</v>
      </c>
      <c r="I2618" t="str">
        <f>"LOCKS"</f>
        <v>LOCKS</v>
      </c>
    </row>
    <row r="2619" spans="1:9" x14ac:dyDescent="0.25">
      <c r="A2619" s="6">
        <v>43558</v>
      </c>
      <c r="B2619" t="s">
        <v>26</v>
      </c>
      <c r="C2619">
        <v>60583</v>
      </c>
      <c r="D2619" t="s">
        <v>398</v>
      </c>
      <c r="E2619" s="7">
        <v>55</v>
      </c>
      <c r="F2619" t="s">
        <v>20</v>
      </c>
      <c r="G2619" t="s">
        <v>21</v>
      </c>
      <c r="H2619" t="str">
        <f>"20190411"</f>
        <v>20190411</v>
      </c>
      <c r="I2619" t="str">
        <f>"INTERCEPTOR TECHNOLOGY GROUP L"</f>
        <v>INTERCEPTOR TECHNOLOGY GROUP L</v>
      </c>
    </row>
    <row r="2620" spans="1:9" x14ac:dyDescent="0.25">
      <c r="A2620" s="6">
        <v>43558</v>
      </c>
      <c r="B2620" t="s">
        <v>26</v>
      </c>
      <c r="C2620">
        <v>60584</v>
      </c>
      <c r="D2620" t="s">
        <v>528</v>
      </c>
      <c r="E2620" s="7">
        <v>157.91999999999999</v>
      </c>
      <c r="F2620" t="s">
        <v>20</v>
      </c>
      <c r="G2620" t="s">
        <v>21</v>
      </c>
      <c r="H2620" t="str">
        <f>"122572"</f>
        <v>122572</v>
      </c>
      <c r="I2620" t="str">
        <f>"PROSTAR SERVICES INC"</f>
        <v>PROSTAR SERVICES INC</v>
      </c>
    </row>
    <row r="2621" spans="1:9" x14ac:dyDescent="0.25">
      <c r="A2621" s="6">
        <v>43558</v>
      </c>
      <c r="B2621" t="s">
        <v>26</v>
      </c>
      <c r="C2621">
        <v>60585</v>
      </c>
      <c r="D2621" t="s">
        <v>554</v>
      </c>
      <c r="E2621" s="7">
        <v>74.95</v>
      </c>
      <c r="F2621" t="s">
        <v>20</v>
      </c>
      <c r="G2621" t="s">
        <v>21</v>
      </c>
      <c r="H2621" t="str">
        <f>"AA23568"</f>
        <v>AA23568</v>
      </c>
      <c r="I2621" t="str">
        <f>"TEXAS WIRED MUSIC"</f>
        <v>TEXAS WIRED MUSIC</v>
      </c>
    </row>
    <row r="2622" spans="1:9" x14ac:dyDescent="0.25">
      <c r="A2622" s="6">
        <v>43558</v>
      </c>
      <c r="B2622" t="s">
        <v>26</v>
      </c>
      <c r="C2622">
        <v>60586</v>
      </c>
      <c r="D2622" t="s">
        <v>644</v>
      </c>
      <c r="E2622" s="7">
        <v>612.09</v>
      </c>
      <c r="F2622" t="s">
        <v>20</v>
      </c>
      <c r="G2622" t="s">
        <v>21</v>
      </c>
      <c r="H2622" t="str">
        <f>"8213298141"</f>
        <v>8213298141</v>
      </c>
      <c r="I2622" t="str">
        <f t="shared" ref="I2622:I2628" si="47">"UNIFIRST CORPORATION"</f>
        <v>UNIFIRST CORPORATION</v>
      </c>
    </row>
    <row r="2623" spans="1:9" x14ac:dyDescent="0.25">
      <c r="A2623" s="6">
        <v>43558</v>
      </c>
      <c r="B2623" t="s">
        <v>26</v>
      </c>
      <c r="C2623">
        <v>60586</v>
      </c>
      <c r="D2623" t="s">
        <v>644</v>
      </c>
      <c r="E2623" s="7">
        <v>612.09</v>
      </c>
      <c r="F2623" t="s">
        <v>20</v>
      </c>
      <c r="G2623" t="s">
        <v>21</v>
      </c>
      <c r="H2623" t="str">
        <f>"8213298142"</f>
        <v>8213298142</v>
      </c>
      <c r="I2623" t="str">
        <f t="shared" si="47"/>
        <v>UNIFIRST CORPORATION</v>
      </c>
    </row>
    <row r="2624" spans="1:9" x14ac:dyDescent="0.25">
      <c r="A2624" s="6">
        <v>43558</v>
      </c>
      <c r="B2624" t="s">
        <v>26</v>
      </c>
      <c r="C2624">
        <v>60586</v>
      </c>
      <c r="D2624" t="s">
        <v>644</v>
      </c>
      <c r="E2624" s="7">
        <v>612.09</v>
      </c>
      <c r="F2624" t="s">
        <v>20</v>
      </c>
      <c r="G2624" t="s">
        <v>21</v>
      </c>
      <c r="H2624" t="str">
        <f>"8213298143"</f>
        <v>8213298143</v>
      </c>
      <c r="I2624" t="str">
        <f t="shared" si="47"/>
        <v>UNIFIRST CORPORATION</v>
      </c>
    </row>
    <row r="2625" spans="1:9" x14ac:dyDescent="0.25">
      <c r="A2625" s="6">
        <v>43558</v>
      </c>
      <c r="B2625" t="s">
        <v>26</v>
      </c>
      <c r="C2625">
        <v>60586</v>
      </c>
      <c r="D2625" t="s">
        <v>644</v>
      </c>
      <c r="E2625" s="7">
        <v>612.09</v>
      </c>
      <c r="F2625" t="s">
        <v>20</v>
      </c>
      <c r="G2625" t="s">
        <v>21</v>
      </c>
      <c r="H2625" t="str">
        <f>"8213298144"</f>
        <v>8213298144</v>
      </c>
      <c r="I2625" t="str">
        <f t="shared" si="47"/>
        <v>UNIFIRST CORPORATION</v>
      </c>
    </row>
    <row r="2626" spans="1:9" x14ac:dyDescent="0.25">
      <c r="A2626" s="6">
        <v>43558</v>
      </c>
      <c r="B2626" t="s">
        <v>26</v>
      </c>
      <c r="C2626">
        <v>60586</v>
      </c>
      <c r="D2626" t="s">
        <v>644</v>
      </c>
      <c r="E2626" s="7">
        <v>612.09</v>
      </c>
      <c r="F2626" t="s">
        <v>20</v>
      </c>
      <c r="G2626" t="s">
        <v>21</v>
      </c>
      <c r="H2626" t="str">
        <f>"8213298145"</f>
        <v>8213298145</v>
      </c>
      <c r="I2626" t="str">
        <f t="shared" si="47"/>
        <v>UNIFIRST CORPORATION</v>
      </c>
    </row>
    <row r="2627" spans="1:9" x14ac:dyDescent="0.25">
      <c r="A2627" s="6">
        <v>43558</v>
      </c>
      <c r="B2627" t="s">
        <v>26</v>
      </c>
      <c r="C2627">
        <v>60586</v>
      </c>
      <c r="D2627" t="s">
        <v>644</v>
      </c>
      <c r="E2627" s="7">
        <v>612.09</v>
      </c>
      <c r="F2627" t="s">
        <v>20</v>
      </c>
      <c r="G2627" t="s">
        <v>21</v>
      </c>
      <c r="H2627" t="str">
        <f>"8213298146"</f>
        <v>8213298146</v>
      </c>
      <c r="I2627" t="str">
        <f t="shared" si="47"/>
        <v>UNIFIRST CORPORATION</v>
      </c>
    </row>
    <row r="2628" spans="1:9" x14ac:dyDescent="0.25">
      <c r="A2628" s="6">
        <v>43558</v>
      </c>
      <c r="B2628" t="s">
        <v>26</v>
      </c>
      <c r="C2628">
        <v>60586</v>
      </c>
      <c r="D2628" t="s">
        <v>644</v>
      </c>
      <c r="E2628" s="7">
        <v>612.09</v>
      </c>
      <c r="F2628" t="s">
        <v>20</v>
      </c>
      <c r="G2628" t="s">
        <v>21</v>
      </c>
      <c r="H2628" t="str">
        <f>"8213298147"</f>
        <v>8213298147</v>
      </c>
      <c r="I2628" t="str">
        <f t="shared" si="47"/>
        <v>UNIFIRST CORPORATION</v>
      </c>
    </row>
    <row r="2629" spans="1:9" x14ac:dyDescent="0.25">
      <c r="A2629" s="6">
        <v>43558</v>
      </c>
      <c r="B2629" t="s">
        <v>91</v>
      </c>
      <c r="C2629">
        <v>60588</v>
      </c>
      <c r="D2629" t="s">
        <v>694</v>
      </c>
      <c r="E2629" s="7">
        <v>300.74</v>
      </c>
      <c r="F2629" t="s">
        <v>20</v>
      </c>
      <c r="G2629" t="s">
        <v>21</v>
      </c>
      <c r="H2629" t="str">
        <f>"45534"</f>
        <v>45534</v>
      </c>
      <c r="I2629" t="str">
        <f>"RED CLAY"</f>
        <v>RED CLAY</v>
      </c>
    </row>
    <row r="2630" spans="1:9" x14ac:dyDescent="0.25">
      <c r="A2630" s="6">
        <v>43558</v>
      </c>
      <c r="B2630" t="s">
        <v>91</v>
      </c>
      <c r="C2630">
        <v>60588</v>
      </c>
      <c r="D2630" t="s">
        <v>694</v>
      </c>
      <c r="E2630" s="7">
        <v>300.74</v>
      </c>
      <c r="F2630" t="s">
        <v>20</v>
      </c>
      <c r="G2630" t="s">
        <v>93</v>
      </c>
      <c r="H2630" t="str">
        <f>"CHECK"</f>
        <v>CHECK</v>
      </c>
      <c r="I2630" t="str">
        <f>""</f>
        <v/>
      </c>
    </row>
    <row r="2631" spans="1:9" x14ac:dyDescent="0.25">
      <c r="A2631" s="6">
        <v>43558</v>
      </c>
      <c r="B2631" t="s">
        <v>26</v>
      </c>
      <c r="C2631">
        <v>60589</v>
      </c>
      <c r="D2631" t="s">
        <v>695</v>
      </c>
      <c r="E2631" s="7">
        <v>4777.5</v>
      </c>
      <c r="F2631" t="s">
        <v>20</v>
      </c>
      <c r="G2631" t="s">
        <v>21</v>
      </c>
      <c r="H2631" t="str">
        <f>"1226465"</f>
        <v>1226465</v>
      </c>
      <c r="I2631" t="str">
        <f>"PAINT"</f>
        <v>PAINT</v>
      </c>
    </row>
    <row r="2632" spans="1:9" x14ac:dyDescent="0.25">
      <c r="A2632" s="6">
        <v>43558</v>
      </c>
      <c r="B2632" t="s">
        <v>26</v>
      </c>
      <c r="C2632">
        <v>60590</v>
      </c>
      <c r="D2632" t="s">
        <v>104</v>
      </c>
      <c r="E2632" s="7">
        <v>995.3</v>
      </c>
      <c r="F2632" t="s">
        <v>20</v>
      </c>
      <c r="G2632" t="s">
        <v>21</v>
      </c>
      <c r="H2632" t="str">
        <f>"1368450306"</f>
        <v>1368450306</v>
      </c>
      <c r="I2632" t="str">
        <f t="shared" ref="I2632:I2639" si="48">"WILSON COUNTY NEWS"</f>
        <v>WILSON COUNTY NEWS</v>
      </c>
    </row>
    <row r="2633" spans="1:9" x14ac:dyDescent="0.25">
      <c r="A2633" s="6">
        <v>43558</v>
      </c>
      <c r="B2633" t="s">
        <v>26</v>
      </c>
      <c r="C2633">
        <v>60590</v>
      </c>
      <c r="D2633" t="s">
        <v>104</v>
      </c>
      <c r="E2633" s="7">
        <v>995.3</v>
      </c>
      <c r="F2633" t="s">
        <v>20</v>
      </c>
      <c r="G2633" t="s">
        <v>21</v>
      </c>
      <c r="H2633" t="str">
        <f>"1368810306"</f>
        <v>1368810306</v>
      </c>
      <c r="I2633" t="str">
        <f t="shared" si="48"/>
        <v>WILSON COUNTY NEWS</v>
      </c>
    </row>
    <row r="2634" spans="1:9" x14ac:dyDescent="0.25">
      <c r="A2634" s="6">
        <v>43558</v>
      </c>
      <c r="B2634" t="s">
        <v>26</v>
      </c>
      <c r="C2634">
        <v>60590</v>
      </c>
      <c r="D2634" t="s">
        <v>104</v>
      </c>
      <c r="E2634" s="7">
        <v>995.3</v>
      </c>
      <c r="F2634" t="s">
        <v>20</v>
      </c>
      <c r="G2634" t="s">
        <v>21</v>
      </c>
      <c r="H2634" t="str">
        <f>"1368810313"</f>
        <v>1368810313</v>
      </c>
      <c r="I2634" t="str">
        <f t="shared" si="48"/>
        <v>WILSON COUNTY NEWS</v>
      </c>
    </row>
    <row r="2635" spans="1:9" x14ac:dyDescent="0.25">
      <c r="A2635" s="6">
        <v>43558</v>
      </c>
      <c r="B2635" t="s">
        <v>26</v>
      </c>
      <c r="C2635">
        <v>60590</v>
      </c>
      <c r="D2635" t="s">
        <v>104</v>
      </c>
      <c r="E2635" s="7">
        <v>995.3</v>
      </c>
      <c r="F2635" t="s">
        <v>20</v>
      </c>
      <c r="G2635" t="s">
        <v>21</v>
      </c>
      <c r="H2635" t="str">
        <f>"1368810320"</f>
        <v>1368810320</v>
      </c>
      <c r="I2635" t="str">
        <f t="shared" si="48"/>
        <v>WILSON COUNTY NEWS</v>
      </c>
    </row>
    <row r="2636" spans="1:9" x14ac:dyDescent="0.25">
      <c r="A2636" s="6">
        <v>43558</v>
      </c>
      <c r="B2636" t="s">
        <v>26</v>
      </c>
      <c r="C2636">
        <v>60590</v>
      </c>
      <c r="D2636" t="s">
        <v>104</v>
      </c>
      <c r="E2636" s="7">
        <v>995.3</v>
      </c>
      <c r="F2636" t="s">
        <v>20</v>
      </c>
      <c r="G2636" t="s">
        <v>21</v>
      </c>
      <c r="H2636" t="str">
        <f>"1368810327"</f>
        <v>1368810327</v>
      </c>
      <c r="I2636" t="str">
        <f t="shared" si="48"/>
        <v>WILSON COUNTY NEWS</v>
      </c>
    </row>
    <row r="2637" spans="1:9" x14ac:dyDescent="0.25">
      <c r="A2637" s="6">
        <v>43558</v>
      </c>
      <c r="B2637" t="s">
        <v>26</v>
      </c>
      <c r="C2637">
        <v>60590</v>
      </c>
      <c r="D2637" t="s">
        <v>104</v>
      </c>
      <c r="E2637" s="7">
        <v>995.3</v>
      </c>
      <c r="F2637" t="s">
        <v>20</v>
      </c>
      <c r="G2637" t="s">
        <v>21</v>
      </c>
      <c r="H2637" t="str">
        <f>"1369140306"</f>
        <v>1369140306</v>
      </c>
      <c r="I2637" t="str">
        <f t="shared" si="48"/>
        <v>WILSON COUNTY NEWS</v>
      </c>
    </row>
    <row r="2638" spans="1:9" x14ac:dyDescent="0.25">
      <c r="A2638" s="6">
        <v>43558</v>
      </c>
      <c r="B2638" t="s">
        <v>26</v>
      </c>
      <c r="C2638">
        <v>60590</v>
      </c>
      <c r="D2638" t="s">
        <v>104</v>
      </c>
      <c r="E2638" s="7">
        <v>995.3</v>
      </c>
      <c r="F2638" t="s">
        <v>20</v>
      </c>
      <c r="G2638" t="s">
        <v>21</v>
      </c>
      <c r="H2638" t="str">
        <f>"1370110313"</f>
        <v>1370110313</v>
      </c>
      <c r="I2638" t="str">
        <f t="shared" si="48"/>
        <v>WILSON COUNTY NEWS</v>
      </c>
    </row>
    <row r="2639" spans="1:9" x14ac:dyDescent="0.25">
      <c r="A2639" s="6">
        <v>43558</v>
      </c>
      <c r="B2639" t="s">
        <v>26</v>
      </c>
      <c r="C2639">
        <v>60590</v>
      </c>
      <c r="D2639" t="s">
        <v>104</v>
      </c>
      <c r="E2639" s="7">
        <v>995.3</v>
      </c>
      <c r="F2639" t="s">
        <v>20</v>
      </c>
      <c r="G2639" t="s">
        <v>21</v>
      </c>
      <c r="H2639" t="str">
        <f>"1370110320"</f>
        <v>1370110320</v>
      </c>
      <c r="I2639" t="str">
        <f t="shared" si="48"/>
        <v>WILSON COUNTY NEWS</v>
      </c>
    </row>
    <row r="2640" spans="1:9" x14ac:dyDescent="0.25">
      <c r="A2640" s="6">
        <v>43558</v>
      </c>
      <c r="B2640" t="s">
        <v>26</v>
      </c>
      <c r="C2640">
        <v>60592</v>
      </c>
      <c r="D2640" t="s">
        <v>345</v>
      </c>
      <c r="E2640" s="7">
        <v>423.5</v>
      </c>
      <c r="F2640" t="s">
        <v>20</v>
      </c>
      <c r="G2640" t="s">
        <v>21</v>
      </c>
      <c r="H2640" t="str">
        <f>"3/30/2019"</f>
        <v>3/30/2019</v>
      </c>
      <c r="I2640" t="str">
        <f>"MICHAEL ISAAC MARTINEZ"</f>
        <v>MICHAEL ISAAC MARTINEZ</v>
      </c>
    </row>
    <row r="2641" spans="1:9" x14ac:dyDescent="0.25">
      <c r="A2641" s="6">
        <v>43558</v>
      </c>
      <c r="B2641" t="s">
        <v>26</v>
      </c>
      <c r="C2641">
        <v>60593</v>
      </c>
      <c r="D2641" t="s">
        <v>696</v>
      </c>
      <c r="E2641" s="7">
        <v>70</v>
      </c>
      <c r="F2641" t="s">
        <v>20</v>
      </c>
      <c r="G2641" t="s">
        <v>21</v>
      </c>
      <c r="H2641" t="str">
        <f>"3/30/2019"</f>
        <v>3/30/2019</v>
      </c>
      <c r="I2641" t="str">
        <f>"ANGEL G. ROSAS"</f>
        <v>ANGEL G. ROSAS</v>
      </c>
    </row>
    <row r="2642" spans="1:9" x14ac:dyDescent="0.25">
      <c r="A2642" s="6">
        <v>43558</v>
      </c>
      <c r="B2642" t="s">
        <v>26</v>
      </c>
      <c r="C2642">
        <v>60594</v>
      </c>
      <c r="D2642" t="s">
        <v>637</v>
      </c>
      <c r="E2642" s="7">
        <v>75</v>
      </c>
      <c r="F2642" t="s">
        <v>20</v>
      </c>
      <c r="G2642" t="s">
        <v>21</v>
      </c>
      <c r="H2642" t="str">
        <f>"Council-COUNCIL"</f>
        <v>Council-COUNCIL</v>
      </c>
      <c r="I2642" t="str">
        <f>"SALARIES"</f>
        <v>SALARIES</v>
      </c>
    </row>
    <row r="2643" spans="1:9" x14ac:dyDescent="0.25">
      <c r="A2643" s="6">
        <v>43558</v>
      </c>
      <c r="B2643" t="s">
        <v>26</v>
      </c>
      <c r="C2643">
        <v>60595</v>
      </c>
      <c r="D2643" t="s">
        <v>223</v>
      </c>
      <c r="E2643" s="7">
        <v>75</v>
      </c>
      <c r="F2643" t="s">
        <v>20</v>
      </c>
      <c r="G2643" t="s">
        <v>21</v>
      </c>
      <c r="H2643" t="str">
        <f>"Council-COUNCIL"</f>
        <v>Council-COUNCIL</v>
      </c>
      <c r="I2643" t="str">
        <f>""</f>
        <v/>
      </c>
    </row>
    <row r="2644" spans="1:9" x14ac:dyDescent="0.25">
      <c r="A2644" s="6">
        <v>43558</v>
      </c>
      <c r="B2644" t="s">
        <v>26</v>
      </c>
      <c r="C2644">
        <v>60596</v>
      </c>
      <c r="D2644" t="s">
        <v>36</v>
      </c>
      <c r="E2644" s="7">
        <v>75</v>
      </c>
      <c r="F2644" t="s">
        <v>20</v>
      </c>
      <c r="G2644" t="s">
        <v>21</v>
      </c>
      <c r="H2644" t="str">
        <f>"Council-COUNCIL"</f>
        <v>Council-COUNCIL</v>
      </c>
      <c r="I2644" t="str">
        <f>""</f>
        <v/>
      </c>
    </row>
    <row r="2645" spans="1:9" x14ac:dyDescent="0.25">
      <c r="A2645" s="6">
        <v>43558</v>
      </c>
      <c r="B2645" t="s">
        <v>26</v>
      </c>
      <c r="C2645">
        <v>60597</v>
      </c>
      <c r="D2645" t="s">
        <v>37</v>
      </c>
      <c r="E2645" s="7">
        <v>75</v>
      </c>
      <c r="F2645" t="s">
        <v>20</v>
      </c>
      <c r="G2645" t="s">
        <v>21</v>
      </c>
      <c r="H2645" t="str">
        <f>"Council-COUNCIL"</f>
        <v>Council-COUNCIL</v>
      </c>
      <c r="I2645" t="str">
        <f>""</f>
        <v/>
      </c>
    </row>
    <row r="2646" spans="1:9" x14ac:dyDescent="0.25">
      <c r="A2646" s="6">
        <v>43558</v>
      </c>
      <c r="B2646" t="s">
        <v>26</v>
      </c>
      <c r="C2646">
        <v>60598</v>
      </c>
      <c r="D2646" t="s">
        <v>38</v>
      </c>
      <c r="E2646" s="7">
        <v>100</v>
      </c>
      <c r="F2646" t="s">
        <v>20</v>
      </c>
      <c r="G2646" t="s">
        <v>21</v>
      </c>
      <c r="H2646" t="str">
        <f>"Council-MAYOR"</f>
        <v>Council-MAYOR</v>
      </c>
      <c r="I2646" t="str">
        <f>""</f>
        <v/>
      </c>
    </row>
    <row r="2647" spans="1:9" x14ac:dyDescent="0.25">
      <c r="A2647" s="6">
        <v>43558</v>
      </c>
      <c r="B2647" t="s">
        <v>26</v>
      </c>
      <c r="C2647">
        <v>60599</v>
      </c>
      <c r="D2647" t="s">
        <v>558</v>
      </c>
      <c r="E2647" s="7">
        <v>75</v>
      </c>
      <c r="F2647" t="s">
        <v>20</v>
      </c>
      <c r="G2647" t="s">
        <v>21</v>
      </c>
      <c r="H2647" t="str">
        <f>"Council-COUNCIL"</f>
        <v>Council-COUNCIL</v>
      </c>
      <c r="I2647" t="str">
        <f>"SALARIES"</f>
        <v>SALARIES</v>
      </c>
    </row>
    <row r="2648" spans="1:9" x14ac:dyDescent="0.25">
      <c r="A2648" s="6">
        <v>43558</v>
      </c>
      <c r="B2648" t="s">
        <v>26</v>
      </c>
      <c r="C2648">
        <v>60600</v>
      </c>
      <c r="D2648" t="s">
        <v>182</v>
      </c>
      <c r="E2648" s="7">
        <v>80</v>
      </c>
      <c r="F2648" t="s">
        <v>20</v>
      </c>
      <c r="G2648" t="s">
        <v>21</v>
      </c>
      <c r="H2648" t="str">
        <f>"ORDER#485303"</f>
        <v>ORDER#485303</v>
      </c>
      <c r="I2648" t="str">
        <f>"DAVID INOUYE"</f>
        <v>DAVID INOUYE</v>
      </c>
    </row>
    <row r="2649" spans="1:9" x14ac:dyDescent="0.25">
      <c r="A2649" s="6">
        <v>43558</v>
      </c>
      <c r="B2649" t="s">
        <v>26</v>
      </c>
      <c r="C2649">
        <v>60600</v>
      </c>
      <c r="D2649" t="s">
        <v>182</v>
      </c>
      <c r="E2649" s="7">
        <v>80</v>
      </c>
      <c r="F2649" t="s">
        <v>20</v>
      </c>
      <c r="G2649" t="s">
        <v>21</v>
      </c>
      <c r="H2649" t="str">
        <f>"ORDER#486393"</f>
        <v>ORDER#486393</v>
      </c>
      <c r="I2649" t="str">
        <f>"DAVID INOUYE"</f>
        <v>DAVID INOUYE</v>
      </c>
    </row>
    <row r="2650" spans="1:9" x14ac:dyDescent="0.25">
      <c r="A2650" s="6">
        <v>43559</v>
      </c>
      <c r="B2650" t="s">
        <v>26</v>
      </c>
      <c r="C2650">
        <v>60601</v>
      </c>
      <c r="D2650" t="s">
        <v>205</v>
      </c>
      <c r="E2650" s="7">
        <v>1039.8499999999999</v>
      </c>
      <c r="F2650" t="s">
        <v>20</v>
      </c>
      <c r="G2650" t="s">
        <v>21</v>
      </c>
      <c r="H2650" t="str">
        <f>"4/4/2019"</f>
        <v>4/4/2019</v>
      </c>
      <c r="I2650" t="str">
        <f>"SILVER EAGLE DISTRIBUTORS"</f>
        <v>SILVER EAGLE DISTRIBUTORS</v>
      </c>
    </row>
    <row r="2651" spans="1:9" x14ac:dyDescent="0.25">
      <c r="A2651" s="6">
        <v>43567</v>
      </c>
      <c r="B2651" t="s">
        <v>26</v>
      </c>
      <c r="C2651">
        <v>60611</v>
      </c>
      <c r="D2651" t="s">
        <v>51</v>
      </c>
      <c r="E2651" s="7">
        <v>327.84</v>
      </c>
      <c r="F2651" t="s">
        <v>20</v>
      </c>
      <c r="G2651" t="s">
        <v>21</v>
      </c>
      <c r="H2651" t="str">
        <f>"CLE201904108512"</f>
        <v>CLE201904108512</v>
      </c>
      <c r="I2651" t="str">
        <f>"CLEAT ONLY DUES"</f>
        <v>CLEAT ONLY DUES</v>
      </c>
    </row>
    <row r="2652" spans="1:9" x14ac:dyDescent="0.25">
      <c r="A2652" s="6">
        <v>43567</v>
      </c>
      <c r="B2652" t="s">
        <v>26</v>
      </c>
      <c r="C2652">
        <v>60611</v>
      </c>
      <c r="D2652" t="s">
        <v>51</v>
      </c>
      <c r="E2652" s="7">
        <v>327.84</v>
      </c>
      <c r="F2652" t="s">
        <v>20</v>
      </c>
      <c r="G2652" t="s">
        <v>21</v>
      </c>
      <c r="H2652" t="str">
        <f>"PDD201904108512"</f>
        <v>PDD201904108512</v>
      </c>
      <c r="I2652" t="str">
        <f>"POLICE OFFICERS ASSOC DUES"</f>
        <v>POLICE OFFICERS ASSOC DUES</v>
      </c>
    </row>
    <row r="2653" spans="1:9" x14ac:dyDescent="0.25">
      <c r="A2653" s="6">
        <v>43567</v>
      </c>
      <c r="B2653" t="s">
        <v>91</v>
      </c>
      <c r="C2653">
        <v>60612</v>
      </c>
      <c r="D2653" t="s">
        <v>90</v>
      </c>
      <c r="E2653" s="7">
        <v>101.1</v>
      </c>
      <c r="F2653" t="s">
        <v>20</v>
      </c>
      <c r="G2653" t="s">
        <v>21</v>
      </c>
      <c r="H2653" t="str">
        <f>"AFS201904108512"</f>
        <v>AFS201904108512</v>
      </c>
      <c r="I2653" t="str">
        <f>"AFLAC STD"</f>
        <v>AFLAC STD</v>
      </c>
    </row>
    <row r="2654" spans="1:9" x14ac:dyDescent="0.25">
      <c r="A2654" s="6">
        <v>43567</v>
      </c>
      <c r="B2654" t="s">
        <v>26</v>
      </c>
      <c r="C2654">
        <v>60613</v>
      </c>
      <c r="D2654" t="s">
        <v>52</v>
      </c>
      <c r="E2654" s="7">
        <v>1371.29</v>
      </c>
      <c r="F2654" t="s">
        <v>20</v>
      </c>
      <c r="G2654" t="s">
        <v>21</v>
      </c>
      <c r="H2654" t="str">
        <f>"CJD201904108512"</f>
        <v>CJD201904108512</v>
      </c>
      <c r="I2654" t="str">
        <f>"1371990918080637CV RUBI MUNOZ"</f>
        <v>1371990918080637CV RUBI MUNOZ</v>
      </c>
    </row>
    <row r="2655" spans="1:9" x14ac:dyDescent="0.25">
      <c r="A2655" s="6">
        <v>43567</v>
      </c>
      <c r="B2655" t="s">
        <v>26</v>
      </c>
      <c r="C2655">
        <v>60613</v>
      </c>
      <c r="D2655" t="s">
        <v>52</v>
      </c>
      <c r="E2655" s="7">
        <v>1371.29</v>
      </c>
      <c r="F2655" t="s">
        <v>20</v>
      </c>
      <c r="G2655" t="s">
        <v>21</v>
      </c>
      <c r="H2655" t="str">
        <f>"CPS201904108512"</f>
        <v>CPS201904108512</v>
      </c>
      <c r="I2655" t="str">
        <f>"G MENDOZA 00123012032010EM5054"</f>
        <v>G MENDOZA 00123012032010EM5054</v>
      </c>
    </row>
    <row r="2656" spans="1:9" x14ac:dyDescent="0.25">
      <c r="A2656" s="6">
        <v>43567</v>
      </c>
      <c r="B2656" t="s">
        <v>26</v>
      </c>
      <c r="C2656">
        <v>60613</v>
      </c>
      <c r="D2656" t="s">
        <v>52</v>
      </c>
      <c r="E2656" s="7">
        <v>1371.29</v>
      </c>
      <c r="F2656" t="s">
        <v>20</v>
      </c>
      <c r="G2656" t="s">
        <v>21</v>
      </c>
      <c r="H2656" t="str">
        <f>"CS 201904108512"</f>
        <v>CS 201904108512</v>
      </c>
      <c r="I2656" t="str">
        <f>"CAUSE#98EM504113 PEGGY RIVAS"</f>
        <v>CAUSE#98EM504113 PEGGY RIVAS</v>
      </c>
    </row>
    <row r="2657" spans="1:9" x14ac:dyDescent="0.25">
      <c r="A2657" s="6">
        <v>43567</v>
      </c>
      <c r="B2657" t="s">
        <v>26</v>
      </c>
      <c r="C2657">
        <v>60613</v>
      </c>
      <c r="D2657" t="s">
        <v>52</v>
      </c>
      <c r="E2657" s="7">
        <v>1371.29</v>
      </c>
      <c r="F2657" t="s">
        <v>20</v>
      </c>
      <c r="G2657" t="s">
        <v>21</v>
      </c>
      <c r="H2657" t="str">
        <f>"CSJ201904108512"</f>
        <v>CSJ201904108512</v>
      </c>
      <c r="I2657" t="str">
        <f>"CAUSE# 0010185272 MARIANN GUTI"</f>
        <v>CAUSE# 0010185272 MARIANN GUTI</v>
      </c>
    </row>
    <row r="2658" spans="1:9" x14ac:dyDescent="0.25">
      <c r="A2658" s="6">
        <v>43567</v>
      </c>
      <c r="B2658" t="s">
        <v>26</v>
      </c>
      <c r="C2658">
        <v>60614</v>
      </c>
      <c r="D2658" t="s">
        <v>65</v>
      </c>
      <c r="E2658" s="7">
        <v>54</v>
      </c>
      <c r="F2658" t="s">
        <v>20</v>
      </c>
      <c r="G2658" t="s">
        <v>21</v>
      </c>
      <c r="H2658" t="str">
        <f>"7449 4/2019"</f>
        <v>7449 4/2019</v>
      </c>
      <c r="I2658" t="str">
        <f>"SAM'S CLUB/SYNCHRONY BANK"</f>
        <v>SAM'S CLUB/SYNCHRONY BANK</v>
      </c>
    </row>
    <row r="2659" spans="1:9" x14ac:dyDescent="0.25">
      <c r="A2659" s="6">
        <v>43567</v>
      </c>
      <c r="B2659" t="s">
        <v>26</v>
      </c>
      <c r="C2659">
        <v>60615</v>
      </c>
      <c r="D2659" t="s">
        <v>53</v>
      </c>
      <c r="E2659" s="7">
        <v>99.1</v>
      </c>
      <c r="F2659" t="s">
        <v>20</v>
      </c>
      <c r="G2659" t="s">
        <v>21</v>
      </c>
      <c r="H2659" t="str">
        <f>"MCO201904108512"</f>
        <v>MCO201904108512</v>
      </c>
      <c r="I2659" t="str">
        <f>"MONICA CORDOVA"</f>
        <v>MONICA CORDOVA</v>
      </c>
    </row>
    <row r="2660" spans="1:9" x14ac:dyDescent="0.25">
      <c r="A2660" s="6">
        <v>43567</v>
      </c>
      <c r="B2660" t="s">
        <v>26</v>
      </c>
      <c r="C2660">
        <v>60616</v>
      </c>
      <c r="D2660" t="s">
        <v>54</v>
      </c>
      <c r="E2660" s="7">
        <v>877.1</v>
      </c>
      <c r="F2660" t="s">
        <v>20</v>
      </c>
      <c r="G2660" t="s">
        <v>21</v>
      </c>
      <c r="H2660" t="str">
        <f>"457201904108512"</f>
        <v>457201904108512</v>
      </c>
      <c r="I2660" t="str">
        <f>"CASE # 180-60751 457B DEDUCT"</f>
        <v>CASE # 180-60751 457B DEDUCT</v>
      </c>
    </row>
    <row r="2661" spans="1:9" x14ac:dyDescent="0.25">
      <c r="A2661" s="6">
        <v>43565</v>
      </c>
      <c r="B2661" t="s">
        <v>26</v>
      </c>
      <c r="C2661">
        <v>60618</v>
      </c>
      <c r="D2661" t="s">
        <v>472</v>
      </c>
      <c r="E2661" s="7">
        <v>7</v>
      </c>
      <c r="F2661" t="s">
        <v>20</v>
      </c>
      <c r="G2661" t="s">
        <v>21</v>
      </c>
      <c r="H2661" t="str">
        <f>"0230239"</f>
        <v>0230239</v>
      </c>
      <c r="I2661" t="str">
        <f>"WILSON COUNTY CLERK  EVA S. MA"</f>
        <v>WILSON COUNTY CLERK  EVA S. MA</v>
      </c>
    </row>
    <row r="2662" spans="1:9" x14ac:dyDescent="0.25">
      <c r="A2662" s="6">
        <v>43565</v>
      </c>
      <c r="B2662" t="s">
        <v>26</v>
      </c>
      <c r="C2662">
        <v>60619</v>
      </c>
      <c r="D2662" t="s">
        <v>366</v>
      </c>
      <c r="E2662" s="7">
        <v>18387.52</v>
      </c>
      <c r="F2662" t="s">
        <v>20</v>
      </c>
      <c r="G2662" t="s">
        <v>21</v>
      </c>
      <c r="H2662" t="str">
        <f>"QRT RPT 3/31/2019"</f>
        <v>QRT RPT 3/31/2019</v>
      </c>
      <c r="I2662" t="str">
        <f>"COMPTROLLER OF PUBLIC ACCOUNTS"</f>
        <v>COMPTROLLER OF PUBLIC ACCOUNTS</v>
      </c>
    </row>
    <row r="2663" spans="1:9" x14ac:dyDescent="0.25">
      <c r="A2663" s="6">
        <v>43565</v>
      </c>
      <c r="B2663" t="s">
        <v>26</v>
      </c>
      <c r="C2663">
        <v>60620</v>
      </c>
      <c r="D2663" t="s">
        <v>202</v>
      </c>
      <c r="E2663" s="7">
        <v>4566.12</v>
      </c>
      <c r="F2663" t="s">
        <v>20</v>
      </c>
      <c r="G2663" t="s">
        <v>21</v>
      </c>
      <c r="H2663" t="str">
        <f>"61881931"</f>
        <v>61881931</v>
      </c>
      <c r="I2663" t="str">
        <f>"ASPHALT"</f>
        <v>ASPHALT</v>
      </c>
    </row>
    <row r="2664" spans="1:9" x14ac:dyDescent="0.25">
      <c r="A2664" s="6">
        <v>43565</v>
      </c>
      <c r="B2664" t="s">
        <v>91</v>
      </c>
      <c r="C2664">
        <v>60621</v>
      </c>
      <c r="D2664" t="s">
        <v>240</v>
      </c>
      <c r="E2664" s="7">
        <v>1363.75</v>
      </c>
      <c r="F2664" t="s">
        <v>20</v>
      </c>
      <c r="G2664" t="s">
        <v>21</v>
      </c>
      <c r="H2664" t="str">
        <f>"0164867-IN"</f>
        <v>0164867-IN</v>
      </c>
      <c r="I2664" t="str">
        <f>"PATCHES AND BADGES"</f>
        <v>PATCHES AND BADGES</v>
      </c>
    </row>
    <row r="2665" spans="1:9" x14ac:dyDescent="0.25">
      <c r="A2665" s="6">
        <v>43565</v>
      </c>
      <c r="B2665" t="s">
        <v>91</v>
      </c>
      <c r="C2665">
        <v>60621</v>
      </c>
      <c r="D2665" t="s">
        <v>240</v>
      </c>
      <c r="E2665" s="7">
        <v>1363.75</v>
      </c>
      <c r="F2665" t="s">
        <v>20</v>
      </c>
      <c r="G2665" t="s">
        <v>21</v>
      </c>
      <c r="H2665" t="str">
        <f>"0165212-IN"</f>
        <v>0165212-IN</v>
      </c>
      <c r="I2665" t="str">
        <f>"UNIFORMS"</f>
        <v>UNIFORMS</v>
      </c>
    </row>
    <row r="2666" spans="1:9" x14ac:dyDescent="0.25">
      <c r="A2666" s="6">
        <v>43565</v>
      </c>
      <c r="B2666" t="s">
        <v>91</v>
      </c>
      <c r="C2666">
        <v>60621</v>
      </c>
      <c r="D2666" t="s">
        <v>240</v>
      </c>
      <c r="E2666" s="7">
        <v>1363.75</v>
      </c>
      <c r="F2666" t="s">
        <v>20</v>
      </c>
      <c r="G2666" t="s">
        <v>93</v>
      </c>
      <c r="H2666" t="str">
        <f>"CHECK"</f>
        <v>CHECK</v>
      </c>
      <c r="I2666" t="str">
        <f>""</f>
        <v/>
      </c>
    </row>
    <row r="2667" spans="1:9" x14ac:dyDescent="0.25">
      <c r="A2667" s="6">
        <v>43565</v>
      </c>
      <c r="B2667" t="s">
        <v>26</v>
      </c>
      <c r="C2667">
        <v>60622</v>
      </c>
      <c r="D2667" t="s">
        <v>110</v>
      </c>
      <c r="E2667" s="7">
        <v>2634.13</v>
      </c>
      <c r="F2667" t="s">
        <v>20</v>
      </c>
      <c r="G2667" t="s">
        <v>21</v>
      </c>
      <c r="H2667" t="str">
        <f>"1462061"</f>
        <v>1462061</v>
      </c>
      <c r="I2667" t="str">
        <f t="shared" ref="I2667:I2678" si="49">"BUREAU VERITAS NORTH AMERICA"</f>
        <v>BUREAU VERITAS NORTH AMERICA</v>
      </c>
    </row>
    <row r="2668" spans="1:9" x14ac:dyDescent="0.25">
      <c r="A2668" s="6">
        <v>43565</v>
      </c>
      <c r="B2668" t="s">
        <v>26</v>
      </c>
      <c r="C2668">
        <v>60622</v>
      </c>
      <c r="D2668" t="s">
        <v>110</v>
      </c>
      <c r="E2668" s="7">
        <v>2634.13</v>
      </c>
      <c r="F2668" t="s">
        <v>20</v>
      </c>
      <c r="G2668" t="s">
        <v>21</v>
      </c>
      <c r="H2668" t="str">
        <f>"1462062"</f>
        <v>1462062</v>
      </c>
      <c r="I2668" t="str">
        <f t="shared" si="49"/>
        <v>BUREAU VERITAS NORTH AMERICA</v>
      </c>
    </row>
    <row r="2669" spans="1:9" x14ac:dyDescent="0.25">
      <c r="A2669" s="6">
        <v>43565</v>
      </c>
      <c r="B2669" t="s">
        <v>26</v>
      </c>
      <c r="C2669">
        <v>60622</v>
      </c>
      <c r="D2669" t="s">
        <v>110</v>
      </c>
      <c r="E2669" s="7">
        <v>2634.13</v>
      </c>
      <c r="F2669" t="s">
        <v>20</v>
      </c>
      <c r="G2669" t="s">
        <v>21</v>
      </c>
      <c r="H2669" t="str">
        <f>"1462063"</f>
        <v>1462063</v>
      </c>
      <c r="I2669" t="str">
        <f t="shared" si="49"/>
        <v>BUREAU VERITAS NORTH AMERICA</v>
      </c>
    </row>
    <row r="2670" spans="1:9" x14ac:dyDescent="0.25">
      <c r="A2670" s="6">
        <v>43565</v>
      </c>
      <c r="B2670" t="s">
        <v>26</v>
      </c>
      <c r="C2670">
        <v>60622</v>
      </c>
      <c r="D2670" t="s">
        <v>110</v>
      </c>
      <c r="E2670" s="7">
        <v>2634.13</v>
      </c>
      <c r="F2670" t="s">
        <v>20</v>
      </c>
      <c r="G2670" t="s">
        <v>21</v>
      </c>
      <c r="H2670" t="str">
        <f>"1462064"</f>
        <v>1462064</v>
      </c>
      <c r="I2670" t="str">
        <f t="shared" si="49"/>
        <v>BUREAU VERITAS NORTH AMERICA</v>
      </c>
    </row>
    <row r="2671" spans="1:9" x14ac:dyDescent="0.25">
      <c r="A2671" s="6">
        <v>43565</v>
      </c>
      <c r="B2671" t="s">
        <v>26</v>
      </c>
      <c r="C2671">
        <v>60622</v>
      </c>
      <c r="D2671" t="s">
        <v>110</v>
      </c>
      <c r="E2671" s="7">
        <v>2634.13</v>
      </c>
      <c r="F2671" t="s">
        <v>20</v>
      </c>
      <c r="G2671" t="s">
        <v>21</v>
      </c>
      <c r="H2671" t="str">
        <f>"1462065"</f>
        <v>1462065</v>
      </c>
      <c r="I2671" t="str">
        <f t="shared" si="49"/>
        <v>BUREAU VERITAS NORTH AMERICA</v>
      </c>
    </row>
    <row r="2672" spans="1:9" x14ac:dyDescent="0.25">
      <c r="A2672" s="6">
        <v>43565</v>
      </c>
      <c r="B2672" t="s">
        <v>26</v>
      </c>
      <c r="C2672">
        <v>60622</v>
      </c>
      <c r="D2672" t="s">
        <v>110</v>
      </c>
      <c r="E2672" s="7">
        <v>2634.13</v>
      </c>
      <c r="F2672" t="s">
        <v>20</v>
      </c>
      <c r="G2672" t="s">
        <v>21</v>
      </c>
      <c r="H2672" t="str">
        <f>"1462066"</f>
        <v>1462066</v>
      </c>
      <c r="I2672" t="str">
        <f t="shared" si="49"/>
        <v>BUREAU VERITAS NORTH AMERICA</v>
      </c>
    </row>
    <row r="2673" spans="1:9" x14ac:dyDescent="0.25">
      <c r="A2673" s="6">
        <v>43565</v>
      </c>
      <c r="B2673" t="s">
        <v>26</v>
      </c>
      <c r="C2673">
        <v>60622</v>
      </c>
      <c r="D2673" t="s">
        <v>110</v>
      </c>
      <c r="E2673" s="7">
        <v>2634.13</v>
      </c>
      <c r="F2673" t="s">
        <v>20</v>
      </c>
      <c r="G2673" t="s">
        <v>21</v>
      </c>
      <c r="H2673" t="str">
        <f>"1462067"</f>
        <v>1462067</v>
      </c>
      <c r="I2673" t="str">
        <f t="shared" si="49"/>
        <v>BUREAU VERITAS NORTH AMERICA</v>
      </c>
    </row>
    <row r="2674" spans="1:9" x14ac:dyDescent="0.25">
      <c r="A2674" s="6">
        <v>43565</v>
      </c>
      <c r="B2674" t="s">
        <v>26</v>
      </c>
      <c r="C2674">
        <v>60622</v>
      </c>
      <c r="D2674" t="s">
        <v>110</v>
      </c>
      <c r="E2674" s="7">
        <v>2634.13</v>
      </c>
      <c r="F2674" t="s">
        <v>20</v>
      </c>
      <c r="G2674" t="s">
        <v>21</v>
      </c>
      <c r="H2674" t="str">
        <f>"1462068"</f>
        <v>1462068</v>
      </c>
      <c r="I2674" t="str">
        <f t="shared" si="49"/>
        <v>BUREAU VERITAS NORTH AMERICA</v>
      </c>
    </row>
    <row r="2675" spans="1:9" x14ac:dyDescent="0.25">
      <c r="A2675" s="6">
        <v>43565</v>
      </c>
      <c r="B2675" t="s">
        <v>26</v>
      </c>
      <c r="C2675">
        <v>60622</v>
      </c>
      <c r="D2675" t="s">
        <v>110</v>
      </c>
      <c r="E2675" s="7">
        <v>2634.13</v>
      </c>
      <c r="F2675" t="s">
        <v>20</v>
      </c>
      <c r="G2675" t="s">
        <v>21</v>
      </c>
      <c r="H2675" t="str">
        <f>"1462069"</f>
        <v>1462069</v>
      </c>
      <c r="I2675" t="str">
        <f t="shared" si="49"/>
        <v>BUREAU VERITAS NORTH AMERICA</v>
      </c>
    </row>
    <row r="2676" spans="1:9" x14ac:dyDescent="0.25">
      <c r="A2676" s="6">
        <v>43565</v>
      </c>
      <c r="B2676" t="s">
        <v>26</v>
      </c>
      <c r="C2676">
        <v>60622</v>
      </c>
      <c r="D2676" t="s">
        <v>110</v>
      </c>
      <c r="E2676" s="7">
        <v>2634.13</v>
      </c>
      <c r="F2676" t="s">
        <v>20</v>
      </c>
      <c r="G2676" t="s">
        <v>21</v>
      </c>
      <c r="H2676" t="str">
        <f>"1462070"</f>
        <v>1462070</v>
      </c>
      <c r="I2676" t="str">
        <f t="shared" si="49"/>
        <v>BUREAU VERITAS NORTH AMERICA</v>
      </c>
    </row>
    <row r="2677" spans="1:9" x14ac:dyDescent="0.25">
      <c r="A2677" s="6">
        <v>43565</v>
      </c>
      <c r="B2677" t="s">
        <v>26</v>
      </c>
      <c r="C2677">
        <v>60622</v>
      </c>
      <c r="D2677" t="s">
        <v>110</v>
      </c>
      <c r="E2677" s="7">
        <v>2634.13</v>
      </c>
      <c r="F2677" t="s">
        <v>20</v>
      </c>
      <c r="G2677" t="s">
        <v>21</v>
      </c>
      <c r="H2677" t="str">
        <f>"1462072"</f>
        <v>1462072</v>
      </c>
      <c r="I2677" t="str">
        <f t="shared" si="49"/>
        <v>BUREAU VERITAS NORTH AMERICA</v>
      </c>
    </row>
    <row r="2678" spans="1:9" x14ac:dyDescent="0.25">
      <c r="A2678" s="6">
        <v>43565</v>
      </c>
      <c r="B2678" t="s">
        <v>26</v>
      </c>
      <c r="C2678">
        <v>60622</v>
      </c>
      <c r="D2678" t="s">
        <v>110</v>
      </c>
      <c r="E2678" s="7">
        <v>2634.13</v>
      </c>
      <c r="F2678" t="s">
        <v>20</v>
      </c>
      <c r="G2678" t="s">
        <v>21</v>
      </c>
      <c r="H2678" t="str">
        <f>"1462073"</f>
        <v>1462073</v>
      </c>
      <c r="I2678" t="str">
        <f t="shared" si="49"/>
        <v>BUREAU VERITAS NORTH AMERICA</v>
      </c>
    </row>
    <row r="2679" spans="1:9" x14ac:dyDescent="0.25">
      <c r="A2679" s="6">
        <v>43565</v>
      </c>
      <c r="B2679" t="s">
        <v>26</v>
      </c>
      <c r="C2679">
        <v>60624</v>
      </c>
      <c r="D2679" t="s">
        <v>213</v>
      </c>
      <c r="E2679" s="7">
        <v>389.2</v>
      </c>
      <c r="F2679" t="s">
        <v>20</v>
      </c>
      <c r="G2679" t="s">
        <v>21</v>
      </c>
      <c r="H2679" t="str">
        <f>"MARCH 2019"</f>
        <v>MARCH 2019</v>
      </c>
      <c r="I2679" t="str">
        <f>"RIVER BEND COMMUNITY DEVELOPME"</f>
        <v>RIVER BEND COMMUNITY DEVELOPME</v>
      </c>
    </row>
    <row r="2680" spans="1:9" x14ac:dyDescent="0.25">
      <c r="A2680" s="6">
        <v>43565</v>
      </c>
      <c r="B2680" t="s">
        <v>26</v>
      </c>
      <c r="C2680">
        <v>60625</v>
      </c>
      <c r="D2680" t="s">
        <v>368</v>
      </c>
      <c r="E2680" s="7">
        <v>15750</v>
      </c>
      <c r="F2680" t="s">
        <v>20</v>
      </c>
      <c r="G2680" t="s">
        <v>21</v>
      </c>
      <c r="H2680" t="str">
        <f>"2ND PAYMENT 4/8/19"</f>
        <v>2ND PAYMENT 4/8/19</v>
      </c>
      <c r="I2680" t="str">
        <f>"FLORESVILLE FIRE DEPARTMENT"</f>
        <v>FLORESVILLE FIRE DEPARTMENT</v>
      </c>
    </row>
    <row r="2681" spans="1:9" x14ac:dyDescent="0.25">
      <c r="A2681" s="6">
        <v>43565</v>
      </c>
      <c r="B2681" t="s">
        <v>26</v>
      </c>
      <c r="C2681">
        <v>60626</v>
      </c>
      <c r="D2681" t="s">
        <v>71</v>
      </c>
      <c r="E2681" s="7">
        <v>53.21</v>
      </c>
      <c r="F2681" t="s">
        <v>20</v>
      </c>
      <c r="G2681" t="s">
        <v>21</v>
      </c>
      <c r="H2681" t="str">
        <f>"4019129166"</f>
        <v>4019129166</v>
      </c>
      <c r="I2681" t="str">
        <f>"CINTAS CORPORATION #087"</f>
        <v>CINTAS CORPORATION #087</v>
      </c>
    </row>
    <row r="2682" spans="1:9" x14ac:dyDescent="0.25">
      <c r="A2682" s="6">
        <v>43565</v>
      </c>
      <c r="B2682" t="s">
        <v>26</v>
      </c>
      <c r="C2682">
        <v>60627</v>
      </c>
      <c r="D2682" t="s">
        <v>73</v>
      </c>
      <c r="E2682" s="7">
        <v>43014</v>
      </c>
      <c r="F2682" t="s">
        <v>20</v>
      </c>
      <c r="G2682" t="s">
        <v>21</v>
      </c>
      <c r="H2682" t="str">
        <f>"8027 4/1/2019"</f>
        <v>8027 4/1/2019</v>
      </c>
      <c r="I2682" t="str">
        <f>"TML INTERGOVERNMENTAL RISK POO"</f>
        <v>TML INTERGOVERNMENTAL RISK POO</v>
      </c>
    </row>
    <row r="2683" spans="1:9" x14ac:dyDescent="0.25">
      <c r="A2683" s="6">
        <v>43565</v>
      </c>
      <c r="B2683" t="s">
        <v>26</v>
      </c>
      <c r="C2683">
        <v>60628</v>
      </c>
      <c r="D2683" t="s">
        <v>45</v>
      </c>
      <c r="E2683" s="7">
        <v>314.94</v>
      </c>
      <c r="F2683" t="s">
        <v>20</v>
      </c>
      <c r="G2683" t="s">
        <v>21</v>
      </c>
      <c r="H2683" t="str">
        <f>"GFOAT CONF.4/14-16"</f>
        <v>GFOAT CONF.4/14-16</v>
      </c>
      <c r="I2683" t="str">
        <f>"CONNIE MORENO"</f>
        <v>CONNIE MORENO</v>
      </c>
    </row>
    <row r="2684" spans="1:9" x14ac:dyDescent="0.25">
      <c r="A2684" s="6">
        <v>43565</v>
      </c>
      <c r="B2684" t="s">
        <v>26</v>
      </c>
      <c r="C2684">
        <v>60629</v>
      </c>
      <c r="D2684" t="s">
        <v>147</v>
      </c>
      <c r="E2684" s="7">
        <v>101.7</v>
      </c>
      <c r="F2684" t="s">
        <v>20</v>
      </c>
      <c r="G2684" t="s">
        <v>21</v>
      </c>
      <c r="H2684" t="str">
        <f>"1113"</f>
        <v>1113</v>
      </c>
      <c r="I2684" t="str">
        <f>"SRALLA ELECTRIC"</f>
        <v>SRALLA ELECTRIC</v>
      </c>
    </row>
    <row r="2685" spans="1:9" x14ac:dyDescent="0.25">
      <c r="A2685" s="6">
        <v>43565</v>
      </c>
      <c r="B2685" t="s">
        <v>26</v>
      </c>
      <c r="C2685">
        <v>60630</v>
      </c>
      <c r="D2685" t="s">
        <v>85</v>
      </c>
      <c r="E2685" s="7">
        <v>450.85</v>
      </c>
      <c r="F2685" t="s">
        <v>20</v>
      </c>
      <c r="G2685" t="s">
        <v>21</v>
      </c>
      <c r="H2685" t="str">
        <f>"3937070 4/19"</f>
        <v>3937070 4/19</v>
      </c>
      <c r="I2685" t="str">
        <f>"FRONTIER"</f>
        <v>FRONTIER</v>
      </c>
    </row>
    <row r="2686" spans="1:9" x14ac:dyDescent="0.25">
      <c r="A2686" s="6">
        <v>43565</v>
      </c>
      <c r="B2686" t="s">
        <v>26</v>
      </c>
      <c r="C2686">
        <v>60631</v>
      </c>
      <c r="D2686" t="s">
        <v>345</v>
      </c>
      <c r="E2686" s="7">
        <v>396</v>
      </c>
      <c r="F2686" t="s">
        <v>20</v>
      </c>
      <c r="G2686" t="s">
        <v>21</v>
      </c>
      <c r="H2686" t="str">
        <f>"4/8/2019"</f>
        <v>4/8/2019</v>
      </c>
      <c r="I2686" t="str">
        <f>"MICHAEL ISAAC MARTINEZ"</f>
        <v>MICHAEL ISAAC MARTINEZ</v>
      </c>
    </row>
    <row r="2687" spans="1:9" x14ac:dyDescent="0.25">
      <c r="A2687" s="6">
        <v>43565</v>
      </c>
      <c r="B2687" t="s">
        <v>26</v>
      </c>
      <c r="C2687">
        <v>60632</v>
      </c>
      <c r="D2687" t="s">
        <v>443</v>
      </c>
      <c r="E2687" s="7">
        <v>4116.67</v>
      </c>
      <c r="F2687" t="s">
        <v>20</v>
      </c>
      <c r="G2687" t="s">
        <v>21</v>
      </c>
      <c r="H2687" t="str">
        <f>"10549"</f>
        <v>10549</v>
      </c>
      <c r="I2687" t="str">
        <f>"RIOJAS TURF CARE  LLC"</f>
        <v>RIOJAS TURF CARE  LLC</v>
      </c>
    </row>
    <row r="2688" spans="1:9" x14ac:dyDescent="0.25">
      <c r="A2688" s="6">
        <v>43565</v>
      </c>
      <c r="B2688" t="s">
        <v>26</v>
      </c>
      <c r="C2688">
        <v>60633</v>
      </c>
      <c r="D2688" t="s">
        <v>523</v>
      </c>
      <c r="E2688" s="7">
        <v>70</v>
      </c>
      <c r="F2688" t="s">
        <v>20</v>
      </c>
      <c r="G2688" t="s">
        <v>21</v>
      </c>
      <c r="H2688" t="str">
        <f>"4/6/19"</f>
        <v>4/6/19</v>
      </c>
      <c r="I2688" t="str">
        <f>"CLAUDIA GARZA"</f>
        <v>CLAUDIA GARZA</v>
      </c>
    </row>
    <row r="2689" spans="1:9" x14ac:dyDescent="0.25">
      <c r="A2689" s="6">
        <v>43565</v>
      </c>
      <c r="B2689" t="s">
        <v>26</v>
      </c>
      <c r="C2689">
        <v>60634</v>
      </c>
      <c r="D2689" t="s">
        <v>539</v>
      </c>
      <c r="E2689" s="7">
        <v>70</v>
      </c>
      <c r="F2689" t="s">
        <v>20</v>
      </c>
      <c r="G2689" t="s">
        <v>21</v>
      </c>
      <c r="H2689" t="str">
        <f>"4/6/19"</f>
        <v>4/6/19</v>
      </c>
      <c r="I2689" t="str">
        <f>"YVONNE G GARCIA"</f>
        <v>YVONNE G GARCIA</v>
      </c>
    </row>
    <row r="2690" spans="1:9" x14ac:dyDescent="0.25">
      <c r="A2690" s="6">
        <v>43565</v>
      </c>
      <c r="B2690" t="s">
        <v>26</v>
      </c>
      <c r="C2690">
        <v>60635</v>
      </c>
      <c r="D2690" t="s">
        <v>596</v>
      </c>
      <c r="E2690" s="7">
        <v>70</v>
      </c>
      <c r="F2690" t="s">
        <v>20</v>
      </c>
      <c r="G2690" t="s">
        <v>21</v>
      </c>
      <c r="H2690" t="str">
        <f>"4/6/19"</f>
        <v>4/6/19</v>
      </c>
      <c r="I2690" t="str">
        <f>"GRACE PIERCE"</f>
        <v>GRACE PIERCE</v>
      </c>
    </row>
    <row r="2691" spans="1:9" x14ac:dyDescent="0.25">
      <c r="A2691" s="6">
        <v>43565</v>
      </c>
      <c r="B2691" t="s">
        <v>26</v>
      </c>
      <c r="C2691">
        <v>60636</v>
      </c>
      <c r="D2691" t="s">
        <v>640</v>
      </c>
      <c r="E2691" s="7">
        <v>1540</v>
      </c>
      <c r="F2691" t="s">
        <v>20</v>
      </c>
      <c r="G2691" t="s">
        <v>21</v>
      </c>
      <c r="H2691" t="str">
        <f>"6/23/19 BRIDAL EXT"</f>
        <v>6/23/19 BRIDAL EXT</v>
      </c>
      <c r="I2691" t="str">
        <f>"TEXAS WEDDINGS  LTD"</f>
        <v>TEXAS WEDDINGS  LTD</v>
      </c>
    </row>
    <row r="2692" spans="1:9" x14ac:dyDescent="0.25">
      <c r="A2692" s="6">
        <v>43565</v>
      </c>
      <c r="B2692" t="s">
        <v>26</v>
      </c>
      <c r="C2692">
        <v>60637</v>
      </c>
      <c r="D2692" t="s">
        <v>644</v>
      </c>
      <c r="E2692" s="7">
        <v>151.83000000000001</v>
      </c>
      <c r="F2692" t="s">
        <v>20</v>
      </c>
      <c r="G2692" t="s">
        <v>21</v>
      </c>
      <c r="H2692" t="str">
        <f>"8213300831"</f>
        <v>8213300831</v>
      </c>
      <c r="I2692" t="str">
        <f>"UNIFIRST CORPORATION"</f>
        <v>UNIFIRST CORPORATION</v>
      </c>
    </row>
    <row r="2693" spans="1:9" x14ac:dyDescent="0.25">
      <c r="A2693" s="6">
        <v>43565</v>
      </c>
      <c r="B2693" t="s">
        <v>26</v>
      </c>
      <c r="C2693">
        <v>60638</v>
      </c>
      <c r="D2693" t="s">
        <v>696</v>
      </c>
      <c r="E2693" s="7">
        <v>70</v>
      </c>
      <c r="F2693" t="s">
        <v>20</v>
      </c>
      <c r="G2693" t="s">
        <v>21</v>
      </c>
      <c r="H2693" t="str">
        <f>"4/6/19"</f>
        <v>4/6/19</v>
      </c>
      <c r="I2693" t="str">
        <f>"ANGEL G. ROSAS"</f>
        <v>ANGEL G. ROSAS</v>
      </c>
    </row>
    <row r="2694" spans="1:9" x14ac:dyDescent="0.25">
      <c r="A2694" s="6">
        <v>43565</v>
      </c>
      <c r="B2694" t="s">
        <v>26</v>
      </c>
      <c r="C2694">
        <v>60639</v>
      </c>
      <c r="D2694" t="s">
        <v>697</v>
      </c>
      <c r="E2694" s="7">
        <v>70</v>
      </c>
      <c r="F2694" t="s">
        <v>20</v>
      </c>
      <c r="G2694" t="s">
        <v>21</v>
      </c>
      <c r="H2694" t="str">
        <f>"4/6/19"</f>
        <v>4/6/19</v>
      </c>
      <c r="I2694" t="str">
        <f>"OLIVIA SOTO"</f>
        <v>OLIVIA SOTO</v>
      </c>
    </row>
    <row r="2695" spans="1:9" x14ac:dyDescent="0.25">
      <c r="A2695" s="6">
        <v>43565</v>
      </c>
      <c r="B2695" t="s">
        <v>26</v>
      </c>
      <c r="C2695">
        <v>60640</v>
      </c>
      <c r="D2695" t="s">
        <v>698</v>
      </c>
      <c r="E2695" s="7">
        <v>70</v>
      </c>
      <c r="F2695" t="s">
        <v>20</v>
      </c>
      <c r="G2695" t="s">
        <v>21</v>
      </c>
      <c r="H2695" t="str">
        <f>"4/6/19"</f>
        <v>4/6/19</v>
      </c>
      <c r="I2695" t="str">
        <f>"TRACIE ORTIZ"</f>
        <v>TRACIE ORTIZ</v>
      </c>
    </row>
    <row r="2696" spans="1:9" x14ac:dyDescent="0.25">
      <c r="A2696" s="6">
        <v>43565</v>
      </c>
      <c r="B2696" t="s">
        <v>26</v>
      </c>
      <c r="C2696">
        <v>60641</v>
      </c>
      <c r="D2696" t="s">
        <v>699</v>
      </c>
      <c r="E2696" s="7">
        <v>50</v>
      </c>
      <c r="F2696" t="s">
        <v>20</v>
      </c>
      <c r="G2696" t="s">
        <v>21</v>
      </c>
      <c r="H2696" t="str">
        <f>"REFUND 3/23/2019"</f>
        <v>REFUND 3/23/2019</v>
      </c>
      <c r="I2696" t="str">
        <f>"REFUND"</f>
        <v>REFUND</v>
      </c>
    </row>
    <row r="2697" spans="1:9" x14ac:dyDescent="0.25">
      <c r="A2697" s="6">
        <v>43566</v>
      </c>
      <c r="B2697" t="s">
        <v>26</v>
      </c>
      <c r="C2697">
        <v>60642</v>
      </c>
      <c r="D2697" t="s">
        <v>74</v>
      </c>
      <c r="E2697" s="7">
        <v>3774.87</v>
      </c>
      <c r="F2697" t="s">
        <v>20</v>
      </c>
      <c r="G2697" t="s">
        <v>21</v>
      </c>
      <c r="H2697" t="str">
        <f>"9826836783"</f>
        <v>9826836783</v>
      </c>
      <c r="I2697" t="str">
        <f>"VERIZON WIRELESS"</f>
        <v>VERIZON WIRELESS</v>
      </c>
    </row>
    <row r="2698" spans="1:9" x14ac:dyDescent="0.25">
      <c r="A2698" s="6">
        <v>43570</v>
      </c>
      <c r="B2698" t="s">
        <v>26</v>
      </c>
      <c r="C2698">
        <v>60643</v>
      </c>
      <c r="D2698" t="s">
        <v>323</v>
      </c>
      <c r="E2698" s="7">
        <v>7930</v>
      </c>
      <c r="F2698" t="s">
        <v>20</v>
      </c>
      <c r="G2698" t="s">
        <v>21</v>
      </c>
      <c r="H2698" t="str">
        <f>"4344"</f>
        <v>4344</v>
      </c>
      <c r="I2698" t="str">
        <f>"POLLOK SELF STORAGE LLC"</f>
        <v>POLLOK SELF STORAGE LLC</v>
      </c>
    </row>
    <row r="2699" spans="1:9" x14ac:dyDescent="0.25">
      <c r="A2699" s="6">
        <v>43570</v>
      </c>
      <c r="B2699" t="s">
        <v>26</v>
      </c>
      <c r="C2699">
        <v>60643</v>
      </c>
      <c r="D2699" t="s">
        <v>323</v>
      </c>
      <c r="E2699" s="7">
        <v>7930</v>
      </c>
      <c r="F2699" t="s">
        <v>20</v>
      </c>
      <c r="G2699" t="s">
        <v>21</v>
      </c>
      <c r="H2699" t="str">
        <f>"4345"</f>
        <v>4345</v>
      </c>
      <c r="I2699" t="str">
        <f>"POLLOK SELF STORAGE LLC"</f>
        <v>POLLOK SELF STORAGE LLC</v>
      </c>
    </row>
    <row r="2700" spans="1:9" x14ac:dyDescent="0.25">
      <c r="A2700" s="6">
        <v>43570</v>
      </c>
      <c r="B2700" t="s">
        <v>26</v>
      </c>
      <c r="C2700">
        <v>60643</v>
      </c>
      <c r="D2700" t="s">
        <v>323</v>
      </c>
      <c r="E2700" s="7">
        <v>7930</v>
      </c>
      <c r="F2700" t="s">
        <v>20</v>
      </c>
      <c r="G2700" t="s">
        <v>21</v>
      </c>
      <c r="H2700" t="str">
        <f>"4346"</f>
        <v>4346</v>
      </c>
      <c r="I2700" t="str">
        <f>"POLLOK SELF STORAGE LLC"</f>
        <v>POLLOK SELF STORAGE LLC</v>
      </c>
    </row>
    <row r="2701" spans="1:9" x14ac:dyDescent="0.25">
      <c r="A2701" s="6">
        <v>43570</v>
      </c>
      <c r="B2701" t="s">
        <v>26</v>
      </c>
      <c r="C2701">
        <v>60643</v>
      </c>
      <c r="D2701" t="s">
        <v>323</v>
      </c>
      <c r="E2701" s="7">
        <v>7930</v>
      </c>
      <c r="F2701" t="s">
        <v>20</v>
      </c>
      <c r="G2701" t="s">
        <v>21</v>
      </c>
      <c r="H2701" t="str">
        <f>"4347"</f>
        <v>4347</v>
      </c>
      <c r="I2701" t="str">
        <f>"POLLOK SELF STORAGE LLC"</f>
        <v>POLLOK SELF STORAGE LLC</v>
      </c>
    </row>
    <row r="2702" spans="1:9" x14ac:dyDescent="0.25">
      <c r="A2702" s="6">
        <v>43571</v>
      </c>
      <c r="B2702" t="s">
        <v>26</v>
      </c>
      <c r="C2702">
        <v>60644</v>
      </c>
      <c r="D2702" t="s">
        <v>102</v>
      </c>
      <c r="E2702" s="7">
        <v>140.94</v>
      </c>
      <c r="F2702" t="s">
        <v>20</v>
      </c>
      <c r="G2702" t="s">
        <v>21</v>
      </c>
      <c r="H2702" t="str">
        <f>"112 D. ST 4/19"</f>
        <v>112 D. ST 4/19</v>
      </c>
      <c r="I2702" t="str">
        <f>"CENTERPOINT ENERGY ENTEX"</f>
        <v>CENTERPOINT ENERGY ENTEX</v>
      </c>
    </row>
    <row r="2703" spans="1:9" x14ac:dyDescent="0.25">
      <c r="A2703" s="6">
        <v>43571</v>
      </c>
      <c r="B2703" t="s">
        <v>26</v>
      </c>
      <c r="C2703">
        <v>60644</v>
      </c>
      <c r="D2703" t="s">
        <v>102</v>
      </c>
      <c r="E2703" s="7">
        <v>140.94</v>
      </c>
      <c r="F2703" t="s">
        <v>20</v>
      </c>
      <c r="G2703" t="s">
        <v>21</v>
      </c>
      <c r="H2703" t="str">
        <f>"1200 1ST ST. 4/19"</f>
        <v>1200 1ST ST. 4/19</v>
      </c>
      <c r="I2703" t="str">
        <f>"CENTERPOINT ENERGY ENTEX"</f>
        <v>CENTERPOINT ENERGY ENTEX</v>
      </c>
    </row>
    <row r="2704" spans="1:9" x14ac:dyDescent="0.25">
      <c r="A2704" s="6">
        <v>43571</v>
      </c>
      <c r="B2704" t="s">
        <v>26</v>
      </c>
      <c r="C2704">
        <v>60644</v>
      </c>
      <c r="D2704" t="s">
        <v>102</v>
      </c>
      <c r="E2704" s="7">
        <v>140.94</v>
      </c>
      <c r="F2704" t="s">
        <v>20</v>
      </c>
      <c r="G2704" t="s">
        <v>21</v>
      </c>
      <c r="H2704" t="str">
        <f>"920 C. ST 4/19"</f>
        <v>920 C. ST 4/19</v>
      </c>
      <c r="I2704" t="str">
        <f>"CENTERPOINT ENERGY ENTEX"</f>
        <v>CENTERPOINT ENERGY ENTEX</v>
      </c>
    </row>
    <row r="2705" spans="1:9" x14ac:dyDescent="0.25">
      <c r="A2705" s="6">
        <v>43571</v>
      </c>
      <c r="B2705" t="s">
        <v>26</v>
      </c>
      <c r="C2705">
        <v>60645</v>
      </c>
      <c r="D2705" t="s">
        <v>59</v>
      </c>
      <c r="E2705" s="7">
        <v>7099.64</v>
      </c>
      <c r="F2705" t="s">
        <v>20</v>
      </c>
      <c r="G2705" t="s">
        <v>21</v>
      </c>
      <c r="H2705" t="str">
        <f>"1009748-1"</f>
        <v>1009748-1</v>
      </c>
      <c r="I2705" t="str">
        <f>"PIPE &amp; CONNECTIONS"</f>
        <v>PIPE &amp; CONNECTIONS</v>
      </c>
    </row>
    <row r="2706" spans="1:9" x14ac:dyDescent="0.25">
      <c r="A2706" s="6">
        <v>43571</v>
      </c>
      <c r="B2706" t="s">
        <v>26</v>
      </c>
      <c r="C2706">
        <v>60645</v>
      </c>
      <c r="D2706" t="s">
        <v>59</v>
      </c>
      <c r="E2706" s="7">
        <v>7099.64</v>
      </c>
      <c r="F2706" t="s">
        <v>20</v>
      </c>
      <c r="G2706" t="s">
        <v>21</v>
      </c>
      <c r="H2706" t="str">
        <f>"1009782-1"</f>
        <v>1009782-1</v>
      </c>
      <c r="I2706" t="str">
        <f>"PVC PIPE  VALVES"</f>
        <v>PVC PIPE  VALVES</v>
      </c>
    </row>
    <row r="2707" spans="1:9" x14ac:dyDescent="0.25">
      <c r="A2707" s="6">
        <v>43571</v>
      </c>
      <c r="B2707" t="s">
        <v>26</v>
      </c>
      <c r="C2707">
        <v>60645</v>
      </c>
      <c r="D2707" t="s">
        <v>59</v>
      </c>
      <c r="E2707" s="7">
        <v>7099.64</v>
      </c>
      <c r="F2707" t="s">
        <v>20</v>
      </c>
      <c r="G2707" t="s">
        <v>21</v>
      </c>
      <c r="H2707" t="str">
        <f>"1010420"</f>
        <v>1010420</v>
      </c>
      <c r="I2707" t="str">
        <f>"PVC/GASKETS"</f>
        <v>PVC/GASKETS</v>
      </c>
    </row>
    <row r="2708" spans="1:9" x14ac:dyDescent="0.25">
      <c r="A2708" s="6">
        <v>43571</v>
      </c>
      <c r="B2708" t="s">
        <v>26</v>
      </c>
      <c r="C2708">
        <v>60645</v>
      </c>
      <c r="D2708" t="s">
        <v>59</v>
      </c>
      <c r="E2708" s="7">
        <v>7099.64</v>
      </c>
      <c r="F2708" t="s">
        <v>20</v>
      </c>
      <c r="G2708" t="s">
        <v>21</v>
      </c>
      <c r="H2708" t="str">
        <f>"1011330"</f>
        <v>1011330</v>
      </c>
      <c r="I2708" t="str">
        <f>"GASKETS/VALVES"</f>
        <v>GASKETS/VALVES</v>
      </c>
    </row>
    <row r="2709" spans="1:9" x14ac:dyDescent="0.25">
      <c r="A2709" s="6">
        <v>43571</v>
      </c>
      <c r="B2709" t="s">
        <v>26</v>
      </c>
      <c r="C2709">
        <v>60645</v>
      </c>
      <c r="D2709" t="s">
        <v>59</v>
      </c>
      <c r="E2709" s="7">
        <v>7099.64</v>
      </c>
      <c r="F2709" t="s">
        <v>20</v>
      </c>
      <c r="G2709" t="s">
        <v>21</v>
      </c>
      <c r="H2709" t="str">
        <f>"1011518"</f>
        <v>1011518</v>
      </c>
      <c r="I2709" t="str">
        <f>"BOLTS/PIPES"</f>
        <v>BOLTS/PIPES</v>
      </c>
    </row>
    <row r="2710" spans="1:9" x14ac:dyDescent="0.25">
      <c r="A2710" s="6">
        <v>43571</v>
      </c>
      <c r="B2710" t="s">
        <v>26</v>
      </c>
      <c r="C2710">
        <v>60647</v>
      </c>
      <c r="D2710" t="s">
        <v>179</v>
      </c>
      <c r="E2710" s="7">
        <v>43.3</v>
      </c>
      <c r="F2710" t="s">
        <v>20</v>
      </c>
      <c r="G2710" t="s">
        <v>21</v>
      </c>
      <c r="H2710" t="str">
        <f>"57004"</f>
        <v>57004</v>
      </c>
      <c r="I2710" t="str">
        <f>"HUB CAP"</f>
        <v>HUB CAP</v>
      </c>
    </row>
    <row r="2711" spans="1:9" x14ac:dyDescent="0.25">
      <c r="A2711" s="6">
        <v>43571</v>
      </c>
      <c r="B2711" t="s">
        <v>26</v>
      </c>
      <c r="C2711">
        <v>60648</v>
      </c>
      <c r="D2711" t="s">
        <v>273</v>
      </c>
      <c r="E2711" s="7">
        <v>4465.43</v>
      </c>
      <c r="F2711" t="s">
        <v>20</v>
      </c>
      <c r="G2711" t="s">
        <v>21</v>
      </c>
      <c r="H2711" t="str">
        <f>"5119-000087875"</f>
        <v>5119-000087875</v>
      </c>
      <c r="I2711" t="str">
        <f>"REPUBLIC SERVICES TESSMAN ROAD"</f>
        <v>REPUBLIC SERVICES TESSMAN ROAD</v>
      </c>
    </row>
    <row r="2712" spans="1:9" x14ac:dyDescent="0.25">
      <c r="A2712" s="6">
        <v>43571</v>
      </c>
      <c r="B2712" t="s">
        <v>26</v>
      </c>
      <c r="C2712">
        <v>60649</v>
      </c>
      <c r="D2712" t="s">
        <v>240</v>
      </c>
      <c r="E2712" s="7">
        <v>662.31</v>
      </c>
      <c r="F2712" t="s">
        <v>20</v>
      </c>
      <c r="G2712" t="s">
        <v>21</v>
      </c>
      <c r="H2712" t="str">
        <f>"0165955-IN"</f>
        <v>0165955-IN</v>
      </c>
      <c r="I2712" t="str">
        <f>"UNIFORM"</f>
        <v>UNIFORM</v>
      </c>
    </row>
    <row r="2713" spans="1:9" x14ac:dyDescent="0.25">
      <c r="A2713" s="6">
        <v>43571</v>
      </c>
      <c r="B2713" t="s">
        <v>26</v>
      </c>
      <c r="C2713">
        <v>60650</v>
      </c>
      <c r="D2713" t="s">
        <v>340</v>
      </c>
      <c r="E2713" s="7">
        <v>77.010000000000005</v>
      </c>
      <c r="F2713" t="s">
        <v>20</v>
      </c>
      <c r="G2713" t="s">
        <v>21</v>
      </c>
      <c r="H2713" t="str">
        <f>"1810-378846"</f>
        <v>1810-378846</v>
      </c>
      <c r="I2713" t="str">
        <f>"SPARK PLUGS"</f>
        <v>SPARK PLUGS</v>
      </c>
    </row>
    <row r="2714" spans="1:9" x14ac:dyDescent="0.25">
      <c r="A2714" s="6">
        <v>43571</v>
      </c>
      <c r="B2714" t="s">
        <v>26</v>
      </c>
      <c r="C2714">
        <v>60650</v>
      </c>
      <c r="D2714" t="s">
        <v>340</v>
      </c>
      <c r="E2714" s="7">
        <v>77.010000000000005</v>
      </c>
      <c r="F2714" t="s">
        <v>20</v>
      </c>
      <c r="G2714" t="s">
        <v>21</v>
      </c>
      <c r="H2714" t="str">
        <f>"1810-378847"</f>
        <v>1810-378847</v>
      </c>
      <c r="I2714" t="str">
        <f>"OIL FILTERS"</f>
        <v>OIL FILTERS</v>
      </c>
    </row>
    <row r="2715" spans="1:9" x14ac:dyDescent="0.25">
      <c r="A2715" s="6">
        <v>43571</v>
      </c>
      <c r="B2715" t="s">
        <v>26</v>
      </c>
      <c r="C2715">
        <v>60651</v>
      </c>
      <c r="D2715" t="s">
        <v>700</v>
      </c>
      <c r="E2715" s="7">
        <v>50</v>
      </c>
      <c r="F2715" t="s">
        <v>20</v>
      </c>
      <c r="G2715" t="s">
        <v>21</v>
      </c>
      <c r="H2715" t="str">
        <f>"DEP.REFUND 4/6/19"</f>
        <v>DEP.REFUND 4/6/19</v>
      </c>
      <c r="I2715" t="str">
        <f>"REFUND"</f>
        <v>REFUND</v>
      </c>
    </row>
    <row r="2716" spans="1:9" x14ac:dyDescent="0.25">
      <c r="A2716" s="6">
        <v>43571</v>
      </c>
      <c r="B2716" t="s">
        <v>26</v>
      </c>
      <c r="C2716">
        <v>60652</v>
      </c>
      <c r="D2716" t="s">
        <v>169</v>
      </c>
      <c r="E2716" s="7">
        <v>17.55</v>
      </c>
      <c r="F2716" t="s">
        <v>20</v>
      </c>
      <c r="G2716" t="s">
        <v>21</v>
      </c>
      <c r="H2716" t="str">
        <f>"118780"</f>
        <v>118780</v>
      </c>
      <c r="I2716" t="str">
        <f>"THE POLICE AND SHERIFFS PRESS"</f>
        <v>THE POLICE AND SHERIFFS PRESS</v>
      </c>
    </row>
    <row r="2717" spans="1:9" x14ac:dyDescent="0.25">
      <c r="A2717" s="6">
        <v>43571</v>
      </c>
      <c r="B2717" t="s">
        <v>26</v>
      </c>
      <c r="C2717">
        <v>60653</v>
      </c>
      <c r="D2717" t="s">
        <v>115</v>
      </c>
      <c r="E2717" s="7">
        <v>32.58</v>
      </c>
      <c r="F2717" t="s">
        <v>20</v>
      </c>
      <c r="G2717" t="s">
        <v>21</v>
      </c>
      <c r="H2717" t="str">
        <f>"3547393032"</f>
        <v>3547393032</v>
      </c>
      <c r="I2717" t="str">
        <f>"BULBS"</f>
        <v>BULBS</v>
      </c>
    </row>
    <row r="2718" spans="1:9" x14ac:dyDescent="0.25">
      <c r="A2718" s="6">
        <v>43571</v>
      </c>
      <c r="B2718" t="s">
        <v>26</v>
      </c>
      <c r="C2718">
        <v>60653</v>
      </c>
      <c r="D2718" t="s">
        <v>115</v>
      </c>
      <c r="E2718" s="7">
        <v>32.58</v>
      </c>
      <c r="F2718" t="s">
        <v>20</v>
      </c>
      <c r="G2718" t="s">
        <v>21</v>
      </c>
      <c r="H2718" t="str">
        <f>"354739917"</f>
        <v>354739917</v>
      </c>
      <c r="I2718" t="str">
        <f>"IGNITION COIL"</f>
        <v>IGNITION COIL</v>
      </c>
    </row>
    <row r="2719" spans="1:9" x14ac:dyDescent="0.25">
      <c r="A2719" s="6">
        <v>43571</v>
      </c>
      <c r="B2719" t="s">
        <v>26</v>
      </c>
      <c r="C2719">
        <v>60654</v>
      </c>
      <c r="D2719" t="s">
        <v>117</v>
      </c>
      <c r="E2719" s="7">
        <v>295.8</v>
      </c>
      <c r="F2719" t="s">
        <v>20</v>
      </c>
      <c r="G2719" t="s">
        <v>21</v>
      </c>
      <c r="H2719" t="str">
        <f>"AUG. 2016"</f>
        <v>AUG. 2016</v>
      </c>
      <c r="I2719" t="str">
        <f>"LINEBARGER GOGGAN BLAIR &amp; SAMP"</f>
        <v>LINEBARGER GOGGAN BLAIR &amp; SAMP</v>
      </c>
    </row>
    <row r="2720" spans="1:9" x14ac:dyDescent="0.25">
      <c r="A2720" s="6">
        <v>43571</v>
      </c>
      <c r="B2720" t="s">
        <v>26</v>
      </c>
      <c r="C2720">
        <v>60654</v>
      </c>
      <c r="D2720" t="s">
        <v>117</v>
      </c>
      <c r="E2720" s="7">
        <v>295.8</v>
      </c>
      <c r="F2720" t="s">
        <v>20</v>
      </c>
      <c r="G2720" t="s">
        <v>21</v>
      </c>
      <c r="H2720" t="str">
        <f>"JUNE 2019"</f>
        <v>JUNE 2019</v>
      </c>
      <c r="I2720" t="str">
        <f>"LINEBARGER GOGGAN BLAIR &amp; SAMP"</f>
        <v>LINEBARGER GOGGAN BLAIR &amp; SAMP</v>
      </c>
    </row>
    <row r="2721" spans="1:9" x14ac:dyDescent="0.25">
      <c r="A2721" s="6">
        <v>43571</v>
      </c>
      <c r="B2721" t="s">
        <v>26</v>
      </c>
      <c r="C2721">
        <v>60655</v>
      </c>
      <c r="D2721" t="s">
        <v>187</v>
      </c>
      <c r="E2721" s="7">
        <v>77.8</v>
      </c>
      <c r="F2721" t="s">
        <v>20</v>
      </c>
      <c r="G2721" t="s">
        <v>21</v>
      </c>
      <c r="H2721" t="str">
        <f>"WI016021"</f>
        <v>WI016021</v>
      </c>
      <c r="I2721" t="str">
        <f>"HYDRAULIC"</f>
        <v>HYDRAULIC</v>
      </c>
    </row>
    <row r="2722" spans="1:9" x14ac:dyDescent="0.25">
      <c r="A2722" s="6">
        <v>43571</v>
      </c>
      <c r="B2722" t="s">
        <v>26</v>
      </c>
      <c r="C2722">
        <v>60656</v>
      </c>
      <c r="D2722" t="s">
        <v>119</v>
      </c>
      <c r="E2722" s="7">
        <v>88</v>
      </c>
      <c r="F2722" t="s">
        <v>20</v>
      </c>
      <c r="G2722" t="s">
        <v>21</v>
      </c>
      <c r="H2722" t="str">
        <f>"50308"</f>
        <v>50308</v>
      </c>
      <c r="I2722" t="str">
        <f>"TIRE REPAIR"</f>
        <v>TIRE REPAIR</v>
      </c>
    </row>
    <row r="2723" spans="1:9" x14ac:dyDescent="0.25">
      <c r="A2723" s="6">
        <v>43571</v>
      </c>
      <c r="B2723" t="s">
        <v>26</v>
      </c>
      <c r="C2723">
        <v>60657</v>
      </c>
      <c r="D2723" t="s">
        <v>189</v>
      </c>
      <c r="E2723" s="7">
        <v>13.58</v>
      </c>
      <c r="F2723" t="s">
        <v>20</v>
      </c>
      <c r="G2723" t="s">
        <v>21</v>
      </c>
      <c r="H2723" t="str">
        <f>"PSO053330-1"</f>
        <v>PSO053330-1</v>
      </c>
      <c r="I2723" t="str">
        <f>"REARVIEW MIRROR"</f>
        <v>REARVIEW MIRROR</v>
      </c>
    </row>
    <row r="2724" spans="1:9" x14ac:dyDescent="0.25">
      <c r="A2724" s="6">
        <v>43571</v>
      </c>
      <c r="B2724" t="s">
        <v>26</v>
      </c>
      <c r="C2724">
        <v>60658</v>
      </c>
      <c r="D2724" t="s">
        <v>69</v>
      </c>
      <c r="E2724" s="7">
        <v>1484.42</v>
      </c>
      <c r="F2724" t="s">
        <v>20</v>
      </c>
      <c r="G2724" t="s">
        <v>21</v>
      </c>
      <c r="H2724" t="str">
        <f>"3396359"</f>
        <v>3396359</v>
      </c>
      <c r="I2724" t="str">
        <f>"MAINTENANCE MATERIAL"</f>
        <v>MAINTENANCE MATERIAL</v>
      </c>
    </row>
    <row r="2725" spans="1:9" x14ac:dyDescent="0.25">
      <c r="A2725" s="6">
        <v>43571</v>
      </c>
      <c r="B2725" t="s">
        <v>26</v>
      </c>
      <c r="C2725">
        <v>60658</v>
      </c>
      <c r="D2725" t="s">
        <v>69</v>
      </c>
      <c r="E2725" s="7">
        <v>1484.42</v>
      </c>
      <c r="F2725" t="s">
        <v>20</v>
      </c>
      <c r="G2725" t="s">
        <v>21</v>
      </c>
      <c r="H2725" t="str">
        <f>"3396474"</f>
        <v>3396474</v>
      </c>
      <c r="I2725" t="str">
        <f>"BLADES"</f>
        <v>BLADES</v>
      </c>
    </row>
    <row r="2726" spans="1:9" x14ac:dyDescent="0.25">
      <c r="A2726" s="6">
        <v>43571</v>
      </c>
      <c r="B2726" t="s">
        <v>26</v>
      </c>
      <c r="C2726">
        <v>60659</v>
      </c>
      <c r="D2726" t="s">
        <v>248</v>
      </c>
      <c r="E2726" s="7">
        <v>1912.5</v>
      </c>
      <c r="F2726" t="s">
        <v>20</v>
      </c>
      <c r="G2726" t="s">
        <v>21</v>
      </c>
      <c r="H2726" t="str">
        <f>"1011998849"</f>
        <v>1011998849</v>
      </c>
      <c r="I2726" t="str">
        <f>"PITNEY BOWES"</f>
        <v>PITNEY BOWES</v>
      </c>
    </row>
    <row r="2727" spans="1:9" x14ac:dyDescent="0.25">
      <c r="A2727" s="6">
        <v>43571</v>
      </c>
      <c r="B2727" t="s">
        <v>26</v>
      </c>
      <c r="C2727">
        <v>60660</v>
      </c>
      <c r="D2727" t="s">
        <v>71</v>
      </c>
      <c r="E2727" s="7">
        <v>53.21</v>
      </c>
      <c r="F2727" t="s">
        <v>20</v>
      </c>
      <c r="G2727" t="s">
        <v>21</v>
      </c>
      <c r="H2727" t="str">
        <f>"4019943761"</f>
        <v>4019943761</v>
      </c>
      <c r="I2727" t="str">
        <f>"CINTAS CORPORATION #087"</f>
        <v>CINTAS CORPORATION #087</v>
      </c>
    </row>
    <row r="2728" spans="1:9" x14ac:dyDescent="0.25">
      <c r="A2728" s="6">
        <v>43571</v>
      </c>
      <c r="B2728" t="s">
        <v>26</v>
      </c>
      <c r="C2728">
        <v>60661</v>
      </c>
      <c r="D2728" t="s">
        <v>123</v>
      </c>
      <c r="E2728" s="7">
        <v>1095.4100000000001</v>
      </c>
      <c r="F2728" t="s">
        <v>20</v>
      </c>
      <c r="G2728" t="s">
        <v>21</v>
      </c>
      <c r="H2728" t="str">
        <f>"274811421001"</f>
        <v>274811421001</v>
      </c>
      <c r="I2728" t="str">
        <f>"JANITORIAL SUPPLIES"</f>
        <v>JANITORIAL SUPPLIES</v>
      </c>
    </row>
    <row r="2729" spans="1:9" x14ac:dyDescent="0.25">
      <c r="A2729" s="6">
        <v>43571</v>
      </c>
      <c r="B2729" t="s">
        <v>26</v>
      </c>
      <c r="C2729">
        <v>60661</v>
      </c>
      <c r="D2729" t="s">
        <v>123</v>
      </c>
      <c r="E2729" s="7">
        <v>1095.4100000000001</v>
      </c>
      <c r="F2729" t="s">
        <v>20</v>
      </c>
      <c r="G2729" t="s">
        <v>21</v>
      </c>
      <c r="H2729" t="str">
        <f>"290896838001"</f>
        <v>290896838001</v>
      </c>
      <c r="I2729" t="str">
        <f>"OFFICE DEPOT  INC."</f>
        <v>OFFICE DEPOT  INC.</v>
      </c>
    </row>
    <row r="2730" spans="1:9" x14ac:dyDescent="0.25">
      <c r="A2730" s="6">
        <v>43571</v>
      </c>
      <c r="B2730" t="s">
        <v>26</v>
      </c>
      <c r="C2730">
        <v>60661</v>
      </c>
      <c r="D2730" t="s">
        <v>123</v>
      </c>
      <c r="E2730" s="7">
        <v>1095.4100000000001</v>
      </c>
      <c r="F2730" t="s">
        <v>20</v>
      </c>
      <c r="G2730" t="s">
        <v>21</v>
      </c>
      <c r="H2730" t="str">
        <f>"294019921001"</f>
        <v>294019921001</v>
      </c>
      <c r="I2730" t="str">
        <f>"OFFICE SUPPLIES"</f>
        <v>OFFICE SUPPLIES</v>
      </c>
    </row>
    <row r="2731" spans="1:9" x14ac:dyDescent="0.25">
      <c r="A2731" s="6">
        <v>43571</v>
      </c>
      <c r="B2731" t="s">
        <v>26</v>
      </c>
      <c r="C2731">
        <v>60661</v>
      </c>
      <c r="D2731" t="s">
        <v>123</v>
      </c>
      <c r="E2731" s="7">
        <v>1095.4100000000001</v>
      </c>
      <c r="F2731" t="s">
        <v>20</v>
      </c>
      <c r="G2731" t="s">
        <v>21</v>
      </c>
      <c r="H2731" t="str">
        <f>"294034514001"</f>
        <v>294034514001</v>
      </c>
      <c r="I2731" t="str">
        <f>"OFFICE SUPPLIES"</f>
        <v>OFFICE SUPPLIES</v>
      </c>
    </row>
    <row r="2732" spans="1:9" x14ac:dyDescent="0.25">
      <c r="A2732" s="6">
        <v>43571</v>
      </c>
      <c r="B2732" t="s">
        <v>26</v>
      </c>
      <c r="C2732">
        <v>60661</v>
      </c>
      <c r="D2732" t="s">
        <v>123</v>
      </c>
      <c r="E2732" s="7">
        <v>1095.4100000000001</v>
      </c>
      <c r="F2732" t="s">
        <v>20</v>
      </c>
      <c r="G2732" t="s">
        <v>21</v>
      </c>
      <c r="H2732" t="str">
        <f>"294103113001"</f>
        <v>294103113001</v>
      </c>
      <c r="I2732" t="str">
        <f>"OFFICE SUPPLIES"</f>
        <v>OFFICE SUPPLIES</v>
      </c>
    </row>
    <row r="2733" spans="1:9" x14ac:dyDescent="0.25">
      <c r="A2733" s="6">
        <v>43571</v>
      </c>
      <c r="B2733" t="s">
        <v>26</v>
      </c>
      <c r="C2733">
        <v>60661</v>
      </c>
      <c r="D2733" t="s">
        <v>123</v>
      </c>
      <c r="E2733" s="7">
        <v>1095.4100000000001</v>
      </c>
      <c r="F2733" t="s">
        <v>20</v>
      </c>
      <c r="G2733" t="s">
        <v>21</v>
      </c>
      <c r="H2733" t="str">
        <f>"294104245001"</f>
        <v>294104245001</v>
      </c>
      <c r="I2733" t="str">
        <f>"OFFICE SUPPLIES"</f>
        <v>OFFICE SUPPLIES</v>
      </c>
    </row>
    <row r="2734" spans="1:9" x14ac:dyDescent="0.25">
      <c r="A2734" s="6">
        <v>43571</v>
      </c>
      <c r="B2734" t="s">
        <v>26</v>
      </c>
      <c r="C2734">
        <v>60661</v>
      </c>
      <c r="D2734" t="s">
        <v>123</v>
      </c>
      <c r="E2734" s="7">
        <v>1095.4100000000001</v>
      </c>
      <c r="F2734" t="s">
        <v>20</v>
      </c>
      <c r="G2734" t="s">
        <v>21</v>
      </c>
      <c r="H2734" t="str">
        <f>"294104246001"</f>
        <v>294104246001</v>
      </c>
      <c r="I2734" t="str">
        <f>"OFFICE SUPPLIES"</f>
        <v>OFFICE SUPPLIES</v>
      </c>
    </row>
    <row r="2735" spans="1:9" x14ac:dyDescent="0.25">
      <c r="A2735" s="6">
        <v>43571</v>
      </c>
      <c r="B2735" t="s">
        <v>26</v>
      </c>
      <c r="C2735">
        <v>60661</v>
      </c>
      <c r="D2735" t="s">
        <v>123</v>
      </c>
      <c r="E2735" s="7">
        <v>1095.4100000000001</v>
      </c>
      <c r="F2735" t="s">
        <v>20</v>
      </c>
      <c r="G2735" t="s">
        <v>21</v>
      </c>
      <c r="H2735" t="str">
        <f>"296705030001"</f>
        <v>296705030001</v>
      </c>
      <c r="I2735" t="str">
        <f>"JANITORIAL SUPPLIES"</f>
        <v>JANITORIAL SUPPLIES</v>
      </c>
    </row>
    <row r="2736" spans="1:9" x14ac:dyDescent="0.25">
      <c r="A2736" s="6">
        <v>43571</v>
      </c>
      <c r="B2736" t="s">
        <v>26</v>
      </c>
      <c r="C2736">
        <v>60661</v>
      </c>
      <c r="D2736" t="s">
        <v>123</v>
      </c>
      <c r="E2736" s="7">
        <v>1095.4100000000001</v>
      </c>
      <c r="F2736" t="s">
        <v>20</v>
      </c>
      <c r="G2736" t="s">
        <v>21</v>
      </c>
      <c r="H2736" t="str">
        <f>"298524132001"</f>
        <v>298524132001</v>
      </c>
      <c r="I2736" t="str">
        <f>"OFFICE SUPPLIES"</f>
        <v>OFFICE SUPPLIES</v>
      </c>
    </row>
    <row r="2737" spans="1:9" x14ac:dyDescent="0.25">
      <c r="A2737" s="6">
        <v>43571</v>
      </c>
      <c r="B2737" t="s">
        <v>26</v>
      </c>
      <c r="C2737">
        <v>60661</v>
      </c>
      <c r="D2737" t="s">
        <v>123</v>
      </c>
      <c r="E2737" s="7">
        <v>1095.4100000000001</v>
      </c>
      <c r="F2737" t="s">
        <v>20</v>
      </c>
      <c r="G2737" t="s">
        <v>21</v>
      </c>
      <c r="H2737" t="str">
        <f>"298610955001"</f>
        <v>298610955001</v>
      </c>
      <c r="I2737" t="str">
        <f>"OFFICE SUPPLIES"</f>
        <v>OFFICE SUPPLIES</v>
      </c>
    </row>
    <row r="2738" spans="1:9" x14ac:dyDescent="0.25">
      <c r="A2738" s="6">
        <v>43571</v>
      </c>
      <c r="B2738" t="s">
        <v>26</v>
      </c>
      <c r="C2738">
        <v>60661</v>
      </c>
      <c r="D2738" t="s">
        <v>123</v>
      </c>
      <c r="E2738" s="7">
        <v>1095.4100000000001</v>
      </c>
      <c r="F2738" t="s">
        <v>20</v>
      </c>
      <c r="G2738" t="s">
        <v>21</v>
      </c>
      <c r="H2738" t="str">
        <f>"298610956001"</f>
        <v>298610956001</v>
      </c>
      <c r="I2738" t="str">
        <f>"OFFICE SUPPLIES"</f>
        <v>OFFICE SUPPLIES</v>
      </c>
    </row>
    <row r="2739" spans="1:9" x14ac:dyDescent="0.25">
      <c r="A2739" s="6">
        <v>43571</v>
      </c>
      <c r="B2739" t="s">
        <v>26</v>
      </c>
      <c r="C2739">
        <v>60666</v>
      </c>
      <c r="D2739" t="s">
        <v>77</v>
      </c>
      <c r="E2739" s="7">
        <v>400</v>
      </c>
      <c r="F2739" t="s">
        <v>20</v>
      </c>
      <c r="G2739" t="s">
        <v>21</v>
      </c>
      <c r="H2739" t="str">
        <f>"DE85000752-19"</f>
        <v>DE85000752-19</v>
      </c>
      <c r="I2739" t="str">
        <f>"DPC INDUSTRIES  INC."</f>
        <v>DPC INDUSTRIES  INC.</v>
      </c>
    </row>
    <row r="2740" spans="1:9" x14ac:dyDescent="0.25">
      <c r="A2740" s="6">
        <v>43571</v>
      </c>
      <c r="B2740" t="s">
        <v>26</v>
      </c>
      <c r="C2740">
        <v>60666</v>
      </c>
      <c r="D2740" t="s">
        <v>77</v>
      </c>
      <c r="E2740" s="7">
        <v>400</v>
      </c>
      <c r="F2740" t="s">
        <v>20</v>
      </c>
      <c r="G2740" t="s">
        <v>21</v>
      </c>
      <c r="H2740" t="str">
        <f>"DE8500546-19"</f>
        <v>DE8500546-19</v>
      </c>
      <c r="I2740" t="str">
        <f>"DPC INDUSTRIES  INC."</f>
        <v>DPC INDUSTRIES  INC.</v>
      </c>
    </row>
    <row r="2741" spans="1:9" x14ac:dyDescent="0.25">
      <c r="A2741" s="6">
        <v>43571</v>
      </c>
      <c r="B2741" t="s">
        <v>26</v>
      </c>
      <c r="C2741">
        <v>60667</v>
      </c>
      <c r="D2741" t="s">
        <v>124</v>
      </c>
      <c r="E2741" s="7">
        <v>129.86000000000001</v>
      </c>
      <c r="F2741" t="s">
        <v>20</v>
      </c>
      <c r="G2741" t="s">
        <v>21</v>
      </c>
      <c r="H2741" t="str">
        <f>"11168411"</f>
        <v>11168411</v>
      </c>
      <c r="I2741" t="str">
        <f>"MCCOY'S CORPORATION"</f>
        <v>MCCOY'S CORPORATION</v>
      </c>
    </row>
    <row r="2742" spans="1:9" x14ac:dyDescent="0.25">
      <c r="A2742" s="6">
        <v>43571</v>
      </c>
      <c r="B2742" t="s">
        <v>26</v>
      </c>
      <c r="C2742">
        <v>60667</v>
      </c>
      <c r="D2742" t="s">
        <v>124</v>
      </c>
      <c r="E2742" s="7">
        <v>129.86000000000001</v>
      </c>
      <c r="F2742" t="s">
        <v>20</v>
      </c>
      <c r="G2742" t="s">
        <v>21</v>
      </c>
      <c r="H2742" t="str">
        <f>"11171473"</f>
        <v>11171473</v>
      </c>
      <c r="I2742" t="str">
        <f>"BASE"</f>
        <v>BASE</v>
      </c>
    </row>
    <row r="2743" spans="1:9" x14ac:dyDescent="0.25">
      <c r="A2743" s="6">
        <v>43571</v>
      </c>
      <c r="B2743" t="s">
        <v>26</v>
      </c>
      <c r="C2743">
        <v>60668</v>
      </c>
      <c r="D2743" t="s">
        <v>534</v>
      </c>
      <c r="E2743" s="7">
        <v>107.17</v>
      </c>
      <c r="F2743" t="s">
        <v>20</v>
      </c>
      <c r="G2743" t="s">
        <v>21</v>
      </c>
      <c r="H2743" t="str">
        <f>"8404086419"</f>
        <v>8404086419</v>
      </c>
      <c r="I2743" t="str">
        <f>"CINTAS CORPORATION NO. 2"</f>
        <v>CINTAS CORPORATION NO. 2</v>
      </c>
    </row>
    <row r="2744" spans="1:9" x14ac:dyDescent="0.25">
      <c r="A2744" s="6">
        <v>43571</v>
      </c>
      <c r="B2744" t="s">
        <v>26</v>
      </c>
      <c r="C2744">
        <v>60669</v>
      </c>
      <c r="D2744" t="s">
        <v>284</v>
      </c>
      <c r="E2744" s="7">
        <v>3420</v>
      </c>
      <c r="F2744" t="s">
        <v>20</v>
      </c>
      <c r="G2744" t="s">
        <v>21</v>
      </c>
      <c r="H2744" t="str">
        <f>"WARINV003176"</f>
        <v>WARINV003176</v>
      </c>
      <c r="I2744" t="str">
        <f>"WARRANTY"</f>
        <v>WARRANTY</v>
      </c>
    </row>
    <row r="2745" spans="1:9" x14ac:dyDescent="0.25">
      <c r="A2745" s="6">
        <v>43571</v>
      </c>
      <c r="B2745" t="s">
        <v>26</v>
      </c>
      <c r="C2745">
        <v>60670</v>
      </c>
      <c r="D2745" t="s">
        <v>79</v>
      </c>
      <c r="E2745" s="7">
        <v>12.36</v>
      </c>
      <c r="F2745" t="s">
        <v>20</v>
      </c>
      <c r="G2745" t="s">
        <v>21</v>
      </c>
      <c r="H2745" t="str">
        <f>"6-510-92774"</f>
        <v>6-510-92774</v>
      </c>
      <c r="I2745" t="str">
        <f>"FEDEX"</f>
        <v>FEDEX</v>
      </c>
    </row>
    <row r="2746" spans="1:9" x14ac:dyDescent="0.25">
      <c r="A2746" s="6">
        <v>43571</v>
      </c>
      <c r="B2746" t="s">
        <v>26</v>
      </c>
      <c r="C2746">
        <v>60671</v>
      </c>
      <c r="D2746" t="s">
        <v>139</v>
      </c>
      <c r="E2746" s="7">
        <v>65</v>
      </c>
      <c r="F2746" t="s">
        <v>20</v>
      </c>
      <c r="G2746" t="s">
        <v>21</v>
      </c>
      <c r="H2746" t="str">
        <f>"26066"</f>
        <v>26066</v>
      </c>
      <c r="I2746" t="str">
        <f>"ANGEL FIRE &amp; SAFETY"</f>
        <v>ANGEL FIRE &amp; SAFETY</v>
      </c>
    </row>
    <row r="2747" spans="1:9" x14ac:dyDescent="0.25">
      <c r="A2747" s="6">
        <v>43571</v>
      </c>
      <c r="B2747" t="s">
        <v>26</v>
      </c>
      <c r="C2747">
        <v>60672</v>
      </c>
      <c r="D2747" t="s">
        <v>81</v>
      </c>
      <c r="E2747" s="7">
        <v>240.75</v>
      </c>
      <c r="F2747" t="s">
        <v>20</v>
      </c>
      <c r="G2747" t="s">
        <v>21</v>
      </c>
      <c r="H2747" t="str">
        <f>"B.CANTU 4/16/19"</f>
        <v>B.CANTU 4/16/19</v>
      </c>
      <c r="I2747" t="str">
        <f>"CITY OF FLORESVILLE -PETTY CAS"</f>
        <v>CITY OF FLORESVILLE -PETTY CAS</v>
      </c>
    </row>
    <row r="2748" spans="1:9" x14ac:dyDescent="0.25">
      <c r="A2748" s="6">
        <v>43571</v>
      </c>
      <c r="B2748" t="s">
        <v>26</v>
      </c>
      <c r="C2748">
        <v>60673</v>
      </c>
      <c r="D2748" t="s">
        <v>306</v>
      </c>
      <c r="E2748" s="7">
        <v>40</v>
      </c>
      <c r="F2748" t="s">
        <v>20</v>
      </c>
      <c r="G2748" t="s">
        <v>21</v>
      </c>
      <c r="H2748" t="str">
        <f>"3460181"</f>
        <v>3460181</v>
      </c>
      <c r="I2748" t="str">
        <f>"JORGE LOPEZ"</f>
        <v>JORGE LOPEZ</v>
      </c>
    </row>
    <row r="2749" spans="1:9" x14ac:dyDescent="0.25">
      <c r="A2749" s="6">
        <v>43571</v>
      </c>
      <c r="B2749" t="s">
        <v>26</v>
      </c>
      <c r="C2749">
        <v>60674</v>
      </c>
      <c r="D2749" t="s">
        <v>131</v>
      </c>
      <c r="E2749" s="7">
        <v>68.510000000000005</v>
      </c>
      <c r="F2749" t="s">
        <v>20</v>
      </c>
      <c r="G2749" t="s">
        <v>21</v>
      </c>
      <c r="H2749" t="str">
        <f>"038792"</f>
        <v>038792</v>
      </c>
      <c r="I2749" t="str">
        <f>"MUD FLAPS"</f>
        <v>MUD FLAPS</v>
      </c>
    </row>
    <row r="2750" spans="1:9" x14ac:dyDescent="0.25">
      <c r="A2750" s="6">
        <v>43571</v>
      </c>
      <c r="B2750" t="s">
        <v>26</v>
      </c>
      <c r="C2750">
        <v>60674</v>
      </c>
      <c r="D2750" t="s">
        <v>131</v>
      </c>
      <c r="E2750" s="7">
        <v>68.510000000000005</v>
      </c>
      <c r="F2750" t="s">
        <v>20</v>
      </c>
      <c r="G2750" t="s">
        <v>21</v>
      </c>
      <c r="H2750" t="str">
        <f>"038967"</f>
        <v>038967</v>
      </c>
      <c r="I2750" t="str">
        <f>"CIRCUIT BREAKER"</f>
        <v>CIRCUIT BREAKER</v>
      </c>
    </row>
    <row r="2751" spans="1:9" x14ac:dyDescent="0.25">
      <c r="A2751" s="6">
        <v>43571</v>
      </c>
      <c r="B2751" t="s">
        <v>26</v>
      </c>
      <c r="C2751">
        <v>60675</v>
      </c>
      <c r="D2751" t="s">
        <v>85</v>
      </c>
      <c r="E2751" s="7">
        <v>439.71</v>
      </c>
      <c r="F2751" t="s">
        <v>20</v>
      </c>
      <c r="G2751" t="s">
        <v>21</v>
      </c>
      <c r="H2751" t="str">
        <f>"3934055 4/2019"</f>
        <v>3934055 4/2019</v>
      </c>
      <c r="I2751" t="str">
        <f>"FRONTIER"</f>
        <v>FRONTIER</v>
      </c>
    </row>
    <row r="2752" spans="1:9" x14ac:dyDescent="0.25">
      <c r="A2752" s="6">
        <v>43571</v>
      </c>
      <c r="B2752" t="s">
        <v>26</v>
      </c>
      <c r="C2752">
        <v>60676</v>
      </c>
      <c r="D2752" t="s">
        <v>194</v>
      </c>
      <c r="E2752" s="7">
        <v>387.58</v>
      </c>
      <c r="F2752" t="s">
        <v>20</v>
      </c>
      <c r="G2752" t="s">
        <v>21</v>
      </c>
      <c r="H2752" t="str">
        <f>"012226782"</f>
        <v>012226782</v>
      </c>
      <c r="I2752" t="str">
        <f>"GALLS  LLC-D.B.A. STERLING'S U"</f>
        <v>GALLS  LLC-D.B.A. STERLING'S U</v>
      </c>
    </row>
    <row r="2753" spans="1:9" x14ac:dyDescent="0.25">
      <c r="A2753" s="6">
        <v>43571</v>
      </c>
      <c r="B2753" t="s">
        <v>26</v>
      </c>
      <c r="C2753">
        <v>60676</v>
      </c>
      <c r="D2753" t="s">
        <v>194</v>
      </c>
      <c r="E2753" s="7">
        <v>387.58</v>
      </c>
      <c r="F2753" t="s">
        <v>20</v>
      </c>
      <c r="G2753" t="s">
        <v>21</v>
      </c>
      <c r="H2753" t="str">
        <f>"BC0801425"</f>
        <v>BC0801425</v>
      </c>
      <c r="I2753" t="str">
        <f>"GALLS  LLC-D.B.A. STERLING'S U"</f>
        <v>GALLS  LLC-D.B.A. STERLING'S U</v>
      </c>
    </row>
    <row r="2754" spans="1:9" x14ac:dyDescent="0.25">
      <c r="A2754" s="6">
        <v>43571</v>
      </c>
      <c r="B2754" t="s">
        <v>26</v>
      </c>
      <c r="C2754">
        <v>60676</v>
      </c>
      <c r="D2754" t="s">
        <v>194</v>
      </c>
      <c r="E2754" s="7">
        <v>387.58</v>
      </c>
      <c r="F2754" t="s">
        <v>20</v>
      </c>
      <c r="G2754" t="s">
        <v>21</v>
      </c>
      <c r="H2754" t="str">
        <f>"BC0804405"</f>
        <v>BC0804405</v>
      </c>
      <c r="I2754" t="str">
        <f>"GALLS  LLC-D.B.A. STERLING'S U"</f>
        <v>GALLS  LLC-D.B.A. STERLING'S U</v>
      </c>
    </row>
    <row r="2755" spans="1:9" x14ac:dyDescent="0.25">
      <c r="A2755" s="6">
        <v>43571</v>
      </c>
      <c r="B2755" t="s">
        <v>26</v>
      </c>
      <c r="C2755">
        <v>60676</v>
      </c>
      <c r="D2755" t="s">
        <v>194</v>
      </c>
      <c r="E2755" s="7">
        <v>387.58</v>
      </c>
      <c r="F2755" t="s">
        <v>20</v>
      </c>
      <c r="G2755" t="s">
        <v>21</v>
      </c>
      <c r="H2755" t="str">
        <f>"BC0805506"</f>
        <v>BC0805506</v>
      </c>
      <c r="I2755" t="str">
        <f>"GALLS  LLC-D.B.A. STERLING'S U"</f>
        <v>GALLS  LLC-D.B.A. STERLING'S U</v>
      </c>
    </row>
    <row r="2756" spans="1:9" x14ac:dyDescent="0.25">
      <c r="A2756" s="6">
        <v>43571</v>
      </c>
      <c r="B2756" t="s">
        <v>26</v>
      </c>
      <c r="C2756">
        <v>60677</v>
      </c>
      <c r="D2756" t="s">
        <v>132</v>
      </c>
      <c r="E2756" s="7">
        <v>70.459999999999994</v>
      </c>
      <c r="F2756" t="s">
        <v>20</v>
      </c>
      <c r="G2756" t="s">
        <v>21</v>
      </c>
      <c r="H2756" t="str">
        <f>"16992887 03282019"</f>
        <v>16992887 03282019</v>
      </c>
      <c r="I2756" t="str">
        <f>"SPARKLETTS &amp; SIERRA SPRINGS"</f>
        <v>SPARKLETTS &amp; SIERRA SPRINGS</v>
      </c>
    </row>
    <row r="2757" spans="1:9" x14ac:dyDescent="0.25">
      <c r="A2757" s="6">
        <v>43571</v>
      </c>
      <c r="B2757" t="s">
        <v>26</v>
      </c>
      <c r="C2757">
        <v>60678</v>
      </c>
      <c r="D2757" t="s">
        <v>326</v>
      </c>
      <c r="E2757" s="7">
        <v>29</v>
      </c>
      <c r="F2757" t="s">
        <v>20</v>
      </c>
      <c r="G2757" t="s">
        <v>21</v>
      </c>
      <c r="H2757" t="str">
        <f>"19443437"</f>
        <v>19443437</v>
      </c>
      <c r="I2757" t="str">
        <f>"MATHESON TRI-GAS INC"</f>
        <v>MATHESON TRI-GAS INC</v>
      </c>
    </row>
    <row r="2758" spans="1:9" x14ac:dyDescent="0.25">
      <c r="A2758" s="6">
        <v>43571</v>
      </c>
      <c r="B2758" t="s">
        <v>26</v>
      </c>
      <c r="C2758">
        <v>60679</v>
      </c>
      <c r="D2758" t="s">
        <v>237</v>
      </c>
      <c r="E2758" s="7">
        <v>523</v>
      </c>
      <c r="F2758" t="s">
        <v>20</v>
      </c>
      <c r="G2758" t="s">
        <v>21</v>
      </c>
      <c r="H2758" t="str">
        <f>"167831193-001"</f>
        <v>167831193-001</v>
      </c>
      <c r="I2758" t="str">
        <f>"EXCAVATOR"</f>
        <v>EXCAVATOR</v>
      </c>
    </row>
    <row r="2759" spans="1:9" x14ac:dyDescent="0.25">
      <c r="A2759" s="6">
        <v>43571</v>
      </c>
      <c r="B2759" t="s">
        <v>26</v>
      </c>
      <c r="C2759">
        <v>60680</v>
      </c>
      <c r="D2759" t="s">
        <v>345</v>
      </c>
      <c r="E2759" s="7">
        <v>374</v>
      </c>
      <c r="F2759" t="s">
        <v>20</v>
      </c>
      <c r="G2759" t="s">
        <v>21</v>
      </c>
      <c r="H2759" t="str">
        <f>"4/15/19"</f>
        <v>4/15/19</v>
      </c>
      <c r="I2759" t="str">
        <f>"MICHAEL ISAAC MARTINEZ"</f>
        <v>MICHAEL ISAAC MARTINEZ</v>
      </c>
    </row>
    <row r="2760" spans="1:9" x14ac:dyDescent="0.25">
      <c r="A2760" s="6">
        <v>43571</v>
      </c>
      <c r="B2760" t="s">
        <v>26</v>
      </c>
      <c r="C2760">
        <v>60681</v>
      </c>
      <c r="D2760" t="s">
        <v>197</v>
      </c>
      <c r="E2760" s="7">
        <v>2700</v>
      </c>
      <c r="F2760" t="s">
        <v>20</v>
      </c>
      <c r="G2760" t="s">
        <v>21</v>
      </c>
      <c r="H2760" t="str">
        <f>"191217"</f>
        <v>191217</v>
      </c>
      <c r="I2760" t="str">
        <f>"DRUMS"</f>
        <v>DRUMS</v>
      </c>
    </row>
    <row r="2761" spans="1:9" x14ac:dyDescent="0.25">
      <c r="A2761" s="6">
        <v>43571</v>
      </c>
      <c r="B2761" t="s">
        <v>26</v>
      </c>
      <c r="C2761">
        <v>60682</v>
      </c>
      <c r="D2761" t="s">
        <v>209</v>
      </c>
      <c r="E2761" s="7">
        <v>526.5</v>
      </c>
      <c r="F2761" t="s">
        <v>20</v>
      </c>
      <c r="G2761" t="s">
        <v>21</v>
      </c>
      <c r="H2761" t="str">
        <f>"400903091"</f>
        <v>400903091</v>
      </c>
      <c r="I2761" t="str">
        <f>"EMERGENCY FLOATS"</f>
        <v>EMERGENCY FLOATS</v>
      </c>
    </row>
    <row r="2762" spans="1:9" x14ac:dyDescent="0.25">
      <c r="A2762" s="6">
        <v>43571</v>
      </c>
      <c r="B2762" t="s">
        <v>26</v>
      </c>
      <c r="C2762">
        <v>60683</v>
      </c>
      <c r="D2762" t="s">
        <v>443</v>
      </c>
      <c r="E2762" s="7">
        <v>8250</v>
      </c>
      <c r="F2762" t="s">
        <v>20</v>
      </c>
      <c r="G2762" t="s">
        <v>21</v>
      </c>
      <c r="H2762" t="str">
        <f>"10551"</f>
        <v>10551</v>
      </c>
      <c r="I2762" t="str">
        <f>"RIOJAS TURF CARE  LLC"</f>
        <v>RIOJAS TURF CARE  LLC</v>
      </c>
    </row>
    <row r="2763" spans="1:9" x14ac:dyDescent="0.25">
      <c r="A2763" s="6">
        <v>43571</v>
      </c>
      <c r="B2763" t="s">
        <v>26</v>
      </c>
      <c r="C2763">
        <v>60684</v>
      </c>
      <c r="D2763" t="s">
        <v>644</v>
      </c>
      <c r="E2763" s="7">
        <v>546.19000000000005</v>
      </c>
      <c r="F2763" t="s">
        <v>20</v>
      </c>
      <c r="G2763" t="s">
        <v>21</v>
      </c>
      <c r="H2763" t="str">
        <f>"8213303504"</f>
        <v>8213303504</v>
      </c>
      <c r="I2763" t="str">
        <f t="shared" ref="I2763:I2769" si="50">"UNIFIRST CORPORATION"</f>
        <v>UNIFIRST CORPORATION</v>
      </c>
    </row>
    <row r="2764" spans="1:9" x14ac:dyDescent="0.25">
      <c r="A2764" s="6">
        <v>43571</v>
      </c>
      <c r="B2764" t="s">
        <v>26</v>
      </c>
      <c r="C2764">
        <v>60684</v>
      </c>
      <c r="D2764" t="s">
        <v>644</v>
      </c>
      <c r="E2764" s="7">
        <v>546.19000000000005</v>
      </c>
      <c r="F2764" t="s">
        <v>20</v>
      </c>
      <c r="G2764" t="s">
        <v>21</v>
      </c>
      <c r="H2764" t="str">
        <f>"8213303505"</f>
        <v>8213303505</v>
      </c>
      <c r="I2764" t="str">
        <f t="shared" si="50"/>
        <v>UNIFIRST CORPORATION</v>
      </c>
    </row>
    <row r="2765" spans="1:9" x14ac:dyDescent="0.25">
      <c r="A2765" s="6">
        <v>43571</v>
      </c>
      <c r="B2765" t="s">
        <v>26</v>
      </c>
      <c r="C2765">
        <v>60684</v>
      </c>
      <c r="D2765" t="s">
        <v>644</v>
      </c>
      <c r="E2765" s="7">
        <v>546.19000000000005</v>
      </c>
      <c r="F2765" t="s">
        <v>20</v>
      </c>
      <c r="G2765" t="s">
        <v>21</v>
      </c>
      <c r="H2765" t="str">
        <f>"8213303506"</f>
        <v>8213303506</v>
      </c>
      <c r="I2765" t="str">
        <f t="shared" si="50"/>
        <v>UNIFIRST CORPORATION</v>
      </c>
    </row>
    <row r="2766" spans="1:9" x14ac:dyDescent="0.25">
      <c r="A2766" s="6">
        <v>43571</v>
      </c>
      <c r="B2766" t="s">
        <v>26</v>
      </c>
      <c r="C2766">
        <v>60684</v>
      </c>
      <c r="D2766" t="s">
        <v>644</v>
      </c>
      <c r="E2766" s="7">
        <v>546.19000000000005</v>
      </c>
      <c r="F2766" t="s">
        <v>20</v>
      </c>
      <c r="G2766" t="s">
        <v>21</v>
      </c>
      <c r="H2766" t="str">
        <f>"8213303507"</f>
        <v>8213303507</v>
      </c>
      <c r="I2766" t="str">
        <f t="shared" si="50"/>
        <v>UNIFIRST CORPORATION</v>
      </c>
    </row>
    <row r="2767" spans="1:9" x14ac:dyDescent="0.25">
      <c r="A2767" s="6">
        <v>43571</v>
      </c>
      <c r="B2767" t="s">
        <v>26</v>
      </c>
      <c r="C2767">
        <v>60684</v>
      </c>
      <c r="D2767" t="s">
        <v>644</v>
      </c>
      <c r="E2767" s="7">
        <v>546.19000000000005</v>
      </c>
      <c r="F2767" t="s">
        <v>20</v>
      </c>
      <c r="G2767" t="s">
        <v>21</v>
      </c>
      <c r="H2767" t="str">
        <f>"8213303508"</f>
        <v>8213303508</v>
      </c>
      <c r="I2767" t="str">
        <f t="shared" si="50"/>
        <v>UNIFIRST CORPORATION</v>
      </c>
    </row>
    <row r="2768" spans="1:9" x14ac:dyDescent="0.25">
      <c r="A2768" s="6">
        <v>43571</v>
      </c>
      <c r="B2768" t="s">
        <v>26</v>
      </c>
      <c r="C2768">
        <v>60684</v>
      </c>
      <c r="D2768" t="s">
        <v>644</v>
      </c>
      <c r="E2768" s="7">
        <v>546.19000000000005</v>
      </c>
      <c r="F2768" t="s">
        <v>20</v>
      </c>
      <c r="G2768" t="s">
        <v>21</v>
      </c>
      <c r="H2768" t="str">
        <f>"8213303509"</f>
        <v>8213303509</v>
      </c>
      <c r="I2768" t="str">
        <f t="shared" si="50"/>
        <v>UNIFIRST CORPORATION</v>
      </c>
    </row>
    <row r="2769" spans="1:9" x14ac:dyDescent="0.25">
      <c r="A2769" s="6">
        <v>43571</v>
      </c>
      <c r="B2769" t="s">
        <v>26</v>
      </c>
      <c r="C2769">
        <v>60684</v>
      </c>
      <c r="D2769" t="s">
        <v>644</v>
      </c>
      <c r="E2769" s="7">
        <v>546.19000000000005</v>
      </c>
      <c r="F2769" t="s">
        <v>20</v>
      </c>
      <c r="G2769" t="s">
        <v>21</v>
      </c>
      <c r="H2769" t="str">
        <f>"8213303510"</f>
        <v>8213303510</v>
      </c>
      <c r="I2769" t="str">
        <f t="shared" si="50"/>
        <v>UNIFIRST CORPORATION</v>
      </c>
    </row>
    <row r="2770" spans="1:9" x14ac:dyDescent="0.25">
      <c r="A2770" s="6">
        <v>43571</v>
      </c>
      <c r="B2770" t="s">
        <v>26</v>
      </c>
      <c r="C2770">
        <v>60686</v>
      </c>
      <c r="D2770" t="s">
        <v>696</v>
      </c>
      <c r="E2770" s="7">
        <v>70</v>
      </c>
      <c r="F2770" t="s">
        <v>20</v>
      </c>
      <c r="G2770" t="s">
        <v>21</v>
      </c>
      <c r="H2770" t="str">
        <f>"4/15/19"</f>
        <v>4/15/19</v>
      </c>
      <c r="I2770" t="str">
        <f>"ANGEL G. ROSAS"</f>
        <v>ANGEL G. ROSAS</v>
      </c>
    </row>
    <row r="2771" spans="1:9" x14ac:dyDescent="0.25">
      <c r="A2771" s="6">
        <v>43571</v>
      </c>
      <c r="B2771" t="s">
        <v>91</v>
      </c>
      <c r="C2771">
        <v>60687</v>
      </c>
      <c r="D2771" t="s">
        <v>701</v>
      </c>
      <c r="E2771" s="7">
        <v>798</v>
      </c>
      <c r="F2771" t="s">
        <v>20</v>
      </c>
      <c r="G2771" t="s">
        <v>21</v>
      </c>
      <c r="H2771" t="str">
        <f>"27096"</f>
        <v>27096</v>
      </c>
      <c r="I2771" t="str">
        <f>"PAT MCCARTHY PRODUCTIONS  INC."</f>
        <v>PAT MCCARTHY PRODUCTIONS  INC.</v>
      </c>
    </row>
    <row r="2772" spans="1:9" x14ac:dyDescent="0.25">
      <c r="A2772" s="6">
        <v>43571</v>
      </c>
      <c r="B2772" t="s">
        <v>91</v>
      </c>
      <c r="C2772">
        <v>60687</v>
      </c>
      <c r="D2772" t="s">
        <v>701</v>
      </c>
      <c r="E2772" s="7">
        <v>798</v>
      </c>
      <c r="F2772" t="s">
        <v>20</v>
      </c>
      <c r="G2772" t="s">
        <v>93</v>
      </c>
      <c r="H2772" t="str">
        <f>"CHECK"</f>
        <v>CHECK</v>
      </c>
      <c r="I2772" t="str">
        <f>""</f>
        <v/>
      </c>
    </row>
    <row r="2773" spans="1:9" x14ac:dyDescent="0.25">
      <c r="A2773" s="6">
        <v>43571</v>
      </c>
      <c r="B2773" t="s">
        <v>26</v>
      </c>
      <c r="C2773">
        <v>60688</v>
      </c>
      <c r="D2773" t="s">
        <v>392</v>
      </c>
      <c r="E2773" s="7">
        <v>80</v>
      </c>
      <c r="F2773" t="s">
        <v>20</v>
      </c>
      <c r="G2773" t="s">
        <v>21</v>
      </c>
      <c r="H2773" t="str">
        <f>"RFND PAV. 3/31/19"</f>
        <v>RFND PAV. 3/31/19</v>
      </c>
      <c r="I2773" t="str">
        <f>"FIRST BAPTIST CHURCH"</f>
        <v>FIRST BAPTIST CHURCH</v>
      </c>
    </row>
    <row r="2774" spans="1:9" x14ac:dyDescent="0.25">
      <c r="A2774" s="6">
        <v>43571</v>
      </c>
      <c r="B2774" t="s">
        <v>26</v>
      </c>
      <c r="C2774">
        <v>60689</v>
      </c>
      <c r="D2774" t="s">
        <v>702</v>
      </c>
      <c r="E2774" s="7">
        <v>7600</v>
      </c>
      <c r="F2774" t="s">
        <v>20</v>
      </c>
      <c r="G2774" t="s">
        <v>21</v>
      </c>
      <c r="H2774" t="str">
        <f>"TB87622"</f>
        <v>TB87622</v>
      </c>
      <c r="I2774" t="str">
        <f>"TERRACON CONSULTANTS  INC."</f>
        <v>TERRACON CONSULTANTS  INC.</v>
      </c>
    </row>
    <row r="2775" spans="1:9" x14ac:dyDescent="0.25">
      <c r="A2775" s="6">
        <v>43571</v>
      </c>
      <c r="B2775" t="s">
        <v>26</v>
      </c>
      <c r="C2775">
        <v>60690</v>
      </c>
      <c r="D2775" t="s">
        <v>703</v>
      </c>
      <c r="E2775" s="7">
        <v>595</v>
      </c>
      <c r="F2775" t="s">
        <v>20</v>
      </c>
      <c r="G2775" t="s">
        <v>21</v>
      </c>
      <c r="H2775" t="str">
        <f>"CSE#1410190791"</f>
        <v>CSE#1410190791</v>
      </c>
      <c r="I2775" t="str">
        <f>"DEPARTMENT OF STATE HEALTH SER"</f>
        <v>DEPARTMENT OF STATE HEALTH SER</v>
      </c>
    </row>
    <row r="2776" spans="1:9" x14ac:dyDescent="0.25">
      <c r="A2776" s="6">
        <v>43571</v>
      </c>
      <c r="B2776" t="s">
        <v>26</v>
      </c>
      <c r="C2776">
        <v>60691</v>
      </c>
      <c r="D2776" t="s">
        <v>704</v>
      </c>
      <c r="E2776" s="7">
        <v>600</v>
      </c>
      <c r="F2776" t="s">
        <v>20</v>
      </c>
      <c r="G2776" t="s">
        <v>21</v>
      </c>
      <c r="H2776" t="str">
        <f>"1"</f>
        <v>1</v>
      </c>
      <c r="I2776" t="str">
        <f>"MELISSA M. GRAHAM  PhD"</f>
        <v>MELISSA M. GRAHAM  PhD</v>
      </c>
    </row>
    <row r="2777" spans="1:9" x14ac:dyDescent="0.25">
      <c r="A2777" s="6">
        <v>43572</v>
      </c>
      <c r="B2777" t="s">
        <v>26</v>
      </c>
      <c r="C2777">
        <v>60692</v>
      </c>
      <c r="D2777" t="s">
        <v>92</v>
      </c>
      <c r="E2777" s="7">
        <v>40564.17</v>
      </c>
      <c r="F2777" t="s">
        <v>20</v>
      </c>
      <c r="G2777" t="s">
        <v>329</v>
      </c>
      <c r="H2777" t="str">
        <f>"3/2019"</f>
        <v>3/2019</v>
      </c>
      <c r="I2777" t="str">
        <f>"TEXAS MUNICIPAL RETIREMENT SYS"</f>
        <v>TEXAS MUNICIPAL RETIREMENT SYS</v>
      </c>
    </row>
    <row r="2778" spans="1:9" x14ac:dyDescent="0.25">
      <c r="A2778" s="6">
        <v>43572</v>
      </c>
      <c r="B2778" t="s">
        <v>26</v>
      </c>
      <c r="C2778">
        <v>60692</v>
      </c>
      <c r="D2778" t="s">
        <v>92</v>
      </c>
      <c r="E2778" s="7">
        <v>40564.17</v>
      </c>
      <c r="F2778" t="s">
        <v>20</v>
      </c>
      <c r="G2778" t="s">
        <v>21</v>
      </c>
      <c r="H2778" t="str">
        <f>"RET201904108512"</f>
        <v>RET201904108512</v>
      </c>
      <c r="I2778" t="str">
        <f>"TMRS CITY OF FLORESVILLE"</f>
        <v>TMRS CITY OF FLORESVILLE</v>
      </c>
    </row>
    <row r="2779" spans="1:9" x14ac:dyDescent="0.25">
      <c r="A2779" s="6">
        <v>43572</v>
      </c>
      <c r="B2779" t="s">
        <v>26</v>
      </c>
      <c r="C2779">
        <v>60695</v>
      </c>
      <c r="D2779" t="s">
        <v>57</v>
      </c>
      <c r="E2779" s="7">
        <v>9456.25</v>
      </c>
      <c r="F2779" t="s">
        <v>20</v>
      </c>
      <c r="G2779" t="s">
        <v>21</v>
      </c>
      <c r="H2779" t="str">
        <f>"11617 PK/FLD 4/19"</f>
        <v>11617 PK/FLD 4/19</v>
      </c>
      <c r="I2779" t="str">
        <f>"F.E.L.P.S."</f>
        <v>F.E.L.P.S.</v>
      </c>
    </row>
    <row r="2780" spans="1:9" x14ac:dyDescent="0.25">
      <c r="A2780" s="6">
        <v>43572</v>
      </c>
      <c r="B2780" t="s">
        <v>26</v>
      </c>
      <c r="C2780">
        <v>60696</v>
      </c>
      <c r="D2780" t="s">
        <v>201</v>
      </c>
      <c r="E2780" s="7">
        <v>457.36</v>
      </c>
      <c r="F2780" t="s">
        <v>20</v>
      </c>
      <c r="G2780" t="s">
        <v>21</v>
      </c>
      <c r="H2780" t="str">
        <f>"138954"</f>
        <v>138954</v>
      </c>
      <c r="I2780" t="str">
        <f t="shared" ref="I2780:I2785" si="51">"WILSON COUNTY HARDWARE"</f>
        <v>WILSON COUNTY HARDWARE</v>
      </c>
    </row>
    <row r="2781" spans="1:9" x14ac:dyDescent="0.25">
      <c r="A2781" s="6">
        <v>43572</v>
      </c>
      <c r="B2781" t="s">
        <v>26</v>
      </c>
      <c r="C2781">
        <v>60696</v>
      </c>
      <c r="D2781" t="s">
        <v>201</v>
      </c>
      <c r="E2781" s="7">
        <v>457.36</v>
      </c>
      <c r="F2781" t="s">
        <v>20</v>
      </c>
      <c r="G2781" t="s">
        <v>21</v>
      </c>
      <c r="H2781" t="str">
        <f>"138956"</f>
        <v>138956</v>
      </c>
      <c r="I2781" t="str">
        <f t="shared" si="51"/>
        <v>WILSON COUNTY HARDWARE</v>
      </c>
    </row>
    <row r="2782" spans="1:9" x14ac:dyDescent="0.25">
      <c r="A2782" s="6">
        <v>43572</v>
      </c>
      <c r="B2782" t="s">
        <v>26</v>
      </c>
      <c r="C2782">
        <v>60696</v>
      </c>
      <c r="D2782" t="s">
        <v>201</v>
      </c>
      <c r="E2782" s="7">
        <v>457.36</v>
      </c>
      <c r="F2782" t="s">
        <v>20</v>
      </c>
      <c r="G2782" t="s">
        <v>21</v>
      </c>
      <c r="H2782" t="str">
        <f>"138963"</f>
        <v>138963</v>
      </c>
      <c r="I2782" t="str">
        <f t="shared" si="51"/>
        <v>WILSON COUNTY HARDWARE</v>
      </c>
    </row>
    <row r="2783" spans="1:9" x14ac:dyDescent="0.25">
      <c r="A2783" s="6">
        <v>43572</v>
      </c>
      <c r="B2783" t="s">
        <v>26</v>
      </c>
      <c r="C2783">
        <v>60696</v>
      </c>
      <c r="D2783" t="s">
        <v>201</v>
      </c>
      <c r="E2783" s="7">
        <v>457.36</v>
      </c>
      <c r="F2783" t="s">
        <v>20</v>
      </c>
      <c r="G2783" t="s">
        <v>21</v>
      </c>
      <c r="H2783" t="str">
        <f>"138965"</f>
        <v>138965</v>
      </c>
      <c r="I2783" t="str">
        <f t="shared" si="51"/>
        <v>WILSON COUNTY HARDWARE</v>
      </c>
    </row>
    <row r="2784" spans="1:9" x14ac:dyDescent="0.25">
      <c r="A2784" s="6">
        <v>43572</v>
      </c>
      <c r="B2784" t="s">
        <v>26</v>
      </c>
      <c r="C2784">
        <v>60696</v>
      </c>
      <c r="D2784" t="s">
        <v>201</v>
      </c>
      <c r="E2784" s="7">
        <v>457.36</v>
      </c>
      <c r="F2784" t="s">
        <v>20</v>
      </c>
      <c r="G2784" t="s">
        <v>21</v>
      </c>
      <c r="H2784" t="str">
        <f>"138968"</f>
        <v>138968</v>
      </c>
      <c r="I2784" t="str">
        <f t="shared" si="51"/>
        <v>WILSON COUNTY HARDWARE</v>
      </c>
    </row>
    <row r="2785" spans="1:9" x14ac:dyDescent="0.25">
      <c r="A2785" s="6">
        <v>43572</v>
      </c>
      <c r="B2785" t="s">
        <v>26</v>
      </c>
      <c r="C2785">
        <v>60696</v>
      </c>
      <c r="D2785" t="s">
        <v>201</v>
      </c>
      <c r="E2785" s="7">
        <v>457.36</v>
      </c>
      <c r="F2785" t="s">
        <v>20</v>
      </c>
      <c r="G2785" t="s">
        <v>21</v>
      </c>
      <c r="H2785" t="str">
        <f>"141950"</f>
        <v>141950</v>
      </c>
      <c r="I2785" t="str">
        <f t="shared" si="51"/>
        <v>WILSON COUNTY HARDWARE</v>
      </c>
    </row>
    <row r="2786" spans="1:9" x14ac:dyDescent="0.25">
      <c r="A2786" s="6">
        <v>43572</v>
      </c>
      <c r="B2786" t="s">
        <v>26</v>
      </c>
      <c r="C2786">
        <v>60697</v>
      </c>
      <c r="D2786" t="s">
        <v>61</v>
      </c>
      <c r="E2786" s="7">
        <v>468.6</v>
      </c>
      <c r="F2786" t="s">
        <v>20</v>
      </c>
      <c r="G2786" t="s">
        <v>21</v>
      </c>
      <c r="H2786" t="str">
        <f>"025-254663"</f>
        <v>025-254663</v>
      </c>
      <c r="I2786" t="str">
        <f>"TYLER TECHNOLOGIES  INC."</f>
        <v>TYLER TECHNOLOGIES  INC.</v>
      </c>
    </row>
    <row r="2787" spans="1:9" x14ac:dyDescent="0.25">
      <c r="A2787" s="6">
        <v>43572</v>
      </c>
      <c r="B2787" t="s">
        <v>26</v>
      </c>
      <c r="C2787">
        <v>60697</v>
      </c>
      <c r="D2787" t="s">
        <v>61</v>
      </c>
      <c r="E2787" s="7">
        <v>468.6</v>
      </c>
      <c r="F2787" t="s">
        <v>20</v>
      </c>
      <c r="G2787" t="s">
        <v>21</v>
      </c>
      <c r="H2787" t="str">
        <f>"025-254929"</f>
        <v>025-254929</v>
      </c>
      <c r="I2787" t="str">
        <f>"TYLER TECHNOLOGIES  INC."</f>
        <v>TYLER TECHNOLOGIES  INC.</v>
      </c>
    </row>
    <row r="2788" spans="1:9" x14ac:dyDescent="0.25">
      <c r="A2788" s="6">
        <v>43572</v>
      </c>
      <c r="B2788" t="s">
        <v>26</v>
      </c>
      <c r="C2788">
        <v>60698</v>
      </c>
      <c r="D2788" t="s">
        <v>62</v>
      </c>
      <c r="E2788" s="7">
        <v>210</v>
      </c>
      <c r="F2788" t="s">
        <v>20</v>
      </c>
      <c r="G2788" t="s">
        <v>21</v>
      </c>
      <c r="H2788" t="str">
        <f>"63202"</f>
        <v>63202</v>
      </c>
      <c r="I2788" t="str">
        <f>"PROFICIENT BENEFIT SOLUTIONS"</f>
        <v>PROFICIENT BENEFIT SOLUTIONS</v>
      </c>
    </row>
    <row r="2789" spans="1:9" x14ac:dyDescent="0.25">
      <c r="A2789" s="6">
        <v>43572</v>
      </c>
      <c r="B2789" t="s">
        <v>26</v>
      </c>
      <c r="C2789">
        <v>60699</v>
      </c>
      <c r="D2789" t="s">
        <v>63</v>
      </c>
      <c r="E2789" s="7">
        <v>107.17</v>
      </c>
      <c r="F2789" t="s">
        <v>20</v>
      </c>
      <c r="G2789" t="s">
        <v>21</v>
      </c>
      <c r="H2789" t="str">
        <f>"8404086162"</f>
        <v>8404086162</v>
      </c>
      <c r="I2789" t="str">
        <f>"CINTAS CORPORATION"</f>
        <v>CINTAS CORPORATION</v>
      </c>
    </row>
    <row r="2790" spans="1:9" x14ac:dyDescent="0.25">
      <c r="A2790" s="6">
        <v>43572</v>
      </c>
      <c r="B2790" t="s">
        <v>26</v>
      </c>
      <c r="C2790">
        <v>60700</v>
      </c>
      <c r="D2790" t="s">
        <v>64</v>
      </c>
      <c r="E2790" s="7">
        <v>6798</v>
      </c>
      <c r="F2790" t="s">
        <v>20</v>
      </c>
      <c r="G2790" t="s">
        <v>21</v>
      </c>
      <c r="H2790" t="str">
        <f>"7788"</f>
        <v>7788</v>
      </c>
      <c r="I2790" t="str">
        <f>"DREWA DESIGNS  INC."</f>
        <v>DREWA DESIGNS  INC.</v>
      </c>
    </row>
    <row r="2791" spans="1:9" x14ac:dyDescent="0.25">
      <c r="A2791" s="6">
        <v>43572</v>
      </c>
      <c r="B2791" t="s">
        <v>26</v>
      </c>
      <c r="C2791">
        <v>60701</v>
      </c>
      <c r="D2791" t="s">
        <v>66</v>
      </c>
      <c r="E2791" s="7">
        <v>502.88</v>
      </c>
      <c r="F2791" t="s">
        <v>20</v>
      </c>
      <c r="G2791" t="s">
        <v>21</v>
      </c>
      <c r="H2791" t="str">
        <f>"54863"</f>
        <v>54863</v>
      </c>
      <c r="I2791" t="str">
        <f>"LOPEZ EXTERMINATING SERVICE  I"</f>
        <v>LOPEZ EXTERMINATING SERVICE  I</v>
      </c>
    </row>
    <row r="2792" spans="1:9" x14ac:dyDescent="0.25">
      <c r="A2792" s="6">
        <v>43572</v>
      </c>
      <c r="B2792" t="s">
        <v>26</v>
      </c>
      <c r="C2792">
        <v>60702</v>
      </c>
      <c r="D2792" t="s">
        <v>187</v>
      </c>
      <c r="E2792" s="7">
        <v>1935.65</v>
      </c>
      <c r="F2792" t="s">
        <v>20</v>
      </c>
      <c r="G2792" t="s">
        <v>21</v>
      </c>
      <c r="H2792" t="str">
        <f>"WI015963"</f>
        <v>WI015963</v>
      </c>
      <c r="I2792" t="str">
        <f>"REPAIRS ON CRANE"</f>
        <v>REPAIRS ON CRANE</v>
      </c>
    </row>
    <row r="2793" spans="1:9" x14ac:dyDescent="0.25">
      <c r="A2793" s="6">
        <v>43572</v>
      </c>
      <c r="B2793" t="s">
        <v>26</v>
      </c>
      <c r="C2793">
        <v>60703</v>
      </c>
      <c r="D2793" t="s">
        <v>120</v>
      </c>
      <c r="E2793" s="7">
        <v>1800.89</v>
      </c>
      <c r="F2793" t="s">
        <v>20</v>
      </c>
      <c r="G2793" t="s">
        <v>21</v>
      </c>
      <c r="H2793" t="str">
        <f>"71080054"</f>
        <v>71080054</v>
      </c>
      <c r="I2793" t="str">
        <f>"VERIZON BUSINESS"</f>
        <v>VERIZON BUSINESS</v>
      </c>
    </row>
    <row r="2794" spans="1:9" x14ac:dyDescent="0.25">
      <c r="A2794" s="6">
        <v>43572</v>
      </c>
      <c r="B2794" t="s">
        <v>26</v>
      </c>
      <c r="C2794">
        <v>60703</v>
      </c>
      <c r="D2794" t="s">
        <v>120</v>
      </c>
      <c r="E2794" s="7">
        <v>1800.89</v>
      </c>
      <c r="F2794" t="s">
        <v>20</v>
      </c>
      <c r="G2794" t="s">
        <v>21</v>
      </c>
      <c r="H2794" t="str">
        <f>"71085406"</f>
        <v>71085406</v>
      </c>
      <c r="I2794" t="str">
        <f>"VERIZON BUSINESS"</f>
        <v>VERIZON BUSINESS</v>
      </c>
    </row>
    <row r="2795" spans="1:9" x14ac:dyDescent="0.25">
      <c r="A2795" s="6">
        <v>43572</v>
      </c>
      <c r="B2795" t="s">
        <v>26</v>
      </c>
      <c r="C2795">
        <v>60704</v>
      </c>
      <c r="D2795" t="s">
        <v>159</v>
      </c>
      <c r="E2795" s="7">
        <v>47.96</v>
      </c>
      <c r="F2795" t="s">
        <v>20</v>
      </c>
      <c r="G2795" t="s">
        <v>21</v>
      </c>
      <c r="H2795" t="str">
        <f>"37944"</f>
        <v>37944</v>
      </c>
      <c r="I2795" t="str">
        <f>"PHOTOGRAPHS BY JIM"</f>
        <v>PHOTOGRAPHS BY JIM</v>
      </c>
    </row>
    <row r="2796" spans="1:9" x14ac:dyDescent="0.25">
      <c r="A2796" s="6">
        <v>43572</v>
      </c>
      <c r="B2796" t="s">
        <v>26</v>
      </c>
      <c r="C2796">
        <v>60705</v>
      </c>
      <c r="D2796" t="s">
        <v>74</v>
      </c>
      <c r="E2796" s="7">
        <v>25.1</v>
      </c>
      <c r="F2796" t="s">
        <v>20</v>
      </c>
      <c r="G2796" t="s">
        <v>21</v>
      </c>
      <c r="H2796" t="str">
        <f>"9827706856"</f>
        <v>9827706856</v>
      </c>
      <c r="I2796" t="str">
        <f>"VERIZON WIRELESS"</f>
        <v>VERIZON WIRELESS</v>
      </c>
    </row>
    <row r="2797" spans="1:9" x14ac:dyDescent="0.25">
      <c r="A2797" s="6">
        <v>43572</v>
      </c>
      <c r="B2797" t="s">
        <v>26</v>
      </c>
      <c r="C2797">
        <v>60706</v>
      </c>
      <c r="D2797" t="s">
        <v>126</v>
      </c>
      <c r="E2797" s="7">
        <v>87611.73</v>
      </c>
      <c r="F2797" t="s">
        <v>20</v>
      </c>
      <c r="G2797" t="s">
        <v>21</v>
      </c>
      <c r="H2797" t="str">
        <f>"0859-002262012"</f>
        <v>0859-002262012</v>
      </c>
      <c r="I2797" t="str">
        <f>"REPUBLIC SERVICES #859"</f>
        <v>REPUBLIC SERVICES #859</v>
      </c>
    </row>
    <row r="2798" spans="1:9" x14ac:dyDescent="0.25">
      <c r="A2798" s="6">
        <v>43572</v>
      </c>
      <c r="B2798" t="s">
        <v>26</v>
      </c>
      <c r="C2798">
        <v>60706</v>
      </c>
      <c r="D2798" t="s">
        <v>126</v>
      </c>
      <c r="E2798" s="7">
        <v>87611.73</v>
      </c>
      <c r="F2798" t="s">
        <v>20</v>
      </c>
      <c r="G2798" t="s">
        <v>21</v>
      </c>
      <c r="H2798" t="str">
        <f>"0859-002266074"</f>
        <v>0859-002266074</v>
      </c>
      <c r="I2798" t="str">
        <f>"REPUBLIC SERVICES #859"</f>
        <v>REPUBLIC SERVICES #859</v>
      </c>
    </row>
    <row r="2799" spans="1:9" x14ac:dyDescent="0.25">
      <c r="A2799" s="6">
        <v>43572</v>
      </c>
      <c r="B2799" t="s">
        <v>26</v>
      </c>
      <c r="C2799">
        <v>60707</v>
      </c>
      <c r="D2799" t="s">
        <v>81</v>
      </c>
      <c r="E2799" s="7">
        <v>164.7</v>
      </c>
      <c r="F2799" t="s">
        <v>20</v>
      </c>
      <c r="G2799" t="s">
        <v>21</v>
      </c>
      <c r="H2799" t="str">
        <f>"A.MARTINEZ 4/17/19"</f>
        <v>A.MARTINEZ 4/17/19</v>
      </c>
      <c r="I2799" t="str">
        <f>"CITY OF FLORESVILLE -PETTY CAS"</f>
        <v>CITY OF FLORESVILLE -PETTY CAS</v>
      </c>
    </row>
    <row r="2800" spans="1:9" x14ac:dyDescent="0.25">
      <c r="A2800" s="6">
        <v>43572</v>
      </c>
      <c r="B2800" t="s">
        <v>26</v>
      </c>
      <c r="C2800">
        <v>60708</v>
      </c>
      <c r="D2800" t="s">
        <v>380</v>
      </c>
      <c r="E2800" s="7">
        <v>17682</v>
      </c>
      <c r="F2800" t="s">
        <v>20</v>
      </c>
      <c r="G2800" t="s">
        <v>21</v>
      </c>
      <c r="H2800" t="str">
        <f>"62638"</f>
        <v>62638</v>
      </c>
      <c r="I2800" t="str">
        <f>"ABIP CERTIFIED PUBLIC ACCOUNTA"</f>
        <v>ABIP CERTIFIED PUBLIC ACCOUNTA</v>
      </c>
    </row>
    <row r="2801" spans="1:9" x14ac:dyDescent="0.25">
      <c r="A2801" s="6">
        <v>43572</v>
      </c>
      <c r="B2801" t="s">
        <v>26</v>
      </c>
      <c r="C2801">
        <v>60709</v>
      </c>
      <c r="D2801" t="s">
        <v>85</v>
      </c>
      <c r="E2801" s="7">
        <v>1428.28</v>
      </c>
      <c r="F2801" t="s">
        <v>20</v>
      </c>
      <c r="G2801" t="s">
        <v>21</v>
      </c>
      <c r="H2801" t="str">
        <f>"8303910021 4/19"</f>
        <v>8303910021 4/19</v>
      </c>
      <c r="I2801" t="str">
        <f>"FRONTIER"</f>
        <v>FRONTIER</v>
      </c>
    </row>
    <row r="2802" spans="1:9" x14ac:dyDescent="0.25">
      <c r="A2802" s="6">
        <v>43572</v>
      </c>
      <c r="B2802" t="s">
        <v>26</v>
      </c>
      <c r="C2802">
        <v>60709</v>
      </c>
      <c r="D2802" t="s">
        <v>85</v>
      </c>
      <c r="E2802" s="7">
        <v>1428.28</v>
      </c>
      <c r="F2802" t="s">
        <v>20</v>
      </c>
      <c r="G2802" t="s">
        <v>21</v>
      </c>
      <c r="H2802" t="str">
        <f>"830393057904/19"</f>
        <v>830393057904/19</v>
      </c>
      <c r="I2802" t="str">
        <f>"FRONTIER"</f>
        <v>FRONTIER</v>
      </c>
    </row>
    <row r="2803" spans="1:9" x14ac:dyDescent="0.25">
      <c r="A2803" s="6">
        <v>43572</v>
      </c>
      <c r="B2803" t="s">
        <v>26</v>
      </c>
      <c r="C2803">
        <v>60709</v>
      </c>
      <c r="D2803" t="s">
        <v>85</v>
      </c>
      <c r="E2803" s="7">
        <v>1428.28</v>
      </c>
      <c r="F2803" t="s">
        <v>20</v>
      </c>
      <c r="G2803" t="s">
        <v>21</v>
      </c>
      <c r="H2803" t="str">
        <f>"8303933108 4/19"</f>
        <v>8303933108 4/19</v>
      </c>
      <c r="I2803" t="str">
        <f>"FRONTIER"</f>
        <v>FRONTIER</v>
      </c>
    </row>
    <row r="2804" spans="1:9" x14ac:dyDescent="0.25">
      <c r="A2804" s="6">
        <v>43572</v>
      </c>
      <c r="B2804" t="s">
        <v>26</v>
      </c>
      <c r="C2804">
        <v>60709</v>
      </c>
      <c r="D2804" t="s">
        <v>85</v>
      </c>
      <c r="E2804" s="7">
        <v>1428.28</v>
      </c>
      <c r="F2804" t="s">
        <v>20</v>
      </c>
      <c r="G2804" t="s">
        <v>21</v>
      </c>
      <c r="H2804" t="str">
        <f>"8303939791 4/19"</f>
        <v>8303939791 4/19</v>
      </c>
      <c r="I2804" t="str">
        <f>"FRONTIER"</f>
        <v>FRONTIER</v>
      </c>
    </row>
    <row r="2805" spans="1:9" x14ac:dyDescent="0.25">
      <c r="A2805" s="6">
        <v>43572</v>
      </c>
      <c r="B2805" t="s">
        <v>26</v>
      </c>
      <c r="C2805">
        <v>60710</v>
      </c>
      <c r="D2805" t="s">
        <v>475</v>
      </c>
      <c r="E2805" s="7">
        <v>448.4</v>
      </c>
      <c r="F2805" t="s">
        <v>20</v>
      </c>
      <c r="G2805" t="s">
        <v>21</v>
      </c>
      <c r="H2805" t="str">
        <f>"31189"</f>
        <v>31189</v>
      </c>
      <c r="I2805" t="str">
        <f>"TOP SOIL"</f>
        <v>TOP SOIL</v>
      </c>
    </row>
    <row r="2806" spans="1:9" x14ac:dyDescent="0.25">
      <c r="A2806" s="6">
        <v>43572</v>
      </c>
      <c r="B2806" t="s">
        <v>26</v>
      </c>
      <c r="C2806">
        <v>60711</v>
      </c>
      <c r="D2806" t="s">
        <v>175</v>
      </c>
      <c r="E2806" s="7">
        <v>500</v>
      </c>
      <c r="F2806" t="s">
        <v>20</v>
      </c>
      <c r="G2806" t="s">
        <v>21</v>
      </c>
      <c r="H2806" t="str">
        <f>"151500"</f>
        <v>151500</v>
      </c>
      <c r="I2806" t="str">
        <f>"AMER TECHNOLOGY  INC."</f>
        <v>AMER TECHNOLOGY  INC.</v>
      </c>
    </row>
    <row r="2807" spans="1:9" x14ac:dyDescent="0.25">
      <c r="A2807" s="6">
        <v>43572</v>
      </c>
      <c r="B2807" t="s">
        <v>26</v>
      </c>
      <c r="C2807">
        <v>60712</v>
      </c>
      <c r="D2807" t="s">
        <v>346</v>
      </c>
      <c r="E2807" s="7">
        <v>13750</v>
      </c>
      <c r="F2807" t="s">
        <v>20</v>
      </c>
      <c r="G2807" t="s">
        <v>21</v>
      </c>
      <c r="H2807" t="str">
        <f>"3/11-4/11 2019"</f>
        <v>3/11-4/11 2019</v>
      </c>
      <c r="I2807" t="str">
        <f>"SYLVIA RODRIGUEZ"</f>
        <v>SYLVIA RODRIGUEZ</v>
      </c>
    </row>
    <row r="2808" spans="1:9" x14ac:dyDescent="0.25">
      <c r="A2808" s="6">
        <v>43572</v>
      </c>
      <c r="B2808" t="s">
        <v>26</v>
      </c>
      <c r="C2808">
        <v>60713</v>
      </c>
      <c r="D2808" t="s">
        <v>651</v>
      </c>
      <c r="E2808" s="7">
        <v>150</v>
      </c>
      <c r="F2808" t="s">
        <v>20</v>
      </c>
      <c r="G2808" t="s">
        <v>21</v>
      </c>
      <c r="H2808" t="str">
        <f>"4/13/2019"</f>
        <v>4/13/2019</v>
      </c>
      <c r="I2808" t="str">
        <f>"NAZARETH RAMIREZ"</f>
        <v>NAZARETH RAMIREZ</v>
      </c>
    </row>
    <row r="2809" spans="1:9" x14ac:dyDescent="0.25">
      <c r="A2809" s="6">
        <v>43572</v>
      </c>
      <c r="B2809" t="s">
        <v>26</v>
      </c>
      <c r="C2809">
        <v>60714</v>
      </c>
      <c r="D2809" t="s">
        <v>288</v>
      </c>
      <c r="E2809" s="7">
        <v>26828</v>
      </c>
      <c r="F2809" t="s">
        <v>20</v>
      </c>
      <c r="G2809" t="s">
        <v>21</v>
      </c>
      <c r="H2809" t="str">
        <f>"SI-1582589"</f>
        <v>SI-1582589</v>
      </c>
      <c r="I2809" t="str">
        <f>"HARDWARE"</f>
        <v>HARDWARE</v>
      </c>
    </row>
    <row r="2810" spans="1:9" x14ac:dyDescent="0.25">
      <c r="A2810" s="6">
        <v>43572</v>
      </c>
      <c r="B2810" t="s">
        <v>26</v>
      </c>
      <c r="C2810">
        <v>60714</v>
      </c>
      <c r="D2810" t="s">
        <v>288</v>
      </c>
      <c r="E2810" s="7">
        <v>26828</v>
      </c>
      <c r="F2810" t="s">
        <v>20</v>
      </c>
      <c r="G2810" t="s">
        <v>21</v>
      </c>
      <c r="H2810" t="str">
        <f>"SI-1583291"</f>
        <v>SI-1583291</v>
      </c>
      <c r="I2810" t="str">
        <f>"HARDWARE"</f>
        <v>HARDWARE</v>
      </c>
    </row>
    <row r="2811" spans="1:9" x14ac:dyDescent="0.25">
      <c r="A2811" s="6">
        <v>43579</v>
      </c>
      <c r="B2811" t="s">
        <v>26</v>
      </c>
      <c r="C2811">
        <v>60725</v>
      </c>
      <c r="D2811" t="s">
        <v>51</v>
      </c>
      <c r="E2811" s="7">
        <v>327.84</v>
      </c>
      <c r="F2811" t="s">
        <v>20</v>
      </c>
      <c r="G2811" t="s">
        <v>21</v>
      </c>
      <c r="H2811" t="str">
        <f>"CLE201904248514"</f>
        <v>CLE201904248514</v>
      </c>
      <c r="I2811" t="str">
        <f>"CLEAT ONLY DUES"</f>
        <v>CLEAT ONLY DUES</v>
      </c>
    </row>
    <row r="2812" spans="1:9" x14ac:dyDescent="0.25">
      <c r="A2812" s="6">
        <v>43579</v>
      </c>
      <c r="B2812" t="s">
        <v>26</v>
      </c>
      <c r="C2812">
        <v>60725</v>
      </c>
      <c r="D2812" t="s">
        <v>51</v>
      </c>
      <c r="E2812" s="7">
        <v>327.84</v>
      </c>
      <c r="F2812" t="s">
        <v>20</v>
      </c>
      <c r="G2812" t="s">
        <v>21</v>
      </c>
      <c r="H2812" t="str">
        <f>"PDD201904248514"</f>
        <v>PDD201904248514</v>
      </c>
      <c r="I2812" t="str">
        <f>"POLICE OFFICERS ASSOC DUES"</f>
        <v>POLICE OFFICERS ASSOC DUES</v>
      </c>
    </row>
    <row r="2813" spans="1:9" x14ac:dyDescent="0.25">
      <c r="A2813" s="6">
        <v>43579</v>
      </c>
      <c r="B2813" t="s">
        <v>91</v>
      </c>
      <c r="C2813">
        <v>60726</v>
      </c>
      <c r="D2813" t="s">
        <v>90</v>
      </c>
      <c r="E2813" s="7">
        <v>101.1</v>
      </c>
      <c r="F2813" t="s">
        <v>20</v>
      </c>
      <c r="G2813" t="s">
        <v>21</v>
      </c>
      <c r="H2813" t="str">
        <f>"AFS201904248514"</f>
        <v>AFS201904248514</v>
      </c>
      <c r="I2813" t="str">
        <f>"AFLAC STD"</f>
        <v>AFLAC STD</v>
      </c>
    </row>
    <row r="2814" spans="1:9" x14ac:dyDescent="0.25">
      <c r="A2814" s="6">
        <v>43579</v>
      </c>
      <c r="B2814" t="s">
        <v>26</v>
      </c>
      <c r="C2814">
        <v>60727</v>
      </c>
      <c r="D2814" t="s">
        <v>52</v>
      </c>
      <c r="E2814" s="7">
        <v>1371.29</v>
      </c>
      <c r="F2814" t="s">
        <v>20</v>
      </c>
      <c r="G2814" t="s">
        <v>21</v>
      </c>
      <c r="H2814" t="str">
        <f>"CJD201904248514"</f>
        <v>CJD201904248514</v>
      </c>
      <c r="I2814" t="str">
        <f>"1371990918080637CV RUBI MUNOZ"</f>
        <v>1371990918080637CV RUBI MUNOZ</v>
      </c>
    </row>
    <row r="2815" spans="1:9" x14ac:dyDescent="0.25">
      <c r="A2815" s="6">
        <v>43579</v>
      </c>
      <c r="B2815" t="s">
        <v>26</v>
      </c>
      <c r="C2815">
        <v>60727</v>
      </c>
      <c r="D2815" t="s">
        <v>52</v>
      </c>
      <c r="E2815" s="7">
        <v>1371.29</v>
      </c>
      <c r="F2815" t="s">
        <v>20</v>
      </c>
      <c r="G2815" t="s">
        <v>21</v>
      </c>
      <c r="H2815" t="str">
        <f>"CPS201904248514"</f>
        <v>CPS201904248514</v>
      </c>
      <c r="I2815" t="str">
        <f>"G MENDOZA 00123012032010EM5054"</f>
        <v>G MENDOZA 00123012032010EM5054</v>
      </c>
    </row>
    <row r="2816" spans="1:9" x14ac:dyDescent="0.25">
      <c r="A2816" s="6">
        <v>43579</v>
      </c>
      <c r="B2816" t="s">
        <v>26</v>
      </c>
      <c r="C2816">
        <v>60727</v>
      </c>
      <c r="D2816" t="s">
        <v>52</v>
      </c>
      <c r="E2816" s="7">
        <v>1371.29</v>
      </c>
      <c r="F2816" t="s">
        <v>20</v>
      </c>
      <c r="G2816" t="s">
        <v>21</v>
      </c>
      <c r="H2816" t="str">
        <f>"CS 201904248514"</f>
        <v>CS 201904248514</v>
      </c>
      <c r="I2816" t="str">
        <f>"CAUSE#98EM504113 PEGGY RIVAS"</f>
        <v>CAUSE#98EM504113 PEGGY RIVAS</v>
      </c>
    </row>
    <row r="2817" spans="1:9" x14ac:dyDescent="0.25">
      <c r="A2817" s="6">
        <v>43579</v>
      </c>
      <c r="B2817" t="s">
        <v>26</v>
      </c>
      <c r="C2817">
        <v>60727</v>
      </c>
      <c r="D2817" t="s">
        <v>52</v>
      </c>
      <c r="E2817" s="7">
        <v>1371.29</v>
      </c>
      <c r="F2817" t="s">
        <v>20</v>
      </c>
      <c r="G2817" t="s">
        <v>21</v>
      </c>
      <c r="H2817" t="str">
        <f>"CSJ201904248514"</f>
        <v>CSJ201904248514</v>
      </c>
      <c r="I2817" t="str">
        <f>"CAUSE# 0010185272 MARIANN GUTI"</f>
        <v>CAUSE# 0010185272 MARIANN GUTI</v>
      </c>
    </row>
    <row r="2818" spans="1:9" x14ac:dyDescent="0.25">
      <c r="A2818" s="6">
        <v>43579</v>
      </c>
      <c r="B2818" t="s">
        <v>26</v>
      </c>
      <c r="C2818">
        <v>60728</v>
      </c>
      <c r="D2818" t="s">
        <v>53</v>
      </c>
      <c r="E2818" s="7">
        <v>99.1</v>
      </c>
      <c r="F2818" t="s">
        <v>20</v>
      </c>
      <c r="G2818" t="s">
        <v>21</v>
      </c>
      <c r="H2818" t="str">
        <f>"MCO201904248514"</f>
        <v>MCO201904248514</v>
      </c>
      <c r="I2818" t="str">
        <f>"MONICA CORDOVA"</f>
        <v>MONICA CORDOVA</v>
      </c>
    </row>
    <row r="2819" spans="1:9" x14ac:dyDescent="0.25">
      <c r="A2819" s="6">
        <v>43579</v>
      </c>
      <c r="B2819" t="s">
        <v>26</v>
      </c>
      <c r="C2819">
        <v>60729</v>
      </c>
      <c r="D2819" t="s">
        <v>54</v>
      </c>
      <c r="E2819" s="7">
        <v>877.1</v>
      </c>
      <c r="F2819" t="s">
        <v>20</v>
      </c>
      <c r="G2819" t="s">
        <v>21</v>
      </c>
      <c r="H2819" t="str">
        <f>"457201904248514"</f>
        <v>457201904248514</v>
      </c>
      <c r="I2819" t="str">
        <f>"CASE # 180-60751 457B DEDUCT"</f>
        <v>CASE # 180-60751 457B DEDUCT</v>
      </c>
    </row>
    <row r="2820" spans="1:9" x14ac:dyDescent="0.25">
      <c r="A2820" s="6">
        <v>43579</v>
      </c>
      <c r="B2820" t="s">
        <v>26</v>
      </c>
      <c r="C2820">
        <v>60735</v>
      </c>
      <c r="D2820" t="s">
        <v>103</v>
      </c>
      <c r="E2820" s="7">
        <v>70706.09</v>
      </c>
      <c r="F2820" t="s">
        <v>20</v>
      </c>
      <c r="G2820" t="s">
        <v>21</v>
      </c>
      <c r="H2820" t="str">
        <f>"APRIL SALES TAX"</f>
        <v>APRIL SALES TAX</v>
      </c>
      <c r="I2820" t="str">
        <f>"F. E. D. C."</f>
        <v>F. E. D. C.</v>
      </c>
    </row>
    <row r="2821" spans="1:9" x14ac:dyDescent="0.25">
      <c r="A2821" s="6">
        <v>43579</v>
      </c>
      <c r="B2821" t="s">
        <v>26</v>
      </c>
      <c r="C2821">
        <v>60736</v>
      </c>
      <c r="D2821" t="s">
        <v>117</v>
      </c>
      <c r="E2821" s="7">
        <v>1181.26</v>
      </c>
      <c r="F2821" t="s">
        <v>20</v>
      </c>
      <c r="G2821" t="s">
        <v>21</v>
      </c>
      <c r="H2821" t="str">
        <f>"MARCH 2019"</f>
        <v>MARCH 2019</v>
      </c>
      <c r="I2821" t="str">
        <f>"LINEBARGER GOGGAN BLAIR &amp; SAMP"</f>
        <v>LINEBARGER GOGGAN BLAIR &amp; SAMP</v>
      </c>
    </row>
    <row r="2822" spans="1:9" x14ac:dyDescent="0.25">
      <c r="A2822" s="6">
        <v>43579</v>
      </c>
      <c r="B2822" t="s">
        <v>91</v>
      </c>
      <c r="C2822">
        <v>60737</v>
      </c>
      <c r="D2822" t="s">
        <v>689</v>
      </c>
      <c r="E2822" s="7">
        <v>42</v>
      </c>
      <c r="F2822" t="s">
        <v>20</v>
      </c>
      <c r="G2822" t="s">
        <v>21</v>
      </c>
      <c r="H2822" t="str">
        <f>"1151"</f>
        <v>1151</v>
      </c>
      <c r="I2822" t="str">
        <f>"MOY'S WATER WELL DRILLING &amp; SE"</f>
        <v>MOY'S WATER WELL DRILLING &amp; SE</v>
      </c>
    </row>
    <row r="2823" spans="1:9" x14ac:dyDescent="0.25">
      <c r="A2823" s="6">
        <v>43579</v>
      </c>
      <c r="B2823" t="s">
        <v>91</v>
      </c>
      <c r="C2823">
        <v>60737</v>
      </c>
      <c r="D2823" t="s">
        <v>689</v>
      </c>
      <c r="E2823" s="7">
        <v>42</v>
      </c>
      <c r="F2823" t="s">
        <v>20</v>
      </c>
      <c r="G2823" t="s">
        <v>93</v>
      </c>
      <c r="H2823" t="str">
        <f>"CHECK"</f>
        <v>CHECK</v>
      </c>
      <c r="I2823" t="str">
        <f>""</f>
        <v/>
      </c>
    </row>
    <row r="2824" spans="1:9" x14ac:dyDescent="0.25">
      <c r="A2824" s="6">
        <v>43579</v>
      </c>
      <c r="B2824" t="s">
        <v>26</v>
      </c>
      <c r="C2824">
        <v>60738</v>
      </c>
      <c r="D2824" t="s">
        <v>118</v>
      </c>
      <c r="E2824" s="7">
        <v>592.5</v>
      </c>
      <c r="F2824" t="s">
        <v>20</v>
      </c>
      <c r="G2824" t="s">
        <v>21</v>
      </c>
      <c r="H2824" t="str">
        <f>"11336"</f>
        <v>11336</v>
      </c>
      <c r="I2824" t="str">
        <f>"BRYAN AIR CONDITIONING &amp; HEATI"</f>
        <v>BRYAN AIR CONDITIONING &amp; HEATI</v>
      </c>
    </row>
    <row r="2825" spans="1:9" x14ac:dyDescent="0.25">
      <c r="A2825" s="6">
        <v>43579</v>
      </c>
      <c r="B2825" t="s">
        <v>26</v>
      </c>
      <c r="C2825">
        <v>60738</v>
      </c>
      <c r="D2825" t="s">
        <v>118</v>
      </c>
      <c r="E2825" s="7">
        <v>592.5</v>
      </c>
      <c r="F2825" t="s">
        <v>20</v>
      </c>
      <c r="G2825" t="s">
        <v>21</v>
      </c>
      <c r="H2825" t="str">
        <f>"11339"</f>
        <v>11339</v>
      </c>
      <c r="I2825" t="str">
        <f>"BRYAN AIR CONDITIONING &amp; HEATI"</f>
        <v>BRYAN AIR CONDITIONING &amp; HEATI</v>
      </c>
    </row>
    <row r="2826" spans="1:9" x14ac:dyDescent="0.25">
      <c r="A2826" s="6">
        <v>43579</v>
      </c>
      <c r="B2826" t="s">
        <v>26</v>
      </c>
      <c r="C2826">
        <v>60739</v>
      </c>
      <c r="D2826" t="s">
        <v>187</v>
      </c>
      <c r="E2826" s="7">
        <v>1280</v>
      </c>
      <c r="F2826" t="s">
        <v>20</v>
      </c>
      <c r="G2826" t="s">
        <v>21</v>
      </c>
      <c r="H2826" t="str">
        <f>"WIO16021-1"</f>
        <v>WIO16021-1</v>
      </c>
      <c r="I2826" t="str">
        <f>"RIVER CITY HYDRAULICS  INC."</f>
        <v>RIVER CITY HYDRAULICS  INC.</v>
      </c>
    </row>
    <row r="2827" spans="1:9" x14ac:dyDescent="0.25">
      <c r="A2827" s="6">
        <v>43579</v>
      </c>
      <c r="B2827" t="s">
        <v>26</v>
      </c>
      <c r="C2827">
        <v>60740</v>
      </c>
      <c r="D2827" t="s">
        <v>29</v>
      </c>
      <c r="E2827" s="7">
        <v>5592.26</v>
      </c>
      <c r="F2827" t="s">
        <v>20</v>
      </c>
      <c r="G2827" t="s">
        <v>21</v>
      </c>
      <c r="H2827" t="str">
        <f>"36997"</f>
        <v>36997</v>
      </c>
      <c r="I2827" t="str">
        <f>"M &amp; S ENGINEERING  LLC"</f>
        <v>M &amp; S ENGINEERING  LLC</v>
      </c>
    </row>
    <row r="2828" spans="1:9" x14ac:dyDescent="0.25">
      <c r="A2828" s="6">
        <v>43579</v>
      </c>
      <c r="B2828" t="s">
        <v>26</v>
      </c>
      <c r="C2828">
        <v>60740</v>
      </c>
      <c r="D2828" t="s">
        <v>29</v>
      </c>
      <c r="E2828" s="7">
        <v>5592.26</v>
      </c>
      <c r="F2828" t="s">
        <v>20</v>
      </c>
      <c r="G2828" t="s">
        <v>21</v>
      </c>
      <c r="H2828" t="str">
        <f>"37152"</f>
        <v>37152</v>
      </c>
      <c r="I2828" t="str">
        <f>"M &amp; S ENGINEERING  LLC"</f>
        <v>M &amp; S ENGINEERING  LLC</v>
      </c>
    </row>
    <row r="2829" spans="1:9" x14ac:dyDescent="0.25">
      <c r="A2829" s="6">
        <v>43579</v>
      </c>
      <c r="B2829" t="s">
        <v>26</v>
      </c>
      <c r="C2829">
        <v>60740</v>
      </c>
      <c r="D2829" t="s">
        <v>29</v>
      </c>
      <c r="E2829" s="7">
        <v>5592.26</v>
      </c>
      <c r="F2829" t="s">
        <v>20</v>
      </c>
      <c r="G2829" t="s">
        <v>21</v>
      </c>
      <c r="H2829" t="str">
        <f>"37260"</f>
        <v>37260</v>
      </c>
      <c r="I2829" t="str">
        <f>"M &amp; S ENGINEERING  LLC"</f>
        <v>M &amp; S ENGINEERING  LLC</v>
      </c>
    </row>
    <row r="2830" spans="1:9" x14ac:dyDescent="0.25">
      <c r="A2830" s="6">
        <v>43579</v>
      </c>
      <c r="B2830" t="s">
        <v>26</v>
      </c>
      <c r="C2830">
        <v>60741</v>
      </c>
      <c r="D2830" t="s">
        <v>124</v>
      </c>
      <c r="E2830" s="7">
        <v>453.77</v>
      </c>
      <c r="F2830" t="s">
        <v>20</v>
      </c>
      <c r="G2830" t="s">
        <v>21</v>
      </c>
      <c r="H2830" t="str">
        <f>"11171795"</f>
        <v>11171795</v>
      </c>
      <c r="I2830" t="str">
        <f>"BUILDING SUPPLIES"</f>
        <v>BUILDING SUPPLIES</v>
      </c>
    </row>
    <row r="2831" spans="1:9" x14ac:dyDescent="0.25">
      <c r="A2831" s="6">
        <v>43579</v>
      </c>
      <c r="B2831" t="s">
        <v>26</v>
      </c>
      <c r="C2831">
        <v>60741</v>
      </c>
      <c r="D2831" t="s">
        <v>124</v>
      </c>
      <c r="E2831" s="7">
        <v>453.77</v>
      </c>
      <c r="F2831" t="s">
        <v>20</v>
      </c>
      <c r="G2831" t="s">
        <v>21</v>
      </c>
      <c r="H2831" t="str">
        <f>"11172128"</f>
        <v>11172128</v>
      </c>
      <c r="I2831" t="str">
        <f>"LIME/CONCRETE"</f>
        <v>LIME/CONCRETE</v>
      </c>
    </row>
    <row r="2832" spans="1:9" x14ac:dyDescent="0.25">
      <c r="A2832" s="6">
        <v>43579</v>
      </c>
      <c r="B2832" t="s">
        <v>26</v>
      </c>
      <c r="C2832">
        <v>60742</v>
      </c>
      <c r="D2832" t="s">
        <v>183</v>
      </c>
      <c r="E2832" s="7">
        <v>61.5</v>
      </c>
      <c r="F2832" t="s">
        <v>20</v>
      </c>
      <c r="G2832" t="s">
        <v>21</v>
      </c>
      <c r="H2832" t="str">
        <f>"TCEQ LIC. EXAM 5/3"</f>
        <v>TCEQ LIC. EXAM 5/3</v>
      </c>
      <c r="I2832" t="str">
        <f>"HERNANDO RODRIGUEZ"</f>
        <v>HERNANDO RODRIGUEZ</v>
      </c>
    </row>
    <row r="2833" spans="1:9" x14ac:dyDescent="0.25">
      <c r="A2833" s="6">
        <v>43580</v>
      </c>
      <c r="B2833" t="s">
        <v>26</v>
      </c>
      <c r="C2833">
        <v>60743</v>
      </c>
      <c r="D2833" t="s">
        <v>340</v>
      </c>
      <c r="E2833" s="7">
        <v>374.59</v>
      </c>
      <c r="F2833" t="s">
        <v>20</v>
      </c>
      <c r="G2833" t="s">
        <v>21</v>
      </c>
      <c r="H2833" t="str">
        <f>"1810-358004*"</f>
        <v>1810-358004*</v>
      </c>
      <c r="I2833" t="str">
        <f>"O'REILLY AUTO PARTS"</f>
        <v>O'REILLY AUTO PARTS</v>
      </c>
    </row>
    <row r="2834" spans="1:9" x14ac:dyDescent="0.25">
      <c r="A2834" s="6">
        <v>43580</v>
      </c>
      <c r="B2834" t="s">
        <v>26</v>
      </c>
      <c r="C2834">
        <v>60743</v>
      </c>
      <c r="D2834" t="s">
        <v>340</v>
      </c>
      <c r="E2834" s="7">
        <v>374.59</v>
      </c>
      <c r="F2834" t="s">
        <v>20</v>
      </c>
      <c r="G2834" t="s">
        <v>21</v>
      </c>
      <c r="H2834" t="str">
        <f>"1810-358006*"</f>
        <v>1810-358006*</v>
      </c>
      <c r="I2834" t="str">
        <f>"O'REILLY AUTO PARTS"</f>
        <v>O'REILLY AUTO PARTS</v>
      </c>
    </row>
    <row r="2835" spans="1:9" x14ac:dyDescent="0.25">
      <c r="A2835" s="6">
        <v>43580</v>
      </c>
      <c r="B2835" t="s">
        <v>26</v>
      </c>
      <c r="C2835">
        <v>60744</v>
      </c>
      <c r="D2835" t="s">
        <v>29</v>
      </c>
      <c r="E2835" s="7">
        <v>27041.37</v>
      </c>
      <c r="F2835" t="s">
        <v>20</v>
      </c>
      <c r="G2835" t="s">
        <v>21</v>
      </c>
      <c r="H2835" t="str">
        <f>"35296"</f>
        <v>35296</v>
      </c>
      <c r="I2835" t="str">
        <f>"M &amp; S ENGINEERING  LLC"</f>
        <v>M &amp; S ENGINEERING  LLC</v>
      </c>
    </row>
    <row r="2836" spans="1:9" x14ac:dyDescent="0.25">
      <c r="A2836" s="6">
        <v>43580</v>
      </c>
      <c r="B2836" t="s">
        <v>26</v>
      </c>
      <c r="C2836">
        <v>60744</v>
      </c>
      <c r="D2836" t="s">
        <v>29</v>
      </c>
      <c r="E2836" s="7">
        <v>27041.37</v>
      </c>
      <c r="F2836" t="s">
        <v>20</v>
      </c>
      <c r="G2836" t="s">
        <v>21</v>
      </c>
      <c r="H2836" t="str">
        <f>"35811"</f>
        <v>35811</v>
      </c>
      <c r="I2836" t="str">
        <f>"M &amp; S ENGINEERING  LLC"</f>
        <v>M &amp; S ENGINEERING  LLC</v>
      </c>
    </row>
    <row r="2837" spans="1:9" x14ac:dyDescent="0.25">
      <c r="A2837" s="6">
        <v>43580</v>
      </c>
      <c r="B2837" t="s">
        <v>26</v>
      </c>
      <c r="C2837">
        <v>60744</v>
      </c>
      <c r="D2837" t="s">
        <v>29</v>
      </c>
      <c r="E2837" s="7">
        <v>27041.37</v>
      </c>
      <c r="F2837" t="s">
        <v>20</v>
      </c>
      <c r="G2837" t="s">
        <v>21</v>
      </c>
      <c r="H2837" t="str">
        <f>"37184"</f>
        <v>37184</v>
      </c>
      <c r="I2837" t="str">
        <f>"M &amp; S ENGINEERING  LLC"</f>
        <v>M &amp; S ENGINEERING  LLC</v>
      </c>
    </row>
    <row r="2838" spans="1:9" x14ac:dyDescent="0.25">
      <c r="A2838" s="6">
        <v>43581</v>
      </c>
      <c r="B2838" t="s">
        <v>26</v>
      </c>
      <c r="C2838">
        <v>60745</v>
      </c>
      <c r="D2838" t="s">
        <v>205</v>
      </c>
      <c r="E2838" s="7">
        <v>482.15</v>
      </c>
      <c r="F2838" t="s">
        <v>20</v>
      </c>
      <c r="G2838" t="s">
        <v>21</v>
      </c>
      <c r="H2838" t="str">
        <f>"4/26/2019"</f>
        <v>4/26/2019</v>
      </c>
      <c r="I2838" t="str">
        <f>"SILVER EAGLE DISTRIBUTORS"</f>
        <v>SILVER EAGLE DISTRIBUTORS</v>
      </c>
    </row>
    <row r="2839" spans="1:9" x14ac:dyDescent="0.25">
      <c r="A2839" s="6">
        <v>43581</v>
      </c>
      <c r="B2839" t="s">
        <v>26</v>
      </c>
      <c r="C2839">
        <v>60746</v>
      </c>
      <c r="D2839" t="s">
        <v>156</v>
      </c>
      <c r="E2839" s="7">
        <v>180</v>
      </c>
      <c r="F2839" t="s">
        <v>20</v>
      </c>
      <c r="G2839" t="s">
        <v>21</v>
      </c>
      <c r="H2839" t="str">
        <f>"4/26/2019"</f>
        <v>4/26/2019</v>
      </c>
      <c r="I2839" t="str">
        <f>"GLI DISTRIBUTING"</f>
        <v>GLI DISTRIBUTING</v>
      </c>
    </row>
    <row r="2840" spans="1:9" x14ac:dyDescent="0.25">
      <c r="A2840" s="6">
        <v>43581</v>
      </c>
      <c r="B2840" t="s">
        <v>26</v>
      </c>
      <c r="C2840">
        <v>60747</v>
      </c>
      <c r="D2840" t="s">
        <v>345</v>
      </c>
      <c r="E2840" s="7">
        <v>308</v>
      </c>
      <c r="F2840" t="s">
        <v>20</v>
      </c>
      <c r="G2840" t="s">
        <v>21</v>
      </c>
      <c r="H2840" t="str">
        <f>"4/22/2019"</f>
        <v>4/22/2019</v>
      </c>
      <c r="I2840" t="str">
        <f>"MICHAEL ISAAC MARTINEZ"</f>
        <v>MICHAEL ISAAC MARTINEZ</v>
      </c>
    </row>
    <row r="2841" spans="1:9" x14ac:dyDescent="0.25">
      <c r="A2841" s="6">
        <v>43581</v>
      </c>
      <c r="B2841" t="s">
        <v>26</v>
      </c>
      <c r="C2841">
        <v>60748</v>
      </c>
      <c r="D2841" t="s">
        <v>142</v>
      </c>
      <c r="E2841" s="7">
        <v>189</v>
      </c>
      <c r="F2841" t="s">
        <v>20</v>
      </c>
      <c r="G2841" t="s">
        <v>21</v>
      </c>
      <c r="H2841" t="str">
        <f>"S949101771"</f>
        <v>S949101771</v>
      </c>
      <c r="I2841" t="str">
        <f>"SPORTS MEDIA"</f>
        <v>SPORTS MEDIA</v>
      </c>
    </row>
    <row r="2842" spans="1:9" x14ac:dyDescent="0.25">
      <c r="A2842" s="6">
        <v>43581</v>
      </c>
      <c r="B2842" t="s">
        <v>26</v>
      </c>
      <c r="C2842">
        <v>60749</v>
      </c>
      <c r="D2842" t="s">
        <v>315</v>
      </c>
      <c r="E2842" s="7">
        <v>454.99</v>
      </c>
      <c r="F2842" t="s">
        <v>20</v>
      </c>
      <c r="G2842" t="s">
        <v>21</v>
      </c>
      <c r="H2842" t="str">
        <f>"805309"</f>
        <v>805309</v>
      </c>
      <c r="I2842" t="str">
        <f>"PRIME TIME ADVERTISING"</f>
        <v>PRIME TIME ADVERTISING</v>
      </c>
    </row>
    <row r="2843" spans="1:9" x14ac:dyDescent="0.25">
      <c r="A2843" s="6">
        <v>43586</v>
      </c>
      <c r="B2843" t="s">
        <v>91</v>
      </c>
      <c r="C2843">
        <v>60751</v>
      </c>
      <c r="D2843" t="s">
        <v>631</v>
      </c>
      <c r="E2843" s="7">
        <v>32322</v>
      </c>
      <c r="F2843" t="s">
        <v>20</v>
      </c>
      <c r="G2843" t="s">
        <v>21</v>
      </c>
      <c r="H2843" t="str">
        <f>"FINAL SETTLEMENT"</f>
        <v>FINAL SETTLEMENT</v>
      </c>
      <c r="I2843" t="str">
        <f>"JOHNNY A. RODRIGUEZ JR."</f>
        <v>JOHNNY A. RODRIGUEZ JR.</v>
      </c>
    </row>
    <row r="2844" spans="1:9" x14ac:dyDescent="0.25">
      <c r="A2844" s="6">
        <v>43586</v>
      </c>
      <c r="B2844" t="s">
        <v>91</v>
      </c>
      <c r="C2844">
        <v>60751</v>
      </c>
      <c r="D2844" t="s">
        <v>631</v>
      </c>
      <c r="E2844" s="7">
        <v>32322</v>
      </c>
      <c r="F2844" t="s">
        <v>20</v>
      </c>
      <c r="G2844" t="s">
        <v>93</v>
      </c>
      <c r="H2844" t="str">
        <f>"CHECK"</f>
        <v>CHECK</v>
      </c>
      <c r="I2844" t="str">
        <f>""</f>
        <v/>
      </c>
    </row>
    <row r="2845" spans="1:9" x14ac:dyDescent="0.25">
      <c r="A2845" s="6">
        <v>43586</v>
      </c>
      <c r="B2845" t="s">
        <v>91</v>
      </c>
      <c r="C2845">
        <v>60752</v>
      </c>
      <c r="D2845" t="s">
        <v>90</v>
      </c>
      <c r="E2845" s="7">
        <v>885.34</v>
      </c>
      <c r="F2845" t="s">
        <v>20</v>
      </c>
      <c r="G2845" t="s">
        <v>21</v>
      </c>
      <c r="H2845" t="str">
        <f>"ACA201904108512"</f>
        <v>ACA201904108512</v>
      </c>
      <c r="I2845" t="str">
        <f>"AFLAC INSURANCE"</f>
        <v>AFLAC INSURANCE</v>
      </c>
    </row>
    <row r="2846" spans="1:9" x14ac:dyDescent="0.25">
      <c r="A2846" s="6">
        <v>43586</v>
      </c>
      <c r="B2846" t="s">
        <v>91</v>
      </c>
      <c r="C2846">
        <v>60752</v>
      </c>
      <c r="D2846" t="s">
        <v>90</v>
      </c>
      <c r="E2846" s="7">
        <v>885.34</v>
      </c>
      <c r="F2846" t="s">
        <v>20</v>
      </c>
      <c r="G2846" t="s">
        <v>21</v>
      </c>
      <c r="H2846" t="str">
        <f>"AD2201904108512"</f>
        <v>AD2201904108512</v>
      </c>
      <c r="I2846" t="str">
        <f>"AFLAC INSURANCE"</f>
        <v>AFLAC INSURANCE</v>
      </c>
    </row>
    <row r="2847" spans="1:9" x14ac:dyDescent="0.25">
      <c r="A2847" s="6">
        <v>43586</v>
      </c>
      <c r="B2847" t="s">
        <v>91</v>
      </c>
      <c r="C2847">
        <v>60752</v>
      </c>
      <c r="D2847" t="s">
        <v>90</v>
      </c>
      <c r="E2847" s="7">
        <v>885.34</v>
      </c>
      <c r="F2847" t="s">
        <v>20</v>
      </c>
      <c r="G2847" t="s">
        <v>21</v>
      </c>
      <c r="H2847" t="str">
        <f>"ADR201904108512"</f>
        <v>ADR201904108512</v>
      </c>
      <c r="I2847" t="str">
        <f>"INSURANCE"</f>
        <v>INSURANCE</v>
      </c>
    </row>
    <row r="2848" spans="1:9" x14ac:dyDescent="0.25">
      <c r="A2848" s="6">
        <v>43586</v>
      </c>
      <c r="B2848" t="s">
        <v>91</v>
      </c>
      <c r="C2848">
        <v>60752</v>
      </c>
      <c r="D2848" t="s">
        <v>90</v>
      </c>
      <c r="E2848" s="7">
        <v>885.34</v>
      </c>
      <c r="F2848" t="s">
        <v>20</v>
      </c>
      <c r="G2848" t="s">
        <v>21</v>
      </c>
      <c r="H2848" t="str">
        <f>"AF1201904108512"</f>
        <v>AF1201904108512</v>
      </c>
      <c r="I2848" t="str">
        <f>"AFLAC INSURANCE"</f>
        <v>AFLAC INSURANCE</v>
      </c>
    </row>
    <row r="2849" spans="1:9" x14ac:dyDescent="0.25">
      <c r="A2849" s="6">
        <v>43586</v>
      </c>
      <c r="B2849" t="s">
        <v>91</v>
      </c>
      <c r="C2849">
        <v>60752</v>
      </c>
      <c r="D2849" t="s">
        <v>90</v>
      </c>
      <c r="E2849" s="7">
        <v>885.34</v>
      </c>
      <c r="F2849" t="s">
        <v>20</v>
      </c>
      <c r="G2849" t="s">
        <v>21</v>
      </c>
      <c r="H2849" t="str">
        <f>"ASP201904108512"</f>
        <v>ASP201904108512</v>
      </c>
      <c r="I2849" t="str">
        <f>"AFLAC INSURANCE"</f>
        <v>AFLAC INSURANCE</v>
      </c>
    </row>
    <row r="2850" spans="1:9" x14ac:dyDescent="0.25">
      <c r="A2850" s="6">
        <v>43586</v>
      </c>
      <c r="B2850" t="s">
        <v>91</v>
      </c>
      <c r="C2850">
        <v>60752</v>
      </c>
      <c r="D2850" t="s">
        <v>90</v>
      </c>
      <c r="E2850" s="7">
        <v>885.34</v>
      </c>
      <c r="F2850" t="s">
        <v>20</v>
      </c>
      <c r="G2850" t="s">
        <v>21</v>
      </c>
      <c r="H2850" t="str">
        <f>"HCO201904108512"</f>
        <v>HCO201904108512</v>
      </c>
      <c r="I2850" t="str">
        <f>"AFLAC INSURANCE"</f>
        <v>AFLAC INSURANCE</v>
      </c>
    </row>
    <row r="2851" spans="1:9" x14ac:dyDescent="0.25">
      <c r="A2851" s="6">
        <v>43586</v>
      </c>
      <c r="B2851" t="s">
        <v>91</v>
      </c>
      <c r="C2851">
        <v>60752</v>
      </c>
      <c r="D2851" t="s">
        <v>90</v>
      </c>
      <c r="E2851" s="7">
        <v>885.34</v>
      </c>
      <c r="F2851" t="s">
        <v>20</v>
      </c>
      <c r="G2851" t="s">
        <v>93</v>
      </c>
      <c r="H2851" t="str">
        <f>"CHECK"</f>
        <v>CHECK</v>
      </c>
      <c r="I2851" t="str">
        <f>""</f>
        <v/>
      </c>
    </row>
    <row r="2852" spans="1:9" x14ac:dyDescent="0.25">
      <c r="A2852" s="6">
        <v>43586</v>
      </c>
      <c r="B2852" t="s">
        <v>91</v>
      </c>
      <c r="C2852">
        <v>60754</v>
      </c>
      <c r="D2852" t="s">
        <v>95</v>
      </c>
      <c r="E2852" s="7">
        <v>29.99</v>
      </c>
      <c r="F2852" t="s">
        <v>20</v>
      </c>
      <c r="G2852" t="s">
        <v>21</v>
      </c>
      <c r="H2852" t="str">
        <f>"LEA201904108512"</f>
        <v>LEA201904108512</v>
      </c>
      <c r="I2852" t="str">
        <f>"INSURANCE"</f>
        <v>INSURANCE</v>
      </c>
    </row>
    <row r="2853" spans="1:9" x14ac:dyDescent="0.25">
      <c r="A2853" s="6">
        <v>43586</v>
      </c>
      <c r="B2853" t="s">
        <v>91</v>
      </c>
      <c r="C2853">
        <v>60754</v>
      </c>
      <c r="D2853" t="s">
        <v>95</v>
      </c>
      <c r="E2853" s="7">
        <v>29.99</v>
      </c>
      <c r="F2853" t="s">
        <v>20</v>
      </c>
      <c r="G2853" t="s">
        <v>93</v>
      </c>
      <c r="H2853" t="str">
        <f>"CHECK"</f>
        <v>CHECK</v>
      </c>
      <c r="I2853" t="str">
        <f>""</f>
        <v/>
      </c>
    </row>
    <row r="2854" spans="1:9" x14ac:dyDescent="0.25">
      <c r="A2854" s="6">
        <v>43586</v>
      </c>
      <c r="B2854" t="s">
        <v>91</v>
      </c>
      <c r="C2854">
        <v>60755</v>
      </c>
      <c r="D2854" t="s">
        <v>96</v>
      </c>
      <c r="E2854" s="7">
        <v>134.84</v>
      </c>
      <c r="F2854" t="s">
        <v>20</v>
      </c>
      <c r="G2854" t="s">
        <v>21</v>
      </c>
      <c r="H2854" t="str">
        <f>"PPL201904108512"</f>
        <v>PPL201904108512</v>
      </c>
      <c r="I2854" t="str">
        <f>"INSURANCE"</f>
        <v>INSURANCE</v>
      </c>
    </row>
    <row r="2855" spans="1:9" x14ac:dyDescent="0.25">
      <c r="A2855" s="6">
        <v>43586</v>
      </c>
      <c r="B2855" t="s">
        <v>91</v>
      </c>
      <c r="C2855">
        <v>60755</v>
      </c>
      <c r="D2855" t="s">
        <v>96</v>
      </c>
      <c r="E2855" s="7">
        <v>134.84</v>
      </c>
      <c r="F2855" t="s">
        <v>20</v>
      </c>
      <c r="G2855" t="s">
        <v>93</v>
      </c>
      <c r="H2855" t="str">
        <f>"CHECK"</f>
        <v>CHECK</v>
      </c>
      <c r="I2855" t="str">
        <f>""</f>
        <v/>
      </c>
    </row>
    <row r="2856" spans="1:9" x14ac:dyDescent="0.25">
      <c r="A2856" s="6">
        <v>43586</v>
      </c>
      <c r="B2856" t="s">
        <v>91</v>
      </c>
      <c r="C2856">
        <v>60756</v>
      </c>
      <c r="D2856" t="s">
        <v>97</v>
      </c>
      <c r="E2856" s="7">
        <v>35572.949999999997</v>
      </c>
      <c r="F2856" t="s">
        <v>20</v>
      </c>
      <c r="G2856" t="s">
        <v>21</v>
      </c>
      <c r="H2856" t="str">
        <f>"DEN201904108512"</f>
        <v>DEN201904108512</v>
      </c>
      <c r="I2856" t="str">
        <f>"DENTAL INSURANCE"</f>
        <v>DENTAL INSURANCE</v>
      </c>
    </row>
    <row r="2857" spans="1:9" x14ac:dyDescent="0.25">
      <c r="A2857" s="6">
        <v>43586</v>
      </c>
      <c r="B2857" t="s">
        <v>91</v>
      </c>
      <c r="C2857">
        <v>60756</v>
      </c>
      <c r="D2857" t="s">
        <v>97</v>
      </c>
      <c r="E2857" s="7">
        <v>35572.949999999997</v>
      </c>
      <c r="F2857" t="s">
        <v>20</v>
      </c>
      <c r="G2857" t="s">
        <v>21</v>
      </c>
      <c r="H2857" t="str">
        <f>"MED201904108512"</f>
        <v>MED201904108512</v>
      </c>
      <c r="I2857" t="str">
        <f>"HEALTH &amp; DENTAL INSURANCE"</f>
        <v>HEALTH &amp; DENTAL INSURANCE</v>
      </c>
    </row>
    <row r="2858" spans="1:9" x14ac:dyDescent="0.25">
      <c r="A2858" s="6">
        <v>43586</v>
      </c>
      <c r="B2858" t="s">
        <v>91</v>
      </c>
      <c r="C2858">
        <v>60756</v>
      </c>
      <c r="D2858" t="s">
        <v>97</v>
      </c>
      <c r="E2858" s="7">
        <v>35572.949999999997</v>
      </c>
      <c r="F2858" t="s">
        <v>20</v>
      </c>
      <c r="G2858" t="s">
        <v>93</v>
      </c>
      <c r="H2858" t="str">
        <f>"CHECK"</f>
        <v>CHECK</v>
      </c>
      <c r="I2858" t="str">
        <f>""</f>
        <v/>
      </c>
    </row>
    <row r="2859" spans="1:9" x14ac:dyDescent="0.25">
      <c r="A2859" s="6">
        <v>43586</v>
      </c>
      <c r="B2859" t="s">
        <v>91</v>
      </c>
      <c r="C2859">
        <v>60758</v>
      </c>
      <c r="D2859" t="s">
        <v>98</v>
      </c>
      <c r="E2859" s="7">
        <v>2089.1</v>
      </c>
      <c r="F2859" t="s">
        <v>20</v>
      </c>
      <c r="G2859" t="s">
        <v>21</v>
      </c>
      <c r="H2859" t="str">
        <f>"STD201904108512"</f>
        <v>STD201904108512</v>
      </c>
      <c r="I2859" t="str">
        <f>"SHORT TERM DISABILITY"</f>
        <v>SHORT TERM DISABILITY</v>
      </c>
    </row>
    <row r="2860" spans="1:9" x14ac:dyDescent="0.25">
      <c r="A2860" s="6">
        <v>43586</v>
      </c>
      <c r="B2860" t="s">
        <v>91</v>
      </c>
      <c r="C2860">
        <v>60758</v>
      </c>
      <c r="D2860" t="s">
        <v>98</v>
      </c>
      <c r="E2860" s="7">
        <v>2089.1</v>
      </c>
      <c r="F2860" t="s">
        <v>20</v>
      </c>
      <c r="G2860" t="s">
        <v>21</v>
      </c>
      <c r="H2860" t="str">
        <f>"VIS201904108512"</f>
        <v>VIS201904108512</v>
      </c>
      <c r="I2860" t="str">
        <f>"VISION INSURANCE"</f>
        <v>VISION INSURANCE</v>
      </c>
    </row>
    <row r="2861" spans="1:9" x14ac:dyDescent="0.25">
      <c r="A2861" s="6">
        <v>43586</v>
      </c>
      <c r="B2861" t="s">
        <v>91</v>
      </c>
      <c r="C2861">
        <v>60758</v>
      </c>
      <c r="D2861" t="s">
        <v>98</v>
      </c>
      <c r="E2861" s="7">
        <v>2089.1</v>
      </c>
      <c r="F2861" t="s">
        <v>20</v>
      </c>
      <c r="G2861" t="s">
        <v>21</v>
      </c>
      <c r="H2861" t="str">
        <f>"VLC201904108512"</f>
        <v>VLC201904108512</v>
      </c>
      <c r="I2861" t="str">
        <f>"CHILD LIFE INSURANCE"</f>
        <v>CHILD LIFE INSURANCE</v>
      </c>
    </row>
    <row r="2862" spans="1:9" x14ac:dyDescent="0.25">
      <c r="A2862" s="6">
        <v>43586</v>
      </c>
      <c r="B2862" t="s">
        <v>91</v>
      </c>
      <c r="C2862">
        <v>60758</v>
      </c>
      <c r="D2862" t="s">
        <v>98</v>
      </c>
      <c r="E2862" s="7">
        <v>2089.1</v>
      </c>
      <c r="F2862" t="s">
        <v>20</v>
      </c>
      <c r="G2862" t="s">
        <v>21</v>
      </c>
      <c r="H2862" t="str">
        <f>"VLS201904108512"</f>
        <v>VLS201904108512</v>
      </c>
      <c r="I2862" t="str">
        <f>"SPOUSE LIFE"</f>
        <v>SPOUSE LIFE</v>
      </c>
    </row>
    <row r="2863" spans="1:9" x14ac:dyDescent="0.25">
      <c r="A2863" s="6">
        <v>43586</v>
      </c>
      <c r="B2863" t="s">
        <v>91</v>
      </c>
      <c r="C2863">
        <v>60758</v>
      </c>
      <c r="D2863" t="s">
        <v>98</v>
      </c>
      <c r="E2863" s="7">
        <v>2089.1</v>
      </c>
      <c r="F2863" t="s">
        <v>20</v>
      </c>
      <c r="G2863" t="s">
        <v>21</v>
      </c>
      <c r="H2863" t="str">
        <f>"VOE201904108512"</f>
        <v>VOE201904108512</v>
      </c>
      <c r="I2863" t="str">
        <f>"EMPLOYEE LIFE"</f>
        <v>EMPLOYEE LIFE</v>
      </c>
    </row>
    <row r="2864" spans="1:9" x14ac:dyDescent="0.25">
      <c r="A2864" s="6">
        <v>43586</v>
      </c>
      <c r="B2864" t="s">
        <v>91</v>
      </c>
      <c r="C2864">
        <v>60758</v>
      </c>
      <c r="D2864" t="s">
        <v>98</v>
      </c>
      <c r="E2864" s="7">
        <v>2089.1</v>
      </c>
      <c r="F2864" t="s">
        <v>20</v>
      </c>
      <c r="G2864" t="s">
        <v>21</v>
      </c>
      <c r="H2864" t="str">
        <f>"VOL201904108512"</f>
        <v>VOL201904108512</v>
      </c>
      <c r="I2864" t="str">
        <f>"LIFE"</f>
        <v>LIFE</v>
      </c>
    </row>
    <row r="2865" spans="1:9" x14ac:dyDescent="0.25">
      <c r="A2865" s="6">
        <v>43586</v>
      </c>
      <c r="B2865" t="s">
        <v>91</v>
      </c>
      <c r="C2865">
        <v>60758</v>
      </c>
      <c r="D2865" t="s">
        <v>98</v>
      </c>
      <c r="E2865" s="7">
        <v>2089.1</v>
      </c>
      <c r="F2865" t="s">
        <v>20</v>
      </c>
      <c r="G2865" t="s">
        <v>93</v>
      </c>
      <c r="H2865" t="str">
        <f>"CHECK"</f>
        <v>CHECK</v>
      </c>
      <c r="I2865" t="str">
        <f>""</f>
        <v/>
      </c>
    </row>
    <row r="2866" spans="1:9" x14ac:dyDescent="0.25">
      <c r="A2866" s="6">
        <v>43586</v>
      </c>
      <c r="B2866" t="s">
        <v>26</v>
      </c>
      <c r="C2866">
        <v>60762</v>
      </c>
      <c r="D2866" t="s">
        <v>705</v>
      </c>
      <c r="E2866" s="7">
        <v>1428.9</v>
      </c>
      <c r="F2866" t="s">
        <v>20</v>
      </c>
      <c r="G2866" t="s">
        <v>21</v>
      </c>
      <c r="H2866" t="str">
        <f>"5/1/2019"</f>
        <v>5/1/2019</v>
      </c>
      <c r="I2866" t="str">
        <f>"ALAMO CONCRETE PRODUCTS"</f>
        <v>ALAMO CONCRETE PRODUCTS</v>
      </c>
    </row>
    <row r="2867" spans="1:9" x14ac:dyDescent="0.25">
      <c r="A2867" s="6">
        <v>43587</v>
      </c>
      <c r="B2867" t="s">
        <v>26</v>
      </c>
      <c r="C2867">
        <v>60763</v>
      </c>
      <c r="D2867" t="s">
        <v>57</v>
      </c>
      <c r="E2867" s="7">
        <v>23324.95</v>
      </c>
      <c r="F2867" t="s">
        <v>20</v>
      </c>
      <c r="G2867" t="s">
        <v>21</v>
      </c>
      <c r="H2867" t="str">
        <f>"11617 ST LTS 5/19"</f>
        <v>11617 ST LTS 5/19</v>
      </c>
      <c r="I2867" t="str">
        <f>"F.E.L.P.S."</f>
        <v>F.E.L.P.S.</v>
      </c>
    </row>
    <row r="2868" spans="1:9" x14ac:dyDescent="0.25">
      <c r="A2868" s="6">
        <v>43587</v>
      </c>
      <c r="B2868" t="s">
        <v>26</v>
      </c>
      <c r="C2868">
        <v>60764</v>
      </c>
      <c r="D2868" t="s">
        <v>59</v>
      </c>
      <c r="E2868" s="7">
        <v>4982.68</v>
      </c>
      <c r="F2868" t="s">
        <v>20</v>
      </c>
      <c r="G2868" t="s">
        <v>21</v>
      </c>
      <c r="H2868" t="str">
        <f>"1007423-2"</f>
        <v>1007423-2</v>
      </c>
      <c r="I2868" t="str">
        <f>"FERGUSON WATERWORKS - MUNICIPA"</f>
        <v>FERGUSON WATERWORKS - MUNICIPA</v>
      </c>
    </row>
    <row r="2869" spans="1:9" x14ac:dyDescent="0.25">
      <c r="A2869" s="6">
        <v>43587</v>
      </c>
      <c r="B2869" t="s">
        <v>26</v>
      </c>
      <c r="C2869">
        <v>60764</v>
      </c>
      <c r="D2869" t="s">
        <v>59</v>
      </c>
      <c r="E2869" s="7">
        <v>4982.68</v>
      </c>
      <c r="F2869" t="s">
        <v>20</v>
      </c>
      <c r="G2869" t="s">
        <v>21</v>
      </c>
      <c r="H2869" t="str">
        <f>"1011673"</f>
        <v>1011673</v>
      </c>
      <c r="I2869" t="str">
        <f>"FERGUSON WATERWORKS - MUNICIPA"</f>
        <v>FERGUSON WATERWORKS - MUNICIPA</v>
      </c>
    </row>
    <row r="2870" spans="1:9" x14ac:dyDescent="0.25">
      <c r="A2870" s="6">
        <v>43587</v>
      </c>
      <c r="B2870" t="s">
        <v>26</v>
      </c>
      <c r="C2870">
        <v>60764</v>
      </c>
      <c r="D2870" t="s">
        <v>59</v>
      </c>
      <c r="E2870" s="7">
        <v>4982.68</v>
      </c>
      <c r="F2870" t="s">
        <v>20</v>
      </c>
      <c r="G2870" t="s">
        <v>21</v>
      </c>
      <c r="H2870" t="str">
        <f>"1012733"</f>
        <v>1012733</v>
      </c>
      <c r="I2870" t="str">
        <f>"PIPES/GASKETS/VALVES"</f>
        <v>PIPES/GASKETS/VALVES</v>
      </c>
    </row>
    <row r="2871" spans="1:9" x14ac:dyDescent="0.25">
      <c r="A2871" s="6">
        <v>43587</v>
      </c>
      <c r="B2871" t="s">
        <v>26</v>
      </c>
      <c r="C2871">
        <v>60766</v>
      </c>
      <c r="D2871" t="s">
        <v>105</v>
      </c>
      <c r="E2871" s="7">
        <v>35</v>
      </c>
      <c r="F2871" t="s">
        <v>20</v>
      </c>
      <c r="G2871" t="s">
        <v>21</v>
      </c>
      <c r="H2871" t="str">
        <f>"320381"</f>
        <v>320381</v>
      </c>
      <c r="I2871" t="str">
        <f>"STATE INSPECTIONS"</f>
        <v>STATE INSPECTIONS</v>
      </c>
    </row>
    <row r="2872" spans="1:9" x14ac:dyDescent="0.25">
      <c r="A2872" s="6">
        <v>43587</v>
      </c>
      <c r="B2872" t="s">
        <v>26</v>
      </c>
      <c r="C2872">
        <v>60766</v>
      </c>
      <c r="D2872" t="s">
        <v>105</v>
      </c>
      <c r="E2872" s="7">
        <v>35</v>
      </c>
      <c r="F2872" t="s">
        <v>20</v>
      </c>
      <c r="G2872" t="s">
        <v>21</v>
      </c>
      <c r="H2872" t="str">
        <f>"320382"</f>
        <v>320382</v>
      </c>
      <c r="I2872" t="str">
        <f>"STATE INSPECTIONS"</f>
        <v>STATE INSPECTIONS</v>
      </c>
    </row>
    <row r="2873" spans="1:9" x14ac:dyDescent="0.25">
      <c r="A2873" s="6">
        <v>43587</v>
      </c>
      <c r="B2873" t="s">
        <v>26</v>
      </c>
      <c r="C2873">
        <v>60766</v>
      </c>
      <c r="D2873" t="s">
        <v>105</v>
      </c>
      <c r="E2873" s="7">
        <v>35</v>
      </c>
      <c r="F2873" t="s">
        <v>20</v>
      </c>
      <c r="G2873" t="s">
        <v>21</v>
      </c>
      <c r="H2873" t="str">
        <f>"320383"</f>
        <v>320383</v>
      </c>
      <c r="I2873" t="str">
        <f>"STATE INSPECTIONS"</f>
        <v>STATE INSPECTIONS</v>
      </c>
    </row>
    <row r="2874" spans="1:9" x14ac:dyDescent="0.25">
      <c r="A2874" s="6">
        <v>43587</v>
      </c>
      <c r="B2874" t="s">
        <v>26</v>
      </c>
      <c r="C2874">
        <v>60766</v>
      </c>
      <c r="D2874" t="s">
        <v>105</v>
      </c>
      <c r="E2874" s="7">
        <v>35</v>
      </c>
      <c r="F2874" t="s">
        <v>20</v>
      </c>
      <c r="G2874" t="s">
        <v>21</v>
      </c>
      <c r="H2874" t="str">
        <f>"320384"</f>
        <v>320384</v>
      </c>
      <c r="I2874" t="str">
        <f>"STATE INSPECTIONS"</f>
        <v>STATE INSPECTIONS</v>
      </c>
    </row>
    <row r="2875" spans="1:9" x14ac:dyDescent="0.25">
      <c r="A2875" s="6">
        <v>43587</v>
      </c>
      <c r="B2875" t="s">
        <v>26</v>
      </c>
      <c r="C2875">
        <v>60766</v>
      </c>
      <c r="D2875" t="s">
        <v>105</v>
      </c>
      <c r="E2875" s="7">
        <v>35</v>
      </c>
      <c r="F2875" t="s">
        <v>20</v>
      </c>
      <c r="G2875" t="s">
        <v>21</v>
      </c>
      <c r="H2875" t="str">
        <f>"320385"</f>
        <v>320385</v>
      </c>
      <c r="I2875" t="str">
        <f>"STATE INSPECTIONS"</f>
        <v>STATE INSPECTIONS</v>
      </c>
    </row>
    <row r="2876" spans="1:9" x14ac:dyDescent="0.25">
      <c r="A2876" s="6">
        <v>43587</v>
      </c>
      <c r="B2876" t="s">
        <v>26</v>
      </c>
      <c r="C2876">
        <v>60767</v>
      </c>
      <c r="D2876" t="s">
        <v>106</v>
      </c>
      <c r="E2876" s="7">
        <v>540</v>
      </c>
      <c r="F2876" t="s">
        <v>20</v>
      </c>
      <c r="G2876" t="s">
        <v>21</v>
      </c>
      <c r="H2876" t="str">
        <f>"1ST QRT 2019"</f>
        <v>1ST QRT 2019</v>
      </c>
      <c r="I2876" t="str">
        <f>"OMNIBASE SERVICES OF TEXAS"</f>
        <v>OMNIBASE SERVICES OF TEXAS</v>
      </c>
    </row>
    <row r="2877" spans="1:9" x14ac:dyDescent="0.25">
      <c r="A2877" s="6">
        <v>43587</v>
      </c>
      <c r="B2877" t="s">
        <v>26</v>
      </c>
      <c r="C2877">
        <v>60768</v>
      </c>
      <c r="D2877" t="s">
        <v>202</v>
      </c>
      <c r="E2877" s="7">
        <v>28420.16</v>
      </c>
      <c r="F2877" t="s">
        <v>20</v>
      </c>
      <c r="G2877" t="s">
        <v>21</v>
      </c>
      <c r="H2877" t="str">
        <f>"61886512"</f>
        <v>61886512</v>
      </c>
      <c r="I2877" t="str">
        <f>"BASE/ASPHALT"</f>
        <v>BASE/ASPHALT</v>
      </c>
    </row>
    <row r="2878" spans="1:9" x14ac:dyDescent="0.25">
      <c r="A2878" s="6">
        <v>43587</v>
      </c>
      <c r="B2878" t="s">
        <v>26</v>
      </c>
      <c r="C2878">
        <v>60768</v>
      </c>
      <c r="D2878" t="s">
        <v>202</v>
      </c>
      <c r="E2878" s="7">
        <v>28420.16</v>
      </c>
      <c r="F2878" t="s">
        <v>20</v>
      </c>
      <c r="G2878" t="s">
        <v>21</v>
      </c>
      <c r="H2878" t="str">
        <f>"61886513"</f>
        <v>61886513</v>
      </c>
      <c r="I2878" t="str">
        <f>"BASE/ASPHALT"</f>
        <v>BASE/ASPHALT</v>
      </c>
    </row>
    <row r="2879" spans="1:9" x14ac:dyDescent="0.25">
      <c r="A2879" s="6">
        <v>43587</v>
      </c>
      <c r="B2879" t="s">
        <v>26</v>
      </c>
      <c r="C2879">
        <v>60768</v>
      </c>
      <c r="D2879" t="s">
        <v>202</v>
      </c>
      <c r="E2879" s="7">
        <v>28420.16</v>
      </c>
      <c r="F2879" t="s">
        <v>20</v>
      </c>
      <c r="G2879" t="s">
        <v>21</v>
      </c>
      <c r="H2879" t="str">
        <f>"61890361"</f>
        <v>61890361</v>
      </c>
      <c r="I2879" t="str">
        <f>"LIMESTONE"</f>
        <v>LIMESTONE</v>
      </c>
    </row>
    <row r="2880" spans="1:9" x14ac:dyDescent="0.25">
      <c r="A2880" s="6">
        <v>43587</v>
      </c>
      <c r="B2880" t="s">
        <v>26</v>
      </c>
      <c r="C2880">
        <v>60768</v>
      </c>
      <c r="D2880" t="s">
        <v>202</v>
      </c>
      <c r="E2880" s="7">
        <v>28420.16</v>
      </c>
      <c r="F2880" t="s">
        <v>20</v>
      </c>
      <c r="G2880" t="s">
        <v>21</v>
      </c>
      <c r="H2880" t="str">
        <f>"61890362"</f>
        <v>61890362</v>
      </c>
      <c r="I2880" t="str">
        <f>"BASE/ASPHALT"</f>
        <v>BASE/ASPHALT</v>
      </c>
    </row>
    <row r="2881" spans="1:9" x14ac:dyDescent="0.25">
      <c r="A2881" s="6">
        <v>43587</v>
      </c>
      <c r="B2881" t="s">
        <v>26</v>
      </c>
      <c r="C2881">
        <v>60769</v>
      </c>
      <c r="D2881" t="s">
        <v>90</v>
      </c>
      <c r="E2881" s="7">
        <v>2169.6</v>
      </c>
      <c r="F2881" t="s">
        <v>20</v>
      </c>
      <c r="G2881" t="s">
        <v>21</v>
      </c>
      <c r="H2881" t="str">
        <f>"APRIL 2019"</f>
        <v>APRIL 2019</v>
      </c>
      <c r="I2881" t="str">
        <f>"AFLAC"</f>
        <v>AFLAC</v>
      </c>
    </row>
    <row r="2882" spans="1:9" x14ac:dyDescent="0.25">
      <c r="A2882" s="6">
        <v>43587</v>
      </c>
      <c r="B2882" t="s">
        <v>26</v>
      </c>
      <c r="C2882">
        <v>60770</v>
      </c>
      <c r="D2882" t="s">
        <v>273</v>
      </c>
      <c r="E2882" s="7">
        <v>5857.85</v>
      </c>
      <c r="F2882" t="s">
        <v>20</v>
      </c>
      <c r="G2882" t="s">
        <v>21</v>
      </c>
      <c r="H2882" t="str">
        <f>"5119-000088134"</f>
        <v>5119-000088134</v>
      </c>
      <c r="I2882" t="str">
        <f>"REPUBLIC SERVICES TESSMAN ROAD"</f>
        <v>REPUBLIC SERVICES TESSMAN ROAD</v>
      </c>
    </row>
    <row r="2883" spans="1:9" x14ac:dyDescent="0.25">
      <c r="A2883" s="6">
        <v>43587</v>
      </c>
      <c r="B2883" t="s">
        <v>91</v>
      </c>
      <c r="C2883">
        <v>60771</v>
      </c>
      <c r="D2883" t="s">
        <v>637</v>
      </c>
      <c r="E2883" s="7">
        <v>150</v>
      </c>
      <c r="F2883" t="s">
        <v>20</v>
      </c>
      <c r="G2883" t="s">
        <v>21</v>
      </c>
      <c r="H2883" t="str">
        <f>"COUNCIL-COUNCIL"</f>
        <v>COUNCIL-COUNCIL</v>
      </c>
      <c r="I2883" t="str">
        <f>"SALARIES"</f>
        <v>SALARIES</v>
      </c>
    </row>
    <row r="2884" spans="1:9" x14ac:dyDescent="0.25">
      <c r="A2884" s="6">
        <v>43587</v>
      </c>
      <c r="B2884" t="s">
        <v>91</v>
      </c>
      <c r="C2884">
        <v>60771</v>
      </c>
      <c r="D2884" t="s">
        <v>637</v>
      </c>
      <c r="E2884" s="7">
        <v>150</v>
      </c>
      <c r="F2884" t="s">
        <v>20</v>
      </c>
      <c r="G2884" t="s">
        <v>21</v>
      </c>
      <c r="H2884" t="str">
        <f>"MAYOR-COUNCIL"</f>
        <v>MAYOR-COUNCIL</v>
      </c>
      <c r="I2884" t="str">
        <f>"SALARIES"</f>
        <v>SALARIES</v>
      </c>
    </row>
    <row r="2885" spans="1:9" x14ac:dyDescent="0.25">
      <c r="A2885" s="6">
        <v>43587</v>
      </c>
      <c r="B2885" t="s">
        <v>91</v>
      </c>
      <c r="C2885">
        <v>60771</v>
      </c>
      <c r="D2885" t="s">
        <v>637</v>
      </c>
      <c r="E2885" s="7">
        <v>150</v>
      </c>
      <c r="F2885" t="s">
        <v>20</v>
      </c>
      <c r="G2885" t="s">
        <v>93</v>
      </c>
      <c r="H2885" t="str">
        <f>"CHECK"</f>
        <v>CHECK</v>
      </c>
      <c r="I2885" t="str">
        <f>""</f>
        <v/>
      </c>
    </row>
    <row r="2886" spans="1:9" x14ac:dyDescent="0.25">
      <c r="A2886" s="6">
        <v>43587</v>
      </c>
      <c r="B2886" t="s">
        <v>26</v>
      </c>
      <c r="C2886">
        <v>60772</v>
      </c>
      <c r="D2886" t="s">
        <v>108</v>
      </c>
      <c r="E2886" s="7">
        <v>2435.58</v>
      </c>
      <c r="F2886" t="s">
        <v>20</v>
      </c>
      <c r="G2886" t="s">
        <v>21</v>
      </c>
      <c r="H2886" t="str">
        <f>"041295619260"</f>
        <v>041295619260</v>
      </c>
      <c r="I2886" t="str">
        <f>"POOLSURE"</f>
        <v>POOLSURE</v>
      </c>
    </row>
    <row r="2887" spans="1:9" x14ac:dyDescent="0.25">
      <c r="A2887" s="6">
        <v>43587</v>
      </c>
      <c r="B2887" t="s">
        <v>91</v>
      </c>
      <c r="C2887">
        <v>60773</v>
      </c>
      <c r="D2887" t="s">
        <v>340</v>
      </c>
      <c r="E2887" s="7">
        <v>381.58</v>
      </c>
      <c r="F2887" t="s">
        <v>20</v>
      </c>
      <c r="G2887" t="s">
        <v>21</v>
      </c>
      <c r="H2887" t="str">
        <f>"1810-358004"</f>
        <v>1810-358004</v>
      </c>
      <c r="I2887" t="str">
        <f>"AUTO PARTS"</f>
        <v>AUTO PARTS</v>
      </c>
    </row>
    <row r="2888" spans="1:9" x14ac:dyDescent="0.25">
      <c r="A2888" s="6">
        <v>43587</v>
      </c>
      <c r="B2888" t="s">
        <v>91</v>
      </c>
      <c r="C2888">
        <v>60773</v>
      </c>
      <c r="D2888" t="s">
        <v>340</v>
      </c>
      <c r="E2888" s="7">
        <v>381.58</v>
      </c>
      <c r="F2888" t="s">
        <v>20</v>
      </c>
      <c r="G2888" t="s">
        <v>21</v>
      </c>
      <c r="H2888" t="str">
        <f>"1810-358005"</f>
        <v>1810-358005</v>
      </c>
      <c r="I2888" t="str">
        <f>"SPARK PLUG"</f>
        <v>SPARK PLUG</v>
      </c>
    </row>
    <row r="2889" spans="1:9" x14ac:dyDescent="0.25">
      <c r="A2889" s="6">
        <v>43587</v>
      </c>
      <c r="B2889" t="s">
        <v>91</v>
      </c>
      <c r="C2889">
        <v>60773</v>
      </c>
      <c r="D2889" t="s">
        <v>340</v>
      </c>
      <c r="E2889" s="7">
        <v>381.58</v>
      </c>
      <c r="F2889" t="s">
        <v>20</v>
      </c>
      <c r="G2889" t="s">
        <v>21</v>
      </c>
      <c r="H2889" t="str">
        <f>"1810-358006"</f>
        <v>1810-358006</v>
      </c>
      <c r="I2889" t="str">
        <f>"SHOP TOWELS"</f>
        <v>SHOP TOWELS</v>
      </c>
    </row>
    <row r="2890" spans="1:9" x14ac:dyDescent="0.25">
      <c r="A2890" s="6">
        <v>43587</v>
      </c>
      <c r="B2890" t="s">
        <v>91</v>
      </c>
      <c r="C2890">
        <v>60773</v>
      </c>
      <c r="D2890" t="s">
        <v>340</v>
      </c>
      <c r="E2890" s="7">
        <v>381.58</v>
      </c>
      <c r="F2890" t="s">
        <v>20</v>
      </c>
      <c r="G2890" t="s">
        <v>93</v>
      </c>
      <c r="H2890" t="str">
        <f>"CHECK"</f>
        <v>CHECK</v>
      </c>
      <c r="I2890" t="str">
        <f>""</f>
        <v/>
      </c>
    </row>
    <row r="2891" spans="1:9" x14ac:dyDescent="0.25">
      <c r="A2891" s="6">
        <v>43587</v>
      </c>
      <c r="B2891" t="s">
        <v>26</v>
      </c>
      <c r="C2891">
        <v>60774</v>
      </c>
      <c r="D2891" t="s">
        <v>181</v>
      </c>
      <c r="E2891" s="7">
        <v>42.94</v>
      </c>
      <c r="F2891" t="s">
        <v>20</v>
      </c>
      <c r="G2891" t="s">
        <v>21</v>
      </c>
      <c r="H2891" t="str">
        <f>"8303933186 4/19"</f>
        <v>8303933186 4/19</v>
      </c>
      <c r="I2891" t="str">
        <f>"AT&amp;T"</f>
        <v>AT&amp;T</v>
      </c>
    </row>
    <row r="2892" spans="1:9" x14ac:dyDescent="0.25">
      <c r="A2892" s="6">
        <v>43587</v>
      </c>
      <c r="B2892" t="s">
        <v>26</v>
      </c>
      <c r="C2892">
        <v>60775</v>
      </c>
      <c r="D2892" t="s">
        <v>706</v>
      </c>
      <c r="E2892" s="7">
        <v>50</v>
      </c>
      <c r="F2892" t="s">
        <v>20</v>
      </c>
      <c r="G2892" t="s">
        <v>21</v>
      </c>
      <c r="H2892" t="str">
        <f>"REDUND 4/13/19"</f>
        <v>REDUND 4/13/19</v>
      </c>
      <c r="I2892" t="str">
        <f>"REFUND"</f>
        <v>REFUND</v>
      </c>
    </row>
    <row r="2893" spans="1:9" x14ac:dyDescent="0.25">
      <c r="A2893" s="6">
        <v>43587</v>
      </c>
      <c r="B2893" t="s">
        <v>26</v>
      </c>
      <c r="C2893">
        <v>60776</v>
      </c>
      <c r="D2893" t="s">
        <v>707</v>
      </c>
      <c r="E2893" s="7">
        <v>50</v>
      </c>
      <c r="F2893" t="s">
        <v>20</v>
      </c>
      <c r="G2893" t="s">
        <v>21</v>
      </c>
      <c r="H2893" t="str">
        <f>"REFUND 4/19/19"</f>
        <v>REFUND 4/19/19</v>
      </c>
      <c r="I2893" t="str">
        <f>"REFUND"</f>
        <v>REFUND</v>
      </c>
    </row>
    <row r="2894" spans="1:9" x14ac:dyDescent="0.25">
      <c r="A2894" s="6">
        <v>43587</v>
      </c>
      <c r="B2894" t="s">
        <v>26</v>
      </c>
      <c r="C2894">
        <v>60777</v>
      </c>
      <c r="D2894" t="s">
        <v>375</v>
      </c>
      <c r="E2894" s="7">
        <v>50</v>
      </c>
      <c r="F2894" t="s">
        <v>20</v>
      </c>
      <c r="G2894" t="s">
        <v>21</v>
      </c>
      <c r="H2894" t="str">
        <f>"REFUND 4/21/19"</f>
        <v>REFUND 4/21/19</v>
      </c>
      <c r="I2894" t="str">
        <f>"REFUND"</f>
        <v>REFUND</v>
      </c>
    </row>
    <row r="2895" spans="1:9" x14ac:dyDescent="0.25">
      <c r="A2895" s="6">
        <v>43587</v>
      </c>
      <c r="B2895" t="s">
        <v>26</v>
      </c>
      <c r="C2895">
        <v>60778</v>
      </c>
      <c r="D2895" t="s">
        <v>377</v>
      </c>
      <c r="E2895" s="7">
        <v>50</v>
      </c>
      <c r="F2895" t="s">
        <v>20</v>
      </c>
      <c r="G2895" t="s">
        <v>21</v>
      </c>
      <c r="H2895" t="str">
        <f>"REFUND APRIL 21/19"</f>
        <v>REFUND APRIL 21/19</v>
      </c>
      <c r="I2895" t="str">
        <f>"REFUND"</f>
        <v>REFUND</v>
      </c>
    </row>
    <row r="2896" spans="1:9" x14ac:dyDescent="0.25">
      <c r="A2896" s="6">
        <v>43587</v>
      </c>
      <c r="B2896" t="s">
        <v>26</v>
      </c>
      <c r="C2896">
        <v>60779</v>
      </c>
      <c r="D2896" t="s">
        <v>61</v>
      </c>
      <c r="E2896" s="7">
        <v>2264.21</v>
      </c>
      <c r="F2896" t="s">
        <v>20</v>
      </c>
      <c r="G2896" t="s">
        <v>21</v>
      </c>
      <c r="H2896" t="str">
        <f>"025-256277"</f>
        <v>025-256277</v>
      </c>
      <c r="I2896" t="str">
        <f>"TYLER TECHNOLOGIES  INC."</f>
        <v>TYLER TECHNOLOGIES  INC.</v>
      </c>
    </row>
    <row r="2897" spans="1:9" x14ac:dyDescent="0.25">
      <c r="A2897" s="6">
        <v>43587</v>
      </c>
      <c r="B2897" t="s">
        <v>26</v>
      </c>
      <c r="C2897">
        <v>60780</v>
      </c>
      <c r="D2897" t="s">
        <v>0</v>
      </c>
      <c r="E2897" s="7">
        <v>3231.93</v>
      </c>
      <c r="F2897" t="s">
        <v>20</v>
      </c>
      <c r="G2897" t="s">
        <v>21</v>
      </c>
      <c r="H2897" t="str">
        <f>"APRIL 2019"</f>
        <v>APRIL 2019</v>
      </c>
      <c r="I2897" t="str">
        <f>"CITY OF FLORESVILLE"</f>
        <v>CITY OF FLORESVILLE</v>
      </c>
    </row>
    <row r="2898" spans="1:9" x14ac:dyDescent="0.25">
      <c r="A2898" s="6">
        <v>43587</v>
      </c>
      <c r="B2898" t="s">
        <v>26</v>
      </c>
      <c r="C2898">
        <v>60781</v>
      </c>
      <c r="D2898" t="s">
        <v>184</v>
      </c>
      <c r="E2898" s="7">
        <v>948</v>
      </c>
      <c r="F2898" t="s">
        <v>20</v>
      </c>
      <c r="G2898" t="s">
        <v>21</v>
      </c>
      <c r="H2898" t="str">
        <f>"1054-350"</f>
        <v>1054-350</v>
      </c>
      <c r="I2898" t="str">
        <f>"POLLUTION CONTROL SERVICES"</f>
        <v>POLLUTION CONTROL SERVICES</v>
      </c>
    </row>
    <row r="2899" spans="1:9" x14ac:dyDescent="0.25">
      <c r="A2899" s="6">
        <v>43587</v>
      </c>
      <c r="B2899" t="s">
        <v>26</v>
      </c>
      <c r="C2899">
        <v>60781</v>
      </c>
      <c r="D2899" t="s">
        <v>184</v>
      </c>
      <c r="E2899" s="7">
        <v>948</v>
      </c>
      <c r="F2899" t="s">
        <v>20</v>
      </c>
      <c r="G2899" t="s">
        <v>21</v>
      </c>
      <c r="H2899" t="str">
        <f>"1054-351"</f>
        <v>1054-351</v>
      </c>
      <c r="I2899" t="str">
        <f>"POLLUTION CONTROL SERVICES"</f>
        <v>POLLUTION CONTROL SERVICES</v>
      </c>
    </row>
    <row r="2900" spans="1:9" x14ac:dyDescent="0.25">
      <c r="A2900" s="6">
        <v>43587</v>
      </c>
      <c r="B2900" t="s">
        <v>26</v>
      </c>
      <c r="C2900">
        <v>60782</v>
      </c>
      <c r="D2900" t="s">
        <v>115</v>
      </c>
      <c r="E2900" s="7">
        <v>873.21</v>
      </c>
      <c r="F2900" t="s">
        <v>20</v>
      </c>
      <c r="G2900" t="s">
        <v>21</v>
      </c>
      <c r="H2900" t="str">
        <f>"3547400137"</f>
        <v>3547400137</v>
      </c>
      <c r="I2900" t="str">
        <f>"SHOP"</f>
        <v>SHOP</v>
      </c>
    </row>
    <row r="2901" spans="1:9" x14ac:dyDescent="0.25">
      <c r="A2901" s="6">
        <v>43587</v>
      </c>
      <c r="B2901" t="s">
        <v>26</v>
      </c>
      <c r="C2901">
        <v>60782</v>
      </c>
      <c r="D2901" t="s">
        <v>115</v>
      </c>
      <c r="E2901" s="7">
        <v>873.21</v>
      </c>
      <c r="F2901" t="s">
        <v>20</v>
      </c>
      <c r="G2901" t="s">
        <v>21</v>
      </c>
      <c r="H2901" t="str">
        <f>"3547402493"</f>
        <v>3547402493</v>
      </c>
      <c r="I2901" t="str">
        <f>"DEF FLUID"</f>
        <v>DEF FLUID</v>
      </c>
    </row>
    <row r="2902" spans="1:9" x14ac:dyDescent="0.25">
      <c r="A2902" s="6">
        <v>43587</v>
      </c>
      <c r="B2902" t="s">
        <v>26</v>
      </c>
      <c r="C2902">
        <v>60782</v>
      </c>
      <c r="D2902" t="s">
        <v>115</v>
      </c>
      <c r="E2902" s="7">
        <v>873.21</v>
      </c>
      <c r="F2902" t="s">
        <v>20</v>
      </c>
      <c r="G2902" t="s">
        <v>21</v>
      </c>
      <c r="H2902" t="str">
        <f>"3547409228"</f>
        <v>3547409228</v>
      </c>
      <c r="I2902" t="str">
        <f>"INJECTOR ASSEMBLY"</f>
        <v>INJECTOR ASSEMBLY</v>
      </c>
    </row>
    <row r="2903" spans="1:9" x14ac:dyDescent="0.25">
      <c r="A2903" s="6">
        <v>43587</v>
      </c>
      <c r="B2903" t="s">
        <v>26</v>
      </c>
      <c r="C2903">
        <v>60782</v>
      </c>
      <c r="D2903" t="s">
        <v>115</v>
      </c>
      <c r="E2903" s="7">
        <v>873.21</v>
      </c>
      <c r="F2903" t="s">
        <v>20</v>
      </c>
      <c r="G2903" t="s">
        <v>21</v>
      </c>
      <c r="H2903" t="str">
        <f>"3547409233"</f>
        <v>3547409233</v>
      </c>
      <c r="I2903" t="str">
        <f>"INJECTOR ASSEMBLY"</f>
        <v>INJECTOR ASSEMBLY</v>
      </c>
    </row>
    <row r="2904" spans="1:9" x14ac:dyDescent="0.25">
      <c r="A2904" s="6">
        <v>43587</v>
      </c>
      <c r="B2904" t="s">
        <v>26</v>
      </c>
      <c r="C2904">
        <v>60782</v>
      </c>
      <c r="D2904" t="s">
        <v>115</v>
      </c>
      <c r="E2904" s="7">
        <v>873.21</v>
      </c>
      <c r="F2904" t="s">
        <v>20</v>
      </c>
      <c r="G2904" t="s">
        <v>21</v>
      </c>
      <c r="H2904" t="str">
        <f>"3547409968"</f>
        <v>3547409968</v>
      </c>
      <c r="I2904" t="str">
        <f>"TURN SIGNAL/CYLINDER"</f>
        <v>TURN SIGNAL/CYLINDER</v>
      </c>
    </row>
    <row r="2905" spans="1:9" x14ac:dyDescent="0.25">
      <c r="A2905" s="6">
        <v>43587</v>
      </c>
      <c r="B2905" t="s">
        <v>26</v>
      </c>
      <c r="C2905">
        <v>60782</v>
      </c>
      <c r="D2905" t="s">
        <v>115</v>
      </c>
      <c r="E2905" s="7">
        <v>873.21</v>
      </c>
      <c r="F2905" t="s">
        <v>20</v>
      </c>
      <c r="G2905" t="s">
        <v>21</v>
      </c>
      <c r="H2905" t="str">
        <f>"3547409969"</f>
        <v>3547409969</v>
      </c>
      <c r="I2905" t="str">
        <f>"TURN SIGNAL/CYLINDER"</f>
        <v>TURN SIGNAL/CYLINDER</v>
      </c>
    </row>
    <row r="2906" spans="1:9" x14ac:dyDescent="0.25">
      <c r="A2906" s="6">
        <v>43587</v>
      </c>
      <c r="B2906" t="s">
        <v>26</v>
      </c>
      <c r="C2906">
        <v>60784</v>
      </c>
      <c r="D2906" t="s">
        <v>63</v>
      </c>
      <c r="E2906" s="7">
        <v>949.55</v>
      </c>
      <c r="F2906" t="s">
        <v>20</v>
      </c>
      <c r="G2906" t="s">
        <v>21</v>
      </c>
      <c r="H2906" t="str">
        <f>"840405699"</f>
        <v>840405699</v>
      </c>
      <c r="I2906" t="str">
        <f>"CINTAS CORPORATION"</f>
        <v>CINTAS CORPORATION</v>
      </c>
    </row>
    <row r="2907" spans="1:9" x14ac:dyDescent="0.25">
      <c r="A2907" s="6">
        <v>43587</v>
      </c>
      <c r="B2907" t="s">
        <v>26</v>
      </c>
      <c r="C2907">
        <v>60785</v>
      </c>
      <c r="D2907" t="s">
        <v>185</v>
      </c>
      <c r="E2907" s="7">
        <v>29.9</v>
      </c>
      <c r="F2907" t="s">
        <v>20</v>
      </c>
      <c r="G2907" t="s">
        <v>21</v>
      </c>
      <c r="H2907" t="str">
        <f>"751761"</f>
        <v>751761</v>
      </c>
      <c r="I2907" t="str">
        <f>"BRAKE LINE"</f>
        <v>BRAKE LINE</v>
      </c>
    </row>
    <row r="2908" spans="1:9" x14ac:dyDescent="0.25">
      <c r="A2908" s="6">
        <v>43587</v>
      </c>
      <c r="B2908" t="s">
        <v>26</v>
      </c>
      <c r="C2908">
        <v>60786</v>
      </c>
      <c r="D2908" t="s">
        <v>66</v>
      </c>
      <c r="E2908" s="7">
        <v>129.9</v>
      </c>
      <c r="F2908" t="s">
        <v>20</v>
      </c>
      <c r="G2908" t="s">
        <v>21</v>
      </c>
      <c r="H2908" t="str">
        <f>"55071"</f>
        <v>55071</v>
      </c>
      <c r="I2908" t="str">
        <f>"LOPEZ EXTERMINATING SERVICE  I"</f>
        <v>LOPEZ EXTERMINATING SERVICE  I</v>
      </c>
    </row>
    <row r="2909" spans="1:9" x14ac:dyDescent="0.25">
      <c r="A2909" s="6">
        <v>43587</v>
      </c>
      <c r="B2909" t="s">
        <v>26</v>
      </c>
      <c r="C2909">
        <v>60787</v>
      </c>
      <c r="D2909" t="s">
        <v>95</v>
      </c>
      <c r="E2909" s="7">
        <v>64.959999999999994</v>
      </c>
      <c r="F2909" t="s">
        <v>20</v>
      </c>
      <c r="G2909" t="s">
        <v>21</v>
      </c>
      <c r="H2909" t="str">
        <f>"APRIL 2019"</f>
        <v>APRIL 2019</v>
      </c>
      <c r="I2909" t="str">
        <f>"LEGAL PLANS"</f>
        <v>LEGAL PLANS</v>
      </c>
    </row>
    <row r="2910" spans="1:9" x14ac:dyDescent="0.25">
      <c r="A2910" s="6">
        <v>43587</v>
      </c>
      <c r="B2910" t="s">
        <v>26</v>
      </c>
      <c r="C2910">
        <v>60788</v>
      </c>
      <c r="D2910" t="s">
        <v>189</v>
      </c>
      <c r="E2910" s="7">
        <v>2690.1</v>
      </c>
      <c r="F2910" t="s">
        <v>20</v>
      </c>
      <c r="G2910" t="s">
        <v>21</v>
      </c>
      <c r="H2910" t="str">
        <f>"SWO044784-1"</f>
        <v>SWO044784-1</v>
      </c>
      <c r="I2910" t="str">
        <f>"ASCO"</f>
        <v>ASCO</v>
      </c>
    </row>
    <row r="2911" spans="1:9" x14ac:dyDescent="0.25">
      <c r="A2911" s="6">
        <v>43587</v>
      </c>
      <c r="B2911" t="s">
        <v>26</v>
      </c>
      <c r="C2911">
        <v>60789</v>
      </c>
      <c r="D2911" t="s">
        <v>159</v>
      </c>
      <c r="E2911" s="7">
        <v>233.52</v>
      </c>
      <c r="F2911" t="s">
        <v>20</v>
      </c>
      <c r="G2911" t="s">
        <v>21</v>
      </c>
      <c r="H2911" t="str">
        <f>"37949"</f>
        <v>37949</v>
      </c>
      <c r="I2911" t="str">
        <f>"PHOTOGRAPHS BY JIM"</f>
        <v>PHOTOGRAPHS BY JIM</v>
      </c>
    </row>
    <row r="2912" spans="1:9" x14ac:dyDescent="0.25">
      <c r="A2912" s="6">
        <v>43587</v>
      </c>
      <c r="B2912" t="s">
        <v>26</v>
      </c>
      <c r="C2912">
        <v>60790</v>
      </c>
      <c r="D2912" t="s">
        <v>146</v>
      </c>
      <c r="E2912" s="7">
        <v>600</v>
      </c>
      <c r="F2912" t="s">
        <v>20</v>
      </c>
      <c r="G2912" t="s">
        <v>21</v>
      </c>
      <c r="H2912" t="str">
        <f>"964460"</f>
        <v>964460</v>
      </c>
      <c r="I2912" t="str">
        <f>"LARRY SRALLA ELECTRIC"</f>
        <v>LARRY SRALLA ELECTRIC</v>
      </c>
    </row>
    <row r="2913" spans="1:9" x14ac:dyDescent="0.25">
      <c r="A2913" s="6">
        <v>43587</v>
      </c>
      <c r="B2913" t="s">
        <v>26</v>
      </c>
      <c r="C2913">
        <v>60790</v>
      </c>
      <c r="D2913" t="s">
        <v>146</v>
      </c>
      <c r="E2913" s="7">
        <v>600</v>
      </c>
      <c r="F2913" t="s">
        <v>20</v>
      </c>
      <c r="G2913" t="s">
        <v>21</v>
      </c>
      <c r="H2913" t="str">
        <f>"964461"</f>
        <v>964461</v>
      </c>
      <c r="I2913" t="str">
        <f>"LARRY SRALLA ELECTRIC"</f>
        <v>LARRY SRALLA ELECTRIC</v>
      </c>
    </row>
    <row r="2914" spans="1:9" x14ac:dyDescent="0.25">
      <c r="A2914" s="6">
        <v>43587</v>
      </c>
      <c r="B2914" t="s">
        <v>26</v>
      </c>
      <c r="C2914">
        <v>60790</v>
      </c>
      <c r="D2914" t="s">
        <v>146</v>
      </c>
      <c r="E2914" s="7">
        <v>600</v>
      </c>
      <c r="F2914" t="s">
        <v>20</v>
      </c>
      <c r="G2914" t="s">
        <v>21</v>
      </c>
      <c r="H2914" t="str">
        <f>"964463"</f>
        <v>964463</v>
      </c>
      <c r="I2914" t="str">
        <f>"LARRY SRALLA ELECTRIC"</f>
        <v>LARRY SRALLA ELECTRIC</v>
      </c>
    </row>
    <row r="2915" spans="1:9" x14ac:dyDescent="0.25">
      <c r="A2915" s="6">
        <v>43587</v>
      </c>
      <c r="B2915" t="s">
        <v>26</v>
      </c>
      <c r="C2915">
        <v>60791</v>
      </c>
      <c r="D2915" t="s">
        <v>96</v>
      </c>
      <c r="E2915" s="7">
        <v>426.4</v>
      </c>
      <c r="F2915" t="s">
        <v>20</v>
      </c>
      <c r="G2915" t="s">
        <v>21</v>
      </c>
      <c r="H2915" t="str">
        <f>"APRIL 2019"</f>
        <v>APRIL 2019</v>
      </c>
      <c r="I2915" t="str">
        <f>"LEGALSHIELD"</f>
        <v>LEGALSHIELD</v>
      </c>
    </row>
    <row r="2916" spans="1:9" x14ac:dyDescent="0.25">
      <c r="A2916" s="6">
        <v>43587</v>
      </c>
      <c r="B2916" t="s">
        <v>26</v>
      </c>
      <c r="C2916">
        <v>60792</v>
      </c>
      <c r="D2916" t="s">
        <v>282</v>
      </c>
      <c r="E2916" s="7">
        <v>1000</v>
      </c>
      <c r="F2916" t="s">
        <v>20</v>
      </c>
      <c r="G2916" t="s">
        <v>21</v>
      </c>
      <c r="H2916" t="str">
        <f>"3749"</f>
        <v>3749</v>
      </c>
      <c r="I2916" t="str">
        <f>"LANGFORD COMMUNITY MANAGEMENT"</f>
        <v>LANGFORD COMMUNITY MANAGEMENT</v>
      </c>
    </row>
    <row r="2917" spans="1:9" x14ac:dyDescent="0.25">
      <c r="A2917" s="6">
        <v>43587</v>
      </c>
      <c r="B2917" t="s">
        <v>26</v>
      </c>
      <c r="C2917">
        <v>60793</v>
      </c>
      <c r="D2917" t="s">
        <v>632</v>
      </c>
      <c r="E2917" s="7">
        <v>700</v>
      </c>
      <c r="F2917" t="s">
        <v>20</v>
      </c>
      <c r="G2917" t="s">
        <v>21</v>
      </c>
      <c r="H2917" t="str">
        <f>"240114"</f>
        <v>240114</v>
      </c>
      <c r="I2917" t="str">
        <f>"TRAINING"</f>
        <v>TRAINING</v>
      </c>
    </row>
    <row r="2918" spans="1:9" x14ac:dyDescent="0.25">
      <c r="A2918" s="6">
        <v>43587</v>
      </c>
      <c r="B2918" t="s">
        <v>26</v>
      </c>
      <c r="C2918">
        <v>60794</v>
      </c>
      <c r="D2918" t="s">
        <v>215</v>
      </c>
      <c r="E2918" s="7">
        <v>5194.74</v>
      </c>
      <c r="F2918" t="s">
        <v>20</v>
      </c>
      <c r="G2918" t="s">
        <v>21</v>
      </c>
      <c r="H2918" t="str">
        <f>"588575"</f>
        <v>588575</v>
      </c>
      <c r="I2918" t="str">
        <f>"GASKETS"</f>
        <v>GASKETS</v>
      </c>
    </row>
    <row r="2919" spans="1:9" x14ac:dyDescent="0.25">
      <c r="A2919" s="6">
        <v>43587</v>
      </c>
      <c r="B2919" t="s">
        <v>26</v>
      </c>
      <c r="C2919">
        <v>60795</v>
      </c>
      <c r="D2919" t="s">
        <v>123</v>
      </c>
      <c r="E2919" s="7">
        <v>47.67</v>
      </c>
      <c r="F2919" t="s">
        <v>20</v>
      </c>
      <c r="G2919" t="s">
        <v>21</v>
      </c>
      <c r="H2919" t="str">
        <f>"298609582001"</f>
        <v>298609582001</v>
      </c>
      <c r="I2919" t="str">
        <f>"OFFICE SUPPLIES"</f>
        <v>OFFICE SUPPLIES</v>
      </c>
    </row>
    <row r="2920" spans="1:9" x14ac:dyDescent="0.25">
      <c r="A2920" s="6">
        <v>43587</v>
      </c>
      <c r="B2920" t="s">
        <v>26</v>
      </c>
      <c r="C2920">
        <v>60795</v>
      </c>
      <c r="D2920" t="s">
        <v>123</v>
      </c>
      <c r="E2920" s="7">
        <v>47.67</v>
      </c>
      <c r="F2920" t="s">
        <v>20</v>
      </c>
      <c r="G2920" t="s">
        <v>21</v>
      </c>
      <c r="H2920" t="str">
        <f>"298610957001"</f>
        <v>298610957001</v>
      </c>
      <c r="I2920" t="str">
        <f>"OFFICE SUPPLIES"</f>
        <v>OFFICE SUPPLIES</v>
      </c>
    </row>
    <row r="2921" spans="1:9" x14ac:dyDescent="0.25">
      <c r="A2921" s="6">
        <v>43587</v>
      </c>
      <c r="B2921" t="s">
        <v>26</v>
      </c>
      <c r="C2921">
        <v>60796</v>
      </c>
      <c r="D2921" t="s">
        <v>137</v>
      </c>
      <c r="E2921" s="7">
        <v>121.9</v>
      </c>
      <c r="F2921" t="s">
        <v>20</v>
      </c>
      <c r="G2921" t="s">
        <v>21</v>
      </c>
      <c r="H2921" t="str">
        <f>"10627"</f>
        <v>10627</v>
      </c>
      <c r="I2921" t="str">
        <f>"OMNIBUS-M  INC.D.B.A."</f>
        <v>OMNIBUS-M  INC.D.B.A.</v>
      </c>
    </row>
    <row r="2922" spans="1:9" x14ac:dyDescent="0.25">
      <c r="A2922" s="6">
        <v>43587</v>
      </c>
      <c r="B2922" t="s">
        <v>26</v>
      </c>
      <c r="C2922">
        <v>60796</v>
      </c>
      <c r="D2922" t="s">
        <v>137</v>
      </c>
      <c r="E2922" s="7">
        <v>121.9</v>
      </c>
      <c r="F2922" t="s">
        <v>20</v>
      </c>
      <c r="G2922" t="s">
        <v>21</v>
      </c>
      <c r="H2922" t="str">
        <f>"10628"</f>
        <v>10628</v>
      </c>
      <c r="I2922" t="str">
        <f>"OMNIBUS-M  INC.D.B.A."</f>
        <v>OMNIBUS-M  INC.D.B.A.</v>
      </c>
    </row>
    <row r="2923" spans="1:9" x14ac:dyDescent="0.25">
      <c r="A2923" s="6">
        <v>43587</v>
      </c>
      <c r="B2923" t="s">
        <v>26</v>
      </c>
      <c r="C2923">
        <v>60797</v>
      </c>
      <c r="D2923" t="s">
        <v>77</v>
      </c>
      <c r="E2923" s="7">
        <v>2350.2800000000002</v>
      </c>
      <c r="F2923" t="s">
        <v>20</v>
      </c>
      <c r="G2923" t="s">
        <v>21</v>
      </c>
      <c r="H2923" t="str">
        <f>"857000616-19"</f>
        <v>857000616-19</v>
      </c>
      <c r="I2923" t="str">
        <f>"CHLORINE"</f>
        <v>CHLORINE</v>
      </c>
    </row>
    <row r="2924" spans="1:9" x14ac:dyDescent="0.25">
      <c r="A2924" s="6">
        <v>43587</v>
      </c>
      <c r="B2924" t="s">
        <v>26</v>
      </c>
      <c r="C2924">
        <v>60797</v>
      </c>
      <c r="D2924" t="s">
        <v>77</v>
      </c>
      <c r="E2924" s="7">
        <v>2350.2800000000002</v>
      </c>
      <c r="F2924" t="s">
        <v>20</v>
      </c>
      <c r="G2924" t="s">
        <v>21</v>
      </c>
      <c r="H2924" t="str">
        <f>"857000617-19"</f>
        <v>857000617-19</v>
      </c>
      <c r="I2924" t="str">
        <f>"CHLORINE"</f>
        <v>CHLORINE</v>
      </c>
    </row>
    <row r="2925" spans="1:9" x14ac:dyDescent="0.25">
      <c r="A2925" s="6">
        <v>43587</v>
      </c>
      <c r="B2925" t="s">
        <v>26</v>
      </c>
      <c r="C2925">
        <v>60797</v>
      </c>
      <c r="D2925" t="s">
        <v>77</v>
      </c>
      <c r="E2925" s="7">
        <v>2350.2800000000002</v>
      </c>
      <c r="F2925" t="s">
        <v>20</v>
      </c>
      <c r="G2925" t="s">
        <v>21</v>
      </c>
      <c r="H2925" t="str">
        <f>"857000618-19"</f>
        <v>857000618-19</v>
      </c>
      <c r="I2925" t="str">
        <f>"DPC INDUSTRIES  INC."</f>
        <v>DPC INDUSTRIES  INC.</v>
      </c>
    </row>
    <row r="2926" spans="1:9" x14ac:dyDescent="0.25">
      <c r="A2926" s="6">
        <v>43587</v>
      </c>
      <c r="B2926" t="s">
        <v>26</v>
      </c>
      <c r="C2926">
        <v>60798</v>
      </c>
      <c r="D2926" t="s">
        <v>124</v>
      </c>
      <c r="E2926" s="7">
        <v>36.950000000000003</v>
      </c>
      <c r="F2926" t="s">
        <v>20</v>
      </c>
      <c r="G2926" t="s">
        <v>21</v>
      </c>
      <c r="H2926" t="str">
        <f>"11172610"</f>
        <v>11172610</v>
      </c>
      <c r="I2926" t="str">
        <f>"CEILING TILES"</f>
        <v>CEILING TILES</v>
      </c>
    </row>
    <row r="2927" spans="1:9" x14ac:dyDescent="0.25">
      <c r="A2927" s="6">
        <v>43587</v>
      </c>
      <c r="B2927" t="s">
        <v>26</v>
      </c>
      <c r="C2927">
        <v>60799</v>
      </c>
      <c r="D2927" t="s">
        <v>79</v>
      </c>
      <c r="E2927" s="7">
        <v>18.3</v>
      </c>
      <c r="F2927" t="s">
        <v>20</v>
      </c>
      <c r="G2927" t="s">
        <v>21</v>
      </c>
      <c r="H2927" t="str">
        <f>"6-525-86255"</f>
        <v>6-525-86255</v>
      </c>
      <c r="I2927" t="str">
        <f>"FEDEX"</f>
        <v>FEDEX</v>
      </c>
    </row>
    <row r="2928" spans="1:9" x14ac:dyDescent="0.25">
      <c r="A2928" s="6">
        <v>43587</v>
      </c>
      <c r="B2928" t="s">
        <v>26</v>
      </c>
      <c r="C2928">
        <v>60799</v>
      </c>
      <c r="D2928" t="s">
        <v>79</v>
      </c>
      <c r="E2928" s="7">
        <v>18.3</v>
      </c>
      <c r="F2928" t="s">
        <v>20</v>
      </c>
      <c r="G2928" t="s">
        <v>21</v>
      </c>
      <c r="H2928" t="str">
        <f>"6-533-02747"</f>
        <v>6-533-02747</v>
      </c>
      <c r="I2928" t="str">
        <f>"FEDEX"</f>
        <v>FEDEX</v>
      </c>
    </row>
    <row r="2929" spans="1:9" x14ac:dyDescent="0.25">
      <c r="A2929" s="6">
        <v>43587</v>
      </c>
      <c r="B2929" t="s">
        <v>26</v>
      </c>
      <c r="C2929">
        <v>60800</v>
      </c>
      <c r="D2929" t="s">
        <v>223</v>
      </c>
      <c r="E2929" s="7">
        <v>75</v>
      </c>
      <c r="F2929" t="s">
        <v>20</v>
      </c>
      <c r="G2929" t="s">
        <v>21</v>
      </c>
      <c r="H2929" t="str">
        <f>"MAYOR-COUNCIL"</f>
        <v>MAYOR-COUNCIL</v>
      </c>
      <c r="I2929" t="str">
        <f>""</f>
        <v/>
      </c>
    </row>
    <row r="2930" spans="1:9" x14ac:dyDescent="0.25">
      <c r="A2930" s="6">
        <v>43587</v>
      </c>
      <c r="B2930" t="s">
        <v>26</v>
      </c>
      <c r="C2930">
        <v>60801</v>
      </c>
      <c r="D2930" t="s">
        <v>128</v>
      </c>
      <c r="E2930" s="7">
        <v>45.89</v>
      </c>
      <c r="F2930" t="s">
        <v>20</v>
      </c>
      <c r="G2930" t="s">
        <v>21</v>
      </c>
      <c r="H2930" t="str">
        <f>"USDA MTG 4/25/19"</f>
        <v>USDA MTG 4/25/19</v>
      </c>
      <c r="I2930" t="str">
        <f>"HELEN S. MARTINEZ"</f>
        <v>HELEN S. MARTINEZ</v>
      </c>
    </row>
    <row r="2931" spans="1:9" x14ac:dyDescent="0.25">
      <c r="A2931" s="6">
        <v>43587</v>
      </c>
      <c r="B2931" t="s">
        <v>26</v>
      </c>
      <c r="C2931">
        <v>60802</v>
      </c>
      <c r="D2931" t="s">
        <v>129</v>
      </c>
      <c r="E2931" s="7">
        <v>38.9</v>
      </c>
      <c r="F2931" t="s">
        <v>20</v>
      </c>
      <c r="G2931" t="s">
        <v>21</v>
      </c>
      <c r="H2931" t="str">
        <f>"P48237"</f>
        <v>P48237</v>
      </c>
      <c r="I2931" t="str">
        <f>"THROTTLE CABLE"</f>
        <v>THROTTLE CABLE</v>
      </c>
    </row>
    <row r="2932" spans="1:9" x14ac:dyDescent="0.25">
      <c r="A2932" s="6">
        <v>43587</v>
      </c>
      <c r="B2932" t="s">
        <v>26</v>
      </c>
      <c r="C2932">
        <v>60803</v>
      </c>
      <c r="D2932" t="s">
        <v>130</v>
      </c>
      <c r="E2932" s="7">
        <v>4165</v>
      </c>
      <c r="F2932" t="s">
        <v>20</v>
      </c>
      <c r="G2932" t="s">
        <v>21</v>
      </c>
      <c r="H2932" t="str">
        <f>"INV641877"</f>
        <v>INV641877</v>
      </c>
      <c r="I2932" t="str">
        <f>"DOCUMATION"</f>
        <v>DOCUMATION</v>
      </c>
    </row>
    <row r="2933" spans="1:9" x14ac:dyDescent="0.25">
      <c r="A2933" s="6">
        <v>43587</v>
      </c>
      <c r="B2933" t="s">
        <v>26</v>
      </c>
      <c r="C2933">
        <v>60804</v>
      </c>
      <c r="D2933" t="s">
        <v>97</v>
      </c>
      <c r="E2933" s="7">
        <v>43044.54</v>
      </c>
      <c r="F2933" t="s">
        <v>20</v>
      </c>
      <c r="G2933" t="s">
        <v>21</v>
      </c>
      <c r="H2933" t="str">
        <f>"5/1-6-1 2019"</f>
        <v>5/1-6-1 2019</v>
      </c>
      <c r="I2933" t="str">
        <f>"HEALTH CARE SERVICE CORPORATIO"</f>
        <v>HEALTH CARE SERVICE CORPORATIO</v>
      </c>
    </row>
    <row r="2934" spans="1:9" x14ac:dyDescent="0.25">
      <c r="A2934" s="6">
        <v>43587</v>
      </c>
      <c r="B2934" t="s">
        <v>26</v>
      </c>
      <c r="C2934">
        <v>60805</v>
      </c>
      <c r="D2934" t="s">
        <v>98</v>
      </c>
      <c r="E2934" s="7">
        <v>3936.67</v>
      </c>
      <c r="F2934" t="s">
        <v>20</v>
      </c>
      <c r="G2934" t="s">
        <v>21</v>
      </c>
      <c r="H2934" t="str">
        <f>"APRIL 2019"</f>
        <v>APRIL 2019</v>
      </c>
      <c r="I2934" t="str">
        <f>"DEARBORN NATIONAL"</f>
        <v>DEARBORN NATIONAL</v>
      </c>
    </row>
    <row r="2935" spans="1:9" x14ac:dyDescent="0.25">
      <c r="A2935" s="6">
        <v>43587</v>
      </c>
      <c r="B2935" t="s">
        <v>26</v>
      </c>
      <c r="C2935">
        <v>60806</v>
      </c>
      <c r="D2935" t="s">
        <v>36</v>
      </c>
      <c r="E2935" s="7">
        <v>75</v>
      </c>
      <c r="F2935" t="s">
        <v>20</v>
      </c>
      <c r="G2935" t="s">
        <v>21</v>
      </c>
      <c r="H2935" t="str">
        <f>"MAYOR-COUNCIL"</f>
        <v>MAYOR-COUNCIL</v>
      </c>
      <c r="I2935" t="str">
        <f>""</f>
        <v/>
      </c>
    </row>
    <row r="2936" spans="1:9" x14ac:dyDescent="0.25">
      <c r="A2936" s="6">
        <v>43587</v>
      </c>
      <c r="B2936" t="s">
        <v>26</v>
      </c>
      <c r="C2936">
        <v>60807</v>
      </c>
      <c r="D2936" t="s">
        <v>37</v>
      </c>
      <c r="E2936" s="7">
        <v>75</v>
      </c>
      <c r="F2936" t="s">
        <v>20</v>
      </c>
      <c r="G2936" t="s">
        <v>21</v>
      </c>
      <c r="H2936" t="str">
        <f>"MAYOR-COUNCIL"</f>
        <v>MAYOR-COUNCIL</v>
      </c>
      <c r="I2936" t="str">
        <f>""</f>
        <v/>
      </c>
    </row>
    <row r="2937" spans="1:9" x14ac:dyDescent="0.25">
      <c r="A2937" s="6">
        <v>43587</v>
      </c>
      <c r="B2937" t="s">
        <v>26</v>
      </c>
      <c r="C2937">
        <v>60808</v>
      </c>
      <c r="D2937" t="s">
        <v>38</v>
      </c>
      <c r="E2937" s="7">
        <v>100</v>
      </c>
      <c r="F2937" t="s">
        <v>20</v>
      </c>
      <c r="G2937" t="s">
        <v>21</v>
      </c>
      <c r="H2937" t="str">
        <f>"MAYOR-MAYOR"</f>
        <v>MAYOR-MAYOR</v>
      </c>
      <c r="I2937" t="str">
        <f>""</f>
        <v/>
      </c>
    </row>
    <row r="2938" spans="1:9" x14ac:dyDescent="0.25">
      <c r="A2938" s="6">
        <v>43587</v>
      </c>
      <c r="B2938" t="s">
        <v>26</v>
      </c>
      <c r="C2938">
        <v>60809</v>
      </c>
      <c r="D2938" t="s">
        <v>195</v>
      </c>
      <c r="E2938" s="7">
        <v>2665.26</v>
      </c>
      <c r="F2938" t="s">
        <v>20</v>
      </c>
      <c r="G2938" t="s">
        <v>21</v>
      </c>
      <c r="H2938" t="str">
        <f>"1565201904"</f>
        <v>1565201904</v>
      </c>
      <c r="I2938" t="str">
        <f>"ARISTA INFORMATION SYSTEMS  IN"</f>
        <v>ARISTA INFORMATION SYSTEMS  IN</v>
      </c>
    </row>
    <row r="2939" spans="1:9" x14ac:dyDescent="0.25">
      <c r="A2939" s="6">
        <v>43587</v>
      </c>
      <c r="B2939" t="s">
        <v>26</v>
      </c>
      <c r="C2939">
        <v>60809</v>
      </c>
      <c r="D2939" t="s">
        <v>195</v>
      </c>
      <c r="E2939" s="7">
        <v>2665.26</v>
      </c>
      <c r="F2939" t="s">
        <v>20</v>
      </c>
      <c r="G2939" t="s">
        <v>21</v>
      </c>
      <c r="H2939" t="str">
        <f>"27324"</f>
        <v>27324</v>
      </c>
      <c r="I2939" t="str">
        <f>"ARISTA INFORMATION SYSTEMS  IN"</f>
        <v>ARISTA INFORMATION SYSTEMS  IN</v>
      </c>
    </row>
    <row r="2940" spans="1:9" x14ac:dyDescent="0.25">
      <c r="A2940" s="6">
        <v>43587</v>
      </c>
      <c r="B2940" t="s">
        <v>26</v>
      </c>
      <c r="C2940">
        <v>60810</v>
      </c>
      <c r="D2940" t="s">
        <v>345</v>
      </c>
      <c r="E2940" s="7">
        <v>374</v>
      </c>
      <c r="F2940" t="s">
        <v>20</v>
      </c>
      <c r="G2940" t="s">
        <v>21</v>
      </c>
      <c r="H2940" t="str">
        <f>"4/29/2019"</f>
        <v>4/29/2019</v>
      </c>
      <c r="I2940" t="str">
        <f>"MICHAEL ISAAC MARTINEZ"</f>
        <v>MICHAEL ISAAC MARTINEZ</v>
      </c>
    </row>
    <row r="2941" spans="1:9" x14ac:dyDescent="0.25">
      <c r="A2941" s="6">
        <v>43587</v>
      </c>
      <c r="B2941" t="s">
        <v>26</v>
      </c>
      <c r="C2941">
        <v>60811</v>
      </c>
      <c r="D2941" t="s">
        <v>528</v>
      </c>
      <c r="E2941" s="7">
        <v>169.67</v>
      </c>
      <c r="F2941" t="s">
        <v>20</v>
      </c>
      <c r="G2941" t="s">
        <v>21</v>
      </c>
      <c r="H2941" t="str">
        <f>"157940"</f>
        <v>157940</v>
      </c>
      <c r="I2941" t="str">
        <f>"PROSTAR SERVICES INC"</f>
        <v>PROSTAR SERVICES INC</v>
      </c>
    </row>
    <row r="2942" spans="1:9" x14ac:dyDescent="0.25">
      <c r="A2942" s="6">
        <v>43587</v>
      </c>
      <c r="B2942" t="s">
        <v>26</v>
      </c>
      <c r="C2942">
        <v>60812</v>
      </c>
      <c r="D2942" t="s">
        <v>558</v>
      </c>
      <c r="E2942" s="7">
        <v>75</v>
      </c>
      <c r="F2942" t="s">
        <v>20</v>
      </c>
      <c r="G2942" t="s">
        <v>21</v>
      </c>
      <c r="H2942" t="str">
        <f>"MAYOR-COUNCIL"</f>
        <v>MAYOR-COUNCIL</v>
      </c>
      <c r="I2942" t="str">
        <f>"SALARIES"</f>
        <v>SALARIES</v>
      </c>
    </row>
    <row r="2943" spans="1:9" x14ac:dyDescent="0.25">
      <c r="A2943" s="6">
        <v>43587</v>
      </c>
      <c r="B2943" t="s">
        <v>26</v>
      </c>
      <c r="C2943">
        <v>60813</v>
      </c>
      <c r="D2943" t="s">
        <v>609</v>
      </c>
      <c r="E2943" s="7">
        <v>847.88</v>
      </c>
      <c r="F2943" t="s">
        <v>20</v>
      </c>
      <c r="G2943" t="s">
        <v>21</v>
      </c>
      <c r="H2943" t="str">
        <f>"31828758"</f>
        <v>31828758</v>
      </c>
      <c r="I2943" t="str">
        <f>"OIL/GREASE/HYDRAULIC FLUI"</f>
        <v>OIL/GREASE/HYDRAULIC FLUI</v>
      </c>
    </row>
    <row r="2944" spans="1:9" x14ac:dyDescent="0.25">
      <c r="A2944" s="6">
        <v>43587</v>
      </c>
      <c r="B2944" t="s">
        <v>26</v>
      </c>
      <c r="C2944">
        <v>60814</v>
      </c>
      <c r="D2944" t="s">
        <v>646</v>
      </c>
      <c r="E2944" s="7">
        <v>1200</v>
      </c>
      <c r="F2944" t="s">
        <v>20</v>
      </c>
      <c r="G2944" t="s">
        <v>21</v>
      </c>
      <c r="H2944" t="str">
        <f>"4/18/2019"</f>
        <v>4/18/2019</v>
      </c>
      <c r="I2944" t="str">
        <f>"DUMPSTER ROLLERS"</f>
        <v>DUMPSTER ROLLERS</v>
      </c>
    </row>
    <row r="2945" spans="1:9" x14ac:dyDescent="0.25">
      <c r="A2945" s="6">
        <v>43587</v>
      </c>
      <c r="B2945" t="s">
        <v>26</v>
      </c>
      <c r="C2945">
        <v>60815</v>
      </c>
      <c r="D2945" t="s">
        <v>644</v>
      </c>
      <c r="E2945" s="7">
        <v>691.87</v>
      </c>
      <c r="F2945" t="s">
        <v>20</v>
      </c>
      <c r="G2945" t="s">
        <v>21</v>
      </c>
      <c r="H2945" t="str">
        <f>"8213306245"</f>
        <v>8213306245</v>
      </c>
      <c r="I2945" t="str">
        <f t="shared" ref="I2945:I2952" si="52">"UNIFIRST CORPORATION"</f>
        <v>UNIFIRST CORPORATION</v>
      </c>
    </row>
    <row r="2946" spans="1:9" x14ac:dyDescent="0.25">
      <c r="A2946" s="6">
        <v>43587</v>
      </c>
      <c r="B2946" t="s">
        <v>26</v>
      </c>
      <c r="C2946">
        <v>60815</v>
      </c>
      <c r="D2946" t="s">
        <v>644</v>
      </c>
      <c r="E2946" s="7">
        <v>691.87</v>
      </c>
      <c r="F2946" t="s">
        <v>20</v>
      </c>
      <c r="G2946" t="s">
        <v>21</v>
      </c>
      <c r="H2946" t="str">
        <f>"8213306246"</f>
        <v>8213306246</v>
      </c>
      <c r="I2946" t="str">
        <f t="shared" si="52"/>
        <v>UNIFIRST CORPORATION</v>
      </c>
    </row>
    <row r="2947" spans="1:9" x14ac:dyDescent="0.25">
      <c r="A2947" s="6">
        <v>43587</v>
      </c>
      <c r="B2947" t="s">
        <v>26</v>
      </c>
      <c r="C2947">
        <v>60815</v>
      </c>
      <c r="D2947" t="s">
        <v>644</v>
      </c>
      <c r="E2947" s="7">
        <v>691.87</v>
      </c>
      <c r="F2947" t="s">
        <v>20</v>
      </c>
      <c r="G2947" t="s">
        <v>21</v>
      </c>
      <c r="H2947" t="str">
        <f>"8213306247"</f>
        <v>8213306247</v>
      </c>
      <c r="I2947" t="str">
        <f t="shared" si="52"/>
        <v>UNIFIRST CORPORATION</v>
      </c>
    </row>
    <row r="2948" spans="1:9" x14ac:dyDescent="0.25">
      <c r="A2948" s="6">
        <v>43587</v>
      </c>
      <c r="B2948" t="s">
        <v>26</v>
      </c>
      <c r="C2948">
        <v>60815</v>
      </c>
      <c r="D2948" t="s">
        <v>644</v>
      </c>
      <c r="E2948" s="7">
        <v>691.87</v>
      </c>
      <c r="F2948" t="s">
        <v>20</v>
      </c>
      <c r="G2948" t="s">
        <v>21</v>
      </c>
      <c r="H2948" t="str">
        <f>"8213306248"</f>
        <v>8213306248</v>
      </c>
      <c r="I2948" t="str">
        <f t="shared" si="52"/>
        <v>UNIFIRST CORPORATION</v>
      </c>
    </row>
    <row r="2949" spans="1:9" x14ac:dyDescent="0.25">
      <c r="A2949" s="6">
        <v>43587</v>
      </c>
      <c r="B2949" t="s">
        <v>26</v>
      </c>
      <c r="C2949">
        <v>60815</v>
      </c>
      <c r="D2949" t="s">
        <v>644</v>
      </c>
      <c r="E2949" s="7">
        <v>691.87</v>
      </c>
      <c r="F2949" t="s">
        <v>20</v>
      </c>
      <c r="G2949" t="s">
        <v>21</v>
      </c>
      <c r="H2949" t="str">
        <f>"8213306249"</f>
        <v>8213306249</v>
      </c>
      <c r="I2949" t="str">
        <f t="shared" si="52"/>
        <v>UNIFIRST CORPORATION</v>
      </c>
    </row>
    <row r="2950" spans="1:9" x14ac:dyDescent="0.25">
      <c r="A2950" s="6">
        <v>43587</v>
      </c>
      <c r="B2950" t="s">
        <v>26</v>
      </c>
      <c r="C2950">
        <v>60815</v>
      </c>
      <c r="D2950" t="s">
        <v>644</v>
      </c>
      <c r="E2950" s="7">
        <v>691.87</v>
      </c>
      <c r="F2950" t="s">
        <v>20</v>
      </c>
      <c r="G2950" t="s">
        <v>21</v>
      </c>
      <c r="H2950" t="str">
        <f>"8213306250"</f>
        <v>8213306250</v>
      </c>
      <c r="I2950" t="str">
        <f t="shared" si="52"/>
        <v>UNIFIRST CORPORATION</v>
      </c>
    </row>
    <row r="2951" spans="1:9" x14ac:dyDescent="0.25">
      <c r="A2951" s="6">
        <v>43587</v>
      </c>
      <c r="B2951" t="s">
        <v>26</v>
      </c>
      <c r="C2951">
        <v>60815</v>
      </c>
      <c r="D2951" t="s">
        <v>644</v>
      </c>
      <c r="E2951" s="7">
        <v>691.87</v>
      </c>
      <c r="F2951" t="s">
        <v>20</v>
      </c>
      <c r="G2951" t="s">
        <v>21</v>
      </c>
      <c r="H2951" t="str">
        <f>"8213306251"</f>
        <v>8213306251</v>
      </c>
      <c r="I2951" t="str">
        <f t="shared" si="52"/>
        <v>UNIFIRST CORPORATION</v>
      </c>
    </row>
    <row r="2952" spans="1:9" x14ac:dyDescent="0.25">
      <c r="A2952" s="6">
        <v>43587</v>
      </c>
      <c r="B2952" t="s">
        <v>26</v>
      </c>
      <c r="C2952">
        <v>60815</v>
      </c>
      <c r="D2952" t="s">
        <v>644</v>
      </c>
      <c r="E2952" s="7">
        <v>691.87</v>
      </c>
      <c r="F2952" t="s">
        <v>20</v>
      </c>
      <c r="G2952" t="s">
        <v>21</v>
      </c>
      <c r="H2952" t="str">
        <f>"8213308894"</f>
        <v>8213308894</v>
      </c>
      <c r="I2952" t="str">
        <f t="shared" si="52"/>
        <v>UNIFIRST CORPORATION</v>
      </c>
    </row>
    <row r="2953" spans="1:9" x14ac:dyDescent="0.25">
      <c r="A2953" s="6">
        <v>43587</v>
      </c>
      <c r="B2953" t="s">
        <v>26</v>
      </c>
      <c r="C2953">
        <v>60817</v>
      </c>
      <c r="D2953" t="s">
        <v>651</v>
      </c>
      <c r="E2953" s="7">
        <v>100</v>
      </c>
      <c r="F2953" t="s">
        <v>20</v>
      </c>
      <c r="G2953" t="s">
        <v>21</v>
      </c>
      <c r="H2953" t="str">
        <f>"4/29/2019"</f>
        <v>4/29/2019</v>
      </c>
      <c r="I2953" t="str">
        <f>"NAZARETH RAMIREZ"</f>
        <v>NAZARETH RAMIREZ</v>
      </c>
    </row>
    <row r="2954" spans="1:9" x14ac:dyDescent="0.25">
      <c r="A2954" s="6">
        <v>43587</v>
      </c>
      <c r="B2954" t="s">
        <v>26</v>
      </c>
      <c r="C2954">
        <v>60818</v>
      </c>
      <c r="D2954" t="s">
        <v>696</v>
      </c>
      <c r="E2954" s="7">
        <v>80</v>
      </c>
      <c r="F2954" t="s">
        <v>20</v>
      </c>
      <c r="G2954" t="s">
        <v>21</v>
      </c>
      <c r="H2954" t="str">
        <f>"4/29/2019"</f>
        <v>4/29/2019</v>
      </c>
      <c r="I2954" t="str">
        <f>"ANGEL G. ROSAS"</f>
        <v>ANGEL G. ROSAS</v>
      </c>
    </row>
    <row r="2955" spans="1:9" x14ac:dyDescent="0.25">
      <c r="A2955" s="6">
        <v>43587</v>
      </c>
      <c r="B2955" t="s">
        <v>26</v>
      </c>
      <c r="C2955">
        <v>60819</v>
      </c>
      <c r="D2955" t="s">
        <v>708</v>
      </c>
      <c r="E2955" s="7">
        <v>319.92</v>
      </c>
      <c r="F2955" t="s">
        <v>20</v>
      </c>
      <c r="G2955" t="s">
        <v>21</v>
      </c>
      <c r="H2955" t="str">
        <f>"PIKS0165011"</f>
        <v>PIKS0165011</v>
      </c>
      <c r="I2955" t="str">
        <f>"TARP"</f>
        <v>TARP</v>
      </c>
    </row>
    <row r="2956" spans="1:9" x14ac:dyDescent="0.25">
      <c r="A2956" s="6">
        <v>43587</v>
      </c>
      <c r="B2956" t="s">
        <v>26</v>
      </c>
      <c r="C2956">
        <v>60820</v>
      </c>
      <c r="D2956" t="s">
        <v>709</v>
      </c>
      <c r="E2956" s="7">
        <v>5100</v>
      </c>
      <c r="F2956" t="s">
        <v>20</v>
      </c>
      <c r="G2956" t="s">
        <v>21</v>
      </c>
      <c r="H2956" t="str">
        <f>"HOT TAX DISBRSTMT"</f>
        <v>HOT TAX DISBRSTMT</v>
      </c>
      <c r="I2956" t="str">
        <f>"FLORESVILLE OPRY"</f>
        <v>FLORESVILLE OPRY</v>
      </c>
    </row>
    <row r="2957" spans="1:9" x14ac:dyDescent="0.25">
      <c r="A2957" s="6">
        <v>43587</v>
      </c>
      <c r="B2957" t="s">
        <v>26</v>
      </c>
      <c r="C2957">
        <v>60821</v>
      </c>
      <c r="D2957" t="s">
        <v>710</v>
      </c>
      <c r="E2957" s="7">
        <v>7000</v>
      </c>
      <c r="F2957" t="s">
        <v>20</v>
      </c>
      <c r="G2957" t="s">
        <v>21</v>
      </c>
      <c r="H2957" t="str">
        <f>"HOT TAX DISBRMT"</f>
        <v>HOT TAX DISBRMT</v>
      </c>
      <c r="I2957" t="str">
        <f>"RICK MORONES JR."</f>
        <v>RICK MORONES JR.</v>
      </c>
    </row>
    <row r="2958" spans="1:9" x14ac:dyDescent="0.25">
      <c r="A2958" s="6">
        <v>43587</v>
      </c>
      <c r="B2958" t="s">
        <v>26</v>
      </c>
      <c r="C2958">
        <v>60822</v>
      </c>
      <c r="D2958" t="s">
        <v>637</v>
      </c>
      <c r="E2958" s="7">
        <v>75</v>
      </c>
      <c r="F2958" t="s">
        <v>20</v>
      </c>
      <c r="G2958" t="s">
        <v>21</v>
      </c>
      <c r="H2958" t="str">
        <f>"5/2/2019"</f>
        <v>5/2/2019</v>
      </c>
      <c r="I2958" t="str">
        <f>"GLORIA MARTINEZ"</f>
        <v>GLORIA MARTINEZ</v>
      </c>
    </row>
    <row r="2959" spans="1:9" x14ac:dyDescent="0.25">
      <c r="A2959" s="6">
        <v>43591</v>
      </c>
      <c r="B2959" t="s">
        <v>26</v>
      </c>
      <c r="C2959">
        <v>60823</v>
      </c>
      <c r="D2959" t="s">
        <v>711</v>
      </c>
      <c r="E2959" s="7">
        <v>80</v>
      </c>
      <c r="F2959" t="s">
        <v>20</v>
      </c>
      <c r="G2959" t="s">
        <v>21</v>
      </c>
      <c r="H2959" t="str">
        <f>"EXPENSE FOR GAS"</f>
        <v>EXPENSE FOR GAS</v>
      </c>
      <c r="I2959" t="str">
        <f>"JOE TEJEDA"</f>
        <v>JOE TEJEDA</v>
      </c>
    </row>
    <row r="2960" spans="1:9" x14ac:dyDescent="0.25">
      <c r="A2960" s="6">
        <v>43593</v>
      </c>
      <c r="B2960" t="s">
        <v>26</v>
      </c>
      <c r="C2960">
        <v>60832</v>
      </c>
      <c r="D2960" t="s">
        <v>51</v>
      </c>
      <c r="E2960" s="7">
        <v>309.37</v>
      </c>
      <c r="F2960" t="s">
        <v>20</v>
      </c>
      <c r="G2960" t="s">
        <v>21</v>
      </c>
      <c r="H2960" t="str">
        <f>"CLE201905088520"</f>
        <v>CLE201905088520</v>
      </c>
      <c r="I2960" t="str">
        <f>"CLEAT ONLY DUES"</f>
        <v>CLEAT ONLY DUES</v>
      </c>
    </row>
    <row r="2961" spans="1:9" x14ac:dyDescent="0.25">
      <c r="A2961" s="6">
        <v>43593</v>
      </c>
      <c r="B2961" t="s">
        <v>26</v>
      </c>
      <c r="C2961">
        <v>60832</v>
      </c>
      <c r="D2961" t="s">
        <v>51</v>
      </c>
      <c r="E2961" s="7">
        <v>309.37</v>
      </c>
      <c r="F2961" t="s">
        <v>20</v>
      </c>
      <c r="G2961" t="s">
        <v>21</v>
      </c>
      <c r="H2961" t="str">
        <f>"PDD201905088520"</f>
        <v>PDD201905088520</v>
      </c>
      <c r="I2961" t="str">
        <f>"POLICE OFFICERS ASSOC DUES"</f>
        <v>POLICE OFFICERS ASSOC DUES</v>
      </c>
    </row>
    <row r="2962" spans="1:9" x14ac:dyDescent="0.25">
      <c r="A2962" s="6">
        <v>43593</v>
      </c>
      <c r="B2962" t="s">
        <v>91</v>
      </c>
      <c r="C2962">
        <v>60833</v>
      </c>
      <c r="D2962" t="s">
        <v>90</v>
      </c>
      <c r="E2962" s="7">
        <v>101.1</v>
      </c>
      <c r="F2962" t="s">
        <v>20</v>
      </c>
      <c r="G2962" t="s">
        <v>21</v>
      </c>
      <c r="H2962" t="str">
        <f>"AFS201905088520"</f>
        <v>AFS201905088520</v>
      </c>
      <c r="I2962" t="str">
        <f>"AFLAC STD"</f>
        <v>AFLAC STD</v>
      </c>
    </row>
    <row r="2963" spans="1:9" x14ac:dyDescent="0.25">
      <c r="A2963" s="6">
        <v>43593</v>
      </c>
      <c r="B2963" t="s">
        <v>26</v>
      </c>
      <c r="C2963">
        <v>60834</v>
      </c>
      <c r="D2963" t="s">
        <v>52</v>
      </c>
      <c r="E2963" s="7">
        <v>1371.29</v>
      </c>
      <c r="F2963" t="s">
        <v>20</v>
      </c>
      <c r="G2963" t="s">
        <v>21</v>
      </c>
      <c r="H2963" t="str">
        <f>"CJD201905088520"</f>
        <v>CJD201905088520</v>
      </c>
      <c r="I2963" t="str">
        <f>"1371990918080637CV RUBI MUNOZ"</f>
        <v>1371990918080637CV RUBI MUNOZ</v>
      </c>
    </row>
    <row r="2964" spans="1:9" x14ac:dyDescent="0.25">
      <c r="A2964" s="6">
        <v>43593</v>
      </c>
      <c r="B2964" t="s">
        <v>26</v>
      </c>
      <c r="C2964">
        <v>60834</v>
      </c>
      <c r="D2964" t="s">
        <v>52</v>
      </c>
      <c r="E2964" s="7">
        <v>1371.29</v>
      </c>
      <c r="F2964" t="s">
        <v>20</v>
      </c>
      <c r="G2964" t="s">
        <v>21</v>
      </c>
      <c r="H2964" t="str">
        <f>"CPS201905088520"</f>
        <v>CPS201905088520</v>
      </c>
      <c r="I2964" t="str">
        <f>"G MENDOZA 00123012032010EM5054"</f>
        <v>G MENDOZA 00123012032010EM5054</v>
      </c>
    </row>
    <row r="2965" spans="1:9" x14ac:dyDescent="0.25">
      <c r="A2965" s="6">
        <v>43593</v>
      </c>
      <c r="B2965" t="s">
        <v>26</v>
      </c>
      <c r="C2965">
        <v>60834</v>
      </c>
      <c r="D2965" t="s">
        <v>52</v>
      </c>
      <c r="E2965" s="7">
        <v>1371.29</v>
      </c>
      <c r="F2965" t="s">
        <v>20</v>
      </c>
      <c r="G2965" t="s">
        <v>21</v>
      </c>
      <c r="H2965" t="str">
        <f>"CS 201905088520"</f>
        <v>CS 201905088520</v>
      </c>
      <c r="I2965" t="str">
        <f>"CAUSE#98EM504113 PEGGY RIVAS"</f>
        <v>CAUSE#98EM504113 PEGGY RIVAS</v>
      </c>
    </row>
    <row r="2966" spans="1:9" x14ac:dyDescent="0.25">
      <c r="A2966" s="6">
        <v>43593</v>
      </c>
      <c r="B2966" t="s">
        <v>26</v>
      </c>
      <c r="C2966">
        <v>60834</v>
      </c>
      <c r="D2966" t="s">
        <v>52</v>
      </c>
      <c r="E2966" s="7">
        <v>1371.29</v>
      </c>
      <c r="F2966" t="s">
        <v>20</v>
      </c>
      <c r="G2966" t="s">
        <v>21</v>
      </c>
      <c r="H2966" t="str">
        <f>"CSJ201905088520"</f>
        <v>CSJ201905088520</v>
      </c>
      <c r="I2966" t="str">
        <f>"CAUSE# 0010185272 MARIANN GUTI"</f>
        <v>CAUSE# 0010185272 MARIANN GUTI</v>
      </c>
    </row>
    <row r="2967" spans="1:9" x14ac:dyDescent="0.25">
      <c r="A2967" s="6">
        <v>43593</v>
      </c>
      <c r="B2967" t="s">
        <v>26</v>
      </c>
      <c r="C2967">
        <v>60835</v>
      </c>
      <c r="D2967" t="s">
        <v>53</v>
      </c>
      <c r="E2967" s="7">
        <v>99.1</v>
      </c>
      <c r="F2967" t="s">
        <v>20</v>
      </c>
      <c r="G2967" t="s">
        <v>21</v>
      </c>
      <c r="H2967" t="str">
        <f>"MCO201905088520"</f>
        <v>MCO201905088520</v>
      </c>
      <c r="I2967" t="str">
        <f>"MONICA CORDOVA"</f>
        <v>MONICA CORDOVA</v>
      </c>
    </row>
    <row r="2968" spans="1:9" x14ac:dyDescent="0.25">
      <c r="A2968" s="6">
        <v>43593</v>
      </c>
      <c r="B2968" t="s">
        <v>26</v>
      </c>
      <c r="C2968">
        <v>60836</v>
      </c>
      <c r="D2968" t="s">
        <v>54</v>
      </c>
      <c r="E2968" s="7">
        <v>762.12</v>
      </c>
      <c r="F2968" t="s">
        <v>20</v>
      </c>
      <c r="G2968" t="s">
        <v>21</v>
      </c>
      <c r="H2968" t="str">
        <f>"457201905088520"</f>
        <v>457201905088520</v>
      </c>
      <c r="I2968" t="str">
        <f>"CASE # 180-60751 457B DEDUCT"</f>
        <v>CASE # 180-60751 457B DEDUCT</v>
      </c>
    </row>
    <row r="2969" spans="1:9" x14ac:dyDescent="0.25">
      <c r="A2969" s="6">
        <v>43593</v>
      </c>
      <c r="B2969" t="s">
        <v>26</v>
      </c>
      <c r="C2969">
        <v>60839</v>
      </c>
      <c r="D2969" t="s">
        <v>610</v>
      </c>
      <c r="E2969" s="7">
        <v>1804</v>
      </c>
      <c r="F2969" t="s">
        <v>20</v>
      </c>
      <c r="G2969" t="s">
        <v>21</v>
      </c>
      <c r="H2969" t="str">
        <f>"RENEWAL 5/2019"</f>
        <v>RENEWAL 5/2019</v>
      </c>
      <c r="I2969" t="str">
        <f>"TEXAS MUNICIPAL LEAGUE INTERGO"</f>
        <v>TEXAS MUNICIPAL LEAGUE INTERGO</v>
      </c>
    </row>
    <row r="2970" spans="1:9" x14ac:dyDescent="0.25">
      <c r="A2970" s="6">
        <v>43593</v>
      </c>
      <c r="B2970" t="s">
        <v>26</v>
      </c>
      <c r="C2970">
        <v>60840</v>
      </c>
      <c r="D2970" t="s">
        <v>240</v>
      </c>
      <c r="E2970" s="7">
        <v>1584.64</v>
      </c>
      <c r="F2970" t="s">
        <v>20</v>
      </c>
      <c r="G2970" t="s">
        <v>21</v>
      </c>
      <c r="H2970" t="str">
        <f>"0166348-IN"</f>
        <v>0166348-IN</v>
      </c>
      <c r="I2970" t="str">
        <f>"UNIFORMS"</f>
        <v>UNIFORMS</v>
      </c>
    </row>
    <row r="2971" spans="1:9" x14ac:dyDescent="0.25">
      <c r="A2971" s="6">
        <v>43593</v>
      </c>
      <c r="B2971" t="s">
        <v>26</v>
      </c>
      <c r="C2971">
        <v>60840</v>
      </c>
      <c r="D2971" t="s">
        <v>240</v>
      </c>
      <c r="E2971" s="7">
        <v>1584.64</v>
      </c>
      <c r="F2971" t="s">
        <v>20</v>
      </c>
      <c r="G2971" t="s">
        <v>21</v>
      </c>
      <c r="H2971" t="str">
        <f>"0166351-IN"</f>
        <v>0166351-IN</v>
      </c>
      <c r="I2971" t="str">
        <f>"UNIFORMS"</f>
        <v>UNIFORMS</v>
      </c>
    </row>
    <row r="2972" spans="1:9" x14ac:dyDescent="0.25">
      <c r="A2972" s="6">
        <v>43593</v>
      </c>
      <c r="B2972" t="s">
        <v>26</v>
      </c>
      <c r="C2972">
        <v>60840</v>
      </c>
      <c r="D2972" t="s">
        <v>240</v>
      </c>
      <c r="E2972" s="7">
        <v>1584.64</v>
      </c>
      <c r="F2972" t="s">
        <v>20</v>
      </c>
      <c r="G2972" t="s">
        <v>21</v>
      </c>
      <c r="H2972" t="str">
        <f>"0166439-IN"</f>
        <v>0166439-IN</v>
      </c>
      <c r="I2972" t="str">
        <f>"UNIFORM"</f>
        <v>UNIFORM</v>
      </c>
    </row>
    <row r="2973" spans="1:9" x14ac:dyDescent="0.25">
      <c r="A2973" s="6">
        <v>43593</v>
      </c>
      <c r="B2973" t="s">
        <v>26</v>
      </c>
      <c r="C2973">
        <v>60840</v>
      </c>
      <c r="D2973" t="s">
        <v>240</v>
      </c>
      <c r="E2973" s="7">
        <v>1584.64</v>
      </c>
      <c r="F2973" t="s">
        <v>20</v>
      </c>
      <c r="G2973" t="s">
        <v>21</v>
      </c>
      <c r="H2973" t="str">
        <f>"0166737-IN"</f>
        <v>0166737-IN</v>
      </c>
      <c r="I2973" t="str">
        <f>"NARDIS PUBLIC SAFETY"</f>
        <v>NARDIS PUBLIC SAFETY</v>
      </c>
    </row>
    <row r="2974" spans="1:9" x14ac:dyDescent="0.25">
      <c r="A2974" s="6">
        <v>43593</v>
      </c>
      <c r="B2974" t="s">
        <v>26</v>
      </c>
      <c r="C2974">
        <v>60841</v>
      </c>
      <c r="D2974" t="s">
        <v>712</v>
      </c>
      <c r="E2974" s="7">
        <v>200</v>
      </c>
      <c r="F2974" t="s">
        <v>20</v>
      </c>
      <c r="G2974" t="s">
        <v>21</v>
      </c>
      <c r="H2974" t="str">
        <f>"REDUND FOOD EST."</f>
        <v>REDUND FOOD EST.</v>
      </c>
      <c r="I2974" t="str">
        <f>"REFUND"</f>
        <v>REFUND</v>
      </c>
    </row>
    <row r="2975" spans="1:9" x14ac:dyDescent="0.25">
      <c r="A2975" s="6">
        <v>43593</v>
      </c>
      <c r="B2975" t="s">
        <v>26</v>
      </c>
      <c r="C2975">
        <v>60842</v>
      </c>
      <c r="D2975" t="s">
        <v>63</v>
      </c>
      <c r="E2975" s="7">
        <v>687.89</v>
      </c>
      <c r="F2975" t="s">
        <v>20</v>
      </c>
      <c r="G2975" t="s">
        <v>21</v>
      </c>
      <c r="H2975" t="str">
        <f>"8404110125"</f>
        <v>8404110125</v>
      </c>
      <c r="I2975" t="str">
        <f>"CINTAS CORPORATION"</f>
        <v>CINTAS CORPORATION</v>
      </c>
    </row>
    <row r="2976" spans="1:9" x14ac:dyDescent="0.25">
      <c r="A2976" s="6">
        <v>43593</v>
      </c>
      <c r="B2976" t="s">
        <v>26</v>
      </c>
      <c r="C2976">
        <v>60843</v>
      </c>
      <c r="D2976" t="s">
        <v>213</v>
      </c>
      <c r="E2976" s="7">
        <v>5352.15</v>
      </c>
      <c r="F2976" t="s">
        <v>20</v>
      </c>
      <c r="G2976" t="s">
        <v>21</v>
      </c>
      <c r="H2976" t="str">
        <f>"APRIL 2019"</f>
        <v>APRIL 2019</v>
      </c>
      <c r="I2976" t="str">
        <f>"RIVER BEND COMMUNITY DEVELOPME"</f>
        <v>RIVER BEND COMMUNITY DEVELOPME</v>
      </c>
    </row>
    <row r="2977" spans="1:9" x14ac:dyDescent="0.25">
      <c r="A2977" s="6">
        <v>43593</v>
      </c>
      <c r="B2977" t="s">
        <v>26</v>
      </c>
      <c r="C2977">
        <v>60844</v>
      </c>
      <c r="D2977" t="s">
        <v>159</v>
      </c>
      <c r="E2977" s="7">
        <v>1311.9</v>
      </c>
      <c r="F2977" t="s">
        <v>20</v>
      </c>
      <c r="G2977" t="s">
        <v>21</v>
      </c>
      <c r="H2977" t="str">
        <f>"37955"</f>
        <v>37955</v>
      </c>
      <c r="I2977" t="str">
        <f>"PHOTOGRAPHS BY JIM"</f>
        <v>PHOTOGRAPHS BY JIM</v>
      </c>
    </row>
    <row r="2978" spans="1:9" x14ac:dyDescent="0.25">
      <c r="A2978" s="6">
        <v>43593</v>
      </c>
      <c r="B2978" t="s">
        <v>26</v>
      </c>
      <c r="C2978">
        <v>60844</v>
      </c>
      <c r="D2978" t="s">
        <v>159</v>
      </c>
      <c r="E2978" s="7">
        <v>1311.9</v>
      </c>
      <c r="F2978" t="s">
        <v>20</v>
      </c>
      <c r="G2978" t="s">
        <v>21</v>
      </c>
      <c r="H2978" t="str">
        <f>"37957"</f>
        <v>37957</v>
      </c>
      <c r="I2978" t="str">
        <f>"PHOTOGRAPHS BY JIM"</f>
        <v>PHOTOGRAPHS BY JIM</v>
      </c>
    </row>
    <row r="2979" spans="1:9" x14ac:dyDescent="0.25">
      <c r="A2979" s="6">
        <v>43593</v>
      </c>
      <c r="B2979" t="s">
        <v>26</v>
      </c>
      <c r="C2979">
        <v>60844</v>
      </c>
      <c r="D2979" t="s">
        <v>159</v>
      </c>
      <c r="E2979" s="7">
        <v>1311.9</v>
      </c>
      <c r="F2979" t="s">
        <v>20</v>
      </c>
      <c r="G2979" t="s">
        <v>21</v>
      </c>
      <c r="H2979" t="str">
        <f>"37958"</f>
        <v>37958</v>
      </c>
      <c r="I2979" t="str">
        <f>"PHOTOGRAPHS BY JIM"</f>
        <v>PHOTOGRAPHS BY JIM</v>
      </c>
    </row>
    <row r="2980" spans="1:9" x14ac:dyDescent="0.25">
      <c r="A2980" s="6">
        <v>43593</v>
      </c>
      <c r="B2980" t="s">
        <v>26</v>
      </c>
      <c r="C2980">
        <v>60845</v>
      </c>
      <c r="D2980" t="s">
        <v>74</v>
      </c>
      <c r="E2980" s="7">
        <v>92.44</v>
      </c>
      <c r="F2980" t="s">
        <v>20</v>
      </c>
      <c r="G2980" t="s">
        <v>21</v>
      </c>
      <c r="H2980" t="str">
        <f>"9828816073"</f>
        <v>9828816073</v>
      </c>
      <c r="I2980" t="str">
        <f>"VERIZON WIRELESS"</f>
        <v>VERIZON WIRELESS</v>
      </c>
    </row>
    <row r="2981" spans="1:9" x14ac:dyDescent="0.25">
      <c r="A2981" s="6">
        <v>43593</v>
      </c>
      <c r="B2981" t="s">
        <v>26</v>
      </c>
      <c r="C2981">
        <v>60846</v>
      </c>
      <c r="D2981" t="s">
        <v>147</v>
      </c>
      <c r="E2981" s="7">
        <v>366</v>
      </c>
      <c r="F2981" t="s">
        <v>20</v>
      </c>
      <c r="G2981" t="s">
        <v>21</v>
      </c>
      <c r="H2981" t="str">
        <f>"1168"</f>
        <v>1168</v>
      </c>
      <c r="I2981" t="str">
        <f>"SRALLA ELECTRIC"</f>
        <v>SRALLA ELECTRIC</v>
      </c>
    </row>
    <row r="2982" spans="1:9" x14ac:dyDescent="0.25">
      <c r="A2982" s="6">
        <v>43593</v>
      </c>
      <c r="B2982" t="s">
        <v>26</v>
      </c>
      <c r="C2982">
        <v>60847</v>
      </c>
      <c r="D2982" t="s">
        <v>80</v>
      </c>
      <c r="E2982" s="7">
        <v>1500</v>
      </c>
      <c r="F2982" t="s">
        <v>20</v>
      </c>
      <c r="G2982" t="s">
        <v>21</v>
      </c>
      <c r="H2982" t="str">
        <f>"1648-20190501-1"</f>
        <v>1648-20190501-1</v>
      </c>
      <c r="I2982" t="str">
        <f>"LVWIFI.COM"</f>
        <v>LVWIFI.COM</v>
      </c>
    </row>
    <row r="2983" spans="1:9" x14ac:dyDescent="0.25">
      <c r="A2983" s="6">
        <v>43593</v>
      </c>
      <c r="B2983" t="s">
        <v>26</v>
      </c>
      <c r="C2983">
        <v>60847</v>
      </c>
      <c r="D2983" t="s">
        <v>80</v>
      </c>
      <c r="E2983" s="7">
        <v>1500</v>
      </c>
      <c r="F2983" t="s">
        <v>20</v>
      </c>
      <c r="G2983" t="s">
        <v>21</v>
      </c>
      <c r="H2983" t="str">
        <f>"2313-20190501-1"</f>
        <v>2313-20190501-1</v>
      </c>
      <c r="I2983" t="str">
        <f>"LVWIFI.COM"</f>
        <v>LVWIFI.COM</v>
      </c>
    </row>
    <row r="2984" spans="1:9" x14ac:dyDescent="0.25">
      <c r="A2984" s="6">
        <v>43593</v>
      </c>
      <c r="B2984" t="s">
        <v>26</v>
      </c>
      <c r="C2984">
        <v>60848</v>
      </c>
      <c r="D2984" t="s">
        <v>31</v>
      </c>
      <c r="E2984" s="7">
        <v>2000</v>
      </c>
      <c r="F2984" t="s">
        <v>20</v>
      </c>
      <c r="G2984" t="s">
        <v>21</v>
      </c>
      <c r="H2984" t="str">
        <f>"2019221"</f>
        <v>2019221</v>
      </c>
      <c r="I2984" t="str">
        <f>"THE LAW OFFICE OF TOM CALDWELL"</f>
        <v>THE LAW OFFICE OF TOM CALDWELL</v>
      </c>
    </row>
    <row r="2985" spans="1:9" x14ac:dyDescent="0.25">
      <c r="A2985" s="6">
        <v>43593</v>
      </c>
      <c r="B2985" t="s">
        <v>26</v>
      </c>
      <c r="C2985">
        <v>60849</v>
      </c>
      <c r="D2985" t="s">
        <v>81</v>
      </c>
      <c r="E2985" s="7">
        <v>202.86</v>
      </c>
      <c r="F2985" t="s">
        <v>20</v>
      </c>
      <c r="G2985" t="s">
        <v>21</v>
      </c>
      <c r="H2985" t="str">
        <f>"A.MARTINEZ 5/7/201"</f>
        <v>A.MARTINEZ 5/7/201</v>
      </c>
      <c r="I2985" t="str">
        <f>"CITY OF FLORESVILLE -PETTY CAS"</f>
        <v>CITY OF FLORESVILLE -PETTY CAS</v>
      </c>
    </row>
    <row r="2986" spans="1:9" x14ac:dyDescent="0.25">
      <c r="A2986" s="6">
        <v>43593</v>
      </c>
      <c r="B2986" t="s">
        <v>26</v>
      </c>
      <c r="C2986">
        <v>60850</v>
      </c>
      <c r="D2986" t="s">
        <v>85</v>
      </c>
      <c r="E2986" s="7">
        <v>926.93</v>
      </c>
      <c r="F2986" t="s">
        <v>20</v>
      </c>
      <c r="G2986" t="s">
        <v>21</v>
      </c>
      <c r="H2986" t="str">
        <f>"8302162733"</f>
        <v>8302162733</v>
      </c>
      <c r="I2986" t="str">
        <f t="shared" ref="I2986:I2995" si="53">"FRONTIER"</f>
        <v>FRONTIER</v>
      </c>
    </row>
    <row r="2987" spans="1:9" x14ac:dyDescent="0.25">
      <c r="A2987" s="6">
        <v>43593</v>
      </c>
      <c r="B2987" t="s">
        <v>26</v>
      </c>
      <c r="C2987">
        <v>60850</v>
      </c>
      <c r="D2987" t="s">
        <v>85</v>
      </c>
      <c r="E2987" s="7">
        <v>926.93</v>
      </c>
      <c r="F2987" t="s">
        <v>20</v>
      </c>
      <c r="G2987" t="s">
        <v>21</v>
      </c>
      <c r="H2987" t="str">
        <f>"8302162755 5/19"</f>
        <v>8302162755 5/19</v>
      </c>
      <c r="I2987" t="str">
        <f t="shared" si="53"/>
        <v>FRONTIER</v>
      </c>
    </row>
    <row r="2988" spans="1:9" x14ac:dyDescent="0.25">
      <c r="A2988" s="6">
        <v>43593</v>
      </c>
      <c r="B2988" t="s">
        <v>26</v>
      </c>
      <c r="C2988">
        <v>60850</v>
      </c>
      <c r="D2988" t="s">
        <v>85</v>
      </c>
      <c r="E2988" s="7">
        <v>926.93</v>
      </c>
      <c r="F2988" t="s">
        <v>20</v>
      </c>
      <c r="G2988" t="s">
        <v>21</v>
      </c>
      <c r="H2988" t="str">
        <f>"8303932056 5/19"</f>
        <v>8303932056 5/19</v>
      </c>
      <c r="I2988" t="str">
        <f t="shared" si="53"/>
        <v>FRONTIER</v>
      </c>
    </row>
    <row r="2989" spans="1:9" x14ac:dyDescent="0.25">
      <c r="A2989" s="6">
        <v>43593</v>
      </c>
      <c r="B2989" t="s">
        <v>26</v>
      </c>
      <c r="C2989">
        <v>60850</v>
      </c>
      <c r="D2989" t="s">
        <v>85</v>
      </c>
      <c r="E2989" s="7">
        <v>926.93</v>
      </c>
      <c r="F2989" t="s">
        <v>20</v>
      </c>
      <c r="G2989" t="s">
        <v>21</v>
      </c>
      <c r="H2989" t="str">
        <f>"8303932804 5/819"</f>
        <v>8303932804 5/819</v>
      </c>
      <c r="I2989" t="str">
        <f t="shared" si="53"/>
        <v>FRONTIER</v>
      </c>
    </row>
    <row r="2990" spans="1:9" x14ac:dyDescent="0.25">
      <c r="A2990" s="6">
        <v>43593</v>
      </c>
      <c r="B2990" t="s">
        <v>26</v>
      </c>
      <c r="C2990">
        <v>60850</v>
      </c>
      <c r="D2990" t="s">
        <v>85</v>
      </c>
      <c r="E2990" s="7">
        <v>926.93</v>
      </c>
      <c r="F2990" t="s">
        <v>20</v>
      </c>
      <c r="G2990" t="s">
        <v>21</v>
      </c>
      <c r="H2990" t="str">
        <f>"8303933105 5/19"</f>
        <v>8303933105 5/19</v>
      </c>
      <c r="I2990" t="str">
        <f t="shared" si="53"/>
        <v>FRONTIER</v>
      </c>
    </row>
    <row r="2991" spans="1:9" x14ac:dyDescent="0.25">
      <c r="A2991" s="6">
        <v>43593</v>
      </c>
      <c r="B2991" t="s">
        <v>26</v>
      </c>
      <c r="C2991">
        <v>60850</v>
      </c>
      <c r="D2991" t="s">
        <v>85</v>
      </c>
      <c r="E2991" s="7">
        <v>926.93</v>
      </c>
      <c r="F2991" t="s">
        <v>20</v>
      </c>
      <c r="G2991" t="s">
        <v>21</v>
      </c>
      <c r="H2991" t="str">
        <f>"8303933186 5/19"</f>
        <v>8303933186 5/19</v>
      </c>
      <c r="I2991" t="str">
        <f t="shared" si="53"/>
        <v>FRONTIER</v>
      </c>
    </row>
    <row r="2992" spans="1:9" x14ac:dyDescent="0.25">
      <c r="A2992" s="6">
        <v>43593</v>
      </c>
      <c r="B2992" t="s">
        <v>26</v>
      </c>
      <c r="C2992">
        <v>60850</v>
      </c>
      <c r="D2992" t="s">
        <v>85</v>
      </c>
      <c r="E2992" s="7">
        <v>926.93</v>
      </c>
      <c r="F2992" t="s">
        <v>20</v>
      </c>
      <c r="G2992" t="s">
        <v>21</v>
      </c>
      <c r="H2992" t="str">
        <f>"8303936616 5/19"</f>
        <v>8303936616 5/19</v>
      </c>
      <c r="I2992" t="str">
        <f t="shared" si="53"/>
        <v>FRONTIER</v>
      </c>
    </row>
    <row r="2993" spans="1:9" x14ac:dyDescent="0.25">
      <c r="A2993" s="6">
        <v>43593</v>
      </c>
      <c r="B2993" t="s">
        <v>26</v>
      </c>
      <c r="C2993">
        <v>60850</v>
      </c>
      <c r="D2993" t="s">
        <v>85</v>
      </c>
      <c r="E2993" s="7">
        <v>926.93</v>
      </c>
      <c r="F2993" t="s">
        <v>20</v>
      </c>
      <c r="G2993" t="s">
        <v>21</v>
      </c>
      <c r="H2993" t="str">
        <f>"8303936794"</f>
        <v>8303936794</v>
      </c>
      <c r="I2993" t="str">
        <f t="shared" si="53"/>
        <v>FRONTIER</v>
      </c>
    </row>
    <row r="2994" spans="1:9" x14ac:dyDescent="0.25">
      <c r="A2994" s="6">
        <v>43593</v>
      </c>
      <c r="B2994" t="s">
        <v>26</v>
      </c>
      <c r="C2994">
        <v>60850</v>
      </c>
      <c r="D2994" t="s">
        <v>85</v>
      </c>
      <c r="E2994" s="7">
        <v>926.93</v>
      </c>
      <c r="F2994" t="s">
        <v>20</v>
      </c>
      <c r="G2994" t="s">
        <v>21</v>
      </c>
      <c r="H2994" t="str">
        <f>"8303938193 5/19"</f>
        <v>8303938193 5/19</v>
      </c>
      <c r="I2994" t="str">
        <f t="shared" si="53"/>
        <v>FRONTIER</v>
      </c>
    </row>
    <row r="2995" spans="1:9" x14ac:dyDescent="0.25">
      <c r="A2995" s="6">
        <v>43593</v>
      </c>
      <c r="B2995" t="s">
        <v>26</v>
      </c>
      <c r="C2995">
        <v>60850</v>
      </c>
      <c r="D2995" t="s">
        <v>85</v>
      </c>
      <c r="E2995" s="7">
        <v>926.93</v>
      </c>
      <c r="F2995" t="s">
        <v>20</v>
      </c>
      <c r="G2995" t="s">
        <v>21</v>
      </c>
      <c r="H2995" t="str">
        <f>"8303939456 5/19"</f>
        <v>8303939456 5/19</v>
      </c>
      <c r="I2995" t="str">
        <f t="shared" si="53"/>
        <v>FRONTIER</v>
      </c>
    </row>
    <row r="2996" spans="1:9" x14ac:dyDescent="0.25">
      <c r="A2996" s="6">
        <v>43593</v>
      </c>
      <c r="B2996" t="s">
        <v>26</v>
      </c>
      <c r="C2996">
        <v>60852</v>
      </c>
      <c r="D2996" t="s">
        <v>132</v>
      </c>
      <c r="E2996" s="7">
        <v>68.53</v>
      </c>
      <c r="F2996" t="s">
        <v>20</v>
      </c>
      <c r="G2996" t="s">
        <v>21</v>
      </c>
      <c r="H2996" t="str">
        <f>"16992887042519"</f>
        <v>16992887042519</v>
      </c>
      <c r="I2996" t="str">
        <f>"SPARKLETTS &amp; SIERRA SPRINGS"</f>
        <v>SPARKLETTS &amp; SIERRA SPRINGS</v>
      </c>
    </row>
    <row r="2997" spans="1:9" x14ac:dyDescent="0.25">
      <c r="A2997" s="6">
        <v>43593</v>
      </c>
      <c r="B2997" t="s">
        <v>26</v>
      </c>
      <c r="C2997">
        <v>60853</v>
      </c>
      <c r="D2997" t="s">
        <v>443</v>
      </c>
      <c r="E2997" s="7">
        <v>4116.67</v>
      </c>
      <c r="F2997" t="s">
        <v>20</v>
      </c>
      <c r="G2997" t="s">
        <v>21</v>
      </c>
      <c r="H2997" t="str">
        <f>"10556"</f>
        <v>10556</v>
      </c>
      <c r="I2997" t="str">
        <f>"RIOJAS TURF CARE  LLC"</f>
        <v>RIOJAS TURF CARE  LLC</v>
      </c>
    </row>
    <row r="2998" spans="1:9" x14ac:dyDescent="0.25">
      <c r="A2998" s="6">
        <v>43593</v>
      </c>
      <c r="B2998" t="s">
        <v>26</v>
      </c>
      <c r="C2998">
        <v>60854</v>
      </c>
      <c r="D2998" t="s">
        <v>528</v>
      </c>
      <c r="E2998" s="7">
        <v>114.69</v>
      </c>
      <c r="F2998" t="s">
        <v>20</v>
      </c>
      <c r="G2998" t="s">
        <v>21</v>
      </c>
      <c r="H2998" t="str">
        <f>"162105"</f>
        <v>162105</v>
      </c>
      <c r="I2998" t="str">
        <f>"PROSTAR SERVICES INC"</f>
        <v>PROSTAR SERVICES INC</v>
      </c>
    </row>
    <row r="2999" spans="1:9" x14ac:dyDescent="0.25">
      <c r="A2999" s="6">
        <v>43593</v>
      </c>
      <c r="B2999" t="s">
        <v>26</v>
      </c>
      <c r="C2999">
        <v>60855</v>
      </c>
      <c r="D2999" t="s">
        <v>644</v>
      </c>
      <c r="E2999" s="7">
        <v>1050.7</v>
      </c>
      <c r="F2999" t="s">
        <v>20</v>
      </c>
      <c r="G2999" t="s">
        <v>21</v>
      </c>
      <c r="H2999" t="str">
        <f>"8213308895"</f>
        <v>8213308895</v>
      </c>
      <c r="I2999" t="str">
        <f t="shared" ref="I2999:I3011" si="54">"UNIFIRST CORPORATION"</f>
        <v>UNIFIRST CORPORATION</v>
      </c>
    </row>
    <row r="3000" spans="1:9" x14ac:dyDescent="0.25">
      <c r="A3000" s="6">
        <v>43593</v>
      </c>
      <c r="B3000" t="s">
        <v>26</v>
      </c>
      <c r="C3000">
        <v>60855</v>
      </c>
      <c r="D3000" t="s">
        <v>644</v>
      </c>
      <c r="E3000" s="7">
        <v>1050.7</v>
      </c>
      <c r="F3000" t="s">
        <v>20</v>
      </c>
      <c r="G3000" t="s">
        <v>21</v>
      </c>
      <c r="H3000" t="str">
        <f>"8213308897"</f>
        <v>8213308897</v>
      </c>
      <c r="I3000" t="str">
        <f t="shared" si="54"/>
        <v>UNIFIRST CORPORATION</v>
      </c>
    </row>
    <row r="3001" spans="1:9" x14ac:dyDescent="0.25">
      <c r="A3001" s="6">
        <v>43593</v>
      </c>
      <c r="B3001" t="s">
        <v>26</v>
      </c>
      <c r="C3001">
        <v>60855</v>
      </c>
      <c r="D3001" t="s">
        <v>644</v>
      </c>
      <c r="E3001" s="7">
        <v>1050.7</v>
      </c>
      <c r="F3001" t="s">
        <v>20</v>
      </c>
      <c r="G3001" t="s">
        <v>21</v>
      </c>
      <c r="H3001" t="str">
        <f>"8213308898"</f>
        <v>8213308898</v>
      </c>
      <c r="I3001" t="str">
        <f t="shared" si="54"/>
        <v>UNIFIRST CORPORATION</v>
      </c>
    </row>
    <row r="3002" spans="1:9" x14ac:dyDescent="0.25">
      <c r="A3002" s="6">
        <v>43593</v>
      </c>
      <c r="B3002" t="s">
        <v>26</v>
      </c>
      <c r="C3002">
        <v>60855</v>
      </c>
      <c r="D3002" t="s">
        <v>644</v>
      </c>
      <c r="E3002" s="7">
        <v>1050.7</v>
      </c>
      <c r="F3002" t="s">
        <v>20</v>
      </c>
      <c r="G3002" t="s">
        <v>21</v>
      </c>
      <c r="H3002" t="str">
        <f>"8213308899"</f>
        <v>8213308899</v>
      </c>
      <c r="I3002" t="str">
        <f t="shared" si="54"/>
        <v>UNIFIRST CORPORATION</v>
      </c>
    </row>
    <row r="3003" spans="1:9" x14ac:dyDescent="0.25">
      <c r="A3003" s="6">
        <v>43593</v>
      </c>
      <c r="B3003" t="s">
        <v>26</v>
      </c>
      <c r="C3003">
        <v>60855</v>
      </c>
      <c r="D3003" t="s">
        <v>644</v>
      </c>
      <c r="E3003" s="7">
        <v>1050.7</v>
      </c>
      <c r="F3003" t="s">
        <v>20</v>
      </c>
      <c r="G3003" t="s">
        <v>21</v>
      </c>
      <c r="H3003" t="str">
        <f>"8213308900"</f>
        <v>8213308900</v>
      </c>
      <c r="I3003" t="str">
        <f t="shared" si="54"/>
        <v>UNIFIRST CORPORATION</v>
      </c>
    </row>
    <row r="3004" spans="1:9" x14ac:dyDescent="0.25">
      <c r="A3004" s="6">
        <v>43593</v>
      </c>
      <c r="B3004" t="s">
        <v>26</v>
      </c>
      <c r="C3004">
        <v>60855</v>
      </c>
      <c r="D3004" t="s">
        <v>644</v>
      </c>
      <c r="E3004" s="7">
        <v>1050.7</v>
      </c>
      <c r="F3004" t="s">
        <v>20</v>
      </c>
      <c r="G3004" t="s">
        <v>21</v>
      </c>
      <c r="H3004" t="str">
        <f>"8213311588"</f>
        <v>8213311588</v>
      </c>
      <c r="I3004" t="str">
        <f t="shared" si="54"/>
        <v>UNIFIRST CORPORATION</v>
      </c>
    </row>
    <row r="3005" spans="1:9" x14ac:dyDescent="0.25">
      <c r="A3005" s="6">
        <v>43593</v>
      </c>
      <c r="B3005" t="s">
        <v>26</v>
      </c>
      <c r="C3005">
        <v>60855</v>
      </c>
      <c r="D3005" t="s">
        <v>644</v>
      </c>
      <c r="E3005" s="7">
        <v>1050.7</v>
      </c>
      <c r="F3005" t="s">
        <v>20</v>
      </c>
      <c r="G3005" t="s">
        <v>21</v>
      </c>
      <c r="H3005" t="str">
        <f>"8213314274"</f>
        <v>8213314274</v>
      </c>
      <c r="I3005" t="str">
        <f t="shared" si="54"/>
        <v>UNIFIRST CORPORATION</v>
      </c>
    </row>
    <row r="3006" spans="1:9" x14ac:dyDescent="0.25">
      <c r="A3006" s="6">
        <v>43593</v>
      </c>
      <c r="B3006" t="s">
        <v>26</v>
      </c>
      <c r="C3006">
        <v>60855</v>
      </c>
      <c r="D3006" t="s">
        <v>644</v>
      </c>
      <c r="E3006" s="7">
        <v>1050.7</v>
      </c>
      <c r="F3006" t="s">
        <v>20</v>
      </c>
      <c r="G3006" t="s">
        <v>21</v>
      </c>
      <c r="H3006" t="str">
        <f>"8213314275"</f>
        <v>8213314275</v>
      </c>
      <c r="I3006" t="str">
        <f t="shared" si="54"/>
        <v>UNIFIRST CORPORATION</v>
      </c>
    </row>
    <row r="3007" spans="1:9" x14ac:dyDescent="0.25">
      <c r="A3007" s="6">
        <v>43593</v>
      </c>
      <c r="B3007" t="s">
        <v>26</v>
      </c>
      <c r="C3007">
        <v>60855</v>
      </c>
      <c r="D3007" t="s">
        <v>644</v>
      </c>
      <c r="E3007" s="7">
        <v>1050.7</v>
      </c>
      <c r="F3007" t="s">
        <v>20</v>
      </c>
      <c r="G3007" t="s">
        <v>21</v>
      </c>
      <c r="H3007" t="str">
        <f>"8213314276"</f>
        <v>8213314276</v>
      </c>
      <c r="I3007" t="str">
        <f t="shared" si="54"/>
        <v>UNIFIRST CORPORATION</v>
      </c>
    </row>
    <row r="3008" spans="1:9" x14ac:dyDescent="0.25">
      <c r="A3008" s="6">
        <v>43593</v>
      </c>
      <c r="B3008" t="s">
        <v>26</v>
      </c>
      <c r="C3008">
        <v>60855</v>
      </c>
      <c r="D3008" t="s">
        <v>644</v>
      </c>
      <c r="E3008" s="7">
        <v>1050.7</v>
      </c>
      <c r="F3008" t="s">
        <v>20</v>
      </c>
      <c r="G3008" t="s">
        <v>21</v>
      </c>
      <c r="H3008" t="str">
        <f>"8213314277"</f>
        <v>8213314277</v>
      </c>
      <c r="I3008" t="str">
        <f t="shared" si="54"/>
        <v>UNIFIRST CORPORATION</v>
      </c>
    </row>
    <row r="3009" spans="1:9" x14ac:dyDescent="0.25">
      <c r="A3009" s="6">
        <v>43593</v>
      </c>
      <c r="B3009" t="s">
        <v>26</v>
      </c>
      <c r="C3009">
        <v>60855</v>
      </c>
      <c r="D3009" t="s">
        <v>644</v>
      </c>
      <c r="E3009" s="7">
        <v>1050.7</v>
      </c>
      <c r="F3009" t="s">
        <v>20</v>
      </c>
      <c r="G3009" t="s">
        <v>21</v>
      </c>
      <c r="H3009" t="str">
        <f>"8213314278"</f>
        <v>8213314278</v>
      </c>
      <c r="I3009" t="str">
        <f t="shared" si="54"/>
        <v>UNIFIRST CORPORATION</v>
      </c>
    </row>
    <row r="3010" spans="1:9" x14ac:dyDescent="0.25">
      <c r="A3010" s="6">
        <v>43593</v>
      </c>
      <c r="B3010" t="s">
        <v>26</v>
      </c>
      <c r="C3010">
        <v>60855</v>
      </c>
      <c r="D3010" t="s">
        <v>644</v>
      </c>
      <c r="E3010" s="7">
        <v>1050.7</v>
      </c>
      <c r="F3010" t="s">
        <v>20</v>
      </c>
      <c r="G3010" t="s">
        <v>21</v>
      </c>
      <c r="H3010" t="str">
        <f>"8213314279"</f>
        <v>8213314279</v>
      </c>
      <c r="I3010" t="str">
        <f t="shared" si="54"/>
        <v>UNIFIRST CORPORATION</v>
      </c>
    </row>
    <row r="3011" spans="1:9" x14ac:dyDescent="0.25">
      <c r="A3011" s="6">
        <v>43593</v>
      </c>
      <c r="B3011" t="s">
        <v>26</v>
      </c>
      <c r="C3011">
        <v>60855</v>
      </c>
      <c r="D3011" t="s">
        <v>644</v>
      </c>
      <c r="E3011" s="7">
        <v>1050.7</v>
      </c>
      <c r="F3011" t="s">
        <v>20</v>
      </c>
      <c r="G3011" t="s">
        <v>21</v>
      </c>
      <c r="H3011" t="str">
        <f>"821338896"</f>
        <v>821338896</v>
      </c>
      <c r="I3011" t="str">
        <f t="shared" si="54"/>
        <v>UNIFIRST CORPORATION</v>
      </c>
    </row>
    <row r="3012" spans="1:9" x14ac:dyDescent="0.25">
      <c r="A3012" s="6">
        <v>43593</v>
      </c>
      <c r="B3012" t="s">
        <v>26</v>
      </c>
      <c r="C3012">
        <v>60858</v>
      </c>
      <c r="D3012" t="s">
        <v>679</v>
      </c>
      <c r="E3012" s="7">
        <v>1638</v>
      </c>
      <c r="F3012" t="s">
        <v>20</v>
      </c>
      <c r="G3012" t="s">
        <v>21</v>
      </c>
      <c r="H3012" t="str">
        <f>"39172"</f>
        <v>39172</v>
      </c>
      <c r="I3012" t="str">
        <f>"RECORDS CONSULTANTS  INC"</f>
        <v>RECORDS CONSULTANTS  INC</v>
      </c>
    </row>
    <row r="3013" spans="1:9" x14ac:dyDescent="0.25">
      <c r="A3013" s="6">
        <v>43594</v>
      </c>
      <c r="B3013" t="s">
        <v>26</v>
      </c>
      <c r="C3013">
        <v>60859</v>
      </c>
      <c r="D3013" t="s">
        <v>85</v>
      </c>
      <c r="E3013" s="7">
        <v>160.15</v>
      </c>
      <c r="F3013" t="s">
        <v>20</v>
      </c>
      <c r="G3013" t="s">
        <v>21</v>
      </c>
      <c r="H3013" t="str">
        <f>"8302162691 5/19"</f>
        <v>8302162691 5/19</v>
      </c>
      <c r="I3013" t="str">
        <f>"FRONTIER"</f>
        <v>FRONTIER</v>
      </c>
    </row>
    <row r="3014" spans="1:9" x14ac:dyDescent="0.25">
      <c r="A3014" s="6">
        <v>43594</v>
      </c>
      <c r="B3014" t="s">
        <v>26</v>
      </c>
      <c r="C3014">
        <v>60859</v>
      </c>
      <c r="D3014" t="s">
        <v>85</v>
      </c>
      <c r="E3014" s="7">
        <v>160.15</v>
      </c>
      <c r="F3014" t="s">
        <v>20</v>
      </c>
      <c r="G3014" t="s">
        <v>21</v>
      </c>
      <c r="H3014" t="str">
        <f>"8302162745 5/19"</f>
        <v>8302162745 5/19</v>
      </c>
      <c r="I3014" t="str">
        <f>"FRONTIER"</f>
        <v>FRONTIER</v>
      </c>
    </row>
    <row r="3015" spans="1:9" x14ac:dyDescent="0.25">
      <c r="A3015" s="6">
        <v>43594</v>
      </c>
      <c r="B3015" t="s">
        <v>26</v>
      </c>
      <c r="C3015">
        <v>60859</v>
      </c>
      <c r="D3015" t="s">
        <v>85</v>
      </c>
      <c r="E3015" s="7">
        <v>160.15</v>
      </c>
      <c r="F3015" t="s">
        <v>20</v>
      </c>
      <c r="G3015" t="s">
        <v>21</v>
      </c>
      <c r="H3015" t="str">
        <f>"8303933718 5/19"</f>
        <v>8303933718 5/19</v>
      </c>
      <c r="I3015" t="str">
        <f>"FRONTIER"</f>
        <v>FRONTIER</v>
      </c>
    </row>
    <row r="3016" spans="1:9" x14ac:dyDescent="0.25">
      <c r="A3016" s="6">
        <v>43594</v>
      </c>
      <c r="B3016" t="s">
        <v>26</v>
      </c>
      <c r="C3016">
        <v>60860</v>
      </c>
      <c r="D3016" t="s">
        <v>345</v>
      </c>
      <c r="E3016" s="7">
        <v>390.5</v>
      </c>
      <c r="F3016" t="s">
        <v>20</v>
      </c>
      <c r="G3016" t="s">
        <v>21</v>
      </c>
      <c r="H3016" t="str">
        <f>"5/6/2019"</f>
        <v>5/6/2019</v>
      </c>
      <c r="I3016" t="str">
        <f>"MICHAEL ISAAC MARTINEZ"</f>
        <v>MICHAEL ISAAC MARTINEZ</v>
      </c>
    </row>
    <row r="3017" spans="1:9" x14ac:dyDescent="0.25">
      <c r="A3017" s="6">
        <v>43594</v>
      </c>
      <c r="B3017" t="s">
        <v>26</v>
      </c>
      <c r="C3017">
        <v>60861</v>
      </c>
      <c r="D3017" t="s">
        <v>452</v>
      </c>
      <c r="E3017" s="7">
        <v>60</v>
      </c>
      <c r="F3017" t="s">
        <v>20</v>
      </c>
      <c r="G3017" t="s">
        <v>21</v>
      </c>
      <c r="H3017" t="str">
        <f>"5/3/2019"</f>
        <v>5/3/2019</v>
      </c>
      <c r="I3017" t="str">
        <f>"DESIREE PEREZ"</f>
        <v>DESIREE PEREZ</v>
      </c>
    </row>
    <row r="3018" spans="1:9" x14ac:dyDescent="0.25">
      <c r="A3018" s="6">
        <v>43594</v>
      </c>
      <c r="B3018" t="s">
        <v>26</v>
      </c>
      <c r="C3018">
        <v>60862</v>
      </c>
      <c r="D3018" t="s">
        <v>596</v>
      </c>
      <c r="E3018" s="7">
        <v>60</v>
      </c>
      <c r="F3018" t="s">
        <v>20</v>
      </c>
      <c r="G3018" t="s">
        <v>21</v>
      </c>
      <c r="H3018" t="str">
        <f>"5/3/2019"</f>
        <v>5/3/2019</v>
      </c>
      <c r="I3018" t="str">
        <f>"GRACE PIERCE"</f>
        <v>GRACE PIERCE</v>
      </c>
    </row>
    <row r="3019" spans="1:9" x14ac:dyDescent="0.25">
      <c r="A3019" s="6">
        <v>43594</v>
      </c>
      <c r="B3019" t="s">
        <v>26</v>
      </c>
      <c r="C3019">
        <v>60863</v>
      </c>
      <c r="D3019" t="s">
        <v>697</v>
      </c>
      <c r="E3019" s="7">
        <v>60</v>
      </c>
      <c r="F3019" t="s">
        <v>20</v>
      </c>
      <c r="G3019" t="s">
        <v>21</v>
      </c>
      <c r="H3019" t="str">
        <f>"5/3/2019"</f>
        <v>5/3/2019</v>
      </c>
      <c r="I3019" t="str">
        <f>"OLIVIA SOTO"</f>
        <v>OLIVIA SOTO</v>
      </c>
    </row>
    <row r="3020" spans="1:9" x14ac:dyDescent="0.25">
      <c r="A3020" s="6">
        <v>43594</v>
      </c>
      <c r="B3020" t="s">
        <v>26</v>
      </c>
      <c r="C3020">
        <v>60864</v>
      </c>
      <c r="D3020" t="s">
        <v>698</v>
      </c>
      <c r="E3020" s="7">
        <v>60</v>
      </c>
      <c r="F3020" t="s">
        <v>20</v>
      </c>
      <c r="G3020" t="s">
        <v>21</v>
      </c>
      <c r="H3020" t="str">
        <f>"5/3/2019"</f>
        <v>5/3/2019</v>
      </c>
      <c r="I3020" t="str">
        <f>"TRACY ORTIZ"</f>
        <v>TRACY ORTIZ</v>
      </c>
    </row>
    <row r="3021" spans="1:9" x14ac:dyDescent="0.25">
      <c r="A3021" s="6">
        <v>43594</v>
      </c>
      <c r="B3021" t="s">
        <v>26</v>
      </c>
      <c r="C3021">
        <v>60865</v>
      </c>
      <c r="D3021" t="s">
        <v>713</v>
      </c>
      <c r="E3021" s="7">
        <v>200</v>
      </c>
      <c r="F3021" t="s">
        <v>20</v>
      </c>
      <c r="G3021" t="s">
        <v>21</v>
      </c>
      <c r="H3021" t="str">
        <f>"DONATION 5/7/2019"</f>
        <v>DONATION 5/7/2019</v>
      </c>
      <c r="I3021" t="str">
        <f>"TEXAS MUNICIPAL COURTS FUND"</f>
        <v>TEXAS MUNICIPAL COURTS FUND</v>
      </c>
    </row>
    <row r="3022" spans="1:9" x14ac:dyDescent="0.25">
      <c r="A3022" s="6">
        <v>43594</v>
      </c>
      <c r="B3022" t="s">
        <v>26</v>
      </c>
      <c r="C3022">
        <v>60866</v>
      </c>
      <c r="D3022" t="s">
        <v>555</v>
      </c>
      <c r="E3022" s="7">
        <v>299</v>
      </c>
      <c r="F3022" t="s">
        <v>20</v>
      </c>
      <c r="G3022" t="s">
        <v>21</v>
      </c>
      <c r="H3022" t="str">
        <f>"ADVN. INVEST. 5/13"</f>
        <v>ADVN. INVEST. 5/13</v>
      </c>
      <c r="I3022" t="str">
        <f>"TRAVEL"</f>
        <v>TRAVEL</v>
      </c>
    </row>
    <row r="3023" spans="1:9" x14ac:dyDescent="0.25">
      <c r="A3023" s="6">
        <v>43594</v>
      </c>
      <c r="B3023" t="s">
        <v>26</v>
      </c>
      <c r="C3023">
        <v>60867</v>
      </c>
      <c r="D3023" t="s">
        <v>599</v>
      </c>
      <c r="E3023" s="7">
        <v>23636</v>
      </c>
      <c r="F3023" t="s">
        <v>20</v>
      </c>
      <c r="G3023" t="s">
        <v>21</v>
      </c>
      <c r="H3023" t="str">
        <f>"PAY APP #7"</f>
        <v>PAY APP #7</v>
      </c>
      <c r="I3023" t="str">
        <f>"METER INSTALL GROUP  LLC."</f>
        <v>METER INSTALL GROUP  LLC.</v>
      </c>
    </row>
    <row r="3024" spans="1:9" x14ac:dyDescent="0.25">
      <c r="A3024" s="6">
        <v>43594</v>
      </c>
      <c r="B3024" t="s">
        <v>26</v>
      </c>
      <c r="C3024">
        <v>60868</v>
      </c>
      <c r="D3024" t="s">
        <v>599</v>
      </c>
      <c r="E3024" s="7">
        <v>4974.2</v>
      </c>
      <c r="F3024" t="s">
        <v>20</v>
      </c>
      <c r="G3024" t="s">
        <v>21</v>
      </c>
      <c r="H3024" t="str">
        <f>"PAY APP#6"</f>
        <v>PAY APP#6</v>
      </c>
      <c r="I3024" t="str">
        <f>"METER INSTALL GROUP  LLC."</f>
        <v>METER INSTALL GROUP  LLC.</v>
      </c>
    </row>
    <row r="3025" spans="1:9" x14ac:dyDescent="0.25">
      <c r="A3025" s="6">
        <v>43600</v>
      </c>
      <c r="B3025" t="s">
        <v>26</v>
      </c>
      <c r="C3025">
        <v>60870</v>
      </c>
      <c r="D3025" t="s">
        <v>57</v>
      </c>
      <c r="E3025" s="7">
        <v>7927.49</v>
      </c>
      <c r="F3025" t="s">
        <v>20</v>
      </c>
      <c r="G3025" t="s">
        <v>21</v>
      </c>
      <c r="H3025" t="str">
        <f>"11617 PK &amp;FLD 5/19"</f>
        <v>11617 PK &amp;FLD 5/19</v>
      </c>
      <c r="I3025" t="str">
        <f>"F.E.L.P.S."</f>
        <v>F.E.L.P.S.</v>
      </c>
    </row>
    <row r="3026" spans="1:9" x14ac:dyDescent="0.25">
      <c r="A3026" s="6">
        <v>43600</v>
      </c>
      <c r="B3026" t="s">
        <v>26</v>
      </c>
      <c r="C3026">
        <v>60870</v>
      </c>
      <c r="D3026" t="s">
        <v>57</v>
      </c>
      <c r="E3026" s="7">
        <v>7927.49</v>
      </c>
      <c r="F3026" t="s">
        <v>20</v>
      </c>
      <c r="G3026" t="s">
        <v>21</v>
      </c>
      <c r="H3026" t="str">
        <f>"33062 5/19"</f>
        <v>33062 5/19</v>
      </c>
      <c r="I3026" t="str">
        <f>"F.E.L.P.S."</f>
        <v>F.E.L.P.S.</v>
      </c>
    </row>
    <row r="3027" spans="1:9" x14ac:dyDescent="0.25">
      <c r="A3027" s="6">
        <v>43600</v>
      </c>
      <c r="B3027" t="s">
        <v>26</v>
      </c>
      <c r="C3027">
        <v>60871</v>
      </c>
      <c r="D3027" t="s">
        <v>714</v>
      </c>
      <c r="E3027" s="7">
        <v>45.9</v>
      </c>
      <c r="F3027" t="s">
        <v>20</v>
      </c>
      <c r="G3027" t="s">
        <v>21</v>
      </c>
      <c r="H3027" t="str">
        <f>"9277-89595"</f>
        <v>9277-89595</v>
      </c>
      <c r="I3027" t="str">
        <f>"GREASE"</f>
        <v>GREASE</v>
      </c>
    </row>
    <row r="3028" spans="1:9" x14ac:dyDescent="0.25">
      <c r="A3028" s="6">
        <v>43600</v>
      </c>
      <c r="B3028" t="s">
        <v>26</v>
      </c>
      <c r="C3028">
        <v>60872</v>
      </c>
      <c r="D3028" t="s">
        <v>201</v>
      </c>
      <c r="E3028" s="7">
        <v>322.58</v>
      </c>
      <c r="F3028" t="s">
        <v>20</v>
      </c>
      <c r="G3028" t="s">
        <v>21</v>
      </c>
      <c r="H3028" t="str">
        <f>"138975"</f>
        <v>138975</v>
      </c>
      <c r="I3028" t="str">
        <f>"WILSON COUNTY HARDWARE"</f>
        <v>WILSON COUNTY HARDWARE</v>
      </c>
    </row>
    <row r="3029" spans="1:9" x14ac:dyDescent="0.25">
      <c r="A3029" s="6">
        <v>43600</v>
      </c>
      <c r="B3029" t="s">
        <v>26</v>
      </c>
      <c r="C3029">
        <v>60872</v>
      </c>
      <c r="D3029" t="s">
        <v>201</v>
      </c>
      <c r="E3029" s="7">
        <v>322.58</v>
      </c>
      <c r="F3029" t="s">
        <v>20</v>
      </c>
      <c r="G3029" t="s">
        <v>21</v>
      </c>
      <c r="H3029" t="str">
        <f>"138978"</f>
        <v>138978</v>
      </c>
      <c r="I3029" t="str">
        <f>"WILSON COUNTY HARDWARE"</f>
        <v>WILSON COUNTY HARDWARE</v>
      </c>
    </row>
    <row r="3030" spans="1:9" x14ac:dyDescent="0.25">
      <c r="A3030" s="6">
        <v>43600</v>
      </c>
      <c r="B3030" t="s">
        <v>26</v>
      </c>
      <c r="C3030">
        <v>60872</v>
      </c>
      <c r="D3030" t="s">
        <v>201</v>
      </c>
      <c r="E3030" s="7">
        <v>322.58</v>
      </c>
      <c r="F3030" t="s">
        <v>20</v>
      </c>
      <c r="G3030" t="s">
        <v>21</v>
      </c>
      <c r="H3030" t="str">
        <f>"138980"</f>
        <v>138980</v>
      </c>
      <c r="I3030" t="str">
        <f>"WILSON COUNTY HARDWARE"</f>
        <v>WILSON COUNTY HARDWARE</v>
      </c>
    </row>
    <row r="3031" spans="1:9" x14ac:dyDescent="0.25">
      <c r="A3031" s="6">
        <v>43600</v>
      </c>
      <c r="B3031" t="s">
        <v>26</v>
      </c>
      <c r="C3031">
        <v>60872</v>
      </c>
      <c r="D3031" t="s">
        <v>201</v>
      </c>
      <c r="E3031" s="7">
        <v>322.58</v>
      </c>
      <c r="F3031" t="s">
        <v>20</v>
      </c>
      <c r="G3031" t="s">
        <v>21</v>
      </c>
      <c r="H3031" t="str">
        <f>"138985"</f>
        <v>138985</v>
      </c>
      <c r="I3031" t="str">
        <f>"WILSON COUNTY HARDWARE"</f>
        <v>WILSON COUNTY HARDWARE</v>
      </c>
    </row>
    <row r="3032" spans="1:9" x14ac:dyDescent="0.25">
      <c r="A3032" s="6">
        <v>43600</v>
      </c>
      <c r="B3032" t="s">
        <v>26</v>
      </c>
      <c r="C3032">
        <v>60872</v>
      </c>
      <c r="D3032" t="s">
        <v>201</v>
      </c>
      <c r="E3032" s="7">
        <v>322.58</v>
      </c>
      <c r="F3032" t="s">
        <v>20</v>
      </c>
      <c r="G3032" t="s">
        <v>21</v>
      </c>
      <c r="H3032" t="str">
        <f>"138989"</f>
        <v>138989</v>
      </c>
      <c r="I3032" t="str">
        <f>"WILSON COUNTY HARDWARE"</f>
        <v>WILSON COUNTY HARDWARE</v>
      </c>
    </row>
    <row r="3033" spans="1:9" x14ac:dyDescent="0.25">
      <c r="A3033" s="6">
        <v>43600</v>
      </c>
      <c r="B3033" t="s">
        <v>26</v>
      </c>
      <c r="C3033">
        <v>60873</v>
      </c>
      <c r="D3033" t="s">
        <v>58</v>
      </c>
      <c r="E3033" s="7">
        <v>452.43</v>
      </c>
      <c r="F3033" t="s">
        <v>20</v>
      </c>
      <c r="G3033" t="s">
        <v>21</v>
      </c>
      <c r="H3033" t="str">
        <f>"561555"</f>
        <v>561555</v>
      </c>
      <c r="I3033" t="str">
        <f>"DEASON ANIMAL HOSPITAL"</f>
        <v>DEASON ANIMAL HOSPITAL</v>
      </c>
    </row>
    <row r="3034" spans="1:9" x14ac:dyDescent="0.25">
      <c r="A3034" s="6">
        <v>43600</v>
      </c>
      <c r="B3034" t="s">
        <v>26</v>
      </c>
      <c r="C3034">
        <v>60873</v>
      </c>
      <c r="D3034" t="s">
        <v>58</v>
      </c>
      <c r="E3034" s="7">
        <v>452.43</v>
      </c>
      <c r="F3034" t="s">
        <v>20</v>
      </c>
      <c r="G3034" t="s">
        <v>21</v>
      </c>
      <c r="H3034" t="str">
        <f>"562199"</f>
        <v>562199</v>
      </c>
      <c r="I3034" t="str">
        <f>"DEASON ANIMAL HOSPITAL"</f>
        <v>DEASON ANIMAL HOSPITAL</v>
      </c>
    </row>
    <row r="3035" spans="1:9" x14ac:dyDescent="0.25">
      <c r="A3035" s="6">
        <v>43600</v>
      </c>
      <c r="B3035" t="s">
        <v>26</v>
      </c>
      <c r="C3035">
        <v>60873</v>
      </c>
      <c r="D3035" t="s">
        <v>58</v>
      </c>
      <c r="E3035" s="7">
        <v>452.43</v>
      </c>
      <c r="F3035" t="s">
        <v>20</v>
      </c>
      <c r="G3035" t="s">
        <v>21</v>
      </c>
      <c r="H3035" t="str">
        <f>"563484"</f>
        <v>563484</v>
      </c>
      <c r="I3035" t="str">
        <f>"DEASON ANIMAL HOSPITAL"</f>
        <v>DEASON ANIMAL HOSPITAL</v>
      </c>
    </row>
    <row r="3036" spans="1:9" x14ac:dyDescent="0.25">
      <c r="A3036" s="6">
        <v>43600</v>
      </c>
      <c r="B3036" t="s">
        <v>26</v>
      </c>
      <c r="C3036">
        <v>60873</v>
      </c>
      <c r="D3036" t="s">
        <v>58</v>
      </c>
      <c r="E3036" s="7">
        <v>452.43</v>
      </c>
      <c r="F3036" t="s">
        <v>20</v>
      </c>
      <c r="G3036" t="s">
        <v>21</v>
      </c>
      <c r="H3036" t="str">
        <f>"FNCNE CHRGE 5/19"</f>
        <v>FNCNE CHRGE 5/19</v>
      </c>
      <c r="I3036" t="str">
        <f>"DEASON ANIMAL HOSPITAL"</f>
        <v>DEASON ANIMAL HOSPITAL</v>
      </c>
    </row>
    <row r="3037" spans="1:9" x14ac:dyDescent="0.25">
      <c r="A3037" s="6">
        <v>43600</v>
      </c>
      <c r="B3037" t="s">
        <v>26</v>
      </c>
      <c r="C3037">
        <v>60873</v>
      </c>
      <c r="D3037" t="s">
        <v>58</v>
      </c>
      <c r="E3037" s="7">
        <v>452.43</v>
      </c>
      <c r="F3037" t="s">
        <v>20</v>
      </c>
      <c r="G3037" t="s">
        <v>21</v>
      </c>
      <c r="H3037" t="str">
        <f>"PREV. BAL 5/19"</f>
        <v>PREV. BAL 5/19</v>
      </c>
      <c r="I3037" t="str">
        <f>"DEASON ANIMAL HOSPITAL"</f>
        <v>DEASON ANIMAL HOSPITAL</v>
      </c>
    </row>
    <row r="3038" spans="1:9" x14ac:dyDescent="0.25">
      <c r="A3038" s="6">
        <v>43600</v>
      </c>
      <c r="B3038" t="s">
        <v>26</v>
      </c>
      <c r="C3038">
        <v>60874</v>
      </c>
      <c r="D3038" t="s">
        <v>104</v>
      </c>
      <c r="E3038" s="7">
        <v>1306.02</v>
      </c>
      <c r="F3038" t="s">
        <v>20</v>
      </c>
      <c r="G3038" t="s">
        <v>21</v>
      </c>
      <c r="H3038" t="str">
        <f>"1373280410"</f>
        <v>1373280410</v>
      </c>
      <c r="I3038" t="str">
        <f>"WILSON COUNTY NEWS"</f>
        <v>WILSON COUNTY NEWS</v>
      </c>
    </row>
    <row r="3039" spans="1:9" x14ac:dyDescent="0.25">
      <c r="A3039" s="6">
        <v>43600</v>
      </c>
      <c r="B3039" t="s">
        <v>26</v>
      </c>
      <c r="C3039">
        <v>60874</v>
      </c>
      <c r="D3039" t="s">
        <v>104</v>
      </c>
      <c r="E3039" s="7">
        <v>1306.02</v>
      </c>
      <c r="F3039" t="s">
        <v>20</v>
      </c>
      <c r="G3039" t="s">
        <v>21</v>
      </c>
      <c r="H3039" t="str">
        <f>"1373280417"</f>
        <v>1373280417</v>
      </c>
      <c r="I3039" t="str">
        <f>"WILSON COUNTY NEWS"</f>
        <v>WILSON COUNTY NEWS</v>
      </c>
    </row>
    <row r="3040" spans="1:9" x14ac:dyDescent="0.25">
      <c r="A3040" s="6">
        <v>43600</v>
      </c>
      <c r="B3040" t="s">
        <v>26</v>
      </c>
      <c r="C3040">
        <v>60874</v>
      </c>
      <c r="D3040" t="s">
        <v>104</v>
      </c>
      <c r="E3040" s="7">
        <v>1306.02</v>
      </c>
      <c r="F3040" t="s">
        <v>20</v>
      </c>
      <c r="G3040" t="s">
        <v>21</v>
      </c>
      <c r="H3040" t="str">
        <f>"5026985747"</f>
        <v>5026985747</v>
      </c>
      <c r="I3040" t="str">
        <f>"WILSON COUNTY NEWS"</f>
        <v>WILSON COUNTY NEWS</v>
      </c>
    </row>
    <row r="3041" spans="1:9" x14ac:dyDescent="0.25">
      <c r="A3041" s="6">
        <v>43600</v>
      </c>
      <c r="B3041" t="s">
        <v>26</v>
      </c>
      <c r="C3041">
        <v>60875</v>
      </c>
      <c r="D3041" t="s">
        <v>59</v>
      </c>
      <c r="E3041" s="7">
        <v>4907.41</v>
      </c>
      <c r="F3041" t="s">
        <v>20</v>
      </c>
      <c r="G3041" t="s">
        <v>21</v>
      </c>
      <c r="H3041" t="str">
        <f>"1012732"</f>
        <v>1012732</v>
      </c>
      <c r="I3041" t="str">
        <f>"LIGHT"</f>
        <v>LIGHT</v>
      </c>
    </row>
    <row r="3042" spans="1:9" x14ac:dyDescent="0.25">
      <c r="A3042" s="6">
        <v>43600</v>
      </c>
      <c r="B3042" t="s">
        <v>26</v>
      </c>
      <c r="C3042">
        <v>60875</v>
      </c>
      <c r="D3042" t="s">
        <v>59</v>
      </c>
      <c r="E3042" s="7">
        <v>4907.41</v>
      </c>
      <c r="F3042" t="s">
        <v>20</v>
      </c>
      <c r="G3042" t="s">
        <v>21</v>
      </c>
      <c r="H3042" t="str">
        <f>"1012733-1"</f>
        <v>1012733-1</v>
      </c>
      <c r="I3042" t="str">
        <f>"PIPES/GASKETS/VALVES"</f>
        <v>PIPES/GASKETS/VALVES</v>
      </c>
    </row>
    <row r="3043" spans="1:9" x14ac:dyDescent="0.25">
      <c r="A3043" s="6">
        <v>43600</v>
      </c>
      <c r="B3043" t="s">
        <v>26</v>
      </c>
      <c r="C3043">
        <v>60875</v>
      </c>
      <c r="D3043" t="s">
        <v>59</v>
      </c>
      <c r="E3043" s="7">
        <v>4907.41</v>
      </c>
      <c r="F3043" t="s">
        <v>20</v>
      </c>
      <c r="G3043" t="s">
        <v>21</v>
      </c>
      <c r="H3043" t="str">
        <f>"1014029"</f>
        <v>1014029</v>
      </c>
      <c r="I3043" t="str">
        <f>"BOOTS"</f>
        <v>BOOTS</v>
      </c>
    </row>
    <row r="3044" spans="1:9" x14ac:dyDescent="0.25">
      <c r="A3044" s="6">
        <v>43600</v>
      </c>
      <c r="B3044" t="s">
        <v>26</v>
      </c>
      <c r="C3044">
        <v>60875</v>
      </c>
      <c r="D3044" t="s">
        <v>59</v>
      </c>
      <c r="E3044" s="7">
        <v>4907.41</v>
      </c>
      <c r="F3044" t="s">
        <v>20</v>
      </c>
      <c r="G3044" t="s">
        <v>21</v>
      </c>
      <c r="H3044" t="str">
        <f>"1014381"</f>
        <v>1014381</v>
      </c>
      <c r="I3044" t="str">
        <f>"MANHOLE RING &amp; COVER"</f>
        <v>MANHOLE RING &amp; COVER</v>
      </c>
    </row>
    <row r="3045" spans="1:9" x14ac:dyDescent="0.25">
      <c r="A3045" s="6">
        <v>43600</v>
      </c>
      <c r="B3045" t="s">
        <v>26</v>
      </c>
      <c r="C3045">
        <v>60875</v>
      </c>
      <c r="D3045" t="s">
        <v>59</v>
      </c>
      <c r="E3045" s="7">
        <v>4907.41</v>
      </c>
      <c r="F3045" t="s">
        <v>20</v>
      </c>
      <c r="G3045" t="s">
        <v>21</v>
      </c>
      <c r="H3045" t="str">
        <f>"1014753"</f>
        <v>1014753</v>
      </c>
      <c r="I3045" t="str">
        <f>"PARKING LOT SUPPLIES"</f>
        <v>PARKING LOT SUPPLIES</v>
      </c>
    </row>
    <row r="3046" spans="1:9" x14ac:dyDescent="0.25">
      <c r="A3046" s="6">
        <v>43600</v>
      </c>
      <c r="B3046" t="s">
        <v>26</v>
      </c>
      <c r="C3046">
        <v>60877</v>
      </c>
      <c r="D3046" t="s">
        <v>105</v>
      </c>
      <c r="E3046" s="7">
        <v>21</v>
      </c>
      <c r="F3046" t="s">
        <v>20</v>
      </c>
      <c r="G3046" t="s">
        <v>21</v>
      </c>
      <c r="H3046" t="str">
        <f>"321887"</f>
        <v>321887</v>
      </c>
      <c r="I3046" t="str">
        <f>"INSPECTION STICKERS"</f>
        <v>INSPECTION STICKERS</v>
      </c>
    </row>
    <row r="3047" spans="1:9" x14ac:dyDescent="0.25">
      <c r="A3047" s="6">
        <v>43600</v>
      </c>
      <c r="B3047" t="s">
        <v>26</v>
      </c>
      <c r="C3047">
        <v>60877</v>
      </c>
      <c r="D3047" t="s">
        <v>105</v>
      </c>
      <c r="E3047" s="7">
        <v>21</v>
      </c>
      <c r="F3047" t="s">
        <v>20</v>
      </c>
      <c r="G3047" t="s">
        <v>21</v>
      </c>
      <c r="H3047" t="str">
        <f>"321927"</f>
        <v>321927</v>
      </c>
      <c r="I3047" t="str">
        <f>"INSPECTION STICKERS"</f>
        <v>INSPECTION STICKERS</v>
      </c>
    </row>
    <row r="3048" spans="1:9" x14ac:dyDescent="0.25">
      <c r="A3048" s="6">
        <v>43600</v>
      </c>
      <c r="B3048" t="s">
        <v>26</v>
      </c>
      <c r="C3048">
        <v>60877</v>
      </c>
      <c r="D3048" t="s">
        <v>105</v>
      </c>
      <c r="E3048" s="7">
        <v>21</v>
      </c>
      <c r="F3048" t="s">
        <v>20</v>
      </c>
      <c r="G3048" t="s">
        <v>21</v>
      </c>
      <c r="H3048" t="str">
        <f>"321928"</f>
        <v>321928</v>
      </c>
      <c r="I3048" t="str">
        <f>"INSPECTION STICKERS"</f>
        <v>INSPECTION STICKERS</v>
      </c>
    </row>
    <row r="3049" spans="1:9" x14ac:dyDescent="0.25">
      <c r="A3049" s="6">
        <v>43600</v>
      </c>
      <c r="B3049" t="s">
        <v>26</v>
      </c>
      <c r="C3049">
        <v>60878</v>
      </c>
      <c r="D3049" t="s">
        <v>250</v>
      </c>
      <c r="E3049" s="7">
        <v>176.04</v>
      </c>
      <c r="F3049" t="s">
        <v>20</v>
      </c>
      <c r="G3049" t="s">
        <v>21</v>
      </c>
      <c r="H3049" t="str">
        <f>"C124359"</f>
        <v>C124359</v>
      </c>
      <c r="I3049" t="str">
        <f>"MATERA PAPER CO  LTD."</f>
        <v>MATERA PAPER CO  LTD.</v>
      </c>
    </row>
    <row r="3050" spans="1:9" x14ac:dyDescent="0.25">
      <c r="A3050" s="6">
        <v>43600</v>
      </c>
      <c r="B3050" t="s">
        <v>26</v>
      </c>
      <c r="C3050">
        <v>60879</v>
      </c>
      <c r="D3050" t="s">
        <v>273</v>
      </c>
      <c r="E3050" s="7">
        <v>2764.54</v>
      </c>
      <c r="F3050" t="s">
        <v>20</v>
      </c>
      <c r="G3050" t="s">
        <v>21</v>
      </c>
      <c r="H3050" t="str">
        <f>"5119-000088314"</f>
        <v>5119-000088314</v>
      </c>
      <c r="I3050" t="str">
        <f>"REPUBLIC SERVICES TESSMAN ROAD"</f>
        <v>REPUBLIC SERVICES TESSMAN ROAD</v>
      </c>
    </row>
    <row r="3051" spans="1:9" x14ac:dyDescent="0.25">
      <c r="A3051" s="6">
        <v>43600</v>
      </c>
      <c r="B3051" t="s">
        <v>26</v>
      </c>
      <c r="C3051">
        <v>60880</v>
      </c>
      <c r="D3051" t="s">
        <v>180</v>
      </c>
      <c r="E3051" s="7">
        <v>325.19</v>
      </c>
      <c r="F3051" t="s">
        <v>20</v>
      </c>
      <c r="G3051" t="s">
        <v>21</v>
      </c>
      <c r="H3051" t="str">
        <f>"30133344"</f>
        <v>30133344</v>
      </c>
      <c r="I3051" t="str">
        <f>"PAINT"</f>
        <v>PAINT</v>
      </c>
    </row>
    <row r="3052" spans="1:9" x14ac:dyDescent="0.25">
      <c r="A3052" s="6">
        <v>43600</v>
      </c>
      <c r="B3052" t="s">
        <v>26</v>
      </c>
      <c r="C3052">
        <v>60880</v>
      </c>
      <c r="D3052" t="s">
        <v>180</v>
      </c>
      <c r="E3052" s="7">
        <v>325.19</v>
      </c>
      <c r="F3052" t="s">
        <v>20</v>
      </c>
      <c r="G3052" t="s">
        <v>21</v>
      </c>
      <c r="H3052" t="str">
        <f>"30133367"</f>
        <v>30133367</v>
      </c>
      <c r="I3052" t="str">
        <f>"DITTMAR LUMBER CO."</f>
        <v>DITTMAR LUMBER CO.</v>
      </c>
    </row>
    <row r="3053" spans="1:9" x14ac:dyDescent="0.25">
      <c r="A3053" s="6">
        <v>43600</v>
      </c>
      <c r="B3053" t="s">
        <v>26</v>
      </c>
      <c r="C3053">
        <v>60880</v>
      </c>
      <c r="D3053" t="s">
        <v>180</v>
      </c>
      <c r="E3053" s="7">
        <v>325.19</v>
      </c>
      <c r="F3053" t="s">
        <v>20</v>
      </c>
      <c r="G3053" t="s">
        <v>21</v>
      </c>
      <c r="H3053" t="str">
        <f>"30133480"</f>
        <v>30133480</v>
      </c>
      <c r="I3053" t="str">
        <f>"DITTMAR LUMBER CO."</f>
        <v>DITTMAR LUMBER CO.</v>
      </c>
    </row>
    <row r="3054" spans="1:9" x14ac:dyDescent="0.25">
      <c r="A3054" s="6">
        <v>43600</v>
      </c>
      <c r="B3054" t="s">
        <v>26</v>
      </c>
      <c r="C3054">
        <v>60880</v>
      </c>
      <c r="D3054" t="s">
        <v>180</v>
      </c>
      <c r="E3054" s="7">
        <v>325.19</v>
      </c>
      <c r="F3054" t="s">
        <v>20</v>
      </c>
      <c r="G3054" t="s">
        <v>21</v>
      </c>
      <c r="H3054" t="str">
        <f>"30133911"</f>
        <v>30133911</v>
      </c>
      <c r="I3054" t="str">
        <f>"LIGHT BULBS"</f>
        <v>LIGHT BULBS</v>
      </c>
    </row>
    <row r="3055" spans="1:9" x14ac:dyDescent="0.25">
      <c r="A3055" s="6">
        <v>43600</v>
      </c>
      <c r="B3055" t="s">
        <v>26</v>
      </c>
      <c r="C3055">
        <v>60881</v>
      </c>
      <c r="D3055" t="s">
        <v>110</v>
      </c>
      <c r="E3055" s="7">
        <v>3060.62</v>
      </c>
      <c r="F3055" t="s">
        <v>20</v>
      </c>
      <c r="G3055" t="s">
        <v>21</v>
      </c>
      <c r="H3055" t="str">
        <f>"1466658"</f>
        <v>1466658</v>
      </c>
      <c r="I3055" t="str">
        <f t="shared" ref="I3055:I3063" si="55">"BUREAU VERITAS NORTH AMERICA"</f>
        <v>BUREAU VERITAS NORTH AMERICA</v>
      </c>
    </row>
    <row r="3056" spans="1:9" x14ac:dyDescent="0.25">
      <c r="A3056" s="6">
        <v>43600</v>
      </c>
      <c r="B3056" t="s">
        <v>26</v>
      </c>
      <c r="C3056">
        <v>60881</v>
      </c>
      <c r="D3056" t="s">
        <v>110</v>
      </c>
      <c r="E3056" s="7">
        <v>3060.62</v>
      </c>
      <c r="F3056" t="s">
        <v>20</v>
      </c>
      <c r="G3056" t="s">
        <v>21</v>
      </c>
      <c r="H3056" t="str">
        <f>"1466659"</f>
        <v>1466659</v>
      </c>
      <c r="I3056" t="str">
        <f t="shared" si="55"/>
        <v>BUREAU VERITAS NORTH AMERICA</v>
      </c>
    </row>
    <row r="3057" spans="1:9" x14ac:dyDescent="0.25">
      <c r="A3057" s="6">
        <v>43600</v>
      </c>
      <c r="B3057" t="s">
        <v>26</v>
      </c>
      <c r="C3057">
        <v>60881</v>
      </c>
      <c r="D3057" t="s">
        <v>110</v>
      </c>
      <c r="E3057" s="7">
        <v>3060.62</v>
      </c>
      <c r="F3057" t="s">
        <v>20</v>
      </c>
      <c r="G3057" t="s">
        <v>21</v>
      </c>
      <c r="H3057" t="str">
        <f>"1466660"</f>
        <v>1466660</v>
      </c>
      <c r="I3057" t="str">
        <f t="shared" si="55"/>
        <v>BUREAU VERITAS NORTH AMERICA</v>
      </c>
    </row>
    <row r="3058" spans="1:9" x14ac:dyDescent="0.25">
      <c r="A3058" s="6">
        <v>43600</v>
      </c>
      <c r="B3058" t="s">
        <v>26</v>
      </c>
      <c r="C3058">
        <v>60881</v>
      </c>
      <c r="D3058" t="s">
        <v>110</v>
      </c>
      <c r="E3058" s="7">
        <v>3060.62</v>
      </c>
      <c r="F3058" t="s">
        <v>20</v>
      </c>
      <c r="G3058" t="s">
        <v>21</v>
      </c>
      <c r="H3058" t="str">
        <f>"1466661"</f>
        <v>1466661</v>
      </c>
      <c r="I3058" t="str">
        <f t="shared" si="55"/>
        <v>BUREAU VERITAS NORTH AMERICA</v>
      </c>
    </row>
    <row r="3059" spans="1:9" x14ac:dyDescent="0.25">
      <c r="A3059" s="6">
        <v>43600</v>
      </c>
      <c r="B3059" t="s">
        <v>26</v>
      </c>
      <c r="C3059">
        <v>60881</v>
      </c>
      <c r="D3059" t="s">
        <v>110</v>
      </c>
      <c r="E3059" s="7">
        <v>3060.62</v>
      </c>
      <c r="F3059" t="s">
        <v>20</v>
      </c>
      <c r="G3059" t="s">
        <v>21</v>
      </c>
      <c r="H3059" t="str">
        <f>"1466662"</f>
        <v>1466662</v>
      </c>
      <c r="I3059" t="str">
        <f t="shared" si="55"/>
        <v>BUREAU VERITAS NORTH AMERICA</v>
      </c>
    </row>
    <row r="3060" spans="1:9" x14ac:dyDescent="0.25">
      <c r="A3060" s="6">
        <v>43600</v>
      </c>
      <c r="B3060" t="s">
        <v>26</v>
      </c>
      <c r="C3060">
        <v>60881</v>
      </c>
      <c r="D3060" t="s">
        <v>110</v>
      </c>
      <c r="E3060" s="7">
        <v>3060.62</v>
      </c>
      <c r="F3060" t="s">
        <v>20</v>
      </c>
      <c r="G3060" t="s">
        <v>21</v>
      </c>
      <c r="H3060" t="str">
        <f>"1466663"</f>
        <v>1466663</v>
      </c>
      <c r="I3060" t="str">
        <f t="shared" si="55"/>
        <v>BUREAU VERITAS NORTH AMERICA</v>
      </c>
    </row>
    <row r="3061" spans="1:9" x14ac:dyDescent="0.25">
      <c r="A3061" s="6">
        <v>43600</v>
      </c>
      <c r="B3061" t="s">
        <v>26</v>
      </c>
      <c r="C3061">
        <v>60881</v>
      </c>
      <c r="D3061" t="s">
        <v>110</v>
      </c>
      <c r="E3061" s="7">
        <v>3060.62</v>
      </c>
      <c r="F3061" t="s">
        <v>20</v>
      </c>
      <c r="G3061" t="s">
        <v>21</v>
      </c>
      <c r="H3061" t="str">
        <f>"1466664"</f>
        <v>1466664</v>
      </c>
      <c r="I3061" t="str">
        <f t="shared" si="55"/>
        <v>BUREAU VERITAS NORTH AMERICA</v>
      </c>
    </row>
    <row r="3062" spans="1:9" x14ac:dyDescent="0.25">
      <c r="A3062" s="6">
        <v>43600</v>
      </c>
      <c r="B3062" t="s">
        <v>26</v>
      </c>
      <c r="C3062">
        <v>60881</v>
      </c>
      <c r="D3062" t="s">
        <v>110</v>
      </c>
      <c r="E3062" s="7">
        <v>3060.62</v>
      </c>
      <c r="F3062" t="s">
        <v>20</v>
      </c>
      <c r="G3062" t="s">
        <v>21</v>
      </c>
      <c r="H3062" t="str">
        <f>"1466665"</f>
        <v>1466665</v>
      </c>
      <c r="I3062" t="str">
        <f t="shared" si="55"/>
        <v>BUREAU VERITAS NORTH AMERICA</v>
      </c>
    </row>
    <row r="3063" spans="1:9" x14ac:dyDescent="0.25">
      <c r="A3063" s="6">
        <v>43600</v>
      </c>
      <c r="B3063" t="s">
        <v>26</v>
      </c>
      <c r="C3063">
        <v>60881</v>
      </c>
      <c r="D3063" t="s">
        <v>110</v>
      </c>
      <c r="E3063" s="7">
        <v>3060.62</v>
      </c>
      <c r="F3063" t="s">
        <v>20</v>
      </c>
      <c r="G3063" t="s">
        <v>21</v>
      </c>
      <c r="H3063" t="str">
        <f>"1466666"</f>
        <v>1466666</v>
      </c>
      <c r="I3063" t="str">
        <f t="shared" si="55"/>
        <v>BUREAU VERITAS NORTH AMERICA</v>
      </c>
    </row>
    <row r="3064" spans="1:9" x14ac:dyDescent="0.25">
      <c r="A3064" s="6">
        <v>43600</v>
      </c>
      <c r="B3064" t="s">
        <v>26</v>
      </c>
      <c r="C3064">
        <v>60883</v>
      </c>
      <c r="D3064" t="s">
        <v>61</v>
      </c>
      <c r="E3064" s="7">
        <v>2200</v>
      </c>
      <c r="F3064" t="s">
        <v>20</v>
      </c>
      <c r="G3064" t="s">
        <v>21</v>
      </c>
      <c r="H3064" t="str">
        <f>"025-255721"</f>
        <v>025-255721</v>
      </c>
      <c r="I3064" t="str">
        <f>"TYLER TECHNOLOGIES  INC."</f>
        <v>TYLER TECHNOLOGIES  INC.</v>
      </c>
    </row>
    <row r="3065" spans="1:9" x14ac:dyDescent="0.25">
      <c r="A3065" s="6">
        <v>43600</v>
      </c>
      <c r="B3065" t="s">
        <v>26</v>
      </c>
      <c r="C3065">
        <v>60884</v>
      </c>
      <c r="D3065" t="s">
        <v>62</v>
      </c>
      <c r="E3065" s="7">
        <v>210</v>
      </c>
      <c r="F3065" t="s">
        <v>20</v>
      </c>
      <c r="G3065" t="s">
        <v>21</v>
      </c>
      <c r="H3065" t="str">
        <f>"63575"</f>
        <v>63575</v>
      </c>
      <c r="I3065" t="str">
        <f>"PROFICIENT BENEFIT SOLUTIONS"</f>
        <v>PROFICIENT BENEFIT SOLUTIONS</v>
      </c>
    </row>
    <row r="3066" spans="1:9" x14ac:dyDescent="0.25">
      <c r="A3066" s="6">
        <v>43600</v>
      </c>
      <c r="B3066" t="s">
        <v>26</v>
      </c>
      <c r="C3066">
        <v>60885</v>
      </c>
      <c r="D3066" t="s">
        <v>115</v>
      </c>
      <c r="E3066" s="7">
        <v>192.65</v>
      </c>
      <c r="F3066" t="s">
        <v>20</v>
      </c>
      <c r="G3066" t="s">
        <v>21</v>
      </c>
      <c r="H3066" t="str">
        <f>"3547415120"</f>
        <v>3547415120</v>
      </c>
      <c r="I3066" t="str">
        <f>"CAR REPAIR ITEMS"</f>
        <v>CAR REPAIR ITEMS</v>
      </c>
    </row>
    <row r="3067" spans="1:9" x14ac:dyDescent="0.25">
      <c r="A3067" s="6">
        <v>43600</v>
      </c>
      <c r="B3067" t="s">
        <v>26</v>
      </c>
      <c r="C3067">
        <v>60886</v>
      </c>
      <c r="D3067" t="s">
        <v>64</v>
      </c>
      <c r="E3067" s="7">
        <v>2664</v>
      </c>
      <c r="F3067" t="s">
        <v>20</v>
      </c>
      <c r="G3067" t="s">
        <v>21</v>
      </c>
      <c r="H3067" t="str">
        <f>"7820"</f>
        <v>7820</v>
      </c>
      <c r="I3067" t="str">
        <f>"DREWA DESIGNS  INC."</f>
        <v>DREWA DESIGNS  INC.</v>
      </c>
    </row>
    <row r="3068" spans="1:9" x14ac:dyDescent="0.25">
      <c r="A3068" s="6">
        <v>43600</v>
      </c>
      <c r="B3068" t="s">
        <v>26</v>
      </c>
      <c r="C3068">
        <v>60887</v>
      </c>
      <c r="D3068" t="s">
        <v>66</v>
      </c>
      <c r="E3068" s="7">
        <v>47.5</v>
      </c>
      <c r="F3068" t="s">
        <v>20</v>
      </c>
      <c r="G3068" t="s">
        <v>21</v>
      </c>
      <c r="H3068" t="str">
        <f>"55120"</f>
        <v>55120</v>
      </c>
      <c r="I3068" t="str">
        <f>"LOPEZ EXTERMINATING SERVICE  I"</f>
        <v>LOPEZ EXTERMINATING SERVICE  I</v>
      </c>
    </row>
    <row r="3069" spans="1:9" x14ac:dyDescent="0.25">
      <c r="A3069" s="6">
        <v>43600</v>
      </c>
      <c r="B3069" t="s">
        <v>26</v>
      </c>
      <c r="C3069">
        <v>60888</v>
      </c>
      <c r="D3069" t="s">
        <v>69</v>
      </c>
      <c r="E3069" s="7">
        <v>98.36</v>
      </c>
      <c r="F3069" t="s">
        <v>20</v>
      </c>
      <c r="G3069" t="s">
        <v>21</v>
      </c>
      <c r="H3069" t="str">
        <f>"3398128"</f>
        <v>3398128</v>
      </c>
      <c r="I3069" t="str">
        <f>"BELT/AIR FILTERS"</f>
        <v>BELT/AIR FILTERS</v>
      </c>
    </row>
    <row r="3070" spans="1:9" x14ac:dyDescent="0.25">
      <c r="A3070" s="6">
        <v>43600</v>
      </c>
      <c r="B3070" t="s">
        <v>26</v>
      </c>
      <c r="C3070">
        <v>60889</v>
      </c>
      <c r="D3070" t="s">
        <v>281</v>
      </c>
      <c r="E3070" s="7">
        <v>942.4</v>
      </c>
      <c r="F3070" t="s">
        <v>20</v>
      </c>
      <c r="G3070" t="s">
        <v>21</v>
      </c>
      <c r="H3070" t="str">
        <f>"29068"</f>
        <v>29068</v>
      </c>
      <c r="I3070" t="str">
        <f>"VEHICLE REPAIR"</f>
        <v>VEHICLE REPAIR</v>
      </c>
    </row>
    <row r="3071" spans="1:9" x14ac:dyDescent="0.25">
      <c r="A3071" s="6">
        <v>43600</v>
      </c>
      <c r="B3071" t="s">
        <v>26</v>
      </c>
      <c r="C3071">
        <v>60889</v>
      </c>
      <c r="D3071" t="s">
        <v>281</v>
      </c>
      <c r="E3071" s="7">
        <v>942.4</v>
      </c>
      <c r="F3071" t="s">
        <v>20</v>
      </c>
      <c r="G3071" t="s">
        <v>21</v>
      </c>
      <c r="H3071" t="str">
        <f>"29355"</f>
        <v>29355</v>
      </c>
      <c r="I3071" t="str">
        <f>"VEHICLE REPAIR"</f>
        <v>VEHICLE REPAIR</v>
      </c>
    </row>
    <row r="3072" spans="1:9" x14ac:dyDescent="0.25">
      <c r="A3072" s="6">
        <v>43600</v>
      </c>
      <c r="B3072" t="s">
        <v>26</v>
      </c>
      <c r="C3072">
        <v>60890</v>
      </c>
      <c r="D3072" t="s">
        <v>146</v>
      </c>
      <c r="E3072" s="7">
        <v>459</v>
      </c>
      <c r="F3072" t="s">
        <v>20</v>
      </c>
      <c r="G3072" t="s">
        <v>21</v>
      </c>
      <c r="H3072" t="str">
        <f>"964469"</f>
        <v>964469</v>
      </c>
      <c r="I3072" t="str">
        <f>"LARRY SRALLA ELECTRIC"</f>
        <v>LARRY SRALLA ELECTRIC</v>
      </c>
    </row>
    <row r="3073" spans="1:9" x14ac:dyDescent="0.25">
      <c r="A3073" s="6">
        <v>43600</v>
      </c>
      <c r="B3073" t="s">
        <v>26</v>
      </c>
      <c r="C3073">
        <v>60891</v>
      </c>
      <c r="D3073" t="s">
        <v>29</v>
      </c>
      <c r="E3073" s="7">
        <v>3048.75</v>
      </c>
      <c r="F3073" t="s">
        <v>20</v>
      </c>
      <c r="G3073" t="s">
        <v>21</v>
      </c>
      <c r="H3073" t="str">
        <f>"37418"</f>
        <v>37418</v>
      </c>
      <c r="I3073" t="str">
        <f>"M &amp; S ENGINEERING  LLC"</f>
        <v>M &amp; S ENGINEERING  LLC</v>
      </c>
    </row>
    <row r="3074" spans="1:9" x14ac:dyDescent="0.25">
      <c r="A3074" s="6">
        <v>43600</v>
      </c>
      <c r="B3074" t="s">
        <v>26</v>
      </c>
      <c r="C3074">
        <v>60892</v>
      </c>
      <c r="D3074" t="s">
        <v>71</v>
      </c>
      <c r="E3074" s="7">
        <v>5772.36</v>
      </c>
      <c r="F3074" t="s">
        <v>20</v>
      </c>
      <c r="G3074" t="s">
        <v>21</v>
      </c>
      <c r="H3074" t="str">
        <f>"4010310190"</f>
        <v>4010310190</v>
      </c>
      <c r="I3074" t="str">
        <f t="shared" ref="I3074:I3089" si="56">"CINTAS CORPORATION #087"</f>
        <v>CINTAS CORPORATION #087</v>
      </c>
    </row>
    <row r="3075" spans="1:9" x14ac:dyDescent="0.25">
      <c r="A3075" s="6">
        <v>43600</v>
      </c>
      <c r="B3075" t="s">
        <v>26</v>
      </c>
      <c r="C3075">
        <v>60892</v>
      </c>
      <c r="D3075" t="s">
        <v>71</v>
      </c>
      <c r="E3075" s="7">
        <v>5772.36</v>
      </c>
      <c r="F3075" t="s">
        <v>20</v>
      </c>
      <c r="G3075" t="s">
        <v>21</v>
      </c>
      <c r="H3075" t="str">
        <f>"4011745999"</f>
        <v>4011745999</v>
      </c>
      <c r="I3075" t="str">
        <f t="shared" si="56"/>
        <v>CINTAS CORPORATION #087</v>
      </c>
    </row>
    <row r="3076" spans="1:9" x14ac:dyDescent="0.25">
      <c r="A3076" s="6">
        <v>43600</v>
      </c>
      <c r="B3076" t="s">
        <v>26</v>
      </c>
      <c r="C3076">
        <v>60892</v>
      </c>
      <c r="D3076" t="s">
        <v>71</v>
      </c>
      <c r="E3076" s="7">
        <v>5772.36</v>
      </c>
      <c r="F3076" t="s">
        <v>20</v>
      </c>
      <c r="G3076" t="s">
        <v>21</v>
      </c>
      <c r="H3076" t="str">
        <f>"4012056088"</f>
        <v>4012056088</v>
      </c>
      <c r="I3076" t="str">
        <f t="shared" si="56"/>
        <v>CINTAS CORPORATION #087</v>
      </c>
    </row>
    <row r="3077" spans="1:9" x14ac:dyDescent="0.25">
      <c r="A3077" s="6">
        <v>43600</v>
      </c>
      <c r="B3077" t="s">
        <v>26</v>
      </c>
      <c r="C3077">
        <v>60892</v>
      </c>
      <c r="D3077" t="s">
        <v>71</v>
      </c>
      <c r="E3077" s="7">
        <v>5772.36</v>
      </c>
      <c r="F3077" t="s">
        <v>20</v>
      </c>
      <c r="G3077" t="s">
        <v>21</v>
      </c>
      <c r="H3077" t="str">
        <f>"4012368296"</f>
        <v>4012368296</v>
      </c>
      <c r="I3077" t="str">
        <f t="shared" si="56"/>
        <v>CINTAS CORPORATION #087</v>
      </c>
    </row>
    <row r="3078" spans="1:9" x14ac:dyDescent="0.25">
      <c r="A3078" s="6">
        <v>43600</v>
      </c>
      <c r="B3078" t="s">
        <v>26</v>
      </c>
      <c r="C3078">
        <v>60892</v>
      </c>
      <c r="D3078" t="s">
        <v>71</v>
      </c>
      <c r="E3078" s="7">
        <v>5772.36</v>
      </c>
      <c r="F3078" t="s">
        <v>20</v>
      </c>
      <c r="G3078" t="s">
        <v>21</v>
      </c>
      <c r="H3078" t="str">
        <f>"4012676086"</f>
        <v>4012676086</v>
      </c>
      <c r="I3078" t="str">
        <f t="shared" si="56"/>
        <v>CINTAS CORPORATION #087</v>
      </c>
    </row>
    <row r="3079" spans="1:9" x14ac:dyDescent="0.25">
      <c r="A3079" s="6">
        <v>43600</v>
      </c>
      <c r="B3079" t="s">
        <v>26</v>
      </c>
      <c r="C3079">
        <v>60892</v>
      </c>
      <c r="D3079" t="s">
        <v>71</v>
      </c>
      <c r="E3079" s="7">
        <v>5772.36</v>
      </c>
      <c r="F3079" t="s">
        <v>20</v>
      </c>
      <c r="G3079" t="s">
        <v>21</v>
      </c>
      <c r="H3079" t="str">
        <f>"4013625234"</f>
        <v>4013625234</v>
      </c>
      <c r="I3079" t="str">
        <f t="shared" si="56"/>
        <v>CINTAS CORPORATION #087</v>
      </c>
    </row>
    <row r="3080" spans="1:9" x14ac:dyDescent="0.25">
      <c r="A3080" s="6">
        <v>43600</v>
      </c>
      <c r="B3080" t="s">
        <v>26</v>
      </c>
      <c r="C3080">
        <v>60892</v>
      </c>
      <c r="D3080" t="s">
        <v>71</v>
      </c>
      <c r="E3080" s="7">
        <v>5772.36</v>
      </c>
      <c r="F3080" t="s">
        <v>20</v>
      </c>
      <c r="G3080" t="s">
        <v>21</v>
      </c>
      <c r="H3080" t="str">
        <f>"4013956979"</f>
        <v>4013956979</v>
      </c>
      <c r="I3080" t="str">
        <f t="shared" si="56"/>
        <v>CINTAS CORPORATION #087</v>
      </c>
    </row>
    <row r="3081" spans="1:9" x14ac:dyDescent="0.25">
      <c r="A3081" s="6">
        <v>43600</v>
      </c>
      <c r="B3081" t="s">
        <v>26</v>
      </c>
      <c r="C3081">
        <v>60892</v>
      </c>
      <c r="D3081" t="s">
        <v>71</v>
      </c>
      <c r="E3081" s="7">
        <v>5772.36</v>
      </c>
      <c r="F3081" t="s">
        <v>20</v>
      </c>
      <c r="G3081" t="s">
        <v>21</v>
      </c>
      <c r="H3081" t="str">
        <f>"4014292551"</f>
        <v>4014292551</v>
      </c>
      <c r="I3081" t="str">
        <f t="shared" si="56"/>
        <v>CINTAS CORPORATION #087</v>
      </c>
    </row>
    <row r="3082" spans="1:9" x14ac:dyDescent="0.25">
      <c r="A3082" s="6">
        <v>43600</v>
      </c>
      <c r="B3082" t="s">
        <v>26</v>
      </c>
      <c r="C3082">
        <v>60892</v>
      </c>
      <c r="D3082" t="s">
        <v>71</v>
      </c>
      <c r="E3082" s="7">
        <v>5772.36</v>
      </c>
      <c r="F3082" t="s">
        <v>20</v>
      </c>
      <c r="G3082" t="s">
        <v>21</v>
      </c>
      <c r="H3082" t="str">
        <f>"4014931256"</f>
        <v>4014931256</v>
      </c>
      <c r="I3082" t="str">
        <f t="shared" si="56"/>
        <v>CINTAS CORPORATION #087</v>
      </c>
    </row>
    <row r="3083" spans="1:9" x14ac:dyDescent="0.25">
      <c r="A3083" s="6">
        <v>43600</v>
      </c>
      <c r="B3083" t="s">
        <v>26</v>
      </c>
      <c r="C3083">
        <v>60892</v>
      </c>
      <c r="D3083" t="s">
        <v>71</v>
      </c>
      <c r="E3083" s="7">
        <v>5772.36</v>
      </c>
      <c r="F3083" t="s">
        <v>20</v>
      </c>
      <c r="G3083" t="s">
        <v>21</v>
      </c>
      <c r="H3083" t="str">
        <f>"4015629424"</f>
        <v>4015629424</v>
      </c>
      <c r="I3083" t="str">
        <f t="shared" si="56"/>
        <v>CINTAS CORPORATION #087</v>
      </c>
    </row>
    <row r="3084" spans="1:9" x14ac:dyDescent="0.25">
      <c r="A3084" s="6">
        <v>43600</v>
      </c>
      <c r="B3084" t="s">
        <v>26</v>
      </c>
      <c r="C3084">
        <v>60892</v>
      </c>
      <c r="D3084" t="s">
        <v>71</v>
      </c>
      <c r="E3084" s="7">
        <v>5772.36</v>
      </c>
      <c r="F3084" t="s">
        <v>20</v>
      </c>
      <c r="G3084" t="s">
        <v>21</v>
      </c>
      <c r="H3084" t="str">
        <f>"4015998678"</f>
        <v>4015998678</v>
      </c>
      <c r="I3084" t="str">
        <f t="shared" si="56"/>
        <v>CINTAS CORPORATION #087</v>
      </c>
    </row>
    <row r="3085" spans="1:9" x14ac:dyDescent="0.25">
      <c r="A3085" s="6">
        <v>43600</v>
      </c>
      <c r="B3085" t="s">
        <v>26</v>
      </c>
      <c r="C3085">
        <v>60892</v>
      </c>
      <c r="D3085" t="s">
        <v>71</v>
      </c>
      <c r="E3085" s="7">
        <v>5772.36</v>
      </c>
      <c r="F3085" t="s">
        <v>20</v>
      </c>
      <c r="G3085" t="s">
        <v>21</v>
      </c>
      <c r="H3085" t="str">
        <f>"4016362460"</f>
        <v>4016362460</v>
      </c>
      <c r="I3085" t="str">
        <f t="shared" si="56"/>
        <v>CINTAS CORPORATION #087</v>
      </c>
    </row>
    <row r="3086" spans="1:9" x14ac:dyDescent="0.25">
      <c r="A3086" s="6">
        <v>43600</v>
      </c>
      <c r="B3086" t="s">
        <v>26</v>
      </c>
      <c r="C3086">
        <v>60892</v>
      </c>
      <c r="D3086" t="s">
        <v>71</v>
      </c>
      <c r="E3086" s="7">
        <v>5772.36</v>
      </c>
      <c r="F3086" t="s">
        <v>20</v>
      </c>
      <c r="G3086" t="s">
        <v>21</v>
      </c>
      <c r="H3086" t="str">
        <f>"4017109135"</f>
        <v>4017109135</v>
      </c>
      <c r="I3086" t="str">
        <f t="shared" si="56"/>
        <v>CINTAS CORPORATION #087</v>
      </c>
    </row>
    <row r="3087" spans="1:9" x14ac:dyDescent="0.25">
      <c r="A3087" s="6">
        <v>43600</v>
      </c>
      <c r="B3087" t="s">
        <v>26</v>
      </c>
      <c r="C3087">
        <v>60892</v>
      </c>
      <c r="D3087" t="s">
        <v>71</v>
      </c>
      <c r="E3087" s="7">
        <v>5772.36</v>
      </c>
      <c r="F3087" t="s">
        <v>20</v>
      </c>
      <c r="G3087" t="s">
        <v>21</v>
      </c>
      <c r="H3087" t="str">
        <f>"4017927428"</f>
        <v>4017927428</v>
      </c>
      <c r="I3087" t="str">
        <f t="shared" si="56"/>
        <v>CINTAS CORPORATION #087</v>
      </c>
    </row>
    <row r="3088" spans="1:9" x14ac:dyDescent="0.25">
      <c r="A3088" s="6">
        <v>43600</v>
      </c>
      <c r="B3088" t="s">
        <v>26</v>
      </c>
      <c r="C3088">
        <v>60892</v>
      </c>
      <c r="D3088" t="s">
        <v>71</v>
      </c>
      <c r="E3088" s="7">
        <v>5772.36</v>
      </c>
      <c r="F3088" t="s">
        <v>20</v>
      </c>
      <c r="G3088" t="s">
        <v>21</v>
      </c>
      <c r="H3088" t="str">
        <f>"4019535778"</f>
        <v>4019535778</v>
      </c>
      <c r="I3088" t="str">
        <f t="shared" si="56"/>
        <v>CINTAS CORPORATION #087</v>
      </c>
    </row>
    <row r="3089" spans="1:9" x14ac:dyDescent="0.25">
      <c r="A3089" s="6">
        <v>43600</v>
      </c>
      <c r="B3089" t="s">
        <v>26</v>
      </c>
      <c r="C3089">
        <v>60892</v>
      </c>
      <c r="D3089" t="s">
        <v>71</v>
      </c>
      <c r="E3089" s="7">
        <v>5772.36</v>
      </c>
      <c r="F3089" t="s">
        <v>20</v>
      </c>
      <c r="G3089" t="s">
        <v>21</v>
      </c>
      <c r="H3089" t="str">
        <f>"4020367732"</f>
        <v>4020367732</v>
      </c>
      <c r="I3089" t="str">
        <f t="shared" si="56"/>
        <v>CINTAS CORPORATION #087</v>
      </c>
    </row>
    <row r="3090" spans="1:9" x14ac:dyDescent="0.25">
      <c r="A3090" s="6">
        <v>43600</v>
      </c>
      <c r="B3090" t="s">
        <v>26</v>
      </c>
      <c r="C3090">
        <v>60895</v>
      </c>
      <c r="D3090" t="s">
        <v>122</v>
      </c>
      <c r="E3090" s="7">
        <v>195</v>
      </c>
      <c r="F3090" t="s">
        <v>20</v>
      </c>
      <c r="G3090" t="s">
        <v>21</v>
      </c>
      <c r="H3090" t="str">
        <f>"APRIL 2019"</f>
        <v>APRIL 2019</v>
      </c>
      <c r="I3090" t="str">
        <f>"MONTHLY TIRE REPAIRS"</f>
        <v>MONTHLY TIRE REPAIRS</v>
      </c>
    </row>
    <row r="3091" spans="1:9" x14ac:dyDescent="0.25">
      <c r="A3091" s="6">
        <v>43600</v>
      </c>
      <c r="B3091" t="s">
        <v>26</v>
      </c>
      <c r="C3091">
        <v>60896</v>
      </c>
      <c r="D3091" t="s">
        <v>170</v>
      </c>
      <c r="E3091" s="7">
        <v>2866.63</v>
      </c>
      <c r="F3091" t="s">
        <v>20</v>
      </c>
      <c r="G3091" t="s">
        <v>21</v>
      </c>
      <c r="H3091" t="str">
        <f>"0000030707"</f>
        <v>0000030707</v>
      </c>
      <c r="I3091" t="str">
        <f>"BARRETT &amp; SONS  INC."</f>
        <v>BARRETT &amp; SONS  INC.</v>
      </c>
    </row>
    <row r="3092" spans="1:9" x14ac:dyDescent="0.25">
      <c r="A3092" s="6">
        <v>43600</v>
      </c>
      <c r="B3092" t="s">
        <v>26</v>
      </c>
      <c r="C3092">
        <v>60896</v>
      </c>
      <c r="D3092" t="s">
        <v>170</v>
      </c>
      <c r="E3092" s="7">
        <v>2866.63</v>
      </c>
      <c r="F3092" t="s">
        <v>20</v>
      </c>
      <c r="G3092" t="s">
        <v>21</v>
      </c>
      <c r="H3092" t="str">
        <f>"0000030751"</f>
        <v>0000030751</v>
      </c>
      <c r="I3092" t="str">
        <f>"BARRETT &amp; SONS  INC."</f>
        <v>BARRETT &amp; SONS  INC.</v>
      </c>
    </row>
    <row r="3093" spans="1:9" x14ac:dyDescent="0.25">
      <c r="A3093" s="6">
        <v>43600</v>
      </c>
      <c r="B3093" t="s">
        <v>26</v>
      </c>
      <c r="C3093">
        <v>60897</v>
      </c>
      <c r="D3093" t="s">
        <v>123</v>
      </c>
      <c r="E3093" s="7">
        <v>962.6</v>
      </c>
      <c r="F3093" t="s">
        <v>20</v>
      </c>
      <c r="G3093" t="s">
        <v>21</v>
      </c>
      <c r="H3093" t="str">
        <f>"298526003001"</f>
        <v>298526003001</v>
      </c>
      <c r="I3093" t="str">
        <f>"OFFICE DEPOT  INC."</f>
        <v>OFFICE DEPOT  INC.</v>
      </c>
    </row>
    <row r="3094" spans="1:9" x14ac:dyDescent="0.25">
      <c r="A3094" s="6">
        <v>43600</v>
      </c>
      <c r="B3094" t="s">
        <v>26</v>
      </c>
      <c r="C3094">
        <v>60897</v>
      </c>
      <c r="D3094" t="s">
        <v>123</v>
      </c>
      <c r="E3094" s="7">
        <v>962.6</v>
      </c>
      <c r="F3094" t="s">
        <v>20</v>
      </c>
      <c r="G3094" t="s">
        <v>21</v>
      </c>
      <c r="H3094" t="str">
        <f>"298526004001"</f>
        <v>298526004001</v>
      </c>
      <c r="I3094" t="str">
        <f>"OFFICE DEPOT  INC."</f>
        <v>OFFICE DEPOT  INC.</v>
      </c>
    </row>
    <row r="3095" spans="1:9" x14ac:dyDescent="0.25">
      <c r="A3095" s="6">
        <v>43600</v>
      </c>
      <c r="B3095" t="s">
        <v>26</v>
      </c>
      <c r="C3095">
        <v>60897</v>
      </c>
      <c r="D3095" t="s">
        <v>123</v>
      </c>
      <c r="E3095" s="7">
        <v>962.6</v>
      </c>
      <c r="F3095" t="s">
        <v>20</v>
      </c>
      <c r="G3095" t="s">
        <v>21</v>
      </c>
      <c r="H3095" t="str">
        <f>"306589859001"</f>
        <v>306589859001</v>
      </c>
      <c r="I3095" t="str">
        <f>"JANITORIAL SUPPLIES"</f>
        <v>JANITORIAL SUPPLIES</v>
      </c>
    </row>
    <row r="3096" spans="1:9" x14ac:dyDescent="0.25">
      <c r="A3096" s="6">
        <v>43600</v>
      </c>
      <c r="B3096" t="s">
        <v>26</v>
      </c>
      <c r="C3096">
        <v>60897</v>
      </c>
      <c r="D3096" t="s">
        <v>123</v>
      </c>
      <c r="E3096" s="7">
        <v>962.6</v>
      </c>
      <c r="F3096" t="s">
        <v>20</v>
      </c>
      <c r="G3096" t="s">
        <v>21</v>
      </c>
      <c r="H3096" t="str">
        <f>"306592093001"</f>
        <v>306592093001</v>
      </c>
      <c r="I3096" t="str">
        <f>"JANITORIAL SUPPLIES"</f>
        <v>JANITORIAL SUPPLIES</v>
      </c>
    </row>
    <row r="3097" spans="1:9" x14ac:dyDescent="0.25">
      <c r="A3097" s="6">
        <v>43600</v>
      </c>
      <c r="B3097" t="s">
        <v>26</v>
      </c>
      <c r="C3097">
        <v>60897</v>
      </c>
      <c r="D3097" t="s">
        <v>123</v>
      </c>
      <c r="E3097" s="7">
        <v>962.6</v>
      </c>
      <c r="F3097" t="s">
        <v>20</v>
      </c>
      <c r="G3097" t="s">
        <v>21</v>
      </c>
      <c r="H3097" t="str">
        <f>"307454607001"</f>
        <v>307454607001</v>
      </c>
      <c r="I3097" t="str">
        <f>"OFFICE SUPPLIES"</f>
        <v>OFFICE SUPPLIES</v>
      </c>
    </row>
    <row r="3098" spans="1:9" x14ac:dyDescent="0.25">
      <c r="A3098" s="6">
        <v>43600</v>
      </c>
      <c r="B3098" t="s">
        <v>26</v>
      </c>
      <c r="C3098">
        <v>60897</v>
      </c>
      <c r="D3098" t="s">
        <v>123</v>
      </c>
      <c r="E3098" s="7">
        <v>962.6</v>
      </c>
      <c r="F3098" t="s">
        <v>20</v>
      </c>
      <c r="G3098" t="s">
        <v>21</v>
      </c>
      <c r="H3098" t="str">
        <f>"307455380001"</f>
        <v>307455380001</v>
      </c>
      <c r="I3098" t="str">
        <f>"OFFICE SUPPLIES"</f>
        <v>OFFICE SUPPLIES</v>
      </c>
    </row>
    <row r="3099" spans="1:9" x14ac:dyDescent="0.25">
      <c r="A3099" s="6">
        <v>43600</v>
      </c>
      <c r="B3099" t="s">
        <v>26</v>
      </c>
      <c r="C3099">
        <v>60897</v>
      </c>
      <c r="D3099" t="s">
        <v>123</v>
      </c>
      <c r="E3099" s="7">
        <v>962.6</v>
      </c>
      <c r="F3099" t="s">
        <v>20</v>
      </c>
      <c r="G3099" t="s">
        <v>21</v>
      </c>
      <c r="H3099" t="str">
        <f>"307491608001"</f>
        <v>307491608001</v>
      </c>
      <c r="I3099" t="str">
        <f>"OFFICE SUPPLIES"</f>
        <v>OFFICE SUPPLIES</v>
      </c>
    </row>
    <row r="3100" spans="1:9" x14ac:dyDescent="0.25">
      <c r="A3100" s="6">
        <v>43600</v>
      </c>
      <c r="B3100" t="s">
        <v>26</v>
      </c>
      <c r="C3100">
        <v>60897</v>
      </c>
      <c r="D3100" t="s">
        <v>123</v>
      </c>
      <c r="E3100" s="7">
        <v>962.6</v>
      </c>
      <c r="F3100" t="s">
        <v>20</v>
      </c>
      <c r="G3100" t="s">
        <v>21</v>
      </c>
      <c r="H3100" t="str">
        <f>"307491947001"</f>
        <v>307491947001</v>
      </c>
      <c r="I3100" t="str">
        <f>"OFFICE SUPPLIES"</f>
        <v>OFFICE SUPPLIES</v>
      </c>
    </row>
    <row r="3101" spans="1:9" x14ac:dyDescent="0.25">
      <c r="A3101" s="6">
        <v>43600</v>
      </c>
      <c r="B3101" t="s">
        <v>26</v>
      </c>
      <c r="C3101">
        <v>60897</v>
      </c>
      <c r="D3101" t="s">
        <v>123</v>
      </c>
      <c r="E3101" s="7">
        <v>962.6</v>
      </c>
      <c r="F3101" t="s">
        <v>20</v>
      </c>
      <c r="G3101" t="s">
        <v>21</v>
      </c>
      <c r="H3101" t="str">
        <f>"307708830001"</f>
        <v>307708830001</v>
      </c>
      <c r="I3101" t="str">
        <f>"SUPPLIES"</f>
        <v>SUPPLIES</v>
      </c>
    </row>
    <row r="3102" spans="1:9" x14ac:dyDescent="0.25">
      <c r="A3102" s="6">
        <v>43600</v>
      </c>
      <c r="B3102" t="s">
        <v>26</v>
      </c>
      <c r="C3102">
        <v>60897</v>
      </c>
      <c r="D3102" t="s">
        <v>123</v>
      </c>
      <c r="E3102" s="7">
        <v>962.6</v>
      </c>
      <c r="F3102" t="s">
        <v>20</v>
      </c>
      <c r="G3102" t="s">
        <v>21</v>
      </c>
      <c r="H3102" t="str">
        <f>"307709311001"</f>
        <v>307709311001</v>
      </c>
      <c r="I3102" t="str">
        <f>"SUPPLIES"</f>
        <v>SUPPLIES</v>
      </c>
    </row>
    <row r="3103" spans="1:9" x14ac:dyDescent="0.25">
      <c r="A3103" s="6">
        <v>43600</v>
      </c>
      <c r="B3103" t="s">
        <v>26</v>
      </c>
      <c r="C3103">
        <v>60897</v>
      </c>
      <c r="D3103" t="s">
        <v>123</v>
      </c>
      <c r="E3103" s="7">
        <v>962.6</v>
      </c>
      <c r="F3103" t="s">
        <v>20</v>
      </c>
      <c r="G3103" t="s">
        <v>21</v>
      </c>
      <c r="H3103" t="str">
        <f>"308729781001"</f>
        <v>308729781001</v>
      </c>
      <c r="I3103" t="str">
        <f>"OFFICE SUPPLIES"</f>
        <v>OFFICE SUPPLIES</v>
      </c>
    </row>
    <row r="3104" spans="1:9" x14ac:dyDescent="0.25">
      <c r="A3104" s="6">
        <v>43600</v>
      </c>
      <c r="B3104" t="s">
        <v>26</v>
      </c>
      <c r="C3104">
        <v>60897</v>
      </c>
      <c r="D3104" t="s">
        <v>123</v>
      </c>
      <c r="E3104" s="7">
        <v>962.6</v>
      </c>
      <c r="F3104" t="s">
        <v>20</v>
      </c>
      <c r="G3104" t="s">
        <v>21</v>
      </c>
      <c r="H3104" t="str">
        <f>"308730079001"</f>
        <v>308730079001</v>
      </c>
      <c r="I3104" t="str">
        <f>"OFFICE SUPPLIES"</f>
        <v>OFFICE SUPPLIES</v>
      </c>
    </row>
    <row r="3105" spans="1:9" x14ac:dyDescent="0.25">
      <c r="A3105" s="6">
        <v>43600</v>
      </c>
      <c r="B3105" t="s">
        <v>26</v>
      </c>
      <c r="C3105">
        <v>60897</v>
      </c>
      <c r="D3105" t="s">
        <v>123</v>
      </c>
      <c r="E3105" s="7">
        <v>962.6</v>
      </c>
      <c r="F3105" t="s">
        <v>20</v>
      </c>
      <c r="G3105" t="s">
        <v>21</v>
      </c>
      <c r="H3105" t="str">
        <f>"308730080001"</f>
        <v>308730080001</v>
      </c>
      <c r="I3105" t="str">
        <f>"OFFICE SUPPLIES"</f>
        <v>OFFICE SUPPLIES</v>
      </c>
    </row>
    <row r="3106" spans="1:9" x14ac:dyDescent="0.25">
      <c r="A3106" s="6">
        <v>43600</v>
      </c>
      <c r="B3106" t="s">
        <v>26</v>
      </c>
      <c r="C3106">
        <v>60897</v>
      </c>
      <c r="D3106" t="s">
        <v>123</v>
      </c>
      <c r="E3106" s="7">
        <v>962.6</v>
      </c>
      <c r="F3106" t="s">
        <v>20</v>
      </c>
      <c r="G3106" t="s">
        <v>21</v>
      </c>
      <c r="H3106" t="str">
        <f>"308932161001"</f>
        <v>308932161001</v>
      </c>
      <c r="I3106" t="str">
        <f>"CLEANING SUPPLIES"</f>
        <v>CLEANING SUPPLIES</v>
      </c>
    </row>
    <row r="3107" spans="1:9" x14ac:dyDescent="0.25">
      <c r="A3107" s="6">
        <v>43600</v>
      </c>
      <c r="B3107" t="s">
        <v>26</v>
      </c>
      <c r="C3107">
        <v>60897</v>
      </c>
      <c r="D3107" t="s">
        <v>123</v>
      </c>
      <c r="E3107" s="7">
        <v>962.6</v>
      </c>
      <c r="F3107" t="s">
        <v>20</v>
      </c>
      <c r="G3107" t="s">
        <v>21</v>
      </c>
      <c r="H3107" t="str">
        <f>"309702493001"</f>
        <v>309702493001</v>
      </c>
      <c r="I3107" t="str">
        <f>"OFFICE SUPPLIES"</f>
        <v>OFFICE SUPPLIES</v>
      </c>
    </row>
    <row r="3108" spans="1:9" x14ac:dyDescent="0.25">
      <c r="A3108" s="6">
        <v>43600</v>
      </c>
      <c r="B3108" t="s">
        <v>26</v>
      </c>
      <c r="C3108">
        <v>60897</v>
      </c>
      <c r="D3108" t="s">
        <v>123</v>
      </c>
      <c r="E3108" s="7">
        <v>962.6</v>
      </c>
      <c r="F3108" t="s">
        <v>20</v>
      </c>
      <c r="G3108" t="s">
        <v>21</v>
      </c>
      <c r="H3108" t="str">
        <f>"310107202001"</f>
        <v>310107202001</v>
      </c>
      <c r="I3108" t="str">
        <f>"OFFICE SUPPLIES"</f>
        <v>OFFICE SUPPLIES</v>
      </c>
    </row>
    <row r="3109" spans="1:9" x14ac:dyDescent="0.25">
      <c r="A3109" s="6">
        <v>43600</v>
      </c>
      <c r="B3109" t="s">
        <v>26</v>
      </c>
      <c r="C3109">
        <v>60901</v>
      </c>
      <c r="D3109" t="s">
        <v>76</v>
      </c>
      <c r="E3109" s="7">
        <v>2393.2199999999998</v>
      </c>
      <c r="F3109" t="s">
        <v>20</v>
      </c>
      <c r="G3109" t="s">
        <v>21</v>
      </c>
      <c r="H3109" t="str">
        <f>"1039 3RD QRT 2019"</f>
        <v>1039 3RD QRT 2019</v>
      </c>
      <c r="I3109" t="str">
        <f>"WILSON COUNTY TAX COLLECTOR"</f>
        <v>WILSON COUNTY TAX COLLECTOR</v>
      </c>
    </row>
    <row r="3110" spans="1:9" x14ac:dyDescent="0.25">
      <c r="A3110" s="6">
        <v>43600</v>
      </c>
      <c r="B3110" t="s">
        <v>26</v>
      </c>
      <c r="C3110">
        <v>60902</v>
      </c>
      <c r="D3110" t="s">
        <v>124</v>
      </c>
      <c r="E3110" s="7">
        <v>392.31</v>
      </c>
      <c r="F3110" t="s">
        <v>20</v>
      </c>
      <c r="G3110" t="s">
        <v>21</v>
      </c>
      <c r="H3110" t="str">
        <f>"11172665"</f>
        <v>11172665</v>
      </c>
      <c r="I3110" t="str">
        <f>"LIME/CONCRETE"</f>
        <v>LIME/CONCRETE</v>
      </c>
    </row>
    <row r="3111" spans="1:9" x14ac:dyDescent="0.25">
      <c r="A3111" s="6">
        <v>43600</v>
      </c>
      <c r="B3111" t="s">
        <v>26</v>
      </c>
      <c r="C3111">
        <v>60902</v>
      </c>
      <c r="D3111" t="s">
        <v>124</v>
      </c>
      <c r="E3111" s="7">
        <v>392.31</v>
      </c>
      <c r="F3111" t="s">
        <v>20</v>
      </c>
      <c r="G3111" t="s">
        <v>21</v>
      </c>
      <c r="H3111" t="str">
        <f>"11172832"</f>
        <v>11172832</v>
      </c>
      <c r="I3111" t="str">
        <f>"PARKING LOT SUPPLIES"</f>
        <v>PARKING LOT SUPPLIES</v>
      </c>
    </row>
    <row r="3112" spans="1:9" x14ac:dyDescent="0.25">
      <c r="A3112" s="6">
        <v>43600</v>
      </c>
      <c r="B3112" t="s">
        <v>26</v>
      </c>
      <c r="C3112">
        <v>60902</v>
      </c>
      <c r="D3112" t="s">
        <v>124</v>
      </c>
      <c r="E3112" s="7">
        <v>392.31</v>
      </c>
      <c r="F3112" t="s">
        <v>20</v>
      </c>
      <c r="G3112" t="s">
        <v>21</v>
      </c>
      <c r="H3112" t="str">
        <f>"11172847"</f>
        <v>11172847</v>
      </c>
      <c r="I3112" t="str">
        <f>"WELDED HARDWARE CLOTH"</f>
        <v>WELDED HARDWARE CLOTH</v>
      </c>
    </row>
    <row r="3113" spans="1:9" x14ac:dyDescent="0.25">
      <c r="A3113" s="6">
        <v>43600</v>
      </c>
      <c r="B3113" t="s">
        <v>26</v>
      </c>
      <c r="C3113">
        <v>60903</v>
      </c>
      <c r="D3113" t="s">
        <v>534</v>
      </c>
      <c r="E3113" s="7">
        <v>181.28</v>
      </c>
      <c r="F3113" t="s">
        <v>20</v>
      </c>
      <c r="G3113" t="s">
        <v>21</v>
      </c>
      <c r="H3113" t="str">
        <f>"840412346"</f>
        <v>840412346</v>
      </c>
      <c r="I3113" t="str">
        <f>"CINTAS CORPORATION NO. 2"</f>
        <v>CINTAS CORPORATION NO. 2</v>
      </c>
    </row>
    <row r="3114" spans="1:9" x14ac:dyDescent="0.25">
      <c r="A3114" s="6">
        <v>43600</v>
      </c>
      <c r="B3114" t="s">
        <v>26</v>
      </c>
      <c r="C3114">
        <v>60904</v>
      </c>
      <c r="D3114" t="s">
        <v>126</v>
      </c>
      <c r="E3114" s="7">
        <v>235.6</v>
      </c>
      <c r="F3114" t="s">
        <v>20</v>
      </c>
      <c r="G3114" t="s">
        <v>21</v>
      </c>
      <c r="H3114" t="str">
        <f>"0859-0022808049"</f>
        <v>0859-0022808049</v>
      </c>
      <c r="I3114" t="str">
        <f>"REPUBLIC SERVICES #859"</f>
        <v>REPUBLIC SERVICES #859</v>
      </c>
    </row>
    <row r="3115" spans="1:9" x14ac:dyDescent="0.25">
      <c r="A3115" s="6">
        <v>43600</v>
      </c>
      <c r="B3115" t="s">
        <v>26</v>
      </c>
      <c r="C3115">
        <v>60905</v>
      </c>
      <c r="D3115" t="s">
        <v>139</v>
      </c>
      <c r="E3115" s="7">
        <v>65</v>
      </c>
      <c r="F3115" t="s">
        <v>20</v>
      </c>
      <c r="G3115" t="s">
        <v>21</v>
      </c>
      <c r="H3115" t="str">
        <f>"26291"</f>
        <v>26291</v>
      </c>
      <c r="I3115" t="str">
        <f>"ANGEL FIRE &amp; SAFETY"</f>
        <v>ANGEL FIRE &amp; SAFETY</v>
      </c>
    </row>
    <row r="3116" spans="1:9" x14ac:dyDescent="0.25">
      <c r="A3116" s="6">
        <v>43600</v>
      </c>
      <c r="B3116" t="s">
        <v>26</v>
      </c>
      <c r="C3116">
        <v>60906</v>
      </c>
      <c r="D3116" t="s">
        <v>81</v>
      </c>
      <c r="E3116" s="7">
        <v>213.36</v>
      </c>
      <c r="F3116" t="s">
        <v>20</v>
      </c>
      <c r="G3116" t="s">
        <v>21</v>
      </c>
      <c r="H3116" t="str">
        <f>"A.MARTINEZ 5/13/19"</f>
        <v>A.MARTINEZ 5/13/19</v>
      </c>
      <c r="I3116" t="str">
        <f>"CITY OF FLORESVILLE -PETTY CAS"</f>
        <v>CITY OF FLORESVILLE -PETTY CAS</v>
      </c>
    </row>
    <row r="3117" spans="1:9" x14ac:dyDescent="0.25">
      <c r="A3117" s="6">
        <v>43600</v>
      </c>
      <c r="B3117" t="s">
        <v>26</v>
      </c>
      <c r="C3117">
        <v>60907</v>
      </c>
      <c r="D3117" t="s">
        <v>129</v>
      </c>
      <c r="E3117" s="7">
        <v>114.84</v>
      </c>
      <c r="F3117" t="s">
        <v>20</v>
      </c>
      <c r="G3117" t="s">
        <v>21</v>
      </c>
      <c r="H3117" t="str">
        <f>"P48779"</f>
        <v>P48779</v>
      </c>
      <c r="I3117" t="str">
        <f>"BELT"</f>
        <v>BELT</v>
      </c>
    </row>
    <row r="3118" spans="1:9" x14ac:dyDescent="0.25">
      <c r="A3118" s="6">
        <v>43600</v>
      </c>
      <c r="B3118" t="s">
        <v>26</v>
      </c>
      <c r="C3118">
        <v>60908</v>
      </c>
      <c r="D3118" t="s">
        <v>380</v>
      </c>
      <c r="E3118" s="7">
        <v>17622</v>
      </c>
      <c r="F3118" t="s">
        <v>20</v>
      </c>
      <c r="G3118" t="s">
        <v>21</v>
      </c>
      <c r="H3118" t="str">
        <f>"63622"</f>
        <v>63622</v>
      </c>
      <c r="I3118" t="str">
        <f>"ABIP CERTIFIED PUBLIC ACCOUNTA"</f>
        <v>ABIP CERTIFIED PUBLIC ACCOUNTA</v>
      </c>
    </row>
    <row r="3119" spans="1:9" x14ac:dyDescent="0.25">
      <c r="A3119" s="6">
        <v>43600</v>
      </c>
      <c r="B3119" t="s">
        <v>26</v>
      </c>
      <c r="C3119">
        <v>60909</v>
      </c>
      <c r="D3119" t="s">
        <v>83</v>
      </c>
      <c r="E3119" s="7">
        <v>1044</v>
      </c>
      <c r="F3119" t="s">
        <v>20</v>
      </c>
      <c r="G3119" t="s">
        <v>21</v>
      </c>
      <c r="H3119" t="str">
        <f>"721479"</f>
        <v>721479</v>
      </c>
      <c r="I3119" t="str">
        <f>"APPRIVER"</f>
        <v>APPRIVER</v>
      </c>
    </row>
    <row r="3120" spans="1:9" x14ac:dyDescent="0.25">
      <c r="A3120" s="6">
        <v>43600</v>
      </c>
      <c r="B3120" t="s">
        <v>26</v>
      </c>
      <c r="C3120">
        <v>60910</v>
      </c>
      <c r="D3120" t="s">
        <v>85</v>
      </c>
      <c r="E3120" s="7">
        <v>621.02</v>
      </c>
      <c r="F3120" t="s">
        <v>20</v>
      </c>
      <c r="G3120" t="s">
        <v>21</v>
      </c>
      <c r="H3120" t="str">
        <f>"8303930579 5/19"</f>
        <v>8303930579 5/19</v>
      </c>
      <c r="I3120" t="str">
        <f>"FRONTIER"</f>
        <v>FRONTIER</v>
      </c>
    </row>
    <row r="3121" spans="1:9" x14ac:dyDescent="0.25">
      <c r="A3121" s="6">
        <v>43600</v>
      </c>
      <c r="B3121" t="s">
        <v>26</v>
      </c>
      <c r="C3121">
        <v>60910</v>
      </c>
      <c r="D3121" t="s">
        <v>85</v>
      </c>
      <c r="E3121" s="7">
        <v>621.02</v>
      </c>
      <c r="F3121" t="s">
        <v>20</v>
      </c>
      <c r="G3121" t="s">
        <v>21</v>
      </c>
      <c r="H3121" t="str">
        <f>"8303933108 5/19"</f>
        <v>8303933108 5/19</v>
      </c>
      <c r="I3121" t="str">
        <f>"FRONTIER"</f>
        <v>FRONTIER</v>
      </c>
    </row>
    <row r="3122" spans="1:9" x14ac:dyDescent="0.25">
      <c r="A3122" s="6">
        <v>43600</v>
      </c>
      <c r="B3122" t="s">
        <v>26</v>
      </c>
      <c r="C3122">
        <v>60910</v>
      </c>
      <c r="D3122" t="s">
        <v>85</v>
      </c>
      <c r="E3122" s="7">
        <v>621.02</v>
      </c>
      <c r="F3122" t="s">
        <v>20</v>
      </c>
      <c r="G3122" t="s">
        <v>21</v>
      </c>
      <c r="H3122" t="str">
        <f>"8303937070 5/19"</f>
        <v>8303937070 5/19</v>
      </c>
      <c r="I3122" t="str">
        <f>"FRONTIER"</f>
        <v>FRONTIER</v>
      </c>
    </row>
    <row r="3123" spans="1:9" x14ac:dyDescent="0.25">
      <c r="A3123" s="6">
        <v>43600</v>
      </c>
      <c r="B3123" t="s">
        <v>26</v>
      </c>
      <c r="C3123">
        <v>60910</v>
      </c>
      <c r="D3123" t="s">
        <v>85</v>
      </c>
      <c r="E3123" s="7">
        <v>621.02</v>
      </c>
      <c r="F3123" t="s">
        <v>20</v>
      </c>
      <c r="G3123" t="s">
        <v>21</v>
      </c>
      <c r="H3123" t="str">
        <f>"8303939791 5/19"</f>
        <v>8303939791 5/19</v>
      </c>
      <c r="I3123" t="str">
        <f>"FRONTIER"</f>
        <v>FRONTIER</v>
      </c>
    </row>
    <row r="3124" spans="1:9" x14ac:dyDescent="0.25">
      <c r="A3124" s="6">
        <v>43600</v>
      </c>
      <c r="B3124" t="s">
        <v>26</v>
      </c>
      <c r="C3124">
        <v>60911</v>
      </c>
      <c r="D3124" t="s">
        <v>326</v>
      </c>
      <c r="E3124" s="7">
        <v>29</v>
      </c>
      <c r="F3124" t="s">
        <v>20</v>
      </c>
      <c r="G3124" t="s">
        <v>21</v>
      </c>
      <c r="H3124" t="str">
        <f>"19621555"</f>
        <v>19621555</v>
      </c>
      <c r="I3124" t="str">
        <f>"MATHESON TRI-GAS INC"</f>
        <v>MATHESON TRI-GAS INC</v>
      </c>
    </row>
    <row r="3125" spans="1:9" x14ac:dyDescent="0.25">
      <c r="A3125" s="6">
        <v>43600</v>
      </c>
      <c r="B3125" t="s">
        <v>26</v>
      </c>
      <c r="C3125">
        <v>60912</v>
      </c>
      <c r="D3125" t="s">
        <v>715</v>
      </c>
      <c r="E3125" s="7">
        <v>3450</v>
      </c>
      <c r="F3125" t="s">
        <v>20</v>
      </c>
      <c r="G3125" t="s">
        <v>21</v>
      </c>
      <c r="H3125" t="str">
        <f>"19050401"</f>
        <v>19050401</v>
      </c>
      <c r="I3125" t="str">
        <f>"CAPRISK CONSULTING GROUP"</f>
        <v>CAPRISK CONSULTING GROUP</v>
      </c>
    </row>
    <row r="3126" spans="1:9" x14ac:dyDescent="0.25">
      <c r="A3126" s="6">
        <v>43600</v>
      </c>
      <c r="B3126" t="s">
        <v>26</v>
      </c>
      <c r="C3126">
        <v>60913</v>
      </c>
      <c r="D3126" t="s">
        <v>345</v>
      </c>
      <c r="E3126" s="7">
        <v>330</v>
      </c>
      <c r="F3126" t="s">
        <v>20</v>
      </c>
      <c r="G3126" t="s">
        <v>21</v>
      </c>
      <c r="H3126" t="str">
        <f>"5/13/2019"</f>
        <v>5/13/2019</v>
      </c>
      <c r="I3126" t="str">
        <f>"MICHAEL ISAAC MARTINEZ"</f>
        <v>MICHAEL ISAAC MARTINEZ</v>
      </c>
    </row>
    <row r="3127" spans="1:9" x14ac:dyDescent="0.25">
      <c r="A3127" s="6">
        <v>43600</v>
      </c>
      <c r="B3127" t="s">
        <v>26</v>
      </c>
      <c r="C3127">
        <v>60914</v>
      </c>
      <c r="D3127" t="s">
        <v>134</v>
      </c>
      <c r="E3127" s="7">
        <v>1650</v>
      </c>
      <c r="F3127" t="s">
        <v>20</v>
      </c>
      <c r="G3127" t="s">
        <v>21</v>
      </c>
      <c r="H3127" t="str">
        <f>"2017-118.18"</f>
        <v>2017-118.18</v>
      </c>
      <c r="I3127" t="str">
        <f>"MOODY ENGINEERING GROUP INC."</f>
        <v>MOODY ENGINEERING GROUP INC.</v>
      </c>
    </row>
    <row r="3128" spans="1:9" x14ac:dyDescent="0.25">
      <c r="A3128" s="6">
        <v>43600</v>
      </c>
      <c r="B3128" t="s">
        <v>26</v>
      </c>
      <c r="C3128">
        <v>60915</v>
      </c>
      <c r="D3128" t="s">
        <v>27</v>
      </c>
      <c r="E3128" s="7">
        <v>38.5</v>
      </c>
      <c r="F3128" t="s">
        <v>20</v>
      </c>
      <c r="G3128" t="s">
        <v>21</v>
      </c>
      <c r="H3128" t="str">
        <f>"REINBSMT TEST FEE"</f>
        <v>REINBSMT TEST FEE</v>
      </c>
      <c r="I3128" t="str">
        <f>"RICARDO CARRASCO"</f>
        <v>RICARDO CARRASCO</v>
      </c>
    </row>
    <row r="3129" spans="1:9" x14ac:dyDescent="0.25">
      <c r="A3129" s="6">
        <v>43600</v>
      </c>
      <c r="B3129" t="s">
        <v>26</v>
      </c>
      <c r="C3129">
        <v>60916</v>
      </c>
      <c r="D3129" t="s">
        <v>398</v>
      </c>
      <c r="E3129" s="7">
        <v>55</v>
      </c>
      <c r="F3129" t="s">
        <v>20</v>
      </c>
      <c r="G3129" t="s">
        <v>21</v>
      </c>
      <c r="H3129" t="str">
        <f>"20190503"</f>
        <v>20190503</v>
      </c>
      <c r="I3129" t="str">
        <f>"INTERCEPTOR TECHNOLOGY GROUP L"</f>
        <v>INTERCEPTOR TECHNOLOGY GROUP L</v>
      </c>
    </row>
    <row r="3130" spans="1:9" x14ac:dyDescent="0.25">
      <c r="A3130" s="6">
        <v>43600</v>
      </c>
      <c r="B3130" t="s">
        <v>26</v>
      </c>
      <c r="C3130">
        <v>60917</v>
      </c>
      <c r="D3130" t="s">
        <v>554</v>
      </c>
      <c r="E3130" s="7">
        <v>74.95</v>
      </c>
      <c r="F3130" t="s">
        <v>20</v>
      </c>
      <c r="G3130" t="s">
        <v>21</v>
      </c>
      <c r="H3130" t="str">
        <f>"006367"</f>
        <v>006367</v>
      </c>
      <c r="I3130" t="str">
        <f>"TEXAS WIRED MUSIC"</f>
        <v>TEXAS WIRED MUSIC</v>
      </c>
    </row>
    <row r="3131" spans="1:9" x14ac:dyDescent="0.25">
      <c r="A3131" s="6">
        <v>43600</v>
      </c>
      <c r="B3131" t="s">
        <v>26</v>
      </c>
      <c r="C3131">
        <v>60918</v>
      </c>
      <c r="D3131" t="s">
        <v>644</v>
      </c>
      <c r="E3131" s="7">
        <v>181.28</v>
      </c>
      <c r="F3131" t="s">
        <v>20</v>
      </c>
      <c r="G3131" t="s">
        <v>21</v>
      </c>
      <c r="H3131" t="str">
        <f>"8213314273"</f>
        <v>8213314273</v>
      </c>
      <c r="I3131" t="str">
        <f>"UNIFIRST CORPORATION"</f>
        <v>UNIFIRST CORPORATION</v>
      </c>
    </row>
    <row r="3132" spans="1:9" x14ac:dyDescent="0.25">
      <c r="A3132" s="6">
        <v>43600</v>
      </c>
      <c r="B3132" t="s">
        <v>26</v>
      </c>
      <c r="C3132">
        <v>60919</v>
      </c>
      <c r="D3132" t="s">
        <v>651</v>
      </c>
      <c r="E3132" s="7">
        <v>140</v>
      </c>
      <c r="F3132" t="s">
        <v>20</v>
      </c>
      <c r="G3132" t="s">
        <v>21</v>
      </c>
      <c r="H3132" t="str">
        <f>"5/11/2019"</f>
        <v>5/11/2019</v>
      </c>
      <c r="I3132" t="str">
        <f>"NAZARETH RAMIREZ"</f>
        <v>NAZARETH RAMIREZ</v>
      </c>
    </row>
    <row r="3133" spans="1:9" x14ac:dyDescent="0.25">
      <c r="A3133" s="6">
        <v>43600</v>
      </c>
      <c r="B3133" t="s">
        <v>26</v>
      </c>
      <c r="C3133">
        <v>60920</v>
      </c>
      <c r="D3133" t="s">
        <v>696</v>
      </c>
      <c r="E3133" s="7">
        <v>60</v>
      </c>
      <c r="F3133" t="s">
        <v>20</v>
      </c>
      <c r="G3133" t="s">
        <v>21</v>
      </c>
      <c r="H3133" t="str">
        <f>"5/11/2019"</f>
        <v>5/11/2019</v>
      </c>
      <c r="I3133" t="str">
        <f>"ANGEL G. ROSAS"</f>
        <v>ANGEL G. ROSAS</v>
      </c>
    </row>
    <row r="3134" spans="1:9" x14ac:dyDescent="0.25">
      <c r="A3134" s="6">
        <v>43601</v>
      </c>
      <c r="B3134" t="s">
        <v>26</v>
      </c>
      <c r="C3134">
        <v>60921</v>
      </c>
      <c r="D3134" t="s">
        <v>102</v>
      </c>
      <c r="E3134" s="7">
        <v>82.74</v>
      </c>
      <c r="F3134" t="s">
        <v>20</v>
      </c>
      <c r="G3134" t="s">
        <v>21</v>
      </c>
      <c r="H3134" t="str">
        <f>"1120 D.ST 5/19"</f>
        <v>1120 D.ST 5/19</v>
      </c>
      <c r="I3134" t="str">
        <f>"CENTERPOINT ENERGY ENTEX"</f>
        <v>CENTERPOINT ENERGY ENTEX</v>
      </c>
    </row>
    <row r="3135" spans="1:9" x14ac:dyDescent="0.25">
      <c r="A3135" s="6">
        <v>43601</v>
      </c>
      <c r="B3135" t="s">
        <v>26</v>
      </c>
      <c r="C3135">
        <v>60921</v>
      </c>
      <c r="D3135" t="s">
        <v>102</v>
      </c>
      <c r="E3135" s="7">
        <v>82.74</v>
      </c>
      <c r="F3135" t="s">
        <v>20</v>
      </c>
      <c r="G3135" t="s">
        <v>21</v>
      </c>
      <c r="H3135" t="str">
        <f>"1200 1ST ST. 5/19"</f>
        <v>1200 1ST ST. 5/19</v>
      </c>
      <c r="I3135" t="str">
        <f>"CENTERPOINT ENERGY ENTEX"</f>
        <v>CENTERPOINT ENERGY ENTEX</v>
      </c>
    </row>
    <row r="3136" spans="1:9" x14ac:dyDescent="0.25">
      <c r="A3136" s="6">
        <v>43601</v>
      </c>
      <c r="B3136" t="s">
        <v>26</v>
      </c>
      <c r="C3136">
        <v>60921</v>
      </c>
      <c r="D3136" t="s">
        <v>102</v>
      </c>
      <c r="E3136" s="7">
        <v>82.74</v>
      </c>
      <c r="F3136" t="s">
        <v>20</v>
      </c>
      <c r="G3136" t="s">
        <v>21</v>
      </c>
      <c r="H3136" t="str">
        <f>"920 C.ST 5/19"</f>
        <v>920 C.ST 5/19</v>
      </c>
      <c r="I3136" t="str">
        <f>"CENTERPOINT ENERGY ENTEX"</f>
        <v>CENTERPOINT ENERGY ENTEX</v>
      </c>
    </row>
    <row r="3137" spans="1:9" x14ac:dyDescent="0.25">
      <c r="A3137" s="6">
        <v>43601</v>
      </c>
      <c r="B3137" t="s">
        <v>26</v>
      </c>
      <c r="C3137">
        <v>60922</v>
      </c>
      <c r="D3137" t="s">
        <v>29</v>
      </c>
      <c r="E3137" s="7">
        <v>2465</v>
      </c>
      <c r="F3137" t="s">
        <v>20</v>
      </c>
      <c r="G3137" t="s">
        <v>21</v>
      </c>
      <c r="H3137" t="str">
        <f>"37256"</f>
        <v>37256</v>
      </c>
      <c r="I3137" t="str">
        <f>"M &amp; S ENGINEERING  LLC"</f>
        <v>M &amp; S ENGINEERING  LLC</v>
      </c>
    </row>
    <row r="3138" spans="1:9" x14ac:dyDescent="0.25">
      <c r="A3138" s="6">
        <v>43601</v>
      </c>
      <c r="B3138" t="s">
        <v>26</v>
      </c>
      <c r="C3138">
        <v>60923</v>
      </c>
      <c r="D3138" t="s">
        <v>125</v>
      </c>
      <c r="E3138" s="7">
        <v>1710</v>
      </c>
      <c r="F3138" t="s">
        <v>20</v>
      </c>
      <c r="G3138" t="s">
        <v>21</v>
      </c>
      <c r="H3138" t="str">
        <f>"19-0149"</f>
        <v>19-0149</v>
      </c>
      <c r="I3138" t="str">
        <f>"INTREPID SURVEYING CORPORATION"</f>
        <v>INTREPID SURVEYING CORPORATION</v>
      </c>
    </row>
    <row r="3139" spans="1:9" x14ac:dyDescent="0.25">
      <c r="A3139" s="6">
        <v>43601</v>
      </c>
      <c r="B3139" t="s">
        <v>26</v>
      </c>
      <c r="C3139">
        <v>60923</v>
      </c>
      <c r="D3139" t="s">
        <v>125</v>
      </c>
      <c r="E3139" s="7">
        <v>1710</v>
      </c>
      <c r="F3139" t="s">
        <v>20</v>
      </c>
      <c r="G3139" t="s">
        <v>21</v>
      </c>
      <c r="H3139" t="str">
        <f>"19-0371"</f>
        <v>19-0371</v>
      </c>
      <c r="I3139" t="str">
        <f>"INTREPID SURVEYING CORPORATION"</f>
        <v>INTREPID SURVEYING CORPORATION</v>
      </c>
    </row>
    <row r="3140" spans="1:9" x14ac:dyDescent="0.25">
      <c r="A3140" s="6">
        <v>43601</v>
      </c>
      <c r="B3140" t="s">
        <v>26</v>
      </c>
      <c r="C3140">
        <v>60924</v>
      </c>
      <c r="D3140" t="s">
        <v>126</v>
      </c>
      <c r="E3140" s="7">
        <v>87999.43</v>
      </c>
      <c r="F3140" t="s">
        <v>20</v>
      </c>
      <c r="G3140" t="s">
        <v>21</v>
      </c>
      <c r="H3140" t="str">
        <f>"0859-002288695"</f>
        <v>0859-002288695</v>
      </c>
      <c r="I3140" t="str">
        <f>"REPUBLIC SERVICES #859"</f>
        <v>REPUBLIC SERVICES #859</v>
      </c>
    </row>
    <row r="3141" spans="1:9" x14ac:dyDescent="0.25">
      <c r="A3141" s="6">
        <v>43601</v>
      </c>
      <c r="B3141" t="s">
        <v>26</v>
      </c>
      <c r="C3141">
        <v>60925</v>
      </c>
      <c r="D3141" t="s">
        <v>153</v>
      </c>
      <c r="E3141" s="7">
        <v>1100</v>
      </c>
      <c r="F3141" t="s">
        <v>20</v>
      </c>
      <c r="G3141" t="s">
        <v>21</v>
      </c>
      <c r="H3141" t="str">
        <f>"051519"</f>
        <v>051519</v>
      </c>
      <c r="I3141" t="str">
        <f>"FULLER COMPANY"</f>
        <v>FULLER COMPANY</v>
      </c>
    </row>
    <row r="3142" spans="1:9" x14ac:dyDescent="0.25">
      <c r="A3142" s="6">
        <v>43601</v>
      </c>
      <c r="B3142" t="s">
        <v>26</v>
      </c>
      <c r="C3142">
        <v>60926</v>
      </c>
      <c r="D3142" t="s">
        <v>488</v>
      </c>
      <c r="E3142" s="7">
        <v>39809.629999999997</v>
      </c>
      <c r="F3142" t="s">
        <v>20</v>
      </c>
      <c r="G3142" t="s">
        <v>21</v>
      </c>
      <c r="H3142" t="str">
        <f>"PAY APP#8"</f>
        <v>PAY APP#8</v>
      </c>
      <c r="I3142" t="str">
        <f>"M &amp; C Fonseca Construction Co."</f>
        <v>M &amp; C Fonseca Construction Co.</v>
      </c>
    </row>
    <row r="3143" spans="1:9" x14ac:dyDescent="0.25">
      <c r="A3143" s="6">
        <v>43601</v>
      </c>
      <c r="B3143" t="s">
        <v>26</v>
      </c>
      <c r="C3143">
        <v>60927</v>
      </c>
      <c r="D3143" t="s">
        <v>716</v>
      </c>
      <c r="E3143" s="7">
        <v>245</v>
      </c>
      <c r="F3143" t="s">
        <v>20</v>
      </c>
      <c r="G3143" t="s">
        <v>21</v>
      </c>
      <c r="H3143" t="str">
        <f>"5/13/2019"</f>
        <v>5/13/2019</v>
      </c>
      <c r="I3143" t="str">
        <f>"ALFREDO SENDEJO"</f>
        <v>ALFREDO SENDEJO</v>
      </c>
    </row>
    <row r="3144" spans="1:9" x14ac:dyDescent="0.25">
      <c r="A3144" s="6">
        <v>43601</v>
      </c>
      <c r="B3144" t="s">
        <v>91</v>
      </c>
      <c r="C3144">
        <v>60928</v>
      </c>
      <c r="D3144" t="s">
        <v>92</v>
      </c>
      <c r="E3144" s="7">
        <v>19015.490000000002</v>
      </c>
      <c r="F3144" t="s">
        <v>20</v>
      </c>
      <c r="G3144" t="s">
        <v>21</v>
      </c>
      <c r="H3144" t="str">
        <f>"RET201905088520"</f>
        <v>RET201905088520</v>
      </c>
      <c r="I3144" t="str">
        <f>"TMRS CITY OF FLORESVILLE"</f>
        <v>TMRS CITY OF FLORESVILLE</v>
      </c>
    </row>
    <row r="3145" spans="1:9" x14ac:dyDescent="0.25">
      <c r="A3145" s="6">
        <v>43601</v>
      </c>
      <c r="B3145" t="s">
        <v>91</v>
      </c>
      <c r="C3145">
        <v>60928</v>
      </c>
      <c r="D3145" t="s">
        <v>92</v>
      </c>
      <c r="E3145" s="7">
        <v>19015.490000000002</v>
      </c>
      <c r="F3145" t="s">
        <v>20</v>
      </c>
      <c r="G3145" t="s">
        <v>93</v>
      </c>
      <c r="H3145" t="str">
        <f>"CHECK"</f>
        <v>CHECK</v>
      </c>
      <c r="I3145" t="str">
        <f>""</f>
        <v/>
      </c>
    </row>
    <row r="3146" spans="1:9" x14ac:dyDescent="0.25">
      <c r="A3146" s="6">
        <v>43601</v>
      </c>
      <c r="B3146" t="s">
        <v>26</v>
      </c>
      <c r="C3146">
        <v>60930</v>
      </c>
      <c r="D3146" t="s">
        <v>92</v>
      </c>
      <c r="E3146" s="7">
        <v>39959.519999999997</v>
      </c>
      <c r="F3146" t="s">
        <v>20</v>
      </c>
      <c r="G3146" t="s">
        <v>21</v>
      </c>
      <c r="H3146" t="str">
        <f>"APRIL 2019"</f>
        <v>APRIL 2019</v>
      </c>
      <c r="I3146" t="str">
        <f>"TEXAS MUNICIPAL RETIREMENT SYS"</f>
        <v>TEXAS MUNICIPAL RETIREMENT SYS</v>
      </c>
    </row>
    <row r="3147" spans="1:9" x14ac:dyDescent="0.25">
      <c r="A3147" s="6">
        <v>43605</v>
      </c>
      <c r="B3147" t="s">
        <v>26</v>
      </c>
      <c r="C3147">
        <v>60932</v>
      </c>
      <c r="D3147" t="s">
        <v>717</v>
      </c>
      <c r="E3147" s="7">
        <v>2500</v>
      </c>
      <c r="F3147" t="s">
        <v>20</v>
      </c>
      <c r="G3147" t="s">
        <v>21</v>
      </c>
      <c r="H3147" t="str">
        <f>"2173"</f>
        <v>2173</v>
      </c>
      <c r="I3147" t="str">
        <f>"UNITED MUSIC GROUP"</f>
        <v>UNITED MUSIC GROUP</v>
      </c>
    </row>
    <row r="3148" spans="1:9" x14ac:dyDescent="0.25">
      <c r="A3148" s="6">
        <v>43605</v>
      </c>
      <c r="B3148" t="s">
        <v>26</v>
      </c>
      <c r="C3148">
        <v>60933</v>
      </c>
      <c r="D3148" t="s">
        <v>718</v>
      </c>
      <c r="E3148" s="7">
        <v>125</v>
      </c>
      <c r="F3148" t="s">
        <v>20</v>
      </c>
      <c r="G3148" t="s">
        <v>21</v>
      </c>
      <c r="H3148" t="str">
        <f>"15-16-2019"</f>
        <v>15-16-2019</v>
      </c>
      <c r="I3148" t="str">
        <f>"MANDY HERNANDEZ- HURT"</f>
        <v>MANDY HERNANDEZ- HURT</v>
      </c>
    </row>
    <row r="3149" spans="1:9" x14ac:dyDescent="0.25">
      <c r="A3149" s="6">
        <v>43607</v>
      </c>
      <c r="B3149" t="s">
        <v>26</v>
      </c>
      <c r="C3149">
        <v>60948</v>
      </c>
      <c r="D3149" t="s">
        <v>51</v>
      </c>
      <c r="E3149" s="7">
        <v>327.84</v>
      </c>
      <c r="F3149" t="s">
        <v>20</v>
      </c>
      <c r="G3149" t="s">
        <v>21</v>
      </c>
      <c r="H3149" t="str">
        <f>"CLE201905228523"</f>
        <v>CLE201905228523</v>
      </c>
      <c r="I3149" t="str">
        <f>"CLEAT ONLY DUES"</f>
        <v>CLEAT ONLY DUES</v>
      </c>
    </row>
    <row r="3150" spans="1:9" x14ac:dyDescent="0.25">
      <c r="A3150" s="6">
        <v>43607</v>
      </c>
      <c r="B3150" t="s">
        <v>26</v>
      </c>
      <c r="C3150">
        <v>60948</v>
      </c>
      <c r="D3150" t="s">
        <v>51</v>
      </c>
      <c r="E3150" s="7">
        <v>327.84</v>
      </c>
      <c r="F3150" t="s">
        <v>20</v>
      </c>
      <c r="G3150" t="s">
        <v>21</v>
      </c>
      <c r="H3150" t="str">
        <f>"PDD201905228523"</f>
        <v>PDD201905228523</v>
      </c>
      <c r="I3150" t="str">
        <f>"POLICE OFFICERS ASSOC DUES"</f>
        <v>POLICE OFFICERS ASSOC DUES</v>
      </c>
    </row>
    <row r="3151" spans="1:9" x14ac:dyDescent="0.25">
      <c r="A3151" s="6">
        <v>43607</v>
      </c>
      <c r="B3151" t="s">
        <v>26</v>
      </c>
      <c r="C3151">
        <v>60949</v>
      </c>
      <c r="D3151" t="s">
        <v>90</v>
      </c>
      <c r="E3151" s="7">
        <v>101.1</v>
      </c>
      <c r="F3151" t="s">
        <v>20</v>
      </c>
      <c r="G3151" t="s">
        <v>21</v>
      </c>
      <c r="H3151" t="str">
        <f>"AFS201905228523"</f>
        <v>AFS201905228523</v>
      </c>
      <c r="I3151" t="str">
        <f>"AFLAC STD"</f>
        <v>AFLAC STD</v>
      </c>
    </row>
    <row r="3152" spans="1:9" x14ac:dyDescent="0.25">
      <c r="A3152" s="6">
        <v>43607</v>
      </c>
      <c r="B3152" t="s">
        <v>26</v>
      </c>
      <c r="C3152">
        <v>60950</v>
      </c>
      <c r="D3152" t="s">
        <v>52</v>
      </c>
      <c r="E3152" s="7">
        <v>1056.98</v>
      </c>
      <c r="F3152" t="s">
        <v>20</v>
      </c>
      <c r="G3152" t="s">
        <v>21</v>
      </c>
      <c r="H3152" t="str">
        <f>"CPS201905228523"</f>
        <v>CPS201905228523</v>
      </c>
      <c r="I3152" t="str">
        <f>"G MENDOZA 00123012032010EM5054"</f>
        <v>G MENDOZA 00123012032010EM5054</v>
      </c>
    </row>
    <row r="3153" spans="1:9" x14ac:dyDescent="0.25">
      <c r="A3153" s="6">
        <v>43607</v>
      </c>
      <c r="B3153" t="s">
        <v>26</v>
      </c>
      <c r="C3153">
        <v>60950</v>
      </c>
      <c r="D3153" t="s">
        <v>52</v>
      </c>
      <c r="E3153" s="7">
        <v>1056.98</v>
      </c>
      <c r="F3153" t="s">
        <v>20</v>
      </c>
      <c r="G3153" t="s">
        <v>21</v>
      </c>
      <c r="H3153" t="str">
        <f>"CS 201905228523"</f>
        <v>CS 201905228523</v>
      </c>
      <c r="I3153" t="str">
        <f>"CAUSE#98EM504113 PEGGY RIVAS"</f>
        <v>CAUSE#98EM504113 PEGGY RIVAS</v>
      </c>
    </row>
    <row r="3154" spans="1:9" x14ac:dyDescent="0.25">
      <c r="A3154" s="6">
        <v>43607</v>
      </c>
      <c r="B3154" t="s">
        <v>26</v>
      </c>
      <c r="C3154">
        <v>60950</v>
      </c>
      <c r="D3154" t="s">
        <v>52</v>
      </c>
      <c r="E3154" s="7">
        <v>1056.98</v>
      </c>
      <c r="F3154" t="s">
        <v>20</v>
      </c>
      <c r="G3154" t="s">
        <v>21</v>
      </c>
      <c r="H3154" t="str">
        <f>"CSJ201905228523"</f>
        <v>CSJ201905228523</v>
      </c>
      <c r="I3154" t="str">
        <f>"CAUSE# 0010185272 MARIANN GUTI"</f>
        <v>CAUSE# 0010185272 MARIANN GUTI</v>
      </c>
    </row>
    <row r="3155" spans="1:9" x14ac:dyDescent="0.25">
      <c r="A3155" s="6">
        <v>43607</v>
      </c>
      <c r="B3155" t="s">
        <v>26</v>
      </c>
      <c r="C3155">
        <v>60951</v>
      </c>
      <c r="D3155" t="s">
        <v>53</v>
      </c>
      <c r="E3155" s="7">
        <v>99.1</v>
      </c>
      <c r="F3155" t="s">
        <v>20</v>
      </c>
      <c r="G3155" t="s">
        <v>21</v>
      </c>
      <c r="H3155" t="str">
        <f>"MCO201905228523"</f>
        <v>MCO201905228523</v>
      </c>
      <c r="I3155" t="str">
        <f>"MONICA CORDOVA"</f>
        <v>MONICA CORDOVA</v>
      </c>
    </row>
    <row r="3156" spans="1:9" x14ac:dyDescent="0.25">
      <c r="A3156" s="6">
        <v>43607</v>
      </c>
      <c r="B3156" t="s">
        <v>26</v>
      </c>
      <c r="C3156">
        <v>60952</v>
      </c>
      <c r="D3156" t="s">
        <v>54</v>
      </c>
      <c r="E3156" s="7">
        <v>762.12</v>
      </c>
      <c r="F3156" t="s">
        <v>20</v>
      </c>
      <c r="G3156" t="s">
        <v>21</v>
      </c>
      <c r="H3156" t="str">
        <f>"457201905228523"</f>
        <v>457201905228523</v>
      </c>
      <c r="I3156" t="str">
        <f>"CASE # 180-60751 457B DEDUCT"</f>
        <v>CASE # 180-60751 457B DEDUCT</v>
      </c>
    </row>
    <row r="3157" spans="1:9" x14ac:dyDescent="0.25">
      <c r="A3157" s="6">
        <v>43607</v>
      </c>
      <c r="B3157" t="s">
        <v>26</v>
      </c>
      <c r="C3157">
        <v>60953</v>
      </c>
      <c r="D3157" t="s">
        <v>240</v>
      </c>
      <c r="E3157" s="7">
        <v>225</v>
      </c>
      <c r="F3157" t="s">
        <v>20</v>
      </c>
      <c r="G3157" t="s">
        <v>21</v>
      </c>
      <c r="H3157" t="str">
        <f>"0168031-IN"</f>
        <v>0168031-IN</v>
      </c>
      <c r="I3157" t="str">
        <f>"NARDIS PUBLIC SAFETY"</f>
        <v>NARDIS PUBLIC SAFETY</v>
      </c>
    </row>
    <row r="3158" spans="1:9" x14ac:dyDescent="0.25">
      <c r="A3158" s="6">
        <v>43607</v>
      </c>
      <c r="B3158" t="s">
        <v>26</v>
      </c>
      <c r="C3158">
        <v>60954</v>
      </c>
      <c r="D3158" t="s">
        <v>414</v>
      </c>
      <c r="E3158" s="7">
        <v>80</v>
      </c>
      <c r="F3158" t="s">
        <v>20</v>
      </c>
      <c r="G3158" t="s">
        <v>21</v>
      </c>
      <c r="H3158" t="str">
        <f>"2019000395"</f>
        <v>2019000395</v>
      </c>
      <c r="I3158" t="str">
        <f>"AHC PHYSICIANS INC."</f>
        <v>AHC PHYSICIANS INC.</v>
      </c>
    </row>
    <row r="3159" spans="1:9" x14ac:dyDescent="0.25">
      <c r="A3159" s="6">
        <v>43607</v>
      </c>
      <c r="B3159" t="s">
        <v>26</v>
      </c>
      <c r="C3159">
        <v>60955</v>
      </c>
      <c r="D3159" t="s">
        <v>719</v>
      </c>
      <c r="E3159" s="7">
        <v>1533.44</v>
      </c>
      <c r="F3159" t="s">
        <v>20</v>
      </c>
      <c r="G3159" t="s">
        <v>21</v>
      </c>
      <c r="H3159" t="str">
        <f>"1722194"</f>
        <v>1722194</v>
      </c>
      <c r="I3159" t="str">
        <f>"CYLINDER"</f>
        <v>CYLINDER</v>
      </c>
    </row>
    <row r="3160" spans="1:9" x14ac:dyDescent="0.25">
      <c r="A3160" s="6">
        <v>43607</v>
      </c>
      <c r="B3160" t="s">
        <v>26</v>
      </c>
      <c r="C3160">
        <v>60956</v>
      </c>
      <c r="D3160" t="s">
        <v>189</v>
      </c>
      <c r="E3160" s="7">
        <v>667.18</v>
      </c>
      <c r="F3160" t="s">
        <v>20</v>
      </c>
      <c r="G3160" t="s">
        <v>21</v>
      </c>
      <c r="H3160" t="str">
        <f>"SWO049123-1"</f>
        <v>SWO049123-1</v>
      </c>
      <c r="I3160" t="str">
        <f>"ASCO"</f>
        <v>ASCO</v>
      </c>
    </row>
    <row r="3161" spans="1:9" x14ac:dyDescent="0.25">
      <c r="A3161" s="6">
        <v>43607</v>
      </c>
      <c r="B3161" t="s">
        <v>26</v>
      </c>
      <c r="C3161">
        <v>60957</v>
      </c>
      <c r="D3161" t="s">
        <v>567</v>
      </c>
      <c r="E3161" s="7">
        <v>150</v>
      </c>
      <c r="F3161" t="s">
        <v>20</v>
      </c>
      <c r="G3161" t="s">
        <v>21</v>
      </c>
      <c r="H3161" t="str">
        <f>"3117"</f>
        <v>3117</v>
      </c>
      <c r="I3161" t="str">
        <f>"FREEDOM MOWING  LLC"</f>
        <v>FREEDOM MOWING  LLC</v>
      </c>
    </row>
    <row r="3162" spans="1:9" x14ac:dyDescent="0.25">
      <c r="A3162" s="6">
        <v>43607</v>
      </c>
      <c r="B3162" t="s">
        <v>26</v>
      </c>
      <c r="C3162">
        <v>60958</v>
      </c>
      <c r="D3162" t="s">
        <v>81</v>
      </c>
      <c r="E3162" s="7">
        <v>160</v>
      </c>
      <c r="F3162" t="s">
        <v>20</v>
      </c>
      <c r="G3162" t="s">
        <v>21</v>
      </c>
      <c r="H3162" t="str">
        <f>"A.MARTINEZ 5/22/19"</f>
        <v>A.MARTINEZ 5/22/19</v>
      </c>
      <c r="I3162" t="str">
        <f>"CITY OF FLORESVILLE -PETTY CAS"</f>
        <v>CITY OF FLORESVILLE -PETTY CAS</v>
      </c>
    </row>
    <row r="3163" spans="1:9" x14ac:dyDescent="0.25">
      <c r="A3163" s="6">
        <v>43607</v>
      </c>
      <c r="B3163" t="s">
        <v>26</v>
      </c>
      <c r="C3163">
        <v>60959</v>
      </c>
      <c r="D3163" t="s">
        <v>85</v>
      </c>
      <c r="E3163" s="7">
        <v>2410.0500000000002</v>
      </c>
      <c r="F3163" t="s">
        <v>20</v>
      </c>
      <c r="G3163" t="s">
        <v>21</v>
      </c>
      <c r="H3163" t="str">
        <f>"8301970021 5/19"</f>
        <v>8301970021 5/19</v>
      </c>
      <c r="I3163" t="str">
        <f t="shared" ref="I3163:I3169" si="57">"FRONTIER"</f>
        <v>FRONTIER</v>
      </c>
    </row>
    <row r="3164" spans="1:9" x14ac:dyDescent="0.25">
      <c r="A3164" s="6">
        <v>43607</v>
      </c>
      <c r="B3164" t="s">
        <v>26</v>
      </c>
      <c r="C3164">
        <v>60959</v>
      </c>
      <c r="D3164" t="s">
        <v>85</v>
      </c>
      <c r="E3164" s="7">
        <v>2410.0500000000002</v>
      </c>
      <c r="F3164" t="s">
        <v>20</v>
      </c>
      <c r="G3164" t="s">
        <v>21</v>
      </c>
      <c r="H3164" t="str">
        <f>"8302162733 5/19"</f>
        <v>8302162733 5/19</v>
      </c>
      <c r="I3164" t="str">
        <f t="shared" si="57"/>
        <v>FRONTIER</v>
      </c>
    </row>
    <row r="3165" spans="1:9" x14ac:dyDescent="0.25">
      <c r="A3165" s="6">
        <v>43607</v>
      </c>
      <c r="B3165" t="s">
        <v>26</v>
      </c>
      <c r="C3165">
        <v>60959</v>
      </c>
      <c r="D3165" t="s">
        <v>85</v>
      </c>
      <c r="E3165" s="7">
        <v>2410.0500000000002</v>
      </c>
      <c r="F3165" t="s">
        <v>20</v>
      </c>
      <c r="G3165" t="s">
        <v>21</v>
      </c>
      <c r="H3165" t="str">
        <f>"8302162755 5/19*"</f>
        <v>8302162755 5/19*</v>
      </c>
      <c r="I3165" t="str">
        <f t="shared" si="57"/>
        <v>FRONTIER</v>
      </c>
    </row>
    <row r="3166" spans="1:9" x14ac:dyDescent="0.25">
      <c r="A3166" s="6">
        <v>43607</v>
      </c>
      <c r="B3166" t="s">
        <v>26</v>
      </c>
      <c r="C3166">
        <v>60959</v>
      </c>
      <c r="D3166" t="s">
        <v>85</v>
      </c>
      <c r="E3166" s="7">
        <v>2410.0500000000002</v>
      </c>
      <c r="F3166" t="s">
        <v>20</v>
      </c>
      <c r="G3166" t="s">
        <v>21</v>
      </c>
      <c r="H3166" t="str">
        <f>"8303932804  5/19"</f>
        <v>8303932804  5/19</v>
      </c>
      <c r="I3166" t="str">
        <f t="shared" si="57"/>
        <v>FRONTIER</v>
      </c>
    </row>
    <row r="3167" spans="1:9" x14ac:dyDescent="0.25">
      <c r="A3167" s="6">
        <v>43607</v>
      </c>
      <c r="B3167" t="s">
        <v>26</v>
      </c>
      <c r="C3167">
        <v>60959</v>
      </c>
      <c r="D3167" t="s">
        <v>85</v>
      </c>
      <c r="E3167" s="7">
        <v>2410.0500000000002</v>
      </c>
      <c r="F3167" t="s">
        <v>20</v>
      </c>
      <c r="G3167" t="s">
        <v>21</v>
      </c>
      <c r="H3167" t="str">
        <f>"8303934055 5/19"</f>
        <v>8303934055 5/19</v>
      </c>
      <c r="I3167" t="str">
        <f t="shared" si="57"/>
        <v>FRONTIER</v>
      </c>
    </row>
    <row r="3168" spans="1:9" x14ac:dyDescent="0.25">
      <c r="A3168" s="6">
        <v>43607</v>
      </c>
      <c r="B3168" t="s">
        <v>26</v>
      </c>
      <c r="C3168">
        <v>60959</v>
      </c>
      <c r="D3168" t="s">
        <v>85</v>
      </c>
      <c r="E3168" s="7">
        <v>2410.0500000000002</v>
      </c>
      <c r="F3168" t="s">
        <v>20</v>
      </c>
      <c r="G3168" t="s">
        <v>21</v>
      </c>
      <c r="H3168" t="str">
        <f>"8303936794 5/19"</f>
        <v>8303936794 5/19</v>
      </c>
      <c r="I3168" t="str">
        <f t="shared" si="57"/>
        <v>FRONTIER</v>
      </c>
    </row>
    <row r="3169" spans="1:9" x14ac:dyDescent="0.25">
      <c r="A3169" s="6">
        <v>43607</v>
      </c>
      <c r="B3169" t="s">
        <v>26</v>
      </c>
      <c r="C3169">
        <v>60959</v>
      </c>
      <c r="D3169" t="s">
        <v>85</v>
      </c>
      <c r="E3169" s="7">
        <v>2410.0500000000002</v>
      </c>
      <c r="F3169" t="s">
        <v>20</v>
      </c>
      <c r="G3169" t="s">
        <v>21</v>
      </c>
      <c r="H3169" t="str">
        <f>"8303938193 5/19*"</f>
        <v>8303938193 5/19*</v>
      </c>
      <c r="I3169" t="str">
        <f t="shared" si="57"/>
        <v>FRONTIER</v>
      </c>
    </row>
    <row r="3170" spans="1:9" x14ac:dyDescent="0.25">
      <c r="A3170" s="6">
        <v>43607</v>
      </c>
      <c r="B3170" t="s">
        <v>26</v>
      </c>
      <c r="C3170">
        <v>60961</v>
      </c>
      <c r="D3170" t="s">
        <v>194</v>
      </c>
      <c r="E3170" s="7">
        <v>403.5</v>
      </c>
      <c r="F3170" t="s">
        <v>20</v>
      </c>
      <c r="G3170" t="s">
        <v>21</v>
      </c>
      <c r="H3170" t="str">
        <f>"BC0809646 PO00924"</f>
        <v>BC0809646 PO00924</v>
      </c>
      <c r="I3170" t="str">
        <f>"GALLS  LLC-D.B.A. STERLING'S U"</f>
        <v>GALLS  LLC-D.B.A. STERLING'S U</v>
      </c>
    </row>
    <row r="3171" spans="1:9" x14ac:dyDescent="0.25">
      <c r="A3171" s="6">
        <v>43607</v>
      </c>
      <c r="B3171" t="s">
        <v>26</v>
      </c>
      <c r="C3171">
        <v>60962</v>
      </c>
      <c r="D3171" t="s">
        <v>345</v>
      </c>
      <c r="E3171" s="7">
        <v>352</v>
      </c>
      <c r="F3171" t="s">
        <v>20</v>
      </c>
      <c r="G3171" t="s">
        <v>21</v>
      </c>
      <c r="H3171" t="str">
        <f>"5/20/2019"</f>
        <v>5/20/2019</v>
      </c>
      <c r="I3171" t="str">
        <f>"MICHAEL ISAAC MARTINEZ"</f>
        <v>MICHAEL ISAAC MARTINEZ</v>
      </c>
    </row>
    <row r="3172" spans="1:9" x14ac:dyDescent="0.25">
      <c r="A3172" s="6">
        <v>43607</v>
      </c>
      <c r="B3172" t="s">
        <v>26</v>
      </c>
      <c r="C3172">
        <v>60963</v>
      </c>
      <c r="D3172" t="s">
        <v>584</v>
      </c>
      <c r="E3172" s="7">
        <v>80</v>
      </c>
      <c r="F3172" t="s">
        <v>20</v>
      </c>
      <c r="G3172" t="s">
        <v>21</v>
      </c>
      <c r="H3172" t="str">
        <f>"5/18/2019"</f>
        <v>5/18/2019</v>
      </c>
      <c r="I3172" t="str">
        <f>"AMANDA SENDEJO"</f>
        <v>AMANDA SENDEJO</v>
      </c>
    </row>
    <row r="3173" spans="1:9" x14ac:dyDescent="0.25">
      <c r="A3173" s="6">
        <v>43607</v>
      </c>
      <c r="B3173" t="s">
        <v>26</v>
      </c>
      <c r="C3173">
        <v>60964</v>
      </c>
      <c r="D3173" t="s">
        <v>452</v>
      </c>
      <c r="E3173" s="7">
        <v>80</v>
      </c>
      <c r="F3173" t="s">
        <v>20</v>
      </c>
      <c r="G3173" t="s">
        <v>21</v>
      </c>
      <c r="H3173" t="str">
        <f>"5/19/19"</f>
        <v>5/19/19</v>
      </c>
      <c r="I3173" t="str">
        <f>"DESIREE PEREZ"</f>
        <v>DESIREE PEREZ</v>
      </c>
    </row>
    <row r="3174" spans="1:9" x14ac:dyDescent="0.25">
      <c r="A3174" s="6">
        <v>43607</v>
      </c>
      <c r="B3174" t="s">
        <v>26</v>
      </c>
      <c r="C3174">
        <v>60965</v>
      </c>
      <c r="D3174" t="s">
        <v>27</v>
      </c>
      <c r="E3174" s="7">
        <v>38.5</v>
      </c>
      <c r="F3174" t="s">
        <v>20</v>
      </c>
      <c r="G3174" t="s">
        <v>21</v>
      </c>
      <c r="H3174" t="str">
        <f>"TEST FEE 5/13/19"</f>
        <v>TEST FEE 5/13/19</v>
      </c>
      <c r="I3174" t="str">
        <f>"RICARDO CARRASCO"</f>
        <v>RICARDO CARRASCO</v>
      </c>
    </row>
    <row r="3175" spans="1:9" x14ac:dyDescent="0.25">
      <c r="A3175" s="6">
        <v>43607</v>
      </c>
      <c r="B3175" t="s">
        <v>26</v>
      </c>
      <c r="C3175">
        <v>60966</v>
      </c>
      <c r="D3175" t="s">
        <v>568</v>
      </c>
      <c r="E3175" s="7">
        <v>1131.1400000000001</v>
      </c>
      <c r="F3175" t="s">
        <v>20</v>
      </c>
      <c r="G3175" t="s">
        <v>21</v>
      </c>
      <c r="H3175" t="str">
        <f>"5999024"</f>
        <v>5999024</v>
      </c>
      <c r="I3175" t="str">
        <f>"TIRES"</f>
        <v>TIRES</v>
      </c>
    </row>
    <row r="3176" spans="1:9" x14ac:dyDescent="0.25">
      <c r="A3176" s="6">
        <v>43607</v>
      </c>
      <c r="B3176" t="s">
        <v>26</v>
      </c>
      <c r="C3176">
        <v>60966</v>
      </c>
      <c r="D3176" t="s">
        <v>568</v>
      </c>
      <c r="E3176" s="7">
        <v>1131.1400000000001</v>
      </c>
      <c r="F3176" t="s">
        <v>20</v>
      </c>
      <c r="G3176" t="s">
        <v>21</v>
      </c>
      <c r="H3176" t="str">
        <f>"7252457"</f>
        <v>7252457</v>
      </c>
      <c r="I3176" t="str">
        <f>"TIRE HUB"</f>
        <v>TIRE HUB</v>
      </c>
    </row>
    <row r="3177" spans="1:9" x14ac:dyDescent="0.25">
      <c r="A3177" s="6">
        <v>43607</v>
      </c>
      <c r="B3177" t="s">
        <v>26</v>
      </c>
      <c r="C3177">
        <v>60967</v>
      </c>
      <c r="D3177" t="s">
        <v>696</v>
      </c>
      <c r="E3177" s="7">
        <v>80</v>
      </c>
      <c r="F3177" t="s">
        <v>20</v>
      </c>
      <c r="G3177" t="s">
        <v>21</v>
      </c>
      <c r="H3177" t="str">
        <f>"5/18/19"</f>
        <v>5/18/19</v>
      </c>
      <c r="I3177" t="str">
        <f>"ANGEL G. ROSAS"</f>
        <v>ANGEL G. ROSAS</v>
      </c>
    </row>
    <row r="3178" spans="1:9" x14ac:dyDescent="0.25">
      <c r="A3178" s="6">
        <v>43607</v>
      </c>
      <c r="B3178" t="s">
        <v>26</v>
      </c>
      <c r="C3178">
        <v>60968</v>
      </c>
      <c r="D3178" t="s">
        <v>716</v>
      </c>
      <c r="E3178" s="7">
        <v>370</v>
      </c>
      <c r="F3178" t="s">
        <v>20</v>
      </c>
      <c r="G3178" t="s">
        <v>21</v>
      </c>
      <c r="H3178" t="str">
        <f>"5/20/19"</f>
        <v>5/20/19</v>
      </c>
      <c r="I3178" t="str">
        <f>"ALFREDO SENDEJO"</f>
        <v>ALFREDO SENDEJO</v>
      </c>
    </row>
    <row r="3179" spans="1:9" x14ac:dyDescent="0.25">
      <c r="A3179" s="6">
        <v>43607</v>
      </c>
      <c r="B3179" t="s">
        <v>26</v>
      </c>
      <c r="C3179">
        <v>60969</v>
      </c>
      <c r="D3179" t="s">
        <v>720</v>
      </c>
      <c r="E3179" s="7">
        <v>1950</v>
      </c>
      <c r="F3179" t="s">
        <v>20</v>
      </c>
      <c r="G3179" t="s">
        <v>21</v>
      </c>
      <c r="H3179" t="str">
        <f>"201905A-FRDM FEST"</f>
        <v>201905A-FRDM FEST</v>
      </c>
      <c r="I3179" t="str">
        <f>"PIRATE FIREWORKS  LLC"</f>
        <v>PIRATE FIREWORKS  LLC</v>
      </c>
    </row>
    <row r="3180" spans="1:9" x14ac:dyDescent="0.25">
      <c r="A3180" s="6">
        <v>43607</v>
      </c>
      <c r="B3180" t="s">
        <v>26</v>
      </c>
      <c r="C3180">
        <v>60970</v>
      </c>
      <c r="D3180" t="s">
        <v>721</v>
      </c>
      <c r="E3180" s="7">
        <v>2250</v>
      </c>
      <c r="F3180" t="s">
        <v>20</v>
      </c>
      <c r="G3180" t="s">
        <v>21</v>
      </c>
      <c r="H3180" t="str">
        <f>"FREEDOM FEST 2019"</f>
        <v>FREEDOM FEST 2019</v>
      </c>
      <c r="I3180" t="str">
        <f>"RIVER CITY ATTRACTIONS INC."</f>
        <v>RIVER CITY ATTRACTIONS INC.</v>
      </c>
    </row>
    <row r="3181" spans="1:9" x14ac:dyDescent="0.25">
      <c r="A3181" s="6">
        <v>43607</v>
      </c>
      <c r="B3181" t="s">
        <v>26</v>
      </c>
      <c r="C3181">
        <v>60971</v>
      </c>
      <c r="D3181" t="s">
        <v>722</v>
      </c>
      <c r="E3181" s="7">
        <v>40</v>
      </c>
      <c r="F3181" t="s">
        <v>20</v>
      </c>
      <c r="G3181" t="s">
        <v>21</v>
      </c>
      <c r="H3181" t="str">
        <f>"5/17/19"</f>
        <v>5/17/19</v>
      </c>
      <c r="I3181" t="str">
        <f>"MICHAEL VARGAS"</f>
        <v>MICHAEL VARGAS</v>
      </c>
    </row>
    <row r="3182" spans="1:9" x14ac:dyDescent="0.25">
      <c r="A3182" s="6">
        <v>43608</v>
      </c>
      <c r="B3182" t="s">
        <v>26</v>
      </c>
      <c r="C3182">
        <v>60972</v>
      </c>
      <c r="D3182" t="s">
        <v>339</v>
      </c>
      <c r="E3182" s="7">
        <v>270</v>
      </c>
      <c r="F3182" t="s">
        <v>20</v>
      </c>
      <c r="G3182" t="s">
        <v>21</v>
      </c>
      <c r="H3182" t="str">
        <f>"808049"</f>
        <v>808049</v>
      </c>
      <c r="I3182" t="str">
        <f>"VEHICLE EQUIPTMENT"</f>
        <v>VEHICLE EQUIPTMENT</v>
      </c>
    </row>
    <row r="3183" spans="1:9" x14ac:dyDescent="0.25">
      <c r="A3183" s="6">
        <v>43608</v>
      </c>
      <c r="B3183" t="s">
        <v>26</v>
      </c>
      <c r="C3183">
        <v>60973</v>
      </c>
      <c r="D3183" t="s">
        <v>723</v>
      </c>
      <c r="E3183" s="7">
        <v>225</v>
      </c>
      <c r="F3183" t="s">
        <v>20</v>
      </c>
      <c r="G3183" t="s">
        <v>21</v>
      </c>
      <c r="H3183" t="str">
        <f>"TRAINING 5/30/2019"</f>
        <v>TRAINING 5/30/2019</v>
      </c>
      <c r="I3183" t="str">
        <f>"TEXAS ACADEMY OF ANIMAL CONTRO"</f>
        <v>TEXAS ACADEMY OF ANIMAL CONTRO</v>
      </c>
    </row>
    <row r="3184" spans="1:9" x14ac:dyDescent="0.25">
      <c r="A3184" s="6">
        <v>43608</v>
      </c>
      <c r="B3184" t="s">
        <v>26</v>
      </c>
      <c r="C3184">
        <v>60974</v>
      </c>
      <c r="D3184" t="s">
        <v>74</v>
      </c>
      <c r="E3184" s="7">
        <v>3633.38</v>
      </c>
      <c r="F3184" t="s">
        <v>20</v>
      </c>
      <c r="G3184" t="s">
        <v>21</v>
      </c>
      <c r="H3184" t="str">
        <f>"9828816072"</f>
        <v>9828816072</v>
      </c>
      <c r="I3184" t="str">
        <f>"VERIZON WIRELESS"</f>
        <v>VERIZON WIRELESS</v>
      </c>
    </row>
    <row r="3185" spans="1:9" x14ac:dyDescent="0.25">
      <c r="A3185" s="6">
        <v>43608</v>
      </c>
      <c r="B3185" t="s">
        <v>91</v>
      </c>
      <c r="C3185">
        <v>60975</v>
      </c>
      <c r="D3185" t="s">
        <v>405</v>
      </c>
      <c r="E3185" s="7">
        <v>6256</v>
      </c>
      <c r="F3185" t="s">
        <v>20</v>
      </c>
      <c r="G3185" t="s">
        <v>21</v>
      </c>
      <c r="H3185" t="str">
        <f>"5/20/2019"</f>
        <v>5/20/2019</v>
      </c>
      <c r="I3185" t="str">
        <f>"ALL CITY YOUTH PROGRAMS"</f>
        <v>ALL CITY YOUTH PROGRAMS</v>
      </c>
    </row>
    <row r="3186" spans="1:9" x14ac:dyDescent="0.25">
      <c r="A3186" s="6">
        <v>43608</v>
      </c>
      <c r="B3186" t="s">
        <v>91</v>
      </c>
      <c r="C3186">
        <v>60975</v>
      </c>
      <c r="D3186" t="s">
        <v>405</v>
      </c>
      <c r="E3186" s="7">
        <v>6256</v>
      </c>
      <c r="F3186" t="s">
        <v>20</v>
      </c>
      <c r="G3186" t="s">
        <v>93</v>
      </c>
      <c r="H3186" t="str">
        <f>"CHECK"</f>
        <v>CHECK</v>
      </c>
      <c r="I3186" t="str">
        <f>""</f>
        <v/>
      </c>
    </row>
    <row r="3187" spans="1:9" x14ac:dyDescent="0.25">
      <c r="A3187" s="6">
        <v>43608</v>
      </c>
      <c r="B3187" t="s">
        <v>26</v>
      </c>
      <c r="C3187">
        <v>60976</v>
      </c>
      <c r="D3187" t="s">
        <v>233</v>
      </c>
      <c r="E3187" s="7">
        <v>160.35</v>
      </c>
      <c r="F3187" t="s">
        <v>20</v>
      </c>
      <c r="G3187" t="s">
        <v>21</v>
      </c>
      <c r="H3187" t="str">
        <f>"TEEX TRNG 5/2019"</f>
        <v>TEEX TRNG 5/2019</v>
      </c>
      <c r="I3187" t="str">
        <f>"TRAVEL/TRAINING"</f>
        <v>TRAVEL/TRAINING</v>
      </c>
    </row>
    <row r="3188" spans="1:9" x14ac:dyDescent="0.25">
      <c r="A3188" s="6">
        <v>43608</v>
      </c>
      <c r="B3188" t="s">
        <v>26</v>
      </c>
      <c r="C3188">
        <v>60977</v>
      </c>
      <c r="D3188" t="s">
        <v>401</v>
      </c>
      <c r="E3188" s="7">
        <v>1000</v>
      </c>
      <c r="F3188" t="s">
        <v>20</v>
      </c>
      <c r="G3188" t="s">
        <v>21</v>
      </c>
      <c r="H3188" t="str">
        <f t="shared" ref="H3188:H3195" si="58">"SUMMER 2019"</f>
        <v>SUMMER 2019</v>
      </c>
      <c r="I3188" t="str">
        <f>"WILSON COUNTY PUBLIC LIBRARY"</f>
        <v>WILSON COUNTY PUBLIC LIBRARY</v>
      </c>
    </row>
    <row r="3189" spans="1:9" x14ac:dyDescent="0.25">
      <c r="A3189" s="6">
        <v>43608</v>
      </c>
      <c r="B3189" t="s">
        <v>26</v>
      </c>
      <c r="C3189">
        <v>60978</v>
      </c>
      <c r="D3189" t="s">
        <v>403</v>
      </c>
      <c r="E3189" s="7">
        <v>756</v>
      </c>
      <c r="F3189" t="s">
        <v>20</v>
      </c>
      <c r="G3189" t="s">
        <v>21</v>
      </c>
      <c r="H3189" t="str">
        <f t="shared" si="58"/>
        <v>SUMMER 2019</v>
      </c>
      <c r="I3189" t="str">
        <f>"ARCADIA THEATRE-FLORESVILLE"</f>
        <v>ARCADIA THEATRE-FLORESVILLE</v>
      </c>
    </row>
    <row r="3190" spans="1:9" x14ac:dyDescent="0.25">
      <c r="A3190" s="6">
        <v>43608</v>
      </c>
      <c r="B3190" t="s">
        <v>26</v>
      </c>
      <c r="C3190">
        <v>60979</v>
      </c>
      <c r="D3190" t="s">
        <v>724</v>
      </c>
      <c r="E3190" s="7">
        <v>750</v>
      </c>
      <c r="F3190" t="s">
        <v>20</v>
      </c>
      <c r="G3190" t="s">
        <v>21</v>
      </c>
      <c r="H3190" t="str">
        <f t="shared" si="58"/>
        <v>SUMMER 2019</v>
      </c>
      <c r="I3190" t="str">
        <f>"FLORESVILLE YOUTH BASKETBALL L"</f>
        <v>FLORESVILLE YOUTH BASKETBALL L</v>
      </c>
    </row>
    <row r="3191" spans="1:9" x14ac:dyDescent="0.25">
      <c r="A3191" s="6">
        <v>43608</v>
      </c>
      <c r="B3191" t="s">
        <v>26</v>
      </c>
      <c r="C3191">
        <v>60980</v>
      </c>
      <c r="D3191" t="s">
        <v>725</v>
      </c>
      <c r="E3191" s="7">
        <v>750</v>
      </c>
      <c r="F3191" t="s">
        <v>20</v>
      </c>
      <c r="G3191" t="s">
        <v>21</v>
      </c>
      <c r="H3191" t="str">
        <f t="shared" si="58"/>
        <v>SUMMER 2019</v>
      </c>
      <c r="I3191" t="str">
        <f>"FLORESVILLE WILDCATS"</f>
        <v>FLORESVILLE WILDCATS</v>
      </c>
    </row>
    <row r="3192" spans="1:9" x14ac:dyDescent="0.25">
      <c r="A3192" s="6">
        <v>43608</v>
      </c>
      <c r="B3192" t="s">
        <v>26</v>
      </c>
      <c r="C3192">
        <v>60981</v>
      </c>
      <c r="D3192" t="s">
        <v>404</v>
      </c>
      <c r="E3192" s="7">
        <v>750</v>
      </c>
      <c r="F3192" t="s">
        <v>20</v>
      </c>
      <c r="G3192" t="s">
        <v>21</v>
      </c>
      <c r="H3192" t="str">
        <f t="shared" si="58"/>
        <v>SUMMER 2019</v>
      </c>
      <c r="I3192" t="str">
        <f>"WILSON COUNTY ELITE BALLERZ"</f>
        <v>WILSON COUNTY ELITE BALLERZ</v>
      </c>
    </row>
    <row r="3193" spans="1:9" x14ac:dyDescent="0.25">
      <c r="A3193" s="6">
        <v>43608</v>
      </c>
      <c r="B3193" t="s">
        <v>26</v>
      </c>
      <c r="C3193">
        <v>60982</v>
      </c>
      <c r="D3193" t="s">
        <v>405</v>
      </c>
      <c r="E3193" s="7">
        <v>750</v>
      </c>
      <c r="F3193" t="s">
        <v>20</v>
      </c>
      <c r="G3193" t="s">
        <v>21</v>
      </c>
      <c r="H3193" t="str">
        <f t="shared" si="58"/>
        <v>SUMMER 2019</v>
      </c>
      <c r="I3193" t="str">
        <f>"ALL CITY YOUTH PROGRAMS"</f>
        <v>ALL CITY YOUTH PROGRAMS</v>
      </c>
    </row>
    <row r="3194" spans="1:9" x14ac:dyDescent="0.25">
      <c r="A3194" s="6">
        <v>43608</v>
      </c>
      <c r="B3194" t="s">
        <v>26</v>
      </c>
      <c r="C3194">
        <v>60983</v>
      </c>
      <c r="D3194" t="s">
        <v>406</v>
      </c>
      <c r="E3194" s="7">
        <v>750</v>
      </c>
      <c r="F3194" t="s">
        <v>20</v>
      </c>
      <c r="G3194" t="s">
        <v>21</v>
      </c>
      <c r="H3194" t="str">
        <f t="shared" si="58"/>
        <v>SUMMER 2019</v>
      </c>
      <c r="I3194" t="str">
        <f>"WILSON COUNTY BALLET SUMMER PR"</f>
        <v>WILSON COUNTY BALLET SUMMER PR</v>
      </c>
    </row>
    <row r="3195" spans="1:9" x14ac:dyDescent="0.25">
      <c r="A3195" s="6">
        <v>43608</v>
      </c>
      <c r="B3195" t="s">
        <v>26</v>
      </c>
      <c r="C3195">
        <v>60984</v>
      </c>
      <c r="D3195" t="s">
        <v>726</v>
      </c>
      <c r="E3195" s="7">
        <v>750</v>
      </c>
      <c r="F3195" t="s">
        <v>20</v>
      </c>
      <c r="G3195" t="s">
        <v>21</v>
      </c>
      <c r="H3195" t="str">
        <f t="shared" si="58"/>
        <v>SUMMER 2019</v>
      </c>
      <c r="I3195" t="str">
        <f>"FLORESVILLE LITTLE LEAGUE"</f>
        <v>FLORESVILLE LITTLE LEAGUE</v>
      </c>
    </row>
    <row r="3196" spans="1:9" x14ac:dyDescent="0.25">
      <c r="A3196" s="6">
        <v>43614</v>
      </c>
      <c r="B3196" t="s">
        <v>26</v>
      </c>
      <c r="C3196">
        <v>60985</v>
      </c>
      <c r="D3196" t="s">
        <v>59</v>
      </c>
      <c r="E3196" s="7">
        <v>3201.4</v>
      </c>
      <c r="F3196" t="s">
        <v>20</v>
      </c>
      <c r="G3196" t="s">
        <v>21</v>
      </c>
      <c r="H3196" t="str">
        <f>"1014753-1"</f>
        <v>1014753-1</v>
      </c>
      <c r="I3196" t="str">
        <f>"PARKING LOT SUPPLIES"</f>
        <v>PARKING LOT SUPPLIES</v>
      </c>
    </row>
    <row r="3197" spans="1:9" x14ac:dyDescent="0.25">
      <c r="A3197" s="6">
        <v>43614</v>
      </c>
      <c r="B3197" t="s">
        <v>26</v>
      </c>
      <c r="C3197">
        <v>60985</v>
      </c>
      <c r="D3197" t="s">
        <v>59</v>
      </c>
      <c r="E3197" s="7">
        <v>3201.4</v>
      </c>
      <c r="F3197" t="s">
        <v>20</v>
      </c>
      <c r="G3197" t="s">
        <v>21</v>
      </c>
      <c r="H3197" t="str">
        <f>"1016076"</f>
        <v>1016076</v>
      </c>
      <c r="I3197" t="str">
        <f>"SAFETY BOOTS"</f>
        <v>SAFETY BOOTS</v>
      </c>
    </row>
    <row r="3198" spans="1:9" x14ac:dyDescent="0.25">
      <c r="A3198" s="6">
        <v>43614</v>
      </c>
      <c r="B3198" t="s">
        <v>26</v>
      </c>
      <c r="C3198">
        <v>60985</v>
      </c>
      <c r="D3198" t="s">
        <v>59</v>
      </c>
      <c r="E3198" s="7">
        <v>3201.4</v>
      </c>
      <c r="F3198" t="s">
        <v>20</v>
      </c>
      <c r="G3198" t="s">
        <v>21</v>
      </c>
      <c r="H3198" t="str">
        <f>"1016252"</f>
        <v>1016252</v>
      </c>
      <c r="I3198" t="str">
        <f>"PARKING LOT SUPPLIES"</f>
        <v>PARKING LOT SUPPLIES</v>
      </c>
    </row>
    <row r="3199" spans="1:9" x14ac:dyDescent="0.25">
      <c r="A3199" s="6">
        <v>43614</v>
      </c>
      <c r="B3199" t="s">
        <v>91</v>
      </c>
      <c r="C3199">
        <v>60986</v>
      </c>
      <c r="D3199" t="s">
        <v>90</v>
      </c>
      <c r="E3199" s="7">
        <v>1635.44</v>
      </c>
      <c r="F3199" t="s">
        <v>20</v>
      </c>
      <c r="G3199" t="s">
        <v>21</v>
      </c>
      <c r="H3199" t="str">
        <f>"ACA201905088520"</f>
        <v>ACA201905088520</v>
      </c>
      <c r="I3199" t="str">
        <f>"AFLAC INSURANCE"</f>
        <v>AFLAC INSURANCE</v>
      </c>
    </row>
    <row r="3200" spans="1:9" x14ac:dyDescent="0.25">
      <c r="A3200" s="6">
        <v>43614</v>
      </c>
      <c r="B3200" t="s">
        <v>91</v>
      </c>
      <c r="C3200">
        <v>60986</v>
      </c>
      <c r="D3200" t="s">
        <v>90</v>
      </c>
      <c r="E3200" s="7">
        <v>1635.44</v>
      </c>
      <c r="F3200" t="s">
        <v>20</v>
      </c>
      <c r="G3200" t="s">
        <v>21</v>
      </c>
      <c r="H3200" t="str">
        <f>"ACA201905228523"</f>
        <v>ACA201905228523</v>
      </c>
      <c r="I3200" t="str">
        <f>"AFLAC INSURANCE"</f>
        <v>AFLAC INSURANCE</v>
      </c>
    </row>
    <row r="3201" spans="1:9" x14ac:dyDescent="0.25">
      <c r="A3201" s="6">
        <v>43614</v>
      </c>
      <c r="B3201" t="s">
        <v>91</v>
      </c>
      <c r="C3201">
        <v>60986</v>
      </c>
      <c r="D3201" t="s">
        <v>90</v>
      </c>
      <c r="E3201" s="7">
        <v>1635.44</v>
      </c>
      <c r="F3201" t="s">
        <v>20</v>
      </c>
      <c r="G3201" t="s">
        <v>21</v>
      </c>
      <c r="H3201" t="str">
        <f>"AD2201905088520"</f>
        <v>AD2201905088520</v>
      </c>
      <c r="I3201" t="str">
        <f>"AFLAC INSURANCE"</f>
        <v>AFLAC INSURANCE</v>
      </c>
    </row>
    <row r="3202" spans="1:9" x14ac:dyDescent="0.25">
      <c r="A3202" s="6">
        <v>43614</v>
      </c>
      <c r="B3202" t="s">
        <v>91</v>
      </c>
      <c r="C3202">
        <v>60986</v>
      </c>
      <c r="D3202" t="s">
        <v>90</v>
      </c>
      <c r="E3202" s="7">
        <v>1635.44</v>
      </c>
      <c r="F3202" t="s">
        <v>20</v>
      </c>
      <c r="G3202" t="s">
        <v>21</v>
      </c>
      <c r="H3202" t="str">
        <f>"AD2201905228523"</f>
        <v>AD2201905228523</v>
      </c>
      <c r="I3202" t="str">
        <f>"AFLAC INSURANCE"</f>
        <v>AFLAC INSURANCE</v>
      </c>
    </row>
    <row r="3203" spans="1:9" x14ac:dyDescent="0.25">
      <c r="A3203" s="6">
        <v>43614</v>
      </c>
      <c r="B3203" t="s">
        <v>91</v>
      </c>
      <c r="C3203">
        <v>60986</v>
      </c>
      <c r="D3203" t="s">
        <v>90</v>
      </c>
      <c r="E3203" s="7">
        <v>1635.44</v>
      </c>
      <c r="F3203" t="s">
        <v>20</v>
      </c>
      <c r="G3203" t="s">
        <v>21</v>
      </c>
      <c r="H3203" t="str">
        <f>"ADR201905088520"</f>
        <v>ADR201905088520</v>
      </c>
      <c r="I3203" t="str">
        <f>"INSURANCE"</f>
        <v>INSURANCE</v>
      </c>
    </row>
    <row r="3204" spans="1:9" x14ac:dyDescent="0.25">
      <c r="A3204" s="6">
        <v>43614</v>
      </c>
      <c r="B3204" t="s">
        <v>91</v>
      </c>
      <c r="C3204">
        <v>60986</v>
      </c>
      <c r="D3204" t="s">
        <v>90</v>
      </c>
      <c r="E3204" s="7">
        <v>1635.44</v>
      </c>
      <c r="F3204" t="s">
        <v>20</v>
      </c>
      <c r="G3204" t="s">
        <v>21</v>
      </c>
      <c r="H3204" t="str">
        <f>"ADR201905228523"</f>
        <v>ADR201905228523</v>
      </c>
      <c r="I3204" t="str">
        <f>"INSURANCE"</f>
        <v>INSURANCE</v>
      </c>
    </row>
    <row r="3205" spans="1:9" x14ac:dyDescent="0.25">
      <c r="A3205" s="6">
        <v>43614</v>
      </c>
      <c r="B3205" t="s">
        <v>91</v>
      </c>
      <c r="C3205">
        <v>60986</v>
      </c>
      <c r="D3205" t="s">
        <v>90</v>
      </c>
      <c r="E3205" s="7">
        <v>1635.44</v>
      </c>
      <c r="F3205" t="s">
        <v>20</v>
      </c>
      <c r="G3205" t="s">
        <v>21</v>
      </c>
      <c r="H3205" t="str">
        <f>"AF1201905088520"</f>
        <v>AF1201905088520</v>
      </c>
      <c r="I3205" t="str">
        <f t="shared" ref="I3205:I3210" si="59">"AFLAC INSURANCE"</f>
        <v>AFLAC INSURANCE</v>
      </c>
    </row>
    <row r="3206" spans="1:9" x14ac:dyDescent="0.25">
      <c r="A3206" s="6">
        <v>43614</v>
      </c>
      <c r="B3206" t="s">
        <v>91</v>
      </c>
      <c r="C3206">
        <v>60986</v>
      </c>
      <c r="D3206" t="s">
        <v>90</v>
      </c>
      <c r="E3206" s="7">
        <v>1635.44</v>
      </c>
      <c r="F3206" t="s">
        <v>20</v>
      </c>
      <c r="G3206" t="s">
        <v>21</v>
      </c>
      <c r="H3206" t="str">
        <f>"AF1201905228523"</f>
        <v>AF1201905228523</v>
      </c>
      <c r="I3206" t="str">
        <f t="shared" si="59"/>
        <v>AFLAC INSURANCE</v>
      </c>
    </row>
    <row r="3207" spans="1:9" x14ac:dyDescent="0.25">
      <c r="A3207" s="6">
        <v>43614</v>
      </c>
      <c r="B3207" t="s">
        <v>91</v>
      </c>
      <c r="C3207">
        <v>60986</v>
      </c>
      <c r="D3207" t="s">
        <v>90</v>
      </c>
      <c r="E3207" s="7">
        <v>1635.44</v>
      </c>
      <c r="F3207" t="s">
        <v>20</v>
      </c>
      <c r="G3207" t="s">
        <v>21</v>
      </c>
      <c r="H3207" t="str">
        <f>"ASP201905088520"</f>
        <v>ASP201905088520</v>
      </c>
      <c r="I3207" t="str">
        <f t="shared" si="59"/>
        <v>AFLAC INSURANCE</v>
      </c>
    </row>
    <row r="3208" spans="1:9" x14ac:dyDescent="0.25">
      <c r="A3208" s="6">
        <v>43614</v>
      </c>
      <c r="B3208" t="s">
        <v>91</v>
      </c>
      <c r="C3208">
        <v>60986</v>
      </c>
      <c r="D3208" t="s">
        <v>90</v>
      </c>
      <c r="E3208" s="7">
        <v>1635.44</v>
      </c>
      <c r="F3208" t="s">
        <v>20</v>
      </c>
      <c r="G3208" t="s">
        <v>21</v>
      </c>
      <c r="H3208" t="str">
        <f>"ASP201905228523"</f>
        <v>ASP201905228523</v>
      </c>
      <c r="I3208" t="str">
        <f t="shared" si="59"/>
        <v>AFLAC INSURANCE</v>
      </c>
    </row>
    <row r="3209" spans="1:9" x14ac:dyDescent="0.25">
      <c r="A3209" s="6">
        <v>43614</v>
      </c>
      <c r="B3209" t="s">
        <v>91</v>
      </c>
      <c r="C3209">
        <v>60986</v>
      </c>
      <c r="D3209" t="s">
        <v>90</v>
      </c>
      <c r="E3209" s="7">
        <v>1635.44</v>
      </c>
      <c r="F3209" t="s">
        <v>20</v>
      </c>
      <c r="G3209" t="s">
        <v>21</v>
      </c>
      <c r="H3209" t="str">
        <f>"HCO201905088520"</f>
        <v>HCO201905088520</v>
      </c>
      <c r="I3209" t="str">
        <f t="shared" si="59"/>
        <v>AFLAC INSURANCE</v>
      </c>
    </row>
    <row r="3210" spans="1:9" x14ac:dyDescent="0.25">
      <c r="A3210" s="6">
        <v>43614</v>
      </c>
      <c r="B3210" t="s">
        <v>91</v>
      </c>
      <c r="C3210">
        <v>60986</v>
      </c>
      <c r="D3210" t="s">
        <v>90</v>
      </c>
      <c r="E3210" s="7">
        <v>1635.44</v>
      </c>
      <c r="F3210" t="s">
        <v>20</v>
      </c>
      <c r="G3210" t="s">
        <v>21</v>
      </c>
      <c r="H3210" t="str">
        <f>"HCO201905228523"</f>
        <v>HCO201905228523</v>
      </c>
      <c r="I3210" t="str">
        <f t="shared" si="59"/>
        <v>AFLAC INSURANCE</v>
      </c>
    </row>
    <row r="3211" spans="1:9" x14ac:dyDescent="0.25">
      <c r="A3211" s="6">
        <v>43614</v>
      </c>
      <c r="B3211" t="s">
        <v>91</v>
      </c>
      <c r="C3211">
        <v>60986</v>
      </c>
      <c r="D3211" t="s">
        <v>90</v>
      </c>
      <c r="E3211" s="7">
        <v>1635.44</v>
      </c>
      <c r="F3211" t="s">
        <v>20</v>
      </c>
      <c r="G3211" t="s">
        <v>93</v>
      </c>
      <c r="H3211" t="str">
        <f>"CHECK"</f>
        <v>CHECK</v>
      </c>
      <c r="I3211" t="str">
        <f>""</f>
        <v/>
      </c>
    </row>
    <row r="3212" spans="1:9" x14ac:dyDescent="0.25">
      <c r="A3212" s="6">
        <v>43614</v>
      </c>
      <c r="B3212" t="s">
        <v>26</v>
      </c>
      <c r="C3212">
        <v>60990</v>
      </c>
      <c r="D3212" t="s">
        <v>340</v>
      </c>
      <c r="E3212" s="7">
        <v>216.2</v>
      </c>
      <c r="F3212" t="s">
        <v>20</v>
      </c>
      <c r="G3212" t="s">
        <v>21</v>
      </c>
      <c r="H3212" t="str">
        <f>"1810-385554"</f>
        <v>1810-385554</v>
      </c>
      <c r="I3212" t="str">
        <f>"AUTO PARTS"</f>
        <v>AUTO PARTS</v>
      </c>
    </row>
    <row r="3213" spans="1:9" x14ac:dyDescent="0.25">
      <c r="A3213" s="6">
        <v>43614</v>
      </c>
      <c r="B3213" t="s">
        <v>91</v>
      </c>
      <c r="C3213">
        <v>60991</v>
      </c>
      <c r="D3213" t="s">
        <v>92</v>
      </c>
      <c r="E3213" s="7">
        <v>18818.02</v>
      </c>
      <c r="F3213" t="s">
        <v>20</v>
      </c>
      <c r="G3213" t="s">
        <v>21</v>
      </c>
      <c r="H3213" t="str">
        <f>"RET201905228523"</f>
        <v>RET201905228523</v>
      </c>
      <c r="I3213" t="str">
        <f>"TMRS CITY OF FLORESVILLE"</f>
        <v>TMRS CITY OF FLORESVILLE</v>
      </c>
    </row>
    <row r="3214" spans="1:9" x14ac:dyDescent="0.25">
      <c r="A3214" s="6">
        <v>43614</v>
      </c>
      <c r="B3214" t="s">
        <v>91</v>
      </c>
      <c r="C3214">
        <v>60991</v>
      </c>
      <c r="D3214" t="s">
        <v>92</v>
      </c>
      <c r="E3214" s="7">
        <v>18818.02</v>
      </c>
      <c r="F3214" t="s">
        <v>20</v>
      </c>
      <c r="G3214" t="s">
        <v>93</v>
      </c>
      <c r="H3214" t="str">
        <f>"CHECK"</f>
        <v>CHECK</v>
      </c>
      <c r="I3214" t="str">
        <f>""</f>
        <v/>
      </c>
    </row>
    <row r="3215" spans="1:9" x14ac:dyDescent="0.25">
      <c r="A3215" s="6">
        <v>43614</v>
      </c>
      <c r="B3215" t="s">
        <v>26</v>
      </c>
      <c r="C3215">
        <v>60993</v>
      </c>
      <c r="D3215" t="s">
        <v>169</v>
      </c>
      <c r="E3215" s="7">
        <v>32.92</v>
      </c>
      <c r="F3215" t="s">
        <v>20</v>
      </c>
      <c r="G3215" t="s">
        <v>21</v>
      </c>
      <c r="H3215" t="str">
        <f>"120053"</f>
        <v>120053</v>
      </c>
      <c r="I3215" t="str">
        <f>"THE POLICE AND SHERIFFS PRESS"</f>
        <v>THE POLICE AND SHERIFFS PRESS</v>
      </c>
    </row>
    <row r="3216" spans="1:9" x14ac:dyDescent="0.25">
      <c r="A3216" s="6">
        <v>43614</v>
      </c>
      <c r="B3216" t="s">
        <v>26</v>
      </c>
      <c r="C3216">
        <v>60994</v>
      </c>
      <c r="D3216" t="s">
        <v>63</v>
      </c>
      <c r="E3216" s="7">
        <v>404.17</v>
      </c>
      <c r="F3216" t="s">
        <v>20</v>
      </c>
      <c r="G3216" t="s">
        <v>21</v>
      </c>
      <c r="H3216" t="str">
        <f>"8404132936"</f>
        <v>8404132936</v>
      </c>
      <c r="I3216" t="str">
        <f>"CINTAS CORPORATION"</f>
        <v>CINTAS CORPORATION</v>
      </c>
    </row>
    <row r="3217" spans="1:9" x14ac:dyDescent="0.25">
      <c r="A3217" s="6">
        <v>43614</v>
      </c>
      <c r="B3217" t="s">
        <v>91</v>
      </c>
      <c r="C3217">
        <v>60995</v>
      </c>
      <c r="D3217" t="s">
        <v>95</v>
      </c>
      <c r="E3217" s="7">
        <v>59.98</v>
      </c>
      <c r="F3217" t="s">
        <v>20</v>
      </c>
      <c r="G3217" t="s">
        <v>21</v>
      </c>
      <c r="H3217" t="str">
        <f>"LEA201905088520"</f>
        <v>LEA201905088520</v>
      </c>
      <c r="I3217" t="str">
        <f>"INSURANCE"</f>
        <v>INSURANCE</v>
      </c>
    </row>
    <row r="3218" spans="1:9" x14ac:dyDescent="0.25">
      <c r="A3218" s="6">
        <v>43614</v>
      </c>
      <c r="B3218" t="s">
        <v>91</v>
      </c>
      <c r="C3218">
        <v>60995</v>
      </c>
      <c r="D3218" t="s">
        <v>95</v>
      </c>
      <c r="E3218" s="7">
        <v>59.98</v>
      </c>
      <c r="F3218" t="s">
        <v>20</v>
      </c>
      <c r="G3218" t="s">
        <v>21</v>
      </c>
      <c r="H3218" t="str">
        <f>"LEA201905228523"</f>
        <v>LEA201905228523</v>
      </c>
      <c r="I3218" t="str">
        <f>"INSURANCE"</f>
        <v>INSURANCE</v>
      </c>
    </row>
    <row r="3219" spans="1:9" x14ac:dyDescent="0.25">
      <c r="A3219" s="6">
        <v>43614</v>
      </c>
      <c r="B3219" t="s">
        <v>91</v>
      </c>
      <c r="C3219">
        <v>60995</v>
      </c>
      <c r="D3219" t="s">
        <v>95</v>
      </c>
      <c r="E3219" s="7">
        <v>59.98</v>
      </c>
      <c r="F3219" t="s">
        <v>20</v>
      </c>
      <c r="G3219" t="s">
        <v>93</v>
      </c>
      <c r="H3219" t="str">
        <f>"CHECK"</f>
        <v>CHECK</v>
      </c>
      <c r="I3219" t="str">
        <f>""</f>
        <v/>
      </c>
    </row>
    <row r="3220" spans="1:9" x14ac:dyDescent="0.25">
      <c r="A3220" s="6">
        <v>43614</v>
      </c>
      <c r="B3220" t="s">
        <v>26</v>
      </c>
      <c r="C3220">
        <v>60996</v>
      </c>
      <c r="D3220" t="s">
        <v>120</v>
      </c>
      <c r="E3220" s="7">
        <v>1800.89</v>
      </c>
      <c r="F3220" t="s">
        <v>20</v>
      </c>
      <c r="G3220" t="s">
        <v>21</v>
      </c>
      <c r="H3220" t="str">
        <f>"71105110"</f>
        <v>71105110</v>
      </c>
      <c r="I3220" t="str">
        <f>"VERIZON BUSINESS"</f>
        <v>VERIZON BUSINESS</v>
      </c>
    </row>
    <row r="3221" spans="1:9" x14ac:dyDescent="0.25">
      <c r="A3221" s="6">
        <v>43614</v>
      </c>
      <c r="B3221" t="s">
        <v>26</v>
      </c>
      <c r="C3221">
        <v>60996</v>
      </c>
      <c r="D3221" t="s">
        <v>120</v>
      </c>
      <c r="E3221" s="7">
        <v>1800.89</v>
      </c>
      <c r="F3221" t="s">
        <v>20</v>
      </c>
      <c r="G3221" t="s">
        <v>21</v>
      </c>
      <c r="H3221" t="str">
        <f>"71110480"</f>
        <v>71110480</v>
      </c>
      <c r="I3221" t="str">
        <f>"VERIZON BUSINESS"</f>
        <v>VERIZON BUSINESS</v>
      </c>
    </row>
    <row r="3222" spans="1:9" x14ac:dyDescent="0.25">
      <c r="A3222" s="6">
        <v>43614</v>
      </c>
      <c r="B3222" t="s">
        <v>26</v>
      </c>
      <c r="C3222">
        <v>60997</v>
      </c>
      <c r="D3222" t="s">
        <v>667</v>
      </c>
      <c r="E3222" s="7">
        <v>150.19</v>
      </c>
      <c r="F3222" t="s">
        <v>20</v>
      </c>
      <c r="G3222" t="s">
        <v>21</v>
      </c>
      <c r="H3222" t="str">
        <f>"ANML CLASS 5/30/19"</f>
        <v>ANML CLASS 5/30/19</v>
      </c>
      <c r="I3222" t="str">
        <f>"TRAVEL/TRAINING"</f>
        <v>TRAVEL/TRAINING</v>
      </c>
    </row>
    <row r="3223" spans="1:9" x14ac:dyDescent="0.25">
      <c r="A3223" s="6">
        <v>43614</v>
      </c>
      <c r="B3223" t="s">
        <v>26</v>
      </c>
      <c r="C3223">
        <v>60998</v>
      </c>
      <c r="D3223" t="s">
        <v>69</v>
      </c>
      <c r="E3223" s="7">
        <v>830</v>
      </c>
      <c r="F3223" t="s">
        <v>20</v>
      </c>
      <c r="G3223" t="s">
        <v>21</v>
      </c>
      <c r="H3223" t="str">
        <f>"3398215"</f>
        <v>3398215</v>
      </c>
      <c r="I3223" t="str">
        <f>"GEAR BOX/PLATE"</f>
        <v>GEAR BOX/PLATE</v>
      </c>
    </row>
    <row r="3224" spans="1:9" x14ac:dyDescent="0.25">
      <c r="A3224" s="6">
        <v>43614</v>
      </c>
      <c r="B3224" t="s">
        <v>91</v>
      </c>
      <c r="C3224">
        <v>60999</v>
      </c>
      <c r="D3224" t="s">
        <v>96</v>
      </c>
      <c r="E3224" s="7">
        <v>253.72</v>
      </c>
      <c r="F3224" t="s">
        <v>20</v>
      </c>
      <c r="G3224" t="s">
        <v>21</v>
      </c>
      <c r="H3224" t="str">
        <f>"PPL201905088520"</f>
        <v>PPL201905088520</v>
      </c>
      <c r="I3224" t="str">
        <f>"INSURANCE"</f>
        <v>INSURANCE</v>
      </c>
    </row>
    <row r="3225" spans="1:9" x14ac:dyDescent="0.25">
      <c r="A3225" s="6">
        <v>43614</v>
      </c>
      <c r="B3225" t="s">
        <v>91</v>
      </c>
      <c r="C3225">
        <v>60999</v>
      </c>
      <c r="D3225" t="s">
        <v>96</v>
      </c>
      <c r="E3225" s="7">
        <v>253.72</v>
      </c>
      <c r="F3225" t="s">
        <v>20</v>
      </c>
      <c r="G3225" t="s">
        <v>21</v>
      </c>
      <c r="H3225" t="str">
        <f>"PPL201905228523"</f>
        <v>PPL201905228523</v>
      </c>
      <c r="I3225" t="str">
        <f>"INSURANCE"</f>
        <v>INSURANCE</v>
      </c>
    </row>
    <row r="3226" spans="1:9" x14ac:dyDescent="0.25">
      <c r="A3226" s="6">
        <v>43614</v>
      </c>
      <c r="B3226" t="s">
        <v>91</v>
      </c>
      <c r="C3226">
        <v>60999</v>
      </c>
      <c r="D3226" t="s">
        <v>96</v>
      </c>
      <c r="E3226" s="7">
        <v>253.72</v>
      </c>
      <c r="F3226" t="s">
        <v>20</v>
      </c>
      <c r="G3226" t="s">
        <v>93</v>
      </c>
      <c r="H3226" t="str">
        <f>"CHECK"</f>
        <v>CHECK</v>
      </c>
      <c r="I3226" t="str">
        <f>""</f>
        <v/>
      </c>
    </row>
    <row r="3227" spans="1:9" x14ac:dyDescent="0.25">
      <c r="A3227" s="6">
        <v>43614</v>
      </c>
      <c r="B3227" t="s">
        <v>26</v>
      </c>
      <c r="C3227">
        <v>61000</v>
      </c>
      <c r="D3227" t="s">
        <v>632</v>
      </c>
      <c r="E3227" s="7">
        <v>350</v>
      </c>
      <c r="F3227" t="s">
        <v>20</v>
      </c>
      <c r="G3227" t="s">
        <v>21</v>
      </c>
      <c r="H3227" t="str">
        <f>"240559"</f>
        <v>240559</v>
      </c>
      <c r="I3227" t="str">
        <f>"TRAVEL/TRAINING"</f>
        <v>TRAVEL/TRAINING</v>
      </c>
    </row>
    <row r="3228" spans="1:9" x14ac:dyDescent="0.25">
      <c r="A3228" s="6">
        <v>43614</v>
      </c>
      <c r="B3228" t="s">
        <v>26</v>
      </c>
      <c r="C3228">
        <v>61001</v>
      </c>
      <c r="D3228" t="s">
        <v>74</v>
      </c>
      <c r="E3228" s="7">
        <v>25.1</v>
      </c>
      <c r="F3228" t="s">
        <v>20</v>
      </c>
      <c r="G3228" t="s">
        <v>21</v>
      </c>
      <c r="H3228" t="str">
        <f>"9829683293"</f>
        <v>9829683293</v>
      </c>
      <c r="I3228" t="str">
        <f>"VERIZON WIRELESS"</f>
        <v>VERIZON WIRELESS</v>
      </c>
    </row>
    <row r="3229" spans="1:9" x14ac:dyDescent="0.25">
      <c r="A3229" s="6">
        <v>43614</v>
      </c>
      <c r="B3229" t="s">
        <v>26</v>
      </c>
      <c r="C3229">
        <v>61002</v>
      </c>
      <c r="D3229" t="s">
        <v>123</v>
      </c>
      <c r="E3229" s="7">
        <v>243.5</v>
      </c>
      <c r="F3229" t="s">
        <v>20</v>
      </c>
      <c r="G3229" t="s">
        <v>21</v>
      </c>
      <c r="H3229" t="str">
        <f>"308931275001"</f>
        <v>308931275001</v>
      </c>
      <c r="I3229" t="str">
        <f>"CLEANING SUPPLIES"</f>
        <v>CLEANING SUPPLIES</v>
      </c>
    </row>
    <row r="3230" spans="1:9" x14ac:dyDescent="0.25">
      <c r="A3230" s="6">
        <v>43614</v>
      </c>
      <c r="B3230" t="s">
        <v>26</v>
      </c>
      <c r="C3230">
        <v>61002</v>
      </c>
      <c r="D3230" t="s">
        <v>123</v>
      </c>
      <c r="E3230" s="7">
        <v>243.5</v>
      </c>
      <c r="F3230" t="s">
        <v>20</v>
      </c>
      <c r="G3230" t="s">
        <v>21</v>
      </c>
      <c r="H3230" t="str">
        <f>"308932162001"</f>
        <v>308932162001</v>
      </c>
      <c r="I3230" t="str">
        <f>"CLEANING SUPPLIES"</f>
        <v>CLEANING SUPPLIES</v>
      </c>
    </row>
    <row r="3231" spans="1:9" x14ac:dyDescent="0.25">
      <c r="A3231" s="6">
        <v>43614</v>
      </c>
      <c r="B3231" t="s">
        <v>26</v>
      </c>
      <c r="C3231">
        <v>61002</v>
      </c>
      <c r="D3231" t="s">
        <v>123</v>
      </c>
      <c r="E3231" s="7">
        <v>243.5</v>
      </c>
      <c r="F3231" t="s">
        <v>20</v>
      </c>
      <c r="G3231" t="s">
        <v>21</v>
      </c>
      <c r="H3231" t="str">
        <f>"309702150001"</f>
        <v>309702150001</v>
      </c>
      <c r="I3231" t="str">
        <f>"OFFICE SUPPLIES"</f>
        <v>OFFICE SUPPLIES</v>
      </c>
    </row>
    <row r="3232" spans="1:9" x14ac:dyDescent="0.25">
      <c r="A3232" s="6">
        <v>43614</v>
      </c>
      <c r="B3232" t="s">
        <v>26</v>
      </c>
      <c r="C3232">
        <v>61002</v>
      </c>
      <c r="D3232" t="s">
        <v>123</v>
      </c>
      <c r="E3232" s="7">
        <v>243.5</v>
      </c>
      <c r="F3232" t="s">
        <v>20</v>
      </c>
      <c r="G3232" t="s">
        <v>21</v>
      </c>
      <c r="H3232" t="str">
        <f>"312575441001"</f>
        <v>312575441001</v>
      </c>
      <c r="I3232" t="str">
        <f>"OFFICE SUPPLIES"</f>
        <v>OFFICE SUPPLIES</v>
      </c>
    </row>
    <row r="3233" spans="1:9" x14ac:dyDescent="0.25">
      <c r="A3233" s="6">
        <v>43614</v>
      </c>
      <c r="B3233" t="s">
        <v>26</v>
      </c>
      <c r="C3233">
        <v>61004</v>
      </c>
      <c r="D3233" t="s">
        <v>137</v>
      </c>
      <c r="E3233" s="7">
        <v>121.9</v>
      </c>
      <c r="F3233" t="s">
        <v>20</v>
      </c>
      <c r="G3233" t="s">
        <v>21</v>
      </c>
      <c r="H3233" t="str">
        <f>"11744"</f>
        <v>11744</v>
      </c>
      <c r="I3233" t="str">
        <f>"OMNIBUS-M  INC.D.B.A."</f>
        <v>OMNIBUS-M  INC.D.B.A.</v>
      </c>
    </row>
    <row r="3234" spans="1:9" x14ac:dyDescent="0.25">
      <c r="A3234" s="6">
        <v>43614</v>
      </c>
      <c r="B3234" t="s">
        <v>26</v>
      </c>
      <c r="C3234">
        <v>61004</v>
      </c>
      <c r="D3234" t="s">
        <v>137</v>
      </c>
      <c r="E3234" s="7">
        <v>121.9</v>
      </c>
      <c r="F3234" t="s">
        <v>20</v>
      </c>
      <c r="G3234" t="s">
        <v>21</v>
      </c>
      <c r="H3234" t="str">
        <f>"11745"</f>
        <v>11745</v>
      </c>
      <c r="I3234" t="str">
        <f>"OMNIBUS-M  INC.D.B.A."</f>
        <v>OMNIBUS-M  INC.D.B.A.</v>
      </c>
    </row>
    <row r="3235" spans="1:9" x14ac:dyDescent="0.25">
      <c r="A3235" s="6">
        <v>43614</v>
      </c>
      <c r="B3235" t="s">
        <v>26</v>
      </c>
      <c r="C3235">
        <v>61005</v>
      </c>
      <c r="D3235" t="s">
        <v>77</v>
      </c>
      <c r="E3235" s="7">
        <v>874.75</v>
      </c>
      <c r="F3235" t="s">
        <v>20</v>
      </c>
      <c r="G3235" t="s">
        <v>21</v>
      </c>
      <c r="H3235" t="str">
        <f>"857000784-19"</f>
        <v>857000784-19</v>
      </c>
      <c r="I3235" t="str">
        <f>"CHOLORINE"</f>
        <v>CHOLORINE</v>
      </c>
    </row>
    <row r="3236" spans="1:9" x14ac:dyDescent="0.25">
      <c r="A3236" s="6">
        <v>43614</v>
      </c>
      <c r="B3236" t="s">
        <v>26</v>
      </c>
      <c r="C3236">
        <v>61005</v>
      </c>
      <c r="D3236" t="s">
        <v>77</v>
      </c>
      <c r="E3236" s="7">
        <v>874.75</v>
      </c>
      <c r="F3236" t="s">
        <v>20</v>
      </c>
      <c r="G3236" t="s">
        <v>21</v>
      </c>
      <c r="H3236" t="str">
        <f>"857000785-19"</f>
        <v>857000785-19</v>
      </c>
      <c r="I3236" t="str">
        <f>"CHOLORINE"</f>
        <v>CHOLORINE</v>
      </c>
    </row>
    <row r="3237" spans="1:9" x14ac:dyDescent="0.25">
      <c r="A3237" s="6">
        <v>43614</v>
      </c>
      <c r="B3237" t="s">
        <v>26</v>
      </c>
      <c r="C3237">
        <v>61005</v>
      </c>
      <c r="D3237" t="s">
        <v>77</v>
      </c>
      <c r="E3237" s="7">
        <v>874.75</v>
      </c>
      <c r="F3237" t="s">
        <v>20</v>
      </c>
      <c r="G3237" t="s">
        <v>21</v>
      </c>
      <c r="H3237" t="str">
        <f>"DE85000808-19"</f>
        <v>DE85000808-19</v>
      </c>
      <c r="I3237" t="str">
        <f>"DPC INDUSTRIES  INC."</f>
        <v>DPC INDUSTRIES  INC.</v>
      </c>
    </row>
    <row r="3238" spans="1:9" x14ac:dyDescent="0.25">
      <c r="A3238" s="6">
        <v>43614</v>
      </c>
      <c r="B3238" t="s">
        <v>26</v>
      </c>
      <c r="C3238">
        <v>61005</v>
      </c>
      <c r="D3238" t="s">
        <v>77</v>
      </c>
      <c r="E3238" s="7">
        <v>874.75</v>
      </c>
      <c r="F3238" t="s">
        <v>20</v>
      </c>
      <c r="G3238" t="s">
        <v>21</v>
      </c>
      <c r="H3238" t="str">
        <f>"DE85001016-19"</f>
        <v>DE85001016-19</v>
      </c>
      <c r="I3238" t="str">
        <f>"DPC INDUSTRIES  INC."</f>
        <v>DPC INDUSTRIES  INC.</v>
      </c>
    </row>
    <row r="3239" spans="1:9" x14ac:dyDescent="0.25">
      <c r="A3239" s="6">
        <v>43614</v>
      </c>
      <c r="B3239" t="s">
        <v>26</v>
      </c>
      <c r="C3239">
        <v>61006</v>
      </c>
      <c r="D3239" t="s">
        <v>124</v>
      </c>
      <c r="E3239" s="7">
        <v>431.78</v>
      </c>
      <c r="F3239" t="s">
        <v>20</v>
      </c>
      <c r="G3239" t="s">
        <v>21</v>
      </c>
      <c r="H3239" t="str">
        <f>"11172784"</f>
        <v>11172784</v>
      </c>
      <c r="I3239" t="str">
        <f>"MCCOY'S CORPORATION"</f>
        <v>MCCOY'S CORPORATION</v>
      </c>
    </row>
    <row r="3240" spans="1:9" x14ac:dyDescent="0.25">
      <c r="A3240" s="6">
        <v>43614</v>
      </c>
      <c r="B3240" t="s">
        <v>26</v>
      </c>
      <c r="C3240">
        <v>61006</v>
      </c>
      <c r="D3240" t="s">
        <v>124</v>
      </c>
      <c r="E3240" s="7">
        <v>431.78</v>
      </c>
      <c r="F3240" t="s">
        <v>20</v>
      </c>
      <c r="G3240" t="s">
        <v>21</v>
      </c>
      <c r="H3240" t="str">
        <f>"11172981"</f>
        <v>11172981</v>
      </c>
      <c r="I3240" t="str">
        <f>"MCCOY'S CORPORATION"</f>
        <v>MCCOY'S CORPORATION</v>
      </c>
    </row>
    <row r="3241" spans="1:9" x14ac:dyDescent="0.25">
      <c r="A3241" s="6">
        <v>43614</v>
      </c>
      <c r="B3241" t="s">
        <v>26</v>
      </c>
      <c r="C3241">
        <v>61006</v>
      </c>
      <c r="D3241" t="s">
        <v>124</v>
      </c>
      <c r="E3241" s="7">
        <v>431.78</v>
      </c>
      <c r="F3241" t="s">
        <v>20</v>
      </c>
      <c r="G3241" t="s">
        <v>21</v>
      </c>
      <c r="H3241" t="str">
        <f>"11173276"</f>
        <v>11173276</v>
      </c>
      <c r="I3241" t="str">
        <f>"SUPPLIES"</f>
        <v>SUPPLIES</v>
      </c>
    </row>
    <row r="3242" spans="1:9" x14ac:dyDescent="0.25">
      <c r="A3242" s="6">
        <v>43614</v>
      </c>
      <c r="B3242" t="s">
        <v>26</v>
      </c>
      <c r="C3242">
        <v>61007</v>
      </c>
      <c r="D3242" t="s">
        <v>79</v>
      </c>
      <c r="E3242" s="7">
        <v>18.57</v>
      </c>
      <c r="F3242" t="s">
        <v>20</v>
      </c>
      <c r="G3242" t="s">
        <v>21</v>
      </c>
      <c r="H3242" t="str">
        <f>"6-546-39276"</f>
        <v>6-546-39276</v>
      </c>
      <c r="I3242" t="str">
        <f>"FEDEX"</f>
        <v>FEDEX</v>
      </c>
    </row>
    <row r="3243" spans="1:9" x14ac:dyDescent="0.25">
      <c r="A3243" s="6">
        <v>43614</v>
      </c>
      <c r="B3243" t="s">
        <v>91</v>
      </c>
      <c r="C3243">
        <v>61008</v>
      </c>
      <c r="D3243" t="s">
        <v>97</v>
      </c>
      <c r="E3243" s="7">
        <v>63836.08</v>
      </c>
      <c r="F3243" t="s">
        <v>20</v>
      </c>
      <c r="G3243" t="s">
        <v>21</v>
      </c>
      <c r="H3243" t="str">
        <f>"DEN201905088520"</f>
        <v>DEN201905088520</v>
      </c>
      <c r="I3243" t="str">
        <f>"DENTAL INSURANCE"</f>
        <v>DENTAL INSURANCE</v>
      </c>
    </row>
    <row r="3244" spans="1:9" x14ac:dyDescent="0.25">
      <c r="A3244" s="6">
        <v>43614</v>
      </c>
      <c r="B3244" t="s">
        <v>91</v>
      </c>
      <c r="C3244">
        <v>61008</v>
      </c>
      <c r="D3244" t="s">
        <v>97</v>
      </c>
      <c r="E3244" s="7">
        <v>63836.08</v>
      </c>
      <c r="F3244" t="s">
        <v>20</v>
      </c>
      <c r="G3244" t="s">
        <v>21</v>
      </c>
      <c r="H3244" t="str">
        <f>"DEN201905228523"</f>
        <v>DEN201905228523</v>
      </c>
      <c r="I3244" t="str">
        <f>"DENTAL INSURANCE"</f>
        <v>DENTAL INSURANCE</v>
      </c>
    </row>
    <row r="3245" spans="1:9" x14ac:dyDescent="0.25">
      <c r="A3245" s="6">
        <v>43614</v>
      </c>
      <c r="B3245" t="s">
        <v>91</v>
      </c>
      <c r="C3245">
        <v>61008</v>
      </c>
      <c r="D3245" t="s">
        <v>97</v>
      </c>
      <c r="E3245" s="7">
        <v>63836.08</v>
      </c>
      <c r="F3245" t="s">
        <v>20</v>
      </c>
      <c r="G3245" t="s">
        <v>21</v>
      </c>
      <c r="H3245" t="str">
        <f>"MED201905088520"</f>
        <v>MED201905088520</v>
      </c>
      <c r="I3245" t="str">
        <f>"HEALTH &amp; DENTAL INSURANCE"</f>
        <v>HEALTH &amp; DENTAL INSURANCE</v>
      </c>
    </row>
    <row r="3246" spans="1:9" x14ac:dyDescent="0.25">
      <c r="A3246" s="6">
        <v>43614</v>
      </c>
      <c r="B3246" t="s">
        <v>91</v>
      </c>
      <c r="C3246">
        <v>61008</v>
      </c>
      <c r="D3246" t="s">
        <v>97</v>
      </c>
      <c r="E3246" s="7">
        <v>63836.08</v>
      </c>
      <c r="F3246" t="s">
        <v>20</v>
      </c>
      <c r="G3246" t="s">
        <v>21</v>
      </c>
      <c r="H3246" t="str">
        <f>"MED201905228523"</f>
        <v>MED201905228523</v>
      </c>
      <c r="I3246" t="str">
        <f>"HEALTH &amp; DENTAL INSURANCE"</f>
        <v>HEALTH &amp; DENTAL INSURANCE</v>
      </c>
    </row>
    <row r="3247" spans="1:9" x14ac:dyDescent="0.25">
      <c r="A3247" s="6">
        <v>43614</v>
      </c>
      <c r="B3247" t="s">
        <v>91</v>
      </c>
      <c r="C3247">
        <v>61008</v>
      </c>
      <c r="D3247" t="s">
        <v>97</v>
      </c>
      <c r="E3247" s="7">
        <v>63836.08</v>
      </c>
      <c r="F3247" t="s">
        <v>20</v>
      </c>
      <c r="G3247" t="s">
        <v>93</v>
      </c>
      <c r="H3247" t="str">
        <f>"CHECK"</f>
        <v>CHECK</v>
      </c>
      <c r="I3247" t="str">
        <f>""</f>
        <v/>
      </c>
    </row>
    <row r="3248" spans="1:9" x14ac:dyDescent="0.25">
      <c r="A3248" s="6">
        <v>43614</v>
      </c>
      <c r="B3248" t="s">
        <v>91</v>
      </c>
      <c r="C3248">
        <v>61012</v>
      </c>
      <c r="D3248" t="s">
        <v>98</v>
      </c>
      <c r="E3248" s="7">
        <v>3922.65</v>
      </c>
      <c r="F3248" t="s">
        <v>20</v>
      </c>
      <c r="G3248" t="s">
        <v>21</v>
      </c>
      <c r="H3248" t="str">
        <f>"STD201905088520"</f>
        <v>STD201905088520</v>
      </c>
      <c r="I3248" t="str">
        <f>"SHORT TERM DISABILITY"</f>
        <v>SHORT TERM DISABILITY</v>
      </c>
    </row>
    <row r="3249" spans="1:9" x14ac:dyDescent="0.25">
      <c r="A3249" s="6">
        <v>43614</v>
      </c>
      <c r="B3249" t="s">
        <v>91</v>
      </c>
      <c r="C3249">
        <v>61012</v>
      </c>
      <c r="D3249" t="s">
        <v>98</v>
      </c>
      <c r="E3249" s="7">
        <v>3922.65</v>
      </c>
      <c r="F3249" t="s">
        <v>20</v>
      </c>
      <c r="G3249" t="s">
        <v>21</v>
      </c>
      <c r="H3249" t="str">
        <f>"STD201905228523"</f>
        <v>STD201905228523</v>
      </c>
      <c r="I3249" t="str">
        <f>"SHORT TERM DISABILITY"</f>
        <v>SHORT TERM DISABILITY</v>
      </c>
    </row>
    <row r="3250" spans="1:9" x14ac:dyDescent="0.25">
      <c r="A3250" s="6">
        <v>43614</v>
      </c>
      <c r="B3250" t="s">
        <v>91</v>
      </c>
      <c r="C3250">
        <v>61012</v>
      </c>
      <c r="D3250" t="s">
        <v>98</v>
      </c>
      <c r="E3250" s="7">
        <v>3922.65</v>
      </c>
      <c r="F3250" t="s">
        <v>20</v>
      </c>
      <c r="G3250" t="s">
        <v>21</v>
      </c>
      <c r="H3250" t="str">
        <f>"VIS201905088520"</f>
        <v>VIS201905088520</v>
      </c>
      <c r="I3250" t="str">
        <f>"VISION INSURANCE"</f>
        <v>VISION INSURANCE</v>
      </c>
    </row>
    <row r="3251" spans="1:9" x14ac:dyDescent="0.25">
      <c r="A3251" s="6">
        <v>43614</v>
      </c>
      <c r="B3251" t="s">
        <v>91</v>
      </c>
      <c r="C3251">
        <v>61012</v>
      </c>
      <c r="D3251" t="s">
        <v>98</v>
      </c>
      <c r="E3251" s="7">
        <v>3922.65</v>
      </c>
      <c r="F3251" t="s">
        <v>20</v>
      </c>
      <c r="G3251" t="s">
        <v>21</v>
      </c>
      <c r="H3251" t="str">
        <f>"VIS201905228523"</f>
        <v>VIS201905228523</v>
      </c>
      <c r="I3251" t="str">
        <f>"VISION INSURANCE"</f>
        <v>VISION INSURANCE</v>
      </c>
    </row>
    <row r="3252" spans="1:9" x14ac:dyDescent="0.25">
      <c r="A3252" s="6">
        <v>43614</v>
      </c>
      <c r="B3252" t="s">
        <v>91</v>
      </c>
      <c r="C3252">
        <v>61012</v>
      </c>
      <c r="D3252" t="s">
        <v>98</v>
      </c>
      <c r="E3252" s="7">
        <v>3922.65</v>
      </c>
      <c r="F3252" t="s">
        <v>20</v>
      </c>
      <c r="G3252" t="s">
        <v>21</v>
      </c>
      <c r="H3252" t="str">
        <f>"VLC201905088520"</f>
        <v>VLC201905088520</v>
      </c>
      <c r="I3252" t="str">
        <f>"CHILD LIFE INSURANCE"</f>
        <v>CHILD LIFE INSURANCE</v>
      </c>
    </row>
    <row r="3253" spans="1:9" x14ac:dyDescent="0.25">
      <c r="A3253" s="6">
        <v>43614</v>
      </c>
      <c r="B3253" t="s">
        <v>91</v>
      </c>
      <c r="C3253">
        <v>61012</v>
      </c>
      <c r="D3253" t="s">
        <v>98</v>
      </c>
      <c r="E3253" s="7">
        <v>3922.65</v>
      </c>
      <c r="F3253" t="s">
        <v>20</v>
      </c>
      <c r="G3253" t="s">
        <v>21</v>
      </c>
      <c r="H3253" t="str">
        <f>"VLC201905228523"</f>
        <v>VLC201905228523</v>
      </c>
      <c r="I3253" t="str">
        <f>"CHILD LIFE INSURANCE"</f>
        <v>CHILD LIFE INSURANCE</v>
      </c>
    </row>
    <row r="3254" spans="1:9" x14ac:dyDescent="0.25">
      <c r="A3254" s="6">
        <v>43614</v>
      </c>
      <c r="B3254" t="s">
        <v>91</v>
      </c>
      <c r="C3254">
        <v>61012</v>
      </c>
      <c r="D3254" t="s">
        <v>98</v>
      </c>
      <c r="E3254" s="7">
        <v>3922.65</v>
      </c>
      <c r="F3254" t="s">
        <v>20</v>
      </c>
      <c r="G3254" t="s">
        <v>21</v>
      </c>
      <c r="H3254" t="str">
        <f>"VLS201905088520"</f>
        <v>VLS201905088520</v>
      </c>
      <c r="I3254" t="str">
        <f>"SPOUSE LIFE"</f>
        <v>SPOUSE LIFE</v>
      </c>
    </row>
    <row r="3255" spans="1:9" x14ac:dyDescent="0.25">
      <c r="A3255" s="6">
        <v>43614</v>
      </c>
      <c r="B3255" t="s">
        <v>91</v>
      </c>
      <c r="C3255">
        <v>61012</v>
      </c>
      <c r="D3255" t="s">
        <v>98</v>
      </c>
      <c r="E3255" s="7">
        <v>3922.65</v>
      </c>
      <c r="F3255" t="s">
        <v>20</v>
      </c>
      <c r="G3255" t="s">
        <v>21</v>
      </c>
      <c r="H3255" t="str">
        <f>"VLS201905228523"</f>
        <v>VLS201905228523</v>
      </c>
      <c r="I3255" t="str">
        <f>"SPOUSE LIFE"</f>
        <v>SPOUSE LIFE</v>
      </c>
    </row>
    <row r="3256" spans="1:9" x14ac:dyDescent="0.25">
      <c r="A3256" s="6">
        <v>43614</v>
      </c>
      <c r="B3256" t="s">
        <v>91</v>
      </c>
      <c r="C3256">
        <v>61012</v>
      </c>
      <c r="D3256" t="s">
        <v>98</v>
      </c>
      <c r="E3256" s="7">
        <v>3922.65</v>
      </c>
      <c r="F3256" t="s">
        <v>20</v>
      </c>
      <c r="G3256" t="s">
        <v>21</v>
      </c>
      <c r="H3256" t="str">
        <f>"VOE201905088520"</f>
        <v>VOE201905088520</v>
      </c>
      <c r="I3256" t="str">
        <f>"EMPLOYEE LIFE"</f>
        <v>EMPLOYEE LIFE</v>
      </c>
    </row>
    <row r="3257" spans="1:9" x14ac:dyDescent="0.25">
      <c r="A3257" s="6">
        <v>43614</v>
      </c>
      <c r="B3257" t="s">
        <v>91</v>
      </c>
      <c r="C3257">
        <v>61012</v>
      </c>
      <c r="D3257" t="s">
        <v>98</v>
      </c>
      <c r="E3257" s="7">
        <v>3922.65</v>
      </c>
      <c r="F3257" t="s">
        <v>20</v>
      </c>
      <c r="G3257" t="s">
        <v>21</v>
      </c>
      <c r="H3257" t="str">
        <f>"VOE201905228523"</f>
        <v>VOE201905228523</v>
      </c>
      <c r="I3257" t="str">
        <f>"EMPLOYEE LIFE"</f>
        <v>EMPLOYEE LIFE</v>
      </c>
    </row>
    <row r="3258" spans="1:9" x14ac:dyDescent="0.25">
      <c r="A3258" s="6">
        <v>43614</v>
      </c>
      <c r="B3258" t="s">
        <v>91</v>
      </c>
      <c r="C3258">
        <v>61012</v>
      </c>
      <c r="D3258" t="s">
        <v>98</v>
      </c>
      <c r="E3258" s="7">
        <v>3922.65</v>
      </c>
      <c r="F3258" t="s">
        <v>20</v>
      </c>
      <c r="G3258" t="s">
        <v>21</v>
      </c>
      <c r="H3258" t="str">
        <f>"VOL201905088520"</f>
        <v>VOL201905088520</v>
      </c>
      <c r="I3258" t="str">
        <f>"LIFE"</f>
        <v>LIFE</v>
      </c>
    </row>
    <row r="3259" spans="1:9" x14ac:dyDescent="0.25">
      <c r="A3259" s="6">
        <v>43614</v>
      </c>
      <c r="B3259" t="s">
        <v>91</v>
      </c>
      <c r="C3259">
        <v>61012</v>
      </c>
      <c r="D3259" t="s">
        <v>98</v>
      </c>
      <c r="E3259" s="7">
        <v>3922.65</v>
      </c>
      <c r="F3259" t="s">
        <v>20</v>
      </c>
      <c r="G3259" t="s">
        <v>21</v>
      </c>
      <c r="H3259" t="str">
        <f>"VOL201905228523"</f>
        <v>VOL201905228523</v>
      </c>
      <c r="I3259" t="str">
        <f>"LIFE"</f>
        <v>LIFE</v>
      </c>
    </row>
    <row r="3260" spans="1:9" x14ac:dyDescent="0.25">
      <c r="A3260" s="6">
        <v>43614</v>
      </c>
      <c r="B3260" t="s">
        <v>91</v>
      </c>
      <c r="C3260">
        <v>61012</v>
      </c>
      <c r="D3260" t="s">
        <v>98</v>
      </c>
      <c r="E3260" s="7">
        <v>3922.65</v>
      </c>
      <c r="F3260" t="s">
        <v>20</v>
      </c>
      <c r="G3260" t="s">
        <v>93</v>
      </c>
      <c r="H3260" t="str">
        <f>"CHECK"</f>
        <v>CHECK</v>
      </c>
      <c r="I3260" t="str">
        <f>""</f>
        <v/>
      </c>
    </row>
    <row r="3261" spans="1:9" x14ac:dyDescent="0.25">
      <c r="A3261" s="6">
        <v>43614</v>
      </c>
      <c r="B3261" t="s">
        <v>26</v>
      </c>
      <c r="C3261">
        <v>61020</v>
      </c>
      <c r="D3261" t="s">
        <v>194</v>
      </c>
      <c r="E3261" s="7">
        <v>440.16</v>
      </c>
      <c r="F3261" t="s">
        <v>20</v>
      </c>
      <c r="G3261" t="s">
        <v>21</v>
      </c>
      <c r="H3261" t="str">
        <f>"012580067"</f>
        <v>012580067</v>
      </c>
      <c r="I3261" t="str">
        <f>"UNIFORMS"</f>
        <v>UNIFORMS</v>
      </c>
    </row>
    <row r="3262" spans="1:9" x14ac:dyDescent="0.25">
      <c r="A3262" s="6">
        <v>43614</v>
      </c>
      <c r="B3262" t="s">
        <v>26</v>
      </c>
      <c r="C3262">
        <v>61020</v>
      </c>
      <c r="D3262" t="s">
        <v>194</v>
      </c>
      <c r="E3262" s="7">
        <v>440.16</v>
      </c>
      <c r="F3262" t="s">
        <v>20</v>
      </c>
      <c r="G3262" t="s">
        <v>21</v>
      </c>
      <c r="H3262" t="str">
        <f>"BC0818851"</f>
        <v>BC0818851</v>
      </c>
      <c r="I3262" t="str">
        <f>"PD EQUIPMENT"</f>
        <v>PD EQUIPMENT</v>
      </c>
    </row>
    <row r="3263" spans="1:9" x14ac:dyDescent="0.25">
      <c r="A3263" s="6">
        <v>43614</v>
      </c>
      <c r="B3263" t="s">
        <v>26</v>
      </c>
      <c r="C3263">
        <v>61021</v>
      </c>
      <c r="D3263" t="s">
        <v>200</v>
      </c>
      <c r="E3263" s="7">
        <v>18600</v>
      </c>
      <c r="F3263" t="s">
        <v>20</v>
      </c>
      <c r="G3263" t="s">
        <v>21</v>
      </c>
      <c r="H3263" t="str">
        <f>"130"</f>
        <v>130</v>
      </c>
      <c r="I3263" t="str">
        <f>"MARIO AVILES"</f>
        <v>MARIO AVILES</v>
      </c>
    </row>
    <row r="3264" spans="1:9" x14ac:dyDescent="0.25">
      <c r="A3264" s="6">
        <v>43614</v>
      </c>
      <c r="B3264" t="s">
        <v>26</v>
      </c>
      <c r="C3264">
        <v>61022</v>
      </c>
      <c r="D3264" t="s">
        <v>288</v>
      </c>
      <c r="E3264" s="7">
        <v>300</v>
      </c>
      <c r="F3264" t="s">
        <v>20</v>
      </c>
      <c r="G3264" t="s">
        <v>21</v>
      </c>
      <c r="H3264" t="str">
        <f>"SI-1590892"</f>
        <v>SI-1590892</v>
      </c>
      <c r="I3264" t="str">
        <f>"TAZER 7 TARGET"</f>
        <v>TAZER 7 TARGET</v>
      </c>
    </row>
    <row r="3265" spans="1:9" x14ac:dyDescent="0.25">
      <c r="A3265" s="6">
        <v>43614</v>
      </c>
      <c r="B3265" t="s">
        <v>26</v>
      </c>
      <c r="C3265">
        <v>61023</v>
      </c>
      <c r="D3265" t="s">
        <v>629</v>
      </c>
      <c r="E3265" s="7">
        <v>146</v>
      </c>
      <c r="F3265" t="s">
        <v>20</v>
      </c>
      <c r="G3265" t="s">
        <v>21</v>
      </c>
      <c r="H3265" t="str">
        <f>"37201"</f>
        <v>37201</v>
      </c>
      <c r="I3265" t="str">
        <f>"ROAD SIGNS"</f>
        <v>ROAD SIGNS</v>
      </c>
    </row>
    <row r="3266" spans="1:9" x14ac:dyDescent="0.25">
      <c r="A3266" s="6">
        <v>43614</v>
      </c>
      <c r="B3266" t="s">
        <v>26</v>
      </c>
      <c r="C3266">
        <v>61024</v>
      </c>
      <c r="D3266" t="s">
        <v>644</v>
      </c>
      <c r="E3266" s="7">
        <v>736.84</v>
      </c>
      <c r="F3266" t="s">
        <v>20</v>
      </c>
      <c r="G3266" t="s">
        <v>21</v>
      </c>
      <c r="H3266" t="str">
        <f>"8213311589"</f>
        <v>8213311589</v>
      </c>
      <c r="I3266" t="str">
        <f t="shared" ref="I3266:I3277" si="60">"UNIFIRST CORPORATION"</f>
        <v>UNIFIRST CORPORATION</v>
      </c>
    </row>
    <row r="3267" spans="1:9" x14ac:dyDescent="0.25">
      <c r="A3267" s="6">
        <v>43614</v>
      </c>
      <c r="B3267" t="s">
        <v>26</v>
      </c>
      <c r="C3267">
        <v>61024</v>
      </c>
      <c r="D3267" t="s">
        <v>644</v>
      </c>
      <c r="E3267" s="7">
        <v>736.84</v>
      </c>
      <c r="F3267" t="s">
        <v>20</v>
      </c>
      <c r="G3267" t="s">
        <v>21</v>
      </c>
      <c r="H3267" t="str">
        <f>"8213311590"</f>
        <v>8213311590</v>
      </c>
      <c r="I3267" t="str">
        <f t="shared" si="60"/>
        <v>UNIFIRST CORPORATION</v>
      </c>
    </row>
    <row r="3268" spans="1:9" x14ac:dyDescent="0.25">
      <c r="A3268" s="6">
        <v>43614</v>
      </c>
      <c r="B3268" t="s">
        <v>26</v>
      </c>
      <c r="C3268">
        <v>61024</v>
      </c>
      <c r="D3268" t="s">
        <v>644</v>
      </c>
      <c r="E3268" s="7">
        <v>736.84</v>
      </c>
      <c r="F3268" t="s">
        <v>20</v>
      </c>
      <c r="G3268" t="s">
        <v>21</v>
      </c>
      <c r="H3268" t="str">
        <f>"8213311591"</f>
        <v>8213311591</v>
      </c>
      <c r="I3268" t="str">
        <f t="shared" si="60"/>
        <v>UNIFIRST CORPORATION</v>
      </c>
    </row>
    <row r="3269" spans="1:9" x14ac:dyDescent="0.25">
      <c r="A3269" s="6">
        <v>43614</v>
      </c>
      <c r="B3269" t="s">
        <v>26</v>
      </c>
      <c r="C3269">
        <v>61024</v>
      </c>
      <c r="D3269" t="s">
        <v>644</v>
      </c>
      <c r="E3269" s="7">
        <v>736.84</v>
      </c>
      <c r="F3269" t="s">
        <v>20</v>
      </c>
      <c r="G3269" t="s">
        <v>21</v>
      </c>
      <c r="H3269" t="str">
        <f>"8213311592"</f>
        <v>8213311592</v>
      </c>
      <c r="I3269" t="str">
        <f t="shared" si="60"/>
        <v>UNIFIRST CORPORATION</v>
      </c>
    </row>
    <row r="3270" spans="1:9" x14ac:dyDescent="0.25">
      <c r="A3270" s="6">
        <v>43614</v>
      </c>
      <c r="B3270" t="s">
        <v>26</v>
      </c>
      <c r="C3270">
        <v>61024</v>
      </c>
      <c r="D3270" t="s">
        <v>644</v>
      </c>
      <c r="E3270" s="7">
        <v>736.84</v>
      </c>
      <c r="F3270" t="s">
        <v>20</v>
      </c>
      <c r="G3270" t="s">
        <v>21</v>
      </c>
      <c r="H3270" t="str">
        <f>"8213311593"</f>
        <v>8213311593</v>
      </c>
      <c r="I3270" t="str">
        <f t="shared" si="60"/>
        <v>UNIFIRST CORPORATION</v>
      </c>
    </row>
    <row r="3271" spans="1:9" x14ac:dyDescent="0.25">
      <c r="A3271" s="6">
        <v>43614</v>
      </c>
      <c r="B3271" t="s">
        <v>26</v>
      </c>
      <c r="C3271">
        <v>61024</v>
      </c>
      <c r="D3271" t="s">
        <v>644</v>
      </c>
      <c r="E3271" s="7">
        <v>736.84</v>
      </c>
      <c r="F3271" t="s">
        <v>20</v>
      </c>
      <c r="G3271" t="s">
        <v>21</v>
      </c>
      <c r="H3271" t="str">
        <f>"8213311594"</f>
        <v>8213311594</v>
      </c>
      <c r="I3271" t="str">
        <f t="shared" si="60"/>
        <v>UNIFIRST CORPORATION</v>
      </c>
    </row>
    <row r="3272" spans="1:9" x14ac:dyDescent="0.25">
      <c r="A3272" s="6">
        <v>43614</v>
      </c>
      <c r="B3272" t="s">
        <v>26</v>
      </c>
      <c r="C3272">
        <v>61024</v>
      </c>
      <c r="D3272" t="s">
        <v>644</v>
      </c>
      <c r="E3272" s="7">
        <v>736.84</v>
      </c>
      <c r="F3272" t="s">
        <v>20</v>
      </c>
      <c r="G3272" t="s">
        <v>21</v>
      </c>
      <c r="H3272" t="str">
        <f>"8213316998"</f>
        <v>8213316998</v>
      </c>
      <c r="I3272" t="str">
        <f t="shared" si="60"/>
        <v>UNIFIRST CORPORATION</v>
      </c>
    </row>
    <row r="3273" spans="1:9" x14ac:dyDescent="0.25">
      <c r="A3273" s="6">
        <v>43614</v>
      </c>
      <c r="B3273" t="s">
        <v>26</v>
      </c>
      <c r="C3273">
        <v>61024</v>
      </c>
      <c r="D3273" t="s">
        <v>644</v>
      </c>
      <c r="E3273" s="7">
        <v>736.84</v>
      </c>
      <c r="F3273" t="s">
        <v>20</v>
      </c>
      <c r="G3273" t="s">
        <v>21</v>
      </c>
      <c r="H3273" t="str">
        <f>"8213316999"</f>
        <v>8213316999</v>
      </c>
      <c r="I3273" t="str">
        <f t="shared" si="60"/>
        <v>UNIFIRST CORPORATION</v>
      </c>
    </row>
    <row r="3274" spans="1:9" x14ac:dyDescent="0.25">
      <c r="A3274" s="6">
        <v>43614</v>
      </c>
      <c r="B3274" t="s">
        <v>26</v>
      </c>
      <c r="C3274">
        <v>61024</v>
      </c>
      <c r="D3274" t="s">
        <v>644</v>
      </c>
      <c r="E3274" s="7">
        <v>736.84</v>
      </c>
      <c r="F3274" t="s">
        <v>20</v>
      </c>
      <c r="G3274" t="s">
        <v>21</v>
      </c>
      <c r="H3274" t="str">
        <f>"8213317000"</f>
        <v>8213317000</v>
      </c>
      <c r="I3274" t="str">
        <f t="shared" si="60"/>
        <v>UNIFIRST CORPORATION</v>
      </c>
    </row>
    <row r="3275" spans="1:9" x14ac:dyDescent="0.25">
      <c r="A3275" s="6">
        <v>43614</v>
      </c>
      <c r="B3275" t="s">
        <v>26</v>
      </c>
      <c r="C3275">
        <v>61024</v>
      </c>
      <c r="D3275" t="s">
        <v>644</v>
      </c>
      <c r="E3275" s="7">
        <v>736.84</v>
      </c>
      <c r="F3275" t="s">
        <v>20</v>
      </c>
      <c r="G3275" t="s">
        <v>21</v>
      </c>
      <c r="H3275" t="str">
        <f>"8213317001"</f>
        <v>8213317001</v>
      </c>
      <c r="I3275" t="str">
        <f t="shared" si="60"/>
        <v>UNIFIRST CORPORATION</v>
      </c>
    </row>
    <row r="3276" spans="1:9" x14ac:dyDescent="0.25">
      <c r="A3276" s="6">
        <v>43614</v>
      </c>
      <c r="B3276" t="s">
        <v>26</v>
      </c>
      <c r="C3276">
        <v>61024</v>
      </c>
      <c r="D3276" t="s">
        <v>644</v>
      </c>
      <c r="E3276" s="7">
        <v>736.84</v>
      </c>
      <c r="F3276" t="s">
        <v>20</v>
      </c>
      <c r="G3276" t="s">
        <v>21</v>
      </c>
      <c r="H3276" t="str">
        <f>"8213317002"</f>
        <v>8213317002</v>
      </c>
      <c r="I3276" t="str">
        <f t="shared" si="60"/>
        <v>UNIFIRST CORPORATION</v>
      </c>
    </row>
    <row r="3277" spans="1:9" x14ac:dyDescent="0.25">
      <c r="A3277" s="6">
        <v>43614</v>
      </c>
      <c r="B3277" t="s">
        <v>26</v>
      </c>
      <c r="C3277">
        <v>61024</v>
      </c>
      <c r="D3277" t="s">
        <v>644</v>
      </c>
      <c r="E3277" s="7">
        <v>736.84</v>
      </c>
      <c r="F3277" t="s">
        <v>20</v>
      </c>
      <c r="G3277" t="s">
        <v>21</v>
      </c>
      <c r="H3277" t="str">
        <f>"8213317003"</f>
        <v>8213317003</v>
      </c>
      <c r="I3277" t="str">
        <f t="shared" si="60"/>
        <v>UNIFIRST CORPORATION</v>
      </c>
    </row>
    <row r="3278" spans="1:9" x14ac:dyDescent="0.25">
      <c r="A3278" s="6">
        <v>43614</v>
      </c>
      <c r="B3278" t="s">
        <v>26</v>
      </c>
      <c r="C3278">
        <v>61027</v>
      </c>
      <c r="D3278" t="s">
        <v>727</v>
      </c>
      <c r="E3278" s="7">
        <v>2290</v>
      </c>
      <c r="F3278" t="s">
        <v>20</v>
      </c>
      <c r="G3278" t="s">
        <v>21</v>
      </c>
      <c r="H3278" t="str">
        <f>"10701"</f>
        <v>10701</v>
      </c>
      <c r="I3278" t="str">
        <f>"CLEANER/DEGREASER"</f>
        <v>CLEANER/DEGREASER</v>
      </c>
    </row>
    <row r="3279" spans="1:9" x14ac:dyDescent="0.25">
      <c r="A3279" s="6">
        <v>43614</v>
      </c>
      <c r="B3279" t="s">
        <v>91</v>
      </c>
      <c r="C3279">
        <v>61028</v>
      </c>
      <c r="D3279" t="s">
        <v>723</v>
      </c>
      <c r="E3279" s="7">
        <v>225</v>
      </c>
      <c r="F3279" t="s">
        <v>20</v>
      </c>
      <c r="G3279" t="s">
        <v>21</v>
      </c>
      <c r="H3279" t="str">
        <f>"TRAINING 5/30/219"</f>
        <v>TRAINING 5/30/219</v>
      </c>
      <c r="I3279" t="str">
        <f>"TRAINING/TRAVEL"</f>
        <v>TRAINING/TRAVEL</v>
      </c>
    </row>
    <row r="3280" spans="1:9" x14ac:dyDescent="0.25">
      <c r="A3280" s="6">
        <v>43614</v>
      </c>
      <c r="B3280" t="s">
        <v>91</v>
      </c>
      <c r="C3280">
        <v>61028</v>
      </c>
      <c r="D3280" t="s">
        <v>723</v>
      </c>
      <c r="E3280" s="7">
        <v>225</v>
      </c>
      <c r="F3280" t="s">
        <v>20</v>
      </c>
      <c r="G3280" t="s">
        <v>93</v>
      </c>
      <c r="H3280" t="str">
        <f>"CHECK"</f>
        <v>CHECK</v>
      </c>
      <c r="I3280" t="str">
        <f>""</f>
        <v/>
      </c>
    </row>
    <row r="3281" spans="1:9" x14ac:dyDescent="0.25">
      <c r="A3281" s="6">
        <v>43614</v>
      </c>
      <c r="B3281" t="s">
        <v>26</v>
      </c>
      <c r="C3281">
        <v>61029</v>
      </c>
      <c r="D3281" t="s">
        <v>57</v>
      </c>
      <c r="E3281" s="7">
        <v>23527.97</v>
      </c>
      <c r="F3281" t="s">
        <v>20</v>
      </c>
      <c r="G3281" t="s">
        <v>21</v>
      </c>
      <c r="H3281" t="str">
        <f>"11617 ST LTS 6/19"</f>
        <v>11617 ST LTS 6/19</v>
      </c>
      <c r="I3281" t="str">
        <f>"F.E.L.P.S."</f>
        <v>F.E.L.P.S.</v>
      </c>
    </row>
    <row r="3282" spans="1:9" x14ac:dyDescent="0.25">
      <c r="A3282" s="6">
        <v>43614</v>
      </c>
      <c r="B3282" t="s">
        <v>26</v>
      </c>
      <c r="C3282">
        <v>61030</v>
      </c>
      <c r="D3282" t="s">
        <v>103</v>
      </c>
      <c r="E3282" s="7">
        <v>73948.19</v>
      </c>
      <c r="F3282" t="s">
        <v>20</v>
      </c>
      <c r="G3282" t="s">
        <v>21</v>
      </c>
      <c r="H3282" t="str">
        <f>"MAY SALES TAX"</f>
        <v>MAY SALES TAX</v>
      </c>
      <c r="I3282" t="str">
        <f>"F. E. D. C."</f>
        <v>F. E. D. C.</v>
      </c>
    </row>
    <row r="3283" spans="1:9" x14ac:dyDescent="0.25">
      <c r="A3283" s="6">
        <v>43614</v>
      </c>
      <c r="B3283" t="s">
        <v>26</v>
      </c>
      <c r="C3283">
        <v>61031</v>
      </c>
      <c r="D3283" t="s">
        <v>105</v>
      </c>
      <c r="E3283" s="7">
        <v>7</v>
      </c>
      <c r="F3283" t="s">
        <v>20</v>
      </c>
      <c r="G3283" t="s">
        <v>21</v>
      </c>
      <c r="H3283" t="str">
        <f>"323653"</f>
        <v>323653</v>
      </c>
      <c r="I3283" t="str">
        <f>"STATE INSPECTION"</f>
        <v>STATE INSPECTION</v>
      </c>
    </row>
    <row r="3284" spans="1:9" x14ac:dyDescent="0.25">
      <c r="A3284" s="6">
        <v>43614</v>
      </c>
      <c r="B3284" t="s">
        <v>26</v>
      </c>
      <c r="C3284">
        <v>61032</v>
      </c>
      <c r="D3284" t="s">
        <v>166</v>
      </c>
      <c r="E3284" s="7">
        <v>601</v>
      </c>
      <c r="F3284" t="s">
        <v>20</v>
      </c>
      <c r="G3284" t="s">
        <v>21</v>
      </c>
      <c r="H3284" t="str">
        <f>"9567- 5/20/19"</f>
        <v>9567- 5/20/19</v>
      </c>
      <c r="I3284" t="str">
        <f>"PITNEY BOWES PURCHASE POWER"</f>
        <v>PITNEY BOWES PURCHASE POWER</v>
      </c>
    </row>
    <row r="3285" spans="1:9" x14ac:dyDescent="0.25">
      <c r="A3285" s="6">
        <v>43614</v>
      </c>
      <c r="B3285" t="s">
        <v>26</v>
      </c>
      <c r="C3285">
        <v>61033</v>
      </c>
      <c r="D3285" t="s">
        <v>273</v>
      </c>
      <c r="E3285" s="7">
        <v>2790.32</v>
      </c>
      <c r="F3285" t="s">
        <v>20</v>
      </c>
      <c r="G3285" t="s">
        <v>21</v>
      </c>
      <c r="H3285" t="str">
        <f>"5119-000088531"</f>
        <v>5119-000088531</v>
      </c>
      <c r="I3285" t="str">
        <f>"REPUBLIC SERVICES TESSMAN ROAD"</f>
        <v>REPUBLIC SERVICES TESSMAN ROAD</v>
      </c>
    </row>
    <row r="3286" spans="1:9" x14ac:dyDescent="0.25">
      <c r="A3286" s="6">
        <v>43614</v>
      </c>
      <c r="B3286" t="s">
        <v>26</v>
      </c>
      <c r="C3286">
        <v>61034</v>
      </c>
      <c r="D3286" t="s">
        <v>108</v>
      </c>
      <c r="E3286" s="7">
        <v>2435.58</v>
      </c>
      <c r="F3286" t="s">
        <v>20</v>
      </c>
      <c r="G3286" t="s">
        <v>21</v>
      </c>
      <c r="H3286" t="str">
        <f>"041295621414"</f>
        <v>041295621414</v>
      </c>
      <c r="I3286" t="str">
        <f>"POOLSURE"</f>
        <v>POOLSURE</v>
      </c>
    </row>
    <row r="3287" spans="1:9" x14ac:dyDescent="0.25">
      <c r="A3287" s="6">
        <v>43614</v>
      </c>
      <c r="B3287" t="s">
        <v>26</v>
      </c>
      <c r="C3287">
        <v>61035</v>
      </c>
      <c r="D3287" t="s">
        <v>340</v>
      </c>
      <c r="E3287" s="7">
        <v>60.67</v>
      </c>
      <c r="F3287" t="s">
        <v>20</v>
      </c>
      <c r="G3287" t="s">
        <v>21</v>
      </c>
      <c r="H3287" t="str">
        <f>"1810-386916"</f>
        <v>1810-386916</v>
      </c>
      <c r="I3287" t="str">
        <f>"STABILIZER UNIT"</f>
        <v>STABILIZER UNIT</v>
      </c>
    </row>
    <row r="3288" spans="1:9" x14ac:dyDescent="0.25">
      <c r="A3288" s="6">
        <v>43614</v>
      </c>
      <c r="B3288" t="s">
        <v>26</v>
      </c>
      <c r="C3288">
        <v>61036</v>
      </c>
      <c r="D3288" t="s">
        <v>181</v>
      </c>
      <c r="E3288" s="7">
        <v>42.16</v>
      </c>
      <c r="F3288" t="s">
        <v>20</v>
      </c>
      <c r="G3288" t="s">
        <v>21</v>
      </c>
      <c r="H3288" t="str">
        <f>"3933186 5/19"</f>
        <v>3933186 5/19</v>
      </c>
      <c r="I3288" t="str">
        <f>"AT&amp;T"</f>
        <v>AT&amp;T</v>
      </c>
    </row>
    <row r="3289" spans="1:9" x14ac:dyDescent="0.25">
      <c r="A3289" s="6">
        <v>43614</v>
      </c>
      <c r="B3289" t="s">
        <v>26</v>
      </c>
      <c r="C3289">
        <v>61037</v>
      </c>
      <c r="D3289" t="s">
        <v>61</v>
      </c>
      <c r="E3289" s="7">
        <v>3326.82</v>
      </c>
      <c r="F3289" t="s">
        <v>20</v>
      </c>
      <c r="G3289" t="s">
        <v>21</v>
      </c>
      <c r="H3289" t="str">
        <f>"025-258149"</f>
        <v>025-258149</v>
      </c>
      <c r="I3289" t="str">
        <f>"TYLER TECHNOLOGIES  INC."</f>
        <v>TYLER TECHNOLOGIES  INC.</v>
      </c>
    </row>
    <row r="3290" spans="1:9" x14ac:dyDescent="0.25">
      <c r="A3290" s="6">
        <v>43614</v>
      </c>
      <c r="B3290" t="s">
        <v>26</v>
      </c>
      <c r="C3290">
        <v>61037</v>
      </c>
      <c r="D3290" t="s">
        <v>61</v>
      </c>
      <c r="E3290" s="7">
        <v>3326.82</v>
      </c>
      <c r="F3290" t="s">
        <v>20</v>
      </c>
      <c r="G3290" t="s">
        <v>21</v>
      </c>
      <c r="H3290" t="str">
        <f>"025-259150"</f>
        <v>025-259150</v>
      </c>
      <c r="I3290" t="str">
        <f>"TYLER TECHNOLOGIES  INC."</f>
        <v>TYLER TECHNOLOGIES  INC.</v>
      </c>
    </row>
    <row r="3291" spans="1:9" x14ac:dyDescent="0.25">
      <c r="A3291" s="6">
        <v>43614</v>
      </c>
      <c r="B3291" t="s">
        <v>26</v>
      </c>
      <c r="C3291">
        <v>61038</v>
      </c>
      <c r="D3291" t="s">
        <v>62</v>
      </c>
      <c r="E3291" s="7">
        <v>750</v>
      </c>
      <c r="F3291" t="s">
        <v>20</v>
      </c>
      <c r="G3291" t="s">
        <v>21</v>
      </c>
      <c r="H3291" t="str">
        <f>"A.MARTINEZ 5/20/19"</f>
        <v>A.MARTINEZ 5/20/19</v>
      </c>
      <c r="I3291" t="str">
        <f>"PROFICIENT BENEFIT SOLUTIONS"</f>
        <v>PROFICIENT BENEFIT SOLUTIONS</v>
      </c>
    </row>
    <row r="3292" spans="1:9" x14ac:dyDescent="0.25">
      <c r="A3292" s="6">
        <v>43614</v>
      </c>
      <c r="B3292" t="s">
        <v>26</v>
      </c>
      <c r="C3292">
        <v>61039</v>
      </c>
      <c r="D3292" t="s">
        <v>115</v>
      </c>
      <c r="E3292" s="7">
        <v>2.79</v>
      </c>
      <c r="F3292" t="s">
        <v>20</v>
      </c>
      <c r="G3292" t="s">
        <v>21</v>
      </c>
      <c r="H3292" t="str">
        <f>"3547428206"</f>
        <v>3547428206</v>
      </c>
      <c r="I3292" t="str">
        <f>"OIL FILTER"</f>
        <v>OIL FILTER</v>
      </c>
    </row>
    <row r="3293" spans="1:9" x14ac:dyDescent="0.25">
      <c r="A3293" s="6">
        <v>43614</v>
      </c>
      <c r="B3293" t="s">
        <v>26</v>
      </c>
      <c r="C3293">
        <v>61040</v>
      </c>
      <c r="D3293" t="s">
        <v>63</v>
      </c>
      <c r="E3293" s="7">
        <v>757.49</v>
      </c>
      <c r="F3293" t="s">
        <v>20</v>
      </c>
      <c r="G3293" t="s">
        <v>21</v>
      </c>
      <c r="H3293" t="str">
        <f>"8404148259"</f>
        <v>8404148259</v>
      </c>
      <c r="I3293" t="str">
        <f>"CINTAS CORPORATION"</f>
        <v>CINTAS CORPORATION</v>
      </c>
    </row>
    <row r="3294" spans="1:9" x14ac:dyDescent="0.25">
      <c r="A3294" s="6">
        <v>43614</v>
      </c>
      <c r="B3294" t="s">
        <v>26</v>
      </c>
      <c r="C3294">
        <v>61041</v>
      </c>
      <c r="D3294" t="s">
        <v>64</v>
      </c>
      <c r="E3294" s="7">
        <v>968</v>
      </c>
      <c r="F3294" t="s">
        <v>20</v>
      </c>
      <c r="G3294" t="s">
        <v>21</v>
      </c>
      <c r="H3294" t="str">
        <f>"7821"</f>
        <v>7821</v>
      </c>
      <c r="I3294" t="str">
        <f>"DREWA DESIGNS  INC."</f>
        <v>DREWA DESIGNS  INC.</v>
      </c>
    </row>
    <row r="3295" spans="1:9" x14ac:dyDescent="0.25">
      <c r="A3295" s="6">
        <v>43614</v>
      </c>
      <c r="B3295" t="s">
        <v>26</v>
      </c>
      <c r="C3295">
        <v>61042</v>
      </c>
      <c r="D3295" t="s">
        <v>117</v>
      </c>
      <c r="E3295" s="7">
        <v>2158.85</v>
      </c>
      <c r="F3295" t="s">
        <v>20</v>
      </c>
      <c r="G3295" t="s">
        <v>21</v>
      </c>
      <c r="H3295" t="str">
        <f>"APRIL 2019"</f>
        <v>APRIL 2019</v>
      </c>
      <c r="I3295" t="str">
        <f>"LINEBARGER GOGGAN BLAIR &amp; SAMP"</f>
        <v>LINEBARGER GOGGAN BLAIR &amp; SAMP</v>
      </c>
    </row>
    <row r="3296" spans="1:9" x14ac:dyDescent="0.25">
      <c r="A3296" s="6">
        <v>43614</v>
      </c>
      <c r="B3296" t="s">
        <v>26</v>
      </c>
      <c r="C3296">
        <v>61042</v>
      </c>
      <c r="D3296" t="s">
        <v>117</v>
      </c>
      <c r="E3296" s="7">
        <v>2158.85</v>
      </c>
      <c r="F3296" t="s">
        <v>20</v>
      </c>
      <c r="G3296" t="s">
        <v>21</v>
      </c>
      <c r="H3296" t="str">
        <f>"MC MARCH 019"</f>
        <v>MC MARCH 019</v>
      </c>
      <c r="I3296" t="str">
        <f>"LINEBARGER GOGGAN BLAIR &amp; SAMP"</f>
        <v>LINEBARGER GOGGAN BLAIR &amp; SAMP</v>
      </c>
    </row>
    <row r="3297" spans="1:9" x14ac:dyDescent="0.25">
      <c r="A3297" s="6">
        <v>43614</v>
      </c>
      <c r="B3297" t="s">
        <v>26</v>
      </c>
      <c r="C3297">
        <v>61043</v>
      </c>
      <c r="D3297" t="s">
        <v>186</v>
      </c>
      <c r="E3297" s="7">
        <v>7632.08</v>
      </c>
      <c r="F3297" t="s">
        <v>20</v>
      </c>
      <c r="G3297" t="s">
        <v>21</v>
      </c>
      <c r="H3297" t="str">
        <f>"3RD QRT 5/20/19"</f>
        <v>3RD QRT 5/20/19</v>
      </c>
      <c r="I3297" t="str">
        <f>"WILSON COUNTY APPRAISAL DISTRI"</f>
        <v>WILSON COUNTY APPRAISAL DISTRI</v>
      </c>
    </row>
    <row r="3298" spans="1:9" x14ac:dyDescent="0.25">
      <c r="A3298" s="6">
        <v>43614</v>
      </c>
      <c r="B3298" t="s">
        <v>26</v>
      </c>
      <c r="C3298">
        <v>61044</v>
      </c>
      <c r="D3298" t="s">
        <v>66</v>
      </c>
      <c r="E3298" s="7">
        <v>1050</v>
      </c>
      <c r="F3298" t="s">
        <v>20</v>
      </c>
      <c r="G3298" t="s">
        <v>21</v>
      </c>
      <c r="H3298" t="str">
        <f>"54670"</f>
        <v>54670</v>
      </c>
      <c r="I3298" t="str">
        <f>"LOPEZ EXTERMINATING SERVICE  I"</f>
        <v>LOPEZ EXTERMINATING SERVICE  I</v>
      </c>
    </row>
    <row r="3299" spans="1:9" x14ac:dyDescent="0.25">
      <c r="A3299" s="6">
        <v>43614</v>
      </c>
      <c r="B3299" t="s">
        <v>26</v>
      </c>
      <c r="C3299">
        <v>61044</v>
      </c>
      <c r="D3299" t="s">
        <v>66</v>
      </c>
      <c r="E3299" s="7">
        <v>1050</v>
      </c>
      <c r="F3299" t="s">
        <v>20</v>
      </c>
      <c r="G3299" t="s">
        <v>21</v>
      </c>
      <c r="H3299" t="str">
        <f>"55232"</f>
        <v>55232</v>
      </c>
      <c r="I3299" t="str">
        <f>"LOPEZ EXTERMINATING SERVICE  I"</f>
        <v>LOPEZ EXTERMINATING SERVICE  I</v>
      </c>
    </row>
    <row r="3300" spans="1:9" x14ac:dyDescent="0.25">
      <c r="A3300" s="6">
        <v>43614</v>
      </c>
      <c r="B3300" t="s">
        <v>26</v>
      </c>
      <c r="C3300">
        <v>61044</v>
      </c>
      <c r="D3300" t="s">
        <v>66</v>
      </c>
      <c r="E3300" s="7">
        <v>1050</v>
      </c>
      <c r="F3300" t="s">
        <v>20</v>
      </c>
      <c r="G3300" t="s">
        <v>21</v>
      </c>
      <c r="H3300" t="str">
        <f>"55263"</f>
        <v>55263</v>
      </c>
      <c r="I3300" t="str">
        <f>"LOPEZ EXTERMINATING SERVICE  I"</f>
        <v>LOPEZ EXTERMINATING SERVICE  I</v>
      </c>
    </row>
    <row r="3301" spans="1:9" x14ac:dyDescent="0.25">
      <c r="A3301" s="6">
        <v>43614</v>
      </c>
      <c r="B3301" t="s">
        <v>26</v>
      </c>
      <c r="C3301">
        <v>61045</v>
      </c>
      <c r="D3301" t="s">
        <v>118</v>
      </c>
      <c r="E3301" s="7">
        <v>3558</v>
      </c>
      <c r="F3301" t="s">
        <v>20</v>
      </c>
      <c r="G3301" t="s">
        <v>21</v>
      </c>
      <c r="H3301" t="str">
        <f>"11379"</f>
        <v>11379</v>
      </c>
      <c r="I3301" t="str">
        <f>"BRYAN AIR CONDITIONING &amp; HEATI"</f>
        <v>BRYAN AIR CONDITIONING &amp; HEATI</v>
      </c>
    </row>
    <row r="3302" spans="1:9" x14ac:dyDescent="0.25">
      <c r="A3302" s="6">
        <v>43614</v>
      </c>
      <c r="B3302" t="s">
        <v>26</v>
      </c>
      <c r="C3302">
        <v>61046</v>
      </c>
      <c r="D3302" t="s">
        <v>301</v>
      </c>
      <c r="E3302" s="7">
        <v>31.9</v>
      </c>
      <c r="F3302" t="s">
        <v>20</v>
      </c>
      <c r="G3302" t="s">
        <v>21</v>
      </c>
      <c r="H3302" t="str">
        <f>"1754926"</f>
        <v>1754926</v>
      </c>
      <c r="I3302" t="str">
        <f>"AUTO REPAIR"</f>
        <v>AUTO REPAIR</v>
      </c>
    </row>
    <row r="3303" spans="1:9" x14ac:dyDescent="0.25">
      <c r="A3303" s="6">
        <v>43614</v>
      </c>
      <c r="B3303" t="s">
        <v>26</v>
      </c>
      <c r="C3303">
        <v>61047</v>
      </c>
      <c r="D3303" t="s">
        <v>119</v>
      </c>
      <c r="E3303" s="7">
        <v>719.48</v>
      </c>
      <c r="F3303" t="s">
        <v>20</v>
      </c>
      <c r="G3303" t="s">
        <v>21</v>
      </c>
      <c r="H3303" t="str">
        <f>"52148"</f>
        <v>52148</v>
      </c>
      <c r="I3303" t="str">
        <f>"FLAT TIRE REPAIR"</f>
        <v>FLAT TIRE REPAIR</v>
      </c>
    </row>
    <row r="3304" spans="1:9" x14ac:dyDescent="0.25">
      <c r="A3304" s="6">
        <v>43614</v>
      </c>
      <c r="B3304" t="s">
        <v>26</v>
      </c>
      <c r="C3304">
        <v>61047</v>
      </c>
      <c r="D3304" t="s">
        <v>119</v>
      </c>
      <c r="E3304" s="7">
        <v>719.48</v>
      </c>
      <c r="F3304" t="s">
        <v>20</v>
      </c>
      <c r="G3304" t="s">
        <v>21</v>
      </c>
      <c r="H3304" t="str">
        <f>"52164"</f>
        <v>52164</v>
      </c>
      <c r="I3304" t="str">
        <f>"FLAT TIRE REPAIR"</f>
        <v>FLAT TIRE REPAIR</v>
      </c>
    </row>
    <row r="3305" spans="1:9" x14ac:dyDescent="0.25">
      <c r="A3305" s="6">
        <v>43614</v>
      </c>
      <c r="B3305" t="s">
        <v>26</v>
      </c>
      <c r="C3305">
        <v>61047</v>
      </c>
      <c r="D3305" t="s">
        <v>119</v>
      </c>
      <c r="E3305" s="7">
        <v>719.48</v>
      </c>
      <c r="F3305" t="s">
        <v>20</v>
      </c>
      <c r="G3305" t="s">
        <v>21</v>
      </c>
      <c r="H3305" t="str">
        <f>"52177"</f>
        <v>52177</v>
      </c>
      <c r="I3305" t="str">
        <f>"TIRE"</f>
        <v>TIRE</v>
      </c>
    </row>
    <row r="3306" spans="1:9" x14ac:dyDescent="0.25">
      <c r="A3306" s="6">
        <v>43614</v>
      </c>
      <c r="B3306" t="s">
        <v>26</v>
      </c>
      <c r="C3306">
        <v>61048</v>
      </c>
      <c r="D3306" t="s">
        <v>189</v>
      </c>
      <c r="E3306" s="7">
        <v>1007.5</v>
      </c>
      <c r="F3306" t="s">
        <v>20</v>
      </c>
      <c r="G3306" t="s">
        <v>21</v>
      </c>
      <c r="H3306" t="str">
        <f>"PSO071924-1"</f>
        <v>PSO071924-1</v>
      </c>
      <c r="I3306" t="str">
        <f>"MAINTAINER REPAIR"</f>
        <v>MAINTAINER REPAIR</v>
      </c>
    </row>
    <row r="3307" spans="1:9" x14ac:dyDescent="0.25">
      <c r="A3307" s="6">
        <v>43614</v>
      </c>
      <c r="B3307" t="s">
        <v>26</v>
      </c>
      <c r="C3307">
        <v>61049</v>
      </c>
      <c r="D3307" t="s">
        <v>69</v>
      </c>
      <c r="E3307" s="7">
        <v>126.56</v>
      </c>
      <c r="F3307" t="s">
        <v>20</v>
      </c>
      <c r="G3307" t="s">
        <v>21</v>
      </c>
      <c r="H3307" t="str">
        <f>"3398396"</f>
        <v>3398396</v>
      </c>
      <c r="I3307" t="str">
        <f>"SHREDDER REPAIR"</f>
        <v>SHREDDER REPAIR</v>
      </c>
    </row>
    <row r="3308" spans="1:9" x14ac:dyDescent="0.25">
      <c r="A3308" s="6">
        <v>43614</v>
      </c>
      <c r="B3308" t="s">
        <v>26</v>
      </c>
      <c r="C3308">
        <v>61050</v>
      </c>
      <c r="D3308" t="s">
        <v>71</v>
      </c>
      <c r="E3308" s="7">
        <v>55.33</v>
      </c>
      <c r="F3308" t="s">
        <v>20</v>
      </c>
      <c r="G3308" t="s">
        <v>21</v>
      </c>
      <c r="H3308" t="str">
        <f>"4022598512"</f>
        <v>4022598512</v>
      </c>
      <c r="I3308" t="str">
        <f>"CINTAS CORPORATION #087"</f>
        <v>CINTAS CORPORATION #087</v>
      </c>
    </row>
    <row r="3309" spans="1:9" x14ac:dyDescent="0.25">
      <c r="A3309" s="6">
        <v>43614</v>
      </c>
      <c r="B3309" t="s">
        <v>26</v>
      </c>
      <c r="C3309">
        <v>61051</v>
      </c>
      <c r="D3309" t="s">
        <v>394</v>
      </c>
      <c r="E3309" s="7">
        <v>2215</v>
      </c>
      <c r="F3309" t="s">
        <v>20</v>
      </c>
      <c r="G3309" t="s">
        <v>21</v>
      </c>
      <c r="H3309" t="str">
        <f>"10804"</f>
        <v>10804</v>
      </c>
      <c r="I3309" t="str">
        <f>"2019 TCEQ INSPECTIONS"</f>
        <v>2019 TCEQ INSPECTIONS</v>
      </c>
    </row>
    <row r="3310" spans="1:9" x14ac:dyDescent="0.25">
      <c r="A3310" s="6">
        <v>43614</v>
      </c>
      <c r="B3310" t="s">
        <v>26</v>
      </c>
      <c r="C3310">
        <v>61052</v>
      </c>
      <c r="D3310" t="s">
        <v>123</v>
      </c>
      <c r="E3310" s="7">
        <v>67.989999999999995</v>
      </c>
      <c r="F3310" t="s">
        <v>20</v>
      </c>
      <c r="G3310" t="s">
        <v>21</v>
      </c>
      <c r="H3310" t="str">
        <f>"314111370001"</f>
        <v>314111370001</v>
      </c>
      <c r="I3310" t="str">
        <f>"JANITORIAL/OFFICE SUPPLIE"</f>
        <v>JANITORIAL/OFFICE SUPPLIE</v>
      </c>
    </row>
    <row r="3311" spans="1:9" x14ac:dyDescent="0.25">
      <c r="A3311" s="6">
        <v>43614</v>
      </c>
      <c r="B3311" t="s">
        <v>26</v>
      </c>
      <c r="C3311">
        <v>61053</v>
      </c>
      <c r="D3311" t="s">
        <v>77</v>
      </c>
      <c r="E3311" s="7">
        <v>1115.75</v>
      </c>
      <c r="F3311" t="s">
        <v>20</v>
      </c>
      <c r="G3311" t="s">
        <v>21</v>
      </c>
      <c r="H3311" t="str">
        <f>"857000869-19"</f>
        <v>857000869-19</v>
      </c>
      <c r="I3311" t="str">
        <f>"CHLORINE FOR WW"</f>
        <v>CHLORINE FOR WW</v>
      </c>
    </row>
    <row r="3312" spans="1:9" x14ac:dyDescent="0.25">
      <c r="A3312" s="6">
        <v>43614</v>
      </c>
      <c r="B3312" t="s">
        <v>26</v>
      </c>
      <c r="C3312">
        <v>61054</v>
      </c>
      <c r="D3312" t="s">
        <v>153</v>
      </c>
      <c r="E3312" s="7">
        <v>1500</v>
      </c>
      <c r="F3312" t="s">
        <v>20</v>
      </c>
      <c r="G3312" t="s">
        <v>21</v>
      </c>
      <c r="H3312" t="str">
        <f>"060119"</f>
        <v>060119</v>
      </c>
      <c r="I3312" t="str">
        <f>"FULLER COMPANY"</f>
        <v>FULLER COMPANY</v>
      </c>
    </row>
    <row r="3313" spans="1:9" x14ac:dyDescent="0.25">
      <c r="A3313" s="6">
        <v>43614</v>
      </c>
      <c r="B3313" t="s">
        <v>26</v>
      </c>
      <c r="C3313">
        <v>61055</v>
      </c>
      <c r="D3313" t="s">
        <v>83</v>
      </c>
      <c r="E3313" s="7">
        <v>1044</v>
      </c>
      <c r="F3313" t="s">
        <v>20</v>
      </c>
      <c r="G3313" t="s">
        <v>21</v>
      </c>
      <c r="H3313" t="str">
        <f>"753016"</f>
        <v>753016</v>
      </c>
      <c r="I3313" t="str">
        <f>"APPRIVER"</f>
        <v>APPRIVER</v>
      </c>
    </row>
    <row r="3314" spans="1:9" x14ac:dyDescent="0.25">
      <c r="A3314" s="6">
        <v>43614</v>
      </c>
      <c r="B3314" t="s">
        <v>26</v>
      </c>
      <c r="C3314">
        <v>61056</v>
      </c>
      <c r="D3314" t="s">
        <v>85</v>
      </c>
      <c r="E3314" s="7">
        <v>1946.78</v>
      </c>
      <c r="F3314" t="s">
        <v>20</v>
      </c>
      <c r="G3314" t="s">
        <v>21</v>
      </c>
      <c r="H3314" t="str">
        <f>"3932056 6/19"</f>
        <v>3932056 6/19</v>
      </c>
      <c r="I3314" t="str">
        <f t="shared" ref="I3314:I3319" si="61">"FRONTIER"</f>
        <v>FRONTIER</v>
      </c>
    </row>
    <row r="3315" spans="1:9" x14ac:dyDescent="0.25">
      <c r="A3315" s="6">
        <v>43614</v>
      </c>
      <c r="B3315" t="s">
        <v>26</v>
      </c>
      <c r="C3315">
        <v>61056</v>
      </c>
      <c r="D3315" t="s">
        <v>85</v>
      </c>
      <c r="E3315" s="7">
        <v>1946.78</v>
      </c>
      <c r="F3315" t="s">
        <v>20</v>
      </c>
      <c r="G3315" t="s">
        <v>21</v>
      </c>
      <c r="H3315" t="str">
        <f>"3933105 6/19"</f>
        <v>3933105 6/19</v>
      </c>
      <c r="I3315" t="str">
        <f t="shared" si="61"/>
        <v>FRONTIER</v>
      </c>
    </row>
    <row r="3316" spans="1:9" x14ac:dyDescent="0.25">
      <c r="A3316" s="6">
        <v>43614</v>
      </c>
      <c r="B3316" t="s">
        <v>26</v>
      </c>
      <c r="C3316">
        <v>61056</v>
      </c>
      <c r="D3316" t="s">
        <v>85</v>
      </c>
      <c r="E3316" s="7">
        <v>1946.78</v>
      </c>
      <c r="F3316" t="s">
        <v>20</v>
      </c>
      <c r="G3316" t="s">
        <v>21</v>
      </c>
      <c r="H3316" t="str">
        <f>"3933186 6/19"</f>
        <v>3933186 6/19</v>
      </c>
      <c r="I3316" t="str">
        <f t="shared" si="61"/>
        <v>FRONTIER</v>
      </c>
    </row>
    <row r="3317" spans="1:9" x14ac:dyDescent="0.25">
      <c r="A3317" s="6">
        <v>43614</v>
      </c>
      <c r="B3317" t="s">
        <v>26</v>
      </c>
      <c r="C3317">
        <v>61056</v>
      </c>
      <c r="D3317" t="s">
        <v>85</v>
      </c>
      <c r="E3317" s="7">
        <v>1946.78</v>
      </c>
      <c r="F3317" t="s">
        <v>20</v>
      </c>
      <c r="G3317" t="s">
        <v>21</v>
      </c>
      <c r="H3317" t="str">
        <f>"3936616 6/19"</f>
        <v>3936616 6/19</v>
      </c>
      <c r="I3317" t="str">
        <f t="shared" si="61"/>
        <v>FRONTIER</v>
      </c>
    </row>
    <row r="3318" spans="1:9" x14ac:dyDescent="0.25">
      <c r="A3318" s="6">
        <v>43614</v>
      </c>
      <c r="B3318" t="s">
        <v>26</v>
      </c>
      <c r="C3318">
        <v>61056</v>
      </c>
      <c r="D3318" t="s">
        <v>85</v>
      </c>
      <c r="E3318" s="7">
        <v>1946.78</v>
      </c>
      <c r="F3318" t="s">
        <v>20</v>
      </c>
      <c r="G3318" t="s">
        <v>21</v>
      </c>
      <c r="H3318" t="str">
        <f>"3939456 6/19"</f>
        <v>3939456 6/19</v>
      </c>
      <c r="I3318" t="str">
        <f t="shared" si="61"/>
        <v>FRONTIER</v>
      </c>
    </row>
    <row r="3319" spans="1:9" x14ac:dyDescent="0.25">
      <c r="A3319" s="6">
        <v>43614</v>
      </c>
      <c r="B3319" t="s">
        <v>26</v>
      </c>
      <c r="C3319">
        <v>61056</v>
      </c>
      <c r="D3319" t="s">
        <v>85</v>
      </c>
      <c r="E3319" s="7">
        <v>1946.78</v>
      </c>
      <c r="F3319" t="s">
        <v>20</v>
      </c>
      <c r="G3319" t="s">
        <v>21</v>
      </c>
      <c r="H3319" t="str">
        <f>"8301970024 ETHERNT"</f>
        <v>8301970024 ETHERNT</v>
      </c>
      <c r="I3319" t="str">
        <f t="shared" si="61"/>
        <v>FRONTIER</v>
      </c>
    </row>
    <row r="3320" spans="1:9" x14ac:dyDescent="0.25">
      <c r="A3320" s="6">
        <v>43614</v>
      </c>
      <c r="B3320" t="s">
        <v>26</v>
      </c>
      <c r="C3320">
        <v>61057</v>
      </c>
      <c r="D3320" t="s">
        <v>405</v>
      </c>
      <c r="E3320" s="7">
        <v>50</v>
      </c>
      <c r="F3320" t="s">
        <v>20</v>
      </c>
      <c r="G3320" t="s">
        <v>21</v>
      </c>
      <c r="H3320" t="str">
        <f>"REFUND 5/11/19"</f>
        <v>REFUND 5/11/19</v>
      </c>
      <c r="I3320" t="str">
        <f>"ALL CITY YOUTH PROGRAMS"</f>
        <v>ALL CITY YOUTH PROGRAMS</v>
      </c>
    </row>
    <row r="3321" spans="1:9" x14ac:dyDescent="0.25">
      <c r="A3321" s="6">
        <v>43614</v>
      </c>
      <c r="B3321" t="s">
        <v>26</v>
      </c>
      <c r="C3321">
        <v>61058</v>
      </c>
      <c r="D3321" t="s">
        <v>195</v>
      </c>
      <c r="E3321" s="7">
        <v>2772.58</v>
      </c>
      <c r="F3321" t="s">
        <v>20</v>
      </c>
      <c r="G3321" t="s">
        <v>21</v>
      </c>
      <c r="H3321" t="str">
        <f>"27506"</f>
        <v>27506</v>
      </c>
      <c r="I3321" t="str">
        <f>"ARISTA INFORMATION SYSTEMS  IN"</f>
        <v>ARISTA INFORMATION SYSTEMS  IN</v>
      </c>
    </row>
    <row r="3322" spans="1:9" x14ac:dyDescent="0.25">
      <c r="A3322" s="6">
        <v>43614</v>
      </c>
      <c r="B3322" t="s">
        <v>26</v>
      </c>
      <c r="C3322">
        <v>61059</v>
      </c>
      <c r="D3322" t="s">
        <v>345</v>
      </c>
      <c r="E3322" s="7">
        <v>396</v>
      </c>
      <c r="F3322" t="s">
        <v>20</v>
      </c>
      <c r="G3322" t="s">
        <v>21</v>
      </c>
      <c r="H3322" t="str">
        <f>"5/28/2019"</f>
        <v>5/28/2019</v>
      </c>
      <c r="I3322" t="str">
        <f>"MICHAEL ISAAC MARTINEZ"</f>
        <v>MICHAEL ISAAC MARTINEZ</v>
      </c>
    </row>
    <row r="3323" spans="1:9" x14ac:dyDescent="0.25">
      <c r="A3323" s="6">
        <v>43614</v>
      </c>
      <c r="B3323" t="s">
        <v>26</v>
      </c>
      <c r="C3323">
        <v>61060</v>
      </c>
      <c r="D3323" t="s">
        <v>452</v>
      </c>
      <c r="E3323" s="7">
        <v>80</v>
      </c>
      <c r="F3323" t="s">
        <v>20</v>
      </c>
      <c r="G3323" t="s">
        <v>21</v>
      </c>
      <c r="H3323" t="str">
        <f>"5/26/19"</f>
        <v>5/26/19</v>
      </c>
      <c r="I3323" t="str">
        <f>"DESIREE PEREZ"</f>
        <v>DESIREE PEREZ</v>
      </c>
    </row>
    <row r="3324" spans="1:9" x14ac:dyDescent="0.25">
      <c r="A3324" s="6">
        <v>43614</v>
      </c>
      <c r="B3324" t="s">
        <v>26</v>
      </c>
      <c r="C3324">
        <v>61061</v>
      </c>
      <c r="D3324" t="s">
        <v>328</v>
      </c>
      <c r="E3324" s="7">
        <v>15550.8</v>
      </c>
      <c r="F3324" t="s">
        <v>20</v>
      </c>
      <c r="G3324" t="s">
        <v>21</v>
      </c>
      <c r="H3324" t="str">
        <f>"7017845"</f>
        <v>7017845</v>
      </c>
      <c r="I3324" t="str">
        <f>"KOLOGIK"</f>
        <v>KOLOGIK</v>
      </c>
    </row>
    <row r="3325" spans="1:9" x14ac:dyDescent="0.25">
      <c r="A3325" s="6">
        <v>43614</v>
      </c>
      <c r="B3325" t="s">
        <v>26</v>
      </c>
      <c r="C3325">
        <v>61062</v>
      </c>
      <c r="D3325" t="s">
        <v>528</v>
      </c>
      <c r="E3325" s="7">
        <v>197.72</v>
      </c>
      <c r="F3325" t="s">
        <v>20</v>
      </c>
      <c r="G3325" t="s">
        <v>21</v>
      </c>
      <c r="H3325" t="str">
        <f>"187934"</f>
        <v>187934</v>
      </c>
      <c r="I3325" t="str">
        <f>"PROSTAR SERVICES INC"</f>
        <v>PROSTAR SERVICES INC</v>
      </c>
    </row>
    <row r="3326" spans="1:9" x14ac:dyDescent="0.25">
      <c r="A3326" s="6">
        <v>43614</v>
      </c>
      <c r="B3326" t="s">
        <v>26</v>
      </c>
      <c r="C3326">
        <v>61063</v>
      </c>
      <c r="D3326" t="s">
        <v>644</v>
      </c>
      <c r="E3326" s="7">
        <v>820.19</v>
      </c>
      <c r="F3326" t="s">
        <v>20</v>
      </c>
      <c r="G3326" t="s">
        <v>21</v>
      </c>
      <c r="H3326" t="str">
        <f>"8213316997"</f>
        <v>8213316997</v>
      </c>
      <c r="I3326" t="str">
        <f t="shared" ref="I3326:I3333" si="62">"UNIFIRST CORPORATION"</f>
        <v>UNIFIRST CORPORATION</v>
      </c>
    </row>
    <row r="3327" spans="1:9" x14ac:dyDescent="0.25">
      <c r="A3327" s="6">
        <v>43614</v>
      </c>
      <c r="B3327" t="s">
        <v>26</v>
      </c>
      <c r="C3327">
        <v>61063</v>
      </c>
      <c r="D3327" t="s">
        <v>644</v>
      </c>
      <c r="E3327" s="7">
        <v>820.19</v>
      </c>
      <c r="F3327" t="s">
        <v>20</v>
      </c>
      <c r="G3327" t="s">
        <v>21</v>
      </c>
      <c r="H3327" t="str">
        <f>"8213319626"</f>
        <v>8213319626</v>
      </c>
      <c r="I3327" t="str">
        <f t="shared" si="62"/>
        <v>UNIFIRST CORPORATION</v>
      </c>
    </row>
    <row r="3328" spans="1:9" x14ac:dyDescent="0.25">
      <c r="A3328" s="6">
        <v>43614</v>
      </c>
      <c r="B3328" t="s">
        <v>26</v>
      </c>
      <c r="C3328">
        <v>61063</v>
      </c>
      <c r="D3328" t="s">
        <v>644</v>
      </c>
      <c r="E3328" s="7">
        <v>820.19</v>
      </c>
      <c r="F3328" t="s">
        <v>20</v>
      </c>
      <c r="G3328" t="s">
        <v>21</v>
      </c>
      <c r="H3328" t="str">
        <f>"8213319627"</f>
        <v>8213319627</v>
      </c>
      <c r="I3328" t="str">
        <f t="shared" si="62"/>
        <v>UNIFIRST CORPORATION</v>
      </c>
    </row>
    <row r="3329" spans="1:9" x14ac:dyDescent="0.25">
      <c r="A3329" s="6">
        <v>43614</v>
      </c>
      <c r="B3329" t="s">
        <v>26</v>
      </c>
      <c r="C3329">
        <v>61063</v>
      </c>
      <c r="D3329" t="s">
        <v>644</v>
      </c>
      <c r="E3329" s="7">
        <v>820.19</v>
      </c>
      <c r="F3329" t="s">
        <v>20</v>
      </c>
      <c r="G3329" t="s">
        <v>21</v>
      </c>
      <c r="H3329" t="str">
        <f>"8213319628"</f>
        <v>8213319628</v>
      </c>
      <c r="I3329" t="str">
        <f t="shared" si="62"/>
        <v>UNIFIRST CORPORATION</v>
      </c>
    </row>
    <row r="3330" spans="1:9" x14ac:dyDescent="0.25">
      <c r="A3330" s="6">
        <v>43614</v>
      </c>
      <c r="B3330" t="s">
        <v>26</v>
      </c>
      <c r="C3330">
        <v>61063</v>
      </c>
      <c r="D3330" t="s">
        <v>644</v>
      </c>
      <c r="E3330" s="7">
        <v>820.19</v>
      </c>
      <c r="F3330" t="s">
        <v>20</v>
      </c>
      <c r="G3330" t="s">
        <v>21</v>
      </c>
      <c r="H3330" t="str">
        <f>"8213319629"</f>
        <v>8213319629</v>
      </c>
      <c r="I3330" t="str">
        <f t="shared" si="62"/>
        <v>UNIFIRST CORPORATION</v>
      </c>
    </row>
    <row r="3331" spans="1:9" x14ac:dyDescent="0.25">
      <c r="A3331" s="6">
        <v>43614</v>
      </c>
      <c r="B3331" t="s">
        <v>26</v>
      </c>
      <c r="C3331">
        <v>61063</v>
      </c>
      <c r="D3331" t="s">
        <v>644</v>
      </c>
      <c r="E3331" s="7">
        <v>820.19</v>
      </c>
      <c r="F3331" t="s">
        <v>20</v>
      </c>
      <c r="G3331" t="s">
        <v>21</v>
      </c>
      <c r="H3331" t="str">
        <f>"8213319630"</f>
        <v>8213319630</v>
      </c>
      <c r="I3331" t="str">
        <f t="shared" si="62"/>
        <v>UNIFIRST CORPORATION</v>
      </c>
    </row>
    <row r="3332" spans="1:9" x14ac:dyDescent="0.25">
      <c r="A3332" s="6">
        <v>43614</v>
      </c>
      <c r="B3332" t="s">
        <v>26</v>
      </c>
      <c r="C3332">
        <v>61063</v>
      </c>
      <c r="D3332" t="s">
        <v>644</v>
      </c>
      <c r="E3332" s="7">
        <v>820.19</v>
      </c>
      <c r="F3332" t="s">
        <v>20</v>
      </c>
      <c r="G3332" t="s">
        <v>21</v>
      </c>
      <c r="H3332" t="str">
        <f>"8213319631"</f>
        <v>8213319631</v>
      </c>
      <c r="I3332" t="str">
        <f t="shared" si="62"/>
        <v>UNIFIRST CORPORATION</v>
      </c>
    </row>
    <row r="3333" spans="1:9" x14ac:dyDescent="0.25">
      <c r="A3333" s="6">
        <v>43614</v>
      </c>
      <c r="B3333" t="s">
        <v>26</v>
      </c>
      <c r="C3333">
        <v>61063</v>
      </c>
      <c r="D3333" t="s">
        <v>644</v>
      </c>
      <c r="E3333" s="7">
        <v>820.19</v>
      </c>
      <c r="F3333" t="s">
        <v>20</v>
      </c>
      <c r="G3333" t="s">
        <v>21</v>
      </c>
      <c r="H3333" t="str">
        <f>"8213319632"</f>
        <v>8213319632</v>
      </c>
      <c r="I3333" t="str">
        <f t="shared" si="62"/>
        <v>UNIFIRST CORPORATION</v>
      </c>
    </row>
    <row r="3334" spans="1:9" x14ac:dyDescent="0.25">
      <c r="A3334" s="6">
        <v>43614</v>
      </c>
      <c r="B3334" t="s">
        <v>26</v>
      </c>
      <c r="C3334">
        <v>61065</v>
      </c>
      <c r="D3334" t="s">
        <v>183</v>
      </c>
      <c r="E3334" s="7">
        <v>61.5</v>
      </c>
      <c r="F3334" t="s">
        <v>20</v>
      </c>
      <c r="G3334" t="s">
        <v>21</v>
      </c>
      <c r="H3334" t="str">
        <f>"TCEQ WTR RETEST"</f>
        <v>TCEQ WTR RETEST</v>
      </c>
      <c r="I3334" t="str">
        <f>"HERNANDO RODRIGUEZ"</f>
        <v>HERNANDO RODRIGUEZ</v>
      </c>
    </row>
    <row r="3335" spans="1:9" x14ac:dyDescent="0.25">
      <c r="A3335" s="6">
        <v>43614</v>
      </c>
      <c r="B3335" t="s">
        <v>26</v>
      </c>
      <c r="C3335">
        <v>61066</v>
      </c>
      <c r="D3335" t="s">
        <v>716</v>
      </c>
      <c r="E3335" s="7">
        <v>400</v>
      </c>
      <c r="F3335" t="s">
        <v>20</v>
      </c>
      <c r="G3335" t="s">
        <v>21</v>
      </c>
      <c r="H3335" t="str">
        <f>"5/28/2019"</f>
        <v>5/28/2019</v>
      </c>
      <c r="I3335" t="str">
        <f>"ALFREDO SENDEJO"</f>
        <v>ALFREDO SENDEJO</v>
      </c>
    </row>
    <row r="3336" spans="1:9" x14ac:dyDescent="0.25">
      <c r="A3336" s="6">
        <v>43614</v>
      </c>
      <c r="B3336" t="s">
        <v>26</v>
      </c>
      <c r="C3336">
        <v>61067</v>
      </c>
      <c r="D3336" t="s">
        <v>282</v>
      </c>
      <c r="E3336" s="7">
        <v>9600</v>
      </c>
      <c r="F3336" t="s">
        <v>20</v>
      </c>
      <c r="G3336" t="s">
        <v>21</v>
      </c>
      <c r="H3336" t="str">
        <f>"3765"</f>
        <v>3765</v>
      </c>
      <c r="I3336" t="str">
        <f>"LANGFORD COMMUNITY MANAGEMENT"</f>
        <v>LANGFORD COMMUNITY MANAGEMENT</v>
      </c>
    </row>
    <row r="3337" spans="1:9" x14ac:dyDescent="0.25">
      <c r="A3337" s="6">
        <v>43614</v>
      </c>
      <c r="B3337" t="s">
        <v>26</v>
      </c>
      <c r="C3337">
        <v>61068</v>
      </c>
      <c r="D3337" t="s">
        <v>282</v>
      </c>
      <c r="E3337" s="7">
        <v>15000</v>
      </c>
      <c r="F3337" t="s">
        <v>20</v>
      </c>
      <c r="G3337" t="s">
        <v>21</v>
      </c>
      <c r="H3337" t="str">
        <f>"3766"</f>
        <v>3766</v>
      </c>
      <c r="I3337" t="str">
        <f>"LANGFORD COMMUNITY MANAGEMENT"</f>
        <v>LANGFORD COMMUNITY MANAGEMENT</v>
      </c>
    </row>
    <row r="3338" spans="1:9" x14ac:dyDescent="0.25">
      <c r="A3338" s="6">
        <v>43614</v>
      </c>
      <c r="B3338" t="s">
        <v>26</v>
      </c>
      <c r="C3338">
        <v>61069</v>
      </c>
      <c r="D3338" t="s">
        <v>104</v>
      </c>
      <c r="E3338" s="7">
        <v>536.22</v>
      </c>
      <c r="F3338" t="s">
        <v>20</v>
      </c>
      <c r="G3338" t="s">
        <v>21</v>
      </c>
      <c r="H3338" t="str">
        <f>"43196"</f>
        <v>43196</v>
      </c>
      <c r="I3338" t="str">
        <f>"OFFICE SUPPLIES"</f>
        <v>OFFICE SUPPLIES</v>
      </c>
    </row>
    <row r="3339" spans="1:9" x14ac:dyDescent="0.25">
      <c r="A3339" s="6">
        <v>43614</v>
      </c>
      <c r="B3339" t="s">
        <v>26</v>
      </c>
      <c r="C3339">
        <v>61070</v>
      </c>
      <c r="D3339" t="s">
        <v>202</v>
      </c>
      <c r="E3339" s="7">
        <v>2934.94</v>
      </c>
      <c r="F3339" t="s">
        <v>20</v>
      </c>
      <c r="G3339" t="s">
        <v>21</v>
      </c>
      <c r="H3339" t="str">
        <f>"61904544"</f>
        <v>61904544</v>
      </c>
      <c r="I3339" t="str">
        <f>"GRADE 5"</f>
        <v>GRADE 5</v>
      </c>
    </row>
    <row r="3340" spans="1:9" x14ac:dyDescent="0.25">
      <c r="A3340" s="6">
        <v>43619</v>
      </c>
      <c r="B3340" t="s">
        <v>26</v>
      </c>
      <c r="C3340">
        <v>61071</v>
      </c>
      <c r="D3340" t="s">
        <v>637</v>
      </c>
      <c r="E3340" s="7">
        <v>75</v>
      </c>
      <c r="F3340" t="s">
        <v>20</v>
      </c>
      <c r="G3340" t="s">
        <v>21</v>
      </c>
      <c r="H3340" t="str">
        <f>"6/3/19-COUNCIL"</f>
        <v>6/3/19-COUNCIL</v>
      </c>
      <c r="I3340" t="str">
        <f>"SALARIES"</f>
        <v>SALARIES</v>
      </c>
    </row>
    <row r="3341" spans="1:9" x14ac:dyDescent="0.25">
      <c r="A3341" s="6">
        <v>43619</v>
      </c>
      <c r="B3341" t="s">
        <v>26</v>
      </c>
      <c r="C3341">
        <v>61072</v>
      </c>
      <c r="D3341" t="s">
        <v>223</v>
      </c>
      <c r="E3341" s="7">
        <v>75</v>
      </c>
      <c r="F3341" t="s">
        <v>20</v>
      </c>
      <c r="G3341" t="s">
        <v>21</v>
      </c>
      <c r="H3341" t="str">
        <f>"6/3/19-COUNCIL"</f>
        <v>6/3/19-COUNCIL</v>
      </c>
      <c r="I3341" t="str">
        <f>""</f>
        <v/>
      </c>
    </row>
    <row r="3342" spans="1:9" x14ac:dyDescent="0.25">
      <c r="A3342" s="6">
        <v>43619</v>
      </c>
      <c r="B3342" t="s">
        <v>26</v>
      </c>
      <c r="C3342">
        <v>61073</v>
      </c>
      <c r="D3342" t="s">
        <v>36</v>
      </c>
      <c r="E3342" s="7">
        <v>75</v>
      </c>
      <c r="F3342" t="s">
        <v>20</v>
      </c>
      <c r="G3342" t="s">
        <v>21</v>
      </c>
      <c r="H3342" t="str">
        <f>"6/3/19-COUNCIL"</f>
        <v>6/3/19-COUNCIL</v>
      </c>
      <c r="I3342" t="str">
        <f>""</f>
        <v/>
      </c>
    </row>
    <row r="3343" spans="1:9" x14ac:dyDescent="0.25">
      <c r="A3343" s="6">
        <v>43619</v>
      </c>
      <c r="B3343" t="s">
        <v>26</v>
      </c>
      <c r="C3343">
        <v>61074</v>
      </c>
      <c r="D3343" t="s">
        <v>37</v>
      </c>
      <c r="E3343" s="7">
        <v>75</v>
      </c>
      <c r="F3343" t="s">
        <v>20</v>
      </c>
      <c r="G3343" t="s">
        <v>21</v>
      </c>
      <c r="H3343" t="str">
        <f>"6/3/19-COUNCIL"</f>
        <v>6/3/19-COUNCIL</v>
      </c>
      <c r="I3343" t="str">
        <f>""</f>
        <v/>
      </c>
    </row>
    <row r="3344" spans="1:9" x14ac:dyDescent="0.25">
      <c r="A3344" s="6">
        <v>43619</v>
      </c>
      <c r="B3344" t="s">
        <v>26</v>
      </c>
      <c r="C3344">
        <v>61075</v>
      </c>
      <c r="D3344" t="s">
        <v>38</v>
      </c>
      <c r="E3344" s="7">
        <v>100</v>
      </c>
      <c r="F3344" t="s">
        <v>20</v>
      </c>
      <c r="G3344" t="s">
        <v>21</v>
      </c>
      <c r="H3344" t="str">
        <f>"6/3/19-MAYOR"</f>
        <v>6/3/19-MAYOR</v>
      </c>
      <c r="I3344" t="str">
        <f>""</f>
        <v/>
      </c>
    </row>
    <row r="3345" spans="1:9" x14ac:dyDescent="0.25">
      <c r="A3345" s="6">
        <v>43619</v>
      </c>
      <c r="B3345" t="s">
        <v>26</v>
      </c>
      <c r="C3345">
        <v>61076</v>
      </c>
      <c r="D3345" t="s">
        <v>558</v>
      </c>
      <c r="E3345" s="7">
        <v>75</v>
      </c>
      <c r="F3345" t="s">
        <v>20</v>
      </c>
      <c r="G3345" t="s">
        <v>21</v>
      </c>
      <c r="H3345" t="str">
        <f>"6/3/19-COUNCIL"</f>
        <v>6/3/19-COUNCIL</v>
      </c>
      <c r="I3345" t="str">
        <f>"SALARIES"</f>
        <v>SALARIES</v>
      </c>
    </row>
    <row r="3346" spans="1:9" x14ac:dyDescent="0.25">
      <c r="A3346" s="6">
        <v>43621</v>
      </c>
      <c r="B3346" t="s">
        <v>26</v>
      </c>
      <c r="C3346">
        <v>61097</v>
      </c>
      <c r="D3346" t="s">
        <v>51</v>
      </c>
      <c r="E3346" s="7">
        <v>327.84</v>
      </c>
      <c r="F3346" t="s">
        <v>20</v>
      </c>
      <c r="G3346" t="s">
        <v>21</v>
      </c>
      <c r="H3346" t="str">
        <f>"CLE201906058525"</f>
        <v>CLE201906058525</v>
      </c>
      <c r="I3346" t="str">
        <f>"CLEAT ONLY DUES"</f>
        <v>CLEAT ONLY DUES</v>
      </c>
    </row>
    <row r="3347" spans="1:9" x14ac:dyDescent="0.25">
      <c r="A3347" s="6">
        <v>43621</v>
      </c>
      <c r="B3347" t="s">
        <v>26</v>
      </c>
      <c r="C3347">
        <v>61097</v>
      </c>
      <c r="D3347" t="s">
        <v>51</v>
      </c>
      <c r="E3347" s="7">
        <v>327.84</v>
      </c>
      <c r="F3347" t="s">
        <v>20</v>
      </c>
      <c r="G3347" t="s">
        <v>21</v>
      </c>
      <c r="H3347" t="str">
        <f>"PDD201906058525"</f>
        <v>PDD201906058525</v>
      </c>
      <c r="I3347" t="str">
        <f>"POLICE OFFICERS ASSOC DUES"</f>
        <v>POLICE OFFICERS ASSOC DUES</v>
      </c>
    </row>
    <row r="3348" spans="1:9" x14ac:dyDescent="0.25">
      <c r="A3348" s="6">
        <v>43621</v>
      </c>
      <c r="B3348" t="s">
        <v>91</v>
      </c>
      <c r="C3348">
        <v>61098</v>
      </c>
      <c r="D3348" t="s">
        <v>90</v>
      </c>
      <c r="E3348" s="7">
        <v>101.1</v>
      </c>
      <c r="F3348" t="s">
        <v>20</v>
      </c>
      <c r="G3348" t="s">
        <v>21</v>
      </c>
      <c r="H3348" t="str">
        <f>"AFS201906058525"</f>
        <v>AFS201906058525</v>
      </c>
      <c r="I3348" t="str">
        <f>"AFLAC STD"</f>
        <v>AFLAC STD</v>
      </c>
    </row>
    <row r="3349" spans="1:9" x14ac:dyDescent="0.25">
      <c r="A3349" s="6">
        <v>43621</v>
      </c>
      <c r="B3349" t="s">
        <v>26</v>
      </c>
      <c r="C3349">
        <v>61099</v>
      </c>
      <c r="D3349" t="s">
        <v>52</v>
      </c>
      <c r="E3349" s="7">
        <v>1056.98</v>
      </c>
      <c r="F3349" t="s">
        <v>20</v>
      </c>
      <c r="G3349" t="s">
        <v>21</v>
      </c>
      <c r="H3349" t="str">
        <f>"CPS201906058525"</f>
        <v>CPS201906058525</v>
      </c>
      <c r="I3349" t="str">
        <f>"G MENDOZA 00123012032010EM5054"</f>
        <v>G MENDOZA 00123012032010EM5054</v>
      </c>
    </row>
    <row r="3350" spans="1:9" x14ac:dyDescent="0.25">
      <c r="A3350" s="6">
        <v>43621</v>
      </c>
      <c r="B3350" t="s">
        <v>26</v>
      </c>
      <c r="C3350">
        <v>61099</v>
      </c>
      <c r="D3350" t="s">
        <v>52</v>
      </c>
      <c r="E3350" s="7">
        <v>1056.98</v>
      </c>
      <c r="F3350" t="s">
        <v>20</v>
      </c>
      <c r="G3350" t="s">
        <v>21</v>
      </c>
      <c r="H3350" t="str">
        <f>"CS 201906058525"</f>
        <v>CS 201906058525</v>
      </c>
      <c r="I3350" t="str">
        <f>"CAUSE#98EM504113 PEGGY RIVAS"</f>
        <v>CAUSE#98EM504113 PEGGY RIVAS</v>
      </c>
    </row>
    <row r="3351" spans="1:9" x14ac:dyDescent="0.25">
      <c r="A3351" s="6">
        <v>43621</v>
      </c>
      <c r="B3351" t="s">
        <v>26</v>
      </c>
      <c r="C3351">
        <v>61099</v>
      </c>
      <c r="D3351" t="s">
        <v>52</v>
      </c>
      <c r="E3351" s="7">
        <v>1056.98</v>
      </c>
      <c r="F3351" t="s">
        <v>20</v>
      </c>
      <c r="G3351" t="s">
        <v>21</v>
      </c>
      <c r="H3351" t="str">
        <f>"CSJ201906058525"</f>
        <v>CSJ201906058525</v>
      </c>
      <c r="I3351" t="str">
        <f>"CAUSE# 0010185272 MARIANN GUTI"</f>
        <v>CAUSE# 0010185272 MARIANN GUTI</v>
      </c>
    </row>
    <row r="3352" spans="1:9" x14ac:dyDescent="0.25">
      <c r="A3352" s="6">
        <v>43621</v>
      </c>
      <c r="B3352" t="s">
        <v>26</v>
      </c>
      <c r="C3352">
        <v>61100</v>
      </c>
      <c r="D3352" t="s">
        <v>53</v>
      </c>
      <c r="E3352" s="7">
        <v>99.1</v>
      </c>
      <c r="F3352" t="s">
        <v>20</v>
      </c>
      <c r="G3352" t="s">
        <v>21</v>
      </c>
      <c r="H3352" t="str">
        <f>"MCO201906058525"</f>
        <v>MCO201906058525</v>
      </c>
      <c r="I3352" t="str">
        <f>"MONICA CORDOVA"</f>
        <v>MONICA CORDOVA</v>
      </c>
    </row>
    <row r="3353" spans="1:9" x14ac:dyDescent="0.25">
      <c r="A3353" s="6">
        <v>43621</v>
      </c>
      <c r="B3353" t="s">
        <v>26</v>
      </c>
      <c r="C3353">
        <v>61101</v>
      </c>
      <c r="D3353" t="s">
        <v>54</v>
      </c>
      <c r="E3353" s="7">
        <v>762.12</v>
      </c>
      <c r="F3353" t="s">
        <v>20</v>
      </c>
      <c r="G3353" t="s">
        <v>21</v>
      </c>
      <c r="H3353" t="str">
        <f>"457201906058525"</f>
        <v>457201906058525</v>
      </c>
      <c r="I3353" t="str">
        <f>"CASE # 180-60751 457B DEDUCT"</f>
        <v>CASE # 180-60751 457B DEDUCT</v>
      </c>
    </row>
    <row r="3354" spans="1:9" x14ac:dyDescent="0.25">
      <c r="A3354" s="6">
        <v>43621</v>
      </c>
      <c r="B3354" t="s">
        <v>26</v>
      </c>
      <c r="C3354">
        <v>61102</v>
      </c>
      <c r="D3354" t="s">
        <v>250</v>
      </c>
      <c r="E3354" s="7">
        <v>205.64</v>
      </c>
      <c r="F3354" t="s">
        <v>20</v>
      </c>
      <c r="G3354" t="s">
        <v>21</v>
      </c>
      <c r="H3354" t="str">
        <f>"C123982"</f>
        <v>C123982</v>
      </c>
      <c r="I3354" t="str">
        <f>"MATERA PAPER CO  LTD."</f>
        <v>MATERA PAPER CO  LTD.</v>
      </c>
    </row>
    <row r="3355" spans="1:9" x14ac:dyDescent="0.25">
      <c r="A3355" s="6">
        <v>43621</v>
      </c>
      <c r="B3355" t="s">
        <v>26</v>
      </c>
      <c r="C3355">
        <v>61103</v>
      </c>
      <c r="D3355" t="s">
        <v>90</v>
      </c>
      <c r="E3355" s="7">
        <v>2924.1</v>
      </c>
      <c r="F3355" t="s">
        <v>20</v>
      </c>
      <c r="G3355" t="s">
        <v>21</v>
      </c>
      <c r="H3355" t="str">
        <f>"649947"</f>
        <v>649947</v>
      </c>
      <c r="I3355" t="str">
        <f>"AFLAC"</f>
        <v>AFLAC</v>
      </c>
    </row>
    <row r="3356" spans="1:9" x14ac:dyDescent="0.25">
      <c r="A3356" s="6">
        <v>43621</v>
      </c>
      <c r="B3356" t="s">
        <v>91</v>
      </c>
      <c r="C3356">
        <v>61104</v>
      </c>
      <c r="D3356" t="s">
        <v>92</v>
      </c>
      <c r="E3356" s="7">
        <v>19533.41</v>
      </c>
      <c r="F3356" t="s">
        <v>20</v>
      </c>
      <c r="G3356" t="s">
        <v>21</v>
      </c>
      <c r="H3356" t="str">
        <f>"RET201906058525"</f>
        <v>RET201906058525</v>
      </c>
      <c r="I3356" t="str">
        <f>"TMRS CITY OF FLORESVILLE"</f>
        <v>TMRS CITY OF FLORESVILLE</v>
      </c>
    </row>
    <row r="3357" spans="1:9" x14ac:dyDescent="0.25">
      <c r="A3357" s="6">
        <v>43621</v>
      </c>
      <c r="B3357" t="s">
        <v>91</v>
      </c>
      <c r="C3357">
        <v>61104</v>
      </c>
      <c r="D3357" t="s">
        <v>92</v>
      </c>
      <c r="E3357" s="7">
        <v>19533.41</v>
      </c>
      <c r="F3357" t="s">
        <v>20</v>
      </c>
      <c r="G3357" t="s">
        <v>93</v>
      </c>
      <c r="H3357" t="str">
        <f>"CHECK"</f>
        <v>CHECK</v>
      </c>
      <c r="I3357" t="str">
        <f>""</f>
        <v/>
      </c>
    </row>
    <row r="3358" spans="1:9" x14ac:dyDescent="0.25">
      <c r="A3358" s="6">
        <v>43621</v>
      </c>
      <c r="B3358" t="s">
        <v>26</v>
      </c>
      <c r="C3358">
        <v>61106</v>
      </c>
      <c r="D3358" t="s">
        <v>65</v>
      </c>
      <c r="E3358" s="7">
        <v>455</v>
      </c>
      <c r="F3358" t="s">
        <v>20</v>
      </c>
      <c r="G3358" t="s">
        <v>21</v>
      </c>
      <c r="H3358" t="str">
        <f>"JUNE 2019"</f>
        <v>JUNE 2019</v>
      </c>
      <c r="I3358" t="str">
        <f>"SAM'S CLUB/SYNCHRONY BANK"</f>
        <v>SAM'S CLUB/SYNCHRONY BANK</v>
      </c>
    </row>
    <row r="3359" spans="1:9" x14ac:dyDescent="0.25">
      <c r="A3359" s="6">
        <v>43621</v>
      </c>
      <c r="B3359" t="s">
        <v>26</v>
      </c>
      <c r="C3359">
        <v>61107</v>
      </c>
      <c r="D3359" t="s">
        <v>95</v>
      </c>
      <c r="E3359" s="7">
        <v>64.959999999999994</v>
      </c>
      <c r="F3359" t="s">
        <v>20</v>
      </c>
      <c r="G3359" t="s">
        <v>21</v>
      </c>
      <c r="H3359" t="str">
        <f>"20190520"</f>
        <v>20190520</v>
      </c>
      <c r="I3359" t="str">
        <f>"LEGAL PLANS"</f>
        <v>LEGAL PLANS</v>
      </c>
    </row>
    <row r="3360" spans="1:9" x14ac:dyDescent="0.25">
      <c r="A3360" s="6">
        <v>43621</v>
      </c>
      <c r="B3360" t="s">
        <v>26</v>
      </c>
      <c r="C3360">
        <v>61108</v>
      </c>
      <c r="D3360" t="s">
        <v>159</v>
      </c>
      <c r="E3360" s="7">
        <v>1514.75</v>
      </c>
      <c r="F3360" t="s">
        <v>20</v>
      </c>
      <c r="G3360" t="s">
        <v>21</v>
      </c>
      <c r="H3360" t="str">
        <f>"37963"</f>
        <v>37963</v>
      </c>
      <c r="I3360" t="str">
        <f>"PHOTOGRAPHS BY JIM"</f>
        <v>PHOTOGRAPHS BY JIM</v>
      </c>
    </row>
    <row r="3361" spans="1:9" x14ac:dyDescent="0.25">
      <c r="A3361" s="6">
        <v>43621</v>
      </c>
      <c r="B3361" t="s">
        <v>26</v>
      </c>
      <c r="C3361">
        <v>61109</v>
      </c>
      <c r="D3361" t="s">
        <v>96</v>
      </c>
      <c r="E3361" s="7">
        <v>378.55</v>
      </c>
      <c r="F3361" t="s">
        <v>20</v>
      </c>
      <c r="G3361" t="s">
        <v>21</v>
      </c>
      <c r="H3361" t="str">
        <f>"MAY 2019"</f>
        <v>MAY 2019</v>
      </c>
      <c r="I3361" t="str">
        <f>"LEGALSHIELD"</f>
        <v>LEGALSHIELD</v>
      </c>
    </row>
    <row r="3362" spans="1:9" x14ac:dyDescent="0.25">
      <c r="A3362" s="6">
        <v>43621</v>
      </c>
      <c r="B3362" t="s">
        <v>26</v>
      </c>
      <c r="C3362">
        <v>61110</v>
      </c>
      <c r="D3362" t="s">
        <v>123</v>
      </c>
      <c r="E3362" s="7">
        <v>43.8</v>
      </c>
      <c r="F3362" t="s">
        <v>20</v>
      </c>
      <c r="G3362" t="s">
        <v>21</v>
      </c>
      <c r="H3362" t="str">
        <f>"314110592001"</f>
        <v>314110592001</v>
      </c>
      <c r="I3362" t="str">
        <f>"JANITORIAL/OFFICE SUPPLIE"</f>
        <v>JANITORIAL/OFFICE SUPPLIE</v>
      </c>
    </row>
    <row r="3363" spans="1:9" x14ac:dyDescent="0.25">
      <c r="A3363" s="6">
        <v>43621</v>
      </c>
      <c r="B3363" t="s">
        <v>26</v>
      </c>
      <c r="C3363">
        <v>61111</v>
      </c>
      <c r="D3363" t="s">
        <v>728</v>
      </c>
      <c r="E3363" s="7">
        <v>175</v>
      </c>
      <c r="F3363" t="s">
        <v>20</v>
      </c>
      <c r="G3363" t="s">
        <v>21</v>
      </c>
      <c r="H3363" t="str">
        <f>"10188"</f>
        <v>10188</v>
      </c>
      <c r="I3363" t="str">
        <f>"TEXAS ECONOMIC DEVELOPMENT COU"</f>
        <v>TEXAS ECONOMIC DEVELOPMENT COU</v>
      </c>
    </row>
    <row r="3364" spans="1:9" x14ac:dyDescent="0.25">
      <c r="A3364" s="6">
        <v>43621</v>
      </c>
      <c r="B3364" t="s">
        <v>26</v>
      </c>
      <c r="C3364">
        <v>61112</v>
      </c>
      <c r="D3364" t="s">
        <v>130</v>
      </c>
      <c r="E3364" s="7">
        <v>8330</v>
      </c>
      <c r="F3364" t="s">
        <v>20</v>
      </c>
      <c r="G3364" t="s">
        <v>21</v>
      </c>
      <c r="H3364" t="str">
        <f>"INV637909"</f>
        <v>INV637909</v>
      </c>
      <c r="I3364" t="str">
        <f>"DOCUMATION"</f>
        <v>DOCUMATION</v>
      </c>
    </row>
    <row r="3365" spans="1:9" x14ac:dyDescent="0.25">
      <c r="A3365" s="6">
        <v>43621</v>
      </c>
      <c r="B3365" t="s">
        <v>26</v>
      </c>
      <c r="C3365">
        <v>61112</v>
      </c>
      <c r="D3365" t="s">
        <v>130</v>
      </c>
      <c r="E3365" s="7">
        <v>8330</v>
      </c>
      <c r="F3365" t="s">
        <v>20</v>
      </c>
      <c r="G3365" t="s">
        <v>21</v>
      </c>
      <c r="H3365" t="str">
        <f>"INV647225"</f>
        <v>INV647225</v>
      </c>
      <c r="I3365" t="str">
        <f>"DOCUMATION"</f>
        <v>DOCUMATION</v>
      </c>
    </row>
    <row r="3366" spans="1:9" x14ac:dyDescent="0.25">
      <c r="A3366" s="6">
        <v>43621</v>
      </c>
      <c r="B3366" t="s">
        <v>26</v>
      </c>
      <c r="C3366">
        <v>61113</v>
      </c>
      <c r="D3366" t="s">
        <v>98</v>
      </c>
      <c r="E3366" s="7">
        <v>3478.81</v>
      </c>
      <c r="F3366" t="s">
        <v>20</v>
      </c>
      <c r="G3366" t="s">
        <v>21</v>
      </c>
      <c r="H3366" t="str">
        <f>"JUNE 2019"</f>
        <v>JUNE 2019</v>
      </c>
      <c r="I3366" t="str">
        <f>"DEARBORN NATIONAL"</f>
        <v>DEARBORN NATIONAL</v>
      </c>
    </row>
    <row r="3367" spans="1:9" x14ac:dyDescent="0.25">
      <c r="A3367" s="6">
        <v>43621</v>
      </c>
      <c r="B3367" t="s">
        <v>26</v>
      </c>
      <c r="C3367">
        <v>61114</v>
      </c>
      <c r="D3367" t="s">
        <v>345</v>
      </c>
      <c r="E3367" s="7">
        <v>341</v>
      </c>
      <c r="F3367" t="s">
        <v>20</v>
      </c>
      <c r="G3367" t="s">
        <v>21</v>
      </c>
      <c r="H3367" t="str">
        <f>"6/3/2019"</f>
        <v>6/3/2019</v>
      </c>
      <c r="I3367" t="str">
        <f>"MICHAEL ISAAC MARTINEZ"</f>
        <v>MICHAEL ISAAC MARTINEZ</v>
      </c>
    </row>
    <row r="3368" spans="1:9" x14ac:dyDescent="0.25">
      <c r="A3368" s="6">
        <v>43621</v>
      </c>
      <c r="B3368" t="s">
        <v>26</v>
      </c>
      <c r="C3368">
        <v>61115</v>
      </c>
      <c r="D3368" t="s">
        <v>452</v>
      </c>
      <c r="E3368" s="7">
        <v>150</v>
      </c>
      <c r="F3368" t="s">
        <v>20</v>
      </c>
      <c r="G3368" t="s">
        <v>21</v>
      </c>
      <c r="H3368" t="str">
        <f>"6/3/2019"</f>
        <v>6/3/2019</v>
      </c>
      <c r="I3368" t="str">
        <f>"DESIREE PEREZ"</f>
        <v>DESIREE PEREZ</v>
      </c>
    </row>
    <row r="3369" spans="1:9" x14ac:dyDescent="0.25">
      <c r="A3369" s="6">
        <v>43621</v>
      </c>
      <c r="B3369" t="s">
        <v>26</v>
      </c>
      <c r="C3369">
        <v>61116</v>
      </c>
      <c r="D3369" t="s">
        <v>346</v>
      </c>
      <c r="E3369" s="7">
        <v>13750</v>
      </c>
      <c r="F3369" t="s">
        <v>20</v>
      </c>
      <c r="G3369" t="s">
        <v>21</v>
      </c>
      <c r="H3369" t="str">
        <f>"4/11-5/11/2019"</f>
        <v>4/11-5/11/2019</v>
      </c>
      <c r="I3369" t="str">
        <f>"SYLVIA RODRIGUEZ"</f>
        <v>SYLVIA RODRIGUEZ</v>
      </c>
    </row>
    <row r="3370" spans="1:9" x14ac:dyDescent="0.25">
      <c r="A3370" s="6">
        <v>43621</v>
      </c>
      <c r="B3370" t="s">
        <v>26</v>
      </c>
      <c r="C3370">
        <v>61117</v>
      </c>
      <c r="D3370" t="s">
        <v>647</v>
      </c>
      <c r="E3370" s="7">
        <v>12768</v>
      </c>
      <c r="F3370" t="s">
        <v>20</v>
      </c>
      <c r="G3370" t="s">
        <v>21</v>
      </c>
      <c r="H3370" t="str">
        <f>"24405254"</f>
        <v>24405254</v>
      </c>
      <c r="I3370" t="str">
        <f>"DOCUMATION  INC."</f>
        <v>DOCUMATION  INC.</v>
      </c>
    </row>
    <row r="3371" spans="1:9" x14ac:dyDescent="0.25">
      <c r="A3371" s="6">
        <v>43621</v>
      </c>
      <c r="B3371" t="s">
        <v>26</v>
      </c>
      <c r="C3371">
        <v>61117</v>
      </c>
      <c r="D3371" t="s">
        <v>647</v>
      </c>
      <c r="E3371" s="7">
        <v>12768</v>
      </c>
      <c r="F3371" t="s">
        <v>20</v>
      </c>
      <c r="G3371" t="s">
        <v>21</v>
      </c>
      <c r="H3371" t="str">
        <f>"24594277"</f>
        <v>24594277</v>
      </c>
      <c r="I3371" t="str">
        <f>"DOCUMATION  INC."</f>
        <v>DOCUMATION  INC.</v>
      </c>
    </row>
    <row r="3372" spans="1:9" x14ac:dyDescent="0.25">
      <c r="A3372" s="6">
        <v>43621</v>
      </c>
      <c r="B3372" t="s">
        <v>26</v>
      </c>
      <c r="C3372">
        <v>61117</v>
      </c>
      <c r="D3372" t="s">
        <v>647</v>
      </c>
      <c r="E3372" s="7">
        <v>12768</v>
      </c>
      <c r="F3372" t="s">
        <v>20</v>
      </c>
      <c r="G3372" t="s">
        <v>21</v>
      </c>
      <c r="H3372" t="str">
        <f>"24899406"</f>
        <v>24899406</v>
      </c>
      <c r="I3372" t="str">
        <f>"DOCUMATION  INC."</f>
        <v>DOCUMATION  INC.</v>
      </c>
    </row>
    <row r="3373" spans="1:9" x14ac:dyDescent="0.25">
      <c r="A3373" s="6">
        <v>43621</v>
      </c>
      <c r="B3373" t="s">
        <v>26</v>
      </c>
      <c r="C3373">
        <v>61120</v>
      </c>
      <c r="D3373" t="s">
        <v>716</v>
      </c>
      <c r="E3373" s="7">
        <v>280</v>
      </c>
      <c r="F3373" t="s">
        <v>20</v>
      </c>
      <c r="G3373" t="s">
        <v>21</v>
      </c>
      <c r="H3373" t="str">
        <f>"6/3/2019"</f>
        <v>6/3/2019</v>
      </c>
      <c r="I3373" t="str">
        <f>"ALFREDO SENDEJO"</f>
        <v>ALFREDO SENDEJO</v>
      </c>
    </row>
    <row r="3374" spans="1:9" x14ac:dyDescent="0.25">
      <c r="A3374" s="6">
        <v>43621</v>
      </c>
      <c r="B3374" t="s">
        <v>26</v>
      </c>
      <c r="C3374">
        <v>61121</v>
      </c>
      <c r="D3374" t="s">
        <v>252</v>
      </c>
      <c r="E3374" s="7">
        <v>10450</v>
      </c>
      <c r="F3374" t="s">
        <v>20</v>
      </c>
      <c r="G3374" t="s">
        <v>21</v>
      </c>
      <c r="H3374" t="str">
        <f>"PAY APP #5"</f>
        <v>PAY APP #5</v>
      </c>
      <c r="I3374" t="str">
        <f>"RAM II GENERAL CONTRACTOR INC."</f>
        <v>RAM II GENERAL CONTRACTOR INC.</v>
      </c>
    </row>
    <row r="3375" spans="1:9" x14ac:dyDescent="0.25">
      <c r="A3375" s="6">
        <v>43621</v>
      </c>
      <c r="B3375" t="s">
        <v>26</v>
      </c>
      <c r="C3375">
        <v>61122</v>
      </c>
      <c r="D3375" t="s">
        <v>443</v>
      </c>
      <c r="E3375" s="7">
        <v>4116.67</v>
      </c>
      <c r="F3375" t="s">
        <v>20</v>
      </c>
      <c r="G3375" t="s">
        <v>21</v>
      </c>
      <c r="H3375" t="str">
        <f>"10565"</f>
        <v>10565</v>
      </c>
      <c r="I3375" t="str">
        <f>"RIOJAS TURF CARE  LLC"</f>
        <v>RIOJAS TURF CARE  LLC</v>
      </c>
    </row>
    <row r="3376" spans="1:9" x14ac:dyDescent="0.25">
      <c r="A3376" s="6">
        <v>43622</v>
      </c>
      <c r="B3376" t="s">
        <v>26</v>
      </c>
      <c r="C3376">
        <v>61123</v>
      </c>
      <c r="D3376" t="s">
        <v>97</v>
      </c>
      <c r="E3376" s="7">
        <v>65845.91</v>
      </c>
      <c r="F3376" t="s">
        <v>20</v>
      </c>
      <c r="G3376" t="s">
        <v>21</v>
      </c>
      <c r="H3376" t="str">
        <f>"DEN201906058525"</f>
        <v>DEN201906058525</v>
      </c>
      <c r="I3376" t="str">
        <f>"DENTAL INSURANCE"</f>
        <v>DENTAL INSURANCE</v>
      </c>
    </row>
    <row r="3377" spans="1:9" x14ac:dyDescent="0.25">
      <c r="A3377" s="6">
        <v>43622</v>
      </c>
      <c r="B3377" t="s">
        <v>26</v>
      </c>
      <c r="C3377">
        <v>61123</v>
      </c>
      <c r="D3377" t="s">
        <v>97</v>
      </c>
      <c r="E3377" s="7">
        <v>65845.91</v>
      </c>
      <c r="F3377" t="s">
        <v>20</v>
      </c>
      <c r="G3377" t="s">
        <v>21</v>
      </c>
      <c r="H3377" t="str">
        <f>"JUNE 219"</f>
        <v>JUNE 219</v>
      </c>
      <c r="I3377" t="str">
        <f>"HEALTH CARE SERVICE CORPORATIO"</f>
        <v>HEALTH CARE SERVICE CORPORATIO</v>
      </c>
    </row>
    <row r="3378" spans="1:9" x14ac:dyDescent="0.25">
      <c r="A3378" s="6">
        <v>43622</v>
      </c>
      <c r="B3378" t="s">
        <v>26</v>
      </c>
      <c r="C3378">
        <v>61123</v>
      </c>
      <c r="D3378" t="s">
        <v>97</v>
      </c>
      <c r="E3378" s="7">
        <v>65845.91</v>
      </c>
      <c r="F3378" t="s">
        <v>20</v>
      </c>
      <c r="G3378" t="s">
        <v>21</v>
      </c>
      <c r="H3378" t="str">
        <f>"MED201906058525"</f>
        <v>MED201906058525</v>
      </c>
      <c r="I3378" t="str">
        <f>"HEALTH &amp; DENTAL INSURANCE"</f>
        <v>HEALTH &amp; DENTAL INSURANCE</v>
      </c>
    </row>
    <row r="3379" spans="1:9" x14ac:dyDescent="0.25">
      <c r="A3379" s="6">
        <v>43622</v>
      </c>
      <c r="B3379" t="s">
        <v>26</v>
      </c>
      <c r="C3379">
        <v>61127</v>
      </c>
      <c r="D3379" t="s">
        <v>48</v>
      </c>
      <c r="E3379" s="7">
        <v>1759.76</v>
      </c>
      <c r="F3379" t="s">
        <v>20</v>
      </c>
      <c r="G3379" t="s">
        <v>21</v>
      </c>
      <c r="H3379" t="str">
        <f>"1697"</f>
        <v>1697</v>
      </c>
      <c r="I3379" t="str">
        <f>"RANDY HOLLAR  LLC"</f>
        <v>RANDY HOLLAR  LLC</v>
      </c>
    </row>
    <row r="3380" spans="1:9" x14ac:dyDescent="0.25">
      <c r="A3380" s="6">
        <v>43626</v>
      </c>
      <c r="B3380" t="s">
        <v>26</v>
      </c>
      <c r="C3380">
        <v>61128</v>
      </c>
      <c r="D3380" t="s">
        <v>471</v>
      </c>
      <c r="E3380" s="7">
        <v>4881.7299999999996</v>
      </c>
      <c r="F3380" t="s">
        <v>20</v>
      </c>
      <c r="G3380" t="s">
        <v>21</v>
      </c>
      <c r="H3380" t="str">
        <f>"6050"</f>
        <v>6050</v>
      </c>
      <c r="I3380" t="str">
        <f>"VEHICLE REPAIR"</f>
        <v>VEHICLE REPAIR</v>
      </c>
    </row>
    <row r="3381" spans="1:9" x14ac:dyDescent="0.25">
      <c r="A3381" s="6">
        <v>43628</v>
      </c>
      <c r="B3381" t="s">
        <v>26</v>
      </c>
      <c r="C3381">
        <v>61129</v>
      </c>
      <c r="D3381" t="s">
        <v>57</v>
      </c>
      <c r="E3381" s="7">
        <v>11569.38</v>
      </c>
      <c r="F3381" t="s">
        <v>20</v>
      </c>
      <c r="G3381" t="s">
        <v>21</v>
      </c>
      <c r="H3381" t="str">
        <f>"11617 PK/FLD  6/19"</f>
        <v>11617 PK/FLD  6/19</v>
      </c>
      <c r="I3381" t="str">
        <f>"F.E.L.P.S."</f>
        <v>F.E.L.P.S.</v>
      </c>
    </row>
    <row r="3382" spans="1:9" x14ac:dyDescent="0.25">
      <c r="A3382" s="6">
        <v>43628</v>
      </c>
      <c r="B3382" t="s">
        <v>26</v>
      </c>
      <c r="C3382">
        <v>61129</v>
      </c>
      <c r="D3382" t="s">
        <v>57</v>
      </c>
      <c r="E3382" s="7">
        <v>11569.38</v>
      </c>
      <c r="F3382" t="s">
        <v>20</v>
      </c>
      <c r="G3382" t="s">
        <v>21</v>
      </c>
      <c r="H3382" t="str">
        <f>"33062 6/2019"</f>
        <v>33062 6/2019</v>
      </c>
      <c r="I3382" t="str">
        <f>"F.E.L.P.S."</f>
        <v>F.E.L.P.S.</v>
      </c>
    </row>
    <row r="3383" spans="1:9" x14ac:dyDescent="0.25">
      <c r="A3383" s="6">
        <v>43628</v>
      </c>
      <c r="B3383" t="s">
        <v>91</v>
      </c>
      <c r="C3383">
        <v>61130</v>
      </c>
      <c r="D3383" t="s">
        <v>729</v>
      </c>
      <c r="E3383" s="7">
        <v>92.44</v>
      </c>
      <c r="F3383" t="s">
        <v>20</v>
      </c>
      <c r="G3383" t="s">
        <v>21</v>
      </c>
      <c r="H3383" t="str">
        <f>"9830794043"</f>
        <v>9830794043</v>
      </c>
      <c r="I3383" t="str">
        <f>"VERMEER EQUIPMENT OF TEXAS"</f>
        <v>VERMEER EQUIPMENT OF TEXAS</v>
      </c>
    </row>
    <row r="3384" spans="1:9" x14ac:dyDescent="0.25">
      <c r="A3384" s="6">
        <v>43628</v>
      </c>
      <c r="B3384" t="s">
        <v>91</v>
      </c>
      <c r="C3384">
        <v>61130</v>
      </c>
      <c r="D3384" t="s">
        <v>729</v>
      </c>
      <c r="E3384" s="7">
        <v>92.44</v>
      </c>
      <c r="F3384" t="s">
        <v>20</v>
      </c>
      <c r="G3384" t="s">
        <v>93</v>
      </c>
      <c r="H3384" t="str">
        <f>"CHECK"</f>
        <v>CHECK</v>
      </c>
      <c r="I3384" t="str">
        <f>""</f>
        <v/>
      </c>
    </row>
    <row r="3385" spans="1:9" x14ac:dyDescent="0.25">
      <c r="A3385" s="6">
        <v>43628</v>
      </c>
      <c r="B3385" t="s">
        <v>26</v>
      </c>
      <c r="C3385">
        <v>61131</v>
      </c>
      <c r="D3385" t="s">
        <v>201</v>
      </c>
      <c r="E3385" s="7">
        <v>273.07</v>
      </c>
      <c r="F3385" t="s">
        <v>20</v>
      </c>
      <c r="G3385" t="s">
        <v>21</v>
      </c>
      <c r="H3385" t="str">
        <f>"138991"</f>
        <v>138991</v>
      </c>
      <c r="I3385" t="str">
        <f t="shared" ref="I3385:I3390" si="63">"WILSON COUNTY HARDWARE"</f>
        <v>WILSON COUNTY HARDWARE</v>
      </c>
    </row>
    <row r="3386" spans="1:9" x14ac:dyDescent="0.25">
      <c r="A3386" s="6">
        <v>43628</v>
      </c>
      <c r="B3386" t="s">
        <v>26</v>
      </c>
      <c r="C3386">
        <v>61131</v>
      </c>
      <c r="D3386" t="s">
        <v>201</v>
      </c>
      <c r="E3386" s="7">
        <v>273.07</v>
      </c>
      <c r="F3386" t="s">
        <v>20</v>
      </c>
      <c r="G3386" t="s">
        <v>21</v>
      </c>
      <c r="H3386" t="str">
        <f>"138994"</f>
        <v>138994</v>
      </c>
      <c r="I3386" t="str">
        <f t="shared" si="63"/>
        <v>WILSON COUNTY HARDWARE</v>
      </c>
    </row>
    <row r="3387" spans="1:9" x14ac:dyDescent="0.25">
      <c r="A3387" s="6">
        <v>43628</v>
      </c>
      <c r="B3387" t="s">
        <v>26</v>
      </c>
      <c r="C3387">
        <v>61131</v>
      </c>
      <c r="D3387" t="s">
        <v>201</v>
      </c>
      <c r="E3387" s="7">
        <v>273.07</v>
      </c>
      <c r="F3387" t="s">
        <v>20</v>
      </c>
      <c r="G3387" t="s">
        <v>21</v>
      </c>
      <c r="H3387" t="str">
        <f>"138996"</f>
        <v>138996</v>
      </c>
      <c r="I3387" t="str">
        <f t="shared" si="63"/>
        <v>WILSON COUNTY HARDWARE</v>
      </c>
    </row>
    <row r="3388" spans="1:9" x14ac:dyDescent="0.25">
      <c r="A3388" s="6">
        <v>43628</v>
      </c>
      <c r="B3388" t="s">
        <v>26</v>
      </c>
      <c r="C3388">
        <v>61131</v>
      </c>
      <c r="D3388" t="s">
        <v>201</v>
      </c>
      <c r="E3388" s="7">
        <v>273.07</v>
      </c>
      <c r="F3388" t="s">
        <v>20</v>
      </c>
      <c r="G3388" t="s">
        <v>21</v>
      </c>
      <c r="H3388" t="str">
        <f>"139989"</f>
        <v>139989</v>
      </c>
      <c r="I3388" t="str">
        <f t="shared" si="63"/>
        <v>WILSON COUNTY HARDWARE</v>
      </c>
    </row>
    <row r="3389" spans="1:9" x14ac:dyDescent="0.25">
      <c r="A3389" s="6">
        <v>43628</v>
      </c>
      <c r="B3389" t="s">
        <v>26</v>
      </c>
      <c r="C3389">
        <v>61131</v>
      </c>
      <c r="D3389" t="s">
        <v>201</v>
      </c>
      <c r="E3389" s="7">
        <v>273.07</v>
      </c>
      <c r="F3389" t="s">
        <v>20</v>
      </c>
      <c r="G3389" t="s">
        <v>21</v>
      </c>
      <c r="H3389" t="str">
        <f>"139990"</f>
        <v>139990</v>
      </c>
      <c r="I3389" t="str">
        <f t="shared" si="63"/>
        <v>WILSON COUNTY HARDWARE</v>
      </c>
    </row>
    <row r="3390" spans="1:9" x14ac:dyDescent="0.25">
      <c r="A3390" s="6">
        <v>43628</v>
      </c>
      <c r="B3390" t="s">
        <v>26</v>
      </c>
      <c r="C3390">
        <v>61131</v>
      </c>
      <c r="D3390" t="s">
        <v>201</v>
      </c>
      <c r="E3390" s="7">
        <v>273.07</v>
      </c>
      <c r="F3390" t="s">
        <v>20</v>
      </c>
      <c r="G3390" t="s">
        <v>21</v>
      </c>
      <c r="H3390" t="str">
        <f>"139991"</f>
        <v>139991</v>
      </c>
      <c r="I3390" t="str">
        <f t="shared" si="63"/>
        <v>WILSON COUNTY HARDWARE</v>
      </c>
    </row>
    <row r="3391" spans="1:9" x14ac:dyDescent="0.25">
      <c r="A3391" s="6">
        <v>43628</v>
      </c>
      <c r="B3391" t="s">
        <v>26</v>
      </c>
      <c r="C3391">
        <v>61132</v>
      </c>
      <c r="D3391" t="s">
        <v>104</v>
      </c>
      <c r="E3391" s="7">
        <v>3855.44</v>
      </c>
      <c r="F3391" t="s">
        <v>20</v>
      </c>
      <c r="G3391" t="s">
        <v>21</v>
      </c>
      <c r="H3391" t="str">
        <f>"1375520501"</f>
        <v>1375520501</v>
      </c>
      <c r="I3391" t="str">
        <f t="shared" ref="I3391:I3400" si="64">"WILSON COUNTY NEWS"</f>
        <v>WILSON COUNTY NEWS</v>
      </c>
    </row>
    <row r="3392" spans="1:9" x14ac:dyDescent="0.25">
      <c r="A3392" s="6">
        <v>43628</v>
      </c>
      <c r="B3392" t="s">
        <v>26</v>
      </c>
      <c r="C3392">
        <v>61132</v>
      </c>
      <c r="D3392" t="s">
        <v>104</v>
      </c>
      <c r="E3392" s="7">
        <v>3855.44</v>
      </c>
      <c r="F3392" t="s">
        <v>20</v>
      </c>
      <c r="G3392" t="s">
        <v>21</v>
      </c>
      <c r="H3392" t="str">
        <f>"1375530501"</f>
        <v>1375530501</v>
      </c>
      <c r="I3392" t="str">
        <f t="shared" si="64"/>
        <v>WILSON COUNTY NEWS</v>
      </c>
    </row>
    <row r="3393" spans="1:9" x14ac:dyDescent="0.25">
      <c r="A3393" s="6">
        <v>43628</v>
      </c>
      <c r="B3393" t="s">
        <v>26</v>
      </c>
      <c r="C3393">
        <v>61132</v>
      </c>
      <c r="D3393" t="s">
        <v>104</v>
      </c>
      <c r="E3393" s="7">
        <v>3855.44</v>
      </c>
      <c r="F3393" t="s">
        <v>20</v>
      </c>
      <c r="G3393" t="s">
        <v>21</v>
      </c>
      <c r="H3393" t="str">
        <f>"1375960580"</f>
        <v>1375960580</v>
      </c>
      <c r="I3393" t="str">
        <f t="shared" si="64"/>
        <v>WILSON COUNTY NEWS</v>
      </c>
    </row>
    <row r="3394" spans="1:9" x14ac:dyDescent="0.25">
      <c r="A3394" s="6">
        <v>43628</v>
      </c>
      <c r="B3394" t="s">
        <v>26</v>
      </c>
      <c r="C3394">
        <v>61132</v>
      </c>
      <c r="D3394" t="s">
        <v>104</v>
      </c>
      <c r="E3394" s="7">
        <v>3855.44</v>
      </c>
      <c r="F3394" t="s">
        <v>20</v>
      </c>
      <c r="G3394" t="s">
        <v>21</v>
      </c>
      <c r="H3394" t="str">
        <f>"1376240515"</f>
        <v>1376240515</v>
      </c>
      <c r="I3394" t="str">
        <f t="shared" si="64"/>
        <v>WILSON COUNTY NEWS</v>
      </c>
    </row>
    <row r="3395" spans="1:9" x14ac:dyDescent="0.25">
      <c r="A3395" s="6">
        <v>43628</v>
      </c>
      <c r="B3395" t="s">
        <v>26</v>
      </c>
      <c r="C3395">
        <v>61132</v>
      </c>
      <c r="D3395" t="s">
        <v>104</v>
      </c>
      <c r="E3395" s="7">
        <v>3855.44</v>
      </c>
      <c r="F3395" t="s">
        <v>20</v>
      </c>
      <c r="G3395" t="s">
        <v>21</v>
      </c>
      <c r="H3395" t="str">
        <f>"1376250515"</f>
        <v>1376250515</v>
      </c>
      <c r="I3395" t="str">
        <f t="shared" si="64"/>
        <v>WILSON COUNTY NEWS</v>
      </c>
    </row>
    <row r="3396" spans="1:9" x14ac:dyDescent="0.25">
      <c r="A3396" s="6">
        <v>43628</v>
      </c>
      <c r="B3396" t="s">
        <v>26</v>
      </c>
      <c r="C3396">
        <v>61132</v>
      </c>
      <c r="D3396" t="s">
        <v>104</v>
      </c>
      <c r="E3396" s="7">
        <v>3855.44</v>
      </c>
      <c r="F3396" t="s">
        <v>20</v>
      </c>
      <c r="G3396" t="s">
        <v>21</v>
      </c>
      <c r="H3396" t="str">
        <f>"1376520522"</f>
        <v>1376520522</v>
      </c>
      <c r="I3396" t="str">
        <f t="shared" si="64"/>
        <v>WILSON COUNTY NEWS</v>
      </c>
    </row>
    <row r="3397" spans="1:9" x14ac:dyDescent="0.25">
      <c r="A3397" s="6">
        <v>43628</v>
      </c>
      <c r="B3397" t="s">
        <v>26</v>
      </c>
      <c r="C3397">
        <v>61132</v>
      </c>
      <c r="D3397" t="s">
        <v>104</v>
      </c>
      <c r="E3397" s="7">
        <v>3855.44</v>
      </c>
      <c r="F3397" t="s">
        <v>20</v>
      </c>
      <c r="G3397" t="s">
        <v>21</v>
      </c>
      <c r="H3397" t="str">
        <f>"1376530522"</f>
        <v>1376530522</v>
      </c>
      <c r="I3397" t="str">
        <f t="shared" si="64"/>
        <v>WILSON COUNTY NEWS</v>
      </c>
    </row>
    <row r="3398" spans="1:9" x14ac:dyDescent="0.25">
      <c r="A3398" s="6">
        <v>43628</v>
      </c>
      <c r="B3398" t="s">
        <v>26</v>
      </c>
      <c r="C3398">
        <v>61132</v>
      </c>
      <c r="D3398" t="s">
        <v>104</v>
      </c>
      <c r="E3398" s="7">
        <v>3855.44</v>
      </c>
      <c r="F3398" t="s">
        <v>20</v>
      </c>
      <c r="G3398" t="s">
        <v>21</v>
      </c>
      <c r="H3398" t="str">
        <f>"1378100501"</f>
        <v>1378100501</v>
      </c>
      <c r="I3398" t="str">
        <f t="shared" si="64"/>
        <v>WILSON COUNTY NEWS</v>
      </c>
    </row>
    <row r="3399" spans="1:9" x14ac:dyDescent="0.25">
      <c r="A3399" s="6">
        <v>43628</v>
      </c>
      <c r="B3399" t="s">
        <v>26</v>
      </c>
      <c r="C3399">
        <v>61132</v>
      </c>
      <c r="D3399" t="s">
        <v>104</v>
      </c>
      <c r="E3399" s="7">
        <v>3855.44</v>
      </c>
      <c r="F3399" t="s">
        <v>20</v>
      </c>
      <c r="G3399" t="s">
        <v>21</v>
      </c>
      <c r="H3399" t="str">
        <f>"1379920508"</f>
        <v>1379920508</v>
      </c>
      <c r="I3399" t="str">
        <f t="shared" si="64"/>
        <v>WILSON COUNTY NEWS</v>
      </c>
    </row>
    <row r="3400" spans="1:9" x14ac:dyDescent="0.25">
      <c r="A3400" s="6">
        <v>43628</v>
      </c>
      <c r="B3400" t="s">
        <v>26</v>
      </c>
      <c r="C3400">
        <v>61132</v>
      </c>
      <c r="D3400" t="s">
        <v>104</v>
      </c>
      <c r="E3400" s="7">
        <v>3855.44</v>
      </c>
      <c r="F3400" t="s">
        <v>20</v>
      </c>
      <c r="G3400" t="s">
        <v>21</v>
      </c>
      <c r="H3400" t="str">
        <f>"502698823"</f>
        <v>502698823</v>
      </c>
      <c r="I3400" t="str">
        <f t="shared" si="64"/>
        <v>WILSON COUNTY NEWS</v>
      </c>
    </row>
    <row r="3401" spans="1:9" x14ac:dyDescent="0.25">
      <c r="A3401" s="6">
        <v>43628</v>
      </c>
      <c r="B3401" t="s">
        <v>26</v>
      </c>
      <c r="C3401">
        <v>61134</v>
      </c>
      <c r="D3401" t="s">
        <v>59</v>
      </c>
      <c r="E3401" s="7">
        <v>1434.32</v>
      </c>
      <c r="F3401" t="s">
        <v>20</v>
      </c>
      <c r="G3401" t="s">
        <v>21</v>
      </c>
      <c r="H3401" t="str">
        <f>"1016251"</f>
        <v>1016251</v>
      </c>
      <c r="I3401" t="str">
        <f>"PVC PIPE"</f>
        <v>PVC PIPE</v>
      </c>
    </row>
    <row r="3402" spans="1:9" x14ac:dyDescent="0.25">
      <c r="A3402" s="6">
        <v>43628</v>
      </c>
      <c r="B3402" t="s">
        <v>26</v>
      </c>
      <c r="C3402">
        <v>61134</v>
      </c>
      <c r="D3402" t="s">
        <v>59</v>
      </c>
      <c r="E3402" s="7">
        <v>1434.32</v>
      </c>
      <c r="F3402" t="s">
        <v>20</v>
      </c>
      <c r="G3402" t="s">
        <v>21</v>
      </c>
      <c r="H3402" t="str">
        <f>"1017856"</f>
        <v>1017856</v>
      </c>
      <c r="I3402" t="str">
        <f>"SUPPLIES"</f>
        <v>SUPPLIES</v>
      </c>
    </row>
    <row r="3403" spans="1:9" x14ac:dyDescent="0.25">
      <c r="A3403" s="6">
        <v>43628</v>
      </c>
      <c r="B3403" t="s">
        <v>26</v>
      </c>
      <c r="C3403">
        <v>61135</v>
      </c>
      <c r="D3403" t="s">
        <v>577</v>
      </c>
      <c r="E3403" s="7">
        <v>10</v>
      </c>
      <c r="F3403" t="s">
        <v>20</v>
      </c>
      <c r="G3403" t="s">
        <v>21</v>
      </c>
      <c r="H3403" t="str">
        <f>"RENEWAL 6/19"</f>
        <v>RENEWAL 6/19</v>
      </c>
      <c r="I3403" t="str">
        <f>"TCEQ - OCCUPATIONAL LICENSING"</f>
        <v>TCEQ - OCCUPATIONAL LICENSING</v>
      </c>
    </row>
    <row r="3404" spans="1:9" x14ac:dyDescent="0.25">
      <c r="A3404" s="6">
        <v>43628</v>
      </c>
      <c r="B3404" t="s">
        <v>26</v>
      </c>
      <c r="C3404">
        <v>61136</v>
      </c>
      <c r="D3404" t="s">
        <v>166</v>
      </c>
      <c r="E3404" s="7">
        <v>659.48</v>
      </c>
      <c r="F3404" t="s">
        <v>20</v>
      </c>
      <c r="G3404" t="s">
        <v>21</v>
      </c>
      <c r="H3404" t="str">
        <f>"9567 6/2019"</f>
        <v>9567 6/2019</v>
      </c>
      <c r="I3404" t="str">
        <f>"PITNEY BOWES PURCHASE POWER"</f>
        <v>PITNEY BOWES PURCHASE POWER</v>
      </c>
    </row>
    <row r="3405" spans="1:9" x14ac:dyDescent="0.25">
      <c r="A3405" s="6">
        <v>43628</v>
      </c>
      <c r="B3405" t="s">
        <v>26</v>
      </c>
      <c r="C3405">
        <v>61137</v>
      </c>
      <c r="D3405" t="s">
        <v>202</v>
      </c>
      <c r="E3405" s="7">
        <v>14497.02</v>
      </c>
      <c r="F3405" t="s">
        <v>20</v>
      </c>
      <c r="G3405" t="s">
        <v>21</v>
      </c>
      <c r="H3405" t="str">
        <f>"61907613"</f>
        <v>61907613</v>
      </c>
      <c r="I3405" t="str">
        <f>"VULCAN CONSTRUCTION MATERIALS"</f>
        <v>VULCAN CONSTRUCTION MATERIALS</v>
      </c>
    </row>
    <row r="3406" spans="1:9" x14ac:dyDescent="0.25">
      <c r="A3406" s="6">
        <v>43628</v>
      </c>
      <c r="B3406" t="s">
        <v>26</v>
      </c>
      <c r="C3406">
        <v>61138</v>
      </c>
      <c r="D3406" t="s">
        <v>273</v>
      </c>
      <c r="E3406" s="7">
        <v>4247.84</v>
      </c>
      <c r="F3406" t="s">
        <v>20</v>
      </c>
      <c r="G3406" t="s">
        <v>21</v>
      </c>
      <c r="H3406" t="str">
        <f>"5119-000088700"</f>
        <v>5119-000088700</v>
      </c>
      <c r="I3406" t="str">
        <f>"REPUBLIC SERVICES TESSMAN ROAD"</f>
        <v>REPUBLIC SERVICES TESSMAN ROAD</v>
      </c>
    </row>
    <row r="3407" spans="1:9" x14ac:dyDescent="0.25">
      <c r="A3407" s="6">
        <v>43628</v>
      </c>
      <c r="B3407" t="s">
        <v>26</v>
      </c>
      <c r="C3407">
        <v>61139</v>
      </c>
      <c r="D3407" t="s">
        <v>107</v>
      </c>
      <c r="E3407" s="7">
        <v>171.09</v>
      </c>
      <c r="F3407" t="s">
        <v>20</v>
      </c>
      <c r="G3407" t="s">
        <v>21</v>
      </c>
      <c r="H3407" t="str">
        <f>"1166960-20190331"</f>
        <v>1166960-20190331</v>
      </c>
      <c r="I3407" t="str">
        <f>"LEXISNEXIS RISK SOLUTIONS"</f>
        <v>LEXISNEXIS RISK SOLUTIONS</v>
      </c>
    </row>
    <row r="3408" spans="1:9" x14ac:dyDescent="0.25">
      <c r="A3408" s="6">
        <v>43628</v>
      </c>
      <c r="B3408" t="s">
        <v>26</v>
      </c>
      <c r="C3408">
        <v>61139</v>
      </c>
      <c r="D3408" t="s">
        <v>107</v>
      </c>
      <c r="E3408" s="7">
        <v>171.09</v>
      </c>
      <c r="F3408" t="s">
        <v>20</v>
      </c>
      <c r="G3408" t="s">
        <v>21</v>
      </c>
      <c r="H3408" t="str">
        <f>"1166960-20190430"</f>
        <v>1166960-20190430</v>
      </c>
      <c r="I3408" t="str">
        <f>"LEXISNEXIS RISK SOLUTIONS"</f>
        <v>LEXISNEXIS RISK SOLUTIONS</v>
      </c>
    </row>
    <row r="3409" spans="1:9" x14ac:dyDescent="0.25">
      <c r="A3409" s="6">
        <v>43628</v>
      </c>
      <c r="B3409" t="s">
        <v>26</v>
      </c>
      <c r="C3409">
        <v>61140</v>
      </c>
      <c r="D3409" t="s">
        <v>203</v>
      </c>
      <c r="E3409" s="7">
        <v>644.85</v>
      </c>
      <c r="F3409" t="s">
        <v>20</v>
      </c>
      <c r="G3409" t="s">
        <v>21</v>
      </c>
      <c r="H3409" t="str">
        <f>"898143"</f>
        <v>898143</v>
      </c>
      <c r="I3409" t="str">
        <f>"MAINTENANCE SUPPLIES"</f>
        <v>MAINTENANCE SUPPLIES</v>
      </c>
    </row>
    <row r="3410" spans="1:9" x14ac:dyDescent="0.25">
      <c r="A3410" s="6">
        <v>43628</v>
      </c>
      <c r="B3410" t="s">
        <v>26</v>
      </c>
      <c r="C3410">
        <v>61140</v>
      </c>
      <c r="D3410" t="s">
        <v>203</v>
      </c>
      <c r="E3410" s="7">
        <v>644.85</v>
      </c>
      <c r="F3410" t="s">
        <v>20</v>
      </c>
      <c r="G3410" t="s">
        <v>21</v>
      </c>
      <c r="H3410" t="str">
        <f>"907152"</f>
        <v>907152</v>
      </c>
      <c r="I3410" t="str">
        <f>"MAINTENANCE SUPPLIES"</f>
        <v>MAINTENANCE SUPPLIES</v>
      </c>
    </row>
    <row r="3411" spans="1:9" x14ac:dyDescent="0.25">
      <c r="A3411" s="6">
        <v>43628</v>
      </c>
      <c r="B3411" t="s">
        <v>26</v>
      </c>
      <c r="C3411">
        <v>61141</v>
      </c>
      <c r="D3411" t="s">
        <v>110</v>
      </c>
      <c r="E3411" s="7">
        <v>1648.64</v>
      </c>
      <c r="F3411" t="s">
        <v>20</v>
      </c>
      <c r="G3411" t="s">
        <v>21</v>
      </c>
      <c r="H3411" t="str">
        <f>"1472180"</f>
        <v>1472180</v>
      </c>
      <c r="I3411" t="str">
        <f t="shared" ref="I3411:I3424" si="65">"BUREAU VERITAS NORTH AMERICA"</f>
        <v>BUREAU VERITAS NORTH AMERICA</v>
      </c>
    </row>
    <row r="3412" spans="1:9" x14ac:dyDescent="0.25">
      <c r="A3412" s="6">
        <v>43628</v>
      </c>
      <c r="B3412" t="s">
        <v>26</v>
      </c>
      <c r="C3412">
        <v>61141</v>
      </c>
      <c r="D3412" t="s">
        <v>110</v>
      </c>
      <c r="E3412" s="7">
        <v>1648.64</v>
      </c>
      <c r="F3412" t="s">
        <v>20</v>
      </c>
      <c r="G3412" t="s">
        <v>21</v>
      </c>
      <c r="H3412" t="str">
        <f>"1472181"</f>
        <v>1472181</v>
      </c>
      <c r="I3412" t="str">
        <f t="shared" si="65"/>
        <v>BUREAU VERITAS NORTH AMERICA</v>
      </c>
    </row>
    <row r="3413" spans="1:9" x14ac:dyDescent="0.25">
      <c r="A3413" s="6">
        <v>43628</v>
      </c>
      <c r="B3413" t="s">
        <v>26</v>
      </c>
      <c r="C3413">
        <v>61141</v>
      </c>
      <c r="D3413" t="s">
        <v>110</v>
      </c>
      <c r="E3413" s="7">
        <v>1648.64</v>
      </c>
      <c r="F3413" t="s">
        <v>20</v>
      </c>
      <c r="G3413" t="s">
        <v>21</v>
      </c>
      <c r="H3413" t="str">
        <f>"1472182"</f>
        <v>1472182</v>
      </c>
      <c r="I3413" t="str">
        <f t="shared" si="65"/>
        <v>BUREAU VERITAS NORTH AMERICA</v>
      </c>
    </row>
    <row r="3414" spans="1:9" x14ac:dyDescent="0.25">
      <c r="A3414" s="6">
        <v>43628</v>
      </c>
      <c r="B3414" t="s">
        <v>26</v>
      </c>
      <c r="C3414">
        <v>61141</v>
      </c>
      <c r="D3414" t="s">
        <v>110</v>
      </c>
      <c r="E3414" s="7">
        <v>1648.64</v>
      </c>
      <c r="F3414" t="s">
        <v>20</v>
      </c>
      <c r="G3414" t="s">
        <v>21</v>
      </c>
      <c r="H3414" t="str">
        <f>"1472183"</f>
        <v>1472183</v>
      </c>
      <c r="I3414" t="str">
        <f t="shared" si="65"/>
        <v>BUREAU VERITAS NORTH AMERICA</v>
      </c>
    </row>
    <row r="3415" spans="1:9" x14ac:dyDescent="0.25">
      <c r="A3415" s="6">
        <v>43628</v>
      </c>
      <c r="B3415" t="s">
        <v>26</v>
      </c>
      <c r="C3415">
        <v>61141</v>
      </c>
      <c r="D3415" t="s">
        <v>110</v>
      </c>
      <c r="E3415" s="7">
        <v>1648.64</v>
      </c>
      <c r="F3415" t="s">
        <v>20</v>
      </c>
      <c r="G3415" t="s">
        <v>21</v>
      </c>
      <c r="H3415" t="str">
        <f>"1472184"</f>
        <v>1472184</v>
      </c>
      <c r="I3415" t="str">
        <f t="shared" si="65"/>
        <v>BUREAU VERITAS NORTH AMERICA</v>
      </c>
    </row>
    <row r="3416" spans="1:9" x14ac:dyDescent="0.25">
      <c r="A3416" s="6">
        <v>43628</v>
      </c>
      <c r="B3416" t="s">
        <v>26</v>
      </c>
      <c r="C3416">
        <v>61141</v>
      </c>
      <c r="D3416" t="s">
        <v>110</v>
      </c>
      <c r="E3416" s="7">
        <v>1648.64</v>
      </c>
      <c r="F3416" t="s">
        <v>20</v>
      </c>
      <c r="G3416" t="s">
        <v>21</v>
      </c>
      <c r="H3416" t="str">
        <f>"1472185"</f>
        <v>1472185</v>
      </c>
      <c r="I3416" t="str">
        <f t="shared" si="65"/>
        <v>BUREAU VERITAS NORTH AMERICA</v>
      </c>
    </row>
    <row r="3417" spans="1:9" x14ac:dyDescent="0.25">
      <c r="A3417" s="6">
        <v>43628</v>
      </c>
      <c r="B3417" t="s">
        <v>26</v>
      </c>
      <c r="C3417">
        <v>61141</v>
      </c>
      <c r="D3417" t="s">
        <v>110</v>
      </c>
      <c r="E3417" s="7">
        <v>1648.64</v>
      </c>
      <c r="F3417" t="s">
        <v>20</v>
      </c>
      <c r="G3417" t="s">
        <v>21</v>
      </c>
      <c r="H3417" t="str">
        <f>"1472186"</f>
        <v>1472186</v>
      </c>
      <c r="I3417" t="str">
        <f t="shared" si="65"/>
        <v>BUREAU VERITAS NORTH AMERICA</v>
      </c>
    </row>
    <row r="3418" spans="1:9" x14ac:dyDescent="0.25">
      <c r="A3418" s="6">
        <v>43628</v>
      </c>
      <c r="B3418" t="s">
        <v>26</v>
      </c>
      <c r="C3418">
        <v>61141</v>
      </c>
      <c r="D3418" t="s">
        <v>110</v>
      </c>
      <c r="E3418" s="7">
        <v>1648.64</v>
      </c>
      <c r="F3418" t="s">
        <v>20</v>
      </c>
      <c r="G3418" t="s">
        <v>21</v>
      </c>
      <c r="H3418" t="str">
        <f>"1472187"</f>
        <v>1472187</v>
      </c>
      <c r="I3418" t="str">
        <f t="shared" si="65"/>
        <v>BUREAU VERITAS NORTH AMERICA</v>
      </c>
    </row>
    <row r="3419" spans="1:9" x14ac:dyDescent="0.25">
      <c r="A3419" s="6">
        <v>43628</v>
      </c>
      <c r="B3419" t="s">
        <v>26</v>
      </c>
      <c r="C3419">
        <v>61141</v>
      </c>
      <c r="D3419" t="s">
        <v>110</v>
      </c>
      <c r="E3419" s="7">
        <v>1648.64</v>
      </c>
      <c r="F3419" t="s">
        <v>20</v>
      </c>
      <c r="G3419" t="s">
        <v>21</v>
      </c>
      <c r="H3419" t="str">
        <f>"1472188"</f>
        <v>1472188</v>
      </c>
      <c r="I3419" t="str">
        <f t="shared" si="65"/>
        <v>BUREAU VERITAS NORTH AMERICA</v>
      </c>
    </row>
    <row r="3420" spans="1:9" x14ac:dyDescent="0.25">
      <c r="A3420" s="6">
        <v>43628</v>
      </c>
      <c r="B3420" t="s">
        <v>26</v>
      </c>
      <c r="C3420">
        <v>61141</v>
      </c>
      <c r="D3420" t="s">
        <v>110</v>
      </c>
      <c r="E3420" s="7">
        <v>1648.64</v>
      </c>
      <c r="F3420" t="s">
        <v>20</v>
      </c>
      <c r="G3420" t="s">
        <v>21</v>
      </c>
      <c r="H3420" t="str">
        <f>"1472189"</f>
        <v>1472189</v>
      </c>
      <c r="I3420" t="str">
        <f t="shared" si="65"/>
        <v>BUREAU VERITAS NORTH AMERICA</v>
      </c>
    </row>
    <row r="3421" spans="1:9" x14ac:dyDescent="0.25">
      <c r="A3421" s="6">
        <v>43628</v>
      </c>
      <c r="B3421" t="s">
        <v>26</v>
      </c>
      <c r="C3421">
        <v>61141</v>
      </c>
      <c r="D3421" t="s">
        <v>110</v>
      </c>
      <c r="E3421" s="7">
        <v>1648.64</v>
      </c>
      <c r="F3421" t="s">
        <v>20</v>
      </c>
      <c r="G3421" t="s">
        <v>21</v>
      </c>
      <c r="H3421" t="str">
        <f>"1472190"</f>
        <v>1472190</v>
      </c>
      <c r="I3421" t="str">
        <f t="shared" si="65"/>
        <v>BUREAU VERITAS NORTH AMERICA</v>
      </c>
    </row>
    <row r="3422" spans="1:9" x14ac:dyDescent="0.25">
      <c r="A3422" s="6">
        <v>43628</v>
      </c>
      <c r="B3422" t="s">
        <v>26</v>
      </c>
      <c r="C3422">
        <v>61141</v>
      </c>
      <c r="D3422" t="s">
        <v>110</v>
      </c>
      <c r="E3422" s="7">
        <v>1648.64</v>
      </c>
      <c r="F3422" t="s">
        <v>20</v>
      </c>
      <c r="G3422" t="s">
        <v>21</v>
      </c>
      <c r="H3422" t="str">
        <f>"1472191"</f>
        <v>1472191</v>
      </c>
      <c r="I3422" t="str">
        <f t="shared" si="65"/>
        <v>BUREAU VERITAS NORTH AMERICA</v>
      </c>
    </row>
    <row r="3423" spans="1:9" x14ac:dyDescent="0.25">
      <c r="A3423" s="6">
        <v>43628</v>
      </c>
      <c r="B3423" t="s">
        <v>26</v>
      </c>
      <c r="C3423">
        <v>61141</v>
      </c>
      <c r="D3423" t="s">
        <v>110</v>
      </c>
      <c r="E3423" s="7">
        <v>1648.64</v>
      </c>
      <c r="F3423" t="s">
        <v>20</v>
      </c>
      <c r="G3423" t="s">
        <v>21</v>
      </c>
      <c r="H3423" t="str">
        <f>"1472192"</f>
        <v>1472192</v>
      </c>
      <c r="I3423" t="str">
        <f t="shared" si="65"/>
        <v>BUREAU VERITAS NORTH AMERICA</v>
      </c>
    </row>
    <row r="3424" spans="1:9" x14ac:dyDescent="0.25">
      <c r="A3424" s="6">
        <v>43628</v>
      </c>
      <c r="B3424" t="s">
        <v>26</v>
      </c>
      <c r="C3424">
        <v>61141</v>
      </c>
      <c r="D3424" t="s">
        <v>110</v>
      </c>
      <c r="E3424" s="7">
        <v>1648.64</v>
      </c>
      <c r="F3424" t="s">
        <v>20</v>
      </c>
      <c r="G3424" t="s">
        <v>21</v>
      </c>
      <c r="H3424" t="str">
        <f>"1472193"</f>
        <v>1472193</v>
      </c>
      <c r="I3424" t="str">
        <f t="shared" si="65"/>
        <v>BUREAU VERITAS NORTH AMERICA</v>
      </c>
    </row>
    <row r="3425" spans="1:9" x14ac:dyDescent="0.25">
      <c r="A3425" s="6">
        <v>43628</v>
      </c>
      <c r="B3425" t="s">
        <v>26</v>
      </c>
      <c r="C3425">
        <v>61144</v>
      </c>
      <c r="D3425" t="s">
        <v>61</v>
      </c>
      <c r="E3425" s="7">
        <v>188</v>
      </c>
      <c r="F3425" t="s">
        <v>20</v>
      </c>
      <c r="G3425" t="s">
        <v>21</v>
      </c>
      <c r="H3425" t="str">
        <f>"025-260507"</f>
        <v>025-260507</v>
      </c>
      <c r="I3425" t="str">
        <f>"TYLER TECHNOLOGIES  INC."</f>
        <v>TYLER TECHNOLOGIES  INC.</v>
      </c>
    </row>
    <row r="3426" spans="1:9" x14ac:dyDescent="0.25">
      <c r="A3426" s="6">
        <v>43628</v>
      </c>
      <c r="B3426" t="s">
        <v>26</v>
      </c>
      <c r="C3426">
        <v>61145</v>
      </c>
      <c r="D3426" t="s">
        <v>325</v>
      </c>
      <c r="E3426" s="7">
        <v>337.3</v>
      </c>
      <c r="F3426" t="s">
        <v>20</v>
      </c>
      <c r="G3426" t="s">
        <v>21</v>
      </c>
      <c r="H3426" t="str">
        <f>"2470001*"</f>
        <v>2470001*</v>
      </c>
      <c r="I3426" t="str">
        <f>"DSHS CENTRAL LAB MC2004"</f>
        <v>DSHS CENTRAL LAB MC2004</v>
      </c>
    </row>
    <row r="3427" spans="1:9" x14ac:dyDescent="0.25">
      <c r="A3427" s="6">
        <v>43628</v>
      </c>
      <c r="B3427" t="s">
        <v>26</v>
      </c>
      <c r="C3427">
        <v>61146</v>
      </c>
      <c r="D3427" t="s">
        <v>62</v>
      </c>
      <c r="E3427" s="7">
        <v>210</v>
      </c>
      <c r="F3427" t="s">
        <v>20</v>
      </c>
      <c r="G3427" t="s">
        <v>21</v>
      </c>
      <c r="H3427" t="str">
        <f>"63953"</f>
        <v>63953</v>
      </c>
      <c r="I3427" t="str">
        <f>"PROFICIENT BENEFIT SOLUTIONS"</f>
        <v>PROFICIENT BENEFIT SOLUTIONS</v>
      </c>
    </row>
    <row r="3428" spans="1:9" x14ac:dyDescent="0.25">
      <c r="A3428" s="6">
        <v>43628</v>
      </c>
      <c r="B3428" t="s">
        <v>26</v>
      </c>
      <c r="C3428">
        <v>61147</v>
      </c>
      <c r="D3428" t="s">
        <v>115</v>
      </c>
      <c r="E3428" s="7">
        <v>5.0999999999999996</v>
      </c>
      <c r="F3428" t="s">
        <v>20</v>
      </c>
      <c r="G3428" t="s">
        <v>21</v>
      </c>
      <c r="H3428" t="str">
        <f>"3547438908"</f>
        <v>3547438908</v>
      </c>
      <c r="I3428" t="str">
        <f>"HEAD LAMP BULBS"</f>
        <v>HEAD LAMP BULBS</v>
      </c>
    </row>
    <row r="3429" spans="1:9" x14ac:dyDescent="0.25">
      <c r="A3429" s="6">
        <v>43628</v>
      </c>
      <c r="B3429" t="s">
        <v>26</v>
      </c>
      <c r="C3429">
        <v>61148</v>
      </c>
      <c r="D3429" t="s">
        <v>63</v>
      </c>
      <c r="E3429" s="7">
        <v>719.27</v>
      </c>
      <c r="F3429" t="s">
        <v>20</v>
      </c>
      <c r="G3429" t="s">
        <v>21</v>
      </c>
      <c r="H3429" t="str">
        <f>"8404155267"</f>
        <v>8404155267</v>
      </c>
      <c r="I3429" t="str">
        <f>"CINTAS CORPORATION"</f>
        <v>CINTAS CORPORATION</v>
      </c>
    </row>
    <row r="3430" spans="1:9" x14ac:dyDescent="0.25">
      <c r="A3430" s="6">
        <v>43628</v>
      </c>
      <c r="B3430" t="s">
        <v>26</v>
      </c>
      <c r="C3430">
        <v>61149</v>
      </c>
      <c r="D3430" t="s">
        <v>64</v>
      </c>
      <c r="E3430" s="7">
        <v>5802</v>
      </c>
      <c r="F3430" t="s">
        <v>20</v>
      </c>
      <c r="G3430" t="s">
        <v>21</v>
      </c>
      <c r="H3430" t="str">
        <f>"7853"</f>
        <v>7853</v>
      </c>
      <c r="I3430" t="str">
        <f>"DREWA DESIGNS  INC."</f>
        <v>DREWA DESIGNS  INC.</v>
      </c>
    </row>
    <row r="3431" spans="1:9" x14ac:dyDescent="0.25">
      <c r="A3431" s="6">
        <v>43628</v>
      </c>
      <c r="B3431" t="s">
        <v>26</v>
      </c>
      <c r="C3431">
        <v>61150</v>
      </c>
      <c r="D3431" t="s">
        <v>689</v>
      </c>
      <c r="E3431" s="7">
        <v>475</v>
      </c>
      <c r="F3431" t="s">
        <v>20</v>
      </c>
      <c r="G3431" t="s">
        <v>21</v>
      </c>
      <c r="H3431" t="str">
        <f>"1716"</f>
        <v>1716</v>
      </c>
      <c r="I3431" t="str">
        <f>"EJECTOR/RATE VALVE"</f>
        <v>EJECTOR/RATE VALVE</v>
      </c>
    </row>
    <row r="3432" spans="1:9" x14ac:dyDescent="0.25">
      <c r="A3432" s="6">
        <v>43628</v>
      </c>
      <c r="B3432" t="s">
        <v>26</v>
      </c>
      <c r="C3432">
        <v>61151</v>
      </c>
      <c r="D3432" t="s">
        <v>66</v>
      </c>
      <c r="E3432" s="7">
        <v>2000</v>
      </c>
      <c r="F3432" t="s">
        <v>20</v>
      </c>
      <c r="G3432" t="s">
        <v>21</v>
      </c>
      <c r="H3432" t="str">
        <f>"55432"</f>
        <v>55432</v>
      </c>
      <c r="I3432" t="str">
        <f>"LOPEZ EXTERMINATING SERVICE  I"</f>
        <v>LOPEZ EXTERMINATING SERVICE  I</v>
      </c>
    </row>
    <row r="3433" spans="1:9" x14ac:dyDescent="0.25">
      <c r="A3433" s="6">
        <v>43628</v>
      </c>
      <c r="B3433" t="s">
        <v>26</v>
      </c>
      <c r="C3433">
        <v>61152</v>
      </c>
      <c r="D3433" t="s">
        <v>118</v>
      </c>
      <c r="E3433" s="7">
        <v>1461.11</v>
      </c>
      <c r="F3433" t="s">
        <v>20</v>
      </c>
      <c r="G3433" t="s">
        <v>21</v>
      </c>
      <c r="H3433" t="str">
        <f>"11389"</f>
        <v>11389</v>
      </c>
      <c r="I3433" t="str">
        <f>"BRYAN AIR CONDITIONING &amp; HEATI"</f>
        <v>BRYAN AIR CONDITIONING &amp; HEATI</v>
      </c>
    </row>
    <row r="3434" spans="1:9" x14ac:dyDescent="0.25">
      <c r="A3434" s="6">
        <v>43628</v>
      </c>
      <c r="B3434" t="s">
        <v>26</v>
      </c>
      <c r="C3434">
        <v>61152</v>
      </c>
      <c r="D3434" t="s">
        <v>118</v>
      </c>
      <c r="E3434" s="7">
        <v>1461.11</v>
      </c>
      <c r="F3434" t="s">
        <v>20</v>
      </c>
      <c r="G3434" t="s">
        <v>21</v>
      </c>
      <c r="H3434" t="str">
        <f>"11392"</f>
        <v>11392</v>
      </c>
      <c r="I3434" t="str">
        <f>"BRYAN AIR CONDITIONING &amp; HEATI"</f>
        <v>BRYAN AIR CONDITIONING &amp; HEATI</v>
      </c>
    </row>
    <row r="3435" spans="1:9" x14ac:dyDescent="0.25">
      <c r="A3435" s="6">
        <v>43628</v>
      </c>
      <c r="B3435" t="s">
        <v>26</v>
      </c>
      <c r="C3435">
        <v>61152</v>
      </c>
      <c r="D3435" t="s">
        <v>118</v>
      </c>
      <c r="E3435" s="7">
        <v>1461.11</v>
      </c>
      <c r="F3435" t="s">
        <v>20</v>
      </c>
      <c r="G3435" t="s">
        <v>21</v>
      </c>
      <c r="H3435" t="str">
        <f>"11394"</f>
        <v>11394</v>
      </c>
      <c r="I3435" t="str">
        <f>"BRYAN AIR CONDITIONING &amp; HEATI"</f>
        <v>BRYAN AIR CONDITIONING &amp; HEATI</v>
      </c>
    </row>
    <row r="3436" spans="1:9" x14ac:dyDescent="0.25">
      <c r="A3436" s="6">
        <v>43628</v>
      </c>
      <c r="B3436" t="s">
        <v>26</v>
      </c>
      <c r="C3436">
        <v>61153</v>
      </c>
      <c r="D3436" t="s">
        <v>301</v>
      </c>
      <c r="E3436" s="7">
        <v>40</v>
      </c>
      <c r="F3436" t="s">
        <v>20</v>
      </c>
      <c r="G3436" t="s">
        <v>21</v>
      </c>
      <c r="H3436" t="str">
        <f>"188425"</f>
        <v>188425</v>
      </c>
      <c r="I3436" t="str">
        <f>"GRANDE TRUCK CENTER"</f>
        <v>GRANDE TRUCK CENTER</v>
      </c>
    </row>
    <row r="3437" spans="1:9" x14ac:dyDescent="0.25">
      <c r="A3437" s="6">
        <v>43628</v>
      </c>
      <c r="B3437" t="s">
        <v>26</v>
      </c>
      <c r="C3437">
        <v>61154</v>
      </c>
      <c r="D3437" t="s">
        <v>119</v>
      </c>
      <c r="E3437" s="7">
        <v>25</v>
      </c>
      <c r="F3437" t="s">
        <v>20</v>
      </c>
      <c r="G3437" t="s">
        <v>21</v>
      </c>
      <c r="H3437" t="str">
        <f>"51854"</f>
        <v>51854</v>
      </c>
      <c r="I3437" t="str">
        <f>"PRUSKI'S TIRE SHOP  L.L.C."</f>
        <v>PRUSKI'S TIRE SHOP  L.L.C.</v>
      </c>
    </row>
    <row r="3438" spans="1:9" x14ac:dyDescent="0.25">
      <c r="A3438" s="6">
        <v>43628</v>
      </c>
      <c r="B3438" t="s">
        <v>26</v>
      </c>
      <c r="C3438">
        <v>61154</v>
      </c>
      <c r="D3438" t="s">
        <v>119</v>
      </c>
      <c r="E3438" s="7">
        <v>25</v>
      </c>
      <c r="F3438" t="s">
        <v>20</v>
      </c>
      <c r="G3438" t="s">
        <v>21</v>
      </c>
      <c r="H3438" t="str">
        <f>"52424"</f>
        <v>52424</v>
      </c>
      <c r="I3438" t="str">
        <f>"PRUSKI'S TIRE SHOP  L.L.C."</f>
        <v>PRUSKI'S TIRE SHOP  L.L.C.</v>
      </c>
    </row>
    <row r="3439" spans="1:9" x14ac:dyDescent="0.25">
      <c r="A3439" s="6">
        <v>43628</v>
      </c>
      <c r="B3439" t="s">
        <v>26</v>
      </c>
      <c r="C3439">
        <v>61155</v>
      </c>
      <c r="D3439" t="s">
        <v>146</v>
      </c>
      <c r="E3439" s="7">
        <v>450</v>
      </c>
      <c r="F3439" t="s">
        <v>20</v>
      </c>
      <c r="G3439" t="s">
        <v>21</v>
      </c>
      <c r="H3439" t="str">
        <f>"964479"</f>
        <v>964479</v>
      </c>
      <c r="I3439" t="str">
        <f>"LARRY SRALLA ELECTRIC"</f>
        <v>LARRY SRALLA ELECTRIC</v>
      </c>
    </row>
    <row r="3440" spans="1:9" x14ac:dyDescent="0.25">
      <c r="A3440" s="6">
        <v>43628</v>
      </c>
      <c r="B3440" t="s">
        <v>26</v>
      </c>
      <c r="C3440">
        <v>61156</v>
      </c>
      <c r="D3440" t="s">
        <v>215</v>
      </c>
      <c r="E3440" s="7">
        <v>2130</v>
      </c>
      <c r="F3440" t="s">
        <v>20</v>
      </c>
      <c r="G3440" t="s">
        <v>21</v>
      </c>
      <c r="H3440" t="str">
        <f>"592538"</f>
        <v>592538</v>
      </c>
      <c r="I3440" t="str">
        <f>"REPAIR ON WELLS"</f>
        <v>REPAIR ON WELLS</v>
      </c>
    </row>
    <row r="3441" spans="1:9" x14ac:dyDescent="0.25">
      <c r="A3441" s="6">
        <v>43628</v>
      </c>
      <c r="B3441" t="s">
        <v>26</v>
      </c>
      <c r="C3441">
        <v>61157</v>
      </c>
      <c r="D3441" t="s">
        <v>123</v>
      </c>
      <c r="E3441" s="7">
        <v>88.08</v>
      </c>
      <c r="F3441" t="s">
        <v>20</v>
      </c>
      <c r="G3441" t="s">
        <v>21</v>
      </c>
      <c r="H3441" t="str">
        <f>"321658067001"</f>
        <v>321658067001</v>
      </c>
      <c r="I3441" t="str">
        <f>"OFFICE SUPPLIES"</f>
        <v>OFFICE SUPPLIES</v>
      </c>
    </row>
    <row r="3442" spans="1:9" x14ac:dyDescent="0.25">
      <c r="A3442" s="6">
        <v>43628</v>
      </c>
      <c r="B3442" t="s">
        <v>26</v>
      </c>
      <c r="C3442">
        <v>61157</v>
      </c>
      <c r="D3442" t="s">
        <v>123</v>
      </c>
      <c r="E3442" s="7">
        <v>88.08</v>
      </c>
      <c r="F3442" t="s">
        <v>20</v>
      </c>
      <c r="G3442" t="s">
        <v>21</v>
      </c>
      <c r="H3442" t="str">
        <f>"321658385001"</f>
        <v>321658385001</v>
      </c>
      <c r="I3442" t="str">
        <f>"OFFICE SUPPLIES"</f>
        <v>OFFICE SUPPLIES</v>
      </c>
    </row>
    <row r="3443" spans="1:9" x14ac:dyDescent="0.25">
      <c r="A3443" s="6">
        <v>43628</v>
      </c>
      <c r="B3443" t="s">
        <v>26</v>
      </c>
      <c r="C3443">
        <v>61157</v>
      </c>
      <c r="D3443" t="s">
        <v>123</v>
      </c>
      <c r="E3443" s="7">
        <v>88.08</v>
      </c>
      <c r="F3443" t="s">
        <v>20</v>
      </c>
      <c r="G3443" t="s">
        <v>21</v>
      </c>
      <c r="H3443" t="str">
        <f>"321658386001"</f>
        <v>321658386001</v>
      </c>
      <c r="I3443" t="str">
        <f>"OFFICE SUPPLIES"</f>
        <v>OFFICE SUPPLIES</v>
      </c>
    </row>
    <row r="3444" spans="1:9" x14ac:dyDescent="0.25">
      <c r="A3444" s="6">
        <v>43628</v>
      </c>
      <c r="B3444" t="s">
        <v>26</v>
      </c>
      <c r="C3444">
        <v>61158</v>
      </c>
      <c r="D3444" t="s">
        <v>124</v>
      </c>
      <c r="E3444" s="7">
        <v>54.77</v>
      </c>
      <c r="F3444" t="s">
        <v>20</v>
      </c>
      <c r="G3444" t="s">
        <v>21</v>
      </c>
      <c r="H3444" t="str">
        <f>"11173771"</f>
        <v>11173771</v>
      </c>
      <c r="I3444" t="str">
        <f>"TOOLS"</f>
        <v>TOOLS</v>
      </c>
    </row>
    <row r="3445" spans="1:9" x14ac:dyDescent="0.25">
      <c r="A3445" s="6">
        <v>43628</v>
      </c>
      <c r="B3445" t="s">
        <v>26</v>
      </c>
      <c r="C3445">
        <v>61159</v>
      </c>
      <c r="D3445" t="s">
        <v>534</v>
      </c>
      <c r="E3445" s="7">
        <v>107.17</v>
      </c>
      <c r="F3445" t="s">
        <v>20</v>
      </c>
      <c r="G3445" t="s">
        <v>21</v>
      </c>
      <c r="H3445" t="str">
        <f>"8404166462"</f>
        <v>8404166462</v>
      </c>
      <c r="I3445" t="str">
        <f>"CINTAS CORPORATION NO. 2"</f>
        <v>CINTAS CORPORATION NO. 2</v>
      </c>
    </row>
    <row r="3446" spans="1:9" x14ac:dyDescent="0.25">
      <c r="A3446" s="6">
        <v>43628</v>
      </c>
      <c r="B3446" t="s">
        <v>26</v>
      </c>
      <c r="C3446">
        <v>61160</v>
      </c>
      <c r="D3446" t="s">
        <v>126</v>
      </c>
      <c r="E3446" s="7">
        <v>82618.740000000005</v>
      </c>
      <c r="F3446" t="s">
        <v>20</v>
      </c>
      <c r="G3446" t="s">
        <v>21</v>
      </c>
      <c r="H3446" t="str">
        <f>"0859-002307556"</f>
        <v>0859-002307556</v>
      </c>
      <c r="I3446" t="str">
        <f>"REPUBLIC SERVICES #859"</f>
        <v>REPUBLIC SERVICES #859</v>
      </c>
    </row>
    <row r="3447" spans="1:9" x14ac:dyDescent="0.25">
      <c r="A3447" s="6">
        <v>43628</v>
      </c>
      <c r="B3447" t="s">
        <v>26</v>
      </c>
      <c r="C3447">
        <v>61161</v>
      </c>
      <c r="D3447" t="s">
        <v>147</v>
      </c>
      <c r="E3447" s="7">
        <v>358.34</v>
      </c>
      <c r="F3447" t="s">
        <v>20</v>
      </c>
      <c r="G3447" t="s">
        <v>21</v>
      </c>
      <c r="H3447" t="str">
        <f>"1172"</f>
        <v>1172</v>
      </c>
      <c r="I3447" t="str">
        <f>"SRALLA ELECTRIC"</f>
        <v>SRALLA ELECTRIC</v>
      </c>
    </row>
    <row r="3448" spans="1:9" x14ac:dyDescent="0.25">
      <c r="A3448" s="6">
        <v>43628</v>
      </c>
      <c r="B3448" t="s">
        <v>26</v>
      </c>
      <c r="C3448">
        <v>61162</v>
      </c>
      <c r="D3448" t="s">
        <v>79</v>
      </c>
      <c r="E3448" s="7">
        <v>77.56</v>
      </c>
      <c r="F3448" t="s">
        <v>20</v>
      </c>
      <c r="G3448" t="s">
        <v>21</v>
      </c>
      <c r="H3448" t="str">
        <f>"6-561-38071"</f>
        <v>6-561-38071</v>
      </c>
      <c r="I3448" t="str">
        <f>"FEDEX"</f>
        <v>FEDEX</v>
      </c>
    </row>
    <row r="3449" spans="1:9" x14ac:dyDescent="0.25">
      <c r="A3449" s="6">
        <v>43628</v>
      </c>
      <c r="B3449" t="s">
        <v>26</v>
      </c>
      <c r="C3449">
        <v>61162</v>
      </c>
      <c r="D3449" t="s">
        <v>79</v>
      </c>
      <c r="E3449" s="7">
        <v>77.56</v>
      </c>
      <c r="F3449" t="s">
        <v>20</v>
      </c>
      <c r="G3449" t="s">
        <v>21</v>
      </c>
      <c r="H3449" t="str">
        <f>"6-574-56563"</f>
        <v>6-574-56563</v>
      </c>
      <c r="I3449" t="str">
        <f>"FEDEX"</f>
        <v>FEDEX</v>
      </c>
    </row>
    <row r="3450" spans="1:9" x14ac:dyDescent="0.25">
      <c r="A3450" s="6">
        <v>43628</v>
      </c>
      <c r="B3450" t="s">
        <v>26</v>
      </c>
      <c r="C3450">
        <v>61163</v>
      </c>
      <c r="D3450" t="s">
        <v>80</v>
      </c>
      <c r="E3450" s="7">
        <v>1500</v>
      </c>
      <c r="F3450" t="s">
        <v>20</v>
      </c>
      <c r="G3450" t="s">
        <v>21</v>
      </c>
      <c r="H3450" t="str">
        <f>"1648-20190601-1"</f>
        <v>1648-20190601-1</v>
      </c>
      <c r="I3450" t="str">
        <f>"LVWIFI.COM"</f>
        <v>LVWIFI.COM</v>
      </c>
    </row>
    <row r="3451" spans="1:9" x14ac:dyDescent="0.25">
      <c r="A3451" s="6">
        <v>43628</v>
      </c>
      <c r="B3451" t="s">
        <v>26</v>
      </c>
      <c r="C3451">
        <v>61163</v>
      </c>
      <c r="D3451" t="s">
        <v>80</v>
      </c>
      <c r="E3451" s="7">
        <v>1500</v>
      </c>
      <c r="F3451" t="s">
        <v>20</v>
      </c>
      <c r="G3451" t="s">
        <v>21</v>
      </c>
      <c r="H3451" t="str">
        <f>"2313-20190601-1"</f>
        <v>2313-20190601-1</v>
      </c>
      <c r="I3451" t="str">
        <f>"LVWIFI.COM"</f>
        <v>LVWIFI.COM</v>
      </c>
    </row>
    <row r="3452" spans="1:9" x14ac:dyDescent="0.25">
      <c r="A3452" s="6">
        <v>43628</v>
      </c>
      <c r="B3452" t="s">
        <v>26</v>
      </c>
      <c r="C3452">
        <v>61164</v>
      </c>
      <c r="D3452" t="s">
        <v>139</v>
      </c>
      <c r="E3452" s="7">
        <v>65</v>
      </c>
      <c r="F3452" t="s">
        <v>20</v>
      </c>
      <c r="G3452" t="s">
        <v>21</v>
      </c>
      <c r="H3452" t="str">
        <f>"26515"</f>
        <v>26515</v>
      </c>
      <c r="I3452" t="str">
        <f>"ANGEL FIRE &amp; SAFETY"</f>
        <v>ANGEL FIRE &amp; SAFETY</v>
      </c>
    </row>
    <row r="3453" spans="1:9" x14ac:dyDescent="0.25">
      <c r="A3453" s="6">
        <v>43628</v>
      </c>
      <c r="B3453" t="s">
        <v>26</v>
      </c>
      <c r="C3453">
        <v>61165</v>
      </c>
      <c r="D3453" t="s">
        <v>31</v>
      </c>
      <c r="E3453" s="7">
        <v>2000</v>
      </c>
      <c r="F3453" t="s">
        <v>20</v>
      </c>
      <c r="G3453" t="s">
        <v>21</v>
      </c>
      <c r="H3453" t="str">
        <f>"2019222"</f>
        <v>2019222</v>
      </c>
      <c r="I3453" t="str">
        <f>"THE LAW OFFICE OF TOM CALDWELL"</f>
        <v>THE LAW OFFICE OF TOM CALDWELL</v>
      </c>
    </row>
    <row r="3454" spans="1:9" x14ac:dyDescent="0.25">
      <c r="A3454" s="6">
        <v>43628</v>
      </c>
      <c r="B3454" t="s">
        <v>26</v>
      </c>
      <c r="C3454">
        <v>61166</v>
      </c>
      <c r="D3454" t="s">
        <v>306</v>
      </c>
      <c r="E3454" s="7">
        <v>80</v>
      </c>
      <c r="F3454" t="s">
        <v>20</v>
      </c>
      <c r="G3454" t="s">
        <v>21</v>
      </c>
      <c r="H3454" t="str">
        <f>"3443560"</f>
        <v>3443560</v>
      </c>
      <c r="I3454" t="str">
        <f>"JORGE LOPEZ"</f>
        <v>JORGE LOPEZ</v>
      </c>
    </row>
    <row r="3455" spans="1:9" x14ac:dyDescent="0.25">
      <c r="A3455" s="6">
        <v>43628</v>
      </c>
      <c r="B3455" t="s">
        <v>26</v>
      </c>
      <c r="C3455">
        <v>61166</v>
      </c>
      <c r="D3455" t="s">
        <v>306</v>
      </c>
      <c r="E3455" s="7">
        <v>80</v>
      </c>
      <c r="F3455" t="s">
        <v>20</v>
      </c>
      <c r="G3455" t="s">
        <v>21</v>
      </c>
      <c r="H3455" t="str">
        <f>"498531"</f>
        <v>498531</v>
      </c>
      <c r="I3455" t="str">
        <f>"JORGE LOPEZ"</f>
        <v>JORGE LOPEZ</v>
      </c>
    </row>
    <row r="3456" spans="1:9" x14ac:dyDescent="0.25">
      <c r="A3456" s="6">
        <v>43628</v>
      </c>
      <c r="B3456" t="s">
        <v>26</v>
      </c>
      <c r="C3456">
        <v>61167</v>
      </c>
      <c r="D3456" t="s">
        <v>131</v>
      </c>
      <c r="E3456" s="7">
        <v>38.94</v>
      </c>
      <c r="F3456" t="s">
        <v>20</v>
      </c>
      <c r="G3456" t="s">
        <v>21</v>
      </c>
      <c r="H3456" t="str">
        <f>"040235"</f>
        <v>040235</v>
      </c>
      <c r="I3456" t="str">
        <f>"COUNTER PINS"</f>
        <v>COUNTER PINS</v>
      </c>
    </row>
    <row r="3457" spans="1:9" x14ac:dyDescent="0.25">
      <c r="A3457" s="6">
        <v>43628</v>
      </c>
      <c r="B3457" t="s">
        <v>26</v>
      </c>
      <c r="C3457">
        <v>61167</v>
      </c>
      <c r="D3457" t="s">
        <v>131</v>
      </c>
      <c r="E3457" s="7">
        <v>38.94</v>
      </c>
      <c r="F3457" t="s">
        <v>20</v>
      </c>
      <c r="G3457" t="s">
        <v>21</v>
      </c>
      <c r="H3457" t="str">
        <f>"040256"</f>
        <v>040256</v>
      </c>
      <c r="I3457" t="str">
        <f>"DUMP TRUCK MUD FLAP"</f>
        <v>DUMP TRUCK MUD FLAP</v>
      </c>
    </row>
    <row r="3458" spans="1:9" x14ac:dyDescent="0.25">
      <c r="A3458" s="6">
        <v>43628</v>
      </c>
      <c r="B3458" t="s">
        <v>26</v>
      </c>
      <c r="C3458">
        <v>61168</v>
      </c>
      <c r="D3458" t="s">
        <v>85</v>
      </c>
      <c r="E3458" s="7">
        <v>609.70000000000005</v>
      </c>
      <c r="F3458" t="s">
        <v>20</v>
      </c>
      <c r="G3458" t="s">
        <v>21</v>
      </c>
      <c r="H3458" t="str">
        <f>"2162691 6/19"</f>
        <v>2162691 6/19</v>
      </c>
      <c r="I3458" t="str">
        <f>"FRONTIER"</f>
        <v>FRONTIER</v>
      </c>
    </row>
    <row r="3459" spans="1:9" x14ac:dyDescent="0.25">
      <c r="A3459" s="6">
        <v>43628</v>
      </c>
      <c r="B3459" t="s">
        <v>26</v>
      </c>
      <c r="C3459">
        <v>61168</v>
      </c>
      <c r="D3459" t="s">
        <v>85</v>
      </c>
      <c r="E3459" s="7">
        <v>609.70000000000005</v>
      </c>
      <c r="F3459" t="s">
        <v>20</v>
      </c>
      <c r="G3459" t="s">
        <v>21</v>
      </c>
      <c r="H3459" t="str">
        <f>"2162745 6/19"</f>
        <v>2162745 6/19</v>
      </c>
      <c r="I3459" t="str">
        <f>"FRONTIER"</f>
        <v>FRONTIER</v>
      </c>
    </row>
    <row r="3460" spans="1:9" x14ac:dyDescent="0.25">
      <c r="A3460" s="6">
        <v>43628</v>
      </c>
      <c r="B3460" t="s">
        <v>26</v>
      </c>
      <c r="C3460">
        <v>61168</v>
      </c>
      <c r="D3460" t="s">
        <v>85</v>
      </c>
      <c r="E3460" s="7">
        <v>609.70000000000005</v>
      </c>
      <c r="F3460" t="s">
        <v>20</v>
      </c>
      <c r="G3460" t="s">
        <v>21</v>
      </c>
      <c r="H3460" t="str">
        <f>"3933718 6/19"</f>
        <v>3933718 6/19</v>
      </c>
      <c r="I3460" t="str">
        <f>"FRONTIER"</f>
        <v>FRONTIER</v>
      </c>
    </row>
    <row r="3461" spans="1:9" x14ac:dyDescent="0.25">
      <c r="A3461" s="6">
        <v>43628</v>
      </c>
      <c r="B3461" t="s">
        <v>26</v>
      </c>
      <c r="C3461">
        <v>61168</v>
      </c>
      <c r="D3461" t="s">
        <v>85</v>
      </c>
      <c r="E3461" s="7">
        <v>609.70000000000005</v>
      </c>
      <c r="F3461" t="s">
        <v>20</v>
      </c>
      <c r="G3461" t="s">
        <v>21</v>
      </c>
      <c r="H3461" t="str">
        <f>"3937070 6/19"</f>
        <v>3937070 6/19</v>
      </c>
      <c r="I3461" t="str">
        <f>"FRONTIER"</f>
        <v>FRONTIER</v>
      </c>
    </row>
    <row r="3462" spans="1:9" x14ac:dyDescent="0.25">
      <c r="A3462" s="6">
        <v>43628</v>
      </c>
      <c r="B3462" t="s">
        <v>26</v>
      </c>
      <c r="C3462">
        <v>61169</v>
      </c>
      <c r="D3462" t="s">
        <v>132</v>
      </c>
      <c r="E3462" s="7">
        <v>45.59</v>
      </c>
      <c r="F3462" t="s">
        <v>20</v>
      </c>
      <c r="G3462" t="s">
        <v>21</v>
      </c>
      <c r="H3462" t="str">
        <f>"16992887 52319"</f>
        <v>16992887 52319</v>
      </c>
      <c r="I3462" t="str">
        <f>"SPARKLETTS &amp; SIERRA SPRINGS"</f>
        <v>SPARKLETTS &amp; SIERRA SPRINGS</v>
      </c>
    </row>
    <row r="3463" spans="1:9" x14ac:dyDescent="0.25">
      <c r="A3463" s="6">
        <v>43628</v>
      </c>
      <c r="B3463" t="s">
        <v>26</v>
      </c>
      <c r="C3463">
        <v>61170</v>
      </c>
      <c r="D3463" t="s">
        <v>326</v>
      </c>
      <c r="E3463" s="7">
        <v>32</v>
      </c>
      <c r="F3463" t="s">
        <v>20</v>
      </c>
      <c r="G3463" t="s">
        <v>21</v>
      </c>
      <c r="H3463" t="str">
        <f>"19795231"</f>
        <v>19795231</v>
      </c>
      <c r="I3463" t="str">
        <f>"MATHESON TRI-GAS INC"</f>
        <v>MATHESON TRI-GAS INC</v>
      </c>
    </row>
    <row r="3464" spans="1:9" x14ac:dyDescent="0.25">
      <c r="A3464" s="6">
        <v>43628</v>
      </c>
      <c r="B3464" t="s">
        <v>26</v>
      </c>
      <c r="C3464">
        <v>61171</v>
      </c>
      <c r="D3464" t="s">
        <v>345</v>
      </c>
      <c r="E3464" s="7">
        <v>379.5</v>
      </c>
      <c r="F3464" t="s">
        <v>20</v>
      </c>
      <c r="G3464" t="s">
        <v>21</v>
      </c>
      <c r="H3464" t="str">
        <f>"6/10/19"</f>
        <v>6/10/19</v>
      </c>
      <c r="I3464" t="str">
        <f>"MICHAEL ISAAC MARTINEZ"</f>
        <v>MICHAEL ISAAC MARTINEZ</v>
      </c>
    </row>
    <row r="3465" spans="1:9" x14ac:dyDescent="0.25">
      <c r="A3465" s="6">
        <v>43628</v>
      </c>
      <c r="B3465" t="s">
        <v>26</v>
      </c>
      <c r="C3465">
        <v>61172</v>
      </c>
      <c r="D3465" t="s">
        <v>199</v>
      </c>
      <c r="E3465" s="7">
        <v>1898.5</v>
      </c>
      <c r="F3465" t="s">
        <v>20</v>
      </c>
      <c r="G3465" t="s">
        <v>21</v>
      </c>
      <c r="H3465" t="str">
        <f>"H.MARTINEZ 6/19"</f>
        <v>H.MARTINEZ 6/19</v>
      </c>
      <c r="I3465" t="str">
        <f>"THE UPS STORE"</f>
        <v>THE UPS STORE</v>
      </c>
    </row>
    <row r="3466" spans="1:9" x14ac:dyDescent="0.25">
      <c r="A3466" s="6">
        <v>43628</v>
      </c>
      <c r="B3466" t="s">
        <v>26</v>
      </c>
      <c r="C3466">
        <v>61172</v>
      </c>
      <c r="D3466" t="s">
        <v>199</v>
      </c>
      <c r="E3466" s="7">
        <v>1898.5</v>
      </c>
      <c r="F3466" t="s">
        <v>20</v>
      </c>
      <c r="G3466" t="s">
        <v>21</v>
      </c>
      <c r="H3466" t="str">
        <f>"H.TURNER 6/19"</f>
        <v>H.TURNER 6/19</v>
      </c>
      <c r="I3466" t="str">
        <f>"THE UPS STORE"</f>
        <v>THE UPS STORE</v>
      </c>
    </row>
    <row r="3467" spans="1:9" x14ac:dyDescent="0.25">
      <c r="A3467" s="6">
        <v>43628</v>
      </c>
      <c r="B3467" t="s">
        <v>26</v>
      </c>
      <c r="C3467">
        <v>61172</v>
      </c>
      <c r="D3467" t="s">
        <v>199</v>
      </c>
      <c r="E3467" s="7">
        <v>1898.5</v>
      </c>
      <c r="F3467" t="s">
        <v>20</v>
      </c>
      <c r="G3467" t="s">
        <v>21</v>
      </c>
      <c r="H3467" t="str">
        <f>"O.RAMIREZ 6/19"</f>
        <v>O.RAMIREZ 6/19</v>
      </c>
      <c r="I3467" t="str">
        <f>"THE UPS STORE"</f>
        <v>THE UPS STORE</v>
      </c>
    </row>
    <row r="3468" spans="1:9" x14ac:dyDescent="0.25">
      <c r="A3468" s="6">
        <v>43628</v>
      </c>
      <c r="B3468" t="s">
        <v>26</v>
      </c>
      <c r="C3468">
        <v>61173</v>
      </c>
      <c r="D3468" t="s">
        <v>452</v>
      </c>
      <c r="E3468" s="7">
        <v>95</v>
      </c>
      <c r="F3468" t="s">
        <v>20</v>
      </c>
      <c r="G3468" t="s">
        <v>21</v>
      </c>
      <c r="H3468" t="str">
        <f>"6/8/19"</f>
        <v>6/8/19</v>
      </c>
      <c r="I3468" t="str">
        <f>"DESIREE PEREZ"</f>
        <v>DESIREE PEREZ</v>
      </c>
    </row>
    <row r="3469" spans="1:9" x14ac:dyDescent="0.25">
      <c r="A3469" s="6">
        <v>43628</v>
      </c>
      <c r="B3469" t="s">
        <v>26</v>
      </c>
      <c r="C3469">
        <v>61174</v>
      </c>
      <c r="D3469" t="s">
        <v>398</v>
      </c>
      <c r="E3469" s="7">
        <v>55</v>
      </c>
      <c r="F3469" t="s">
        <v>20</v>
      </c>
      <c r="G3469" t="s">
        <v>21</v>
      </c>
      <c r="H3469" t="str">
        <f>"06012021"</f>
        <v>06012021</v>
      </c>
      <c r="I3469" t="str">
        <f>"INTERCEPTOR TECHNOLOGY GROUP L"</f>
        <v>INTERCEPTOR TECHNOLOGY GROUP L</v>
      </c>
    </row>
    <row r="3470" spans="1:9" x14ac:dyDescent="0.25">
      <c r="A3470" s="6">
        <v>43628</v>
      </c>
      <c r="B3470" t="s">
        <v>26</v>
      </c>
      <c r="C3470">
        <v>61175</v>
      </c>
      <c r="D3470" t="s">
        <v>483</v>
      </c>
      <c r="E3470" s="7">
        <v>122.78</v>
      </c>
      <c r="F3470" t="s">
        <v>20</v>
      </c>
      <c r="G3470" t="s">
        <v>21</v>
      </c>
      <c r="H3470" t="str">
        <f>"5387603"</f>
        <v>5387603</v>
      </c>
      <c r="I3470" t="str">
        <f>"HOSE &amp; SUPPLIES"</f>
        <v>HOSE &amp; SUPPLIES</v>
      </c>
    </row>
    <row r="3471" spans="1:9" x14ac:dyDescent="0.25">
      <c r="A3471" s="6">
        <v>43628</v>
      </c>
      <c r="B3471" t="s">
        <v>26</v>
      </c>
      <c r="C3471">
        <v>61176</v>
      </c>
      <c r="D3471" t="s">
        <v>554</v>
      </c>
      <c r="E3471" s="7">
        <v>74.95</v>
      </c>
      <c r="F3471" t="s">
        <v>20</v>
      </c>
      <c r="G3471" t="s">
        <v>21</v>
      </c>
      <c r="H3471" t="str">
        <f>"AA31849"</f>
        <v>AA31849</v>
      </c>
      <c r="I3471" t="str">
        <f>"TEXAS WIRED MUSIC"</f>
        <v>TEXAS WIRED MUSIC</v>
      </c>
    </row>
    <row r="3472" spans="1:9" x14ac:dyDescent="0.25">
      <c r="A3472" s="6">
        <v>43628</v>
      </c>
      <c r="B3472" t="s">
        <v>26</v>
      </c>
      <c r="C3472">
        <v>61177</v>
      </c>
      <c r="D3472" t="s">
        <v>568</v>
      </c>
      <c r="E3472" s="7">
        <v>142.78</v>
      </c>
      <c r="F3472" t="s">
        <v>20</v>
      </c>
      <c r="G3472" t="s">
        <v>21</v>
      </c>
      <c r="H3472" t="str">
        <f>"8288637"</f>
        <v>8288637</v>
      </c>
      <c r="I3472" t="str">
        <f>"TIRE HUB"</f>
        <v>TIRE HUB</v>
      </c>
    </row>
    <row r="3473" spans="1:9" x14ac:dyDescent="0.25">
      <c r="A3473" s="6">
        <v>43628</v>
      </c>
      <c r="B3473" t="s">
        <v>26</v>
      </c>
      <c r="C3473">
        <v>61178</v>
      </c>
      <c r="D3473" t="s">
        <v>629</v>
      </c>
      <c r="E3473" s="7">
        <v>102.25</v>
      </c>
      <c r="F3473" t="s">
        <v>20</v>
      </c>
      <c r="G3473" t="s">
        <v>21</v>
      </c>
      <c r="H3473" t="str">
        <f>"37336"</f>
        <v>37336</v>
      </c>
      <c r="I3473" t="str">
        <f>"STREET SIGNS"</f>
        <v>STREET SIGNS</v>
      </c>
    </row>
    <row r="3474" spans="1:9" x14ac:dyDescent="0.25">
      <c r="A3474" s="6">
        <v>43628</v>
      </c>
      <c r="B3474" t="s">
        <v>26</v>
      </c>
      <c r="C3474">
        <v>61179</v>
      </c>
      <c r="D3474" t="s">
        <v>644</v>
      </c>
      <c r="E3474" s="7">
        <v>1053.48</v>
      </c>
      <c r="F3474" t="s">
        <v>20</v>
      </c>
      <c r="G3474" t="s">
        <v>21</v>
      </c>
      <c r="H3474" t="str">
        <f>"8213322316"</f>
        <v>8213322316</v>
      </c>
      <c r="I3474" t="str">
        <f t="shared" ref="I3474:I3487" si="66">"UNIFIRST CORPORATION"</f>
        <v>UNIFIRST CORPORATION</v>
      </c>
    </row>
    <row r="3475" spans="1:9" x14ac:dyDescent="0.25">
      <c r="A3475" s="6">
        <v>43628</v>
      </c>
      <c r="B3475" t="s">
        <v>26</v>
      </c>
      <c r="C3475">
        <v>61179</v>
      </c>
      <c r="D3475" t="s">
        <v>644</v>
      </c>
      <c r="E3475" s="7">
        <v>1053.48</v>
      </c>
      <c r="F3475" t="s">
        <v>20</v>
      </c>
      <c r="G3475" t="s">
        <v>21</v>
      </c>
      <c r="H3475" t="str">
        <f>"8213322317"</f>
        <v>8213322317</v>
      </c>
      <c r="I3475" t="str">
        <f t="shared" si="66"/>
        <v>UNIFIRST CORPORATION</v>
      </c>
    </row>
    <row r="3476" spans="1:9" x14ac:dyDescent="0.25">
      <c r="A3476" s="6">
        <v>43628</v>
      </c>
      <c r="B3476" t="s">
        <v>26</v>
      </c>
      <c r="C3476">
        <v>61179</v>
      </c>
      <c r="D3476" t="s">
        <v>644</v>
      </c>
      <c r="E3476" s="7">
        <v>1053.48</v>
      </c>
      <c r="F3476" t="s">
        <v>20</v>
      </c>
      <c r="G3476" t="s">
        <v>21</v>
      </c>
      <c r="H3476" t="str">
        <f>"8213322318"</f>
        <v>8213322318</v>
      </c>
      <c r="I3476" t="str">
        <f t="shared" si="66"/>
        <v>UNIFIRST CORPORATION</v>
      </c>
    </row>
    <row r="3477" spans="1:9" x14ac:dyDescent="0.25">
      <c r="A3477" s="6">
        <v>43628</v>
      </c>
      <c r="B3477" t="s">
        <v>26</v>
      </c>
      <c r="C3477">
        <v>61179</v>
      </c>
      <c r="D3477" t="s">
        <v>644</v>
      </c>
      <c r="E3477" s="7">
        <v>1053.48</v>
      </c>
      <c r="F3477" t="s">
        <v>20</v>
      </c>
      <c r="G3477" t="s">
        <v>21</v>
      </c>
      <c r="H3477" t="str">
        <f>"8213322319"</f>
        <v>8213322319</v>
      </c>
      <c r="I3477" t="str">
        <f t="shared" si="66"/>
        <v>UNIFIRST CORPORATION</v>
      </c>
    </row>
    <row r="3478" spans="1:9" x14ac:dyDescent="0.25">
      <c r="A3478" s="6">
        <v>43628</v>
      </c>
      <c r="B3478" t="s">
        <v>26</v>
      </c>
      <c r="C3478">
        <v>61179</v>
      </c>
      <c r="D3478" t="s">
        <v>644</v>
      </c>
      <c r="E3478" s="7">
        <v>1053.48</v>
      </c>
      <c r="F3478" t="s">
        <v>20</v>
      </c>
      <c r="G3478" t="s">
        <v>21</v>
      </c>
      <c r="H3478" t="str">
        <f>"8213322320"</f>
        <v>8213322320</v>
      </c>
      <c r="I3478" t="str">
        <f t="shared" si="66"/>
        <v>UNIFIRST CORPORATION</v>
      </c>
    </row>
    <row r="3479" spans="1:9" x14ac:dyDescent="0.25">
      <c r="A3479" s="6">
        <v>43628</v>
      </c>
      <c r="B3479" t="s">
        <v>26</v>
      </c>
      <c r="C3479">
        <v>61179</v>
      </c>
      <c r="D3479" t="s">
        <v>644</v>
      </c>
      <c r="E3479" s="7">
        <v>1053.48</v>
      </c>
      <c r="F3479" t="s">
        <v>20</v>
      </c>
      <c r="G3479" t="s">
        <v>21</v>
      </c>
      <c r="H3479" t="str">
        <f>"8213322321"</f>
        <v>8213322321</v>
      </c>
      <c r="I3479" t="str">
        <f t="shared" si="66"/>
        <v>UNIFIRST CORPORATION</v>
      </c>
    </row>
    <row r="3480" spans="1:9" x14ac:dyDescent="0.25">
      <c r="A3480" s="6">
        <v>43628</v>
      </c>
      <c r="B3480" t="s">
        <v>26</v>
      </c>
      <c r="C3480">
        <v>61179</v>
      </c>
      <c r="D3480" t="s">
        <v>644</v>
      </c>
      <c r="E3480" s="7">
        <v>1053.48</v>
      </c>
      <c r="F3480" t="s">
        <v>20</v>
      </c>
      <c r="G3480" t="s">
        <v>21</v>
      </c>
      <c r="H3480" t="str">
        <f>"8213322322"</f>
        <v>8213322322</v>
      </c>
      <c r="I3480" t="str">
        <f t="shared" si="66"/>
        <v>UNIFIRST CORPORATION</v>
      </c>
    </row>
    <row r="3481" spans="1:9" x14ac:dyDescent="0.25">
      <c r="A3481" s="6">
        <v>43628</v>
      </c>
      <c r="B3481" t="s">
        <v>26</v>
      </c>
      <c r="C3481">
        <v>61179</v>
      </c>
      <c r="D3481" t="s">
        <v>644</v>
      </c>
      <c r="E3481" s="7">
        <v>1053.48</v>
      </c>
      <c r="F3481" t="s">
        <v>20</v>
      </c>
      <c r="G3481" t="s">
        <v>21</v>
      </c>
      <c r="H3481" t="str">
        <f>"8213324946"</f>
        <v>8213324946</v>
      </c>
      <c r="I3481" t="str">
        <f t="shared" si="66"/>
        <v>UNIFIRST CORPORATION</v>
      </c>
    </row>
    <row r="3482" spans="1:9" x14ac:dyDescent="0.25">
      <c r="A3482" s="6">
        <v>43628</v>
      </c>
      <c r="B3482" t="s">
        <v>26</v>
      </c>
      <c r="C3482">
        <v>61179</v>
      </c>
      <c r="D3482" t="s">
        <v>644</v>
      </c>
      <c r="E3482" s="7">
        <v>1053.48</v>
      </c>
      <c r="F3482" t="s">
        <v>20</v>
      </c>
      <c r="G3482" t="s">
        <v>21</v>
      </c>
      <c r="H3482" t="str">
        <f>"8213324947"</f>
        <v>8213324947</v>
      </c>
      <c r="I3482" t="str">
        <f t="shared" si="66"/>
        <v>UNIFIRST CORPORATION</v>
      </c>
    </row>
    <row r="3483" spans="1:9" x14ac:dyDescent="0.25">
      <c r="A3483" s="6">
        <v>43628</v>
      </c>
      <c r="B3483" t="s">
        <v>26</v>
      </c>
      <c r="C3483">
        <v>61179</v>
      </c>
      <c r="D3483" t="s">
        <v>644</v>
      </c>
      <c r="E3483" s="7">
        <v>1053.48</v>
      </c>
      <c r="F3483" t="s">
        <v>20</v>
      </c>
      <c r="G3483" t="s">
        <v>21</v>
      </c>
      <c r="H3483" t="str">
        <f>"8213324948"</f>
        <v>8213324948</v>
      </c>
      <c r="I3483" t="str">
        <f t="shared" si="66"/>
        <v>UNIFIRST CORPORATION</v>
      </c>
    </row>
    <row r="3484" spans="1:9" x14ac:dyDescent="0.25">
      <c r="A3484" s="6">
        <v>43628</v>
      </c>
      <c r="B3484" t="s">
        <v>26</v>
      </c>
      <c r="C3484">
        <v>61179</v>
      </c>
      <c r="D3484" t="s">
        <v>644</v>
      </c>
      <c r="E3484" s="7">
        <v>1053.48</v>
      </c>
      <c r="F3484" t="s">
        <v>20</v>
      </c>
      <c r="G3484" t="s">
        <v>21</v>
      </c>
      <c r="H3484" t="str">
        <f>"8213324949"</f>
        <v>8213324949</v>
      </c>
      <c r="I3484" t="str">
        <f t="shared" si="66"/>
        <v>UNIFIRST CORPORATION</v>
      </c>
    </row>
    <row r="3485" spans="1:9" x14ac:dyDescent="0.25">
      <c r="A3485" s="6">
        <v>43628</v>
      </c>
      <c r="B3485" t="s">
        <v>26</v>
      </c>
      <c r="C3485">
        <v>61179</v>
      </c>
      <c r="D3485" t="s">
        <v>644</v>
      </c>
      <c r="E3485" s="7">
        <v>1053.48</v>
      </c>
      <c r="F3485" t="s">
        <v>20</v>
      </c>
      <c r="G3485" t="s">
        <v>21</v>
      </c>
      <c r="H3485" t="str">
        <f>"8213324950"</f>
        <v>8213324950</v>
      </c>
      <c r="I3485" t="str">
        <f t="shared" si="66"/>
        <v>UNIFIRST CORPORATION</v>
      </c>
    </row>
    <row r="3486" spans="1:9" x14ac:dyDescent="0.25">
      <c r="A3486" s="6">
        <v>43628</v>
      </c>
      <c r="B3486" t="s">
        <v>26</v>
      </c>
      <c r="C3486">
        <v>61179</v>
      </c>
      <c r="D3486" t="s">
        <v>644</v>
      </c>
      <c r="E3486" s="7">
        <v>1053.48</v>
      </c>
      <c r="F3486" t="s">
        <v>20</v>
      </c>
      <c r="G3486" t="s">
        <v>21</v>
      </c>
      <c r="H3486" t="str">
        <f>"8213324951"</f>
        <v>8213324951</v>
      </c>
      <c r="I3486" t="str">
        <f t="shared" si="66"/>
        <v>UNIFIRST CORPORATION</v>
      </c>
    </row>
    <row r="3487" spans="1:9" x14ac:dyDescent="0.25">
      <c r="A3487" s="6">
        <v>43628</v>
      </c>
      <c r="B3487" t="s">
        <v>26</v>
      </c>
      <c r="C3487">
        <v>61179</v>
      </c>
      <c r="D3487" t="s">
        <v>644</v>
      </c>
      <c r="E3487" s="7">
        <v>1053.48</v>
      </c>
      <c r="F3487" t="s">
        <v>20</v>
      </c>
      <c r="G3487" t="s">
        <v>21</v>
      </c>
      <c r="H3487" t="str">
        <f>"8213324952"</f>
        <v>8213324952</v>
      </c>
      <c r="I3487" t="str">
        <f t="shared" si="66"/>
        <v>UNIFIRST CORPORATION</v>
      </c>
    </row>
    <row r="3488" spans="1:9" x14ac:dyDescent="0.25">
      <c r="A3488" s="6">
        <v>43628</v>
      </c>
      <c r="B3488" t="s">
        <v>26</v>
      </c>
      <c r="C3488">
        <v>61182</v>
      </c>
      <c r="D3488" t="s">
        <v>696</v>
      </c>
      <c r="E3488" s="7">
        <v>70</v>
      </c>
      <c r="F3488" t="s">
        <v>20</v>
      </c>
      <c r="G3488" t="s">
        <v>21</v>
      </c>
      <c r="H3488" t="str">
        <f>"6/8/19"</f>
        <v>6/8/19</v>
      </c>
      <c r="I3488" t="str">
        <f>"ANGEL G. ROSAS"</f>
        <v>ANGEL G. ROSAS</v>
      </c>
    </row>
    <row r="3489" spans="1:9" x14ac:dyDescent="0.25">
      <c r="A3489" s="6">
        <v>43628</v>
      </c>
      <c r="B3489" t="s">
        <v>26</v>
      </c>
      <c r="C3489">
        <v>61183</v>
      </c>
      <c r="D3489" t="s">
        <v>716</v>
      </c>
      <c r="E3489" s="7">
        <v>390</v>
      </c>
      <c r="F3489" t="s">
        <v>20</v>
      </c>
      <c r="G3489" t="s">
        <v>21</v>
      </c>
      <c r="H3489" t="str">
        <f>"6/8/19"</f>
        <v>6/8/19</v>
      </c>
      <c r="I3489" t="str">
        <f>"ALFREDO SENDEJO"</f>
        <v>ALFREDO SENDEJO</v>
      </c>
    </row>
    <row r="3490" spans="1:9" x14ac:dyDescent="0.25">
      <c r="A3490" s="6">
        <v>43628</v>
      </c>
      <c r="B3490" t="s">
        <v>26</v>
      </c>
      <c r="C3490">
        <v>61184</v>
      </c>
      <c r="D3490" t="s">
        <v>58</v>
      </c>
      <c r="E3490" s="7">
        <v>265.36</v>
      </c>
      <c r="F3490" t="s">
        <v>20</v>
      </c>
      <c r="G3490" t="s">
        <v>21</v>
      </c>
      <c r="H3490" t="str">
        <f>"564356"</f>
        <v>564356</v>
      </c>
      <c r="I3490" t="str">
        <f>"DEASON ANIMAL HOSPITAL"</f>
        <v>DEASON ANIMAL HOSPITAL</v>
      </c>
    </row>
    <row r="3491" spans="1:9" x14ac:dyDescent="0.25">
      <c r="A3491" s="6">
        <v>43628</v>
      </c>
      <c r="B3491" t="s">
        <v>26</v>
      </c>
      <c r="C3491">
        <v>61184</v>
      </c>
      <c r="D3491" t="s">
        <v>58</v>
      </c>
      <c r="E3491" s="7">
        <v>265.36</v>
      </c>
      <c r="F3491" t="s">
        <v>20</v>
      </c>
      <c r="G3491" t="s">
        <v>21</v>
      </c>
      <c r="H3491" t="str">
        <f>"564512"</f>
        <v>564512</v>
      </c>
      <c r="I3491" t="str">
        <f>"DEASON ANIMAL HOSPITAL"</f>
        <v>DEASON ANIMAL HOSPITAL</v>
      </c>
    </row>
    <row r="3492" spans="1:9" x14ac:dyDescent="0.25">
      <c r="A3492" s="6">
        <v>43628</v>
      </c>
      <c r="B3492" t="s">
        <v>26</v>
      </c>
      <c r="C3492">
        <v>61184</v>
      </c>
      <c r="D3492" t="s">
        <v>58</v>
      </c>
      <c r="E3492" s="7">
        <v>265.36</v>
      </c>
      <c r="F3492" t="s">
        <v>20</v>
      </c>
      <c r="G3492" t="s">
        <v>21</v>
      </c>
      <c r="H3492" t="str">
        <f>"565821"</f>
        <v>565821</v>
      </c>
      <c r="I3492" t="str">
        <f>"DEASON ANIMAL HOSPITAL"</f>
        <v>DEASON ANIMAL HOSPITAL</v>
      </c>
    </row>
    <row r="3493" spans="1:9" x14ac:dyDescent="0.25">
      <c r="A3493" s="6">
        <v>43628</v>
      </c>
      <c r="B3493" t="s">
        <v>26</v>
      </c>
      <c r="C3493">
        <v>61184</v>
      </c>
      <c r="D3493" t="s">
        <v>58</v>
      </c>
      <c r="E3493" s="7">
        <v>265.36</v>
      </c>
      <c r="F3493" t="s">
        <v>20</v>
      </c>
      <c r="G3493" t="s">
        <v>21</v>
      </c>
      <c r="H3493" t="str">
        <f>"567182"</f>
        <v>567182</v>
      </c>
      <c r="I3493" t="str">
        <f>"DEASON ANIMAL HOSPITAL"</f>
        <v>DEASON ANIMAL HOSPITAL</v>
      </c>
    </row>
    <row r="3494" spans="1:9" x14ac:dyDescent="0.25">
      <c r="A3494" s="6">
        <v>43628</v>
      </c>
      <c r="B3494" t="s">
        <v>26</v>
      </c>
      <c r="C3494">
        <v>61185</v>
      </c>
      <c r="D3494" t="s">
        <v>74</v>
      </c>
      <c r="E3494" s="7">
        <v>92.44</v>
      </c>
      <c r="F3494" t="s">
        <v>20</v>
      </c>
      <c r="G3494" t="s">
        <v>21</v>
      </c>
      <c r="H3494" t="str">
        <f>"9830794043"</f>
        <v>9830794043</v>
      </c>
      <c r="I3494" t="str">
        <f>"VERIZON WIRELESS"</f>
        <v>VERIZON WIRELESS</v>
      </c>
    </row>
    <row r="3495" spans="1:9" x14ac:dyDescent="0.25">
      <c r="A3495" s="6">
        <v>43628</v>
      </c>
      <c r="B3495" t="s">
        <v>26</v>
      </c>
      <c r="C3495">
        <v>61186</v>
      </c>
      <c r="D3495" t="s">
        <v>126</v>
      </c>
      <c r="E3495" s="7">
        <v>706.53</v>
      </c>
      <c r="F3495" t="s">
        <v>20</v>
      </c>
      <c r="G3495" t="s">
        <v>21</v>
      </c>
      <c r="H3495" t="str">
        <f>"0859-002301982"</f>
        <v>0859-002301982</v>
      </c>
      <c r="I3495" t="str">
        <f>"REPUBLIC SERVICES #859"</f>
        <v>REPUBLIC SERVICES #859</v>
      </c>
    </row>
    <row r="3496" spans="1:9" x14ac:dyDescent="0.25">
      <c r="A3496" s="6">
        <v>43629</v>
      </c>
      <c r="B3496" t="s">
        <v>26</v>
      </c>
      <c r="C3496">
        <v>61187</v>
      </c>
      <c r="D3496" t="s">
        <v>74</v>
      </c>
      <c r="E3496" s="7">
        <v>5260.38</v>
      </c>
      <c r="F3496" t="s">
        <v>20</v>
      </c>
      <c r="G3496" t="s">
        <v>21</v>
      </c>
      <c r="H3496" t="str">
        <f>"9830794042"</f>
        <v>9830794042</v>
      </c>
      <c r="I3496" t="str">
        <f>"VERIZON WIRELESS"</f>
        <v>VERIZON WIRELESS</v>
      </c>
    </row>
    <row r="3497" spans="1:9" x14ac:dyDescent="0.25">
      <c r="A3497" s="6">
        <v>43637</v>
      </c>
      <c r="B3497" t="s">
        <v>26</v>
      </c>
      <c r="C3497">
        <v>61210</v>
      </c>
      <c r="D3497" t="s">
        <v>51</v>
      </c>
      <c r="E3497" s="7">
        <v>309.37</v>
      </c>
      <c r="F3497" t="s">
        <v>20</v>
      </c>
      <c r="G3497" t="s">
        <v>21</v>
      </c>
      <c r="H3497" t="str">
        <f>"CLE201906198526"</f>
        <v>CLE201906198526</v>
      </c>
      <c r="I3497" t="str">
        <f>"CLEAT ONLY DUES"</f>
        <v>CLEAT ONLY DUES</v>
      </c>
    </row>
    <row r="3498" spans="1:9" x14ac:dyDescent="0.25">
      <c r="A3498" s="6">
        <v>43637</v>
      </c>
      <c r="B3498" t="s">
        <v>26</v>
      </c>
      <c r="C3498">
        <v>61210</v>
      </c>
      <c r="D3498" t="s">
        <v>51</v>
      </c>
      <c r="E3498" s="7">
        <v>309.37</v>
      </c>
      <c r="F3498" t="s">
        <v>20</v>
      </c>
      <c r="G3498" t="s">
        <v>21</v>
      </c>
      <c r="H3498" t="str">
        <f>"PDD201906198526"</f>
        <v>PDD201906198526</v>
      </c>
      <c r="I3498" t="str">
        <f>"POLICE OFFICERS ASSOC DUES"</f>
        <v>POLICE OFFICERS ASSOC DUES</v>
      </c>
    </row>
    <row r="3499" spans="1:9" x14ac:dyDescent="0.25">
      <c r="A3499" s="6">
        <v>43637</v>
      </c>
      <c r="B3499" t="s">
        <v>91</v>
      </c>
      <c r="C3499">
        <v>61211</v>
      </c>
      <c r="D3499" t="s">
        <v>90</v>
      </c>
      <c r="E3499" s="7">
        <v>101.1</v>
      </c>
      <c r="F3499" t="s">
        <v>20</v>
      </c>
      <c r="G3499" t="s">
        <v>21</v>
      </c>
      <c r="H3499" t="str">
        <f>"AFS201906198526"</f>
        <v>AFS201906198526</v>
      </c>
      <c r="I3499" t="str">
        <f>"AFLAC STD"</f>
        <v>AFLAC STD</v>
      </c>
    </row>
    <row r="3500" spans="1:9" x14ac:dyDescent="0.25">
      <c r="A3500" s="6">
        <v>43637</v>
      </c>
      <c r="B3500" t="s">
        <v>26</v>
      </c>
      <c r="C3500">
        <v>61212</v>
      </c>
      <c r="D3500" t="s">
        <v>52</v>
      </c>
      <c r="E3500" s="7">
        <v>1056.98</v>
      </c>
      <c r="F3500" t="s">
        <v>20</v>
      </c>
      <c r="G3500" t="s">
        <v>21</v>
      </c>
      <c r="H3500" t="str">
        <f>"CPS201906198526"</f>
        <v>CPS201906198526</v>
      </c>
      <c r="I3500" t="str">
        <f>"G MENDOZA 00123012032010EM5054"</f>
        <v>G MENDOZA 00123012032010EM5054</v>
      </c>
    </row>
    <row r="3501" spans="1:9" x14ac:dyDescent="0.25">
      <c r="A3501" s="6">
        <v>43637</v>
      </c>
      <c r="B3501" t="s">
        <v>26</v>
      </c>
      <c r="C3501">
        <v>61212</v>
      </c>
      <c r="D3501" t="s">
        <v>52</v>
      </c>
      <c r="E3501" s="7">
        <v>1056.98</v>
      </c>
      <c r="F3501" t="s">
        <v>20</v>
      </c>
      <c r="G3501" t="s">
        <v>21</v>
      </c>
      <c r="H3501" t="str">
        <f>"CS 201906198526"</f>
        <v>CS 201906198526</v>
      </c>
      <c r="I3501" t="str">
        <f>"CAUSE#98EM504113 PEGGY RIVAS"</f>
        <v>CAUSE#98EM504113 PEGGY RIVAS</v>
      </c>
    </row>
    <row r="3502" spans="1:9" x14ac:dyDescent="0.25">
      <c r="A3502" s="6">
        <v>43637</v>
      </c>
      <c r="B3502" t="s">
        <v>26</v>
      </c>
      <c r="C3502">
        <v>61212</v>
      </c>
      <c r="D3502" t="s">
        <v>52</v>
      </c>
      <c r="E3502" s="7">
        <v>1056.98</v>
      </c>
      <c r="F3502" t="s">
        <v>20</v>
      </c>
      <c r="G3502" t="s">
        <v>21</v>
      </c>
      <c r="H3502" t="str">
        <f>"CSJ201906198526"</f>
        <v>CSJ201906198526</v>
      </c>
      <c r="I3502" t="str">
        <f>"CAUSE# 0010185272 MARIANN GUTI"</f>
        <v>CAUSE# 0010185272 MARIANN GUTI</v>
      </c>
    </row>
    <row r="3503" spans="1:9" x14ac:dyDescent="0.25">
      <c r="A3503" s="6">
        <v>43637</v>
      </c>
      <c r="B3503" t="s">
        <v>26</v>
      </c>
      <c r="C3503">
        <v>61213</v>
      </c>
      <c r="D3503" t="s">
        <v>53</v>
      </c>
      <c r="E3503" s="7">
        <v>99.1</v>
      </c>
      <c r="F3503" t="s">
        <v>20</v>
      </c>
      <c r="G3503" t="s">
        <v>21</v>
      </c>
      <c r="H3503" t="str">
        <f>"MCO201906198526"</f>
        <v>MCO201906198526</v>
      </c>
      <c r="I3503" t="str">
        <f>"MONICA CORDOVA"</f>
        <v>MONICA CORDOVA</v>
      </c>
    </row>
    <row r="3504" spans="1:9" x14ac:dyDescent="0.25">
      <c r="A3504" s="6">
        <v>43637</v>
      </c>
      <c r="B3504" t="s">
        <v>26</v>
      </c>
      <c r="C3504">
        <v>61214</v>
      </c>
      <c r="D3504" t="s">
        <v>54</v>
      </c>
      <c r="E3504" s="7">
        <v>712.12</v>
      </c>
      <c r="F3504" t="s">
        <v>20</v>
      </c>
      <c r="G3504" t="s">
        <v>21</v>
      </c>
      <c r="H3504" t="str">
        <f>"457201906198526"</f>
        <v>457201906198526</v>
      </c>
      <c r="I3504" t="str">
        <f>"CASE # 180-60751 457B DEDUCT"</f>
        <v>CASE # 180-60751 457B DEDUCT</v>
      </c>
    </row>
    <row r="3505" spans="1:9" x14ac:dyDescent="0.25">
      <c r="A3505" s="6">
        <v>43636</v>
      </c>
      <c r="B3505" t="s">
        <v>26</v>
      </c>
      <c r="C3505">
        <v>61215</v>
      </c>
      <c r="D3505" t="s">
        <v>202</v>
      </c>
      <c r="E3505" s="7">
        <v>932.32</v>
      </c>
      <c r="F3505" t="s">
        <v>20</v>
      </c>
      <c r="G3505" t="s">
        <v>21</v>
      </c>
      <c r="H3505" t="str">
        <f>"61886511"</f>
        <v>61886511</v>
      </c>
      <c r="I3505" t="str">
        <f>"VULCAN CONSTRUCTION MATERIALS"</f>
        <v>VULCAN CONSTRUCTION MATERIALS</v>
      </c>
    </row>
    <row r="3506" spans="1:9" x14ac:dyDescent="0.25">
      <c r="A3506" s="6">
        <v>43636</v>
      </c>
      <c r="B3506" t="s">
        <v>26</v>
      </c>
      <c r="C3506">
        <v>61216</v>
      </c>
      <c r="D3506" t="s">
        <v>240</v>
      </c>
      <c r="E3506" s="7">
        <v>1537.73</v>
      </c>
      <c r="F3506" t="s">
        <v>20</v>
      </c>
      <c r="G3506" t="s">
        <v>21</v>
      </c>
      <c r="H3506" t="str">
        <f>"0168823-IN"</f>
        <v>0168823-IN</v>
      </c>
      <c r="I3506" t="str">
        <f>"NEW OFFICER UNIFORM"</f>
        <v>NEW OFFICER UNIFORM</v>
      </c>
    </row>
    <row r="3507" spans="1:9" x14ac:dyDescent="0.25">
      <c r="A3507" s="6">
        <v>43636</v>
      </c>
      <c r="B3507" t="s">
        <v>26</v>
      </c>
      <c r="C3507">
        <v>61216</v>
      </c>
      <c r="D3507" t="s">
        <v>240</v>
      </c>
      <c r="E3507" s="7">
        <v>1537.73</v>
      </c>
      <c r="F3507" t="s">
        <v>20</v>
      </c>
      <c r="G3507" t="s">
        <v>21</v>
      </c>
      <c r="H3507" t="str">
        <f>"0169200-IN"</f>
        <v>0169200-IN</v>
      </c>
      <c r="I3507" t="str">
        <f>"NARDIS PUBLIC SAFETY"</f>
        <v>NARDIS PUBLIC SAFETY</v>
      </c>
    </row>
    <row r="3508" spans="1:9" x14ac:dyDescent="0.25">
      <c r="A3508" s="6">
        <v>43636</v>
      </c>
      <c r="B3508" t="s">
        <v>26</v>
      </c>
      <c r="C3508">
        <v>61216</v>
      </c>
      <c r="D3508" t="s">
        <v>240</v>
      </c>
      <c r="E3508" s="7">
        <v>1537.73</v>
      </c>
      <c r="F3508" t="s">
        <v>20</v>
      </c>
      <c r="G3508" t="s">
        <v>21</v>
      </c>
      <c r="H3508" t="str">
        <f>"0169370-IN"</f>
        <v>0169370-IN</v>
      </c>
      <c r="I3508" t="str">
        <f>"NARDIS PUBLIC SAFETY"</f>
        <v>NARDIS PUBLIC SAFETY</v>
      </c>
    </row>
    <row r="3509" spans="1:9" x14ac:dyDescent="0.25">
      <c r="A3509" s="6">
        <v>43636</v>
      </c>
      <c r="B3509" t="s">
        <v>26</v>
      </c>
      <c r="C3509">
        <v>61216</v>
      </c>
      <c r="D3509" t="s">
        <v>240</v>
      </c>
      <c r="E3509" s="7">
        <v>1537.73</v>
      </c>
      <c r="F3509" t="s">
        <v>20</v>
      </c>
      <c r="G3509" t="s">
        <v>21</v>
      </c>
      <c r="H3509" t="str">
        <f>"0169372-IN"</f>
        <v>0169372-IN</v>
      </c>
      <c r="I3509" t="str">
        <f>"NARDIS PUBLIC SAFETY"</f>
        <v>NARDIS PUBLIC SAFETY</v>
      </c>
    </row>
    <row r="3510" spans="1:9" x14ac:dyDescent="0.25">
      <c r="A3510" s="6">
        <v>43636</v>
      </c>
      <c r="B3510" t="s">
        <v>26</v>
      </c>
      <c r="C3510">
        <v>61217</v>
      </c>
      <c r="D3510" t="s">
        <v>0</v>
      </c>
      <c r="E3510" s="7">
        <v>3204.81</v>
      </c>
      <c r="F3510" t="s">
        <v>20</v>
      </c>
      <c r="G3510" t="s">
        <v>21</v>
      </c>
      <c r="H3510" t="str">
        <f>"MAY 2019"</f>
        <v>MAY 2019</v>
      </c>
      <c r="I3510" t="str">
        <f>"CITY OF FLORESVILLE"</f>
        <v>CITY OF FLORESVILLE</v>
      </c>
    </row>
    <row r="3511" spans="1:9" x14ac:dyDescent="0.25">
      <c r="A3511" s="6">
        <v>43636</v>
      </c>
      <c r="B3511" t="s">
        <v>26</v>
      </c>
      <c r="C3511">
        <v>61218</v>
      </c>
      <c r="D3511" t="s">
        <v>92</v>
      </c>
      <c r="E3511" s="7">
        <v>37833.51</v>
      </c>
      <c r="F3511" t="s">
        <v>20</v>
      </c>
      <c r="G3511" t="s">
        <v>21</v>
      </c>
      <c r="H3511" t="str">
        <f>"MAY 2019"</f>
        <v>MAY 2019</v>
      </c>
      <c r="I3511" t="str">
        <f>"TEXAS MUNICIPAL RETIREMENT SYS"</f>
        <v>TEXAS MUNICIPAL RETIREMENT SYS</v>
      </c>
    </row>
    <row r="3512" spans="1:9" x14ac:dyDescent="0.25">
      <c r="A3512" s="6">
        <v>43636</v>
      </c>
      <c r="B3512" t="s">
        <v>26</v>
      </c>
      <c r="C3512">
        <v>61219</v>
      </c>
      <c r="D3512" t="s">
        <v>213</v>
      </c>
      <c r="E3512" s="7">
        <v>559.32000000000005</v>
      </c>
      <c r="F3512" t="s">
        <v>20</v>
      </c>
      <c r="G3512" t="s">
        <v>21</v>
      </c>
      <c r="H3512" t="str">
        <f>"MAY 2019"</f>
        <v>MAY 2019</v>
      </c>
      <c r="I3512" t="str">
        <f>"RIVER BEND COMMUNITY DEVELOPME"</f>
        <v>RIVER BEND COMMUNITY DEVELOPME</v>
      </c>
    </row>
    <row r="3513" spans="1:9" x14ac:dyDescent="0.25">
      <c r="A3513" s="6">
        <v>43636</v>
      </c>
      <c r="B3513" t="s">
        <v>26</v>
      </c>
      <c r="C3513">
        <v>61220</v>
      </c>
      <c r="D3513" t="s">
        <v>254</v>
      </c>
      <c r="E3513" s="7">
        <v>2495.4</v>
      </c>
      <c r="F3513" t="s">
        <v>20</v>
      </c>
      <c r="G3513" t="s">
        <v>21</v>
      </c>
      <c r="H3513" t="str">
        <f>"064"</f>
        <v>064</v>
      </c>
      <c r="I3513" t="str">
        <f>"TEXAS WORKFORCE COMMISSION"</f>
        <v>TEXAS WORKFORCE COMMISSION</v>
      </c>
    </row>
    <row r="3514" spans="1:9" x14ac:dyDescent="0.25">
      <c r="A3514" s="6">
        <v>43636</v>
      </c>
      <c r="B3514" t="s">
        <v>26</v>
      </c>
      <c r="C3514">
        <v>61221</v>
      </c>
      <c r="D3514" t="s">
        <v>81</v>
      </c>
      <c r="E3514" s="7">
        <v>207.79</v>
      </c>
      <c r="F3514" t="s">
        <v>20</v>
      </c>
      <c r="G3514" t="s">
        <v>21</v>
      </c>
      <c r="H3514" t="str">
        <f>"A.MARTINEZ 6/19/19"</f>
        <v>A.MARTINEZ 6/19/19</v>
      </c>
      <c r="I3514" t="str">
        <f>"CITY OF FLORESVILLE -PETTY CAS"</f>
        <v>CITY OF FLORESVILLE -PETTY CAS</v>
      </c>
    </row>
    <row r="3515" spans="1:9" x14ac:dyDescent="0.25">
      <c r="A3515" s="6">
        <v>43636</v>
      </c>
      <c r="B3515" t="s">
        <v>26</v>
      </c>
      <c r="C3515">
        <v>61222</v>
      </c>
      <c r="D3515" t="s">
        <v>200</v>
      </c>
      <c r="E3515" s="7">
        <v>18600</v>
      </c>
      <c r="F3515" t="s">
        <v>20</v>
      </c>
      <c r="G3515" t="s">
        <v>21</v>
      </c>
      <c r="H3515" t="str">
        <f>"131"</f>
        <v>131</v>
      </c>
      <c r="I3515" t="str">
        <f>"MARIO AVILES"</f>
        <v>MARIO AVILES</v>
      </c>
    </row>
    <row r="3516" spans="1:9" x14ac:dyDescent="0.25">
      <c r="A3516" s="6">
        <v>43636</v>
      </c>
      <c r="B3516" t="s">
        <v>26</v>
      </c>
      <c r="C3516">
        <v>61223</v>
      </c>
      <c r="D3516" t="s">
        <v>345</v>
      </c>
      <c r="E3516" s="7">
        <v>291.5</v>
      </c>
      <c r="F3516" t="s">
        <v>20</v>
      </c>
      <c r="G3516" t="s">
        <v>21</v>
      </c>
      <c r="H3516" t="str">
        <f>"6/17/2019"</f>
        <v>6/17/2019</v>
      </c>
      <c r="I3516" t="str">
        <f>"MICHAEL ISAAC MARTINEZ"</f>
        <v>MICHAEL ISAAC MARTINEZ</v>
      </c>
    </row>
    <row r="3517" spans="1:9" x14ac:dyDescent="0.25">
      <c r="A3517" s="6">
        <v>43636</v>
      </c>
      <c r="B3517" t="s">
        <v>26</v>
      </c>
      <c r="C3517">
        <v>61224</v>
      </c>
      <c r="D3517" t="s">
        <v>639</v>
      </c>
      <c r="E3517" s="7">
        <v>1800</v>
      </c>
      <c r="F3517" t="s">
        <v>20</v>
      </c>
      <c r="G3517" t="s">
        <v>21</v>
      </c>
      <c r="H3517" t="str">
        <f>"BRIDAL EXT. 2019"</f>
        <v>BRIDAL EXT. 2019</v>
      </c>
      <c r="I3517" t="str">
        <f>"NEXT LEVEL STAFFING"</f>
        <v>NEXT LEVEL STAFFING</v>
      </c>
    </row>
    <row r="3518" spans="1:9" x14ac:dyDescent="0.25">
      <c r="A3518" s="6">
        <v>43636</v>
      </c>
      <c r="B3518" t="s">
        <v>26</v>
      </c>
      <c r="C3518">
        <v>61224</v>
      </c>
      <c r="D3518" t="s">
        <v>639</v>
      </c>
      <c r="E3518" s="7">
        <v>1800</v>
      </c>
      <c r="F3518" t="s">
        <v>20</v>
      </c>
      <c r="G3518" t="s">
        <v>21</v>
      </c>
      <c r="H3518" t="str">
        <f>"FREEDOM FEST 2019"</f>
        <v>FREEDOM FEST 2019</v>
      </c>
      <c r="I3518" t="str">
        <f>"NEXT LEVEL STAFFING"</f>
        <v>NEXT LEVEL STAFFING</v>
      </c>
    </row>
    <row r="3519" spans="1:9" x14ac:dyDescent="0.25">
      <c r="A3519" s="6">
        <v>43636</v>
      </c>
      <c r="B3519" t="s">
        <v>26</v>
      </c>
      <c r="C3519">
        <v>61225</v>
      </c>
      <c r="D3519" t="s">
        <v>716</v>
      </c>
      <c r="E3519" s="7">
        <v>330</v>
      </c>
      <c r="F3519" t="s">
        <v>20</v>
      </c>
      <c r="G3519" t="s">
        <v>21</v>
      </c>
      <c r="H3519" t="str">
        <f>"6/17/2019"</f>
        <v>6/17/2019</v>
      </c>
      <c r="I3519" t="str">
        <f>"ALFREDO SENDEJO"</f>
        <v>ALFREDO SENDEJO</v>
      </c>
    </row>
    <row r="3520" spans="1:9" x14ac:dyDescent="0.25">
      <c r="A3520" s="6">
        <v>43636</v>
      </c>
      <c r="B3520" t="s">
        <v>26</v>
      </c>
      <c r="C3520">
        <v>61226</v>
      </c>
      <c r="D3520" t="s">
        <v>730</v>
      </c>
      <c r="E3520" s="7">
        <v>200</v>
      </c>
      <c r="F3520" t="s">
        <v>20</v>
      </c>
      <c r="G3520" t="s">
        <v>21</v>
      </c>
      <c r="H3520" t="str">
        <f>"FRDM FEST 2019 DEP"</f>
        <v>FRDM FEST 2019 DEP</v>
      </c>
      <c r="I3520" t="str">
        <f>"DANIEL G. ACOSTA"</f>
        <v>DANIEL G. ACOSTA</v>
      </c>
    </row>
    <row r="3521" spans="1:9" x14ac:dyDescent="0.25">
      <c r="A3521" s="6">
        <v>43641</v>
      </c>
      <c r="B3521" t="s">
        <v>26</v>
      </c>
      <c r="C3521">
        <v>61227</v>
      </c>
      <c r="D3521" t="s">
        <v>156</v>
      </c>
      <c r="E3521" s="7">
        <v>1176</v>
      </c>
      <c r="F3521" t="s">
        <v>20</v>
      </c>
      <c r="G3521" t="s">
        <v>21</v>
      </c>
      <c r="H3521" t="str">
        <f>"FREEDOM FEST 2019"</f>
        <v>FREEDOM FEST 2019</v>
      </c>
      <c r="I3521" t="str">
        <f>"GLI DISTRIBUTING"</f>
        <v>GLI DISTRIBUTING</v>
      </c>
    </row>
    <row r="3522" spans="1:9" x14ac:dyDescent="0.25">
      <c r="A3522" s="6">
        <v>43642</v>
      </c>
      <c r="B3522" t="s">
        <v>26</v>
      </c>
      <c r="C3522">
        <v>61228</v>
      </c>
      <c r="D3522" t="s">
        <v>56</v>
      </c>
      <c r="E3522" s="7">
        <v>45</v>
      </c>
      <c r="F3522" t="s">
        <v>20</v>
      </c>
      <c r="G3522" t="s">
        <v>21</v>
      </c>
      <c r="H3522" t="str">
        <f>"175488"</f>
        <v>175488</v>
      </c>
      <c r="I3522" t="str">
        <f>"DOG FOOD"</f>
        <v>DOG FOOD</v>
      </c>
    </row>
    <row r="3523" spans="1:9" x14ac:dyDescent="0.25">
      <c r="A3523" s="6">
        <v>43642</v>
      </c>
      <c r="B3523" t="s">
        <v>26</v>
      </c>
      <c r="C3523">
        <v>61229</v>
      </c>
      <c r="D3523" t="s">
        <v>102</v>
      </c>
      <c r="E3523" s="7">
        <v>82.74</v>
      </c>
      <c r="F3523" t="s">
        <v>20</v>
      </c>
      <c r="G3523" t="s">
        <v>21</v>
      </c>
      <c r="H3523" t="str">
        <f>"1120 D. ST 6/2019"</f>
        <v>1120 D. ST 6/2019</v>
      </c>
      <c r="I3523" t="str">
        <f>"CENTERPOINT ENERGY ENTEX"</f>
        <v>CENTERPOINT ENERGY ENTEX</v>
      </c>
    </row>
    <row r="3524" spans="1:9" x14ac:dyDescent="0.25">
      <c r="A3524" s="6">
        <v>43642</v>
      </c>
      <c r="B3524" t="s">
        <v>26</v>
      </c>
      <c r="C3524">
        <v>61229</v>
      </c>
      <c r="D3524" t="s">
        <v>102</v>
      </c>
      <c r="E3524" s="7">
        <v>82.74</v>
      </c>
      <c r="F3524" t="s">
        <v>20</v>
      </c>
      <c r="G3524" t="s">
        <v>21</v>
      </c>
      <c r="H3524" t="str">
        <f>"1200 D. ST 6/19"</f>
        <v>1200 D. ST 6/19</v>
      </c>
      <c r="I3524" t="str">
        <f>"CENTERPOINT ENERGY ENTEX"</f>
        <v>CENTERPOINT ENERGY ENTEX</v>
      </c>
    </row>
    <row r="3525" spans="1:9" x14ac:dyDescent="0.25">
      <c r="A3525" s="6">
        <v>43642</v>
      </c>
      <c r="B3525" t="s">
        <v>26</v>
      </c>
      <c r="C3525">
        <v>61229</v>
      </c>
      <c r="D3525" t="s">
        <v>102</v>
      </c>
      <c r="E3525" s="7">
        <v>82.74</v>
      </c>
      <c r="F3525" t="s">
        <v>20</v>
      </c>
      <c r="G3525" t="s">
        <v>21</v>
      </c>
      <c r="H3525" t="str">
        <f>"920 C. ST 6/2019"</f>
        <v>920 C. ST 6/2019</v>
      </c>
      <c r="I3525" t="str">
        <f>"CENTERPOINT ENERGY ENTEX"</f>
        <v>CENTERPOINT ENERGY ENTEX</v>
      </c>
    </row>
    <row r="3526" spans="1:9" x14ac:dyDescent="0.25">
      <c r="A3526" s="6">
        <v>43642</v>
      </c>
      <c r="B3526" t="s">
        <v>26</v>
      </c>
      <c r="C3526">
        <v>61230</v>
      </c>
      <c r="D3526" t="s">
        <v>143</v>
      </c>
      <c r="E3526" s="7">
        <v>497.25</v>
      </c>
      <c r="F3526" t="s">
        <v>20</v>
      </c>
      <c r="G3526" t="s">
        <v>21</v>
      </c>
      <c r="H3526" t="str">
        <f>"9402053467"</f>
        <v>9402053467</v>
      </c>
      <c r="I3526" t="str">
        <f>"OIL"</f>
        <v>OIL</v>
      </c>
    </row>
    <row r="3527" spans="1:9" x14ac:dyDescent="0.25">
      <c r="A3527" s="6">
        <v>43642</v>
      </c>
      <c r="B3527" t="s">
        <v>26</v>
      </c>
      <c r="C3527">
        <v>61231</v>
      </c>
      <c r="D3527" t="s">
        <v>178</v>
      </c>
      <c r="E3527" s="7">
        <v>316.75</v>
      </c>
      <c r="F3527" t="s">
        <v>20</v>
      </c>
      <c r="G3527" t="s">
        <v>21</v>
      </c>
      <c r="H3527" t="str">
        <f>"5010458"</f>
        <v>5010458</v>
      </c>
      <c r="I3527" t="str">
        <f>"VEHICLE PARTS"</f>
        <v>VEHICLE PARTS</v>
      </c>
    </row>
    <row r="3528" spans="1:9" x14ac:dyDescent="0.25">
      <c r="A3528" s="6">
        <v>43642</v>
      </c>
      <c r="B3528" t="s">
        <v>26</v>
      </c>
      <c r="C3528">
        <v>61232</v>
      </c>
      <c r="D3528" t="s">
        <v>104</v>
      </c>
      <c r="E3528" s="7">
        <v>1743.67</v>
      </c>
      <c r="F3528" t="s">
        <v>20</v>
      </c>
      <c r="G3528" t="s">
        <v>21</v>
      </c>
      <c r="H3528" t="str">
        <f>"5026989147"</f>
        <v>5026989147</v>
      </c>
      <c r="I3528" t="str">
        <f>"WILSON COUNTY NEWS"</f>
        <v>WILSON COUNTY NEWS</v>
      </c>
    </row>
    <row r="3529" spans="1:9" x14ac:dyDescent="0.25">
      <c r="A3529" s="6">
        <v>43642</v>
      </c>
      <c r="B3529" t="s">
        <v>26</v>
      </c>
      <c r="C3529">
        <v>61233</v>
      </c>
      <c r="D3529" t="s">
        <v>59</v>
      </c>
      <c r="E3529" s="7">
        <v>2253.9699999999998</v>
      </c>
      <c r="F3529" t="s">
        <v>20</v>
      </c>
      <c r="G3529" t="s">
        <v>21</v>
      </c>
      <c r="H3529" t="str">
        <f>"1018688"</f>
        <v>1018688</v>
      </c>
      <c r="I3529" t="str">
        <f>"COUPLING CONNECTIONS"</f>
        <v>COUPLING CONNECTIONS</v>
      </c>
    </row>
    <row r="3530" spans="1:9" x14ac:dyDescent="0.25">
      <c r="A3530" s="6">
        <v>43642</v>
      </c>
      <c r="B3530" t="s">
        <v>26</v>
      </c>
      <c r="C3530">
        <v>61233</v>
      </c>
      <c r="D3530" t="s">
        <v>59</v>
      </c>
      <c r="E3530" s="7">
        <v>2253.9699999999998</v>
      </c>
      <c r="F3530" t="s">
        <v>20</v>
      </c>
      <c r="G3530" t="s">
        <v>21</v>
      </c>
      <c r="H3530" t="str">
        <f>"1019267"</f>
        <v>1019267</v>
      </c>
      <c r="I3530" t="str">
        <f>"BOOTS"</f>
        <v>BOOTS</v>
      </c>
    </row>
    <row r="3531" spans="1:9" x14ac:dyDescent="0.25">
      <c r="A3531" s="6">
        <v>43642</v>
      </c>
      <c r="B3531" t="s">
        <v>26</v>
      </c>
      <c r="C3531">
        <v>61233</v>
      </c>
      <c r="D3531" t="s">
        <v>59</v>
      </c>
      <c r="E3531" s="7">
        <v>2253.9699999999998</v>
      </c>
      <c r="F3531" t="s">
        <v>20</v>
      </c>
      <c r="G3531" t="s">
        <v>21</v>
      </c>
      <c r="H3531" t="str">
        <f>"1020185"</f>
        <v>1020185</v>
      </c>
      <c r="I3531" t="str">
        <f>"EMERGENCY PURCHASE"</f>
        <v>EMERGENCY PURCHASE</v>
      </c>
    </row>
    <row r="3532" spans="1:9" x14ac:dyDescent="0.25">
      <c r="A3532" s="6">
        <v>43642</v>
      </c>
      <c r="B3532" t="s">
        <v>26</v>
      </c>
      <c r="C3532">
        <v>61233</v>
      </c>
      <c r="D3532" t="s">
        <v>59</v>
      </c>
      <c r="E3532" s="7">
        <v>2253.9699999999998</v>
      </c>
      <c r="F3532" t="s">
        <v>20</v>
      </c>
      <c r="G3532" t="s">
        <v>21</v>
      </c>
      <c r="H3532" t="str">
        <f>"1020454"</f>
        <v>1020454</v>
      </c>
      <c r="I3532" t="str">
        <f>"CHURCH PARKING LOT"</f>
        <v>CHURCH PARKING LOT</v>
      </c>
    </row>
    <row r="3533" spans="1:9" x14ac:dyDescent="0.25">
      <c r="A3533" s="6">
        <v>43642</v>
      </c>
      <c r="B3533" t="s">
        <v>26</v>
      </c>
      <c r="C3533">
        <v>61233</v>
      </c>
      <c r="D3533" t="s">
        <v>59</v>
      </c>
      <c r="E3533" s="7">
        <v>2253.9699999999998</v>
      </c>
      <c r="F3533" t="s">
        <v>20</v>
      </c>
      <c r="G3533" t="s">
        <v>21</v>
      </c>
      <c r="H3533" t="str">
        <f>"1020457"</f>
        <v>1020457</v>
      </c>
      <c r="I3533" t="str">
        <f>"CHURCH PARKING LOT"</f>
        <v>CHURCH PARKING LOT</v>
      </c>
    </row>
    <row r="3534" spans="1:9" x14ac:dyDescent="0.25">
      <c r="A3534" s="6">
        <v>43642</v>
      </c>
      <c r="B3534" t="s">
        <v>26</v>
      </c>
      <c r="C3534">
        <v>61233</v>
      </c>
      <c r="D3534" t="s">
        <v>59</v>
      </c>
      <c r="E3534" s="7">
        <v>2253.9699999999998</v>
      </c>
      <c r="F3534" t="s">
        <v>20</v>
      </c>
      <c r="G3534" t="s">
        <v>21</v>
      </c>
      <c r="H3534" t="str">
        <f>"1020588"</f>
        <v>1020588</v>
      </c>
      <c r="I3534" t="str">
        <f>"MATERIAL FOR WATER DEPT"</f>
        <v>MATERIAL FOR WATER DEPT</v>
      </c>
    </row>
    <row r="3535" spans="1:9" x14ac:dyDescent="0.25">
      <c r="A3535" s="6">
        <v>43642</v>
      </c>
      <c r="B3535" t="s">
        <v>26</v>
      </c>
      <c r="C3535">
        <v>61235</v>
      </c>
      <c r="D3535" t="s">
        <v>339</v>
      </c>
      <c r="E3535" s="7">
        <v>2064.46</v>
      </c>
      <c r="F3535" t="s">
        <v>20</v>
      </c>
      <c r="G3535" t="s">
        <v>21</v>
      </c>
      <c r="H3535" t="str">
        <f>"808814"</f>
        <v>808814</v>
      </c>
      <c r="I3535" t="str">
        <f>"EQUIPMENT FOR VEHICLE"</f>
        <v>EQUIPMENT FOR VEHICLE</v>
      </c>
    </row>
    <row r="3536" spans="1:9" x14ac:dyDescent="0.25">
      <c r="A3536" s="6">
        <v>43642</v>
      </c>
      <c r="B3536" t="s">
        <v>26</v>
      </c>
      <c r="C3536">
        <v>61235</v>
      </c>
      <c r="D3536" t="s">
        <v>339</v>
      </c>
      <c r="E3536" s="7">
        <v>2064.46</v>
      </c>
      <c r="F3536" t="s">
        <v>20</v>
      </c>
      <c r="G3536" t="s">
        <v>21</v>
      </c>
      <c r="H3536" t="str">
        <f>"809527"</f>
        <v>809527</v>
      </c>
      <c r="I3536" t="str">
        <f>"UNIFORMS"</f>
        <v>UNIFORMS</v>
      </c>
    </row>
    <row r="3537" spans="1:9" x14ac:dyDescent="0.25">
      <c r="A3537" s="6">
        <v>43642</v>
      </c>
      <c r="B3537" t="s">
        <v>26</v>
      </c>
      <c r="C3537">
        <v>61236</v>
      </c>
      <c r="D3537" t="s">
        <v>179</v>
      </c>
      <c r="E3537" s="7">
        <v>441.54</v>
      </c>
      <c r="F3537" t="s">
        <v>20</v>
      </c>
      <c r="G3537" t="s">
        <v>21</v>
      </c>
      <c r="H3537" t="str">
        <f>"997074"</f>
        <v>997074</v>
      </c>
      <c r="I3537" t="str">
        <f>"WW-UNIT 103- IDLE ISSUE"</f>
        <v>WW-UNIT 103- IDLE ISSUE</v>
      </c>
    </row>
    <row r="3538" spans="1:9" x14ac:dyDescent="0.25">
      <c r="A3538" s="6">
        <v>43642</v>
      </c>
      <c r="B3538" t="s">
        <v>26</v>
      </c>
      <c r="C3538">
        <v>61237</v>
      </c>
      <c r="D3538" t="s">
        <v>273</v>
      </c>
      <c r="E3538" s="7">
        <v>4145.6000000000004</v>
      </c>
      <c r="F3538" t="s">
        <v>20</v>
      </c>
      <c r="G3538" t="s">
        <v>21</v>
      </c>
      <c r="H3538" t="str">
        <f>"5119-000088953"</f>
        <v>5119-000088953</v>
      </c>
      <c r="I3538" t="str">
        <f>"REPUBLIC SERVICES TESSMAN ROAD"</f>
        <v>REPUBLIC SERVICES TESSMAN ROAD</v>
      </c>
    </row>
    <row r="3539" spans="1:9" x14ac:dyDescent="0.25">
      <c r="A3539" s="6">
        <v>43642</v>
      </c>
      <c r="B3539" t="s">
        <v>26</v>
      </c>
      <c r="C3539">
        <v>61238</v>
      </c>
      <c r="D3539" t="s">
        <v>439</v>
      </c>
      <c r="E3539" s="7">
        <v>795</v>
      </c>
      <c r="F3539" t="s">
        <v>20</v>
      </c>
      <c r="G3539" t="s">
        <v>21</v>
      </c>
      <c r="H3539" t="str">
        <f>"FREEDOM FEST 2019"</f>
        <v>FREEDOM FEST 2019</v>
      </c>
      <c r="I3539" t="str">
        <f>"JOHNNIE R. GOMEZ"</f>
        <v>JOHNNIE R. GOMEZ</v>
      </c>
    </row>
    <row r="3540" spans="1:9" x14ac:dyDescent="0.25">
      <c r="A3540" s="6">
        <v>43642</v>
      </c>
      <c r="B3540" t="s">
        <v>26</v>
      </c>
      <c r="C3540">
        <v>61239</v>
      </c>
      <c r="D3540" t="s">
        <v>107</v>
      </c>
      <c r="E3540" s="7">
        <v>171.09</v>
      </c>
      <c r="F3540" t="s">
        <v>20</v>
      </c>
      <c r="G3540" t="s">
        <v>21</v>
      </c>
      <c r="H3540" t="str">
        <f>"1166960-20190531"</f>
        <v>1166960-20190531</v>
      </c>
      <c r="I3540" t="str">
        <f>"LEXISNEXIS RISK SOLUTIONS"</f>
        <v>LEXISNEXIS RISK SOLUTIONS</v>
      </c>
    </row>
    <row r="3541" spans="1:9" x14ac:dyDescent="0.25">
      <c r="A3541" s="6">
        <v>43642</v>
      </c>
      <c r="B3541" t="s">
        <v>26</v>
      </c>
      <c r="C3541">
        <v>61240</v>
      </c>
      <c r="D3541" t="s">
        <v>180</v>
      </c>
      <c r="E3541" s="7">
        <v>83.44</v>
      </c>
      <c r="F3541" t="s">
        <v>20</v>
      </c>
      <c r="G3541" t="s">
        <v>21</v>
      </c>
      <c r="H3541" t="str">
        <f>"30134801"</f>
        <v>30134801</v>
      </c>
      <c r="I3541" t="str">
        <f>"THREAD"</f>
        <v>THREAD</v>
      </c>
    </row>
    <row r="3542" spans="1:9" x14ac:dyDescent="0.25">
      <c r="A3542" s="6">
        <v>43642</v>
      </c>
      <c r="B3542" t="s">
        <v>26</v>
      </c>
      <c r="C3542">
        <v>61240</v>
      </c>
      <c r="D3542" t="s">
        <v>180</v>
      </c>
      <c r="E3542" s="7">
        <v>83.44</v>
      </c>
      <c r="F3542" t="s">
        <v>20</v>
      </c>
      <c r="G3542" t="s">
        <v>21</v>
      </c>
      <c r="H3542" t="str">
        <f>"30134917"</f>
        <v>30134917</v>
      </c>
      <c r="I3542" t="str">
        <f>"COUPLINGS"</f>
        <v>COUPLINGS</v>
      </c>
    </row>
    <row r="3543" spans="1:9" x14ac:dyDescent="0.25">
      <c r="A3543" s="6">
        <v>43642</v>
      </c>
      <c r="B3543" t="s">
        <v>26</v>
      </c>
      <c r="C3543">
        <v>61240</v>
      </c>
      <c r="D3543" t="s">
        <v>180</v>
      </c>
      <c r="E3543" s="7">
        <v>83.44</v>
      </c>
      <c r="F3543" t="s">
        <v>20</v>
      </c>
      <c r="G3543" t="s">
        <v>21</v>
      </c>
      <c r="H3543" t="str">
        <f>"30135017"</f>
        <v>30135017</v>
      </c>
      <c r="I3543" t="str">
        <f>"DITTMAR LUMBER CO."</f>
        <v>DITTMAR LUMBER CO.</v>
      </c>
    </row>
    <row r="3544" spans="1:9" x14ac:dyDescent="0.25">
      <c r="A3544" s="6">
        <v>43642</v>
      </c>
      <c r="B3544" t="s">
        <v>26</v>
      </c>
      <c r="C3544">
        <v>61241</v>
      </c>
      <c r="D3544" t="s">
        <v>340</v>
      </c>
      <c r="E3544" s="7">
        <v>252.84</v>
      </c>
      <c r="F3544" t="s">
        <v>20</v>
      </c>
      <c r="G3544" t="s">
        <v>21</v>
      </c>
      <c r="H3544" t="str">
        <f>"1810-392000"</f>
        <v>1810-392000</v>
      </c>
      <c r="I3544" t="str">
        <f>"BATTERIES FOR P.D."</f>
        <v>BATTERIES FOR P.D.</v>
      </c>
    </row>
    <row r="3545" spans="1:9" x14ac:dyDescent="0.25">
      <c r="A3545" s="6">
        <v>43642</v>
      </c>
      <c r="B3545" t="s">
        <v>91</v>
      </c>
      <c r="C3545">
        <v>61242</v>
      </c>
      <c r="D3545" t="s">
        <v>731</v>
      </c>
      <c r="E3545" s="7">
        <v>50</v>
      </c>
      <c r="F3545" t="s">
        <v>20</v>
      </c>
      <c r="G3545" t="s">
        <v>21</v>
      </c>
      <c r="H3545" t="str">
        <f>"6/22/2019 REFUND"</f>
        <v>6/22/2019 REFUND</v>
      </c>
      <c r="I3545" t="str">
        <f>"REFUND"</f>
        <v>REFUND</v>
      </c>
    </row>
    <row r="3546" spans="1:9" x14ac:dyDescent="0.25">
      <c r="A3546" s="6">
        <v>43642</v>
      </c>
      <c r="B3546" t="s">
        <v>91</v>
      </c>
      <c r="C3546">
        <v>61242</v>
      </c>
      <c r="D3546" t="s">
        <v>732</v>
      </c>
      <c r="E3546" s="7">
        <v>50</v>
      </c>
      <c r="F3546" t="s">
        <v>20</v>
      </c>
      <c r="G3546" t="s">
        <v>93</v>
      </c>
      <c r="H3546" t="str">
        <f>"CHECK"</f>
        <v>CHECK</v>
      </c>
      <c r="I3546" t="str">
        <f>""</f>
        <v/>
      </c>
    </row>
    <row r="3547" spans="1:9" x14ac:dyDescent="0.25">
      <c r="A3547" s="6">
        <v>43642</v>
      </c>
      <c r="B3547" t="s">
        <v>26</v>
      </c>
      <c r="C3547">
        <v>61243</v>
      </c>
      <c r="D3547" t="s">
        <v>733</v>
      </c>
      <c r="E3547" s="7">
        <v>100</v>
      </c>
      <c r="F3547" t="s">
        <v>20</v>
      </c>
      <c r="G3547" t="s">
        <v>21</v>
      </c>
      <c r="H3547" t="str">
        <f>"DEPOSIT REFUND"</f>
        <v>DEPOSIT REFUND</v>
      </c>
      <c r="I3547" t="str">
        <f>"REFUND"</f>
        <v>REFUND</v>
      </c>
    </row>
    <row r="3548" spans="1:9" x14ac:dyDescent="0.25">
      <c r="A3548" s="6">
        <v>43642</v>
      </c>
      <c r="B3548" t="s">
        <v>26</v>
      </c>
      <c r="C3548">
        <v>61244</v>
      </c>
      <c r="D3548" t="s">
        <v>734</v>
      </c>
      <c r="E3548" s="7">
        <v>50</v>
      </c>
      <c r="F3548" t="s">
        <v>20</v>
      </c>
      <c r="G3548" t="s">
        <v>21</v>
      </c>
      <c r="H3548" t="str">
        <f>"REFUND 6/15/19"</f>
        <v>REFUND 6/15/19</v>
      </c>
      <c r="I3548" t="str">
        <f>"REFUND"</f>
        <v>REFUND</v>
      </c>
    </row>
    <row r="3549" spans="1:9" x14ac:dyDescent="0.25">
      <c r="A3549" s="6">
        <v>43642</v>
      </c>
      <c r="B3549" t="s">
        <v>91</v>
      </c>
      <c r="C3549">
        <v>61245</v>
      </c>
      <c r="D3549" t="s">
        <v>92</v>
      </c>
      <c r="E3549" s="7">
        <v>22191.63</v>
      </c>
      <c r="F3549" t="s">
        <v>20</v>
      </c>
      <c r="G3549" t="s">
        <v>21</v>
      </c>
      <c r="H3549" t="str">
        <f>"RET201906198526"</f>
        <v>RET201906198526</v>
      </c>
      <c r="I3549" t="str">
        <f>"TMRS CITY OF FLORESVILLE"</f>
        <v>TMRS CITY OF FLORESVILLE</v>
      </c>
    </row>
    <row r="3550" spans="1:9" x14ac:dyDescent="0.25">
      <c r="A3550" s="6">
        <v>43642</v>
      </c>
      <c r="B3550" t="s">
        <v>91</v>
      </c>
      <c r="C3550">
        <v>61245</v>
      </c>
      <c r="D3550" t="s">
        <v>92</v>
      </c>
      <c r="E3550" s="7">
        <v>22191.63</v>
      </c>
      <c r="F3550" t="s">
        <v>20</v>
      </c>
      <c r="G3550" t="s">
        <v>93</v>
      </c>
      <c r="H3550" t="str">
        <f>"CHECK"</f>
        <v>CHECK</v>
      </c>
      <c r="I3550" t="str">
        <f>""</f>
        <v/>
      </c>
    </row>
    <row r="3551" spans="1:9" x14ac:dyDescent="0.25">
      <c r="A3551" s="6">
        <v>43642</v>
      </c>
      <c r="B3551" t="s">
        <v>26</v>
      </c>
      <c r="C3551">
        <v>61247</v>
      </c>
      <c r="D3551" t="s">
        <v>167</v>
      </c>
      <c r="E3551" s="7">
        <v>389.74</v>
      </c>
      <c r="F3551" t="s">
        <v>20</v>
      </c>
      <c r="G3551" t="s">
        <v>21</v>
      </c>
      <c r="H3551" t="str">
        <f>"31791"</f>
        <v>31791</v>
      </c>
      <c r="I3551" t="str">
        <f>"CHECKS"</f>
        <v>CHECKS</v>
      </c>
    </row>
    <row r="3552" spans="1:9" x14ac:dyDescent="0.25">
      <c r="A3552" s="6">
        <v>43642</v>
      </c>
      <c r="B3552" t="s">
        <v>26</v>
      </c>
      <c r="C3552">
        <v>61248</v>
      </c>
      <c r="D3552" t="s">
        <v>184</v>
      </c>
      <c r="E3552" s="7">
        <v>980</v>
      </c>
      <c r="F3552" t="s">
        <v>20</v>
      </c>
      <c r="G3552" t="s">
        <v>21</v>
      </c>
      <c r="H3552" t="str">
        <f>"1055-076"</f>
        <v>1055-076</v>
      </c>
      <c r="I3552" t="str">
        <f>"POLLUTION CONTROL SERVICES"</f>
        <v>POLLUTION CONTROL SERVICES</v>
      </c>
    </row>
    <row r="3553" spans="1:9" x14ac:dyDescent="0.25">
      <c r="A3553" s="6">
        <v>43642</v>
      </c>
      <c r="B3553" t="s">
        <v>26</v>
      </c>
      <c r="C3553">
        <v>61248</v>
      </c>
      <c r="D3553" t="s">
        <v>184</v>
      </c>
      <c r="E3553" s="7">
        <v>980</v>
      </c>
      <c r="F3553" t="s">
        <v>20</v>
      </c>
      <c r="G3553" t="s">
        <v>21</v>
      </c>
      <c r="H3553" t="str">
        <f>"1055-077"</f>
        <v>1055-077</v>
      </c>
      <c r="I3553" t="str">
        <f>"POLLUTION CONTROL SERVICES"</f>
        <v>POLLUTION CONTROL SERVICES</v>
      </c>
    </row>
    <row r="3554" spans="1:9" x14ac:dyDescent="0.25">
      <c r="A3554" s="6">
        <v>43642</v>
      </c>
      <c r="B3554" t="s">
        <v>26</v>
      </c>
      <c r="C3554">
        <v>61249</v>
      </c>
      <c r="D3554" t="s">
        <v>115</v>
      </c>
      <c r="E3554" s="7">
        <v>471.57</v>
      </c>
      <c r="F3554" t="s">
        <v>20</v>
      </c>
      <c r="G3554" t="s">
        <v>21</v>
      </c>
      <c r="H3554" t="str">
        <f>"3547448637"</f>
        <v>3547448637</v>
      </c>
      <c r="I3554" t="str">
        <f>"PARTS FOR P.D. UNIT 307"</f>
        <v>PARTS FOR P.D. UNIT 307</v>
      </c>
    </row>
    <row r="3555" spans="1:9" x14ac:dyDescent="0.25">
      <c r="A3555" s="6">
        <v>43642</v>
      </c>
      <c r="B3555" t="s">
        <v>26</v>
      </c>
      <c r="C3555">
        <v>61249</v>
      </c>
      <c r="D3555" t="s">
        <v>115</v>
      </c>
      <c r="E3555" s="7">
        <v>471.57</v>
      </c>
      <c r="F3555" t="s">
        <v>20</v>
      </c>
      <c r="G3555" t="s">
        <v>21</v>
      </c>
      <c r="H3555" t="str">
        <f>"3547450649"</f>
        <v>3547450649</v>
      </c>
      <c r="I3555" t="str">
        <f>"VEHICLE REPAIR UNIT#204"</f>
        <v>VEHICLE REPAIR UNIT#204</v>
      </c>
    </row>
    <row r="3556" spans="1:9" x14ac:dyDescent="0.25">
      <c r="A3556" s="6">
        <v>43642</v>
      </c>
      <c r="B3556" t="s">
        <v>26</v>
      </c>
      <c r="C3556">
        <v>61250</v>
      </c>
      <c r="D3556" t="s">
        <v>63</v>
      </c>
      <c r="E3556" s="7">
        <v>1186.3</v>
      </c>
      <c r="F3556" t="s">
        <v>20</v>
      </c>
      <c r="G3556" t="s">
        <v>21</v>
      </c>
      <c r="H3556" t="str">
        <f>"8404178527"</f>
        <v>8404178527</v>
      </c>
      <c r="I3556" t="str">
        <f>"CINTAS CORPORATION"</f>
        <v>CINTAS CORPORATION</v>
      </c>
    </row>
    <row r="3557" spans="1:9" x14ac:dyDescent="0.25">
      <c r="A3557" s="6">
        <v>43642</v>
      </c>
      <c r="B3557" t="s">
        <v>26</v>
      </c>
      <c r="C3557">
        <v>61251</v>
      </c>
      <c r="D3557" t="s">
        <v>252</v>
      </c>
      <c r="E3557" s="7">
        <v>38684.519999999997</v>
      </c>
      <c r="F3557" t="s">
        <v>20</v>
      </c>
      <c r="G3557" t="s">
        <v>21</v>
      </c>
      <c r="H3557" t="str">
        <f>"PAY APP#6"</f>
        <v>PAY APP#6</v>
      </c>
      <c r="I3557" t="str">
        <f>"RAM II GENERAL CONTRACTOR INC."</f>
        <v>RAM II GENERAL CONTRACTOR INC.</v>
      </c>
    </row>
    <row r="3558" spans="1:9" x14ac:dyDescent="0.25">
      <c r="A3558" s="6">
        <v>43642</v>
      </c>
      <c r="B3558" t="s">
        <v>26</v>
      </c>
      <c r="C3558">
        <v>61252</v>
      </c>
      <c r="D3558" t="s">
        <v>117</v>
      </c>
      <c r="E3558" s="7">
        <v>1745.49</v>
      </c>
      <c r="F3558" t="s">
        <v>20</v>
      </c>
      <c r="G3558" t="s">
        <v>21</v>
      </c>
      <c r="H3558" t="str">
        <f>"MAY 2019"</f>
        <v>MAY 2019</v>
      </c>
      <c r="I3558" t="str">
        <f>"LINEBARGER GOGGAN BLAIR &amp; SAMP"</f>
        <v>LINEBARGER GOGGAN BLAIR &amp; SAMP</v>
      </c>
    </row>
    <row r="3559" spans="1:9" x14ac:dyDescent="0.25">
      <c r="A3559" s="6">
        <v>43642</v>
      </c>
      <c r="B3559" t="s">
        <v>26</v>
      </c>
      <c r="C3559">
        <v>61252</v>
      </c>
      <c r="D3559" t="s">
        <v>117</v>
      </c>
      <c r="E3559" s="7">
        <v>1745.49</v>
      </c>
      <c r="F3559" t="s">
        <v>20</v>
      </c>
      <c r="G3559" t="s">
        <v>21</v>
      </c>
      <c r="H3559" t="str">
        <f>"NOV 2018"</f>
        <v>NOV 2018</v>
      </c>
      <c r="I3559" t="str">
        <f>"LINEBARGER GOGGAN BLAIR &amp; SAMP"</f>
        <v>LINEBARGER GOGGAN BLAIR &amp; SAMP</v>
      </c>
    </row>
    <row r="3560" spans="1:9" x14ac:dyDescent="0.25">
      <c r="A3560" s="6">
        <v>43642</v>
      </c>
      <c r="B3560" t="s">
        <v>26</v>
      </c>
      <c r="C3560">
        <v>61253</v>
      </c>
      <c r="D3560" t="s">
        <v>66</v>
      </c>
      <c r="E3560" s="7">
        <v>780</v>
      </c>
      <c r="F3560" t="s">
        <v>20</v>
      </c>
      <c r="G3560" t="s">
        <v>21</v>
      </c>
      <c r="H3560" t="str">
        <f>"55465"</f>
        <v>55465</v>
      </c>
      <c r="I3560" t="str">
        <f>"LOPEZ EXTERMINATING SERVICE  I"</f>
        <v>LOPEZ EXTERMINATING SERVICE  I</v>
      </c>
    </row>
    <row r="3561" spans="1:9" x14ac:dyDescent="0.25">
      <c r="A3561" s="6">
        <v>43642</v>
      </c>
      <c r="B3561" t="s">
        <v>26</v>
      </c>
      <c r="C3561">
        <v>61253</v>
      </c>
      <c r="D3561" t="s">
        <v>66</v>
      </c>
      <c r="E3561" s="7">
        <v>780</v>
      </c>
      <c r="F3561" t="s">
        <v>20</v>
      </c>
      <c r="G3561" t="s">
        <v>21</v>
      </c>
      <c r="H3561" t="str">
        <f>"55598"</f>
        <v>55598</v>
      </c>
      <c r="I3561" t="str">
        <f>"LOPEZ EXTERMINATING SERVICE  I"</f>
        <v>LOPEZ EXTERMINATING SERVICE  I</v>
      </c>
    </row>
    <row r="3562" spans="1:9" x14ac:dyDescent="0.25">
      <c r="A3562" s="6">
        <v>43642</v>
      </c>
      <c r="B3562" t="s">
        <v>26</v>
      </c>
      <c r="C3562">
        <v>61254</v>
      </c>
      <c r="D3562" t="s">
        <v>469</v>
      </c>
      <c r="E3562" s="7">
        <v>230</v>
      </c>
      <c r="F3562" t="s">
        <v>20</v>
      </c>
      <c r="G3562" t="s">
        <v>21</v>
      </c>
      <c r="H3562" t="str">
        <f>"TX PD LEADERSHIP"</f>
        <v>TX PD LEADERSHIP</v>
      </c>
      <c r="I3562" t="str">
        <f>"TRAVEL/TRAINING/HOTEL"</f>
        <v>TRAVEL/TRAINING/HOTEL</v>
      </c>
    </row>
    <row r="3563" spans="1:9" x14ac:dyDescent="0.25">
      <c r="A3563" s="6">
        <v>43642</v>
      </c>
      <c r="B3563" t="s">
        <v>26</v>
      </c>
      <c r="C3563">
        <v>61255</v>
      </c>
      <c r="D3563" t="s">
        <v>120</v>
      </c>
      <c r="E3563" s="7">
        <v>1800.89</v>
      </c>
      <c r="F3563" t="s">
        <v>20</v>
      </c>
      <c r="G3563" t="s">
        <v>21</v>
      </c>
      <c r="H3563" t="str">
        <f>"71130113"</f>
        <v>71130113</v>
      </c>
      <c r="I3563" t="str">
        <f>"VERIZON BUSINESS"</f>
        <v>VERIZON BUSINESS</v>
      </c>
    </row>
    <row r="3564" spans="1:9" x14ac:dyDescent="0.25">
      <c r="A3564" s="6">
        <v>43642</v>
      </c>
      <c r="B3564" t="s">
        <v>26</v>
      </c>
      <c r="C3564">
        <v>61255</v>
      </c>
      <c r="D3564" t="s">
        <v>120</v>
      </c>
      <c r="E3564" s="7">
        <v>1800.89</v>
      </c>
      <c r="F3564" t="s">
        <v>20</v>
      </c>
      <c r="G3564" t="s">
        <v>21</v>
      </c>
      <c r="H3564" t="str">
        <f>"71135154"</f>
        <v>71135154</v>
      </c>
      <c r="I3564" t="str">
        <f>"VERIZON BUSINESS"</f>
        <v>VERIZON BUSINESS</v>
      </c>
    </row>
    <row r="3565" spans="1:9" x14ac:dyDescent="0.25">
      <c r="A3565" s="6">
        <v>43642</v>
      </c>
      <c r="B3565" t="s">
        <v>26</v>
      </c>
      <c r="C3565">
        <v>61256</v>
      </c>
      <c r="D3565" t="s">
        <v>419</v>
      </c>
      <c r="E3565" s="7">
        <v>280</v>
      </c>
      <c r="F3565" t="s">
        <v>20</v>
      </c>
      <c r="G3565" t="s">
        <v>21</v>
      </c>
      <c r="H3565" t="str">
        <f>"FREEDOM FEST 2019"</f>
        <v>FREEDOM FEST 2019</v>
      </c>
      <c r="I3565" t="str">
        <f>"GEORGE ORTIZ"</f>
        <v>GEORGE ORTIZ</v>
      </c>
    </row>
    <row r="3566" spans="1:9" x14ac:dyDescent="0.25">
      <c r="A3566" s="6">
        <v>43642</v>
      </c>
      <c r="B3566" t="s">
        <v>26</v>
      </c>
      <c r="C3566">
        <v>61257</v>
      </c>
      <c r="D3566" t="s">
        <v>69</v>
      </c>
      <c r="E3566" s="7">
        <v>211.07</v>
      </c>
      <c r="F3566" t="s">
        <v>20</v>
      </c>
      <c r="G3566" t="s">
        <v>21</v>
      </c>
      <c r="H3566" t="str">
        <f>"3399390"</f>
        <v>3399390</v>
      </c>
      <c r="I3566" t="str">
        <f>"PARTS FOR PARKS DEPT"</f>
        <v>PARTS FOR PARKS DEPT</v>
      </c>
    </row>
    <row r="3567" spans="1:9" x14ac:dyDescent="0.25">
      <c r="A3567" s="6">
        <v>43642</v>
      </c>
      <c r="B3567" t="s">
        <v>26</v>
      </c>
      <c r="C3567">
        <v>61258</v>
      </c>
      <c r="D3567" t="s">
        <v>29</v>
      </c>
      <c r="E3567" s="7">
        <v>16557.52</v>
      </c>
      <c r="F3567" t="s">
        <v>20</v>
      </c>
      <c r="G3567" t="s">
        <v>21</v>
      </c>
      <c r="H3567" t="str">
        <f>"34769"</f>
        <v>34769</v>
      </c>
      <c r="I3567" t="str">
        <f>"M &amp; S ENGINEERING  LLC"</f>
        <v>M &amp; S ENGINEERING  LLC</v>
      </c>
    </row>
    <row r="3568" spans="1:9" x14ac:dyDescent="0.25">
      <c r="A3568" s="6">
        <v>43642</v>
      </c>
      <c r="B3568" t="s">
        <v>26</v>
      </c>
      <c r="C3568">
        <v>61258</v>
      </c>
      <c r="D3568" t="s">
        <v>29</v>
      </c>
      <c r="E3568" s="7">
        <v>16557.52</v>
      </c>
      <c r="F3568" t="s">
        <v>20</v>
      </c>
      <c r="G3568" t="s">
        <v>21</v>
      </c>
      <c r="H3568" t="str">
        <f>"38176"</f>
        <v>38176</v>
      </c>
      <c r="I3568" t="str">
        <f>"M &amp; S ENGINEERING  LLC"</f>
        <v>M &amp; S ENGINEERING  LLC</v>
      </c>
    </row>
    <row r="3569" spans="1:9" x14ac:dyDescent="0.25">
      <c r="A3569" s="6">
        <v>43642</v>
      </c>
      <c r="B3569" t="s">
        <v>26</v>
      </c>
      <c r="C3569">
        <v>61259</v>
      </c>
      <c r="D3569" t="s">
        <v>71</v>
      </c>
      <c r="E3569" s="7">
        <v>55.33</v>
      </c>
      <c r="F3569" t="s">
        <v>20</v>
      </c>
      <c r="G3569" t="s">
        <v>21</v>
      </c>
      <c r="H3569" t="str">
        <f>"4024394770"</f>
        <v>4024394770</v>
      </c>
      <c r="I3569" t="str">
        <f>"CINTAS CORPORATION #087"</f>
        <v>CINTAS CORPORATION #087</v>
      </c>
    </row>
    <row r="3570" spans="1:9" x14ac:dyDescent="0.25">
      <c r="A3570" s="6">
        <v>43642</v>
      </c>
      <c r="B3570" t="s">
        <v>26</v>
      </c>
      <c r="C3570">
        <v>61260</v>
      </c>
      <c r="D3570" t="s">
        <v>205</v>
      </c>
      <c r="E3570" s="7">
        <v>1746.09</v>
      </c>
      <c r="F3570" t="s">
        <v>20</v>
      </c>
      <c r="G3570" t="s">
        <v>21</v>
      </c>
      <c r="H3570" t="str">
        <f>"FREEDOM FEST 2019"</f>
        <v>FREEDOM FEST 2019</v>
      </c>
      <c r="I3570" t="str">
        <f>"SILVER EAGLE DISTRIBUTORS"</f>
        <v>SILVER EAGLE DISTRIBUTORS</v>
      </c>
    </row>
    <row r="3571" spans="1:9" x14ac:dyDescent="0.25">
      <c r="A3571" s="6">
        <v>43642</v>
      </c>
      <c r="B3571" t="s">
        <v>26</v>
      </c>
      <c r="C3571">
        <v>61261</v>
      </c>
      <c r="D3571" t="s">
        <v>215</v>
      </c>
      <c r="E3571" s="7">
        <v>960</v>
      </c>
      <c r="F3571" t="s">
        <v>20</v>
      </c>
      <c r="G3571" t="s">
        <v>21</v>
      </c>
      <c r="H3571" t="str">
        <f>"594396"</f>
        <v>594396</v>
      </c>
      <c r="I3571" t="str">
        <f>"FIELD SERVICE"</f>
        <v>FIELD SERVICE</v>
      </c>
    </row>
    <row r="3572" spans="1:9" x14ac:dyDescent="0.25">
      <c r="A3572" s="6">
        <v>43642</v>
      </c>
      <c r="B3572" t="s">
        <v>26</v>
      </c>
      <c r="C3572">
        <v>61262</v>
      </c>
      <c r="D3572" t="s">
        <v>123</v>
      </c>
      <c r="E3572" s="7">
        <v>1268.96</v>
      </c>
      <c r="F3572" t="s">
        <v>20</v>
      </c>
      <c r="G3572" t="s">
        <v>21</v>
      </c>
      <c r="H3572" t="str">
        <f>"323203200001"</f>
        <v>323203200001</v>
      </c>
      <c r="I3572" t="str">
        <f>"OFFICE SUPPLIES"</f>
        <v>OFFICE SUPPLIES</v>
      </c>
    </row>
    <row r="3573" spans="1:9" x14ac:dyDescent="0.25">
      <c r="A3573" s="6">
        <v>43642</v>
      </c>
      <c r="B3573" t="s">
        <v>26</v>
      </c>
      <c r="C3573">
        <v>61262</v>
      </c>
      <c r="D3573" t="s">
        <v>123</v>
      </c>
      <c r="E3573" s="7">
        <v>1268.96</v>
      </c>
      <c r="F3573" t="s">
        <v>20</v>
      </c>
      <c r="G3573" t="s">
        <v>21</v>
      </c>
      <c r="H3573" t="str">
        <f>"327816877001"</f>
        <v>327816877001</v>
      </c>
      <c r="I3573" t="str">
        <f>"OFFICE SUPPLIES"</f>
        <v>OFFICE SUPPLIES</v>
      </c>
    </row>
    <row r="3574" spans="1:9" x14ac:dyDescent="0.25">
      <c r="A3574" s="6">
        <v>43642</v>
      </c>
      <c r="B3574" t="s">
        <v>26</v>
      </c>
      <c r="C3574">
        <v>61262</v>
      </c>
      <c r="D3574" t="s">
        <v>123</v>
      </c>
      <c r="E3574" s="7">
        <v>1268.96</v>
      </c>
      <c r="F3574" t="s">
        <v>20</v>
      </c>
      <c r="G3574" t="s">
        <v>21</v>
      </c>
      <c r="H3574" t="str">
        <f>"327845940001"</f>
        <v>327845940001</v>
      </c>
      <c r="I3574" t="str">
        <f>"OFFICE SUPPLIES"</f>
        <v>OFFICE SUPPLIES</v>
      </c>
    </row>
    <row r="3575" spans="1:9" x14ac:dyDescent="0.25">
      <c r="A3575" s="6">
        <v>43642</v>
      </c>
      <c r="B3575" t="s">
        <v>26</v>
      </c>
      <c r="C3575">
        <v>61262</v>
      </c>
      <c r="D3575" t="s">
        <v>123</v>
      </c>
      <c r="E3575" s="7">
        <v>1268.96</v>
      </c>
      <c r="F3575" t="s">
        <v>20</v>
      </c>
      <c r="G3575" t="s">
        <v>21</v>
      </c>
      <c r="H3575" t="str">
        <f>"327886952001"</f>
        <v>327886952001</v>
      </c>
      <c r="I3575" t="str">
        <f>"OFFICE DEPOT  INC."</f>
        <v>OFFICE DEPOT  INC.</v>
      </c>
    </row>
    <row r="3576" spans="1:9" x14ac:dyDescent="0.25">
      <c r="A3576" s="6">
        <v>43642</v>
      </c>
      <c r="B3576" t="s">
        <v>26</v>
      </c>
      <c r="C3576">
        <v>61262</v>
      </c>
      <c r="D3576" t="s">
        <v>123</v>
      </c>
      <c r="E3576" s="7">
        <v>1268.96</v>
      </c>
      <c r="F3576" t="s">
        <v>20</v>
      </c>
      <c r="G3576" t="s">
        <v>21</v>
      </c>
      <c r="H3576" t="str">
        <f>"327900482001"</f>
        <v>327900482001</v>
      </c>
      <c r="I3576" t="str">
        <f>"OFFICE DEPOT  INC."</f>
        <v>OFFICE DEPOT  INC.</v>
      </c>
    </row>
    <row r="3577" spans="1:9" x14ac:dyDescent="0.25">
      <c r="A3577" s="6">
        <v>43642</v>
      </c>
      <c r="B3577" t="s">
        <v>26</v>
      </c>
      <c r="C3577">
        <v>61262</v>
      </c>
      <c r="D3577" t="s">
        <v>123</v>
      </c>
      <c r="E3577" s="7">
        <v>1268.96</v>
      </c>
      <c r="F3577" t="s">
        <v>20</v>
      </c>
      <c r="G3577" t="s">
        <v>21</v>
      </c>
      <c r="H3577" t="str">
        <f>"327900483001"</f>
        <v>327900483001</v>
      </c>
      <c r="I3577" t="str">
        <f>"OFFICE DEPOT  INC."</f>
        <v>OFFICE DEPOT  INC.</v>
      </c>
    </row>
    <row r="3578" spans="1:9" x14ac:dyDescent="0.25">
      <c r="A3578" s="6">
        <v>43642</v>
      </c>
      <c r="B3578" t="s">
        <v>26</v>
      </c>
      <c r="C3578">
        <v>61262</v>
      </c>
      <c r="D3578" t="s">
        <v>123</v>
      </c>
      <c r="E3578" s="7">
        <v>1268.96</v>
      </c>
      <c r="F3578" t="s">
        <v>20</v>
      </c>
      <c r="G3578" t="s">
        <v>21</v>
      </c>
      <c r="H3578" t="str">
        <f>"328045310001"</f>
        <v>328045310001</v>
      </c>
      <c r="I3578" t="str">
        <f>"OFFICE SUPLLIES"</f>
        <v>OFFICE SUPLLIES</v>
      </c>
    </row>
    <row r="3579" spans="1:9" x14ac:dyDescent="0.25">
      <c r="A3579" s="6">
        <v>43642</v>
      </c>
      <c r="B3579" t="s">
        <v>26</v>
      </c>
      <c r="C3579">
        <v>61262</v>
      </c>
      <c r="D3579" t="s">
        <v>123</v>
      </c>
      <c r="E3579" s="7">
        <v>1268.96</v>
      </c>
      <c r="F3579" t="s">
        <v>20</v>
      </c>
      <c r="G3579" t="s">
        <v>21</v>
      </c>
      <c r="H3579" t="str">
        <f>"328279968001"</f>
        <v>328279968001</v>
      </c>
      <c r="I3579" t="str">
        <f>"OFFICE/JANITORAL SUPPLIES"</f>
        <v>OFFICE/JANITORAL SUPPLIES</v>
      </c>
    </row>
    <row r="3580" spans="1:9" x14ac:dyDescent="0.25">
      <c r="A3580" s="6">
        <v>43642</v>
      </c>
      <c r="B3580" t="s">
        <v>26</v>
      </c>
      <c r="C3580">
        <v>61265</v>
      </c>
      <c r="D3580" t="s">
        <v>137</v>
      </c>
      <c r="E3580" s="7">
        <v>121.9</v>
      </c>
      <c r="F3580" t="s">
        <v>20</v>
      </c>
      <c r="G3580" t="s">
        <v>21</v>
      </c>
      <c r="H3580" t="str">
        <f>"212"</f>
        <v>212</v>
      </c>
      <c r="I3580" t="str">
        <f>"OMNIBUS-M  INC.D.B.A."</f>
        <v>OMNIBUS-M  INC.D.B.A.</v>
      </c>
    </row>
    <row r="3581" spans="1:9" x14ac:dyDescent="0.25">
      <c r="A3581" s="6">
        <v>43642</v>
      </c>
      <c r="B3581" t="s">
        <v>26</v>
      </c>
      <c r="C3581">
        <v>61265</v>
      </c>
      <c r="D3581" t="s">
        <v>137</v>
      </c>
      <c r="E3581" s="7">
        <v>121.9</v>
      </c>
      <c r="F3581" t="s">
        <v>20</v>
      </c>
      <c r="G3581" t="s">
        <v>21</v>
      </c>
      <c r="H3581" t="str">
        <f>"213"</f>
        <v>213</v>
      </c>
      <c r="I3581" t="str">
        <f>"OMNIBUS-M  INC.D.B.A."</f>
        <v>OMNIBUS-M  INC.D.B.A.</v>
      </c>
    </row>
    <row r="3582" spans="1:9" x14ac:dyDescent="0.25">
      <c r="A3582" s="6">
        <v>43642</v>
      </c>
      <c r="B3582" t="s">
        <v>26</v>
      </c>
      <c r="C3582">
        <v>61266</v>
      </c>
      <c r="D3582" t="s">
        <v>77</v>
      </c>
      <c r="E3582" s="7">
        <v>3832.3</v>
      </c>
      <c r="F3582" t="s">
        <v>20</v>
      </c>
      <c r="G3582" t="s">
        <v>21</v>
      </c>
      <c r="H3582" t="str">
        <f>"85700005-19"</f>
        <v>85700005-19</v>
      </c>
      <c r="I3582" t="str">
        <f>"CHLORINE"</f>
        <v>CHLORINE</v>
      </c>
    </row>
    <row r="3583" spans="1:9" x14ac:dyDescent="0.25">
      <c r="A3583" s="6">
        <v>43642</v>
      </c>
      <c r="B3583" t="s">
        <v>26</v>
      </c>
      <c r="C3583">
        <v>61266</v>
      </c>
      <c r="D3583" t="s">
        <v>77</v>
      </c>
      <c r="E3583" s="7">
        <v>3832.3</v>
      </c>
      <c r="F3583" t="s">
        <v>20</v>
      </c>
      <c r="G3583" t="s">
        <v>21</v>
      </c>
      <c r="H3583" t="str">
        <f>"857000784-19*"</f>
        <v>857000784-19*</v>
      </c>
      <c r="I3583" t="str">
        <f>"DPC INDUSTRIES  INC."</f>
        <v>DPC INDUSTRIES  INC.</v>
      </c>
    </row>
    <row r="3584" spans="1:9" x14ac:dyDescent="0.25">
      <c r="A3584" s="6">
        <v>43642</v>
      </c>
      <c r="B3584" t="s">
        <v>26</v>
      </c>
      <c r="C3584">
        <v>61266</v>
      </c>
      <c r="D3584" t="s">
        <v>77</v>
      </c>
      <c r="E3584" s="7">
        <v>3832.3</v>
      </c>
      <c r="F3584" t="s">
        <v>20</v>
      </c>
      <c r="G3584" t="s">
        <v>21</v>
      </c>
      <c r="H3584" t="str">
        <f>"857001006-19"</f>
        <v>857001006-19</v>
      </c>
      <c r="I3584" t="str">
        <f>"CHLORINE"</f>
        <v>CHLORINE</v>
      </c>
    </row>
    <row r="3585" spans="1:9" x14ac:dyDescent="0.25">
      <c r="A3585" s="6">
        <v>43642</v>
      </c>
      <c r="B3585" t="s">
        <v>26</v>
      </c>
      <c r="C3585">
        <v>61266</v>
      </c>
      <c r="D3585" t="s">
        <v>77</v>
      </c>
      <c r="E3585" s="7">
        <v>3832.3</v>
      </c>
      <c r="F3585" t="s">
        <v>20</v>
      </c>
      <c r="G3585" t="s">
        <v>21</v>
      </c>
      <c r="H3585" t="str">
        <f>"857001036-19"</f>
        <v>857001036-19</v>
      </c>
      <c r="I3585" t="str">
        <f>"CHLORINE"</f>
        <v>CHLORINE</v>
      </c>
    </row>
    <row r="3586" spans="1:9" x14ac:dyDescent="0.25">
      <c r="A3586" s="6">
        <v>43642</v>
      </c>
      <c r="B3586" t="s">
        <v>26</v>
      </c>
      <c r="C3586">
        <v>61266</v>
      </c>
      <c r="D3586" t="s">
        <v>77</v>
      </c>
      <c r="E3586" s="7">
        <v>3832.3</v>
      </c>
      <c r="F3586" t="s">
        <v>20</v>
      </c>
      <c r="G3586" t="s">
        <v>21</v>
      </c>
      <c r="H3586" t="str">
        <f>"DE85001070-19"</f>
        <v>DE85001070-19</v>
      </c>
      <c r="I3586" t="str">
        <f>"DPC INDUSTRIES  INC."</f>
        <v>DPC INDUSTRIES  INC.</v>
      </c>
    </row>
    <row r="3587" spans="1:9" x14ac:dyDescent="0.25">
      <c r="A3587" s="6">
        <v>43642</v>
      </c>
      <c r="B3587" t="s">
        <v>26</v>
      </c>
      <c r="C3587">
        <v>61266</v>
      </c>
      <c r="D3587" t="s">
        <v>77</v>
      </c>
      <c r="E3587" s="7">
        <v>3832.3</v>
      </c>
      <c r="F3587" t="s">
        <v>20</v>
      </c>
      <c r="G3587" t="s">
        <v>21</v>
      </c>
      <c r="H3587" t="str">
        <f>"DE85001278-19"</f>
        <v>DE85001278-19</v>
      </c>
      <c r="I3587" t="str">
        <f>"DPC INDUSTRIES  INC."</f>
        <v>DPC INDUSTRIES  INC.</v>
      </c>
    </row>
    <row r="3588" spans="1:9" x14ac:dyDescent="0.25">
      <c r="A3588" s="6">
        <v>43642</v>
      </c>
      <c r="B3588" t="s">
        <v>26</v>
      </c>
      <c r="C3588">
        <v>61268</v>
      </c>
      <c r="D3588" t="s">
        <v>157</v>
      </c>
      <c r="E3588" s="7">
        <v>1210</v>
      </c>
      <c r="F3588" t="s">
        <v>20</v>
      </c>
      <c r="G3588" t="s">
        <v>21</v>
      </c>
      <c r="H3588" t="str">
        <f>"FREEDOM FEST 2019"</f>
        <v>FREEDOM FEST 2019</v>
      </c>
      <c r="I3588" t="str">
        <f>"GLAZIERS"</f>
        <v>GLAZIERS</v>
      </c>
    </row>
    <row r="3589" spans="1:9" x14ac:dyDescent="0.25">
      <c r="A3589" s="6">
        <v>43642</v>
      </c>
      <c r="B3589" t="s">
        <v>26</v>
      </c>
      <c r="C3589">
        <v>61269</v>
      </c>
      <c r="D3589" t="s">
        <v>79</v>
      </c>
      <c r="E3589" s="7">
        <v>6.25</v>
      </c>
      <c r="F3589" t="s">
        <v>20</v>
      </c>
      <c r="G3589" t="s">
        <v>21</v>
      </c>
      <c r="H3589" t="str">
        <f>"6-581-80448"</f>
        <v>6-581-80448</v>
      </c>
      <c r="I3589" t="str">
        <f>"FEDEX"</f>
        <v>FEDEX</v>
      </c>
    </row>
    <row r="3590" spans="1:9" x14ac:dyDescent="0.25">
      <c r="A3590" s="6">
        <v>43642</v>
      </c>
      <c r="B3590" t="s">
        <v>26</v>
      </c>
      <c r="C3590">
        <v>61270</v>
      </c>
      <c r="D3590" t="s">
        <v>335</v>
      </c>
      <c r="E3590" s="7">
        <v>630</v>
      </c>
      <c r="F3590" t="s">
        <v>20</v>
      </c>
      <c r="G3590" t="s">
        <v>21</v>
      </c>
      <c r="H3590" t="str">
        <f>"FREEDOM FEST 2019"</f>
        <v>FREEDOM FEST 2019</v>
      </c>
      <c r="I3590" t="str">
        <f>"DEVIN KEEN"</f>
        <v>DEVIN KEEN</v>
      </c>
    </row>
    <row r="3591" spans="1:9" x14ac:dyDescent="0.25">
      <c r="A3591" s="6">
        <v>43642</v>
      </c>
      <c r="B3591" t="s">
        <v>26</v>
      </c>
      <c r="C3591">
        <v>61271</v>
      </c>
      <c r="D3591" t="s">
        <v>129</v>
      </c>
      <c r="E3591" s="7">
        <v>359.47</v>
      </c>
      <c r="F3591" t="s">
        <v>20</v>
      </c>
      <c r="G3591" t="s">
        <v>21</v>
      </c>
      <c r="H3591" t="str">
        <f>"P50849"</f>
        <v>P50849</v>
      </c>
      <c r="I3591" t="str">
        <f>"CABLE"</f>
        <v>CABLE</v>
      </c>
    </row>
    <row r="3592" spans="1:9" x14ac:dyDescent="0.25">
      <c r="A3592" s="6">
        <v>43642</v>
      </c>
      <c r="B3592" t="s">
        <v>26</v>
      </c>
      <c r="C3592">
        <v>61271</v>
      </c>
      <c r="D3592" t="s">
        <v>129</v>
      </c>
      <c r="E3592" s="7">
        <v>359.47</v>
      </c>
      <c r="F3592" t="s">
        <v>20</v>
      </c>
      <c r="G3592" t="s">
        <v>21</v>
      </c>
      <c r="H3592" t="str">
        <f>"P51501"</f>
        <v>P51501</v>
      </c>
      <c r="I3592" t="str">
        <f>"PARTS FOR PARKS"</f>
        <v>PARTS FOR PARKS</v>
      </c>
    </row>
    <row r="3593" spans="1:9" x14ac:dyDescent="0.25">
      <c r="A3593" s="6">
        <v>43642</v>
      </c>
      <c r="B3593" t="s">
        <v>26</v>
      </c>
      <c r="C3593">
        <v>61272</v>
      </c>
      <c r="D3593" t="s">
        <v>130</v>
      </c>
      <c r="E3593" s="7">
        <v>4165</v>
      </c>
      <c r="F3593" t="s">
        <v>20</v>
      </c>
      <c r="G3593" t="s">
        <v>21</v>
      </c>
      <c r="H3593" t="str">
        <f>"INV653479"</f>
        <v>INV653479</v>
      </c>
      <c r="I3593" t="str">
        <f>"DOCUMATION"</f>
        <v>DOCUMATION</v>
      </c>
    </row>
    <row r="3594" spans="1:9" x14ac:dyDescent="0.25">
      <c r="A3594" s="6">
        <v>43642</v>
      </c>
      <c r="B3594" t="s">
        <v>26</v>
      </c>
      <c r="C3594">
        <v>61273</v>
      </c>
      <c r="D3594" t="s">
        <v>380</v>
      </c>
      <c r="E3594" s="7">
        <v>8887</v>
      </c>
      <c r="F3594" t="s">
        <v>20</v>
      </c>
      <c r="G3594" t="s">
        <v>21</v>
      </c>
      <c r="H3594" t="str">
        <f>"64404"</f>
        <v>64404</v>
      </c>
      <c r="I3594" t="str">
        <f>"ABIP CERTIFIED PUBLIC ACCOUNTA"</f>
        <v>ABIP CERTIFIED PUBLIC ACCOUNTA</v>
      </c>
    </row>
    <row r="3595" spans="1:9" x14ac:dyDescent="0.25">
      <c r="A3595" s="6">
        <v>43642</v>
      </c>
      <c r="B3595" t="s">
        <v>26</v>
      </c>
      <c r="C3595">
        <v>61274</v>
      </c>
      <c r="D3595" t="s">
        <v>131</v>
      </c>
      <c r="E3595" s="7">
        <v>570.87</v>
      </c>
      <c r="F3595" t="s">
        <v>20</v>
      </c>
      <c r="G3595" t="s">
        <v>21</v>
      </c>
      <c r="H3595" t="str">
        <f>"040859"</f>
        <v>040859</v>
      </c>
      <c r="I3595" t="str">
        <f>"HOSE"</f>
        <v>HOSE</v>
      </c>
    </row>
    <row r="3596" spans="1:9" x14ac:dyDescent="0.25">
      <c r="A3596" s="6">
        <v>43642</v>
      </c>
      <c r="B3596" t="s">
        <v>26</v>
      </c>
      <c r="C3596">
        <v>61274</v>
      </c>
      <c r="D3596" t="s">
        <v>131</v>
      </c>
      <c r="E3596" s="7">
        <v>570.87</v>
      </c>
      <c r="F3596" t="s">
        <v>20</v>
      </c>
      <c r="G3596" t="s">
        <v>21</v>
      </c>
      <c r="H3596" t="str">
        <f>"041176"</f>
        <v>041176</v>
      </c>
      <c r="I3596" t="str">
        <f>"TRUCK REPAIR FOR STREETS"</f>
        <v>TRUCK REPAIR FOR STREETS</v>
      </c>
    </row>
    <row r="3597" spans="1:9" x14ac:dyDescent="0.25">
      <c r="A3597" s="6">
        <v>43642</v>
      </c>
      <c r="B3597" t="s">
        <v>26</v>
      </c>
      <c r="C3597">
        <v>61275</v>
      </c>
      <c r="D3597" t="s">
        <v>85</v>
      </c>
      <c r="E3597" s="7">
        <v>1429.73</v>
      </c>
      <c r="F3597" t="s">
        <v>20</v>
      </c>
      <c r="G3597" t="s">
        <v>21</v>
      </c>
      <c r="H3597" t="str">
        <f>"8301970024 6/19"</f>
        <v>8301970024 6/19</v>
      </c>
      <c r="I3597" t="str">
        <f>"FRONTIER"</f>
        <v>FRONTIER</v>
      </c>
    </row>
    <row r="3598" spans="1:9" x14ac:dyDescent="0.25">
      <c r="A3598" s="6">
        <v>43642</v>
      </c>
      <c r="B3598" t="s">
        <v>26</v>
      </c>
      <c r="C3598">
        <v>61275</v>
      </c>
      <c r="D3598" t="s">
        <v>85</v>
      </c>
      <c r="E3598" s="7">
        <v>1429.73</v>
      </c>
      <c r="F3598" t="s">
        <v>20</v>
      </c>
      <c r="G3598" t="s">
        <v>21</v>
      </c>
      <c r="H3598" t="str">
        <f>"8303930579 6/19"</f>
        <v>8303930579 6/19</v>
      </c>
      <c r="I3598" t="str">
        <f>"FRONTIER"</f>
        <v>FRONTIER</v>
      </c>
    </row>
    <row r="3599" spans="1:9" x14ac:dyDescent="0.25">
      <c r="A3599" s="6">
        <v>43642</v>
      </c>
      <c r="B3599" t="s">
        <v>26</v>
      </c>
      <c r="C3599">
        <v>61275</v>
      </c>
      <c r="D3599" t="s">
        <v>85</v>
      </c>
      <c r="E3599" s="7">
        <v>1429.73</v>
      </c>
      <c r="F3599" t="s">
        <v>20</v>
      </c>
      <c r="G3599" t="s">
        <v>21</v>
      </c>
      <c r="H3599" t="str">
        <f>"8303933108 6/19"</f>
        <v>8303933108 6/19</v>
      </c>
      <c r="I3599" t="str">
        <f>"FRONTIER"</f>
        <v>FRONTIER</v>
      </c>
    </row>
    <row r="3600" spans="1:9" x14ac:dyDescent="0.25">
      <c r="A3600" s="6">
        <v>43642</v>
      </c>
      <c r="B3600" t="s">
        <v>26</v>
      </c>
      <c r="C3600">
        <v>61275</v>
      </c>
      <c r="D3600" t="s">
        <v>85</v>
      </c>
      <c r="E3600" s="7">
        <v>1429.73</v>
      </c>
      <c r="F3600" t="s">
        <v>20</v>
      </c>
      <c r="G3600" t="s">
        <v>21</v>
      </c>
      <c r="H3600" t="str">
        <f>"8303939791 6/19"</f>
        <v>8303939791 6/19</v>
      </c>
      <c r="I3600" t="str">
        <f>"FRONTIER"</f>
        <v>FRONTIER</v>
      </c>
    </row>
    <row r="3601" spans="1:9" x14ac:dyDescent="0.25">
      <c r="A3601" s="6">
        <v>43642</v>
      </c>
      <c r="B3601" t="s">
        <v>26</v>
      </c>
      <c r="C3601">
        <v>61276</v>
      </c>
      <c r="D3601" t="s">
        <v>194</v>
      </c>
      <c r="E3601" s="7">
        <v>201.3</v>
      </c>
      <c r="F3601" t="s">
        <v>20</v>
      </c>
      <c r="G3601" t="s">
        <v>21</v>
      </c>
      <c r="H3601" t="str">
        <f>"012778550"</f>
        <v>012778550</v>
      </c>
      <c r="I3601" t="str">
        <f>"GALLS  LLC-D.B.A. STERLING'S U"</f>
        <v>GALLS  LLC-D.B.A. STERLING'S U</v>
      </c>
    </row>
    <row r="3602" spans="1:9" x14ac:dyDescent="0.25">
      <c r="A3602" s="6">
        <v>43642</v>
      </c>
      <c r="B3602" t="s">
        <v>26</v>
      </c>
      <c r="C3602">
        <v>61277</v>
      </c>
      <c r="D3602" t="s">
        <v>175</v>
      </c>
      <c r="E3602" s="7">
        <v>500</v>
      </c>
      <c r="F3602" t="s">
        <v>20</v>
      </c>
      <c r="G3602" t="s">
        <v>21</v>
      </c>
      <c r="H3602" t="str">
        <f>"151662"</f>
        <v>151662</v>
      </c>
      <c r="I3602" t="str">
        <f>"AMER TECHNOLOGY  INC."</f>
        <v>AMER TECHNOLOGY  INC.</v>
      </c>
    </row>
    <row r="3603" spans="1:9" x14ac:dyDescent="0.25">
      <c r="A3603" s="6">
        <v>43642</v>
      </c>
      <c r="B3603" t="s">
        <v>26</v>
      </c>
      <c r="C3603">
        <v>61278</v>
      </c>
      <c r="D3603" t="s">
        <v>345</v>
      </c>
      <c r="E3603" s="7">
        <v>340</v>
      </c>
      <c r="F3603" t="s">
        <v>20</v>
      </c>
      <c r="G3603" t="s">
        <v>21</v>
      </c>
      <c r="H3603" t="str">
        <f>"6/24/19"</f>
        <v>6/24/19</v>
      </c>
      <c r="I3603" t="str">
        <f>"MICHAEL ISAAC MARTINEZ"</f>
        <v>MICHAEL ISAAC MARTINEZ</v>
      </c>
    </row>
    <row r="3604" spans="1:9" x14ac:dyDescent="0.25">
      <c r="A3604" s="6">
        <v>43642</v>
      </c>
      <c r="B3604" t="s">
        <v>26</v>
      </c>
      <c r="C3604">
        <v>61279</v>
      </c>
      <c r="D3604" t="s">
        <v>365</v>
      </c>
      <c r="E3604" s="7">
        <v>1075</v>
      </c>
      <c r="F3604" t="s">
        <v>20</v>
      </c>
      <c r="G3604" t="s">
        <v>21</v>
      </c>
      <c r="H3604" t="str">
        <f>"1902960"</f>
        <v>1902960</v>
      </c>
      <c r="I3604" t="str">
        <f>"KIDDIE EXPRESS TRAIN  LLC"</f>
        <v>KIDDIE EXPRESS TRAIN  LLC</v>
      </c>
    </row>
    <row r="3605" spans="1:9" x14ac:dyDescent="0.25">
      <c r="A3605" s="6">
        <v>43642</v>
      </c>
      <c r="B3605" t="s">
        <v>26</v>
      </c>
      <c r="C3605">
        <v>61280</v>
      </c>
      <c r="D3605" t="s">
        <v>441</v>
      </c>
      <c r="E3605" s="7">
        <v>1597.72</v>
      </c>
      <c r="F3605" t="s">
        <v>20</v>
      </c>
      <c r="G3605" t="s">
        <v>21</v>
      </c>
      <c r="H3605" t="str">
        <f>"FREEDOM FEST 2019"</f>
        <v>FREEDOM FEST 2019</v>
      </c>
      <c r="I3605" t="str">
        <f>"NATIONAL CONSTRUCTION RENTALS"</f>
        <v>NATIONAL CONSTRUCTION RENTALS</v>
      </c>
    </row>
    <row r="3606" spans="1:9" x14ac:dyDescent="0.25">
      <c r="A3606" s="6">
        <v>43642</v>
      </c>
      <c r="B3606" t="s">
        <v>26</v>
      </c>
      <c r="C3606">
        <v>61281</v>
      </c>
      <c r="D3606" t="s">
        <v>443</v>
      </c>
      <c r="E3606" s="7">
        <v>4116.67</v>
      </c>
      <c r="F3606" t="s">
        <v>20</v>
      </c>
      <c r="G3606" t="s">
        <v>21</v>
      </c>
      <c r="H3606" t="str">
        <f>"10573"</f>
        <v>10573</v>
      </c>
      <c r="I3606" t="str">
        <f>"RIOJAS TURF CARE  LLC"</f>
        <v>RIOJAS TURF CARE  LLC</v>
      </c>
    </row>
    <row r="3607" spans="1:9" x14ac:dyDescent="0.25">
      <c r="A3607" s="6">
        <v>43642</v>
      </c>
      <c r="B3607" t="s">
        <v>26</v>
      </c>
      <c r="C3607">
        <v>61282</v>
      </c>
      <c r="D3607" t="s">
        <v>446</v>
      </c>
      <c r="E3607" s="7">
        <v>840</v>
      </c>
      <c r="F3607" t="s">
        <v>20</v>
      </c>
      <c r="G3607" t="s">
        <v>21</v>
      </c>
      <c r="H3607" t="str">
        <f>"FREEDOM FEST 2019"</f>
        <v>FREEDOM FEST 2019</v>
      </c>
      <c r="I3607" t="str">
        <f>"ISAIAH BARRIENTEZ"</f>
        <v>ISAIAH BARRIENTEZ</v>
      </c>
    </row>
    <row r="3608" spans="1:9" x14ac:dyDescent="0.25">
      <c r="A3608" s="6">
        <v>43642</v>
      </c>
      <c r="B3608" t="s">
        <v>26</v>
      </c>
      <c r="C3608">
        <v>61283</v>
      </c>
      <c r="D3608" t="s">
        <v>450</v>
      </c>
      <c r="E3608" s="7">
        <v>1200</v>
      </c>
      <c r="F3608" t="s">
        <v>20</v>
      </c>
      <c r="G3608" t="s">
        <v>21</v>
      </c>
      <c r="H3608" t="str">
        <f>"06242019 FRDM FEST"</f>
        <v>06242019 FRDM FEST</v>
      </c>
      <c r="I3608" t="str">
        <f>"FOUR STAR ENTERTAINMENT"</f>
        <v>FOUR STAR ENTERTAINMENT</v>
      </c>
    </row>
    <row r="3609" spans="1:9" x14ac:dyDescent="0.25">
      <c r="A3609" s="6">
        <v>43642</v>
      </c>
      <c r="B3609" t="s">
        <v>91</v>
      </c>
      <c r="C3609">
        <v>61284</v>
      </c>
      <c r="D3609" t="s">
        <v>599</v>
      </c>
      <c r="E3609" s="7">
        <v>240327.16</v>
      </c>
      <c r="F3609" t="s">
        <v>20</v>
      </c>
      <c r="G3609" t="s">
        <v>21</v>
      </c>
      <c r="H3609" t="str">
        <f>"PAY APP #8"</f>
        <v>PAY APP #8</v>
      </c>
      <c r="I3609" t="str">
        <f>"METER INSTALL GROUP  LLC."</f>
        <v>METER INSTALL GROUP  LLC.</v>
      </c>
    </row>
    <row r="3610" spans="1:9" x14ac:dyDescent="0.25">
      <c r="A3610" s="6">
        <v>43642</v>
      </c>
      <c r="B3610" t="s">
        <v>91</v>
      </c>
      <c r="C3610">
        <v>61284</v>
      </c>
      <c r="D3610" t="s">
        <v>599</v>
      </c>
      <c r="E3610" s="7">
        <v>240327.16</v>
      </c>
      <c r="F3610" t="s">
        <v>20</v>
      </c>
      <c r="G3610" t="s">
        <v>93</v>
      </c>
      <c r="H3610" t="str">
        <f>"CHECK"</f>
        <v>CHECK</v>
      </c>
      <c r="I3610" t="str">
        <f>""</f>
        <v/>
      </c>
    </row>
    <row r="3611" spans="1:9" x14ac:dyDescent="0.25">
      <c r="A3611" s="6">
        <v>43642</v>
      </c>
      <c r="B3611" t="s">
        <v>26</v>
      </c>
      <c r="C3611">
        <v>61285</v>
      </c>
      <c r="D3611" t="s">
        <v>299</v>
      </c>
      <c r="E3611" s="7">
        <v>126.8</v>
      </c>
      <c r="F3611" t="s">
        <v>20</v>
      </c>
      <c r="G3611" t="s">
        <v>21</v>
      </c>
      <c r="H3611" t="str">
        <f>"BRIDAL EXT. 6/2019"</f>
        <v>BRIDAL EXT. 6/2019</v>
      </c>
      <c r="I3611" t="str">
        <f>"CHEZARE PEREZ"</f>
        <v>CHEZARE PEREZ</v>
      </c>
    </row>
    <row r="3612" spans="1:9" x14ac:dyDescent="0.25">
      <c r="A3612" s="6">
        <v>43642</v>
      </c>
      <c r="B3612" t="s">
        <v>26</v>
      </c>
      <c r="C3612">
        <v>61286</v>
      </c>
      <c r="D3612" t="s">
        <v>644</v>
      </c>
      <c r="E3612" s="7">
        <v>1254.3900000000001</v>
      </c>
      <c r="F3612" t="s">
        <v>20</v>
      </c>
      <c r="G3612" t="s">
        <v>21</v>
      </c>
      <c r="H3612" t="str">
        <f>"8213300833"</f>
        <v>8213300833</v>
      </c>
      <c r="I3612" t="str">
        <f t="shared" ref="I3612:I3622" si="67">"UNIFIRST CORPORATION"</f>
        <v>UNIFIRST CORPORATION</v>
      </c>
    </row>
    <row r="3613" spans="1:9" x14ac:dyDescent="0.25">
      <c r="A3613" s="6">
        <v>43642</v>
      </c>
      <c r="B3613" t="s">
        <v>26</v>
      </c>
      <c r="C3613">
        <v>61286</v>
      </c>
      <c r="D3613" t="s">
        <v>644</v>
      </c>
      <c r="E3613" s="7">
        <v>1254.3900000000001</v>
      </c>
      <c r="F3613" t="s">
        <v>20</v>
      </c>
      <c r="G3613" t="s">
        <v>21</v>
      </c>
      <c r="H3613" t="str">
        <f>"8213300834"</f>
        <v>8213300834</v>
      </c>
      <c r="I3613" t="str">
        <f t="shared" si="67"/>
        <v>UNIFIRST CORPORATION</v>
      </c>
    </row>
    <row r="3614" spans="1:9" x14ac:dyDescent="0.25">
      <c r="A3614" s="6">
        <v>43642</v>
      </c>
      <c r="B3614" t="s">
        <v>26</v>
      </c>
      <c r="C3614">
        <v>61286</v>
      </c>
      <c r="D3614" t="s">
        <v>644</v>
      </c>
      <c r="E3614" s="7">
        <v>1254.3900000000001</v>
      </c>
      <c r="F3614" t="s">
        <v>20</v>
      </c>
      <c r="G3614" t="s">
        <v>21</v>
      </c>
      <c r="H3614" t="str">
        <f>"8213300836"</f>
        <v>8213300836</v>
      </c>
      <c r="I3614" t="str">
        <f t="shared" si="67"/>
        <v>UNIFIRST CORPORATION</v>
      </c>
    </row>
    <row r="3615" spans="1:9" x14ac:dyDescent="0.25">
      <c r="A3615" s="6">
        <v>43642</v>
      </c>
      <c r="B3615" t="s">
        <v>26</v>
      </c>
      <c r="C3615">
        <v>61286</v>
      </c>
      <c r="D3615" t="s">
        <v>644</v>
      </c>
      <c r="E3615" s="7">
        <v>1254.3900000000001</v>
      </c>
      <c r="F3615" t="s">
        <v>20</v>
      </c>
      <c r="G3615" t="s">
        <v>21</v>
      </c>
      <c r="H3615" t="str">
        <f>"8213327636"</f>
        <v>8213327636</v>
      </c>
      <c r="I3615" t="str">
        <f t="shared" si="67"/>
        <v>UNIFIRST CORPORATION</v>
      </c>
    </row>
    <row r="3616" spans="1:9" x14ac:dyDescent="0.25">
      <c r="A3616" s="6">
        <v>43642</v>
      </c>
      <c r="B3616" t="s">
        <v>26</v>
      </c>
      <c r="C3616">
        <v>61286</v>
      </c>
      <c r="D3616" t="s">
        <v>644</v>
      </c>
      <c r="E3616" s="7">
        <v>1254.3900000000001</v>
      </c>
      <c r="F3616" t="s">
        <v>20</v>
      </c>
      <c r="G3616" t="s">
        <v>21</v>
      </c>
      <c r="H3616" t="str">
        <f>"8213327637"</f>
        <v>8213327637</v>
      </c>
      <c r="I3616" t="str">
        <f t="shared" si="67"/>
        <v>UNIFIRST CORPORATION</v>
      </c>
    </row>
    <row r="3617" spans="1:9" x14ac:dyDescent="0.25">
      <c r="A3617" s="6">
        <v>43642</v>
      </c>
      <c r="B3617" t="s">
        <v>26</v>
      </c>
      <c r="C3617">
        <v>61286</v>
      </c>
      <c r="D3617" t="s">
        <v>644</v>
      </c>
      <c r="E3617" s="7">
        <v>1254.3900000000001</v>
      </c>
      <c r="F3617" t="s">
        <v>20</v>
      </c>
      <c r="G3617" t="s">
        <v>21</v>
      </c>
      <c r="H3617" t="str">
        <f>"8213327638"</f>
        <v>8213327638</v>
      </c>
      <c r="I3617" t="str">
        <f t="shared" si="67"/>
        <v>UNIFIRST CORPORATION</v>
      </c>
    </row>
    <row r="3618" spans="1:9" x14ac:dyDescent="0.25">
      <c r="A3618" s="6">
        <v>43642</v>
      </c>
      <c r="B3618" t="s">
        <v>26</v>
      </c>
      <c r="C3618">
        <v>61286</v>
      </c>
      <c r="D3618" t="s">
        <v>644</v>
      </c>
      <c r="E3618" s="7">
        <v>1254.3900000000001</v>
      </c>
      <c r="F3618" t="s">
        <v>20</v>
      </c>
      <c r="G3618" t="s">
        <v>21</v>
      </c>
      <c r="H3618" t="str">
        <f>"8213327639"</f>
        <v>8213327639</v>
      </c>
      <c r="I3618" t="str">
        <f t="shared" si="67"/>
        <v>UNIFIRST CORPORATION</v>
      </c>
    </row>
    <row r="3619" spans="1:9" x14ac:dyDescent="0.25">
      <c r="A3619" s="6">
        <v>43642</v>
      </c>
      <c r="B3619" t="s">
        <v>26</v>
      </c>
      <c r="C3619">
        <v>61286</v>
      </c>
      <c r="D3619" t="s">
        <v>644</v>
      </c>
      <c r="E3619" s="7">
        <v>1254.3900000000001</v>
      </c>
      <c r="F3619" t="s">
        <v>20</v>
      </c>
      <c r="G3619" t="s">
        <v>21</v>
      </c>
      <c r="H3619" t="str">
        <f>"8213327640"</f>
        <v>8213327640</v>
      </c>
      <c r="I3619" t="str">
        <f t="shared" si="67"/>
        <v>UNIFIRST CORPORATION</v>
      </c>
    </row>
    <row r="3620" spans="1:9" x14ac:dyDescent="0.25">
      <c r="A3620" s="6">
        <v>43642</v>
      </c>
      <c r="B3620" t="s">
        <v>26</v>
      </c>
      <c r="C3620">
        <v>61286</v>
      </c>
      <c r="D3620" t="s">
        <v>644</v>
      </c>
      <c r="E3620" s="7">
        <v>1254.3900000000001</v>
      </c>
      <c r="F3620" t="s">
        <v>20</v>
      </c>
      <c r="G3620" t="s">
        <v>21</v>
      </c>
      <c r="H3620" t="str">
        <f>"8213327641"</f>
        <v>8213327641</v>
      </c>
      <c r="I3620" t="str">
        <f t="shared" si="67"/>
        <v>UNIFIRST CORPORATION</v>
      </c>
    </row>
    <row r="3621" spans="1:9" x14ac:dyDescent="0.25">
      <c r="A3621" s="6">
        <v>43642</v>
      </c>
      <c r="B3621" t="s">
        <v>26</v>
      </c>
      <c r="C3621">
        <v>61286</v>
      </c>
      <c r="D3621" t="s">
        <v>644</v>
      </c>
      <c r="E3621" s="7">
        <v>1254.3900000000001</v>
      </c>
      <c r="F3621" t="s">
        <v>20</v>
      </c>
      <c r="G3621" t="s">
        <v>21</v>
      </c>
      <c r="H3621" t="str">
        <f>"8213327642"</f>
        <v>8213327642</v>
      </c>
      <c r="I3621" t="str">
        <f t="shared" si="67"/>
        <v>UNIFIRST CORPORATION</v>
      </c>
    </row>
    <row r="3622" spans="1:9" x14ac:dyDescent="0.25">
      <c r="A3622" s="6">
        <v>43642</v>
      </c>
      <c r="B3622" t="s">
        <v>26</v>
      </c>
      <c r="C3622">
        <v>61286</v>
      </c>
      <c r="D3622" t="s">
        <v>644</v>
      </c>
      <c r="E3622" s="7">
        <v>1254.3900000000001</v>
      </c>
      <c r="F3622" t="s">
        <v>20</v>
      </c>
      <c r="G3622" t="s">
        <v>21</v>
      </c>
      <c r="H3622" t="str">
        <f>"8213330294"</f>
        <v>8213330294</v>
      </c>
      <c r="I3622" t="str">
        <f t="shared" si="67"/>
        <v>UNIFIRST CORPORATION</v>
      </c>
    </row>
    <row r="3623" spans="1:9" x14ac:dyDescent="0.25">
      <c r="A3623" s="6">
        <v>43642</v>
      </c>
      <c r="B3623" t="s">
        <v>26</v>
      </c>
      <c r="C3623">
        <v>61288</v>
      </c>
      <c r="D3623" t="s">
        <v>675</v>
      </c>
      <c r="E3623" s="7">
        <v>133.6</v>
      </c>
      <c r="F3623" t="s">
        <v>20</v>
      </c>
      <c r="G3623" t="s">
        <v>21</v>
      </c>
      <c r="H3623" t="str">
        <f>"09398"</f>
        <v>09398</v>
      </c>
      <c r="I3623" t="str">
        <f>"RED ROSE PLUMBING  INC."</f>
        <v>RED ROSE PLUMBING  INC.</v>
      </c>
    </row>
    <row r="3624" spans="1:9" x14ac:dyDescent="0.25">
      <c r="A3624" s="6">
        <v>43642</v>
      </c>
      <c r="B3624" t="s">
        <v>26</v>
      </c>
      <c r="C3624">
        <v>61289</v>
      </c>
      <c r="D3624" t="s">
        <v>696</v>
      </c>
      <c r="E3624" s="7">
        <v>70</v>
      </c>
      <c r="F3624" t="s">
        <v>20</v>
      </c>
      <c r="G3624" t="s">
        <v>21</v>
      </c>
      <c r="H3624" t="str">
        <f>"6/22/19"</f>
        <v>6/22/19</v>
      </c>
      <c r="I3624" t="str">
        <f>"ANGEL G. ROSAS"</f>
        <v>ANGEL G. ROSAS</v>
      </c>
    </row>
    <row r="3625" spans="1:9" x14ac:dyDescent="0.25">
      <c r="A3625" s="6">
        <v>43642</v>
      </c>
      <c r="B3625" t="s">
        <v>26</v>
      </c>
      <c r="C3625">
        <v>61290</v>
      </c>
      <c r="D3625" t="s">
        <v>716</v>
      </c>
      <c r="E3625" s="7">
        <v>340</v>
      </c>
      <c r="F3625" t="s">
        <v>20</v>
      </c>
      <c r="G3625" t="s">
        <v>21</v>
      </c>
      <c r="H3625" t="str">
        <f>"6/24/2019"</f>
        <v>6/24/2019</v>
      </c>
      <c r="I3625" t="str">
        <f>"ALFREDO SENDEJO"</f>
        <v>ALFREDO SENDEJO</v>
      </c>
    </row>
    <row r="3626" spans="1:9" x14ac:dyDescent="0.25">
      <c r="A3626" s="6">
        <v>43642</v>
      </c>
      <c r="B3626" t="s">
        <v>26</v>
      </c>
      <c r="C3626">
        <v>61291</v>
      </c>
      <c r="D3626" t="s">
        <v>720</v>
      </c>
      <c r="E3626" s="7">
        <v>4550</v>
      </c>
      <c r="F3626" t="s">
        <v>20</v>
      </c>
      <c r="G3626" t="s">
        <v>21</v>
      </c>
      <c r="H3626" t="str">
        <f>"201905A*  2ND PYMT"</f>
        <v>201905A*  2ND PYMT</v>
      </c>
      <c r="I3626" t="str">
        <f>"PIRATE FIREWORKS  LLC"</f>
        <v>PIRATE FIREWORKS  LLC</v>
      </c>
    </row>
    <row r="3627" spans="1:9" x14ac:dyDescent="0.25">
      <c r="A3627" s="6">
        <v>43642</v>
      </c>
      <c r="B3627" t="s">
        <v>26</v>
      </c>
      <c r="C3627">
        <v>61292</v>
      </c>
      <c r="D3627" t="s">
        <v>735</v>
      </c>
      <c r="E3627" s="7">
        <v>70</v>
      </c>
      <c r="F3627" t="s">
        <v>20</v>
      </c>
      <c r="G3627" t="s">
        <v>21</v>
      </c>
      <c r="H3627" t="str">
        <f>"6/22/19"</f>
        <v>6/22/19</v>
      </c>
      <c r="I3627" t="str">
        <f>"FATIMA ARELLANO"</f>
        <v>FATIMA ARELLANO</v>
      </c>
    </row>
    <row r="3628" spans="1:9" x14ac:dyDescent="0.25">
      <c r="A3628" s="6">
        <v>43642</v>
      </c>
      <c r="B3628" t="s">
        <v>26</v>
      </c>
      <c r="C3628">
        <v>61293</v>
      </c>
      <c r="D3628" t="s">
        <v>736</v>
      </c>
      <c r="E3628" s="7">
        <v>280</v>
      </c>
      <c r="F3628" t="s">
        <v>20</v>
      </c>
      <c r="G3628" t="s">
        <v>21</v>
      </c>
      <c r="H3628" t="str">
        <f>"FREEDOM FEST 2019"</f>
        <v>FREEDOM FEST 2019</v>
      </c>
      <c r="I3628" t="str">
        <f>"BRIAN ZUNIGA"</f>
        <v>BRIAN ZUNIGA</v>
      </c>
    </row>
    <row r="3629" spans="1:9" x14ac:dyDescent="0.25">
      <c r="A3629" s="6">
        <v>43642</v>
      </c>
      <c r="B3629" t="s">
        <v>26</v>
      </c>
      <c r="C3629">
        <v>61294</v>
      </c>
      <c r="D3629" t="s">
        <v>737</v>
      </c>
      <c r="E3629" s="7">
        <v>490</v>
      </c>
      <c r="F3629" t="s">
        <v>20</v>
      </c>
      <c r="G3629" t="s">
        <v>21</v>
      </c>
      <c r="H3629" t="str">
        <f>"FREEDOM FEST 2019"</f>
        <v>FREEDOM FEST 2019</v>
      </c>
      <c r="I3629" t="str">
        <f>"REUBEN GARCIA"</f>
        <v>REUBEN GARCIA</v>
      </c>
    </row>
    <row r="3630" spans="1:9" x14ac:dyDescent="0.25">
      <c r="A3630" s="6">
        <v>43642</v>
      </c>
      <c r="B3630" t="s">
        <v>26</v>
      </c>
      <c r="C3630">
        <v>61295</v>
      </c>
      <c r="D3630" t="s">
        <v>738</v>
      </c>
      <c r="E3630" s="7">
        <v>490</v>
      </c>
      <c r="F3630" t="s">
        <v>20</v>
      </c>
      <c r="G3630" t="s">
        <v>21</v>
      </c>
      <c r="H3630" t="str">
        <f>"FREEDOM FEST 2019"</f>
        <v>FREEDOM FEST 2019</v>
      </c>
      <c r="I3630" t="str">
        <f>"PATRICIO BARRERA HERNANDEZ"</f>
        <v>PATRICIO BARRERA HERNANDEZ</v>
      </c>
    </row>
    <row r="3631" spans="1:9" x14ac:dyDescent="0.25">
      <c r="A3631" s="6">
        <v>43642</v>
      </c>
      <c r="B3631" t="s">
        <v>26</v>
      </c>
      <c r="C3631">
        <v>61296</v>
      </c>
      <c r="D3631" t="s">
        <v>739</v>
      </c>
      <c r="E3631" s="7">
        <v>283.99</v>
      </c>
      <c r="F3631" t="s">
        <v>20</v>
      </c>
      <c r="G3631" t="s">
        <v>21</v>
      </c>
      <c r="H3631" t="str">
        <f>"201906268528"</f>
        <v>201906268528</v>
      </c>
      <c r="I3631" t="str">
        <f>"FIRSTNET/AT&amp;T MOBILITY LLC"</f>
        <v>FIRSTNET/AT&amp;T MOBILITY LLC</v>
      </c>
    </row>
    <row r="3632" spans="1:9" x14ac:dyDescent="0.25">
      <c r="A3632" s="6">
        <v>43643</v>
      </c>
      <c r="B3632" t="s">
        <v>26</v>
      </c>
      <c r="C3632">
        <v>61297</v>
      </c>
      <c r="D3632" t="s">
        <v>731</v>
      </c>
      <c r="E3632" s="7">
        <v>50</v>
      </c>
      <c r="F3632" t="s">
        <v>20</v>
      </c>
      <c r="G3632" t="s">
        <v>21</v>
      </c>
      <c r="H3632" t="str">
        <f>"REFUND 6/22/19"</f>
        <v>REFUND 6/22/19</v>
      </c>
      <c r="I3632" t="str">
        <f>"REFUND"</f>
        <v>REFUND</v>
      </c>
    </row>
    <row r="3633" spans="1:9" x14ac:dyDescent="0.25">
      <c r="A3633" s="6">
        <v>43643</v>
      </c>
      <c r="B3633" t="s">
        <v>26</v>
      </c>
      <c r="C3633">
        <v>61298</v>
      </c>
      <c r="D3633" t="s">
        <v>204</v>
      </c>
      <c r="E3633" s="7">
        <v>155</v>
      </c>
      <c r="F3633" t="s">
        <v>20</v>
      </c>
      <c r="G3633" t="s">
        <v>21</v>
      </c>
      <c r="H3633" t="str">
        <f>"003221"</f>
        <v>003221</v>
      </c>
      <c r="I3633" t="str">
        <f>"PROCESS CONTROL CALIBRATION"</f>
        <v>PROCESS CONTROL CALIBRATION</v>
      </c>
    </row>
    <row r="3634" spans="1:9" x14ac:dyDescent="0.25">
      <c r="A3634" s="6">
        <v>43643</v>
      </c>
      <c r="B3634" t="s">
        <v>26</v>
      </c>
      <c r="C3634">
        <v>61299</v>
      </c>
      <c r="D3634" t="s">
        <v>71</v>
      </c>
      <c r="E3634" s="7">
        <v>743.19</v>
      </c>
      <c r="F3634" t="s">
        <v>20</v>
      </c>
      <c r="G3634" t="s">
        <v>21</v>
      </c>
      <c r="H3634" t="str">
        <f>"4013956888"</f>
        <v>4013956888</v>
      </c>
      <c r="I3634" t="str">
        <f t="shared" ref="I3634:I3639" si="68">"CINTAS CORPORATION #087"</f>
        <v>CINTAS CORPORATION #087</v>
      </c>
    </row>
    <row r="3635" spans="1:9" x14ac:dyDescent="0.25">
      <c r="A3635" s="6">
        <v>43643</v>
      </c>
      <c r="B3635" t="s">
        <v>26</v>
      </c>
      <c r="C3635">
        <v>61299</v>
      </c>
      <c r="D3635" t="s">
        <v>71</v>
      </c>
      <c r="E3635" s="7">
        <v>743.19</v>
      </c>
      <c r="F3635" t="s">
        <v>20</v>
      </c>
      <c r="G3635" t="s">
        <v>21</v>
      </c>
      <c r="H3635" t="str">
        <f>"4014607647"</f>
        <v>4014607647</v>
      </c>
      <c r="I3635" t="str">
        <f t="shared" si="68"/>
        <v>CINTAS CORPORATION #087</v>
      </c>
    </row>
    <row r="3636" spans="1:9" x14ac:dyDescent="0.25">
      <c r="A3636" s="6">
        <v>43643</v>
      </c>
      <c r="B3636" t="s">
        <v>26</v>
      </c>
      <c r="C3636">
        <v>61299</v>
      </c>
      <c r="D3636" t="s">
        <v>71</v>
      </c>
      <c r="E3636" s="7">
        <v>743.19</v>
      </c>
      <c r="F3636" t="s">
        <v>20</v>
      </c>
      <c r="G3636" t="s">
        <v>21</v>
      </c>
      <c r="H3636" t="str">
        <f>"4016362414"</f>
        <v>4016362414</v>
      </c>
      <c r="I3636" t="str">
        <f t="shared" si="68"/>
        <v>CINTAS CORPORATION #087</v>
      </c>
    </row>
    <row r="3637" spans="1:9" x14ac:dyDescent="0.25">
      <c r="A3637" s="6">
        <v>43643</v>
      </c>
      <c r="B3637" t="s">
        <v>26</v>
      </c>
      <c r="C3637">
        <v>61299</v>
      </c>
      <c r="D3637" t="s">
        <v>71</v>
      </c>
      <c r="E3637" s="7">
        <v>743.19</v>
      </c>
      <c r="F3637" t="s">
        <v>20</v>
      </c>
      <c r="G3637" t="s">
        <v>21</v>
      </c>
      <c r="H3637" t="str">
        <f>"4017109196"</f>
        <v>4017109196</v>
      </c>
      <c r="I3637" t="str">
        <f t="shared" si="68"/>
        <v>CINTAS CORPORATION #087</v>
      </c>
    </row>
    <row r="3638" spans="1:9" x14ac:dyDescent="0.25">
      <c r="A3638" s="6">
        <v>43643</v>
      </c>
      <c r="B3638" t="s">
        <v>26</v>
      </c>
      <c r="C3638">
        <v>61299</v>
      </c>
      <c r="D3638" t="s">
        <v>71</v>
      </c>
      <c r="E3638" s="7">
        <v>743.19</v>
      </c>
      <c r="F3638" t="s">
        <v>20</v>
      </c>
      <c r="G3638" t="s">
        <v>21</v>
      </c>
      <c r="H3638" t="str">
        <f>"4017927345"</f>
        <v>4017927345</v>
      </c>
      <c r="I3638" t="str">
        <f t="shared" si="68"/>
        <v>CINTAS CORPORATION #087</v>
      </c>
    </row>
    <row r="3639" spans="1:9" x14ac:dyDescent="0.25">
      <c r="A3639" s="6">
        <v>43643</v>
      </c>
      <c r="B3639" t="s">
        <v>26</v>
      </c>
      <c r="C3639">
        <v>61299</v>
      </c>
      <c r="D3639" t="s">
        <v>71</v>
      </c>
      <c r="E3639" s="7">
        <v>743.19</v>
      </c>
      <c r="F3639" t="s">
        <v>20</v>
      </c>
      <c r="G3639" t="s">
        <v>21</v>
      </c>
      <c r="H3639" t="str">
        <f>"4019535785"</f>
        <v>4019535785</v>
      </c>
      <c r="I3639" t="str">
        <f t="shared" si="68"/>
        <v>CINTAS CORPORATION #087</v>
      </c>
    </row>
    <row r="3640" spans="1:9" x14ac:dyDescent="0.25">
      <c r="A3640" s="6">
        <v>43643</v>
      </c>
      <c r="B3640" t="s">
        <v>26</v>
      </c>
      <c r="C3640">
        <v>61300</v>
      </c>
      <c r="D3640" t="s">
        <v>85</v>
      </c>
      <c r="E3640" s="7">
        <v>1686.07</v>
      </c>
      <c r="F3640" t="s">
        <v>20</v>
      </c>
      <c r="G3640" t="s">
        <v>21</v>
      </c>
      <c r="H3640" t="str">
        <f>"8301970021 6/19"</f>
        <v>8301970021 6/19</v>
      </c>
      <c r="I3640" t="str">
        <f>"FRONTIER"</f>
        <v>FRONTIER</v>
      </c>
    </row>
    <row r="3641" spans="1:9" x14ac:dyDescent="0.25">
      <c r="A3641" s="6">
        <v>43643</v>
      </c>
      <c r="B3641" t="s">
        <v>26</v>
      </c>
      <c r="C3641">
        <v>61300</v>
      </c>
      <c r="D3641" t="s">
        <v>85</v>
      </c>
      <c r="E3641" s="7">
        <v>1686.07</v>
      </c>
      <c r="F3641" t="s">
        <v>20</v>
      </c>
      <c r="G3641" t="s">
        <v>21</v>
      </c>
      <c r="H3641" t="str">
        <f>"8303934055 6/19"</f>
        <v>8303934055 6/19</v>
      </c>
      <c r="I3641" t="str">
        <f>"FRONTIER"</f>
        <v>FRONTIER</v>
      </c>
    </row>
    <row r="3642" spans="1:9" x14ac:dyDescent="0.25">
      <c r="A3642" s="6">
        <v>43643</v>
      </c>
      <c r="B3642" t="s">
        <v>91</v>
      </c>
      <c r="C3642">
        <v>61301</v>
      </c>
      <c r="D3642" t="s">
        <v>299</v>
      </c>
      <c r="E3642" s="7">
        <v>126.8</v>
      </c>
      <c r="F3642" t="s">
        <v>20</v>
      </c>
      <c r="G3642" t="s">
        <v>21</v>
      </c>
      <c r="H3642" t="str">
        <f>"BRIDAL EXT 6/22/19"</f>
        <v>BRIDAL EXT 6/22/19</v>
      </c>
      <c r="I3642" t="str">
        <f>"CHEZARE PEREZ"</f>
        <v>CHEZARE PEREZ</v>
      </c>
    </row>
    <row r="3643" spans="1:9" x14ac:dyDescent="0.25">
      <c r="A3643" s="6">
        <v>43643</v>
      </c>
      <c r="B3643" t="s">
        <v>91</v>
      </c>
      <c r="C3643">
        <v>61301</v>
      </c>
      <c r="D3643" t="s">
        <v>299</v>
      </c>
      <c r="E3643" s="7">
        <v>126.8</v>
      </c>
      <c r="F3643" t="s">
        <v>20</v>
      </c>
      <c r="G3643" t="s">
        <v>93</v>
      </c>
      <c r="H3643" t="str">
        <f>"CHECK"</f>
        <v>CHECK</v>
      </c>
      <c r="I3643" t="str">
        <f>""</f>
        <v/>
      </c>
    </row>
    <row r="3644" spans="1:9" x14ac:dyDescent="0.25">
      <c r="A3644" s="6">
        <v>43643</v>
      </c>
      <c r="B3644" t="s">
        <v>26</v>
      </c>
      <c r="C3644">
        <v>61302</v>
      </c>
      <c r="D3644" t="s">
        <v>717</v>
      </c>
      <c r="E3644" s="7">
        <v>7500</v>
      </c>
      <c r="F3644" t="s">
        <v>20</v>
      </c>
      <c r="G3644" t="s">
        <v>21</v>
      </c>
      <c r="H3644" t="str">
        <f>"FREEDOM FEST 2019"</f>
        <v>FREEDOM FEST 2019</v>
      </c>
      <c r="I3644" t="str">
        <f>"UNITED MUSIC GROUP"</f>
        <v>UNITED MUSIC GROUP</v>
      </c>
    </row>
    <row r="3645" spans="1:9" x14ac:dyDescent="0.25">
      <c r="A3645" s="6">
        <v>43643</v>
      </c>
      <c r="B3645" t="s">
        <v>26</v>
      </c>
      <c r="C3645">
        <v>61303</v>
      </c>
      <c r="D3645" t="s">
        <v>740</v>
      </c>
      <c r="E3645" s="7">
        <v>400</v>
      </c>
      <c r="F3645" t="s">
        <v>20</v>
      </c>
      <c r="G3645" t="s">
        <v>21</v>
      </c>
      <c r="H3645" t="str">
        <f>"FREEDOM FEST 2019"</f>
        <v>FREEDOM FEST 2019</v>
      </c>
      <c r="I3645" t="str">
        <f>"GENRE CHORD DECOR"</f>
        <v>GENRE CHORD DECOR</v>
      </c>
    </row>
    <row r="3646" spans="1:9" x14ac:dyDescent="0.25">
      <c r="A3646" s="6">
        <v>43643</v>
      </c>
      <c r="B3646" t="s">
        <v>26</v>
      </c>
      <c r="C3646">
        <v>61304</v>
      </c>
      <c r="D3646" t="s">
        <v>81</v>
      </c>
      <c r="E3646" s="7">
        <v>8600</v>
      </c>
      <c r="F3646" t="s">
        <v>20</v>
      </c>
      <c r="G3646" t="s">
        <v>21</v>
      </c>
      <c r="H3646" t="str">
        <f>"FREEDOM FEST 2019"</f>
        <v>FREEDOM FEST 2019</v>
      </c>
      <c r="I3646" t="str">
        <f>"CITY OF FLORESVILLE -PETTY CAS"</f>
        <v>CITY OF FLORESVILLE -PETTY CAS</v>
      </c>
    </row>
    <row r="3647" spans="1:9" x14ac:dyDescent="0.25">
      <c r="A3647" s="6">
        <v>43643</v>
      </c>
      <c r="B3647" t="s">
        <v>26</v>
      </c>
      <c r="C3647">
        <v>61305</v>
      </c>
      <c r="D3647" t="s">
        <v>47</v>
      </c>
      <c r="E3647" s="7">
        <v>175315.33</v>
      </c>
      <c r="F3647" t="s">
        <v>20</v>
      </c>
      <c r="G3647" t="s">
        <v>21</v>
      </c>
      <c r="H3647" t="str">
        <f>"COFEP6122019"</f>
        <v>COFEP6122019</v>
      </c>
      <c r="I3647" t="str">
        <f>"HEARTLAND PARK &amp; RECREATION  L"</f>
        <v>HEARTLAND PARK &amp; RECREATION  L</v>
      </c>
    </row>
    <row r="3648" spans="1:9" x14ac:dyDescent="0.25">
      <c r="A3648" s="6">
        <v>43643</v>
      </c>
      <c r="B3648" t="s">
        <v>26</v>
      </c>
      <c r="C3648">
        <v>61306</v>
      </c>
      <c r="D3648" t="s">
        <v>207</v>
      </c>
      <c r="E3648" s="7">
        <v>270</v>
      </c>
      <c r="F3648" t="s">
        <v>20</v>
      </c>
      <c r="G3648" t="s">
        <v>21</v>
      </c>
      <c r="H3648" t="str">
        <f>"5302"</f>
        <v>5302</v>
      </c>
      <c r="I3648" t="str">
        <f>"MAD DESIGNS"</f>
        <v>MAD DESIGNS</v>
      </c>
    </row>
    <row r="3649" spans="1:9" x14ac:dyDescent="0.25">
      <c r="A3649" s="6">
        <v>43643</v>
      </c>
      <c r="B3649" t="s">
        <v>26</v>
      </c>
      <c r="C3649">
        <v>61307</v>
      </c>
      <c r="D3649" t="s">
        <v>103</v>
      </c>
      <c r="E3649" s="7">
        <v>75315.22</v>
      </c>
      <c r="F3649" t="s">
        <v>20</v>
      </c>
      <c r="G3649" t="s">
        <v>21</v>
      </c>
      <c r="H3649" t="str">
        <f>"JUNE 2019"</f>
        <v>JUNE 2019</v>
      </c>
      <c r="I3649" t="str">
        <f>"F. E. D. C."</f>
        <v>F. E. D. C.</v>
      </c>
    </row>
    <row r="3650" spans="1:9" x14ac:dyDescent="0.25">
      <c r="A3650" s="6">
        <v>43643</v>
      </c>
      <c r="B3650" t="s">
        <v>91</v>
      </c>
      <c r="C3650">
        <v>61308</v>
      </c>
      <c r="D3650" t="s">
        <v>90</v>
      </c>
      <c r="E3650" s="7">
        <v>1603.04</v>
      </c>
      <c r="F3650" t="s">
        <v>20</v>
      </c>
      <c r="G3650" t="s">
        <v>21</v>
      </c>
      <c r="H3650" t="str">
        <f>"ACA201906058525"</f>
        <v>ACA201906058525</v>
      </c>
      <c r="I3650" t="str">
        <f>"AFLAC INSURANCE"</f>
        <v>AFLAC INSURANCE</v>
      </c>
    </row>
    <row r="3651" spans="1:9" x14ac:dyDescent="0.25">
      <c r="A3651" s="6">
        <v>43643</v>
      </c>
      <c r="B3651" t="s">
        <v>91</v>
      </c>
      <c r="C3651">
        <v>61308</v>
      </c>
      <c r="D3651" t="s">
        <v>90</v>
      </c>
      <c r="E3651" s="7">
        <v>1603.04</v>
      </c>
      <c r="F3651" t="s">
        <v>20</v>
      </c>
      <c r="G3651" t="s">
        <v>21</v>
      </c>
      <c r="H3651" t="str">
        <f>"ACA201906198526"</f>
        <v>ACA201906198526</v>
      </c>
      <c r="I3651" t="str">
        <f>"AFLAC INSURANCE"</f>
        <v>AFLAC INSURANCE</v>
      </c>
    </row>
    <row r="3652" spans="1:9" x14ac:dyDescent="0.25">
      <c r="A3652" s="6">
        <v>43643</v>
      </c>
      <c r="B3652" t="s">
        <v>91</v>
      </c>
      <c r="C3652">
        <v>61308</v>
      </c>
      <c r="D3652" t="s">
        <v>90</v>
      </c>
      <c r="E3652" s="7">
        <v>1603.04</v>
      </c>
      <c r="F3652" t="s">
        <v>20</v>
      </c>
      <c r="G3652" t="s">
        <v>21</v>
      </c>
      <c r="H3652" t="str">
        <f>"AD2201906058525"</f>
        <v>AD2201906058525</v>
      </c>
      <c r="I3652" t="str">
        <f>"AFLAC INSURANCE"</f>
        <v>AFLAC INSURANCE</v>
      </c>
    </row>
    <row r="3653" spans="1:9" x14ac:dyDescent="0.25">
      <c r="A3653" s="6">
        <v>43643</v>
      </c>
      <c r="B3653" t="s">
        <v>91</v>
      </c>
      <c r="C3653">
        <v>61308</v>
      </c>
      <c r="D3653" t="s">
        <v>90</v>
      </c>
      <c r="E3653" s="7">
        <v>1603.04</v>
      </c>
      <c r="F3653" t="s">
        <v>20</v>
      </c>
      <c r="G3653" t="s">
        <v>21</v>
      </c>
      <c r="H3653" t="str">
        <f>"AD2201906198526"</f>
        <v>AD2201906198526</v>
      </c>
      <c r="I3653" t="str">
        <f>"AFLAC INSURANCE"</f>
        <v>AFLAC INSURANCE</v>
      </c>
    </row>
    <row r="3654" spans="1:9" x14ac:dyDescent="0.25">
      <c r="A3654" s="6">
        <v>43643</v>
      </c>
      <c r="B3654" t="s">
        <v>91</v>
      </c>
      <c r="C3654">
        <v>61308</v>
      </c>
      <c r="D3654" t="s">
        <v>90</v>
      </c>
      <c r="E3654" s="7">
        <v>1603.04</v>
      </c>
      <c r="F3654" t="s">
        <v>20</v>
      </c>
      <c r="G3654" t="s">
        <v>21</v>
      </c>
      <c r="H3654" t="str">
        <f>"ADR201906058525"</f>
        <v>ADR201906058525</v>
      </c>
      <c r="I3654" t="str">
        <f>"INSURANCE"</f>
        <v>INSURANCE</v>
      </c>
    </row>
    <row r="3655" spans="1:9" x14ac:dyDescent="0.25">
      <c r="A3655" s="6">
        <v>43643</v>
      </c>
      <c r="B3655" t="s">
        <v>91</v>
      </c>
      <c r="C3655">
        <v>61308</v>
      </c>
      <c r="D3655" t="s">
        <v>90</v>
      </c>
      <c r="E3655" s="7">
        <v>1603.04</v>
      </c>
      <c r="F3655" t="s">
        <v>20</v>
      </c>
      <c r="G3655" t="s">
        <v>21</v>
      </c>
      <c r="H3655" t="str">
        <f>"ADR201906198526"</f>
        <v>ADR201906198526</v>
      </c>
      <c r="I3655" t="str">
        <f>"INSURANCE"</f>
        <v>INSURANCE</v>
      </c>
    </row>
    <row r="3656" spans="1:9" x14ac:dyDescent="0.25">
      <c r="A3656" s="6">
        <v>43643</v>
      </c>
      <c r="B3656" t="s">
        <v>91</v>
      </c>
      <c r="C3656">
        <v>61308</v>
      </c>
      <c r="D3656" t="s">
        <v>90</v>
      </c>
      <c r="E3656" s="7">
        <v>1603.04</v>
      </c>
      <c r="F3656" t="s">
        <v>20</v>
      </c>
      <c r="G3656" t="s">
        <v>21</v>
      </c>
      <c r="H3656" t="str">
        <f>"AF1201906058525"</f>
        <v>AF1201906058525</v>
      </c>
      <c r="I3656" t="str">
        <f t="shared" ref="I3656:I3661" si="69">"AFLAC INSURANCE"</f>
        <v>AFLAC INSURANCE</v>
      </c>
    </row>
    <row r="3657" spans="1:9" x14ac:dyDescent="0.25">
      <c r="A3657" s="6">
        <v>43643</v>
      </c>
      <c r="B3657" t="s">
        <v>91</v>
      </c>
      <c r="C3657">
        <v>61308</v>
      </c>
      <c r="D3657" t="s">
        <v>90</v>
      </c>
      <c r="E3657" s="7">
        <v>1603.04</v>
      </c>
      <c r="F3657" t="s">
        <v>20</v>
      </c>
      <c r="G3657" t="s">
        <v>21</v>
      </c>
      <c r="H3657" t="str">
        <f>"AF1201906198526"</f>
        <v>AF1201906198526</v>
      </c>
      <c r="I3657" t="str">
        <f t="shared" si="69"/>
        <v>AFLAC INSURANCE</v>
      </c>
    </row>
    <row r="3658" spans="1:9" x14ac:dyDescent="0.25">
      <c r="A3658" s="6">
        <v>43643</v>
      </c>
      <c r="B3658" t="s">
        <v>91</v>
      </c>
      <c r="C3658">
        <v>61308</v>
      </c>
      <c r="D3658" t="s">
        <v>90</v>
      </c>
      <c r="E3658" s="7">
        <v>1603.04</v>
      </c>
      <c r="F3658" t="s">
        <v>20</v>
      </c>
      <c r="G3658" t="s">
        <v>21</v>
      </c>
      <c r="H3658" t="str">
        <f>"ASP201906058525"</f>
        <v>ASP201906058525</v>
      </c>
      <c r="I3658" t="str">
        <f t="shared" si="69"/>
        <v>AFLAC INSURANCE</v>
      </c>
    </row>
    <row r="3659" spans="1:9" x14ac:dyDescent="0.25">
      <c r="A3659" s="6">
        <v>43643</v>
      </c>
      <c r="B3659" t="s">
        <v>91</v>
      </c>
      <c r="C3659">
        <v>61308</v>
      </c>
      <c r="D3659" t="s">
        <v>90</v>
      </c>
      <c r="E3659" s="7">
        <v>1603.04</v>
      </c>
      <c r="F3659" t="s">
        <v>20</v>
      </c>
      <c r="G3659" t="s">
        <v>21</v>
      </c>
      <c r="H3659" t="str">
        <f>"ASP201906198526"</f>
        <v>ASP201906198526</v>
      </c>
      <c r="I3659" t="str">
        <f t="shared" si="69"/>
        <v>AFLAC INSURANCE</v>
      </c>
    </row>
    <row r="3660" spans="1:9" x14ac:dyDescent="0.25">
      <c r="A3660" s="6">
        <v>43643</v>
      </c>
      <c r="B3660" t="s">
        <v>91</v>
      </c>
      <c r="C3660">
        <v>61308</v>
      </c>
      <c r="D3660" t="s">
        <v>90</v>
      </c>
      <c r="E3660" s="7">
        <v>1603.04</v>
      </c>
      <c r="F3660" t="s">
        <v>20</v>
      </c>
      <c r="G3660" t="s">
        <v>21</v>
      </c>
      <c r="H3660" t="str">
        <f>"HCO201906058525"</f>
        <v>HCO201906058525</v>
      </c>
      <c r="I3660" t="str">
        <f t="shared" si="69"/>
        <v>AFLAC INSURANCE</v>
      </c>
    </row>
    <row r="3661" spans="1:9" x14ac:dyDescent="0.25">
      <c r="A3661" s="6">
        <v>43643</v>
      </c>
      <c r="B3661" t="s">
        <v>91</v>
      </c>
      <c r="C3661">
        <v>61308</v>
      </c>
      <c r="D3661" t="s">
        <v>90</v>
      </c>
      <c r="E3661" s="7">
        <v>1603.04</v>
      </c>
      <c r="F3661" t="s">
        <v>20</v>
      </c>
      <c r="G3661" t="s">
        <v>21</v>
      </c>
      <c r="H3661" t="str">
        <f>"HCO201906198526"</f>
        <v>HCO201906198526</v>
      </c>
      <c r="I3661" t="str">
        <f t="shared" si="69"/>
        <v>AFLAC INSURANCE</v>
      </c>
    </row>
    <row r="3662" spans="1:9" x14ac:dyDescent="0.25">
      <c r="A3662" s="6">
        <v>43643</v>
      </c>
      <c r="B3662" t="s">
        <v>91</v>
      </c>
      <c r="C3662">
        <v>61308</v>
      </c>
      <c r="D3662" t="s">
        <v>90</v>
      </c>
      <c r="E3662" s="7">
        <v>1603.04</v>
      </c>
      <c r="F3662" t="s">
        <v>20</v>
      </c>
      <c r="G3662" t="s">
        <v>93</v>
      </c>
      <c r="H3662" t="str">
        <f>"CHECK"</f>
        <v>CHECK</v>
      </c>
      <c r="I3662" t="str">
        <f>""</f>
        <v/>
      </c>
    </row>
    <row r="3663" spans="1:9" x14ac:dyDescent="0.25">
      <c r="A3663" s="6">
        <v>43643</v>
      </c>
      <c r="B3663" t="s">
        <v>91</v>
      </c>
      <c r="C3663">
        <v>61312</v>
      </c>
      <c r="D3663" t="s">
        <v>95</v>
      </c>
      <c r="E3663" s="7">
        <v>59.98</v>
      </c>
      <c r="F3663" t="s">
        <v>20</v>
      </c>
      <c r="G3663" t="s">
        <v>21</v>
      </c>
      <c r="H3663" t="str">
        <f>"LEA201906058525"</f>
        <v>LEA201906058525</v>
      </c>
      <c r="I3663" t="str">
        <f>"INSURANCE"</f>
        <v>INSURANCE</v>
      </c>
    </row>
    <row r="3664" spans="1:9" x14ac:dyDescent="0.25">
      <c r="A3664" s="6">
        <v>43643</v>
      </c>
      <c r="B3664" t="s">
        <v>91</v>
      </c>
      <c r="C3664">
        <v>61312</v>
      </c>
      <c r="D3664" t="s">
        <v>95</v>
      </c>
      <c r="E3664" s="7">
        <v>59.98</v>
      </c>
      <c r="F3664" t="s">
        <v>20</v>
      </c>
      <c r="G3664" t="s">
        <v>21</v>
      </c>
      <c r="H3664" t="str">
        <f>"LEA201906198526"</f>
        <v>LEA201906198526</v>
      </c>
      <c r="I3664" t="str">
        <f>"INSURANCE"</f>
        <v>INSURANCE</v>
      </c>
    </row>
    <row r="3665" spans="1:9" x14ac:dyDescent="0.25">
      <c r="A3665" s="6">
        <v>43643</v>
      </c>
      <c r="B3665" t="s">
        <v>91</v>
      </c>
      <c r="C3665">
        <v>61312</v>
      </c>
      <c r="D3665" t="s">
        <v>95</v>
      </c>
      <c r="E3665" s="7">
        <v>59.98</v>
      </c>
      <c r="F3665" t="s">
        <v>20</v>
      </c>
      <c r="G3665" t="s">
        <v>93</v>
      </c>
      <c r="H3665" t="str">
        <f>"CHECK"</f>
        <v>CHECK</v>
      </c>
      <c r="I3665" t="str">
        <f>""</f>
        <v/>
      </c>
    </row>
    <row r="3666" spans="1:9" x14ac:dyDescent="0.25">
      <c r="A3666" s="6">
        <v>43643</v>
      </c>
      <c r="B3666" t="s">
        <v>91</v>
      </c>
      <c r="C3666">
        <v>61313</v>
      </c>
      <c r="D3666" t="s">
        <v>96</v>
      </c>
      <c r="E3666" s="7">
        <v>241.77</v>
      </c>
      <c r="F3666" t="s">
        <v>20</v>
      </c>
      <c r="G3666" t="s">
        <v>21</v>
      </c>
      <c r="H3666" t="str">
        <f>"PPL201906058525"</f>
        <v>PPL201906058525</v>
      </c>
      <c r="I3666" t="str">
        <f>"INSURANCE"</f>
        <v>INSURANCE</v>
      </c>
    </row>
    <row r="3667" spans="1:9" x14ac:dyDescent="0.25">
      <c r="A3667" s="6">
        <v>43643</v>
      </c>
      <c r="B3667" t="s">
        <v>91</v>
      </c>
      <c r="C3667">
        <v>61313</v>
      </c>
      <c r="D3667" t="s">
        <v>96</v>
      </c>
      <c r="E3667" s="7">
        <v>241.77</v>
      </c>
      <c r="F3667" t="s">
        <v>20</v>
      </c>
      <c r="G3667" t="s">
        <v>21</v>
      </c>
      <c r="H3667" t="str">
        <f>"PPL201906198526"</f>
        <v>PPL201906198526</v>
      </c>
      <c r="I3667" t="str">
        <f>"INSURANCE"</f>
        <v>INSURANCE</v>
      </c>
    </row>
    <row r="3668" spans="1:9" x14ac:dyDescent="0.25">
      <c r="A3668" s="6">
        <v>43643</v>
      </c>
      <c r="B3668" t="s">
        <v>91</v>
      </c>
      <c r="C3668">
        <v>61313</v>
      </c>
      <c r="D3668" t="s">
        <v>96</v>
      </c>
      <c r="E3668" s="7">
        <v>241.77</v>
      </c>
      <c r="F3668" t="s">
        <v>20</v>
      </c>
      <c r="G3668" t="s">
        <v>93</v>
      </c>
      <c r="H3668" t="str">
        <f>"CHECK"</f>
        <v>CHECK</v>
      </c>
      <c r="I3668" t="str">
        <f>""</f>
        <v/>
      </c>
    </row>
    <row r="3669" spans="1:9" x14ac:dyDescent="0.25">
      <c r="A3669" s="6">
        <v>43643</v>
      </c>
      <c r="B3669" t="s">
        <v>91</v>
      </c>
      <c r="C3669">
        <v>61314</v>
      </c>
      <c r="D3669" t="s">
        <v>97</v>
      </c>
      <c r="E3669" s="7">
        <v>30262.15</v>
      </c>
      <c r="F3669" t="s">
        <v>20</v>
      </c>
      <c r="G3669" t="s">
        <v>21</v>
      </c>
      <c r="H3669" t="str">
        <f>"DEN201906198526"</f>
        <v>DEN201906198526</v>
      </c>
      <c r="I3669" t="str">
        <f>"DENTAL INSURANCE"</f>
        <v>DENTAL INSURANCE</v>
      </c>
    </row>
    <row r="3670" spans="1:9" x14ac:dyDescent="0.25">
      <c r="A3670" s="6">
        <v>43643</v>
      </c>
      <c r="B3670" t="s">
        <v>91</v>
      </c>
      <c r="C3670">
        <v>61314</v>
      </c>
      <c r="D3670" t="s">
        <v>97</v>
      </c>
      <c r="E3670" s="7">
        <v>30262.15</v>
      </c>
      <c r="F3670" t="s">
        <v>20</v>
      </c>
      <c r="G3670" t="s">
        <v>21</v>
      </c>
      <c r="H3670" t="str">
        <f>"MED201906198526"</f>
        <v>MED201906198526</v>
      </c>
      <c r="I3670" t="str">
        <f>"HEALTH &amp; DENTAL INSURANCE"</f>
        <v>HEALTH &amp; DENTAL INSURANCE</v>
      </c>
    </row>
    <row r="3671" spans="1:9" x14ac:dyDescent="0.25">
      <c r="A3671" s="6">
        <v>43643</v>
      </c>
      <c r="B3671" t="s">
        <v>91</v>
      </c>
      <c r="C3671">
        <v>61314</v>
      </c>
      <c r="D3671" t="s">
        <v>97</v>
      </c>
      <c r="E3671" s="7">
        <v>30262.15</v>
      </c>
      <c r="F3671" t="s">
        <v>20</v>
      </c>
      <c r="G3671" t="s">
        <v>93</v>
      </c>
      <c r="H3671" t="str">
        <f>"CHECK"</f>
        <v>CHECK</v>
      </c>
      <c r="I3671" t="str">
        <f>""</f>
        <v/>
      </c>
    </row>
    <row r="3672" spans="1:9" x14ac:dyDescent="0.25">
      <c r="A3672" s="6">
        <v>43643</v>
      </c>
      <c r="B3672" t="s">
        <v>91</v>
      </c>
      <c r="C3672">
        <v>61316</v>
      </c>
      <c r="D3672" t="s">
        <v>98</v>
      </c>
      <c r="E3672" s="7">
        <v>3802.21</v>
      </c>
      <c r="F3672" t="s">
        <v>20</v>
      </c>
      <c r="G3672" t="s">
        <v>21</v>
      </c>
      <c r="H3672" t="str">
        <f>"STD201906058525"</f>
        <v>STD201906058525</v>
      </c>
      <c r="I3672" t="str">
        <f>"SHORT TERM DISABILITY"</f>
        <v>SHORT TERM DISABILITY</v>
      </c>
    </row>
    <row r="3673" spans="1:9" x14ac:dyDescent="0.25">
      <c r="A3673" s="6">
        <v>43643</v>
      </c>
      <c r="B3673" t="s">
        <v>91</v>
      </c>
      <c r="C3673">
        <v>61316</v>
      </c>
      <c r="D3673" t="s">
        <v>98</v>
      </c>
      <c r="E3673" s="7">
        <v>3802.21</v>
      </c>
      <c r="F3673" t="s">
        <v>20</v>
      </c>
      <c r="G3673" t="s">
        <v>21</v>
      </c>
      <c r="H3673" t="str">
        <f>"STD201906198526"</f>
        <v>STD201906198526</v>
      </c>
      <c r="I3673" t="str">
        <f>"SHORT TERM DISABILITY"</f>
        <v>SHORT TERM DISABILITY</v>
      </c>
    </row>
    <row r="3674" spans="1:9" x14ac:dyDescent="0.25">
      <c r="A3674" s="6">
        <v>43643</v>
      </c>
      <c r="B3674" t="s">
        <v>91</v>
      </c>
      <c r="C3674">
        <v>61316</v>
      </c>
      <c r="D3674" t="s">
        <v>98</v>
      </c>
      <c r="E3674" s="7">
        <v>3802.21</v>
      </c>
      <c r="F3674" t="s">
        <v>20</v>
      </c>
      <c r="G3674" t="s">
        <v>21</v>
      </c>
      <c r="H3674" t="str">
        <f>"VIS201906058525"</f>
        <v>VIS201906058525</v>
      </c>
      <c r="I3674" t="str">
        <f>"VISION INSURANCE"</f>
        <v>VISION INSURANCE</v>
      </c>
    </row>
    <row r="3675" spans="1:9" x14ac:dyDescent="0.25">
      <c r="A3675" s="6">
        <v>43643</v>
      </c>
      <c r="B3675" t="s">
        <v>91</v>
      </c>
      <c r="C3675">
        <v>61316</v>
      </c>
      <c r="D3675" t="s">
        <v>98</v>
      </c>
      <c r="E3675" s="7">
        <v>3802.21</v>
      </c>
      <c r="F3675" t="s">
        <v>20</v>
      </c>
      <c r="G3675" t="s">
        <v>21</v>
      </c>
      <c r="H3675" t="str">
        <f>"VIS201906198526"</f>
        <v>VIS201906198526</v>
      </c>
      <c r="I3675" t="str">
        <f>"VISION INSURANCE"</f>
        <v>VISION INSURANCE</v>
      </c>
    </row>
    <row r="3676" spans="1:9" x14ac:dyDescent="0.25">
      <c r="A3676" s="6">
        <v>43643</v>
      </c>
      <c r="B3676" t="s">
        <v>91</v>
      </c>
      <c r="C3676">
        <v>61316</v>
      </c>
      <c r="D3676" t="s">
        <v>98</v>
      </c>
      <c r="E3676" s="7">
        <v>3802.21</v>
      </c>
      <c r="F3676" t="s">
        <v>20</v>
      </c>
      <c r="G3676" t="s">
        <v>21</v>
      </c>
      <c r="H3676" t="str">
        <f>"VLC201906058525"</f>
        <v>VLC201906058525</v>
      </c>
      <c r="I3676" t="str">
        <f>"CHILD LIFE INSURANCE"</f>
        <v>CHILD LIFE INSURANCE</v>
      </c>
    </row>
    <row r="3677" spans="1:9" x14ac:dyDescent="0.25">
      <c r="A3677" s="6">
        <v>43643</v>
      </c>
      <c r="B3677" t="s">
        <v>91</v>
      </c>
      <c r="C3677">
        <v>61316</v>
      </c>
      <c r="D3677" t="s">
        <v>98</v>
      </c>
      <c r="E3677" s="7">
        <v>3802.21</v>
      </c>
      <c r="F3677" t="s">
        <v>20</v>
      </c>
      <c r="G3677" t="s">
        <v>21</v>
      </c>
      <c r="H3677" t="str">
        <f>"VLC201906198526"</f>
        <v>VLC201906198526</v>
      </c>
      <c r="I3677" t="str">
        <f>"CHILD LIFE INSURANCE"</f>
        <v>CHILD LIFE INSURANCE</v>
      </c>
    </row>
    <row r="3678" spans="1:9" x14ac:dyDescent="0.25">
      <c r="A3678" s="6">
        <v>43643</v>
      </c>
      <c r="B3678" t="s">
        <v>91</v>
      </c>
      <c r="C3678">
        <v>61316</v>
      </c>
      <c r="D3678" t="s">
        <v>98</v>
      </c>
      <c r="E3678" s="7">
        <v>3802.21</v>
      </c>
      <c r="F3678" t="s">
        <v>20</v>
      </c>
      <c r="G3678" t="s">
        <v>21</v>
      </c>
      <c r="H3678" t="str">
        <f>"VLS201906058525"</f>
        <v>VLS201906058525</v>
      </c>
      <c r="I3678" t="str">
        <f>"SPOUSE LIFE"</f>
        <v>SPOUSE LIFE</v>
      </c>
    </row>
    <row r="3679" spans="1:9" x14ac:dyDescent="0.25">
      <c r="A3679" s="6">
        <v>43643</v>
      </c>
      <c r="B3679" t="s">
        <v>91</v>
      </c>
      <c r="C3679">
        <v>61316</v>
      </c>
      <c r="D3679" t="s">
        <v>98</v>
      </c>
      <c r="E3679" s="7">
        <v>3802.21</v>
      </c>
      <c r="F3679" t="s">
        <v>20</v>
      </c>
      <c r="G3679" t="s">
        <v>21</v>
      </c>
      <c r="H3679" t="str">
        <f>"VLS201906198526"</f>
        <v>VLS201906198526</v>
      </c>
      <c r="I3679" t="str">
        <f>"SPOUSE LIFE"</f>
        <v>SPOUSE LIFE</v>
      </c>
    </row>
    <row r="3680" spans="1:9" x14ac:dyDescent="0.25">
      <c r="A3680" s="6">
        <v>43643</v>
      </c>
      <c r="B3680" t="s">
        <v>91</v>
      </c>
      <c r="C3680">
        <v>61316</v>
      </c>
      <c r="D3680" t="s">
        <v>98</v>
      </c>
      <c r="E3680" s="7">
        <v>3802.21</v>
      </c>
      <c r="F3680" t="s">
        <v>20</v>
      </c>
      <c r="G3680" t="s">
        <v>21</v>
      </c>
      <c r="H3680" t="str">
        <f>"VOE201906058525"</f>
        <v>VOE201906058525</v>
      </c>
      <c r="I3680" t="str">
        <f>"EMPLOYEE LIFE"</f>
        <v>EMPLOYEE LIFE</v>
      </c>
    </row>
    <row r="3681" spans="1:9" x14ac:dyDescent="0.25">
      <c r="A3681" s="6">
        <v>43643</v>
      </c>
      <c r="B3681" t="s">
        <v>91</v>
      </c>
      <c r="C3681">
        <v>61316</v>
      </c>
      <c r="D3681" t="s">
        <v>98</v>
      </c>
      <c r="E3681" s="7">
        <v>3802.21</v>
      </c>
      <c r="F3681" t="s">
        <v>20</v>
      </c>
      <c r="G3681" t="s">
        <v>21</v>
      </c>
      <c r="H3681" t="str">
        <f>"VOE201906198526"</f>
        <v>VOE201906198526</v>
      </c>
      <c r="I3681" t="str">
        <f>"EMPLOYEE LIFE"</f>
        <v>EMPLOYEE LIFE</v>
      </c>
    </row>
    <row r="3682" spans="1:9" x14ac:dyDescent="0.25">
      <c r="A3682" s="6">
        <v>43643</v>
      </c>
      <c r="B3682" t="s">
        <v>91</v>
      </c>
      <c r="C3682">
        <v>61316</v>
      </c>
      <c r="D3682" t="s">
        <v>98</v>
      </c>
      <c r="E3682" s="7">
        <v>3802.21</v>
      </c>
      <c r="F3682" t="s">
        <v>20</v>
      </c>
      <c r="G3682" t="s">
        <v>21</v>
      </c>
      <c r="H3682" t="str">
        <f>"VOL201906058525"</f>
        <v>VOL201906058525</v>
      </c>
      <c r="I3682" t="str">
        <f>"LIFE"</f>
        <v>LIFE</v>
      </c>
    </row>
    <row r="3683" spans="1:9" x14ac:dyDescent="0.25">
      <c r="A3683" s="6">
        <v>43643</v>
      </c>
      <c r="B3683" t="s">
        <v>91</v>
      </c>
      <c r="C3683">
        <v>61316</v>
      </c>
      <c r="D3683" t="s">
        <v>98</v>
      </c>
      <c r="E3683" s="7">
        <v>3802.21</v>
      </c>
      <c r="F3683" t="s">
        <v>20</v>
      </c>
      <c r="G3683" t="s">
        <v>21</v>
      </c>
      <c r="H3683" t="str">
        <f>"VOL201906198526"</f>
        <v>VOL201906198526</v>
      </c>
      <c r="I3683" t="str">
        <f>"LIFE"</f>
        <v>LIFE</v>
      </c>
    </row>
    <row r="3684" spans="1:9" x14ac:dyDescent="0.25">
      <c r="A3684" s="6">
        <v>43643</v>
      </c>
      <c r="B3684" t="s">
        <v>91</v>
      </c>
      <c r="C3684">
        <v>61316</v>
      </c>
      <c r="D3684" t="s">
        <v>98</v>
      </c>
      <c r="E3684" s="7">
        <v>3802.21</v>
      </c>
      <c r="F3684" t="s">
        <v>20</v>
      </c>
      <c r="G3684" t="s">
        <v>93</v>
      </c>
      <c r="H3684" t="str">
        <f>"CHECK"</f>
        <v>CHECK</v>
      </c>
      <c r="I3684" t="str">
        <f>""</f>
        <v/>
      </c>
    </row>
    <row r="3685" spans="1:9" x14ac:dyDescent="0.25">
      <c r="A3685" s="6">
        <v>43649</v>
      </c>
      <c r="B3685" t="s">
        <v>26</v>
      </c>
      <c r="C3685">
        <v>61343</v>
      </c>
      <c r="D3685" t="s">
        <v>51</v>
      </c>
      <c r="E3685" s="7">
        <v>309.37</v>
      </c>
      <c r="F3685" t="s">
        <v>20</v>
      </c>
      <c r="G3685" t="s">
        <v>21</v>
      </c>
      <c r="H3685" t="str">
        <f>"CLE201907018529"</f>
        <v>CLE201907018529</v>
      </c>
      <c r="I3685" t="str">
        <f>"CLEAT ONLY DUES"</f>
        <v>CLEAT ONLY DUES</v>
      </c>
    </row>
    <row r="3686" spans="1:9" x14ac:dyDescent="0.25">
      <c r="A3686" s="6">
        <v>43649</v>
      </c>
      <c r="B3686" t="s">
        <v>26</v>
      </c>
      <c r="C3686">
        <v>61343</v>
      </c>
      <c r="D3686" t="s">
        <v>51</v>
      </c>
      <c r="E3686" s="7">
        <v>309.37</v>
      </c>
      <c r="F3686" t="s">
        <v>20</v>
      </c>
      <c r="G3686" t="s">
        <v>21</v>
      </c>
      <c r="H3686" t="str">
        <f>"PDD201907018529"</f>
        <v>PDD201907018529</v>
      </c>
      <c r="I3686" t="str">
        <f>"POLICE OFFICERS ASSOC DUES"</f>
        <v>POLICE OFFICERS ASSOC DUES</v>
      </c>
    </row>
    <row r="3687" spans="1:9" x14ac:dyDescent="0.25">
      <c r="A3687" s="6">
        <v>43649</v>
      </c>
      <c r="B3687" t="s">
        <v>91</v>
      </c>
      <c r="C3687">
        <v>61344</v>
      </c>
      <c r="D3687" t="s">
        <v>90</v>
      </c>
      <c r="E3687" s="7">
        <v>101.1</v>
      </c>
      <c r="F3687" t="s">
        <v>20</v>
      </c>
      <c r="G3687" t="s">
        <v>21</v>
      </c>
      <c r="H3687" t="str">
        <f>"AFS201907018529"</f>
        <v>AFS201907018529</v>
      </c>
      <c r="I3687" t="str">
        <f>"AFLAC STD"</f>
        <v>AFLAC STD</v>
      </c>
    </row>
    <row r="3688" spans="1:9" x14ac:dyDescent="0.25">
      <c r="A3688" s="6">
        <v>43649</v>
      </c>
      <c r="B3688" t="s">
        <v>26</v>
      </c>
      <c r="C3688">
        <v>61345</v>
      </c>
      <c r="D3688" t="s">
        <v>52</v>
      </c>
      <c r="E3688" s="7">
        <v>1056.98</v>
      </c>
      <c r="F3688" t="s">
        <v>20</v>
      </c>
      <c r="G3688" t="s">
        <v>21</v>
      </c>
      <c r="H3688" t="str">
        <f>"CPS201907018529"</f>
        <v>CPS201907018529</v>
      </c>
      <c r="I3688" t="str">
        <f>"G MENDOZA 00123012032010EM5054"</f>
        <v>G MENDOZA 00123012032010EM5054</v>
      </c>
    </row>
    <row r="3689" spans="1:9" x14ac:dyDescent="0.25">
      <c r="A3689" s="6">
        <v>43649</v>
      </c>
      <c r="B3689" t="s">
        <v>26</v>
      </c>
      <c r="C3689">
        <v>61345</v>
      </c>
      <c r="D3689" t="s">
        <v>52</v>
      </c>
      <c r="E3689" s="7">
        <v>1056.98</v>
      </c>
      <c r="F3689" t="s">
        <v>20</v>
      </c>
      <c r="G3689" t="s">
        <v>21</v>
      </c>
      <c r="H3689" t="str">
        <f>"CS 201907018529"</f>
        <v>CS 201907018529</v>
      </c>
      <c r="I3689" t="str">
        <f>"CAUSE#98EM504113 PEGGY RIVAS"</f>
        <v>CAUSE#98EM504113 PEGGY RIVAS</v>
      </c>
    </row>
    <row r="3690" spans="1:9" x14ac:dyDescent="0.25">
      <c r="A3690" s="6">
        <v>43649</v>
      </c>
      <c r="B3690" t="s">
        <v>26</v>
      </c>
      <c r="C3690">
        <v>61345</v>
      </c>
      <c r="D3690" t="s">
        <v>52</v>
      </c>
      <c r="E3690" s="7">
        <v>1056.98</v>
      </c>
      <c r="F3690" t="s">
        <v>20</v>
      </c>
      <c r="G3690" t="s">
        <v>21</v>
      </c>
      <c r="H3690" t="str">
        <f>"CSJ201907018529"</f>
        <v>CSJ201907018529</v>
      </c>
      <c r="I3690" t="str">
        <f>"CAUSE# 0010185272 MARIANN GUTI"</f>
        <v>CAUSE# 0010185272 MARIANN GUTI</v>
      </c>
    </row>
    <row r="3691" spans="1:9" x14ac:dyDescent="0.25">
      <c r="A3691" s="6">
        <v>43649</v>
      </c>
      <c r="B3691" t="s">
        <v>26</v>
      </c>
      <c r="C3691">
        <v>61346</v>
      </c>
      <c r="D3691" t="s">
        <v>53</v>
      </c>
      <c r="E3691" s="7">
        <v>99.1</v>
      </c>
      <c r="F3691" t="s">
        <v>20</v>
      </c>
      <c r="G3691" t="s">
        <v>21</v>
      </c>
      <c r="H3691" t="str">
        <f>"MCO201907018529"</f>
        <v>MCO201907018529</v>
      </c>
      <c r="I3691" t="str">
        <f>"MONICA CORDOVA"</f>
        <v>MONICA CORDOVA</v>
      </c>
    </row>
    <row r="3692" spans="1:9" x14ac:dyDescent="0.25">
      <c r="A3692" s="6">
        <v>43649</v>
      </c>
      <c r="B3692" t="s">
        <v>26</v>
      </c>
      <c r="C3692">
        <v>61347</v>
      </c>
      <c r="D3692" t="s">
        <v>54</v>
      </c>
      <c r="E3692" s="7">
        <v>712.12</v>
      </c>
      <c r="F3692" t="s">
        <v>20</v>
      </c>
      <c r="G3692" t="s">
        <v>21</v>
      </c>
      <c r="H3692" t="str">
        <f>"457201907018529"</f>
        <v>457201907018529</v>
      </c>
      <c r="I3692" t="str">
        <f>"CASE # 180-60751 457B DEDUCT"</f>
        <v>CASE # 180-60751 457B DEDUCT</v>
      </c>
    </row>
    <row r="3693" spans="1:9" x14ac:dyDescent="0.25">
      <c r="A3693" s="6">
        <v>43648</v>
      </c>
      <c r="B3693" t="s">
        <v>91</v>
      </c>
      <c r="C3693">
        <v>61348</v>
      </c>
      <c r="D3693" t="s">
        <v>90</v>
      </c>
      <c r="E3693" s="7">
        <v>785.32</v>
      </c>
      <c r="F3693" t="s">
        <v>20</v>
      </c>
      <c r="G3693" t="s">
        <v>21</v>
      </c>
      <c r="H3693" t="str">
        <f>"ACA201907018529"</f>
        <v>ACA201907018529</v>
      </c>
      <c r="I3693" t="str">
        <f>"AFLAC INSURANCE"</f>
        <v>AFLAC INSURANCE</v>
      </c>
    </row>
    <row r="3694" spans="1:9" x14ac:dyDescent="0.25">
      <c r="A3694" s="6">
        <v>43648</v>
      </c>
      <c r="B3694" t="s">
        <v>91</v>
      </c>
      <c r="C3694">
        <v>61348</v>
      </c>
      <c r="D3694" t="s">
        <v>90</v>
      </c>
      <c r="E3694" s="7">
        <v>785.32</v>
      </c>
      <c r="F3694" t="s">
        <v>20</v>
      </c>
      <c r="G3694" t="s">
        <v>21</v>
      </c>
      <c r="H3694" t="str">
        <f>"AD2201907018529"</f>
        <v>AD2201907018529</v>
      </c>
      <c r="I3694" t="str">
        <f>"AFLAC INSURANCE"</f>
        <v>AFLAC INSURANCE</v>
      </c>
    </row>
    <row r="3695" spans="1:9" x14ac:dyDescent="0.25">
      <c r="A3695" s="6">
        <v>43648</v>
      </c>
      <c r="B3695" t="s">
        <v>91</v>
      </c>
      <c r="C3695">
        <v>61348</v>
      </c>
      <c r="D3695" t="s">
        <v>90</v>
      </c>
      <c r="E3695" s="7">
        <v>785.32</v>
      </c>
      <c r="F3695" t="s">
        <v>20</v>
      </c>
      <c r="G3695" t="s">
        <v>21</v>
      </c>
      <c r="H3695" t="str">
        <f>"ADR201907018529"</f>
        <v>ADR201907018529</v>
      </c>
      <c r="I3695" t="str">
        <f>"INSURANCE"</f>
        <v>INSURANCE</v>
      </c>
    </row>
    <row r="3696" spans="1:9" x14ac:dyDescent="0.25">
      <c r="A3696" s="6">
        <v>43648</v>
      </c>
      <c r="B3696" t="s">
        <v>91</v>
      </c>
      <c r="C3696">
        <v>61348</v>
      </c>
      <c r="D3696" t="s">
        <v>90</v>
      </c>
      <c r="E3696" s="7">
        <v>785.32</v>
      </c>
      <c r="F3696" t="s">
        <v>20</v>
      </c>
      <c r="G3696" t="s">
        <v>21</v>
      </c>
      <c r="H3696" t="str">
        <f>"AF1201907018529"</f>
        <v>AF1201907018529</v>
      </c>
      <c r="I3696" t="str">
        <f>"AFLAC INSURANCE"</f>
        <v>AFLAC INSURANCE</v>
      </c>
    </row>
    <row r="3697" spans="1:9" x14ac:dyDescent="0.25">
      <c r="A3697" s="6">
        <v>43648</v>
      </c>
      <c r="B3697" t="s">
        <v>91</v>
      </c>
      <c r="C3697">
        <v>61348</v>
      </c>
      <c r="D3697" t="s">
        <v>90</v>
      </c>
      <c r="E3697" s="7">
        <v>785.32</v>
      </c>
      <c r="F3697" t="s">
        <v>20</v>
      </c>
      <c r="G3697" t="s">
        <v>21</v>
      </c>
      <c r="H3697" t="str">
        <f>"ASP201907018529"</f>
        <v>ASP201907018529</v>
      </c>
      <c r="I3697" t="str">
        <f>"AFLAC INSURANCE"</f>
        <v>AFLAC INSURANCE</v>
      </c>
    </row>
    <row r="3698" spans="1:9" x14ac:dyDescent="0.25">
      <c r="A3698" s="6">
        <v>43648</v>
      </c>
      <c r="B3698" t="s">
        <v>91</v>
      </c>
      <c r="C3698">
        <v>61348</v>
      </c>
      <c r="D3698" t="s">
        <v>90</v>
      </c>
      <c r="E3698" s="7">
        <v>785.32</v>
      </c>
      <c r="F3698" t="s">
        <v>20</v>
      </c>
      <c r="G3698" t="s">
        <v>21</v>
      </c>
      <c r="H3698" t="str">
        <f>"HCO201907018529"</f>
        <v>HCO201907018529</v>
      </c>
      <c r="I3698" t="str">
        <f>"AFLAC INSURANCE"</f>
        <v>AFLAC INSURANCE</v>
      </c>
    </row>
    <row r="3699" spans="1:9" x14ac:dyDescent="0.25">
      <c r="A3699" s="6">
        <v>43648</v>
      </c>
      <c r="B3699" t="s">
        <v>91</v>
      </c>
      <c r="C3699">
        <v>61348</v>
      </c>
      <c r="D3699" t="s">
        <v>90</v>
      </c>
      <c r="E3699" s="7">
        <v>785.32</v>
      </c>
      <c r="F3699" t="s">
        <v>20</v>
      </c>
      <c r="G3699" t="s">
        <v>93</v>
      </c>
      <c r="H3699" t="str">
        <f>"CHECK"</f>
        <v>CHECK</v>
      </c>
      <c r="I3699" t="str">
        <f>""</f>
        <v/>
      </c>
    </row>
    <row r="3700" spans="1:9" x14ac:dyDescent="0.25">
      <c r="A3700" s="6">
        <v>43648</v>
      </c>
      <c r="B3700" t="s">
        <v>91</v>
      </c>
      <c r="C3700">
        <v>61350</v>
      </c>
      <c r="D3700" t="s">
        <v>92</v>
      </c>
      <c r="E3700" s="7">
        <v>19419.82</v>
      </c>
      <c r="F3700" t="s">
        <v>20</v>
      </c>
      <c r="G3700" t="s">
        <v>21</v>
      </c>
      <c r="H3700" t="str">
        <f>"RET201907018529"</f>
        <v>RET201907018529</v>
      </c>
      <c r="I3700" t="str">
        <f>"TMRS CITY OF FLORESVILLE"</f>
        <v>TMRS CITY OF FLORESVILLE</v>
      </c>
    </row>
    <row r="3701" spans="1:9" x14ac:dyDescent="0.25">
      <c r="A3701" s="6">
        <v>43648</v>
      </c>
      <c r="B3701" t="s">
        <v>91</v>
      </c>
      <c r="C3701">
        <v>61350</v>
      </c>
      <c r="D3701" t="s">
        <v>92</v>
      </c>
      <c r="E3701" s="7">
        <v>19419.82</v>
      </c>
      <c r="F3701" t="s">
        <v>20</v>
      </c>
      <c r="G3701" t="s">
        <v>93</v>
      </c>
      <c r="H3701" t="str">
        <f>"CHECK"</f>
        <v>CHECK</v>
      </c>
      <c r="I3701" t="str">
        <f>""</f>
        <v/>
      </c>
    </row>
    <row r="3702" spans="1:9" x14ac:dyDescent="0.25">
      <c r="A3702" s="6">
        <v>43648</v>
      </c>
      <c r="B3702" t="s">
        <v>91</v>
      </c>
      <c r="C3702">
        <v>61352</v>
      </c>
      <c r="D3702" t="s">
        <v>95</v>
      </c>
      <c r="E3702" s="7">
        <v>29.99</v>
      </c>
      <c r="F3702" t="s">
        <v>20</v>
      </c>
      <c r="G3702" t="s">
        <v>21</v>
      </c>
      <c r="H3702" t="str">
        <f>"LEA201907018529"</f>
        <v>LEA201907018529</v>
      </c>
      <c r="I3702" t="str">
        <f>"INSURANCE"</f>
        <v>INSURANCE</v>
      </c>
    </row>
    <row r="3703" spans="1:9" x14ac:dyDescent="0.25">
      <c r="A3703" s="6">
        <v>43648</v>
      </c>
      <c r="B3703" t="s">
        <v>91</v>
      </c>
      <c r="C3703">
        <v>61352</v>
      </c>
      <c r="D3703" t="s">
        <v>95</v>
      </c>
      <c r="E3703" s="7">
        <v>29.99</v>
      </c>
      <c r="F3703" t="s">
        <v>20</v>
      </c>
      <c r="G3703" t="s">
        <v>93</v>
      </c>
      <c r="H3703" t="str">
        <f>"CHECK"</f>
        <v>CHECK</v>
      </c>
      <c r="I3703" t="str">
        <f>""</f>
        <v/>
      </c>
    </row>
    <row r="3704" spans="1:9" x14ac:dyDescent="0.25">
      <c r="A3704" s="6">
        <v>43648</v>
      </c>
      <c r="B3704" t="s">
        <v>91</v>
      </c>
      <c r="C3704">
        <v>61353</v>
      </c>
      <c r="D3704" t="s">
        <v>96</v>
      </c>
      <c r="E3704" s="7">
        <v>114.91</v>
      </c>
      <c r="F3704" t="s">
        <v>20</v>
      </c>
      <c r="G3704" t="s">
        <v>21</v>
      </c>
      <c r="H3704" t="str">
        <f>"PPL201907018529"</f>
        <v>PPL201907018529</v>
      </c>
      <c r="I3704" t="str">
        <f>"INSURANCE"</f>
        <v>INSURANCE</v>
      </c>
    </row>
    <row r="3705" spans="1:9" x14ac:dyDescent="0.25">
      <c r="A3705" s="6">
        <v>43648</v>
      </c>
      <c r="B3705" t="s">
        <v>91</v>
      </c>
      <c r="C3705">
        <v>61353</v>
      </c>
      <c r="D3705" t="s">
        <v>96</v>
      </c>
      <c r="E3705" s="7">
        <v>114.91</v>
      </c>
      <c r="F3705" t="s">
        <v>20</v>
      </c>
      <c r="G3705" t="s">
        <v>93</v>
      </c>
      <c r="H3705" t="str">
        <f>"CHECK"</f>
        <v>CHECK</v>
      </c>
      <c r="I3705" t="str">
        <f>""</f>
        <v/>
      </c>
    </row>
    <row r="3706" spans="1:9" x14ac:dyDescent="0.25">
      <c r="A3706" s="6">
        <v>43648</v>
      </c>
      <c r="B3706" t="s">
        <v>91</v>
      </c>
      <c r="C3706">
        <v>61354</v>
      </c>
      <c r="D3706" t="s">
        <v>97</v>
      </c>
      <c r="E3706" s="7">
        <v>29777.33</v>
      </c>
      <c r="F3706" t="s">
        <v>20</v>
      </c>
      <c r="G3706" t="s">
        <v>21</v>
      </c>
      <c r="H3706" t="str">
        <f>"DEN201907018529"</f>
        <v>DEN201907018529</v>
      </c>
      <c r="I3706" t="str">
        <f>"DENTAL INSURANCE"</f>
        <v>DENTAL INSURANCE</v>
      </c>
    </row>
    <row r="3707" spans="1:9" x14ac:dyDescent="0.25">
      <c r="A3707" s="6">
        <v>43648</v>
      </c>
      <c r="B3707" t="s">
        <v>91</v>
      </c>
      <c r="C3707">
        <v>61354</v>
      </c>
      <c r="D3707" t="s">
        <v>97</v>
      </c>
      <c r="E3707" s="7">
        <v>29777.33</v>
      </c>
      <c r="F3707" t="s">
        <v>20</v>
      </c>
      <c r="G3707" t="s">
        <v>21</v>
      </c>
      <c r="H3707" t="str">
        <f>"MED201907018529"</f>
        <v>MED201907018529</v>
      </c>
      <c r="I3707" t="str">
        <f>"HEALTH &amp; DENTAL INSURANCE"</f>
        <v>HEALTH &amp; DENTAL INSURANCE</v>
      </c>
    </row>
    <row r="3708" spans="1:9" x14ac:dyDescent="0.25">
      <c r="A3708" s="6">
        <v>43648</v>
      </c>
      <c r="B3708" t="s">
        <v>91</v>
      </c>
      <c r="C3708">
        <v>61354</v>
      </c>
      <c r="D3708" t="s">
        <v>97</v>
      </c>
      <c r="E3708" s="7">
        <v>29777.33</v>
      </c>
      <c r="F3708" t="s">
        <v>20</v>
      </c>
      <c r="G3708" t="s">
        <v>93</v>
      </c>
      <c r="H3708" t="str">
        <f>"CHECK"</f>
        <v>CHECK</v>
      </c>
      <c r="I3708" t="str">
        <f>""</f>
        <v/>
      </c>
    </row>
    <row r="3709" spans="1:9" x14ac:dyDescent="0.25">
      <c r="A3709" s="6">
        <v>43648</v>
      </c>
      <c r="B3709" t="s">
        <v>91</v>
      </c>
      <c r="C3709">
        <v>61356</v>
      </c>
      <c r="D3709" t="s">
        <v>98</v>
      </c>
      <c r="E3709" s="7">
        <v>1880.75</v>
      </c>
      <c r="F3709" t="s">
        <v>20</v>
      </c>
      <c r="G3709" t="s">
        <v>21</v>
      </c>
      <c r="H3709" t="str">
        <f>"STD201907018529"</f>
        <v>STD201907018529</v>
      </c>
      <c r="I3709" t="str">
        <f>"SHORT TERM DISABILITY"</f>
        <v>SHORT TERM DISABILITY</v>
      </c>
    </row>
    <row r="3710" spans="1:9" x14ac:dyDescent="0.25">
      <c r="A3710" s="6">
        <v>43648</v>
      </c>
      <c r="B3710" t="s">
        <v>91</v>
      </c>
      <c r="C3710">
        <v>61356</v>
      </c>
      <c r="D3710" t="s">
        <v>98</v>
      </c>
      <c r="E3710" s="7">
        <v>1880.75</v>
      </c>
      <c r="F3710" t="s">
        <v>20</v>
      </c>
      <c r="G3710" t="s">
        <v>21</v>
      </c>
      <c r="H3710" t="str">
        <f>"VIS201907018529"</f>
        <v>VIS201907018529</v>
      </c>
      <c r="I3710" t="str">
        <f>"VISION INSURANCE"</f>
        <v>VISION INSURANCE</v>
      </c>
    </row>
    <row r="3711" spans="1:9" x14ac:dyDescent="0.25">
      <c r="A3711" s="6">
        <v>43648</v>
      </c>
      <c r="B3711" t="s">
        <v>91</v>
      </c>
      <c r="C3711">
        <v>61356</v>
      </c>
      <c r="D3711" t="s">
        <v>98</v>
      </c>
      <c r="E3711" s="7">
        <v>1880.75</v>
      </c>
      <c r="F3711" t="s">
        <v>20</v>
      </c>
      <c r="G3711" t="s">
        <v>21</v>
      </c>
      <c r="H3711" t="str">
        <f>"VLC201907018529"</f>
        <v>VLC201907018529</v>
      </c>
      <c r="I3711" t="str">
        <f>"CHILD LIFE INSURANCE"</f>
        <v>CHILD LIFE INSURANCE</v>
      </c>
    </row>
    <row r="3712" spans="1:9" x14ac:dyDescent="0.25">
      <c r="A3712" s="6">
        <v>43648</v>
      </c>
      <c r="B3712" t="s">
        <v>91</v>
      </c>
      <c r="C3712">
        <v>61356</v>
      </c>
      <c r="D3712" t="s">
        <v>98</v>
      </c>
      <c r="E3712" s="7">
        <v>1880.75</v>
      </c>
      <c r="F3712" t="s">
        <v>20</v>
      </c>
      <c r="G3712" t="s">
        <v>21</v>
      </c>
      <c r="H3712" t="str">
        <f>"VLS201907018529"</f>
        <v>VLS201907018529</v>
      </c>
      <c r="I3712" t="str">
        <f>"SPOUSE LIFE"</f>
        <v>SPOUSE LIFE</v>
      </c>
    </row>
    <row r="3713" spans="1:9" x14ac:dyDescent="0.25">
      <c r="A3713" s="6">
        <v>43648</v>
      </c>
      <c r="B3713" t="s">
        <v>91</v>
      </c>
      <c r="C3713">
        <v>61356</v>
      </c>
      <c r="D3713" t="s">
        <v>98</v>
      </c>
      <c r="E3713" s="7">
        <v>1880.75</v>
      </c>
      <c r="F3713" t="s">
        <v>20</v>
      </c>
      <c r="G3713" t="s">
        <v>21</v>
      </c>
      <c r="H3713" t="str">
        <f>"VOE201907018529"</f>
        <v>VOE201907018529</v>
      </c>
      <c r="I3713" t="str">
        <f>"EMPLOYEE LIFE"</f>
        <v>EMPLOYEE LIFE</v>
      </c>
    </row>
    <row r="3714" spans="1:9" x14ac:dyDescent="0.25">
      <c r="A3714" s="6">
        <v>43648</v>
      </c>
      <c r="B3714" t="s">
        <v>91</v>
      </c>
      <c r="C3714">
        <v>61356</v>
      </c>
      <c r="D3714" t="s">
        <v>98</v>
      </c>
      <c r="E3714" s="7">
        <v>1880.75</v>
      </c>
      <c r="F3714" t="s">
        <v>20</v>
      </c>
      <c r="G3714" t="s">
        <v>21</v>
      </c>
      <c r="H3714" t="str">
        <f>"VOL201907018529"</f>
        <v>VOL201907018529</v>
      </c>
      <c r="I3714" t="str">
        <f>"LIFE"</f>
        <v>LIFE</v>
      </c>
    </row>
    <row r="3715" spans="1:9" x14ac:dyDescent="0.25">
      <c r="A3715" s="6">
        <v>43648</v>
      </c>
      <c r="B3715" t="s">
        <v>91</v>
      </c>
      <c r="C3715">
        <v>61356</v>
      </c>
      <c r="D3715" t="s">
        <v>98</v>
      </c>
      <c r="E3715" s="7">
        <v>1880.75</v>
      </c>
      <c r="F3715" t="s">
        <v>20</v>
      </c>
      <c r="G3715" t="s">
        <v>93</v>
      </c>
      <c r="H3715" t="str">
        <f>"CHECK"</f>
        <v>CHECK</v>
      </c>
      <c r="I3715" t="str">
        <f>""</f>
        <v/>
      </c>
    </row>
    <row r="3716" spans="1:9" x14ac:dyDescent="0.25">
      <c r="A3716" s="6">
        <v>43648</v>
      </c>
      <c r="B3716" t="s">
        <v>26</v>
      </c>
      <c r="C3716">
        <v>61360</v>
      </c>
      <c r="D3716" t="s">
        <v>57</v>
      </c>
      <c r="E3716" s="7">
        <v>25122.71</v>
      </c>
      <c r="F3716" t="s">
        <v>20</v>
      </c>
      <c r="G3716" t="s">
        <v>21</v>
      </c>
      <c r="H3716" t="str">
        <f>"11617 JULY 2019"</f>
        <v>11617 JULY 2019</v>
      </c>
      <c r="I3716" t="str">
        <f>"F.E.L.P.S."</f>
        <v>F.E.L.P.S.</v>
      </c>
    </row>
    <row r="3717" spans="1:9" x14ac:dyDescent="0.25">
      <c r="A3717" s="6">
        <v>43648</v>
      </c>
      <c r="B3717" t="s">
        <v>26</v>
      </c>
      <c r="C3717">
        <v>61361</v>
      </c>
      <c r="D3717" t="s">
        <v>90</v>
      </c>
      <c r="E3717" s="7">
        <v>1884.6</v>
      </c>
      <c r="F3717" t="s">
        <v>20</v>
      </c>
      <c r="G3717" t="s">
        <v>21</v>
      </c>
      <c r="H3717" t="str">
        <f>"062987"</f>
        <v>062987</v>
      </c>
      <c r="I3717" t="str">
        <f>"AFLAC"</f>
        <v>AFLAC</v>
      </c>
    </row>
    <row r="3718" spans="1:9" x14ac:dyDescent="0.25">
      <c r="A3718" s="6">
        <v>43648</v>
      </c>
      <c r="B3718" t="s">
        <v>91</v>
      </c>
      <c r="C3718">
        <v>61362</v>
      </c>
      <c r="D3718" t="s">
        <v>741</v>
      </c>
      <c r="E3718" s="7">
        <v>405</v>
      </c>
      <c r="F3718" t="s">
        <v>20</v>
      </c>
      <c r="G3718" t="s">
        <v>21</v>
      </c>
      <c r="H3718" t="str">
        <f>"REFUND 6/24/19"</f>
        <v>REFUND 6/24/19</v>
      </c>
      <c r="I3718" t="str">
        <f>"REFUND"</f>
        <v>REFUND</v>
      </c>
    </row>
    <row r="3719" spans="1:9" x14ac:dyDescent="0.25">
      <c r="A3719" s="6">
        <v>43648</v>
      </c>
      <c r="B3719" t="s">
        <v>91</v>
      </c>
      <c r="C3719">
        <v>61362</v>
      </c>
      <c r="D3719" t="s">
        <v>742</v>
      </c>
      <c r="E3719" s="7">
        <v>405</v>
      </c>
      <c r="F3719" t="s">
        <v>20</v>
      </c>
      <c r="G3719" t="s">
        <v>93</v>
      </c>
      <c r="H3719" t="str">
        <f>"CHECK"</f>
        <v>CHECK</v>
      </c>
      <c r="I3719" t="str">
        <f>""</f>
        <v/>
      </c>
    </row>
    <row r="3720" spans="1:9" x14ac:dyDescent="0.25">
      <c r="A3720" s="6">
        <v>43648</v>
      </c>
      <c r="B3720" t="s">
        <v>91</v>
      </c>
      <c r="C3720">
        <v>61363</v>
      </c>
      <c r="D3720" t="s">
        <v>743</v>
      </c>
      <c r="E3720" s="7">
        <v>405</v>
      </c>
      <c r="F3720" t="s">
        <v>20</v>
      </c>
      <c r="G3720" t="s">
        <v>21</v>
      </c>
      <c r="H3720" t="str">
        <f>"REFUND 6/24/2019"</f>
        <v>REFUND 6/24/2019</v>
      </c>
      <c r="I3720" t="str">
        <f>"REFUND"</f>
        <v>REFUND</v>
      </c>
    </row>
    <row r="3721" spans="1:9" x14ac:dyDescent="0.25">
      <c r="A3721" s="6">
        <v>43648</v>
      </c>
      <c r="B3721" t="s">
        <v>91</v>
      </c>
      <c r="C3721">
        <v>61363</v>
      </c>
      <c r="D3721" t="s">
        <v>744</v>
      </c>
      <c r="E3721" s="7">
        <v>405</v>
      </c>
      <c r="F3721" t="s">
        <v>20</v>
      </c>
      <c r="G3721" t="s">
        <v>93</v>
      </c>
      <c r="H3721" t="str">
        <f>"CHECK"</f>
        <v>CHECK</v>
      </c>
      <c r="I3721" t="str">
        <f>""</f>
        <v/>
      </c>
    </row>
    <row r="3722" spans="1:9" x14ac:dyDescent="0.25">
      <c r="A3722" s="6">
        <v>43648</v>
      </c>
      <c r="B3722" t="s">
        <v>26</v>
      </c>
      <c r="C3722">
        <v>61364</v>
      </c>
      <c r="D3722" t="s">
        <v>745</v>
      </c>
      <c r="E3722" s="7">
        <v>50</v>
      </c>
      <c r="F3722" t="s">
        <v>20</v>
      </c>
      <c r="G3722" t="s">
        <v>21</v>
      </c>
      <c r="H3722" t="str">
        <f>"REFUND 6/30/19"</f>
        <v>REFUND 6/30/19</v>
      </c>
      <c r="I3722" t="str">
        <f>"REF"</f>
        <v>REF</v>
      </c>
    </row>
    <row r="3723" spans="1:9" x14ac:dyDescent="0.25">
      <c r="A3723" s="6">
        <v>43648</v>
      </c>
      <c r="B3723" t="s">
        <v>26</v>
      </c>
      <c r="C3723">
        <v>61365</v>
      </c>
      <c r="D3723" t="s">
        <v>746</v>
      </c>
      <c r="E3723" s="7">
        <v>430</v>
      </c>
      <c r="F3723" t="s">
        <v>20</v>
      </c>
      <c r="G3723" t="s">
        <v>21</v>
      </c>
      <c r="H3723" t="str">
        <f>"REFUND 7/1/2019"</f>
        <v>REFUND 7/1/2019</v>
      </c>
      <c r="I3723" t="str">
        <f>"REFUND"</f>
        <v>REFUND</v>
      </c>
    </row>
    <row r="3724" spans="1:9" x14ac:dyDescent="0.25">
      <c r="A3724" s="6">
        <v>43648</v>
      </c>
      <c r="B3724" t="s">
        <v>26</v>
      </c>
      <c r="C3724">
        <v>61366</v>
      </c>
      <c r="D3724" t="s">
        <v>0</v>
      </c>
      <c r="E3724" s="7">
        <v>3840.74</v>
      </c>
      <c r="F3724" t="s">
        <v>20</v>
      </c>
      <c r="G3724" t="s">
        <v>21</v>
      </c>
      <c r="H3724" t="str">
        <f>"JUNE 2019"</f>
        <v>JUNE 2019</v>
      </c>
      <c r="I3724" t="str">
        <f>"CITY OF FLORESVILLE"</f>
        <v>CITY OF FLORESVILLE</v>
      </c>
    </row>
    <row r="3725" spans="1:9" x14ac:dyDescent="0.25">
      <c r="A3725" s="6">
        <v>43648</v>
      </c>
      <c r="B3725" t="s">
        <v>26</v>
      </c>
      <c r="C3725">
        <v>61367</v>
      </c>
      <c r="D3725" t="s">
        <v>368</v>
      </c>
      <c r="E3725" s="7">
        <v>15750</v>
      </c>
      <c r="F3725" t="s">
        <v>20</v>
      </c>
      <c r="G3725" t="s">
        <v>21</v>
      </c>
      <c r="H3725" t="str">
        <f>"3RD QRT PAYMENT"</f>
        <v>3RD QRT PAYMENT</v>
      </c>
      <c r="I3725" t="str">
        <f>"FLORESVILLE FIRE DEPARTMENT"</f>
        <v>FLORESVILLE FIRE DEPARTMENT</v>
      </c>
    </row>
    <row r="3726" spans="1:9" x14ac:dyDescent="0.25">
      <c r="A3726" s="6">
        <v>43648</v>
      </c>
      <c r="B3726" t="s">
        <v>26</v>
      </c>
      <c r="C3726">
        <v>61368</v>
      </c>
      <c r="D3726" t="s">
        <v>95</v>
      </c>
      <c r="E3726" s="7">
        <v>64.959999999999994</v>
      </c>
      <c r="F3726" t="s">
        <v>20</v>
      </c>
      <c r="G3726" t="s">
        <v>21</v>
      </c>
      <c r="H3726" t="str">
        <f>"201906059"</f>
        <v>201906059</v>
      </c>
      <c r="I3726" t="str">
        <f>"LEGAL PLANS"</f>
        <v>LEGAL PLANS</v>
      </c>
    </row>
    <row r="3727" spans="1:9" x14ac:dyDescent="0.25">
      <c r="A3727" s="6">
        <v>43648</v>
      </c>
      <c r="B3727" t="s">
        <v>26</v>
      </c>
      <c r="C3727">
        <v>61369</v>
      </c>
      <c r="D3727" t="s">
        <v>96</v>
      </c>
      <c r="E3727" s="7">
        <v>352.65</v>
      </c>
      <c r="F3727" t="s">
        <v>20</v>
      </c>
      <c r="G3727" t="s">
        <v>21</v>
      </c>
      <c r="H3727" t="str">
        <f>"JUNE 2019"</f>
        <v>JUNE 2019</v>
      </c>
      <c r="I3727" t="str">
        <f>"LEGALSHIELD"</f>
        <v>LEGALSHIELD</v>
      </c>
    </row>
    <row r="3728" spans="1:9" x14ac:dyDescent="0.25">
      <c r="A3728" s="6">
        <v>43648</v>
      </c>
      <c r="B3728" t="s">
        <v>26</v>
      </c>
      <c r="C3728">
        <v>61370</v>
      </c>
      <c r="D3728" t="s">
        <v>122</v>
      </c>
      <c r="E3728" s="7">
        <v>303</v>
      </c>
      <c r="F3728" t="s">
        <v>20</v>
      </c>
      <c r="G3728" t="s">
        <v>21</v>
      </c>
      <c r="H3728" t="str">
        <f>"880511"</f>
        <v>880511</v>
      </c>
      <c r="I3728" t="str">
        <f>"TIRE FLATS/REPAIR"</f>
        <v>TIRE FLATS/REPAIR</v>
      </c>
    </row>
    <row r="3729" spans="1:9" x14ac:dyDescent="0.25">
      <c r="A3729" s="6">
        <v>43648</v>
      </c>
      <c r="B3729" t="s">
        <v>26</v>
      </c>
      <c r="C3729">
        <v>61370</v>
      </c>
      <c r="D3729" t="s">
        <v>122</v>
      </c>
      <c r="E3729" s="7">
        <v>303</v>
      </c>
      <c r="F3729" t="s">
        <v>20</v>
      </c>
      <c r="G3729" t="s">
        <v>21</v>
      </c>
      <c r="H3729" t="str">
        <f>"880524"</f>
        <v>880524</v>
      </c>
      <c r="I3729" t="str">
        <f>"TIRE REPAIR"</f>
        <v>TIRE REPAIR</v>
      </c>
    </row>
    <row r="3730" spans="1:9" x14ac:dyDescent="0.25">
      <c r="A3730" s="6">
        <v>43648</v>
      </c>
      <c r="B3730" t="s">
        <v>26</v>
      </c>
      <c r="C3730">
        <v>61370</v>
      </c>
      <c r="D3730" t="s">
        <v>122</v>
      </c>
      <c r="E3730" s="7">
        <v>303</v>
      </c>
      <c r="F3730" t="s">
        <v>20</v>
      </c>
      <c r="G3730" t="s">
        <v>21</v>
      </c>
      <c r="H3730" t="str">
        <f>"880525"</f>
        <v>880525</v>
      </c>
      <c r="I3730" t="str">
        <f>"TIRE REPAIR"</f>
        <v>TIRE REPAIR</v>
      </c>
    </row>
    <row r="3731" spans="1:9" x14ac:dyDescent="0.25">
      <c r="A3731" s="6">
        <v>43648</v>
      </c>
      <c r="B3731" t="s">
        <v>26</v>
      </c>
      <c r="C3731">
        <v>61370</v>
      </c>
      <c r="D3731" t="s">
        <v>122</v>
      </c>
      <c r="E3731" s="7">
        <v>303</v>
      </c>
      <c r="F3731" t="s">
        <v>20</v>
      </c>
      <c r="G3731" t="s">
        <v>21</v>
      </c>
      <c r="H3731" t="str">
        <f>"880532"</f>
        <v>880532</v>
      </c>
      <c r="I3731" t="str">
        <f>"TIRE REPAIR"</f>
        <v>TIRE REPAIR</v>
      </c>
    </row>
    <row r="3732" spans="1:9" x14ac:dyDescent="0.25">
      <c r="A3732" s="6">
        <v>43648</v>
      </c>
      <c r="B3732" t="s">
        <v>26</v>
      </c>
      <c r="C3732">
        <v>61370</v>
      </c>
      <c r="D3732" t="s">
        <v>122</v>
      </c>
      <c r="E3732" s="7">
        <v>303</v>
      </c>
      <c r="F3732" t="s">
        <v>20</v>
      </c>
      <c r="G3732" t="s">
        <v>21</v>
      </c>
      <c r="H3732" t="str">
        <f>"890462"</f>
        <v>890462</v>
      </c>
      <c r="I3732" t="str">
        <f>"TIRE"</f>
        <v>TIRE</v>
      </c>
    </row>
    <row r="3733" spans="1:9" x14ac:dyDescent="0.25">
      <c r="A3733" s="6">
        <v>43648</v>
      </c>
      <c r="B3733" t="s">
        <v>26</v>
      </c>
      <c r="C3733">
        <v>61371</v>
      </c>
      <c r="D3733" t="s">
        <v>74</v>
      </c>
      <c r="E3733" s="7">
        <v>30.12</v>
      </c>
      <c r="F3733" t="s">
        <v>20</v>
      </c>
      <c r="G3733" t="s">
        <v>21</v>
      </c>
      <c r="H3733" t="str">
        <f>"9831659763"</f>
        <v>9831659763</v>
      </c>
      <c r="I3733" t="str">
        <f>"VERIZON WIRELESS"</f>
        <v>VERIZON WIRELESS</v>
      </c>
    </row>
    <row r="3734" spans="1:9" x14ac:dyDescent="0.25">
      <c r="A3734" s="6">
        <v>43648</v>
      </c>
      <c r="B3734" t="s">
        <v>26</v>
      </c>
      <c r="C3734">
        <v>61372</v>
      </c>
      <c r="D3734" t="s">
        <v>75</v>
      </c>
      <c r="E3734" s="7">
        <v>997.38</v>
      </c>
      <c r="F3734" t="s">
        <v>20</v>
      </c>
      <c r="G3734" t="s">
        <v>21</v>
      </c>
      <c r="H3734" t="str">
        <f>"8184 7/2019"</f>
        <v>8184 7/2019</v>
      </c>
      <c r="I3734" t="str">
        <f>"TRACTOR SUPPLY CREDIT PLAN"</f>
        <v>TRACTOR SUPPLY CREDIT PLAN</v>
      </c>
    </row>
    <row r="3735" spans="1:9" x14ac:dyDescent="0.25">
      <c r="A3735" s="6">
        <v>43648</v>
      </c>
      <c r="B3735" t="s">
        <v>26</v>
      </c>
      <c r="C3735">
        <v>61373</v>
      </c>
      <c r="D3735" t="s">
        <v>124</v>
      </c>
      <c r="E3735" s="7">
        <v>91.3</v>
      </c>
      <c r="F3735" t="s">
        <v>20</v>
      </c>
      <c r="G3735" t="s">
        <v>21</v>
      </c>
      <c r="H3735" t="str">
        <f>"11174219"</f>
        <v>11174219</v>
      </c>
      <c r="I3735" t="str">
        <f>"SPORT COMPLEX MATERIAL"</f>
        <v>SPORT COMPLEX MATERIAL</v>
      </c>
    </row>
    <row r="3736" spans="1:9" x14ac:dyDescent="0.25">
      <c r="A3736" s="6">
        <v>43648</v>
      </c>
      <c r="B3736" t="s">
        <v>91</v>
      </c>
      <c r="C3736">
        <v>61374</v>
      </c>
      <c r="D3736" t="s">
        <v>747</v>
      </c>
      <c r="E3736" s="7">
        <v>175</v>
      </c>
      <c r="F3736" t="s">
        <v>20</v>
      </c>
      <c r="G3736" t="s">
        <v>21</v>
      </c>
      <c r="H3736" t="str">
        <f>"6/29-29/2019 FF"</f>
        <v>6/29-29/2019 FF</v>
      </c>
      <c r="I3736" t="str">
        <f>"AMANDA MONTOYA"</f>
        <v>AMANDA MONTOYA</v>
      </c>
    </row>
    <row r="3737" spans="1:9" x14ac:dyDescent="0.25">
      <c r="A3737" s="6">
        <v>43648</v>
      </c>
      <c r="B3737" t="s">
        <v>91</v>
      </c>
      <c r="C3737">
        <v>61374</v>
      </c>
      <c r="D3737" t="s">
        <v>747</v>
      </c>
      <c r="E3737" s="7">
        <v>175</v>
      </c>
      <c r="F3737" t="s">
        <v>20</v>
      </c>
      <c r="G3737" t="s">
        <v>93</v>
      </c>
      <c r="H3737" t="str">
        <f>"CHECK"</f>
        <v>CHECK</v>
      </c>
      <c r="I3737" t="str">
        <f>""</f>
        <v/>
      </c>
    </row>
    <row r="3738" spans="1:9" x14ac:dyDescent="0.25">
      <c r="A3738" s="6">
        <v>43648</v>
      </c>
      <c r="B3738" t="s">
        <v>26</v>
      </c>
      <c r="C3738">
        <v>61375</v>
      </c>
      <c r="D3738" t="s">
        <v>98</v>
      </c>
      <c r="E3738" s="7">
        <v>3510.28</v>
      </c>
      <c r="F3738" t="s">
        <v>20</v>
      </c>
      <c r="G3738" t="s">
        <v>21</v>
      </c>
      <c r="H3738" t="str">
        <f>"JULY 2019"</f>
        <v>JULY 2019</v>
      </c>
      <c r="I3738" t="str">
        <f>"DEARBORN NATIONAL"</f>
        <v>DEARBORN NATIONAL</v>
      </c>
    </row>
    <row r="3739" spans="1:9" x14ac:dyDescent="0.25">
      <c r="A3739" s="6">
        <v>43648</v>
      </c>
      <c r="B3739" t="s">
        <v>26</v>
      </c>
      <c r="C3739">
        <v>61376</v>
      </c>
      <c r="D3739" t="s">
        <v>85</v>
      </c>
      <c r="E3739" s="7">
        <v>630.54</v>
      </c>
      <c r="F3739" t="s">
        <v>20</v>
      </c>
      <c r="G3739" t="s">
        <v>21</v>
      </c>
      <c r="H3739" t="str">
        <f>"8303932056 7/19"</f>
        <v>8303932056 7/19</v>
      </c>
      <c r="I3739" t="str">
        <f>"FRONTIER"</f>
        <v>FRONTIER</v>
      </c>
    </row>
    <row r="3740" spans="1:9" x14ac:dyDescent="0.25">
      <c r="A3740" s="6">
        <v>43648</v>
      </c>
      <c r="B3740" t="s">
        <v>26</v>
      </c>
      <c r="C3740">
        <v>61376</v>
      </c>
      <c r="D3740" t="s">
        <v>85</v>
      </c>
      <c r="E3740" s="7">
        <v>630.54</v>
      </c>
      <c r="F3740" t="s">
        <v>20</v>
      </c>
      <c r="G3740" t="s">
        <v>21</v>
      </c>
      <c r="H3740" t="str">
        <f>"8303933105 7/19"</f>
        <v>8303933105 7/19</v>
      </c>
      <c r="I3740" t="str">
        <f>"FRONTIER"</f>
        <v>FRONTIER</v>
      </c>
    </row>
    <row r="3741" spans="1:9" x14ac:dyDescent="0.25">
      <c r="A3741" s="6">
        <v>43648</v>
      </c>
      <c r="B3741" t="s">
        <v>26</v>
      </c>
      <c r="C3741">
        <v>61376</v>
      </c>
      <c r="D3741" t="s">
        <v>85</v>
      </c>
      <c r="E3741" s="7">
        <v>630.54</v>
      </c>
      <c r="F3741" t="s">
        <v>20</v>
      </c>
      <c r="G3741" t="s">
        <v>21</v>
      </c>
      <c r="H3741" t="str">
        <f>"8303933186 7/19"</f>
        <v>8303933186 7/19</v>
      </c>
      <c r="I3741" t="str">
        <f>"FRONTIER"</f>
        <v>FRONTIER</v>
      </c>
    </row>
    <row r="3742" spans="1:9" x14ac:dyDescent="0.25">
      <c r="A3742" s="6">
        <v>43648</v>
      </c>
      <c r="B3742" t="s">
        <v>26</v>
      </c>
      <c r="C3742">
        <v>61376</v>
      </c>
      <c r="D3742" t="s">
        <v>85</v>
      </c>
      <c r="E3742" s="7">
        <v>630.54</v>
      </c>
      <c r="F3742" t="s">
        <v>20</v>
      </c>
      <c r="G3742" t="s">
        <v>21</v>
      </c>
      <c r="H3742" t="str">
        <f>"8303936616 7/19"</f>
        <v>8303936616 7/19</v>
      </c>
      <c r="I3742" t="str">
        <f>"FRONTIER"</f>
        <v>FRONTIER</v>
      </c>
    </row>
    <row r="3743" spans="1:9" x14ac:dyDescent="0.25">
      <c r="A3743" s="6">
        <v>43648</v>
      </c>
      <c r="B3743" t="s">
        <v>26</v>
      </c>
      <c r="C3743">
        <v>61376</v>
      </c>
      <c r="D3743" t="s">
        <v>85</v>
      </c>
      <c r="E3743" s="7">
        <v>630.54</v>
      </c>
      <c r="F3743" t="s">
        <v>20</v>
      </c>
      <c r="G3743" t="s">
        <v>21</v>
      </c>
      <c r="H3743" t="str">
        <f>"8303939456 7/19"</f>
        <v>8303939456 7/19</v>
      </c>
      <c r="I3743" t="str">
        <f>"FRONTIER"</f>
        <v>FRONTIER</v>
      </c>
    </row>
    <row r="3744" spans="1:9" x14ac:dyDescent="0.25">
      <c r="A3744" s="6">
        <v>43648</v>
      </c>
      <c r="B3744" t="s">
        <v>26</v>
      </c>
      <c r="C3744">
        <v>61377</v>
      </c>
      <c r="D3744" t="s">
        <v>612</v>
      </c>
      <c r="E3744" s="7">
        <v>90</v>
      </c>
      <c r="F3744" t="s">
        <v>20</v>
      </c>
      <c r="G3744" t="s">
        <v>21</v>
      </c>
      <c r="H3744" t="str">
        <f>"6/29/19 FRD FEST"</f>
        <v>6/29/19 FRD FEST</v>
      </c>
      <c r="I3744" t="str">
        <f>"JENNIFER MARIE MURILLO"</f>
        <v>JENNIFER MARIE MURILLO</v>
      </c>
    </row>
    <row r="3745" spans="1:9" x14ac:dyDescent="0.25">
      <c r="A3745" s="6">
        <v>43648</v>
      </c>
      <c r="B3745" t="s">
        <v>26</v>
      </c>
      <c r="C3745">
        <v>61378</v>
      </c>
      <c r="D3745" t="s">
        <v>420</v>
      </c>
      <c r="E3745" s="7">
        <v>90</v>
      </c>
      <c r="F3745" t="s">
        <v>20</v>
      </c>
      <c r="G3745" t="s">
        <v>21</v>
      </c>
      <c r="H3745" t="str">
        <f>"6/29/2019 FRDM FES"</f>
        <v>6/29/2019 FRDM FES</v>
      </c>
      <c r="I3745" t="str">
        <f>"TERESA A. PENA-RODRIGUEZ"</f>
        <v>TERESA A. PENA-RODRIGUEZ</v>
      </c>
    </row>
    <row r="3746" spans="1:9" x14ac:dyDescent="0.25">
      <c r="A3746" s="6">
        <v>43648</v>
      </c>
      <c r="B3746" t="s">
        <v>26</v>
      </c>
      <c r="C3746">
        <v>61379</v>
      </c>
      <c r="D3746" t="s">
        <v>748</v>
      </c>
      <c r="E3746" s="7">
        <v>90</v>
      </c>
      <c r="F3746" t="s">
        <v>20</v>
      </c>
      <c r="G3746" t="s">
        <v>21</v>
      </c>
      <c r="H3746" t="str">
        <f>"6/29/2019 FF"</f>
        <v>6/29/2019 FF</v>
      </c>
      <c r="I3746" t="str">
        <f>"LISA ANN MURILLO"</f>
        <v>LISA ANN MURILLO</v>
      </c>
    </row>
    <row r="3747" spans="1:9" x14ac:dyDescent="0.25">
      <c r="A3747" s="6">
        <v>43648</v>
      </c>
      <c r="B3747" t="s">
        <v>26</v>
      </c>
      <c r="C3747">
        <v>61380</v>
      </c>
      <c r="D3747" t="s">
        <v>345</v>
      </c>
      <c r="E3747" s="7">
        <v>418</v>
      </c>
      <c r="F3747" t="s">
        <v>20</v>
      </c>
      <c r="G3747" t="s">
        <v>21</v>
      </c>
      <c r="H3747" t="str">
        <f>"7/1/2019"</f>
        <v>7/1/2019</v>
      </c>
      <c r="I3747" t="str">
        <f>"MICHAEL ISAAC MARTINEZ"</f>
        <v>MICHAEL ISAAC MARTINEZ</v>
      </c>
    </row>
    <row r="3748" spans="1:9" x14ac:dyDescent="0.25">
      <c r="A3748" s="6">
        <v>43648</v>
      </c>
      <c r="B3748" t="s">
        <v>26</v>
      </c>
      <c r="C3748">
        <v>61381</v>
      </c>
      <c r="D3748" t="s">
        <v>584</v>
      </c>
      <c r="E3748" s="7">
        <v>185</v>
      </c>
      <c r="F3748" t="s">
        <v>20</v>
      </c>
      <c r="G3748" t="s">
        <v>21</v>
      </c>
      <c r="H3748" t="str">
        <f>"6/28-29/2019 FF"</f>
        <v>6/28-29/2019 FF</v>
      </c>
      <c r="I3748" t="str">
        <f>"AMANDA SENDEJO"</f>
        <v>AMANDA SENDEJO</v>
      </c>
    </row>
    <row r="3749" spans="1:9" x14ac:dyDescent="0.25">
      <c r="A3749" s="6">
        <v>43648</v>
      </c>
      <c r="B3749" t="s">
        <v>26</v>
      </c>
      <c r="C3749">
        <v>61382</v>
      </c>
      <c r="D3749" t="s">
        <v>452</v>
      </c>
      <c r="E3749" s="7">
        <v>220</v>
      </c>
      <c r="F3749" t="s">
        <v>20</v>
      </c>
      <c r="G3749" t="s">
        <v>21</v>
      </c>
      <c r="H3749" t="str">
        <f>"6/28/-29/2019"</f>
        <v>6/28/-29/2019</v>
      </c>
      <c r="I3749" t="str">
        <f>"DESIREE PEREZ"</f>
        <v>DESIREE PEREZ</v>
      </c>
    </row>
    <row r="3750" spans="1:9" x14ac:dyDescent="0.25">
      <c r="A3750" s="6">
        <v>43648</v>
      </c>
      <c r="B3750" t="s">
        <v>26</v>
      </c>
      <c r="C3750">
        <v>61383</v>
      </c>
      <c r="D3750" t="s">
        <v>443</v>
      </c>
      <c r="E3750" s="7">
        <v>2075</v>
      </c>
      <c r="F3750" t="s">
        <v>20</v>
      </c>
      <c r="G3750" t="s">
        <v>21</v>
      </c>
      <c r="H3750" t="str">
        <f>"10574"</f>
        <v>10574</v>
      </c>
      <c r="I3750" t="str">
        <f>"RIOJAS TURF CARE  LLC"</f>
        <v>RIOJAS TURF CARE  LLC</v>
      </c>
    </row>
    <row r="3751" spans="1:9" x14ac:dyDescent="0.25">
      <c r="A3751" s="6">
        <v>43648</v>
      </c>
      <c r="B3751" t="s">
        <v>26</v>
      </c>
      <c r="C3751">
        <v>61384</v>
      </c>
      <c r="D3751" t="s">
        <v>465</v>
      </c>
      <c r="E3751" s="7">
        <v>90</v>
      </c>
      <c r="F3751" t="s">
        <v>20</v>
      </c>
      <c r="G3751" t="s">
        <v>21</v>
      </c>
      <c r="H3751" t="str">
        <f>"6/29/2019 FRDM FES"</f>
        <v>6/29/2019 FRDM FES</v>
      </c>
      <c r="I3751" t="str">
        <f>"ALEXIS RIOJAS"</f>
        <v>ALEXIS RIOJAS</v>
      </c>
    </row>
    <row r="3752" spans="1:9" x14ac:dyDescent="0.25">
      <c r="A3752" s="6">
        <v>43648</v>
      </c>
      <c r="B3752" t="s">
        <v>26</v>
      </c>
      <c r="C3752">
        <v>61385</v>
      </c>
      <c r="D3752" t="s">
        <v>644</v>
      </c>
      <c r="E3752" s="7">
        <v>386.01</v>
      </c>
      <c r="F3752" t="s">
        <v>20</v>
      </c>
      <c r="G3752" t="s">
        <v>21</v>
      </c>
      <c r="H3752" t="str">
        <f>"8213333007"</f>
        <v>8213333007</v>
      </c>
      <c r="I3752" t="str">
        <f t="shared" ref="I3752:I3757" si="70">"UNIFIRST CORPORATION"</f>
        <v>UNIFIRST CORPORATION</v>
      </c>
    </row>
    <row r="3753" spans="1:9" x14ac:dyDescent="0.25">
      <c r="A3753" s="6">
        <v>43648</v>
      </c>
      <c r="B3753" t="s">
        <v>26</v>
      </c>
      <c r="C3753">
        <v>61385</v>
      </c>
      <c r="D3753" t="s">
        <v>644</v>
      </c>
      <c r="E3753" s="7">
        <v>386.01</v>
      </c>
      <c r="F3753" t="s">
        <v>20</v>
      </c>
      <c r="G3753" t="s">
        <v>21</v>
      </c>
      <c r="H3753" t="str">
        <f>"8213333009"</f>
        <v>8213333009</v>
      </c>
      <c r="I3753" t="str">
        <f t="shared" si="70"/>
        <v>UNIFIRST CORPORATION</v>
      </c>
    </row>
    <row r="3754" spans="1:9" x14ac:dyDescent="0.25">
      <c r="A3754" s="6">
        <v>43648</v>
      </c>
      <c r="B3754" t="s">
        <v>26</v>
      </c>
      <c r="C3754">
        <v>61385</v>
      </c>
      <c r="D3754" t="s">
        <v>644</v>
      </c>
      <c r="E3754" s="7">
        <v>386.01</v>
      </c>
      <c r="F3754" t="s">
        <v>20</v>
      </c>
      <c r="G3754" t="s">
        <v>21</v>
      </c>
      <c r="H3754" t="str">
        <f>"8213333010"</f>
        <v>8213333010</v>
      </c>
      <c r="I3754" t="str">
        <f t="shared" si="70"/>
        <v>UNIFIRST CORPORATION</v>
      </c>
    </row>
    <row r="3755" spans="1:9" x14ac:dyDescent="0.25">
      <c r="A3755" s="6">
        <v>43648</v>
      </c>
      <c r="B3755" t="s">
        <v>26</v>
      </c>
      <c r="C3755">
        <v>61385</v>
      </c>
      <c r="D3755" t="s">
        <v>644</v>
      </c>
      <c r="E3755" s="7">
        <v>386.01</v>
      </c>
      <c r="F3755" t="s">
        <v>20</v>
      </c>
      <c r="G3755" t="s">
        <v>21</v>
      </c>
      <c r="H3755" t="str">
        <f>"8213333011"</f>
        <v>8213333011</v>
      </c>
      <c r="I3755" t="str">
        <f t="shared" si="70"/>
        <v>UNIFIRST CORPORATION</v>
      </c>
    </row>
    <row r="3756" spans="1:9" x14ac:dyDescent="0.25">
      <c r="A3756" s="6">
        <v>43648</v>
      </c>
      <c r="B3756" t="s">
        <v>26</v>
      </c>
      <c r="C3756">
        <v>61385</v>
      </c>
      <c r="D3756" t="s">
        <v>644</v>
      </c>
      <c r="E3756" s="7">
        <v>386.01</v>
      </c>
      <c r="F3756" t="s">
        <v>20</v>
      </c>
      <c r="G3756" t="s">
        <v>21</v>
      </c>
      <c r="H3756" t="str">
        <f>"8213333012"</f>
        <v>8213333012</v>
      </c>
      <c r="I3756" t="str">
        <f t="shared" si="70"/>
        <v>UNIFIRST CORPORATION</v>
      </c>
    </row>
    <row r="3757" spans="1:9" x14ac:dyDescent="0.25">
      <c r="A3757" s="6">
        <v>43648</v>
      </c>
      <c r="B3757" t="s">
        <v>26</v>
      </c>
      <c r="C3757">
        <v>61385</v>
      </c>
      <c r="D3757" t="s">
        <v>644</v>
      </c>
      <c r="E3757" s="7">
        <v>386.01</v>
      </c>
      <c r="F3757" t="s">
        <v>20</v>
      </c>
      <c r="G3757" t="s">
        <v>21</v>
      </c>
      <c r="H3757" t="str">
        <f>"821333308"</f>
        <v>821333308</v>
      </c>
      <c r="I3757" t="str">
        <f t="shared" si="70"/>
        <v>UNIFIRST CORPORATION</v>
      </c>
    </row>
    <row r="3758" spans="1:9" x14ac:dyDescent="0.25">
      <c r="A3758" s="6">
        <v>43648</v>
      </c>
      <c r="B3758" t="s">
        <v>26</v>
      </c>
      <c r="C3758">
        <v>61387</v>
      </c>
      <c r="D3758" t="s">
        <v>647</v>
      </c>
      <c r="E3758" s="7">
        <v>3173.4</v>
      </c>
      <c r="F3758" t="s">
        <v>20</v>
      </c>
      <c r="G3758" t="s">
        <v>21</v>
      </c>
      <c r="H3758" t="str">
        <f>"24952489"</f>
        <v>24952489</v>
      </c>
      <c r="I3758" t="str">
        <f>"DOCUMATION  INC."</f>
        <v>DOCUMATION  INC.</v>
      </c>
    </row>
    <row r="3759" spans="1:9" x14ac:dyDescent="0.25">
      <c r="A3759" s="6">
        <v>43648</v>
      </c>
      <c r="B3759" t="s">
        <v>26</v>
      </c>
      <c r="C3759">
        <v>61388</v>
      </c>
      <c r="D3759" t="s">
        <v>656</v>
      </c>
      <c r="E3759" s="7">
        <v>120</v>
      </c>
      <c r="F3759" t="s">
        <v>20</v>
      </c>
      <c r="G3759" t="s">
        <v>21</v>
      </c>
      <c r="H3759" t="str">
        <f>"6-28-29-2019"</f>
        <v>6-28-29-2019</v>
      </c>
      <c r="I3759" t="str">
        <f>"SONIA ESTRADA"</f>
        <v>SONIA ESTRADA</v>
      </c>
    </row>
    <row r="3760" spans="1:9" x14ac:dyDescent="0.25">
      <c r="A3760" s="6">
        <v>43648</v>
      </c>
      <c r="B3760" t="s">
        <v>26</v>
      </c>
      <c r="C3760">
        <v>61389</v>
      </c>
      <c r="D3760" t="s">
        <v>669</v>
      </c>
      <c r="E3760" s="7">
        <v>70</v>
      </c>
      <c r="F3760" t="s">
        <v>20</v>
      </c>
      <c r="G3760" t="s">
        <v>21</v>
      </c>
      <c r="H3760" t="str">
        <f>"6/29/2019 FRD FEST"</f>
        <v>6/29/2019 FRD FEST</v>
      </c>
      <c r="I3760" t="str">
        <f>"ALYSSA DELGADO"</f>
        <v>ALYSSA DELGADO</v>
      </c>
    </row>
    <row r="3761" spans="1:9" x14ac:dyDescent="0.25">
      <c r="A3761" s="6">
        <v>43648</v>
      </c>
      <c r="B3761" t="s">
        <v>26</v>
      </c>
      <c r="C3761">
        <v>61390</v>
      </c>
      <c r="D3761" t="s">
        <v>696</v>
      </c>
      <c r="E3761" s="7">
        <v>185</v>
      </c>
      <c r="F3761" t="s">
        <v>20</v>
      </c>
      <c r="G3761" t="s">
        <v>21</v>
      </c>
      <c r="H3761" t="str">
        <f>"6/29-29-2019 FF"</f>
        <v>6/29-29-2019 FF</v>
      </c>
      <c r="I3761" t="str">
        <f>"ANGEL G. ROSAS"</f>
        <v>ANGEL G. ROSAS</v>
      </c>
    </row>
    <row r="3762" spans="1:9" x14ac:dyDescent="0.25">
      <c r="A3762" s="6">
        <v>43648</v>
      </c>
      <c r="B3762" t="s">
        <v>26</v>
      </c>
      <c r="C3762">
        <v>61391</v>
      </c>
      <c r="D3762" t="s">
        <v>716</v>
      </c>
      <c r="E3762" s="7">
        <v>530</v>
      </c>
      <c r="F3762" t="s">
        <v>20</v>
      </c>
      <c r="G3762" t="s">
        <v>21</v>
      </c>
      <c r="H3762" t="str">
        <f>"7/1/2019"</f>
        <v>7/1/2019</v>
      </c>
      <c r="I3762" t="str">
        <f>"ALFREDO SENDEJO"</f>
        <v>ALFREDO SENDEJO</v>
      </c>
    </row>
    <row r="3763" spans="1:9" x14ac:dyDescent="0.25">
      <c r="A3763" s="6">
        <v>43648</v>
      </c>
      <c r="B3763" t="s">
        <v>26</v>
      </c>
      <c r="C3763">
        <v>61392</v>
      </c>
      <c r="D3763" t="s">
        <v>749</v>
      </c>
      <c r="E3763" s="7">
        <v>95</v>
      </c>
      <c r="F3763" t="s">
        <v>20</v>
      </c>
      <c r="G3763" t="s">
        <v>21</v>
      </c>
      <c r="H3763" t="str">
        <f>"6/28-29-2019 FF"</f>
        <v>6/28-29-2019 FF</v>
      </c>
      <c r="I3763" t="str">
        <f>"KYRSTEN WHEELER"</f>
        <v>KYRSTEN WHEELER</v>
      </c>
    </row>
    <row r="3764" spans="1:9" x14ac:dyDescent="0.25">
      <c r="A3764" s="6">
        <v>43648</v>
      </c>
      <c r="B3764" t="s">
        <v>26</v>
      </c>
      <c r="C3764">
        <v>61393</v>
      </c>
      <c r="D3764" t="s">
        <v>750</v>
      </c>
      <c r="E3764" s="7">
        <v>140</v>
      </c>
      <c r="F3764" t="s">
        <v>20</v>
      </c>
      <c r="G3764" t="s">
        <v>21</v>
      </c>
      <c r="H3764" t="str">
        <f>"6/28/2019 FF"</f>
        <v>6/28/2019 FF</v>
      </c>
      <c r="I3764" t="str">
        <f>"LETICIA L. PESINA"</f>
        <v>LETICIA L. PESINA</v>
      </c>
    </row>
    <row r="3765" spans="1:9" x14ac:dyDescent="0.25">
      <c r="A3765" s="6">
        <v>43648</v>
      </c>
      <c r="B3765" t="s">
        <v>26</v>
      </c>
      <c r="C3765">
        <v>61394</v>
      </c>
      <c r="D3765" t="s">
        <v>751</v>
      </c>
      <c r="E3765" s="7">
        <v>90</v>
      </c>
      <c r="F3765" t="s">
        <v>20</v>
      </c>
      <c r="G3765" t="s">
        <v>21</v>
      </c>
      <c r="H3765" t="str">
        <f>"6/28-29/2019 FF"</f>
        <v>6/28-29/2019 FF</v>
      </c>
      <c r="I3765" t="str">
        <f>"ALEJANDRO LEE PEREZ"</f>
        <v>ALEJANDRO LEE PEREZ</v>
      </c>
    </row>
    <row r="3766" spans="1:9" x14ac:dyDescent="0.25">
      <c r="A3766" s="6">
        <v>43648</v>
      </c>
      <c r="B3766" t="s">
        <v>26</v>
      </c>
      <c r="C3766">
        <v>61395</v>
      </c>
      <c r="D3766" t="s">
        <v>752</v>
      </c>
      <c r="E3766" s="7">
        <v>185</v>
      </c>
      <c r="F3766" t="s">
        <v>20</v>
      </c>
      <c r="G3766" t="s">
        <v>21</v>
      </c>
      <c r="H3766" t="str">
        <f>"6/28-29/2019 FF"</f>
        <v>6/28-29/2019 FF</v>
      </c>
      <c r="I3766" t="str">
        <f>"BLANCA PEREZ"</f>
        <v>BLANCA PEREZ</v>
      </c>
    </row>
    <row r="3767" spans="1:9" x14ac:dyDescent="0.25">
      <c r="A3767" s="6">
        <v>43649</v>
      </c>
      <c r="B3767" t="s">
        <v>26</v>
      </c>
      <c r="C3767">
        <v>61396</v>
      </c>
      <c r="D3767" t="s">
        <v>741</v>
      </c>
      <c r="E3767" s="7">
        <v>275</v>
      </c>
      <c r="F3767" t="s">
        <v>20</v>
      </c>
      <c r="G3767" t="s">
        <v>21</v>
      </c>
      <c r="H3767" t="str">
        <f>"refund 6/24/2019"</f>
        <v>refund 6/24/2019</v>
      </c>
      <c r="I3767" t="str">
        <f>"REFUND"</f>
        <v>REFUND</v>
      </c>
    </row>
    <row r="3768" spans="1:9" x14ac:dyDescent="0.25">
      <c r="A3768" s="6">
        <v>43649</v>
      </c>
      <c r="B3768" t="s">
        <v>26</v>
      </c>
      <c r="C3768">
        <v>61397</v>
      </c>
      <c r="D3768" t="s">
        <v>470</v>
      </c>
      <c r="E3768" s="7">
        <v>175</v>
      </c>
      <c r="F3768" t="s">
        <v>20</v>
      </c>
      <c r="G3768" t="s">
        <v>21</v>
      </c>
      <c r="H3768" t="str">
        <f>"6/28-29/2019 FF"</f>
        <v>6/28-29/2019 FF</v>
      </c>
      <c r="I3768" t="str">
        <f>"ALYSSA MONTOYA"</f>
        <v>ALYSSA MONTOYA</v>
      </c>
    </row>
    <row r="3769" spans="1:9" x14ac:dyDescent="0.25">
      <c r="A3769" s="6">
        <v>43654</v>
      </c>
      <c r="B3769" t="s">
        <v>26</v>
      </c>
      <c r="C3769">
        <v>61398</v>
      </c>
      <c r="D3769" t="s">
        <v>753</v>
      </c>
      <c r="E3769" s="7">
        <v>405</v>
      </c>
      <c r="F3769" t="s">
        <v>20</v>
      </c>
      <c r="G3769" t="s">
        <v>21</v>
      </c>
      <c r="H3769" t="str">
        <f>"6/24/2019 REFUND"</f>
        <v>6/24/2019 REFUND</v>
      </c>
      <c r="I3769" t="str">
        <f>"REFUND"</f>
        <v>REFUND</v>
      </c>
    </row>
    <row r="3770" spans="1:9" x14ac:dyDescent="0.25">
      <c r="A3770" s="6">
        <v>43655</v>
      </c>
      <c r="B3770" t="s">
        <v>26</v>
      </c>
      <c r="C3770">
        <v>61399</v>
      </c>
      <c r="D3770" t="s">
        <v>38</v>
      </c>
      <c r="E3770" s="7">
        <v>100</v>
      </c>
      <c r="F3770" t="s">
        <v>20</v>
      </c>
      <c r="G3770" t="s">
        <v>21</v>
      </c>
      <c r="H3770" t="str">
        <f>"07/2019-MAYOR"</f>
        <v>07/2019-MAYOR</v>
      </c>
      <c r="I3770" t="str">
        <f>""</f>
        <v/>
      </c>
    </row>
    <row r="3771" spans="1:9" x14ac:dyDescent="0.25">
      <c r="A3771" s="6">
        <v>43655</v>
      </c>
      <c r="B3771" t="s">
        <v>26</v>
      </c>
      <c r="C3771">
        <v>61400</v>
      </c>
      <c r="D3771" t="s">
        <v>37</v>
      </c>
      <c r="E3771" s="7">
        <v>75</v>
      </c>
      <c r="F3771" t="s">
        <v>20</v>
      </c>
      <c r="G3771" t="s">
        <v>21</v>
      </c>
      <c r="H3771" t="str">
        <f>"07/2019-COUNCIL"</f>
        <v>07/2019-COUNCIL</v>
      </c>
      <c r="I3771" t="str">
        <f>""</f>
        <v/>
      </c>
    </row>
    <row r="3772" spans="1:9" x14ac:dyDescent="0.25">
      <c r="A3772" s="6">
        <v>43655</v>
      </c>
      <c r="B3772" t="s">
        <v>26</v>
      </c>
      <c r="C3772">
        <v>61401</v>
      </c>
      <c r="D3772" t="s">
        <v>36</v>
      </c>
      <c r="E3772" s="7">
        <v>75</v>
      </c>
      <c r="F3772" t="s">
        <v>20</v>
      </c>
      <c r="G3772" t="s">
        <v>21</v>
      </c>
      <c r="H3772" t="str">
        <f>"07/2019-COUNCIL"</f>
        <v>07/2019-COUNCIL</v>
      </c>
      <c r="I3772" t="str">
        <f>""</f>
        <v/>
      </c>
    </row>
    <row r="3773" spans="1:9" x14ac:dyDescent="0.25">
      <c r="A3773" s="6">
        <v>43655</v>
      </c>
      <c r="B3773" t="s">
        <v>26</v>
      </c>
      <c r="C3773">
        <v>61402</v>
      </c>
      <c r="D3773" t="s">
        <v>637</v>
      </c>
      <c r="E3773" s="7">
        <v>75</v>
      </c>
      <c r="F3773" t="s">
        <v>20</v>
      </c>
      <c r="G3773" t="s">
        <v>21</v>
      </c>
      <c r="H3773" t="str">
        <f>"07/2019-COUNCIL"</f>
        <v>07/2019-COUNCIL</v>
      </c>
      <c r="I3773" t="str">
        <f>"SALARIES"</f>
        <v>SALARIES</v>
      </c>
    </row>
    <row r="3774" spans="1:9" x14ac:dyDescent="0.25">
      <c r="A3774" s="6">
        <v>43655</v>
      </c>
      <c r="B3774" t="s">
        <v>26</v>
      </c>
      <c r="C3774">
        <v>61403</v>
      </c>
      <c r="D3774" t="s">
        <v>223</v>
      </c>
      <c r="E3774" s="7">
        <v>75</v>
      </c>
      <c r="F3774" t="s">
        <v>20</v>
      </c>
      <c r="G3774" t="s">
        <v>21</v>
      </c>
      <c r="H3774" t="str">
        <f>"07/2019-COUNCIL"</f>
        <v>07/2019-COUNCIL</v>
      </c>
      <c r="I3774" t="str">
        <f>""</f>
        <v/>
      </c>
    </row>
    <row r="3775" spans="1:9" x14ac:dyDescent="0.25">
      <c r="A3775" s="6">
        <v>43655</v>
      </c>
      <c r="B3775" t="s">
        <v>26</v>
      </c>
      <c r="C3775">
        <v>61404</v>
      </c>
      <c r="D3775" t="s">
        <v>558</v>
      </c>
      <c r="E3775" s="7">
        <v>75</v>
      </c>
      <c r="F3775" t="s">
        <v>20</v>
      </c>
      <c r="G3775" t="s">
        <v>21</v>
      </c>
      <c r="H3775" t="str">
        <f>"07/2019-COUNCIL"</f>
        <v>07/2019-COUNCIL</v>
      </c>
      <c r="I3775" t="str">
        <f>"SALARIES"</f>
        <v>SALARIES</v>
      </c>
    </row>
    <row r="3776" spans="1:9" x14ac:dyDescent="0.25">
      <c r="A3776" s="6">
        <v>43656</v>
      </c>
      <c r="B3776" t="s">
        <v>26</v>
      </c>
      <c r="C3776">
        <v>61405</v>
      </c>
      <c r="D3776" t="s">
        <v>58</v>
      </c>
      <c r="E3776" s="7">
        <v>942.54</v>
      </c>
      <c r="F3776" t="s">
        <v>20</v>
      </c>
      <c r="G3776" t="s">
        <v>21</v>
      </c>
      <c r="H3776" t="str">
        <f>"935999"</f>
        <v>935999</v>
      </c>
      <c r="I3776" t="str">
        <f>"DEASON ANIMAL HOSPITAL"</f>
        <v>DEASON ANIMAL HOSPITAL</v>
      </c>
    </row>
    <row r="3777" spans="1:9" x14ac:dyDescent="0.25">
      <c r="A3777" s="6">
        <v>43656</v>
      </c>
      <c r="B3777" t="s">
        <v>26</v>
      </c>
      <c r="C3777">
        <v>61406</v>
      </c>
      <c r="D3777" t="s">
        <v>104</v>
      </c>
      <c r="E3777" s="7">
        <v>62.22</v>
      </c>
      <c r="F3777" t="s">
        <v>20</v>
      </c>
      <c r="G3777" t="s">
        <v>21</v>
      </c>
      <c r="H3777" t="str">
        <f>"1381970612"</f>
        <v>1381970612</v>
      </c>
      <c r="I3777" t="str">
        <f>"WILSON COUNTY NEWS"</f>
        <v>WILSON COUNTY NEWS</v>
      </c>
    </row>
    <row r="3778" spans="1:9" x14ac:dyDescent="0.25">
      <c r="A3778" s="6">
        <v>43656</v>
      </c>
      <c r="B3778" t="s">
        <v>26</v>
      </c>
      <c r="C3778">
        <v>61406</v>
      </c>
      <c r="D3778" t="s">
        <v>104</v>
      </c>
      <c r="E3778" s="7">
        <v>62.22</v>
      </c>
      <c r="F3778" t="s">
        <v>20</v>
      </c>
      <c r="G3778" t="s">
        <v>21</v>
      </c>
      <c r="H3778" t="str">
        <f>"1383950605"</f>
        <v>1383950605</v>
      </c>
      <c r="I3778" t="str">
        <f>"WILSON COUNTY NEWS"</f>
        <v>WILSON COUNTY NEWS</v>
      </c>
    </row>
    <row r="3779" spans="1:9" x14ac:dyDescent="0.25">
      <c r="A3779" s="6">
        <v>43656</v>
      </c>
      <c r="B3779" t="s">
        <v>26</v>
      </c>
      <c r="C3779">
        <v>61407</v>
      </c>
      <c r="D3779" t="s">
        <v>59</v>
      </c>
      <c r="E3779" s="7">
        <v>4060.23</v>
      </c>
      <c r="F3779" t="s">
        <v>20</v>
      </c>
      <c r="G3779" t="s">
        <v>21</v>
      </c>
      <c r="H3779" t="str">
        <f>"1014534"</f>
        <v>1014534</v>
      </c>
      <c r="I3779" t="str">
        <f>"FERGUSON WATERWORKS - MUNICIPA"</f>
        <v>FERGUSON WATERWORKS - MUNICIPA</v>
      </c>
    </row>
    <row r="3780" spans="1:9" x14ac:dyDescent="0.25">
      <c r="A3780" s="6">
        <v>43656</v>
      </c>
      <c r="B3780" t="s">
        <v>26</v>
      </c>
      <c r="C3780">
        <v>61407</v>
      </c>
      <c r="D3780" t="s">
        <v>59</v>
      </c>
      <c r="E3780" s="7">
        <v>4060.23</v>
      </c>
      <c r="F3780" t="s">
        <v>20</v>
      </c>
      <c r="G3780" t="s">
        <v>21</v>
      </c>
      <c r="H3780" t="str">
        <f>"1019821"</f>
        <v>1019821</v>
      </c>
      <c r="I3780" t="str">
        <f>"MATERIAL FOR SEWER PLANT"</f>
        <v>MATERIAL FOR SEWER PLANT</v>
      </c>
    </row>
    <row r="3781" spans="1:9" x14ac:dyDescent="0.25">
      <c r="A3781" s="6">
        <v>43656</v>
      </c>
      <c r="B3781" t="s">
        <v>26</v>
      </c>
      <c r="C3781">
        <v>61407</v>
      </c>
      <c r="D3781" t="s">
        <v>59</v>
      </c>
      <c r="E3781" s="7">
        <v>4060.23</v>
      </c>
      <c r="F3781" t="s">
        <v>20</v>
      </c>
      <c r="G3781" t="s">
        <v>21</v>
      </c>
      <c r="H3781" t="str">
        <f>"1020559"</f>
        <v>1020559</v>
      </c>
      <c r="I3781" t="str">
        <f>"SUPPLIES FOR STOCK"</f>
        <v>SUPPLIES FOR STOCK</v>
      </c>
    </row>
    <row r="3782" spans="1:9" x14ac:dyDescent="0.25">
      <c r="A3782" s="6">
        <v>43656</v>
      </c>
      <c r="B3782" t="s">
        <v>26</v>
      </c>
      <c r="C3782">
        <v>61407</v>
      </c>
      <c r="D3782" t="s">
        <v>59</v>
      </c>
      <c r="E3782" s="7">
        <v>4060.23</v>
      </c>
      <c r="F3782" t="s">
        <v>20</v>
      </c>
      <c r="G3782" t="s">
        <v>21</v>
      </c>
      <c r="H3782" t="str">
        <f>"1020559-1"</f>
        <v>1020559-1</v>
      </c>
      <c r="I3782" t="str">
        <f>"SUPPLIES FOR STOCK"</f>
        <v>SUPPLIES FOR STOCK</v>
      </c>
    </row>
    <row r="3783" spans="1:9" x14ac:dyDescent="0.25">
      <c r="A3783" s="6">
        <v>43656</v>
      </c>
      <c r="B3783" t="s">
        <v>26</v>
      </c>
      <c r="C3783">
        <v>61409</v>
      </c>
      <c r="D3783" t="s">
        <v>250</v>
      </c>
      <c r="E3783" s="7">
        <v>165.36</v>
      </c>
      <c r="F3783" t="s">
        <v>20</v>
      </c>
      <c r="G3783" t="s">
        <v>21</v>
      </c>
      <c r="H3783" t="str">
        <f>"C126580"</f>
        <v>C126580</v>
      </c>
      <c r="I3783" t="str">
        <f>"MATERA PAPER CO  LTD."</f>
        <v>MATERA PAPER CO  LTD.</v>
      </c>
    </row>
    <row r="3784" spans="1:9" x14ac:dyDescent="0.25">
      <c r="A3784" s="6">
        <v>43656</v>
      </c>
      <c r="B3784" t="s">
        <v>26</v>
      </c>
      <c r="C3784">
        <v>61410</v>
      </c>
      <c r="D3784" t="s">
        <v>202</v>
      </c>
      <c r="E3784" s="7">
        <v>6178.28</v>
      </c>
      <c r="F3784" t="s">
        <v>20</v>
      </c>
      <c r="G3784" t="s">
        <v>21</v>
      </c>
      <c r="H3784" t="str">
        <f>"61923222"</f>
        <v>61923222</v>
      </c>
      <c r="I3784" t="str">
        <f>"LIMESTONE"</f>
        <v>LIMESTONE</v>
      </c>
    </row>
    <row r="3785" spans="1:9" x14ac:dyDescent="0.25">
      <c r="A3785" s="6">
        <v>43656</v>
      </c>
      <c r="B3785" t="s">
        <v>26</v>
      </c>
      <c r="C3785">
        <v>61410</v>
      </c>
      <c r="D3785" t="s">
        <v>202</v>
      </c>
      <c r="E3785" s="7">
        <v>6178.28</v>
      </c>
      <c r="F3785" t="s">
        <v>20</v>
      </c>
      <c r="G3785" t="s">
        <v>21</v>
      </c>
      <c r="H3785" t="str">
        <f>"61927586"</f>
        <v>61927586</v>
      </c>
      <c r="I3785" t="str">
        <f>"PARKING LOT CONSTRUCTION"</f>
        <v>PARKING LOT CONSTRUCTION</v>
      </c>
    </row>
    <row r="3786" spans="1:9" x14ac:dyDescent="0.25">
      <c r="A3786" s="6">
        <v>43656</v>
      </c>
      <c r="B3786" t="s">
        <v>26</v>
      </c>
      <c r="C3786">
        <v>61411</v>
      </c>
      <c r="D3786" t="s">
        <v>110</v>
      </c>
      <c r="E3786" s="7">
        <v>3476.44</v>
      </c>
      <c r="F3786" t="s">
        <v>20</v>
      </c>
      <c r="G3786" t="s">
        <v>21</v>
      </c>
      <c r="H3786" t="str">
        <f>"1477726"</f>
        <v>1477726</v>
      </c>
      <c r="I3786" t="str">
        <f t="shared" ref="I3786:I3801" si="71">"BUREAU VERITAS NORTH AMERICA"</f>
        <v>BUREAU VERITAS NORTH AMERICA</v>
      </c>
    </row>
    <row r="3787" spans="1:9" x14ac:dyDescent="0.25">
      <c r="A3787" s="6">
        <v>43656</v>
      </c>
      <c r="B3787" t="s">
        <v>26</v>
      </c>
      <c r="C3787">
        <v>61411</v>
      </c>
      <c r="D3787" t="s">
        <v>110</v>
      </c>
      <c r="E3787" s="7">
        <v>3476.44</v>
      </c>
      <c r="F3787" t="s">
        <v>20</v>
      </c>
      <c r="G3787" t="s">
        <v>21</v>
      </c>
      <c r="H3787" t="str">
        <f>"1477727"</f>
        <v>1477727</v>
      </c>
      <c r="I3787" t="str">
        <f t="shared" si="71"/>
        <v>BUREAU VERITAS NORTH AMERICA</v>
      </c>
    </row>
    <row r="3788" spans="1:9" x14ac:dyDescent="0.25">
      <c r="A3788" s="6">
        <v>43656</v>
      </c>
      <c r="B3788" t="s">
        <v>26</v>
      </c>
      <c r="C3788">
        <v>61411</v>
      </c>
      <c r="D3788" t="s">
        <v>110</v>
      </c>
      <c r="E3788" s="7">
        <v>3476.44</v>
      </c>
      <c r="F3788" t="s">
        <v>20</v>
      </c>
      <c r="G3788" t="s">
        <v>21</v>
      </c>
      <c r="H3788" t="str">
        <f>"1477728"</f>
        <v>1477728</v>
      </c>
      <c r="I3788" t="str">
        <f t="shared" si="71"/>
        <v>BUREAU VERITAS NORTH AMERICA</v>
      </c>
    </row>
    <row r="3789" spans="1:9" x14ac:dyDescent="0.25">
      <c r="A3789" s="6">
        <v>43656</v>
      </c>
      <c r="B3789" t="s">
        <v>26</v>
      </c>
      <c r="C3789">
        <v>61411</v>
      </c>
      <c r="D3789" t="s">
        <v>110</v>
      </c>
      <c r="E3789" s="7">
        <v>3476.44</v>
      </c>
      <c r="F3789" t="s">
        <v>20</v>
      </c>
      <c r="G3789" t="s">
        <v>21</v>
      </c>
      <c r="H3789" t="str">
        <f>"1477729"</f>
        <v>1477729</v>
      </c>
      <c r="I3789" t="str">
        <f t="shared" si="71"/>
        <v>BUREAU VERITAS NORTH AMERICA</v>
      </c>
    </row>
    <row r="3790" spans="1:9" x14ac:dyDescent="0.25">
      <c r="A3790" s="6">
        <v>43656</v>
      </c>
      <c r="B3790" t="s">
        <v>26</v>
      </c>
      <c r="C3790">
        <v>61411</v>
      </c>
      <c r="D3790" t="s">
        <v>110</v>
      </c>
      <c r="E3790" s="7">
        <v>3476.44</v>
      </c>
      <c r="F3790" t="s">
        <v>20</v>
      </c>
      <c r="G3790" t="s">
        <v>21</v>
      </c>
      <c r="H3790" t="str">
        <f>"1477730"</f>
        <v>1477730</v>
      </c>
      <c r="I3790" t="str">
        <f t="shared" si="71"/>
        <v>BUREAU VERITAS NORTH AMERICA</v>
      </c>
    </row>
    <row r="3791" spans="1:9" x14ac:dyDescent="0.25">
      <c r="A3791" s="6">
        <v>43656</v>
      </c>
      <c r="B3791" t="s">
        <v>26</v>
      </c>
      <c r="C3791">
        <v>61411</v>
      </c>
      <c r="D3791" t="s">
        <v>110</v>
      </c>
      <c r="E3791" s="7">
        <v>3476.44</v>
      </c>
      <c r="F3791" t="s">
        <v>20</v>
      </c>
      <c r="G3791" t="s">
        <v>21</v>
      </c>
      <c r="H3791" t="str">
        <f>"1477732"</f>
        <v>1477732</v>
      </c>
      <c r="I3791" t="str">
        <f t="shared" si="71"/>
        <v>BUREAU VERITAS NORTH AMERICA</v>
      </c>
    </row>
    <row r="3792" spans="1:9" x14ac:dyDescent="0.25">
      <c r="A3792" s="6">
        <v>43656</v>
      </c>
      <c r="B3792" t="s">
        <v>26</v>
      </c>
      <c r="C3792">
        <v>61411</v>
      </c>
      <c r="D3792" t="s">
        <v>110</v>
      </c>
      <c r="E3792" s="7">
        <v>3476.44</v>
      </c>
      <c r="F3792" t="s">
        <v>20</v>
      </c>
      <c r="G3792" t="s">
        <v>21</v>
      </c>
      <c r="H3792" t="str">
        <f>"1477733"</f>
        <v>1477733</v>
      </c>
      <c r="I3792" t="str">
        <f t="shared" si="71"/>
        <v>BUREAU VERITAS NORTH AMERICA</v>
      </c>
    </row>
    <row r="3793" spans="1:9" x14ac:dyDescent="0.25">
      <c r="A3793" s="6">
        <v>43656</v>
      </c>
      <c r="B3793" t="s">
        <v>26</v>
      </c>
      <c r="C3793">
        <v>61411</v>
      </c>
      <c r="D3793" t="s">
        <v>110</v>
      </c>
      <c r="E3793" s="7">
        <v>3476.44</v>
      </c>
      <c r="F3793" t="s">
        <v>20</v>
      </c>
      <c r="G3793" t="s">
        <v>21</v>
      </c>
      <c r="H3793" t="str">
        <f>"1477734"</f>
        <v>1477734</v>
      </c>
      <c r="I3793" t="str">
        <f t="shared" si="71"/>
        <v>BUREAU VERITAS NORTH AMERICA</v>
      </c>
    </row>
    <row r="3794" spans="1:9" x14ac:dyDescent="0.25">
      <c r="A3794" s="6">
        <v>43656</v>
      </c>
      <c r="B3794" t="s">
        <v>26</v>
      </c>
      <c r="C3794">
        <v>61411</v>
      </c>
      <c r="D3794" t="s">
        <v>110</v>
      </c>
      <c r="E3794" s="7">
        <v>3476.44</v>
      </c>
      <c r="F3794" t="s">
        <v>20</v>
      </c>
      <c r="G3794" t="s">
        <v>21</v>
      </c>
      <c r="H3794" t="str">
        <f>"1477735"</f>
        <v>1477735</v>
      </c>
      <c r="I3794" t="str">
        <f t="shared" si="71"/>
        <v>BUREAU VERITAS NORTH AMERICA</v>
      </c>
    </row>
    <row r="3795" spans="1:9" x14ac:dyDescent="0.25">
      <c r="A3795" s="6">
        <v>43656</v>
      </c>
      <c r="B3795" t="s">
        <v>26</v>
      </c>
      <c r="C3795">
        <v>61411</v>
      </c>
      <c r="D3795" t="s">
        <v>110</v>
      </c>
      <c r="E3795" s="7">
        <v>3476.44</v>
      </c>
      <c r="F3795" t="s">
        <v>20</v>
      </c>
      <c r="G3795" t="s">
        <v>21</v>
      </c>
      <c r="H3795" t="str">
        <f>"1477736"</f>
        <v>1477736</v>
      </c>
      <c r="I3795" t="str">
        <f t="shared" si="71"/>
        <v>BUREAU VERITAS NORTH AMERICA</v>
      </c>
    </row>
    <row r="3796" spans="1:9" x14ac:dyDescent="0.25">
      <c r="A3796" s="6">
        <v>43656</v>
      </c>
      <c r="B3796" t="s">
        <v>26</v>
      </c>
      <c r="C3796">
        <v>61411</v>
      </c>
      <c r="D3796" t="s">
        <v>110</v>
      </c>
      <c r="E3796" s="7">
        <v>3476.44</v>
      </c>
      <c r="F3796" t="s">
        <v>20</v>
      </c>
      <c r="G3796" t="s">
        <v>21</v>
      </c>
      <c r="H3796" t="str">
        <f>"1477737"</f>
        <v>1477737</v>
      </c>
      <c r="I3796" t="str">
        <f t="shared" si="71"/>
        <v>BUREAU VERITAS NORTH AMERICA</v>
      </c>
    </row>
    <row r="3797" spans="1:9" x14ac:dyDescent="0.25">
      <c r="A3797" s="6">
        <v>43656</v>
      </c>
      <c r="B3797" t="s">
        <v>26</v>
      </c>
      <c r="C3797">
        <v>61411</v>
      </c>
      <c r="D3797" t="s">
        <v>110</v>
      </c>
      <c r="E3797" s="7">
        <v>3476.44</v>
      </c>
      <c r="F3797" t="s">
        <v>20</v>
      </c>
      <c r="G3797" t="s">
        <v>21</v>
      </c>
      <c r="H3797" t="str">
        <f>"1477738"</f>
        <v>1477738</v>
      </c>
      <c r="I3797" t="str">
        <f t="shared" si="71"/>
        <v>BUREAU VERITAS NORTH AMERICA</v>
      </c>
    </row>
    <row r="3798" spans="1:9" x14ac:dyDescent="0.25">
      <c r="A3798" s="6">
        <v>43656</v>
      </c>
      <c r="B3798" t="s">
        <v>26</v>
      </c>
      <c r="C3798">
        <v>61411</v>
      </c>
      <c r="D3798" t="s">
        <v>110</v>
      </c>
      <c r="E3798" s="7">
        <v>3476.44</v>
      </c>
      <c r="F3798" t="s">
        <v>20</v>
      </c>
      <c r="G3798" t="s">
        <v>21</v>
      </c>
      <c r="H3798" t="str">
        <f>"1477739"</f>
        <v>1477739</v>
      </c>
      <c r="I3798" t="str">
        <f t="shared" si="71"/>
        <v>BUREAU VERITAS NORTH AMERICA</v>
      </c>
    </row>
    <row r="3799" spans="1:9" x14ac:dyDescent="0.25">
      <c r="A3799" s="6">
        <v>43656</v>
      </c>
      <c r="B3799" t="s">
        <v>26</v>
      </c>
      <c r="C3799">
        <v>61411</v>
      </c>
      <c r="D3799" t="s">
        <v>110</v>
      </c>
      <c r="E3799" s="7">
        <v>3476.44</v>
      </c>
      <c r="F3799" t="s">
        <v>20</v>
      </c>
      <c r="G3799" t="s">
        <v>21</v>
      </c>
      <c r="H3799" t="str">
        <f>"1477740"</f>
        <v>1477740</v>
      </c>
      <c r="I3799" t="str">
        <f t="shared" si="71"/>
        <v>BUREAU VERITAS NORTH AMERICA</v>
      </c>
    </row>
    <row r="3800" spans="1:9" x14ac:dyDescent="0.25">
      <c r="A3800" s="6">
        <v>43656</v>
      </c>
      <c r="B3800" t="s">
        <v>26</v>
      </c>
      <c r="C3800">
        <v>61411</v>
      </c>
      <c r="D3800" t="s">
        <v>110</v>
      </c>
      <c r="E3800" s="7">
        <v>3476.44</v>
      </c>
      <c r="F3800" t="s">
        <v>20</v>
      </c>
      <c r="G3800" t="s">
        <v>21</v>
      </c>
      <c r="H3800" t="str">
        <f>"1477741"</f>
        <v>1477741</v>
      </c>
      <c r="I3800" t="str">
        <f t="shared" si="71"/>
        <v>BUREAU VERITAS NORTH AMERICA</v>
      </c>
    </row>
    <row r="3801" spans="1:9" x14ac:dyDescent="0.25">
      <c r="A3801" s="6">
        <v>43656</v>
      </c>
      <c r="B3801" t="s">
        <v>26</v>
      </c>
      <c r="C3801">
        <v>61411</v>
      </c>
      <c r="D3801" t="s">
        <v>110</v>
      </c>
      <c r="E3801" s="7">
        <v>3476.44</v>
      </c>
      <c r="F3801" t="s">
        <v>20</v>
      </c>
      <c r="G3801" t="s">
        <v>21</v>
      </c>
      <c r="H3801" t="str">
        <f>"1477742"</f>
        <v>1477742</v>
      </c>
      <c r="I3801" t="str">
        <f t="shared" si="71"/>
        <v>BUREAU VERITAS NORTH AMERICA</v>
      </c>
    </row>
    <row r="3802" spans="1:9" x14ac:dyDescent="0.25">
      <c r="A3802" s="6">
        <v>43656</v>
      </c>
      <c r="B3802" t="s">
        <v>26</v>
      </c>
      <c r="C3802">
        <v>61414</v>
      </c>
      <c r="D3802" t="s">
        <v>754</v>
      </c>
      <c r="E3802" s="7">
        <v>50</v>
      </c>
      <c r="F3802" t="s">
        <v>20</v>
      </c>
      <c r="G3802" t="s">
        <v>21</v>
      </c>
      <c r="H3802" t="str">
        <f>"POOL REFUND 7/6/19"</f>
        <v>POOL REFUND 7/6/19</v>
      </c>
      <c r="I3802" t="str">
        <f t="shared" ref="I3802:I3808" si="72">"REFUND"</f>
        <v>REFUND</v>
      </c>
    </row>
    <row r="3803" spans="1:9" x14ac:dyDescent="0.25">
      <c r="A3803" s="6">
        <v>43656</v>
      </c>
      <c r="B3803" t="s">
        <v>26</v>
      </c>
      <c r="C3803">
        <v>61415</v>
      </c>
      <c r="D3803" t="s">
        <v>755</v>
      </c>
      <c r="E3803" s="7">
        <v>50</v>
      </c>
      <c r="F3803" t="s">
        <v>20</v>
      </c>
      <c r="G3803" t="s">
        <v>21</v>
      </c>
      <c r="H3803" t="str">
        <f>"POOL REFUND 7/7/19"</f>
        <v>POOL REFUND 7/7/19</v>
      </c>
      <c r="I3803" t="str">
        <f t="shared" si="72"/>
        <v>REFUND</v>
      </c>
    </row>
    <row r="3804" spans="1:9" x14ac:dyDescent="0.25">
      <c r="A3804" s="6">
        <v>43656</v>
      </c>
      <c r="B3804" t="s">
        <v>26</v>
      </c>
      <c r="C3804">
        <v>61416</v>
      </c>
      <c r="D3804" t="s">
        <v>756</v>
      </c>
      <c r="E3804" s="7">
        <v>150</v>
      </c>
      <c r="F3804" t="s">
        <v>20</v>
      </c>
      <c r="G3804" t="s">
        <v>21</v>
      </c>
      <c r="H3804" t="str">
        <f>"POOL REFUND 7/8/19"</f>
        <v>POOL REFUND 7/8/19</v>
      </c>
      <c r="I3804" t="str">
        <f t="shared" si="72"/>
        <v>REFUND</v>
      </c>
    </row>
    <row r="3805" spans="1:9" x14ac:dyDescent="0.25">
      <c r="A3805" s="6">
        <v>43656</v>
      </c>
      <c r="B3805" t="s">
        <v>26</v>
      </c>
      <c r="C3805">
        <v>61417</v>
      </c>
      <c r="D3805" t="s">
        <v>757</v>
      </c>
      <c r="E3805" s="7">
        <v>250</v>
      </c>
      <c r="F3805" t="s">
        <v>20</v>
      </c>
      <c r="G3805" t="s">
        <v>21</v>
      </c>
      <c r="H3805" t="str">
        <f>"REFUND 4/11/2020"</f>
        <v>REFUND 4/11/2020</v>
      </c>
      <c r="I3805" t="str">
        <f t="shared" si="72"/>
        <v>REFUND</v>
      </c>
    </row>
    <row r="3806" spans="1:9" x14ac:dyDescent="0.25">
      <c r="A3806" s="6">
        <v>43656</v>
      </c>
      <c r="B3806" t="s">
        <v>26</v>
      </c>
      <c r="C3806">
        <v>61418</v>
      </c>
      <c r="D3806" t="s">
        <v>758</v>
      </c>
      <c r="E3806" s="7">
        <v>800</v>
      </c>
      <c r="F3806" t="s">
        <v>20</v>
      </c>
      <c r="G3806" t="s">
        <v>21</v>
      </c>
      <c r="H3806" t="str">
        <f>"REFUND 6/13/2020"</f>
        <v>REFUND 6/13/2020</v>
      </c>
      <c r="I3806" t="str">
        <f t="shared" si="72"/>
        <v>REFUND</v>
      </c>
    </row>
    <row r="3807" spans="1:9" x14ac:dyDescent="0.25">
      <c r="A3807" s="6">
        <v>43656</v>
      </c>
      <c r="B3807" t="s">
        <v>26</v>
      </c>
      <c r="C3807">
        <v>61419</v>
      </c>
      <c r="D3807" t="s">
        <v>759</v>
      </c>
      <c r="E3807" s="7">
        <v>175</v>
      </c>
      <c r="F3807" t="s">
        <v>20</v>
      </c>
      <c r="G3807" t="s">
        <v>21</v>
      </c>
      <c r="H3807" t="str">
        <f>"REFUND POOL 7/5/19"</f>
        <v>REFUND POOL 7/5/19</v>
      </c>
      <c r="I3807" t="str">
        <f t="shared" si="72"/>
        <v>REFUND</v>
      </c>
    </row>
    <row r="3808" spans="1:9" x14ac:dyDescent="0.25">
      <c r="A3808" s="6">
        <v>43656</v>
      </c>
      <c r="B3808" t="s">
        <v>26</v>
      </c>
      <c r="C3808">
        <v>61420</v>
      </c>
      <c r="D3808" t="s">
        <v>760</v>
      </c>
      <c r="E3808" s="7">
        <v>175</v>
      </c>
      <c r="F3808" t="s">
        <v>20</v>
      </c>
      <c r="G3808" t="s">
        <v>21</v>
      </c>
      <c r="H3808" t="str">
        <f>"REFUND POOL 7/7/19"</f>
        <v>REFUND POOL 7/7/19</v>
      </c>
      <c r="I3808" t="str">
        <f t="shared" si="72"/>
        <v>REFUND</v>
      </c>
    </row>
    <row r="3809" spans="1:9" x14ac:dyDescent="0.25">
      <c r="A3809" s="6">
        <v>43656</v>
      </c>
      <c r="B3809" t="s">
        <v>26</v>
      </c>
      <c r="C3809">
        <v>61421</v>
      </c>
      <c r="D3809" t="s">
        <v>66</v>
      </c>
      <c r="E3809" s="7">
        <v>3702.88</v>
      </c>
      <c r="F3809" t="s">
        <v>20</v>
      </c>
      <c r="G3809" t="s">
        <v>21</v>
      </c>
      <c r="H3809" t="str">
        <f>"55729"</f>
        <v>55729</v>
      </c>
      <c r="I3809" t="str">
        <f>"LOPEZ EXTERMINATING SERVICE  I"</f>
        <v>LOPEZ EXTERMINATING SERVICE  I</v>
      </c>
    </row>
    <row r="3810" spans="1:9" x14ac:dyDescent="0.25">
      <c r="A3810" s="6">
        <v>43656</v>
      </c>
      <c r="B3810" t="s">
        <v>26</v>
      </c>
      <c r="C3810">
        <v>61421</v>
      </c>
      <c r="D3810" t="s">
        <v>66</v>
      </c>
      <c r="E3810" s="7">
        <v>3702.88</v>
      </c>
      <c r="F3810" t="s">
        <v>20</v>
      </c>
      <c r="G3810" t="s">
        <v>21</v>
      </c>
      <c r="H3810" t="str">
        <f>"55730"</f>
        <v>55730</v>
      </c>
      <c r="I3810" t="str">
        <f>"LOPEZ EXTERMINATING SERVICE  I"</f>
        <v>LOPEZ EXTERMINATING SERVICE  I</v>
      </c>
    </row>
    <row r="3811" spans="1:9" x14ac:dyDescent="0.25">
      <c r="A3811" s="6">
        <v>43656</v>
      </c>
      <c r="B3811" t="s">
        <v>26</v>
      </c>
      <c r="C3811">
        <v>61422</v>
      </c>
      <c r="D3811" t="s">
        <v>69</v>
      </c>
      <c r="E3811" s="7">
        <v>1273.19</v>
      </c>
      <c r="F3811" t="s">
        <v>20</v>
      </c>
      <c r="G3811" t="s">
        <v>21</v>
      </c>
      <c r="H3811" t="str">
        <f>"3398566"</f>
        <v>3398566</v>
      </c>
      <c r="I3811" t="str">
        <f>"PARKS SUPPLIES"</f>
        <v>PARKS SUPPLIES</v>
      </c>
    </row>
    <row r="3812" spans="1:9" x14ac:dyDescent="0.25">
      <c r="A3812" s="6">
        <v>43656</v>
      </c>
      <c r="B3812" t="s">
        <v>26</v>
      </c>
      <c r="C3812">
        <v>61423</v>
      </c>
      <c r="D3812" t="s">
        <v>74</v>
      </c>
      <c r="E3812" s="7">
        <v>3750.57</v>
      </c>
      <c r="F3812" t="s">
        <v>20</v>
      </c>
      <c r="G3812" t="s">
        <v>21</v>
      </c>
      <c r="H3812" t="str">
        <f>"9832767481"</f>
        <v>9832767481</v>
      </c>
      <c r="I3812" t="str">
        <f>"VERIZON WIRELESS"</f>
        <v>VERIZON WIRELESS</v>
      </c>
    </row>
    <row r="3813" spans="1:9" x14ac:dyDescent="0.25">
      <c r="A3813" s="6">
        <v>43656</v>
      </c>
      <c r="B3813" t="s">
        <v>26</v>
      </c>
      <c r="C3813">
        <v>61423</v>
      </c>
      <c r="D3813" t="s">
        <v>74</v>
      </c>
      <c r="E3813" s="7">
        <v>3750.57</v>
      </c>
      <c r="F3813" t="s">
        <v>20</v>
      </c>
      <c r="G3813" t="s">
        <v>21</v>
      </c>
      <c r="H3813" t="str">
        <f>"9832767482"</f>
        <v>9832767482</v>
      </c>
      <c r="I3813" t="str">
        <f>"VERIZON WIRELESS"</f>
        <v>VERIZON WIRELESS</v>
      </c>
    </row>
    <row r="3814" spans="1:9" x14ac:dyDescent="0.25">
      <c r="A3814" s="6">
        <v>43656</v>
      </c>
      <c r="B3814" t="s">
        <v>26</v>
      </c>
      <c r="C3814">
        <v>61424</v>
      </c>
      <c r="D3814" t="s">
        <v>124</v>
      </c>
      <c r="E3814" s="7">
        <v>253.87</v>
      </c>
      <c r="F3814" t="s">
        <v>20</v>
      </c>
      <c r="G3814" t="s">
        <v>21</v>
      </c>
      <c r="H3814" t="str">
        <f>"11174649"</f>
        <v>11174649</v>
      </c>
      <c r="I3814" t="str">
        <f>"WATER DEPT SUPPLIES"</f>
        <v>WATER DEPT SUPPLIES</v>
      </c>
    </row>
    <row r="3815" spans="1:9" x14ac:dyDescent="0.25">
      <c r="A3815" s="6">
        <v>43656</v>
      </c>
      <c r="B3815" t="s">
        <v>26</v>
      </c>
      <c r="C3815">
        <v>61425</v>
      </c>
      <c r="D3815" t="s">
        <v>80</v>
      </c>
      <c r="E3815" s="7">
        <v>1500</v>
      </c>
      <c r="F3815" t="s">
        <v>20</v>
      </c>
      <c r="G3815" t="s">
        <v>21</v>
      </c>
      <c r="H3815" t="str">
        <f>"1648-20190701-1"</f>
        <v>1648-20190701-1</v>
      </c>
      <c r="I3815" t="str">
        <f>"LVWIFI.COM"</f>
        <v>LVWIFI.COM</v>
      </c>
    </row>
    <row r="3816" spans="1:9" x14ac:dyDescent="0.25">
      <c r="A3816" s="6">
        <v>43656</v>
      </c>
      <c r="B3816" t="s">
        <v>26</v>
      </c>
      <c r="C3816">
        <v>61425</v>
      </c>
      <c r="D3816" t="s">
        <v>80</v>
      </c>
      <c r="E3816" s="7">
        <v>1500</v>
      </c>
      <c r="F3816" t="s">
        <v>20</v>
      </c>
      <c r="G3816" t="s">
        <v>21</v>
      </c>
      <c r="H3816" t="str">
        <f>"2313-20190701-1"</f>
        <v>2313-20190701-1</v>
      </c>
      <c r="I3816" t="str">
        <f>"LVWIFI.COM"</f>
        <v>LVWIFI.COM</v>
      </c>
    </row>
    <row r="3817" spans="1:9" x14ac:dyDescent="0.25">
      <c r="A3817" s="6">
        <v>43656</v>
      </c>
      <c r="B3817" t="s">
        <v>26</v>
      </c>
      <c r="C3817">
        <v>61426</v>
      </c>
      <c r="D3817" t="s">
        <v>139</v>
      </c>
      <c r="E3817" s="7">
        <v>347</v>
      </c>
      <c r="F3817" t="s">
        <v>20</v>
      </c>
      <c r="G3817" t="s">
        <v>21</v>
      </c>
      <c r="H3817" t="str">
        <f>"26716"</f>
        <v>26716</v>
      </c>
      <c r="I3817" t="str">
        <f>"ANGEL FIRE &amp; SAFETY"</f>
        <v>ANGEL FIRE &amp; SAFETY</v>
      </c>
    </row>
    <row r="3818" spans="1:9" x14ac:dyDescent="0.25">
      <c r="A3818" s="6">
        <v>43656</v>
      </c>
      <c r="B3818" t="s">
        <v>26</v>
      </c>
      <c r="C3818">
        <v>61426</v>
      </c>
      <c r="D3818" t="s">
        <v>139</v>
      </c>
      <c r="E3818" s="7">
        <v>347</v>
      </c>
      <c r="F3818" t="s">
        <v>20</v>
      </c>
      <c r="G3818" t="s">
        <v>21</v>
      </c>
      <c r="H3818" t="str">
        <f>"26785"</f>
        <v>26785</v>
      </c>
      <c r="I3818" t="str">
        <f>"ANGEL FIRE &amp; SAFETY"</f>
        <v>ANGEL FIRE &amp; SAFETY</v>
      </c>
    </row>
    <row r="3819" spans="1:9" x14ac:dyDescent="0.25">
      <c r="A3819" s="6">
        <v>43656</v>
      </c>
      <c r="B3819" t="s">
        <v>26</v>
      </c>
      <c r="C3819">
        <v>61427</v>
      </c>
      <c r="D3819" t="s">
        <v>747</v>
      </c>
      <c r="E3819" s="7">
        <v>47.5</v>
      </c>
      <c r="F3819" t="s">
        <v>20</v>
      </c>
      <c r="G3819" t="s">
        <v>21</v>
      </c>
      <c r="H3819" t="str">
        <f>"7/8/2019"</f>
        <v>7/8/2019</v>
      </c>
      <c r="I3819" t="str">
        <f>"AMANDA MONTOYA"</f>
        <v>AMANDA MONTOYA</v>
      </c>
    </row>
    <row r="3820" spans="1:9" x14ac:dyDescent="0.25">
      <c r="A3820" s="6">
        <v>43656</v>
      </c>
      <c r="B3820" t="s">
        <v>26</v>
      </c>
      <c r="C3820">
        <v>61428</v>
      </c>
      <c r="D3820" t="s">
        <v>31</v>
      </c>
      <c r="E3820" s="7">
        <v>2000</v>
      </c>
      <c r="F3820" t="s">
        <v>20</v>
      </c>
      <c r="G3820" t="s">
        <v>21</v>
      </c>
      <c r="H3820" t="str">
        <f>"2019223"</f>
        <v>2019223</v>
      </c>
      <c r="I3820" t="str">
        <f>"THE LAW OFFICE OF TOM CALDWELL"</f>
        <v>THE LAW OFFICE OF TOM CALDWELL</v>
      </c>
    </row>
    <row r="3821" spans="1:9" x14ac:dyDescent="0.25">
      <c r="A3821" s="6">
        <v>43656</v>
      </c>
      <c r="B3821" t="s">
        <v>26</v>
      </c>
      <c r="C3821">
        <v>61429</v>
      </c>
      <c r="D3821" t="s">
        <v>81</v>
      </c>
      <c r="E3821" s="7">
        <v>75.39</v>
      </c>
      <c r="F3821" t="s">
        <v>20</v>
      </c>
      <c r="G3821" t="s">
        <v>21</v>
      </c>
      <c r="H3821" t="str">
        <f>"A.MARTINEZ 7/8/201"</f>
        <v>A.MARTINEZ 7/8/201</v>
      </c>
      <c r="I3821" t="str">
        <f>"CITY OF FLORESVILLE -PETTY CAS"</f>
        <v>CITY OF FLORESVILLE -PETTY CAS</v>
      </c>
    </row>
    <row r="3822" spans="1:9" x14ac:dyDescent="0.25">
      <c r="A3822" s="6">
        <v>43656</v>
      </c>
      <c r="B3822" t="s">
        <v>26</v>
      </c>
      <c r="C3822">
        <v>61430</v>
      </c>
      <c r="D3822" t="s">
        <v>83</v>
      </c>
      <c r="E3822" s="7">
        <v>1044</v>
      </c>
      <c r="F3822" t="s">
        <v>20</v>
      </c>
      <c r="G3822" t="s">
        <v>21</v>
      </c>
      <c r="H3822" t="str">
        <f>"785602"</f>
        <v>785602</v>
      </c>
      <c r="I3822" t="str">
        <f>"APPRIVER"</f>
        <v>APPRIVER</v>
      </c>
    </row>
    <row r="3823" spans="1:9" x14ac:dyDescent="0.25">
      <c r="A3823" s="6">
        <v>43656</v>
      </c>
      <c r="B3823" t="s">
        <v>26</v>
      </c>
      <c r="C3823">
        <v>61431</v>
      </c>
      <c r="D3823" t="s">
        <v>84</v>
      </c>
      <c r="E3823" s="7">
        <v>2855.03</v>
      </c>
      <c r="F3823" t="s">
        <v>20</v>
      </c>
      <c r="G3823" t="s">
        <v>21</v>
      </c>
      <c r="H3823" t="str">
        <f>"1528042"</f>
        <v>1528042</v>
      </c>
      <c r="I3823" t="str">
        <f>"STANTEC CONSULTING SERVICES IN"</f>
        <v>STANTEC CONSULTING SERVICES IN</v>
      </c>
    </row>
    <row r="3824" spans="1:9" x14ac:dyDescent="0.25">
      <c r="A3824" s="6">
        <v>43656</v>
      </c>
      <c r="B3824" t="s">
        <v>26</v>
      </c>
      <c r="C3824">
        <v>61431</v>
      </c>
      <c r="D3824" t="s">
        <v>84</v>
      </c>
      <c r="E3824" s="7">
        <v>2855.03</v>
      </c>
      <c r="F3824" t="s">
        <v>20</v>
      </c>
      <c r="G3824" t="s">
        <v>21</v>
      </c>
      <c r="H3824" t="str">
        <f>"1528043"</f>
        <v>1528043</v>
      </c>
      <c r="I3824" t="str">
        <f>"STANTEC CONSULTING SERVICES IN"</f>
        <v>STANTEC CONSULTING SERVICES IN</v>
      </c>
    </row>
    <row r="3825" spans="1:9" x14ac:dyDescent="0.25">
      <c r="A3825" s="6">
        <v>43656</v>
      </c>
      <c r="B3825" t="s">
        <v>26</v>
      </c>
      <c r="C3825">
        <v>61432</v>
      </c>
      <c r="D3825" t="s">
        <v>85</v>
      </c>
      <c r="E3825" s="7">
        <v>615.16999999999996</v>
      </c>
      <c r="F3825" t="s">
        <v>20</v>
      </c>
      <c r="G3825" t="s">
        <v>21</v>
      </c>
      <c r="H3825" t="str">
        <f>"8302162745 7/19"</f>
        <v>8302162745 7/19</v>
      </c>
      <c r="I3825" t="str">
        <f>"FRONTIER"</f>
        <v>FRONTIER</v>
      </c>
    </row>
    <row r="3826" spans="1:9" x14ac:dyDescent="0.25">
      <c r="A3826" s="6">
        <v>43656</v>
      </c>
      <c r="B3826" t="s">
        <v>26</v>
      </c>
      <c r="C3826">
        <v>61432</v>
      </c>
      <c r="D3826" t="s">
        <v>85</v>
      </c>
      <c r="E3826" s="7">
        <v>615.16999999999996</v>
      </c>
      <c r="F3826" t="s">
        <v>20</v>
      </c>
      <c r="G3826" t="s">
        <v>21</v>
      </c>
      <c r="H3826" t="str">
        <f>"83039332691 7/19"</f>
        <v>83039332691 7/19</v>
      </c>
      <c r="I3826" t="str">
        <f>"FRONTIER"</f>
        <v>FRONTIER</v>
      </c>
    </row>
    <row r="3827" spans="1:9" x14ac:dyDescent="0.25">
      <c r="A3827" s="6">
        <v>43656</v>
      </c>
      <c r="B3827" t="s">
        <v>26</v>
      </c>
      <c r="C3827">
        <v>61432</v>
      </c>
      <c r="D3827" t="s">
        <v>85</v>
      </c>
      <c r="E3827" s="7">
        <v>615.16999999999996</v>
      </c>
      <c r="F3827" t="s">
        <v>20</v>
      </c>
      <c r="G3827" t="s">
        <v>21</v>
      </c>
      <c r="H3827" t="str">
        <f>"8303933718 7/19"</f>
        <v>8303933718 7/19</v>
      </c>
      <c r="I3827" t="str">
        <f>"FRONTIER"</f>
        <v>FRONTIER</v>
      </c>
    </row>
    <row r="3828" spans="1:9" x14ac:dyDescent="0.25">
      <c r="A3828" s="6">
        <v>43656</v>
      </c>
      <c r="B3828" t="s">
        <v>26</v>
      </c>
      <c r="C3828">
        <v>61432</v>
      </c>
      <c r="D3828" t="s">
        <v>85</v>
      </c>
      <c r="E3828" s="7">
        <v>615.16999999999996</v>
      </c>
      <c r="F3828" t="s">
        <v>20</v>
      </c>
      <c r="G3828" t="s">
        <v>21</v>
      </c>
      <c r="H3828" t="str">
        <f>"8303937070 7/19"</f>
        <v>8303937070 7/19</v>
      </c>
      <c r="I3828" t="str">
        <f>"FRONTIER"</f>
        <v>FRONTIER</v>
      </c>
    </row>
    <row r="3829" spans="1:9" x14ac:dyDescent="0.25">
      <c r="A3829" s="6">
        <v>43656</v>
      </c>
      <c r="B3829" t="s">
        <v>26</v>
      </c>
      <c r="C3829">
        <v>61433</v>
      </c>
      <c r="D3829" t="s">
        <v>132</v>
      </c>
      <c r="E3829" s="7">
        <v>75.59</v>
      </c>
      <c r="F3829" t="s">
        <v>20</v>
      </c>
      <c r="G3829" t="s">
        <v>21</v>
      </c>
      <c r="H3829" t="str">
        <f>"2887 7/2019"</f>
        <v>2887 7/2019</v>
      </c>
      <c r="I3829" t="str">
        <f>"SPARKLETTS &amp; SIERRA SPRINGS"</f>
        <v>SPARKLETTS &amp; SIERRA SPRINGS</v>
      </c>
    </row>
    <row r="3830" spans="1:9" x14ac:dyDescent="0.25">
      <c r="A3830" s="6">
        <v>43656</v>
      </c>
      <c r="B3830" t="s">
        <v>26</v>
      </c>
      <c r="C3830">
        <v>61434</v>
      </c>
      <c r="D3830" t="s">
        <v>195</v>
      </c>
      <c r="E3830" s="7">
        <v>3924</v>
      </c>
      <c r="F3830" t="s">
        <v>20</v>
      </c>
      <c r="G3830" t="s">
        <v>21</v>
      </c>
      <c r="H3830" t="str">
        <f>"1565201906"</f>
        <v>1565201906</v>
      </c>
      <c r="I3830" t="str">
        <f>"ARISTA INFORMATION SYSTEMS  IN"</f>
        <v>ARISTA INFORMATION SYSTEMS  IN</v>
      </c>
    </row>
    <row r="3831" spans="1:9" x14ac:dyDescent="0.25">
      <c r="A3831" s="6">
        <v>43656</v>
      </c>
      <c r="B3831" t="s">
        <v>26</v>
      </c>
      <c r="C3831">
        <v>61434</v>
      </c>
      <c r="D3831" t="s">
        <v>195</v>
      </c>
      <c r="E3831" s="7">
        <v>3924</v>
      </c>
      <c r="F3831" t="s">
        <v>20</v>
      </c>
      <c r="G3831" t="s">
        <v>21</v>
      </c>
      <c r="H3831" t="str">
        <f>"27686"</f>
        <v>27686</v>
      </c>
      <c r="I3831" t="str">
        <f>"ARISTA INFORMATION SYSTEMS  IN"</f>
        <v>ARISTA INFORMATION SYSTEMS  IN</v>
      </c>
    </row>
    <row r="3832" spans="1:9" x14ac:dyDescent="0.25">
      <c r="A3832" s="6">
        <v>43656</v>
      </c>
      <c r="B3832" t="s">
        <v>26</v>
      </c>
      <c r="C3832">
        <v>61435</v>
      </c>
      <c r="D3832" t="s">
        <v>345</v>
      </c>
      <c r="E3832" s="7">
        <v>401.5</v>
      </c>
      <c r="F3832" t="s">
        <v>20</v>
      </c>
      <c r="G3832" t="s">
        <v>21</v>
      </c>
      <c r="H3832" t="str">
        <f>"7/8/2019"</f>
        <v>7/8/2019</v>
      </c>
      <c r="I3832" t="str">
        <f>"MICHAEL ISAAC MARTINEZ"</f>
        <v>MICHAEL ISAAC MARTINEZ</v>
      </c>
    </row>
    <row r="3833" spans="1:9" x14ac:dyDescent="0.25">
      <c r="A3833" s="6">
        <v>43656</v>
      </c>
      <c r="B3833" t="s">
        <v>26</v>
      </c>
      <c r="C3833">
        <v>61436</v>
      </c>
      <c r="D3833" t="s">
        <v>27</v>
      </c>
      <c r="E3833" s="7">
        <v>30</v>
      </c>
      <c r="F3833" t="s">
        <v>20</v>
      </c>
      <c r="G3833" t="s">
        <v>21</v>
      </c>
      <c r="H3833" t="str">
        <f>"TESTING FEE REIMB"</f>
        <v>TESTING FEE REIMB</v>
      </c>
      <c r="I3833" t="str">
        <f>"RICARDO CARRASCO"</f>
        <v>RICARDO CARRASCO</v>
      </c>
    </row>
    <row r="3834" spans="1:9" x14ac:dyDescent="0.25">
      <c r="A3834" s="6">
        <v>43656</v>
      </c>
      <c r="B3834" t="s">
        <v>26</v>
      </c>
      <c r="C3834">
        <v>61437</v>
      </c>
      <c r="D3834" t="s">
        <v>470</v>
      </c>
      <c r="E3834" s="7">
        <v>47.5</v>
      </c>
      <c r="F3834" t="s">
        <v>20</v>
      </c>
      <c r="G3834" t="s">
        <v>21</v>
      </c>
      <c r="H3834" t="str">
        <f>"7/6/2019"</f>
        <v>7/6/2019</v>
      </c>
      <c r="I3834" t="str">
        <f>"ALYSSA MONTOYA"</f>
        <v>ALYSSA MONTOYA</v>
      </c>
    </row>
    <row r="3835" spans="1:9" x14ac:dyDescent="0.25">
      <c r="A3835" s="6">
        <v>43656</v>
      </c>
      <c r="B3835" t="s">
        <v>26</v>
      </c>
      <c r="C3835">
        <v>61438</v>
      </c>
      <c r="D3835" t="s">
        <v>554</v>
      </c>
      <c r="E3835" s="7">
        <v>74.95</v>
      </c>
      <c r="F3835" t="s">
        <v>20</v>
      </c>
      <c r="G3835" t="s">
        <v>21</v>
      </c>
      <c r="H3835" t="str">
        <f>"AA35913"</f>
        <v>AA35913</v>
      </c>
      <c r="I3835" t="str">
        <f>"TEXAS WIRED MUSIC"</f>
        <v>TEXAS WIRED MUSIC</v>
      </c>
    </row>
    <row r="3836" spans="1:9" x14ac:dyDescent="0.25">
      <c r="A3836" s="6">
        <v>43656</v>
      </c>
      <c r="B3836" t="s">
        <v>26</v>
      </c>
      <c r="C3836">
        <v>61439</v>
      </c>
      <c r="D3836" t="s">
        <v>609</v>
      </c>
      <c r="E3836" s="7">
        <v>388.1</v>
      </c>
      <c r="F3836" t="s">
        <v>20</v>
      </c>
      <c r="G3836" t="s">
        <v>21</v>
      </c>
      <c r="H3836" t="str">
        <f>"31871444"</f>
        <v>31871444</v>
      </c>
      <c r="I3836" t="str">
        <f>"55 GAL BARREL"</f>
        <v>55 GAL BARREL</v>
      </c>
    </row>
    <row r="3837" spans="1:9" x14ac:dyDescent="0.25">
      <c r="A3837" s="6">
        <v>43656</v>
      </c>
      <c r="B3837" t="s">
        <v>26</v>
      </c>
      <c r="C3837">
        <v>61440</v>
      </c>
      <c r="D3837" t="s">
        <v>716</v>
      </c>
      <c r="E3837" s="7">
        <v>240</v>
      </c>
      <c r="F3837" t="s">
        <v>20</v>
      </c>
      <c r="G3837" t="s">
        <v>21</v>
      </c>
      <c r="H3837" t="str">
        <f>"7/8/219"</f>
        <v>7/8/219</v>
      </c>
      <c r="I3837" t="str">
        <f>"ALFREDO SENDEJO"</f>
        <v>ALFREDO SENDEJO</v>
      </c>
    </row>
    <row r="3838" spans="1:9" x14ac:dyDescent="0.25">
      <c r="A3838" s="6">
        <v>43656</v>
      </c>
      <c r="B3838" t="s">
        <v>26</v>
      </c>
      <c r="C3838">
        <v>61441</v>
      </c>
      <c r="D3838" t="s">
        <v>143</v>
      </c>
      <c r="E3838" s="7">
        <v>339.75</v>
      </c>
      <c r="F3838" t="s">
        <v>20</v>
      </c>
      <c r="G3838" t="s">
        <v>21</v>
      </c>
      <c r="H3838" t="str">
        <f>"9402066697"</f>
        <v>9402066697</v>
      </c>
      <c r="I3838" t="str">
        <f>"OIL FOR STREETS"</f>
        <v>OIL FOR STREETS</v>
      </c>
    </row>
    <row r="3839" spans="1:9" x14ac:dyDescent="0.25">
      <c r="A3839" s="6">
        <v>43656</v>
      </c>
      <c r="B3839" t="s">
        <v>26</v>
      </c>
      <c r="C3839">
        <v>61442</v>
      </c>
      <c r="D3839" t="s">
        <v>59</v>
      </c>
      <c r="E3839" s="7">
        <v>3861.2</v>
      </c>
      <c r="F3839" t="s">
        <v>20</v>
      </c>
      <c r="G3839" t="s">
        <v>21</v>
      </c>
      <c r="H3839" t="str">
        <f>"1021527"</f>
        <v>1021527</v>
      </c>
      <c r="I3839" t="str">
        <f>"MATERIAL FOR WATER DEP"</f>
        <v>MATERIAL FOR WATER DEP</v>
      </c>
    </row>
    <row r="3840" spans="1:9" x14ac:dyDescent="0.25">
      <c r="A3840" s="6">
        <v>43656</v>
      </c>
      <c r="B3840" t="s">
        <v>26</v>
      </c>
      <c r="C3840">
        <v>61442</v>
      </c>
      <c r="D3840" t="s">
        <v>59</v>
      </c>
      <c r="E3840" s="7">
        <v>3861.2</v>
      </c>
      <c r="F3840" t="s">
        <v>20</v>
      </c>
      <c r="G3840" t="s">
        <v>21</v>
      </c>
      <c r="H3840" t="str">
        <f>"1021531"</f>
        <v>1021531</v>
      </c>
      <c r="I3840" t="str">
        <f>"MATERIAL FOR WATER DEP"</f>
        <v>MATERIAL FOR WATER DEP</v>
      </c>
    </row>
    <row r="3841" spans="1:9" x14ac:dyDescent="0.25">
      <c r="A3841" s="6">
        <v>43656</v>
      </c>
      <c r="B3841" t="s">
        <v>26</v>
      </c>
      <c r="C3841">
        <v>61442</v>
      </c>
      <c r="D3841" t="s">
        <v>59</v>
      </c>
      <c r="E3841" s="7">
        <v>3861.2</v>
      </c>
      <c r="F3841" t="s">
        <v>20</v>
      </c>
      <c r="G3841" t="s">
        <v>21</v>
      </c>
      <c r="H3841" t="str">
        <f>"1021558"</f>
        <v>1021558</v>
      </c>
      <c r="I3841" t="str">
        <f>"SUPPLIES FOR POOL DEPT"</f>
        <v>SUPPLIES FOR POOL DEPT</v>
      </c>
    </row>
    <row r="3842" spans="1:9" x14ac:dyDescent="0.25">
      <c r="A3842" s="6">
        <v>43656</v>
      </c>
      <c r="B3842" t="s">
        <v>26</v>
      </c>
      <c r="C3842">
        <v>61442</v>
      </c>
      <c r="D3842" t="s">
        <v>59</v>
      </c>
      <c r="E3842" s="7">
        <v>3861.2</v>
      </c>
      <c r="F3842" t="s">
        <v>20</v>
      </c>
      <c r="G3842" t="s">
        <v>21</v>
      </c>
      <c r="H3842" t="str">
        <f>"1021672"</f>
        <v>1021672</v>
      </c>
      <c r="I3842" t="str">
        <f>"POOL REPAIR"</f>
        <v>POOL REPAIR</v>
      </c>
    </row>
    <row r="3843" spans="1:9" x14ac:dyDescent="0.25">
      <c r="A3843" s="6">
        <v>43656</v>
      </c>
      <c r="B3843" t="s">
        <v>26</v>
      </c>
      <c r="C3843">
        <v>61442</v>
      </c>
      <c r="D3843" t="s">
        <v>59</v>
      </c>
      <c r="E3843" s="7">
        <v>3861.2</v>
      </c>
      <c r="F3843" t="s">
        <v>20</v>
      </c>
      <c r="G3843" t="s">
        <v>21</v>
      </c>
      <c r="H3843" t="str">
        <f>"1022021"</f>
        <v>1022021</v>
      </c>
      <c r="I3843" t="str">
        <f>"POOL REPAIR"</f>
        <v>POOL REPAIR</v>
      </c>
    </row>
    <row r="3844" spans="1:9" x14ac:dyDescent="0.25">
      <c r="A3844" s="6">
        <v>43656</v>
      </c>
      <c r="B3844" t="s">
        <v>26</v>
      </c>
      <c r="C3844">
        <v>61444</v>
      </c>
      <c r="D3844" t="s">
        <v>250</v>
      </c>
      <c r="E3844" s="7">
        <v>471.52</v>
      </c>
      <c r="F3844" t="s">
        <v>20</v>
      </c>
      <c r="G3844" t="s">
        <v>21</v>
      </c>
      <c r="H3844" t="str">
        <f>"C126730"</f>
        <v>C126730</v>
      </c>
      <c r="I3844" t="str">
        <f>"SUPPLIES FOR PARK'S DEPT"</f>
        <v>SUPPLIES FOR PARK'S DEPT</v>
      </c>
    </row>
    <row r="3845" spans="1:9" x14ac:dyDescent="0.25">
      <c r="A3845" s="6">
        <v>43656</v>
      </c>
      <c r="B3845" t="s">
        <v>26</v>
      </c>
      <c r="C3845">
        <v>61445</v>
      </c>
      <c r="D3845" t="s">
        <v>203</v>
      </c>
      <c r="E3845" s="7">
        <v>1686.63</v>
      </c>
      <c r="F3845" t="s">
        <v>20</v>
      </c>
      <c r="G3845" t="s">
        <v>21</v>
      </c>
      <c r="H3845" t="str">
        <f>"935999"</f>
        <v>935999</v>
      </c>
      <c r="I3845" t="str">
        <f>"TESTING OF WATER"</f>
        <v>TESTING OF WATER</v>
      </c>
    </row>
    <row r="3846" spans="1:9" x14ac:dyDescent="0.25">
      <c r="A3846" s="6">
        <v>43656</v>
      </c>
      <c r="B3846" t="s">
        <v>26</v>
      </c>
      <c r="C3846">
        <v>61446</v>
      </c>
      <c r="D3846" t="s">
        <v>61</v>
      </c>
      <c r="E3846" s="7">
        <v>188</v>
      </c>
      <c r="F3846" t="s">
        <v>20</v>
      </c>
      <c r="G3846" t="s">
        <v>21</v>
      </c>
      <c r="H3846" t="str">
        <f>"025-263676"</f>
        <v>025-263676</v>
      </c>
      <c r="I3846" t="str">
        <f>"TYLER TECHNOLOGIES  INC."</f>
        <v>TYLER TECHNOLOGIES  INC.</v>
      </c>
    </row>
    <row r="3847" spans="1:9" x14ac:dyDescent="0.25">
      <c r="A3847" s="6">
        <v>43656</v>
      </c>
      <c r="B3847" t="s">
        <v>26</v>
      </c>
      <c r="C3847">
        <v>61447</v>
      </c>
      <c r="D3847" t="s">
        <v>114</v>
      </c>
      <c r="E3847" s="7">
        <v>22338.54</v>
      </c>
      <c r="F3847" t="s">
        <v>20</v>
      </c>
      <c r="G3847" t="s">
        <v>21</v>
      </c>
      <c r="H3847" t="str">
        <f>"QRT ENDING 6/30/19"</f>
        <v>QRT ENDING 6/30/19</v>
      </c>
      <c r="I3847" t="str">
        <f>"STATE COMPTROLLER"</f>
        <v>STATE COMPTROLLER</v>
      </c>
    </row>
    <row r="3848" spans="1:9" x14ac:dyDescent="0.25">
      <c r="A3848" s="6">
        <v>43656</v>
      </c>
      <c r="B3848" t="s">
        <v>26</v>
      </c>
      <c r="C3848">
        <v>61448</v>
      </c>
      <c r="D3848" t="s">
        <v>184</v>
      </c>
      <c r="E3848" s="7">
        <v>1126</v>
      </c>
      <c r="F3848" t="s">
        <v>20</v>
      </c>
      <c r="G3848" t="s">
        <v>21</v>
      </c>
      <c r="H3848" t="str">
        <f>"1054-786"</f>
        <v>1054-786</v>
      </c>
      <c r="I3848" t="str">
        <f>"POLLUTION CONTROL SERVICES"</f>
        <v>POLLUTION CONTROL SERVICES</v>
      </c>
    </row>
    <row r="3849" spans="1:9" x14ac:dyDescent="0.25">
      <c r="A3849" s="6">
        <v>43656</v>
      </c>
      <c r="B3849" t="s">
        <v>26</v>
      </c>
      <c r="C3849">
        <v>61448</v>
      </c>
      <c r="D3849" t="s">
        <v>184</v>
      </c>
      <c r="E3849" s="7">
        <v>1126</v>
      </c>
      <c r="F3849" t="s">
        <v>20</v>
      </c>
      <c r="G3849" t="s">
        <v>21</v>
      </c>
      <c r="H3849" t="str">
        <f>"1054-787"</f>
        <v>1054-787</v>
      </c>
      <c r="I3849" t="str">
        <f>"POLLUTION CONTROL SERVICES"</f>
        <v>POLLUTION CONTROL SERVICES</v>
      </c>
    </row>
    <row r="3850" spans="1:9" x14ac:dyDescent="0.25">
      <c r="A3850" s="6">
        <v>43656</v>
      </c>
      <c r="B3850" t="s">
        <v>26</v>
      </c>
      <c r="C3850">
        <v>61449</v>
      </c>
      <c r="D3850" t="s">
        <v>62</v>
      </c>
      <c r="E3850" s="7">
        <v>2210</v>
      </c>
      <c r="F3850" t="s">
        <v>20</v>
      </c>
      <c r="G3850" t="s">
        <v>21</v>
      </c>
      <c r="H3850" t="str">
        <f>"64311"</f>
        <v>64311</v>
      </c>
      <c r="I3850" t="str">
        <f>"PROFICIENT BENEFIT SOLUTIONS"</f>
        <v>PROFICIENT BENEFIT SOLUTIONS</v>
      </c>
    </row>
    <row r="3851" spans="1:9" x14ac:dyDescent="0.25">
      <c r="A3851" s="6">
        <v>43656</v>
      </c>
      <c r="B3851" t="s">
        <v>26</v>
      </c>
      <c r="C3851">
        <v>61449</v>
      </c>
      <c r="D3851" t="s">
        <v>62</v>
      </c>
      <c r="E3851" s="7">
        <v>2210</v>
      </c>
      <c r="F3851" t="s">
        <v>20</v>
      </c>
      <c r="G3851" t="s">
        <v>21</v>
      </c>
      <c r="H3851" t="str">
        <f>"J.MONTOYA"</f>
        <v>J.MONTOYA</v>
      </c>
      <c r="I3851" t="str">
        <f>"PROFICIENT BENEFIT SOLUTIONS"</f>
        <v>PROFICIENT BENEFIT SOLUTIONS</v>
      </c>
    </row>
    <row r="3852" spans="1:9" x14ac:dyDescent="0.25">
      <c r="A3852" s="6">
        <v>43656</v>
      </c>
      <c r="B3852" t="s">
        <v>26</v>
      </c>
      <c r="C3852">
        <v>61450</v>
      </c>
      <c r="D3852" t="s">
        <v>115</v>
      </c>
      <c r="E3852" s="7">
        <v>93.57</v>
      </c>
      <c r="F3852" t="s">
        <v>20</v>
      </c>
      <c r="G3852" t="s">
        <v>21</v>
      </c>
      <c r="H3852" t="str">
        <f>"3547454567"</f>
        <v>3547454567</v>
      </c>
      <c r="I3852" t="str">
        <f>"PARTS FOR THE SHOP"</f>
        <v>PARTS FOR THE SHOP</v>
      </c>
    </row>
    <row r="3853" spans="1:9" x14ac:dyDescent="0.25">
      <c r="A3853" s="6">
        <v>43656</v>
      </c>
      <c r="B3853" t="s">
        <v>26</v>
      </c>
      <c r="C3853">
        <v>61450</v>
      </c>
      <c r="D3853" t="s">
        <v>115</v>
      </c>
      <c r="E3853" s="7">
        <v>93.57</v>
      </c>
      <c r="F3853" t="s">
        <v>20</v>
      </c>
      <c r="G3853" t="s">
        <v>21</v>
      </c>
      <c r="H3853" t="str">
        <f>"3547460398"</f>
        <v>3547460398</v>
      </c>
      <c r="I3853" t="str">
        <f>"SHOP SUPPLIES"</f>
        <v>SHOP SUPPLIES</v>
      </c>
    </row>
    <row r="3854" spans="1:9" x14ac:dyDescent="0.25">
      <c r="A3854" s="6">
        <v>43656</v>
      </c>
      <c r="B3854" t="s">
        <v>26</v>
      </c>
      <c r="C3854">
        <v>61451</v>
      </c>
      <c r="D3854" t="s">
        <v>684</v>
      </c>
      <c r="E3854" s="7">
        <v>144</v>
      </c>
      <c r="F3854" t="s">
        <v>20</v>
      </c>
      <c r="G3854" t="s">
        <v>21</v>
      </c>
      <c r="H3854" t="str">
        <f>"0051953"</f>
        <v>0051953</v>
      </c>
      <c r="I3854" t="str">
        <f>"ASPHALT LAYDOWN MACHINE"</f>
        <v>ASPHALT LAYDOWN MACHINE</v>
      </c>
    </row>
    <row r="3855" spans="1:9" x14ac:dyDescent="0.25">
      <c r="A3855" s="6">
        <v>43656</v>
      </c>
      <c r="B3855" t="s">
        <v>26</v>
      </c>
      <c r="C3855">
        <v>61452</v>
      </c>
      <c r="D3855" t="s">
        <v>64</v>
      </c>
      <c r="E3855" s="7">
        <v>4906</v>
      </c>
      <c r="F3855" t="s">
        <v>20</v>
      </c>
      <c r="G3855" t="s">
        <v>21</v>
      </c>
      <c r="H3855" t="str">
        <f>"7873"</f>
        <v>7873</v>
      </c>
      <c r="I3855" t="str">
        <f>"DREWA DESIGNS  INC."</f>
        <v>DREWA DESIGNS  INC.</v>
      </c>
    </row>
    <row r="3856" spans="1:9" x14ac:dyDescent="0.25">
      <c r="A3856" s="6">
        <v>43656</v>
      </c>
      <c r="B3856" t="s">
        <v>26</v>
      </c>
      <c r="C3856">
        <v>61453</v>
      </c>
      <c r="D3856" t="s">
        <v>628</v>
      </c>
      <c r="E3856" s="7">
        <v>30</v>
      </c>
      <c r="F3856" t="s">
        <v>20</v>
      </c>
      <c r="G3856" t="s">
        <v>21</v>
      </c>
      <c r="H3856" t="str">
        <f>"524230"</f>
        <v>524230</v>
      </c>
      <c r="I3856" t="str">
        <f>"REFILL"</f>
        <v>REFILL</v>
      </c>
    </row>
    <row r="3857" spans="1:9" x14ac:dyDescent="0.25">
      <c r="A3857" s="6">
        <v>43656</v>
      </c>
      <c r="B3857" t="s">
        <v>26</v>
      </c>
      <c r="C3857">
        <v>61454</v>
      </c>
      <c r="D3857" t="s">
        <v>189</v>
      </c>
      <c r="E3857" s="7">
        <v>6665.44</v>
      </c>
      <c r="F3857" t="s">
        <v>20</v>
      </c>
      <c r="G3857" t="s">
        <v>21</v>
      </c>
      <c r="H3857" t="str">
        <f>"SWO051194-1"</f>
        <v>SWO051194-1</v>
      </c>
      <c r="I3857" t="str">
        <f>"ASCO"</f>
        <v>ASCO</v>
      </c>
    </row>
    <row r="3858" spans="1:9" x14ac:dyDescent="0.25">
      <c r="A3858" s="6">
        <v>43656</v>
      </c>
      <c r="B3858" t="s">
        <v>26</v>
      </c>
      <c r="C3858">
        <v>61454</v>
      </c>
      <c r="D3858" t="s">
        <v>189</v>
      </c>
      <c r="E3858" s="7">
        <v>6665.44</v>
      </c>
      <c r="F3858" t="s">
        <v>20</v>
      </c>
      <c r="G3858" t="s">
        <v>21</v>
      </c>
      <c r="H3858" t="str">
        <f>"SWO056458-1"</f>
        <v>SWO056458-1</v>
      </c>
      <c r="I3858" t="str">
        <f>"ASCO"</f>
        <v>ASCO</v>
      </c>
    </row>
    <row r="3859" spans="1:9" x14ac:dyDescent="0.25">
      <c r="A3859" s="6">
        <v>43656</v>
      </c>
      <c r="B3859" t="s">
        <v>26</v>
      </c>
      <c r="C3859">
        <v>61455</v>
      </c>
      <c r="D3859" t="s">
        <v>77</v>
      </c>
      <c r="E3859" s="7">
        <v>894.2</v>
      </c>
      <c r="F3859" t="s">
        <v>20</v>
      </c>
      <c r="G3859" t="s">
        <v>21</v>
      </c>
      <c r="H3859" t="str">
        <f>"857001194-19"</f>
        <v>857001194-19</v>
      </c>
      <c r="I3859" t="str">
        <f>"CHLORINE FOR WATER DEPT"</f>
        <v>CHLORINE FOR WATER DEPT</v>
      </c>
    </row>
    <row r="3860" spans="1:9" x14ac:dyDescent="0.25">
      <c r="A3860" s="6">
        <v>43656</v>
      </c>
      <c r="B3860" t="s">
        <v>26</v>
      </c>
      <c r="C3860">
        <v>61456</v>
      </c>
      <c r="D3860" t="s">
        <v>124</v>
      </c>
      <c r="E3860" s="7">
        <v>357.84</v>
      </c>
      <c r="F3860" t="s">
        <v>20</v>
      </c>
      <c r="G3860" t="s">
        <v>21</v>
      </c>
      <c r="H3860" t="str">
        <f>"11174596"</f>
        <v>11174596</v>
      </c>
      <c r="I3860" t="str">
        <f>"MATERIAL FOR WASTE WATER"</f>
        <v>MATERIAL FOR WASTE WATER</v>
      </c>
    </row>
    <row r="3861" spans="1:9" x14ac:dyDescent="0.25">
      <c r="A3861" s="6">
        <v>43656</v>
      </c>
      <c r="B3861" t="s">
        <v>26</v>
      </c>
      <c r="C3861">
        <v>61457</v>
      </c>
      <c r="D3861" t="s">
        <v>125</v>
      </c>
      <c r="E3861" s="7">
        <v>1825</v>
      </c>
      <c r="F3861" t="s">
        <v>20</v>
      </c>
      <c r="G3861" t="s">
        <v>21</v>
      </c>
      <c r="H3861" t="str">
        <f>"18-0202 6/19"</f>
        <v>18-0202 6/19</v>
      </c>
      <c r="I3861" t="str">
        <f>"INTREPID SURVEYING CORPORATION"</f>
        <v>INTREPID SURVEYING CORPORATION</v>
      </c>
    </row>
    <row r="3862" spans="1:9" x14ac:dyDescent="0.25">
      <c r="A3862" s="6">
        <v>43656</v>
      </c>
      <c r="B3862" t="s">
        <v>26</v>
      </c>
      <c r="C3862">
        <v>61457</v>
      </c>
      <c r="D3862" t="s">
        <v>125</v>
      </c>
      <c r="E3862" s="7">
        <v>1825</v>
      </c>
      <c r="F3862" t="s">
        <v>20</v>
      </c>
      <c r="G3862" t="s">
        <v>21</v>
      </c>
      <c r="H3862" t="str">
        <f>"19-0176 6/19"</f>
        <v>19-0176 6/19</v>
      </c>
      <c r="I3862" t="str">
        <f>"INTREPID SURVEYING CORPORATION"</f>
        <v>INTREPID SURVEYING CORPORATION</v>
      </c>
    </row>
    <row r="3863" spans="1:9" x14ac:dyDescent="0.25">
      <c r="A3863" s="6">
        <v>43656</v>
      </c>
      <c r="B3863" t="s">
        <v>26</v>
      </c>
      <c r="C3863">
        <v>61457</v>
      </c>
      <c r="D3863" t="s">
        <v>125</v>
      </c>
      <c r="E3863" s="7">
        <v>1825</v>
      </c>
      <c r="F3863" t="s">
        <v>20</v>
      </c>
      <c r="G3863" t="s">
        <v>21</v>
      </c>
      <c r="H3863" t="str">
        <f>"19-0359 6/19"</f>
        <v>19-0359 6/19</v>
      </c>
      <c r="I3863" t="str">
        <f>"INTREPID SURVEYING CORPORATION"</f>
        <v>INTREPID SURVEYING CORPORATION</v>
      </c>
    </row>
    <row r="3864" spans="1:9" x14ac:dyDescent="0.25">
      <c r="A3864" s="6">
        <v>43656</v>
      </c>
      <c r="B3864" t="s">
        <v>26</v>
      </c>
      <c r="C3864">
        <v>61458</v>
      </c>
      <c r="D3864" t="s">
        <v>191</v>
      </c>
      <c r="E3864" s="7">
        <v>1582.12</v>
      </c>
      <c r="F3864" t="s">
        <v>20</v>
      </c>
      <c r="G3864" t="s">
        <v>21</v>
      </c>
      <c r="H3864" t="str">
        <f>"INV06-006393"</f>
        <v>INV06-006393</v>
      </c>
      <c r="I3864" t="str">
        <f>"MUNISERVICES  LLC"</f>
        <v>MUNISERVICES  LLC</v>
      </c>
    </row>
    <row r="3865" spans="1:9" x14ac:dyDescent="0.25">
      <c r="A3865" s="6">
        <v>43656</v>
      </c>
      <c r="B3865" t="s">
        <v>26</v>
      </c>
      <c r="C3865">
        <v>61459</v>
      </c>
      <c r="D3865" t="s">
        <v>131</v>
      </c>
      <c r="E3865" s="7">
        <v>107.93</v>
      </c>
      <c r="F3865" t="s">
        <v>20</v>
      </c>
      <c r="G3865" t="s">
        <v>21</v>
      </c>
      <c r="H3865" t="str">
        <f>"041478"</f>
        <v>041478</v>
      </c>
      <c r="I3865" t="str">
        <f>"STREETS- UNIT 431"</f>
        <v>STREETS- UNIT 431</v>
      </c>
    </row>
    <row r="3866" spans="1:9" x14ac:dyDescent="0.25">
      <c r="A3866" s="6">
        <v>43656</v>
      </c>
      <c r="B3866" t="s">
        <v>26</v>
      </c>
      <c r="C3866">
        <v>61460</v>
      </c>
      <c r="D3866" t="s">
        <v>761</v>
      </c>
      <c r="E3866" s="7">
        <v>42.5</v>
      </c>
      <c r="F3866" t="s">
        <v>20</v>
      </c>
      <c r="G3866" t="s">
        <v>21</v>
      </c>
      <c r="H3866" t="str">
        <f>"102-102298"</f>
        <v>102-102298</v>
      </c>
      <c r="I3866" t="str">
        <f>"ICE BUCKET"</f>
        <v>ICE BUCKET</v>
      </c>
    </row>
    <row r="3867" spans="1:9" x14ac:dyDescent="0.25">
      <c r="A3867" s="6">
        <v>43656</v>
      </c>
      <c r="B3867" t="s">
        <v>26</v>
      </c>
      <c r="C3867">
        <v>61461</v>
      </c>
      <c r="D3867" t="s">
        <v>346</v>
      </c>
      <c r="E3867" s="7">
        <v>13750</v>
      </c>
      <c r="F3867" t="s">
        <v>20</v>
      </c>
      <c r="G3867" t="s">
        <v>21</v>
      </c>
      <c r="H3867" t="str">
        <f>"5/11-6/11/2019"</f>
        <v>5/11-6/11/2019</v>
      </c>
      <c r="I3867" t="str">
        <f>"SYLVIA RODRIGUEZ"</f>
        <v>SYLVIA RODRIGUEZ</v>
      </c>
    </row>
    <row r="3868" spans="1:9" x14ac:dyDescent="0.25">
      <c r="A3868" s="6">
        <v>43656</v>
      </c>
      <c r="B3868" t="s">
        <v>26</v>
      </c>
      <c r="C3868">
        <v>61462</v>
      </c>
      <c r="D3868" t="s">
        <v>644</v>
      </c>
      <c r="E3868" s="7">
        <v>689.67</v>
      </c>
      <c r="F3868" t="s">
        <v>20</v>
      </c>
      <c r="G3868" t="s">
        <v>21</v>
      </c>
      <c r="H3868" t="str">
        <f>"8213333006"</f>
        <v>8213333006</v>
      </c>
      <c r="I3868" t="str">
        <f t="shared" ref="I3868:I3875" si="73">"UNIFIRST CORPORATION"</f>
        <v>UNIFIRST CORPORATION</v>
      </c>
    </row>
    <row r="3869" spans="1:9" x14ac:dyDescent="0.25">
      <c r="A3869" s="6">
        <v>43656</v>
      </c>
      <c r="B3869" t="s">
        <v>26</v>
      </c>
      <c r="C3869">
        <v>61462</v>
      </c>
      <c r="D3869" t="s">
        <v>644</v>
      </c>
      <c r="E3869" s="7">
        <v>689.67</v>
      </c>
      <c r="F3869" t="s">
        <v>20</v>
      </c>
      <c r="G3869" t="s">
        <v>21</v>
      </c>
      <c r="H3869" t="str">
        <f>"8213335676"</f>
        <v>8213335676</v>
      </c>
      <c r="I3869" t="str">
        <f t="shared" si="73"/>
        <v>UNIFIRST CORPORATION</v>
      </c>
    </row>
    <row r="3870" spans="1:9" x14ac:dyDescent="0.25">
      <c r="A3870" s="6">
        <v>43656</v>
      </c>
      <c r="B3870" t="s">
        <v>26</v>
      </c>
      <c r="C3870">
        <v>61462</v>
      </c>
      <c r="D3870" t="s">
        <v>644</v>
      </c>
      <c r="E3870" s="7">
        <v>689.67</v>
      </c>
      <c r="F3870" t="s">
        <v>20</v>
      </c>
      <c r="G3870" t="s">
        <v>21</v>
      </c>
      <c r="H3870" t="str">
        <f>"8213335677"</f>
        <v>8213335677</v>
      </c>
      <c r="I3870" t="str">
        <f t="shared" si="73"/>
        <v>UNIFIRST CORPORATION</v>
      </c>
    </row>
    <row r="3871" spans="1:9" x14ac:dyDescent="0.25">
      <c r="A3871" s="6">
        <v>43656</v>
      </c>
      <c r="B3871" t="s">
        <v>26</v>
      </c>
      <c r="C3871">
        <v>61462</v>
      </c>
      <c r="D3871" t="s">
        <v>644</v>
      </c>
      <c r="E3871" s="7">
        <v>689.67</v>
      </c>
      <c r="F3871" t="s">
        <v>20</v>
      </c>
      <c r="G3871" t="s">
        <v>21</v>
      </c>
      <c r="H3871" t="str">
        <f>"8213335678"</f>
        <v>8213335678</v>
      </c>
      <c r="I3871" t="str">
        <f t="shared" si="73"/>
        <v>UNIFIRST CORPORATION</v>
      </c>
    </row>
    <row r="3872" spans="1:9" x14ac:dyDescent="0.25">
      <c r="A3872" s="6">
        <v>43656</v>
      </c>
      <c r="B3872" t="s">
        <v>26</v>
      </c>
      <c r="C3872">
        <v>61462</v>
      </c>
      <c r="D3872" t="s">
        <v>644</v>
      </c>
      <c r="E3872" s="7">
        <v>689.67</v>
      </c>
      <c r="F3872" t="s">
        <v>20</v>
      </c>
      <c r="G3872" t="s">
        <v>21</v>
      </c>
      <c r="H3872" t="str">
        <f>"8213335679"</f>
        <v>8213335679</v>
      </c>
      <c r="I3872" t="str">
        <f t="shared" si="73"/>
        <v>UNIFIRST CORPORATION</v>
      </c>
    </row>
    <row r="3873" spans="1:9" x14ac:dyDescent="0.25">
      <c r="A3873" s="6">
        <v>43656</v>
      </c>
      <c r="B3873" t="s">
        <v>26</v>
      </c>
      <c r="C3873">
        <v>61462</v>
      </c>
      <c r="D3873" t="s">
        <v>644</v>
      </c>
      <c r="E3873" s="7">
        <v>689.67</v>
      </c>
      <c r="F3873" t="s">
        <v>20</v>
      </c>
      <c r="G3873" t="s">
        <v>21</v>
      </c>
      <c r="H3873" t="str">
        <f>"8213335680"</f>
        <v>8213335680</v>
      </c>
      <c r="I3873" t="str">
        <f t="shared" si="73"/>
        <v>UNIFIRST CORPORATION</v>
      </c>
    </row>
    <row r="3874" spans="1:9" x14ac:dyDescent="0.25">
      <c r="A3874" s="6">
        <v>43656</v>
      </c>
      <c r="B3874" t="s">
        <v>26</v>
      </c>
      <c r="C3874">
        <v>61462</v>
      </c>
      <c r="D3874" t="s">
        <v>644</v>
      </c>
      <c r="E3874" s="7">
        <v>689.67</v>
      </c>
      <c r="F3874" t="s">
        <v>20</v>
      </c>
      <c r="G3874" t="s">
        <v>21</v>
      </c>
      <c r="H3874" t="str">
        <f>"8213335682"</f>
        <v>8213335682</v>
      </c>
      <c r="I3874" t="str">
        <f t="shared" si="73"/>
        <v>UNIFIRST CORPORATION</v>
      </c>
    </row>
    <row r="3875" spans="1:9" x14ac:dyDescent="0.25">
      <c r="A3875" s="6">
        <v>43656</v>
      </c>
      <c r="B3875" t="s">
        <v>26</v>
      </c>
      <c r="C3875">
        <v>61462</v>
      </c>
      <c r="D3875" t="s">
        <v>644</v>
      </c>
      <c r="E3875" s="7">
        <v>689.67</v>
      </c>
      <c r="F3875" t="s">
        <v>20</v>
      </c>
      <c r="G3875" t="s">
        <v>21</v>
      </c>
      <c r="H3875" t="str">
        <f>"8213335684"</f>
        <v>8213335684</v>
      </c>
      <c r="I3875" t="str">
        <f t="shared" si="73"/>
        <v>UNIFIRST CORPORATION</v>
      </c>
    </row>
    <row r="3876" spans="1:9" x14ac:dyDescent="0.25">
      <c r="A3876" s="6">
        <v>43656</v>
      </c>
      <c r="B3876" t="s">
        <v>26</v>
      </c>
      <c r="C3876">
        <v>61464</v>
      </c>
      <c r="D3876" t="s">
        <v>685</v>
      </c>
      <c r="E3876" s="7">
        <v>2304.25</v>
      </c>
      <c r="F3876" t="s">
        <v>20</v>
      </c>
      <c r="G3876" t="s">
        <v>21</v>
      </c>
      <c r="H3876" t="str">
        <f>"9417-5"</f>
        <v>9417-5</v>
      </c>
      <c r="I3876" t="str">
        <f>"TRACK"</f>
        <v>TRACK</v>
      </c>
    </row>
    <row r="3877" spans="1:9" x14ac:dyDescent="0.25">
      <c r="A3877" s="6">
        <v>43656</v>
      </c>
      <c r="B3877" t="s">
        <v>26</v>
      </c>
      <c r="C3877">
        <v>61465</v>
      </c>
      <c r="D3877" t="s">
        <v>762</v>
      </c>
      <c r="E3877" s="7">
        <v>167.25</v>
      </c>
      <c r="F3877" t="s">
        <v>20</v>
      </c>
      <c r="G3877" t="s">
        <v>21</v>
      </c>
      <c r="H3877" t="str">
        <f>"TRWA TRNGWW 7/2019"</f>
        <v>TRWA TRNGWW 7/2019</v>
      </c>
      <c r="I3877" t="str">
        <f>"TRAINING"</f>
        <v>TRAINING</v>
      </c>
    </row>
    <row r="3878" spans="1:9" x14ac:dyDescent="0.25">
      <c r="A3878" s="6">
        <v>43657</v>
      </c>
      <c r="B3878" t="s">
        <v>26</v>
      </c>
      <c r="C3878">
        <v>61466</v>
      </c>
      <c r="D3878" t="s">
        <v>763</v>
      </c>
      <c r="E3878" s="7">
        <v>47.5</v>
      </c>
      <c r="F3878" t="s">
        <v>20</v>
      </c>
      <c r="G3878" t="s">
        <v>21</v>
      </c>
      <c r="H3878" t="str">
        <f>"RFND SWIM LES 7/19"</f>
        <v>RFND SWIM LES 7/19</v>
      </c>
      <c r="I3878" t="str">
        <f t="shared" ref="I3878:I3885" si="74">"REFUND"</f>
        <v>REFUND</v>
      </c>
    </row>
    <row r="3879" spans="1:9" x14ac:dyDescent="0.25">
      <c r="A3879" s="6">
        <v>43657</v>
      </c>
      <c r="B3879" t="s">
        <v>26</v>
      </c>
      <c r="C3879">
        <v>61467</v>
      </c>
      <c r="D3879" t="s">
        <v>764</v>
      </c>
      <c r="E3879" s="7">
        <v>47.5</v>
      </c>
      <c r="F3879" t="s">
        <v>20</v>
      </c>
      <c r="G3879" t="s">
        <v>21</v>
      </c>
      <c r="H3879" t="str">
        <f>"RFND SWM LESS 7/19"</f>
        <v>RFND SWM LESS 7/19</v>
      </c>
      <c r="I3879" t="str">
        <f t="shared" si="74"/>
        <v>REFUND</v>
      </c>
    </row>
    <row r="3880" spans="1:9" x14ac:dyDescent="0.25">
      <c r="A3880" s="6">
        <v>43657</v>
      </c>
      <c r="B3880" t="s">
        <v>26</v>
      </c>
      <c r="C3880">
        <v>61468</v>
      </c>
      <c r="D3880" t="s">
        <v>765</v>
      </c>
      <c r="E3880" s="7">
        <v>47.5</v>
      </c>
      <c r="F3880" t="s">
        <v>20</v>
      </c>
      <c r="G3880" t="s">
        <v>21</v>
      </c>
      <c r="H3880" t="str">
        <f>"SWIM REFUND 7/19"</f>
        <v>SWIM REFUND 7/19</v>
      </c>
      <c r="I3880" t="str">
        <f t="shared" si="74"/>
        <v>REFUND</v>
      </c>
    </row>
    <row r="3881" spans="1:9" x14ac:dyDescent="0.25">
      <c r="A3881" s="6">
        <v>43657</v>
      </c>
      <c r="B3881" t="s">
        <v>26</v>
      </c>
      <c r="C3881">
        <v>61469</v>
      </c>
      <c r="D3881" t="s">
        <v>766</v>
      </c>
      <c r="E3881" s="7">
        <v>25</v>
      </c>
      <c r="F3881" t="s">
        <v>20</v>
      </c>
      <c r="G3881" t="s">
        <v>21</v>
      </c>
      <c r="H3881" t="str">
        <f>"SWM 7/19 LES RFND"</f>
        <v>SWM 7/19 LES RFND</v>
      </c>
      <c r="I3881" t="str">
        <f t="shared" si="74"/>
        <v>REFUND</v>
      </c>
    </row>
    <row r="3882" spans="1:9" x14ac:dyDescent="0.25">
      <c r="A3882" s="6">
        <v>43657</v>
      </c>
      <c r="B3882" t="s">
        <v>26</v>
      </c>
      <c r="C3882">
        <v>61470</v>
      </c>
      <c r="D3882" t="s">
        <v>767</v>
      </c>
      <c r="E3882" s="7">
        <v>47.5</v>
      </c>
      <c r="F3882" t="s">
        <v>20</v>
      </c>
      <c r="G3882" t="s">
        <v>21</v>
      </c>
      <c r="H3882" t="str">
        <f>"SWM LESS RFND 7/19"</f>
        <v>SWM LESS RFND 7/19</v>
      </c>
      <c r="I3882" t="str">
        <f t="shared" si="74"/>
        <v>REFUND</v>
      </c>
    </row>
    <row r="3883" spans="1:9" x14ac:dyDescent="0.25">
      <c r="A3883" s="6">
        <v>43657</v>
      </c>
      <c r="B3883" t="s">
        <v>26</v>
      </c>
      <c r="C3883">
        <v>61471</v>
      </c>
      <c r="D3883" t="s">
        <v>768</v>
      </c>
      <c r="E3883" s="7">
        <v>25</v>
      </c>
      <c r="F3883" t="s">
        <v>20</v>
      </c>
      <c r="G3883" t="s">
        <v>21</v>
      </c>
      <c r="H3883" t="str">
        <f>"SWM LS RFND 7/2019"</f>
        <v>SWM LS RFND 7/2019</v>
      </c>
      <c r="I3883" t="str">
        <f t="shared" si="74"/>
        <v>REFUND</v>
      </c>
    </row>
    <row r="3884" spans="1:9" x14ac:dyDescent="0.25">
      <c r="A3884" s="6">
        <v>43657</v>
      </c>
      <c r="B3884" t="s">
        <v>26</v>
      </c>
      <c r="C3884">
        <v>61472</v>
      </c>
      <c r="D3884" t="s">
        <v>769</v>
      </c>
      <c r="E3884" s="7">
        <v>25</v>
      </c>
      <c r="F3884" t="s">
        <v>20</v>
      </c>
      <c r="G3884" t="s">
        <v>21</v>
      </c>
      <c r="H3884" t="str">
        <f>"SWM LSN REFND 7/19"</f>
        <v>SWM LSN REFND 7/19</v>
      </c>
      <c r="I3884" t="str">
        <f t="shared" si="74"/>
        <v>REFUND</v>
      </c>
    </row>
    <row r="3885" spans="1:9" x14ac:dyDescent="0.25">
      <c r="A3885" s="6">
        <v>43657</v>
      </c>
      <c r="B3885" t="s">
        <v>26</v>
      </c>
      <c r="C3885">
        <v>61473</v>
      </c>
      <c r="D3885" t="s">
        <v>770</v>
      </c>
      <c r="E3885" s="7">
        <v>25</v>
      </c>
      <c r="F3885" t="s">
        <v>20</v>
      </c>
      <c r="G3885" t="s">
        <v>21</v>
      </c>
      <c r="H3885" t="str">
        <f>"SWM LSN RFND 7/19"</f>
        <v>SWM LSN RFND 7/19</v>
      </c>
      <c r="I3885" t="str">
        <f t="shared" si="74"/>
        <v>REFUND</v>
      </c>
    </row>
    <row r="3886" spans="1:9" x14ac:dyDescent="0.25">
      <c r="A3886" s="6">
        <v>43657</v>
      </c>
      <c r="B3886" t="s">
        <v>26</v>
      </c>
      <c r="C3886">
        <v>61474</v>
      </c>
      <c r="D3886" t="s">
        <v>129</v>
      </c>
      <c r="E3886" s="7">
        <v>138.36000000000001</v>
      </c>
      <c r="F3886" t="s">
        <v>20</v>
      </c>
      <c r="G3886" t="s">
        <v>21</v>
      </c>
      <c r="H3886" t="str">
        <f>"P51734*"</f>
        <v>P51734*</v>
      </c>
      <c r="I3886" t="str">
        <f>"AG-PRO COMPANIES"</f>
        <v>AG-PRO COMPANIES</v>
      </c>
    </row>
    <row r="3887" spans="1:9" x14ac:dyDescent="0.25">
      <c r="A3887" s="6">
        <v>43661</v>
      </c>
      <c r="B3887" t="s">
        <v>26</v>
      </c>
      <c r="C3887">
        <v>61475</v>
      </c>
      <c r="D3887" t="s">
        <v>710</v>
      </c>
      <c r="E3887" s="7">
        <v>10000</v>
      </c>
      <c r="F3887" t="s">
        <v>20</v>
      </c>
      <c r="G3887" t="s">
        <v>21</v>
      </c>
      <c r="H3887" t="str">
        <f>"HOT TAX DIST 7/19"</f>
        <v>HOT TAX DIST 7/19</v>
      </c>
      <c r="I3887" t="str">
        <f>"RICK MORONES JR."</f>
        <v>RICK MORONES JR.</v>
      </c>
    </row>
    <row r="3888" spans="1:9" x14ac:dyDescent="0.25">
      <c r="A3888" s="6">
        <v>43662</v>
      </c>
      <c r="B3888" t="s">
        <v>26</v>
      </c>
      <c r="C3888">
        <v>61492</v>
      </c>
      <c r="D3888" t="s">
        <v>57</v>
      </c>
      <c r="E3888" s="7">
        <v>11917.81</v>
      </c>
      <c r="F3888" t="s">
        <v>20</v>
      </c>
      <c r="G3888" t="s">
        <v>21</v>
      </c>
      <c r="H3888" t="str">
        <f>"11617 7/2019"</f>
        <v>11617 7/2019</v>
      </c>
      <c r="I3888" t="str">
        <f>"F.E.L.P.S."</f>
        <v>F.E.L.P.S.</v>
      </c>
    </row>
    <row r="3889" spans="1:9" x14ac:dyDescent="0.25">
      <c r="A3889" s="6">
        <v>43662</v>
      </c>
      <c r="B3889" t="s">
        <v>26</v>
      </c>
      <c r="C3889">
        <v>61492</v>
      </c>
      <c r="D3889" t="s">
        <v>57</v>
      </c>
      <c r="E3889" s="7">
        <v>11917.81</v>
      </c>
      <c r="F3889" t="s">
        <v>20</v>
      </c>
      <c r="G3889" t="s">
        <v>21</v>
      </c>
      <c r="H3889" t="str">
        <f>"33062 7/2019"</f>
        <v>33062 7/2019</v>
      </c>
      <c r="I3889" t="str">
        <f>"F.E.L.P.S."</f>
        <v>F.E.L.P.S.</v>
      </c>
    </row>
    <row r="3890" spans="1:9" x14ac:dyDescent="0.25">
      <c r="A3890" s="6">
        <v>43662</v>
      </c>
      <c r="B3890" t="s">
        <v>26</v>
      </c>
      <c r="C3890">
        <v>61493</v>
      </c>
      <c r="D3890" t="s">
        <v>771</v>
      </c>
      <c r="E3890" s="7">
        <v>175</v>
      </c>
      <c r="F3890" t="s">
        <v>20</v>
      </c>
      <c r="G3890" t="s">
        <v>21</v>
      </c>
      <c r="H3890" t="str">
        <f>"POOL REFND 7/13/19"</f>
        <v>POOL REFND 7/13/19</v>
      </c>
      <c r="I3890" t="str">
        <f>"REFUND"</f>
        <v>REFUND</v>
      </c>
    </row>
    <row r="3891" spans="1:9" x14ac:dyDescent="0.25">
      <c r="A3891" s="6">
        <v>43662</v>
      </c>
      <c r="B3891" t="s">
        <v>91</v>
      </c>
      <c r="C3891">
        <v>61494</v>
      </c>
      <c r="D3891" t="s">
        <v>772</v>
      </c>
      <c r="E3891" s="7">
        <v>50</v>
      </c>
      <c r="F3891" t="s">
        <v>20</v>
      </c>
      <c r="G3891" t="s">
        <v>21</v>
      </c>
      <c r="H3891" t="str">
        <f>"REFUND 5/18/2019"</f>
        <v>REFUND 5/18/2019</v>
      </c>
      <c r="I3891" t="str">
        <f>"REFUND"</f>
        <v>REFUND</v>
      </c>
    </row>
    <row r="3892" spans="1:9" x14ac:dyDescent="0.25">
      <c r="A3892" s="6">
        <v>43662</v>
      </c>
      <c r="B3892" t="s">
        <v>91</v>
      </c>
      <c r="C3892">
        <v>61494</v>
      </c>
      <c r="D3892" t="s">
        <v>773</v>
      </c>
      <c r="E3892" s="7">
        <v>50</v>
      </c>
      <c r="F3892" t="s">
        <v>20</v>
      </c>
      <c r="G3892" t="s">
        <v>93</v>
      </c>
      <c r="H3892" t="str">
        <f>"CHECK"</f>
        <v>CHECK</v>
      </c>
      <c r="I3892" t="str">
        <f>""</f>
        <v/>
      </c>
    </row>
    <row r="3893" spans="1:9" x14ac:dyDescent="0.25">
      <c r="A3893" s="6">
        <v>43662</v>
      </c>
      <c r="B3893" t="s">
        <v>91</v>
      </c>
      <c r="C3893">
        <v>61495</v>
      </c>
      <c r="D3893" t="s">
        <v>774</v>
      </c>
      <c r="E3893" s="7">
        <v>750</v>
      </c>
      <c r="F3893" t="s">
        <v>20</v>
      </c>
      <c r="G3893" t="s">
        <v>21</v>
      </c>
      <c r="H3893" t="str">
        <f>"REFUND POOL 7/6/20"</f>
        <v>REFUND POOL 7/6/20</v>
      </c>
      <c r="I3893" t="str">
        <f>"REFUND"</f>
        <v>REFUND</v>
      </c>
    </row>
    <row r="3894" spans="1:9" x14ac:dyDescent="0.25">
      <c r="A3894" s="6">
        <v>43662</v>
      </c>
      <c r="B3894" t="s">
        <v>91</v>
      </c>
      <c r="C3894">
        <v>61495</v>
      </c>
      <c r="D3894" t="s">
        <v>775</v>
      </c>
      <c r="E3894" s="7">
        <v>750</v>
      </c>
      <c r="F3894" t="s">
        <v>20</v>
      </c>
      <c r="G3894" t="s">
        <v>93</v>
      </c>
      <c r="H3894" t="str">
        <f>"CHECK"</f>
        <v>CHECK</v>
      </c>
      <c r="I3894" t="str">
        <f>""</f>
        <v/>
      </c>
    </row>
    <row r="3895" spans="1:9" x14ac:dyDescent="0.25">
      <c r="A3895" s="6">
        <v>43662</v>
      </c>
      <c r="B3895" t="s">
        <v>26</v>
      </c>
      <c r="C3895">
        <v>61496</v>
      </c>
      <c r="D3895" t="s">
        <v>73</v>
      </c>
      <c r="E3895" s="7">
        <v>43014</v>
      </c>
      <c r="F3895" t="s">
        <v>20</v>
      </c>
      <c r="G3895" t="s">
        <v>21</v>
      </c>
      <c r="H3895" t="str">
        <f>"8027 7/2019"</f>
        <v>8027 7/2019</v>
      </c>
      <c r="I3895" t="str">
        <f>"TML INTERGOVERNMENTAL RISK POO"</f>
        <v>TML INTERGOVERNMENTAL RISK POO</v>
      </c>
    </row>
    <row r="3896" spans="1:9" x14ac:dyDescent="0.25">
      <c r="A3896" s="6">
        <v>43662</v>
      </c>
      <c r="B3896" t="s">
        <v>26</v>
      </c>
      <c r="C3896">
        <v>61497</v>
      </c>
      <c r="D3896" t="s">
        <v>75</v>
      </c>
      <c r="E3896" s="7">
        <v>193.44</v>
      </c>
      <c r="F3896" t="s">
        <v>20</v>
      </c>
      <c r="G3896" t="s">
        <v>21</v>
      </c>
      <c r="H3896" t="str">
        <f>"8184-7/2019"</f>
        <v>8184-7/2019</v>
      </c>
      <c r="I3896" t="str">
        <f>"TRACTOR SUPPLY CREDIT PLAN"</f>
        <v>TRACTOR SUPPLY CREDIT PLAN</v>
      </c>
    </row>
    <row r="3897" spans="1:9" x14ac:dyDescent="0.25">
      <c r="A3897" s="6">
        <v>43662</v>
      </c>
      <c r="B3897" t="s">
        <v>26</v>
      </c>
      <c r="C3897">
        <v>61498</v>
      </c>
      <c r="D3897" t="s">
        <v>126</v>
      </c>
      <c r="E3897" s="7">
        <v>87245.66</v>
      </c>
      <c r="F3897" t="s">
        <v>20</v>
      </c>
      <c r="G3897" t="s">
        <v>21</v>
      </c>
      <c r="H3897" t="str">
        <f>"0859-002329655"</f>
        <v>0859-002329655</v>
      </c>
      <c r="I3897" t="str">
        <f>"REPUBLIC SERVICES #859"</f>
        <v>REPUBLIC SERVICES #859</v>
      </c>
    </row>
    <row r="3898" spans="1:9" x14ac:dyDescent="0.25">
      <c r="A3898" s="6">
        <v>43662</v>
      </c>
      <c r="B3898" t="s">
        <v>26</v>
      </c>
      <c r="C3898">
        <v>61498</v>
      </c>
      <c r="D3898" t="s">
        <v>126</v>
      </c>
      <c r="E3898" s="7">
        <v>87245.66</v>
      </c>
      <c r="F3898" t="s">
        <v>20</v>
      </c>
      <c r="G3898" t="s">
        <v>21</v>
      </c>
      <c r="H3898" t="str">
        <f>"0859-002334127"</f>
        <v>0859-002334127</v>
      </c>
      <c r="I3898" t="str">
        <f>"REPUBLIC SERVICES #859"</f>
        <v>REPUBLIC SERVICES #859</v>
      </c>
    </row>
    <row r="3899" spans="1:9" x14ac:dyDescent="0.25">
      <c r="A3899" s="6">
        <v>43662</v>
      </c>
      <c r="B3899" t="s">
        <v>26</v>
      </c>
      <c r="C3899">
        <v>61499</v>
      </c>
      <c r="D3899" t="s">
        <v>85</v>
      </c>
      <c r="E3899" s="7">
        <v>192.11</v>
      </c>
      <c r="F3899" t="s">
        <v>20</v>
      </c>
      <c r="G3899" t="s">
        <v>21</v>
      </c>
      <c r="H3899" t="str">
        <f>"8303930579 7/19"</f>
        <v>8303930579 7/19</v>
      </c>
      <c r="I3899" t="str">
        <f>"FRONTIER"</f>
        <v>FRONTIER</v>
      </c>
    </row>
    <row r="3900" spans="1:9" x14ac:dyDescent="0.25">
      <c r="A3900" s="6">
        <v>43662</v>
      </c>
      <c r="B3900" t="s">
        <v>26</v>
      </c>
      <c r="C3900">
        <v>61499</v>
      </c>
      <c r="D3900" t="s">
        <v>85</v>
      </c>
      <c r="E3900" s="7">
        <v>192.11</v>
      </c>
      <c r="F3900" t="s">
        <v>20</v>
      </c>
      <c r="G3900" t="s">
        <v>21</v>
      </c>
      <c r="H3900" t="str">
        <f>"8303933108 7/19"</f>
        <v>8303933108 7/19</v>
      </c>
      <c r="I3900" t="str">
        <f>"FRONTIER"</f>
        <v>FRONTIER</v>
      </c>
    </row>
    <row r="3901" spans="1:9" x14ac:dyDescent="0.25">
      <c r="A3901" s="6">
        <v>43662</v>
      </c>
      <c r="B3901" t="s">
        <v>26</v>
      </c>
      <c r="C3901">
        <v>61499</v>
      </c>
      <c r="D3901" t="s">
        <v>85</v>
      </c>
      <c r="E3901" s="7">
        <v>192.11</v>
      </c>
      <c r="F3901" t="s">
        <v>20</v>
      </c>
      <c r="G3901" t="s">
        <v>21</v>
      </c>
      <c r="H3901" t="str">
        <f>"8303939791 7/19"</f>
        <v>8303939791 7/19</v>
      </c>
      <c r="I3901" t="str">
        <f>"FRONTIER"</f>
        <v>FRONTIER</v>
      </c>
    </row>
    <row r="3902" spans="1:9" x14ac:dyDescent="0.25">
      <c r="A3902" s="6">
        <v>43662</v>
      </c>
      <c r="B3902" t="s">
        <v>26</v>
      </c>
      <c r="C3902">
        <v>61500</v>
      </c>
      <c r="D3902" t="s">
        <v>345</v>
      </c>
      <c r="E3902" s="7">
        <v>374</v>
      </c>
      <c r="F3902" t="s">
        <v>20</v>
      </c>
      <c r="G3902" t="s">
        <v>21</v>
      </c>
      <c r="H3902" t="str">
        <f>"7/15/2019"</f>
        <v>7/15/2019</v>
      </c>
      <c r="I3902" t="str">
        <f>"MICHAEL ISAAC MARTINEZ"</f>
        <v>MICHAEL ISAAC MARTINEZ</v>
      </c>
    </row>
    <row r="3903" spans="1:9" x14ac:dyDescent="0.25">
      <c r="A3903" s="6">
        <v>43662</v>
      </c>
      <c r="B3903" t="s">
        <v>26</v>
      </c>
      <c r="C3903">
        <v>61501</v>
      </c>
      <c r="D3903" t="s">
        <v>452</v>
      </c>
      <c r="E3903" s="7">
        <v>60</v>
      </c>
      <c r="F3903" t="s">
        <v>20</v>
      </c>
      <c r="G3903" t="s">
        <v>21</v>
      </c>
      <c r="H3903" t="str">
        <f>"7/13/2019"</f>
        <v>7/13/2019</v>
      </c>
      <c r="I3903" t="str">
        <f>"DESIREE PEREZ"</f>
        <v>DESIREE PEREZ</v>
      </c>
    </row>
    <row r="3904" spans="1:9" x14ac:dyDescent="0.25">
      <c r="A3904" s="6">
        <v>43662</v>
      </c>
      <c r="B3904" t="s">
        <v>26</v>
      </c>
      <c r="C3904">
        <v>61502</v>
      </c>
      <c r="D3904" t="s">
        <v>696</v>
      </c>
      <c r="E3904" s="7">
        <v>60</v>
      </c>
      <c r="F3904" t="s">
        <v>20</v>
      </c>
      <c r="G3904" t="s">
        <v>21</v>
      </c>
      <c r="H3904" t="str">
        <f>"7/13/2019"</f>
        <v>7/13/2019</v>
      </c>
      <c r="I3904" t="str">
        <f>"ANGEL G. ROSAS"</f>
        <v>ANGEL G. ROSAS</v>
      </c>
    </row>
    <row r="3905" spans="1:9" x14ac:dyDescent="0.25">
      <c r="A3905" s="6">
        <v>43662</v>
      </c>
      <c r="B3905" t="s">
        <v>26</v>
      </c>
      <c r="C3905">
        <v>61503</v>
      </c>
      <c r="D3905" t="s">
        <v>716</v>
      </c>
      <c r="E3905" s="7">
        <v>410</v>
      </c>
      <c r="F3905" t="s">
        <v>20</v>
      </c>
      <c r="G3905" t="s">
        <v>21</v>
      </c>
      <c r="H3905" t="str">
        <f>"7/15/2019"</f>
        <v>7/15/2019</v>
      </c>
      <c r="I3905" t="str">
        <f>"ALFREDO SENDEJO"</f>
        <v>ALFREDO SENDEJO</v>
      </c>
    </row>
    <row r="3906" spans="1:9" x14ac:dyDescent="0.25">
      <c r="A3906" s="6">
        <v>43662</v>
      </c>
      <c r="B3906" t="s">
        <v>26</v>
      </c>
      <c r="C3906">
        <v>61504</v>
      </c>
      <c r="D3906" t="s">
        <v>752</v>
      </c>
      <c r="E3906" s="7">
        <v>60</v>
      </c>
      <c r="F3906" t="s">
        <v>20</v>
      </c>
      <c r="G3906" t="s">
        <v>21</v>
      </c>
      <c r="H3906" t="str">
        <f>"7/13/2019"</f>
        <v>7/13/2019</v>
      </c>
      <c r="I3906" t="str">
        <f>"BLANCA PEREZ"</f>
        <v>BLANCA PEREZ</v>
      </c>
    </row>
    <row r="3907" spans="1:9" x14ac:dyDescent="0.25">
      <c r="A3907" s="6">
        <v>43662</v>
      </c>
      <c r="B3907" t="s">
        <v>26</v>
      </c>
      <c r="C3907">
        <v>61505</v>
      </c>
      <c r="D3907" t="s">
        <v>776</v>
      </c>
      <c r="E3907" s="7">
        <v>250</v>
      </c>
      <c r="F3907" t="s">
        <v>20</v>
      </c>
      <c r="G3907" t="s">
        <v>21</v>
      </c>
      <c r="H3907" t="str">
        <f>"HT ACT#4975N526"</f>
        <v>HT ACT#4975N526</v>
      </c>
      <c r="I3907" t="str">
        <f>"RAYMOND JAMES"</f>
        <v>RAYMOND JAMES</v>
      </c>
    </row>
    <row r="3908" spans="1:9" x14ac:dyDescent="0.25">
      <c r="A3908" s="6">
        <v>43662</v>
      </c>
      <c r="B3908" t="s">
        <v>26</v>
      </c>
      <c r="C3908">
        <v>61506</v>
      </c>
      <c r="D3908" t="s">
        <v>51</v>
      </c>
      <c r="E3908" s="7">
        <v>327.84</v>
      </c>
      <c r="F3908" t="s">
        <v>20</v>
      </c>
      <c r="G3908" t="s">
        <v>21</v>
      </c>
      <c r="H3908" t="str">
        <f>"CLE201907168530"</f>
        <v>CLE201907168530</v>
      </c>
      <c r="I3908" t="str">
        <f>"CLEAT ONLY DUES"</f>
        <v>CLEAT ONLY DUES</v>
      </c>
    </row>
    <row r="3909" spans="1:9" x14ac:dyDescent="0.25">
      <c r="A3909" s="6">
        <v>43662</v>
      </c>
      <c r="B3909" t="s">
        <v>26</v>
      </c>
      <c r="C3909">
        <v>61506</v>
      </c>
      <c r="D3909" t="s">
        <v>51</v>
      </c>
      <c r="E3909" s="7">
        <v>327.84</v>
      </c>
      <c r="F3909" t="s">
        <v>20</v>
      </c>
      <c r="G3909" t="s">
        <v>21</v>
      </c>
      <c r="H3909" t="str">
        <f>"PDD201907168530"</f>
        <v>PDD201907168530</v>
      </c>
      <c r="I3909" t="str">
        <f>"POLICE OFFICERS ASSOC DUES"</f>
        <v>POLICE OFFICERS ASSOC DUES</v>
      </c>
    </row>
    <row r="3910" spans="1:9" x14ac:dyDescent="0.25">
      <c r="A3910" s="6">
        <v>43662</v>
      </c>
      <c r="B3910" t="s">
        <v>91</v>
      </c>
      <c r="C3910">
        <v>61507</v>
      </c>
      <c r="D3910" t="s">
        <v>90</v>
      </c>
      <c r="E3910" s="7">
        <v>101.1</v>
      </c>
      <c r="F3910" t="s">
        <v>20</v>
      </c>
      <c r="G3910" t="s">
        <v>21</v>
      </c>
      <c r="H3910" t="str">
        <f>"AFS201907168530"</f>
        <v>AFS201907168530</v>
      </c>
      <c r="I3910" t="str">
        <f>"AFLAC STD"</f>
        <v>AFLAC STD</v>
      </c>
    </row>
    <row r="3911" spans="1:9" x14ac:dyDescent="0.25">
      <c r="A3911" s="6">
        <v>43662</v>
      </c>
      <c r="B3911" t="s">
        <v>26</v>
      </c>
      <c r="C3911">
        <v>61508</v>
      </c>
      <c r="D3911" t="s">
        <v>52</v>
      </c>
      <c r="E3911" s="7">
        <v>1056.98</v>
      </c>
      <c r="F3911" t="s">
        <v>20</v>
      </c>
      <c r="G3911" t="s">
        <v>21</v>
      </c>
      <c r="H3911" t="str">
        <f>"CPS201907168530"</f>
        <v>CPS201907168530</v>
      </c>
      <c r="I3911" t="str">
        <f>"G MENDOZA 00123012032010EM5054"</f>
        <v>G MENDOZA 00123012032010EM5054</v>
      </c>
    </row>
    <row r="3912" spans="1:9" x14ac:dyDescent="0.25">
      <c r="A3912" s="6">
        <v>43662</v>
      </c>
      <c r="B3912" t="s">
        <v>26</v>
      </c>
      <c r="C3912">
        <v>61508</v>
      </c>
      <c r="D3912" t="s">
        <v>52</v>
      </c>
      <c r="E3912" s="7">
        <v>1056.98</v>
      </c>
      <c r="F3912" t="s">
        <v>20</v>
      </c>
      <c r="G3912" t="s">
        <v>21</v>
      </c>
      <c r="H3912" t="str">
        <f>"CS 201907168530"</f>
        <v>CS 201907168530</v>
      </c>
      <c r="I3912" t="str">
        <f>"CAUSE#98EM504113 PEGGY RIVAS"</f>
        <v>CAUSE#98EM504113 PEGGY RIVAS</v>
      </c>
    </row>
    <row r="3913" spans="1:9" x14ac:dyDescent="0.25">
      <c r="A3913" s="6">
        <v>43662</v>
      </c>
      <c r="B3913" t="s">
        <v>26</v>
      </c>
      <c r="C3913">
        <v>61508</v>
      </c>
      <c r="D3913" t="s">
        <v>52</v>
      </c>
      <c r="E3913" s="7">
        <v>1056.98</v>
      </c>
      <c r="F3913" t="s">
        <v>20</v>
      </c>
      <c r="G3913" t="s">
        <v>21</v>
      </c>
      <c r="H3913" t="str">
        <f>"CSJ201907168530"</f>
        <v>CSJ201907168530</v>
      </c>
      <c r="I3913" t="str">
        <f>"CAUSE# 0010185272 MARIANN GUTI"</f>
        <v>CAUSE# 0010185272 MARIANN GUTI</v>
      </c>
    </row>
    <row r="3914" spans="1:9" x14ac:dyDescent="0.25">
      <c r="A3914" s="6">
        <v>43662</v>
      </c>
      <c r="B3914" t="s">
        <v>91</v>
      </c>
      <c r="C3914">
        <v>61509</v>
      </c>
      <c r="D3914" t="s">
        <v>53</v>
      </c>
      <c r="E3914" s="7">
        <v>99.1</v>
      </c>
      <c r="F3914" t="s">
        <v>20</v>
      </c>
      <c r="G3914" t="s">
        <v>21</v>
      </c>
      <c r="H3914" t="str">
        <f>"MCO201907168530"</f>
        <v>MCO201907168530</v>
      </c>
      <c r="I3914" t="str">
        <f>"MONICA CORDOVA"</f>
        <v>MONICA CORDOVA</v>
      </c>
    </row>
    <row r="3915" spans="1:9" x14ac:dyDescent="0.25">
      <c r="A3915" s="6">
        <v>43662</v>
      </c>
      <c r="B3915" t="s">
        <v>91</v>
      </c>
      <c r="C3915">
        <v>61509</v>
      </c>
      <c r="D3915" t="s">
        <v>53</v>
      </c>
      <c r="E3915" s="7">
        <v>99.1</v>
      </c>
      <c r="F3915" t="s">
        <v>20</v>
      </c>
      <c r="G3915" t="s">
        <v>93</v>
      </c>
      <c r="H3915" t="str">
        <f>"CHECK"</f>
        <v>CHECK</v>
      </c>
      <c r="I3915" t="str">
        <f>""</f>
        <v/>
      </c>
    </row>
    <row r="3916" spans="1:9" x14ac:dyDescent="0.25">
      <c r="A3916" s="6">
        <v>43662</v>
      </c>
      <c r="B3916" t="s">
        <v>91</v>
      </c>
      <c r="C3916">
        <v>61510</v>
      </c>
      <c r="D3916" t="s">
        <v>54</v>
      </c>
      <c r="E3916" s="7">
        <v>932.52</v>
      </c>
      <c r="F3916" t="s">
        <v>20</v>
      </c>
      <c r="G3916" t="s">
        <v>21</v>
      </c>
      <c r="H3916" t="str">
        <f>"457201907168530"</f>
        <v>457201907168530</v>
      </c>
      <c r="I3916" t="str">
        <f>"CASE # 180-60751 457B DEDUCT"</f>
        <v>CASE # 180-60751 457B DEDUCT</v>
      </c>
    </row>
    <row r="3917" spans="1:9" x14ac:dyDescent="0.25">
      <c r="A3917" s="6">
        <v>43662</v>
      </c>
      <c r="B3917" t="s">
        <v>91</v>
      </c>
      <c r="C3917">
        <v>61510</v>
      </c>
      <c r="D3917" t="s">
        <v>54</v>
      </c>
      <c r="E3917" s="7">
        <v>932.52</v>
      </c>
      <c r="F3917" t="s">
        <v>20</v>
      </c>
      <c r="G3917" t="s">
        <v>93</v>
      </c>
      <c r="H3917" t="str">
        <f>"CHECK"</f>
        <v>CHECK</v>
      </c>
      <c r="I3917" t="str">
        <f>""</f>
        <v/>
      </c>
    </row>
    <row r="3918" spans="1:9" x14ac:dyDescent="0.25">
      <c r="A3918" s="6">
        <v>43662</v>
      </c>
      <c r="B3918" t="s">
        <v>26</v>
      </c>
      <c r="C3918">
        <v>61511</v>
      </c>
      <c r="D3918" t="s">
        <v>92</v>
      </c>
      <c r="E3918" s="7">
        <v>41725.040000000001</v>
      </c>
      <c r="F3918" t="s">
        <v>20</v>
      </c>
      <c r="G3918" t="s">
        <v>21</v>
      </c>
      <c r="H3918" t="str">
        <f>"JUNE 2019"</f>
        <v>JUNE 2019</v>
      </c>
      <c r="I3918" t="str">
        <f>"TEXAS MUNICIPAL RETIREMENT SYS"</f>
        <v>TEXAS MUNICIPAL RETIREMENT SYS</v>
      </c>
    </row>
    <row r="3919" spans="1:9" x14ac:dyDescent="0.25">
      <c r="A3919" s="6">
        <v>43663</v>
      </c>
      <c r="B3919" t="s">
        <v>26</v>
      </c>
      <c r="C3919">
        <v>61513</v>
      </c>
      <c r="D3919" t="s">
        <v>54</v>
      </c>
      <c r="E3919" s="7">
        <v>712.12</v>
      </c>
      <c r="F3919" t="s">
        <v>20</v>
      </c>
      <c r="G3919" t="s">
        <v>21</v>
      </c>
      <c r="H3919" t="str">
        <f>"JUNE 2019"</f>
        <v>JUNE 2019</v>
      </c>
      <c r="I3919" t="str">
        <f>"NATIONWIDE TRUST COMPANY  FSB"</f>
        <v>NATIONWIDE TRUST COMPANY  FSB</v>
      </c>
    </row>
    <row r="3920" spans="1:9" x14ac:dyDescent="0.25">
      <c r="A3920" s="6">
        <v>43671</v>
      </c>
      <c r="B3920" t="s">
        <v>26</v>
      </c>
      <c r="C3920">
        <v>61516</v>
      </c>
      <c r="D3920" t="s">
        <v>102</v>
      </c>
      <c r="E3920" s="7">
        <v>97.17</v>
      </c>
      <c r="F3920" t="s">
        <v>20</v>
      </c>
      <c r="G3920" t="s">
        <v>21</v>
      </c>
      <c r="H3920" t="str">
        <f>"1120 D ST 7/19"</f>
        <v>1120 D ST 7/19</v>
      </c>
      <c r="I3920" t="str">
        <f>"CENTERPOINT ENERGY ENTEX"</f>
        <v>CENTERPOINT ENERGY ENTEX</v>
      </c>
    </row>
    <row r="3921" spans="1:9" x14ac:dyDescent="0.25">
      <c r="A3921" s="6">
        <v>43671</v>
      </c>
      <c r="B3921" t="s">
        <v>26</v>
      </c>
      <c r="C3921">
        <v>61516</v>
      </c>
      <c r="D3921" t="s">
        <v>102</v>
      </c>
      <c r="E3921" s="7">
        <v>97.17</v>
      </c>
      <c r="F3921" t="s">
        <v>20</v>
      </c>
      <c r="G3921" t="s">
        <v>21</v>
      </c>
      <c r="H3921" t="str">
        <f>"1200 D ST 7/19"</f>
        <v>1200 D ST 7/19</v>
      </c>
      <c r="I3921" t="str">
        <f>"CENTERPOINT ENERGY ENTEX"</f>
        <v>CENTERPOINT ENERGY ENTEX</v>
      </c>
    </row>
    <row r="3922" spans="1:9" x14ac:dyDescent="0.25">
      <c r="A3922" s="6">
        <v>43671</v>
      </c>
      <c r="B3922" t="s">
        <v>26</v>
      </c>
      <c r="C3922">
        <v>61516</v>
      </c>
      <c r="D3922" t="s">
        <v>102</v>
      </c>
      <c r="E3922" s="7">
        <v>97.17</v>
      </c>
      <c r="F3922" t="s">
        <v>20</v>
      </c>
      <c r="G3922" t="s">
        <v>21</v>
      </c>
      <c r="H3922" t="str">
        <f>"920 C ST 7/19"</f>
        <v>920 C ST 7/19</v>
      </c>
      <c r="I3922" t="str">
        <f>"CENTERPOINT ENERGY ENTEX"</f>
        <v>CENTERPOINT ENERGY ENTEX</v>
      </c>
    </row>
    <row r="3923" spans="1:9" x14ac:dyDescent="0.25">
      <c r="A3923" s="6">
        <v>43671</v>
      </c>
      <c r="B3923" t="s">
        <v>26</v>
      </c>
      <c r="C3923">
        <v>61517</v>
      </c>
      <c r="D3923" t="s">
        <v>143</v>
      </c>
      <c r="E3923" s="7">
        <v>3528</v>
      </c>
      <c r="F3923" t="s">
        <v>20</v>
      </c>
      <c r="G3923" t="s">
        <v>21</v>
      </c>
      <c r="H3923" t="str">
        <f>"9402074603"</f>
        <v>9402074603</v>
      </c>
      <c r="I3923" t="str">
        <f>"CRS2 - FOR PARKING LOT"</f>
        <v>CRS2 - FOR PARKING LOT</v>
      </c>
    </row>
    <row r="3924" spans="1:9" x14ac:dyDescent="0.25">
      <c r="A3924" s="6">
        <v>43671</v>
      </c>
      <c r="B3924" t="s">
        <v>26</v>
      </c>
      <c r="C3924">
        <v>61517</v>
      </c>
      <c r="D3924" t="s">
        <v>143</v>
      </c>
      <c r="E3924" s="7">
        <v>3528</v>
      </c>
      <c r="F3924" t="s">
        <v>20</v>
      </c>
      <c r="G3924" t="s">
        <v>21</v>
      </c>
      <c r="H3924" t="str">
        <f>"9402074604"</f>
        <v>9402074604</v>
      </c>
      <c r="I3924" t="str">
        <f>"CRS2 - FOR PARKING LOT"</f>
        <v>CRS2 - FOR PARKING LOT</v>
      </c>
    </row>
    <row r="3925" spans="1:9" x14ac:dyDescent="0.25">
      <c r="A3925" s="6">
        <v>43671</v>
      </c>
      <c r="B3925" t="s">
        <v>26</v>
      </c>
      <c r="C3925">
        <v>61518</v>
      </c>
      <c r="D3925" t="s">
        <v>201</v>
      </c>
      <c r="E3925" s="7">
        <v>278.92</v>
      </c>
      <c r="F3925" t="s">
        <v>20</v>
      </c>
      <c r="G3925" t="s">
        <v>21</v>
      </c>
      <c r="H3925" t="str">
        <f>"139355"</f>
        <v>139355</v>
      </c>
      <c r="I3925" t="str">
        <f>"WILSON COUNTY HARDWARE"</f>
        <v>WILSON COUNTY HARDWARE</v>
      </c>
    </row>
    <row r="3926" spans="1:9" x14ac:dyDescent="0.25">
      <c r="A3926" s="6">
        <v>43671</v>
      </c>
      <c r="B3926" t="s">
        <v>26</v>
      </c>
      <c r="C3926">
        <v>61518</v>
      </c>
      <c r="D3926" t="s">
        <v>201</v>
      </c>
      <c r="E3926" s="7">
        <v>278.92</v>
      </c>
      <c r="F3926" t="s">
        <v>20</v>
      </c>
      <c r="G3926" t="s">
        <v>21</v>
      </c>
      <c r="H3926" t="str">
        <f>"139356"</f>
        <v>139356</v>
      </c>
      <c r="I3926" t="str">
        <f>"WILSON COUNTY HARDWARE"</f>
        <v>WILSON COUNTY HARDWARE</v>
      </c>
    </row>
    <row r="3927" spans="1:9" x14ac:dyDescent="0.25">
      <c r="A3927" s="6">
        <v>43671</v>
      </c>
      <c r="B3927" t="s">
        <v>26</v>
      </c>
      <c r="C3927">
        <v>61518</v>
      </c>
      <c r="D3927" t="s">
        <v>201</v>
      </c>
      <c r="E3927" s="7">
        <v>278.92</v>
      </c>
      <c r="F3927" t="s">
        <v>20</v>
      </c>
      <c r="G3927" t="s">
        <v>21</v>
      </c>
      <c r="H3927" t="str">
        <f>"139995"</f>
        <v>139995</v>
      </c>
      <c r="I3927" t="str">
        <f>"WILSON COUNTY HARDWARE"</f>
        <v>WILSON COUNTY HARDWARE</v>
      </c>
    </row>
    <row r="3928" spans="1:9" x14ac:dyDescent="0.25">
      <c r="A3928" s="6">
        <v>43671</v>
      </c>
      <c r="B3928" t="s">
        <v>26</v>
      </c>
      <c r="C3928">
        <v>61518</v>
      </c>
      <c r="D3928" t="s">
        <v>201</v>
      </c>
      <c r="E3928" s="7">
        <v>278.92</v>
      </c>
      <c r="F3928" t="s">
        <v>20</v>
      </c>
      <c r="G3928" t="s">
        <v>21</v>
      </c>
      <c r="H3928" t="str">
        <f>"139996"</f>
        <v>139996</v>
      </c>
      <c r="I3928" t="str">
        <f>"WILSON COUNTY HARDWARE"</f>
        <v>WILSON COUNTY HARDWARE</v>
      </c>
    </row>
    <row r="3929" spans="1:9" x14ac:dyDescent="0.25">
      <c r="A3929" s="6">
        <v>43671</v>
      </c>
      <c r="B3929" t="s">
        <v>26</v>
      </c>
      <c r="C3929">
        <v>61518</v>
      </c>
      <c r="D3929" t="s">
        <v>201</v>
      </c>
      <c r="E3929" s="7">
        <v>278.92</v>
      </c>
      <c r="F3929" t="s">
        <v>20</v>
      </c>
      <c r="G3929" t="s">
        <v>21</v>
      </c>
      <c r="H3929" t="str">
        <f>"140000"</f>
        <v>140000</v>
      </c>
      <c r="I3929" t="str">
        <f>"WILSON COUNTY HARDWARE"</f>
        <v>WILSON COUNTY HARDWARE</v>
      </c>
    </row>
    <row r="3930" spans="1:9" x14ac:dyDescent="0.25">
      <c r="A3930" s="6">
        <v>43671</v>
      </c>
      <c r="B3930" t="s">
        <v>26</v>
      </c>
      <c r="C3930">
        <v>61519</v>
      </c>
      <c r="D3930" t="s">
        <v>471</v>
      </c>
      <c r="E3930" s="7">
        <v>889.34</v>
      </c>
      <c r="F3930" t="s">
        <v>20</v>
      </c>
      <c r="G3930" t="s">
        <v>21</v>
      </c>
      <c r="H3930" t="str">
        <f>"0012"</f>
        <v>0012</v>
      </c>
      <c r="I3930" t="str">
        <f>"JOHNNY'S PAINT &amp; BODY"</f>
        <v>JOHNNY'S PAINT &amp; BODY</v>
      </c>
    </row>
    <row r="3931" spans="1:9" x14ac:dyDescent="0.25">
      <c r="A3931" s="6">
        <v>43671</v>
      </c>
      <c r="B3931" t="s">
        <v>26</v>
      </c>
      <c r="C3931">
        <v>61520</v>
      </c>
      <c r="D3931" t="s">
        <v>103</v>
      </c>
      <c r="E3931" s="7">
        <v>72499.75</v>
      </c>
      <c r="F3931" t="s">
        <v>20</v>
      </c>
      <c r="G3931" t="s">
        <v>21</v>
      </c>
      <c r="H3931" t="str">
        <f>"SALES TAX JULY2019"</f>
        <v>SALES TAX JULY2019</v>
      </c>
      <c r="I3931" t="str">
        <f>"F. E. D. C."</f>
        <v>F. E. D. C.</v>
      </c>
    </row>
    <row r="3932" spans="1:9" x14ac:dyDescent="0.25">
      <c r="A3932" s="6">
        <v>43671</v>
      </c>
      <c r="B3932" t="s">
        <v>26</v>
      </c>
      <c r="C3932">
        <v>61521</v>
      </c>
      <c r="D3932" t="s">
        <v>59</v>
      </c>
      <c r="E3932" s="7">
        <v>1298.3399999999999</v>
      </c>
      <c r="F3932" t="s">
        <v>20</v>
      </c>
      <c r="G3932" t="s">
        <v>21</v>
      </c>
      <c r="H3932" t="str">
        <f>"1020559-2"</f>
        <v>1020559-2</v>
      </c>
      <c r="I3932" t="str">
        <f>"FERGUSON WATERWORKS - MUNICIPA"</f>
        <v>FERGUSON WATERWORKS - MUNICIPA</v>
      </c>
    </row>
    <row r="3933" spans="1:9" x14ac:dyDescent="0.25">
      <c r="A3933" s="6">
        <v>43671</v>
      </c>
      <c r="B3933" t="s">
        <v>26</v>
      </c>
      <c r="C3933">
        <v>61521</v>
      </c>
      <c r="D3933" t="s">
        <v>59</v>
      </c>
      <c r="E3933" s="7">
        <v>1298.3399999999999</v>
      </c>
      <c r="F3933" t="s">
        <v>20</v>
      </c>
      <c r="G3933" t="s">
        <v>21</v>
      </c>
      <c r="H3933" t="str">
        <f>"1021988"</f>
        <v>1021988</v>
      </c>
      <c r="I3933" t="str">
        <f>"POOL REPAIR"</f>
        <v>POOL REPAIR</v>
      </c>
    </row>
    <row r="3934" spans="1:9" x14ac:dyDescent="0.25">
      <c r="A3934" s="6">
        <v>43671</v>
      </c>
      <c r="B3934" t="s">
        <v>26</v>
      </c>
      <c r="C3934">
        <v>61521</v>
      </c>
      <c r="D3934" t="s">
        <v>59</v>
      </c>
      <c r="E3934" s="7">
        <v>1298.3399999999999</v>
      </c>
      <c r="F3934" t="s">
        <v>20</v>
      </c>
      <c r="G3934" t="s">
        <v>21</v>
      </c>
      <c r="H3934" t="str">
        <f>"1022982"</f>
        <v>1022982</v>
      </c>
      <c r="I3934" t="str">
        <f>"PLUM STREET PROJECT"</f>
        <v>PLUM STREET PROJECT</v>
      </c>
    </row>
    <row r="3935" spans="1:9" x14ac:dyDescent="0.25">
      <c r="A3935" s="6">
        <v>43671</v>
      </c>
      <c r="B3935" t="s">
        <v>26</v>
      </c>
      <c r="C3935">
        <v>61522</v>
      </c>
      <c r="D3935" t="s">
        <v>105</v>
      </c>
      <c r="E3935" s="7">
        <v>42</v>
      </c>
      <c r="F3935" t="s">
        <v>20</v>
      </c>
      <c r="G3935" t="s">
        <v>21</v>
      </c>
      <c r="H3935" t="str">
        <f>"327775-327779"</f>
        <v>327775-327779</v>
      </c>
      <c r="I3935" t="str">
        <f>"STATE INSPECTIONS"</f>
        <v>STATE INSPECTIONS</v>
      </c>
    </row>
    <row r="3936" spans="1:9" x14ac:dyDescent="0.25">
      <c r="A3936" s="6">
        <v>43671</v>
      </c>
      <c r="B3936" t="s">
        <v>26</v>
      </c>
      <c r="C3936">
        <v>61523</v>
      </c>
      <c r="D3936" t="s">
        <v>106</v>
      </c>
      <c r="E3936" s="7">
        <v>420</v>
      </c>
      <c r="F3936" t="s">
        <v>20</v>
      </c>
      <c r="G3936" t="s">
        <v>21</v>
      </c>
      <c r="H3936" t="str">
        <f>"2ND QRT 2019"</f>
        <v>2ND QRT 2019</v>
      </c>
      <c r="I3936" t="str">
        <f>"OMNIBASE SERVICES OF TEXAS"</f>
        <v>OMNIBASE SERVICES OF TEXAS</v>
      </c>
    </row>
    <row r="3937" spans="1:9" x14ac:dyDescent="0.25">
      <c r="A3937" s="6">
        <v>43671</v>
      </c>
      <c r="B3937" t="s">
        <v>26</v>
      </c>
      <c r="C3937">
        <v>61524</v>
      </c>
      <c r="D3937" t="s">
        <v>202</v>
      </c>
      <c r="E3937" s="7">
        <v>1776.58</v>
      </c>
      <c r="F3937" t="s">
        <v>20</v>
      </c>
      <c r="G3937" t="s">
        <v>21</v>
      </c>
      <c r="H3937" t="str">
        <f>"61938914"</f>
        <v>61938914</v>
      </c>
      <c r="I3937" t="str">
        <f>"UVALDE ROCK ASPHALT"</f>
        <v>UVALDE ROCK ASPHALT</v>
      </c>
    </row>
    <row r="3938" spans="1:9" x14ac:dyDescent="0.25">
      <c r="A3938" s="6">
        <v>43671</v>
      </c>
      <c r="B3938" t="s">
        <v>91</v>
      </c>
      <c r="C3938">
        <v>61525</v>
      </c>
      <c r="D3938" t="s">
        <v>90</v>
      </c>
      <c r="E3938" s="7">
        <v>785.32</v>
      </c>
      <c r="F3938" t="s">
        <v>20</v>
      </c>
      <c r="G3938" t="s">
        <v>21</v>
      </c>
      <c r="H3938" t="str">
        <f>"ACA201907168530"</f>
        <v>ACA201907168530</v>
      </c>
      <c r="I3938" t="str">
        <f>"AFLAC INSURANCE"</f>
        <v>AFLAC INSURANCE</v>
      </c>
    </row>
    <row r="3939" spans="1:9" x14ac:dyDescent="0.25">
      <c r="A3939" s="6">
        <v>43671</v>
      </c>
      <c r="B3939" t="s">
        <v>91</v>
      </c>
      <c r="C3939">
        <v>61525</v>
      </c>
      <c r="D3939" t="s">
        <v>90</v>
      </c>
      <c r="E3939" s="7">
        <v>785.32</v>
      </c>
      <c r="F3939" t="s">
        <v>20</v>
      </c>
      <c r="G3939" t="s">
        <v>21</v>
      </c>
      <c r="H3939" t="str">
        <f>"AD2201907168530"</f>
        <v>AD2201907168530</v>
      </c>
      <c r="I3939" t="str">
        <f>"AFLAC INSURANCE"</f>
        <v>AFLAC INSURANCE</v>
      </c>
    </row>
    <row r="3940" spans="1:9" x14ac:dyDescent="0.25">
      <c r="A3940" s="6">
        <v>43671</v>
      </c>
      <c r="B3940" t="s">
        <v>91</v>
      </c>
      <c r="C3940">
        <v>61525</v>
      </c>
      <c r="D3940" t="s">
        <v>90</v>
      </c>
      <c r="E3940" s="7">
        <v>785.32</v>
      </c>
      <c r="F3940" t="s">
        <v>20</v>
      </c>
      <c r="G3940" t="s">
        <v>21</v>
      </c>
      <c r="H3940" t="str">
        <f>"ADR201907168530"</f>
        <v>ADR201907168530</v>
      </c>
      <c r="I3940" t="str">
        <f>"INSURANCE"</f>
        <v>INSURANCE</v>
      </c>
    </row>
    <row r="3941" spans="1:9" x14ac:dyDescent="0.25">
      <c r="A3941" s="6">
        <v>43671</v>
      </c>
      <c r="B3941" t="s">
        <v>91</v>
      </c>
      <c r="C3941">
        <v>61525</v>
      </c>
      <c r="D3941" t="s">
        <v>90</v>
      </c>
      <c r="E3941" s="7">
        <v>785.32</v>
      </c>
      <c r="F3941" t="s">
        <v>20</v>
      </c>
      <c r="G3941" t="s">
        <v>21</v>
      </c>
      <c r="H3941" t="str">
        <f>"AF1201907168530"</f>
        <v>AF1201907168530</v>
      </c>
      <c r="I3941" t="str">
        <f>"AFLAC INSURANCE"</f>
        <v>AFLAC INSURANCE</v>
      </c>
    </row>
    <row r="3942" spans="1:9" x14ac:dyDescent="0.25">
      <c r="A3942" s="6">
        <v>43671</v>
      </c>
      <c r="B3942" t="s">
        <v>91</v>
      </c>
      <c r="C3942">
        <v>61525</v>
      </c>
      <c r="D3942" t="s">
        <v>90</v>
      </c>
      <c r="E3942" s="7">
        <v>785.32</v>
      </c>
      <c r="F3942" t="s">
        <v>20</v>
      </c>
      <c r="G3942" t="s">
        <v>21</v>
      </c>
      <c r="H3942" t="str">
        <f>"ASP201907168530"</f>
        <v>ASP201907168530</v>
      </c>
      <c r="I3942" t="str">
        <f>"AFLAC INSURANCE"</f>
        <v>AFLAC INSURANCE</v>
      </c>
    </row>
    <row r="3943" spans="1:9" x14ac:dyDescent="0.25">
      <c r="A3943" s="6">
        <v>43671</v>
      </c>
      <c r="B3943" t="s">
        <v>91</v>
      </c>
      <c r="C3943">
        <v>61525</v>
      </c>
      <c r="D3943" t="s">
        <v>90</v>
      </c>
      <c r="E3943" s="7">
        <v>785.32</v>
      </c>
      <c r="F3943" t="s">
        <v>20</v>
      </c>
      <c r="G3943" t="s">
        <v>21</v>
      </c>
      <c r="H3943" t="str">
        <f>"HCO201907168530"</f>
        <v>HCO201907168530</v>
      </c>
      <c r="I3943" t="str">
        <f>"AFLAC INSURANCE"</f>
        <v>AFLAC INSURANCE</v>
      </c>
    </row>
    <row r="3944" spans="1:9" x14ac:dyDescent="0.25">
      <c r="A3944" s="6">
        <v>43671</v>
      </c>
      <c r="B3944" t="s">
        <v>26</v>
      </c>
      <c r="C3944">
        <v>61527</v>
      </c>
      <c r="D3944" t="s">
        <v>179</v>
      </c>
      <c r="E3944" s="7">
        <v>49.67</v>
      </c>
      <c r="F3944" t="s">
        <v>20</v>
      </c>
      <c r="G3944" t="s">
        <v>21</v>
      </c>
      <c r="H3944" t="str">
        <f>"57913"</f>
        <v>57913</v>
      </c>
      <c r="I3944" t="str">
        <f>"SUPPLIES FOR PARKS"</f>
        <v>SUPPLIES FOR PARKS</v>
      </c>
    </row>
    <row r="3945" spans="1:9" x14ac:dyDescent="0.25">
      <c r="A3945" s="6">
        <v>43671</v>
      </c>
      <c r="B3945" t="s">
        <v>26</v>
      </c>
      <c r="C3945">
        <v>61528</v>
      </c>
      <c r="D3945" t="s">
        <v>273</v>
      </c>
      <c r="E3945" s="7">
        <v>3342.42</v>
      </c>
      <c r="F3945" t="s">
        <v>20</v>
      </c>
      <c r="G3945" t="s">
        <v>21</v>
      </c>
      <c r="H3945" t="str">
        <f>"5119-000089375"</f>
        <v>5119-000089375</v>
      </c>
      <c r="I3945" t="str">
        <f>"REPUBLIC SERVICES TESSMAN ROAD"</f>
        <v>REPUBLIC SERVICES TESSMAN ROAD</v>
      </c>
    </row>
    <row r="3946" spans="1:9" x14ac:dyDescent="0.25">
      <c r="A3946" s="6">
        <v>43671</v>
      </c>
      <c r="B3946" t="s">
        <v>26</v>
      </c>
      <c r="C3946">
        <v>61529</v>
      </c>
      <c r="D3946" t="s">
        <v>180</v>
      </c>
      <c r="E3946" s="7">
        <v>96.83</v>
      </c>
      <c r="F3946" t="s">
        <v>20</v>
      </c>
      <c r="G3946" t="s">
        <v>21</v>
      </c>
      <c r="H3946" t="str">
        <f>"30135441"</f>
        <v>30135441</v>
      </c>
      <c r="I3946" t="str">
        <f>"MATERIAL FOR WATER DEPT"</f>
        <v>MATERIAL FOR WATER DEPT</v>
      </c>
    </row>
    <row r="3947" spans="1:9" x14ac:dyDescent="0.25">
      <c r="A3947" s="6">
        <v>43671</v>
      </c>
      <c r="B3947" t="s">
        <v>26</v>
      </c>
      <c r="C3947">
        <v>61530</v>
      </c>
      <c r="D3947" t="s">
        <v>108</v>
      </c>
      <c r="E3947" s="7">
        <v>2435.58</v>
      </c>
      <c r="F3947" t="s">
        <v>20</v>
      </c>
      <c r="G3947" t="s">
        <v>21</v>
      </c>
      <c r="H3947" t="str">
        <f>"041295626826"</f>
        <v>041295626826</v>
      </c>
      <c r="I3947" t="str">
        <f>"POOLSURE"</f>
        <v>POOLSURE</v>
      </c>
    </row>
    <row r="3948" spans="1:9" x14ac:dyDescent="0.25">
      <c r="A3948" s="6">
        <v>43671</v>
      </c>
      <c r="B3948" t="s">
        <v>26</v>
      </c>
      <c r="C3948">
        <v>61531</v>
      </c>
      <c r="D3948" t="s">
        <v>240</v>
      </c>
      <c r="E3948" s="7">
        <v>1393.68</v>
      </c>
      <c r="F3948" t="s">
        <v>20</v>
      </c>
      <c r="G3948" t="s">
        <v>21</v>
      </c>
      <c r="H3948" t="str">
        <f>"0171505-IN"</f>
        <v>0171505-IN</v>
      </c>
      <c r="I3948" t="str">
        <f>"UNIFORMS"</f>
        <v>UNIFORMS</v>
      </c>
    </row>
    <row r="3949" spans="1:9" x14ac:dyDescent="0.25">
      <c r="A3949" s="6">
        <v>43671</v>
      </c>
      <c r="B3949" t="s">
        <v>26</v>
      </c>
      <c r="C3949">
        <v>61531</v>
      </c>
      <c r="D3949" t="s">
        <v>240</v>
      </c>
      <c r="E3949" s="7">
        <v>1393.68</v>
      </c>
      <c r="F3949" t="s">
        <v>20</v>
      </c>
      <c r="G3949" t="s">
        <v>21</v>
      </c>
      <c r="H3949" t="str">
        <f>"0171722-IN"</f>
        <v>0171722-IN</v>
      </c>
      <c r="I3949" t="str">
        <f>"NARDIS PUBLIC SAFETY"</f>
        <v>NARDIS PUBLIC SAFETY</v>
      </c>
    </row>
    <row r="3950" spans="1:9" x14ac:dyDescent="0.25">
      <c r="A3950" s="6">
        <v>43671</v>
      </c>
      <c r="B3950" t="s">
        <v>26</v>
      </c>
      <c r="C3950">
        <v>61531</v>
      </c>
      <c r="D3950" t="s">
        <v>240</v>
      </c>
      <c r="E3950" s="7">
        <v>1393.68</v>
      </c>
      <c r="F3950" t="s">
        <v>20</v>
      </c>
      <c r="G3950" t="s">
        <v>21</v>
      </c>
      <c r="H3950" t="str">
        <f>"0171733-IN"</f>
        <v>0171733-IN</v>
      </c>
      <c r="I3950" t="str">
        <f>"UNIFORMS FOR NEW HIRES"</f>
        <v>UNIFORMS FOR NEW HIRES</v>
      </c>
    </row>
    <row r="3951" spans="1:9" x14ac:dyDescent="0.25">
      <c r="A3951" s="6">
        <v>43671</v>
      </c>
      <c r="B3951" t="s">
        <v>26</v>
      </c>
      <c r="C3951">
        <v>61531</v>
      </c>
      <c r="D3951" t="s">
        <v>240</v>
      </c>
      <c r="E3951" s="7">
        <v>1393.68</v>
      </c>
      <c r="F3951" t="s">
        <v>20</v>
      </c>
      <c r="G3951" t="s">
        <v>21</v>
      </c>
      <c r="H3951" t="str">
        <f>"0171792-IN"</f>
        <v>0171792-IN</v>
      </c>
      <c r="I3951" t="str">
        <f>"NARDIS PUBLIC SAFETY"</f>
        <v>NARDIS PUBLIC SAFETY</v>
      </c>
    </row>
    <row r="3952" spans="1:9" x14ac:dyDescent="0.25">
      <c r="A3952" s="6">
        <v>43671</v>
      </c>
      <c r="B3952" t="s">
        <v>26</v>
      </c>
      <c r="C3952">
        <v>61531</v>
      </c>
      <c r="D3952" t="s">
        <v>240</v>
      </c>
      <c r="E3952" s="7">
        <v>1393.68</v>
      </c>
      <c r="F3952" t="s">
        <v>20</v>
      </c>
      <c r="G3952" t="s">
        <v>21</v>
      </c>
      <c r="H3952" t="str">
        <f>"0171941-IN"</f>
        <v>0171941-IN</v>
      </c>
      <c r="I3952" t="str">
        <f>"UNIFORMS FOR BARRIENTEZ"</f>
        <v>UNIFORMS FOR BARRIENTEZ</v>
      </c>
    </row>
    <row r="3953" spans="1:9" x14ac:dyDescent="0.25">
      <c r="A3953" s="6">
        <v>43671</v>
      </c>
      <c r="B3953" t="s">
        <v>26</v>
      </c>
      <c r="C3953">
        <v>61532</v>
      </c>
      <c r="D3953" t="s">
        <v>181</v>
      </c>
      <c r="E3953" s="7">
        <v>87.3</v>
      </c>
      <c r="F3953" t="s">
        <v>20</v>
      </c>
      <c r="G3953" t="s">
        <v>21</v>
      </c>
      <c r="H3953" t="str">
        <f>"3933186 7/19"</f>
        <v>3933186 7/19</v>
      </c>
      <c r="I3953" t="str">
        <f>"AT&amp;T"</f>
        <v>AT&amp;T</v>
      </c>
    </row>
    <row r="3954" spans="1:9" x14ac:dyDescent="0.25">
      <c r="A3954" s="6">
        <v>43671</v>
      </c>
      <c r="B3954" t="s">
        <v>26</v>
      </c>
      <c r="C3954">
        <v>61533</v>
      </c>
      <c r="D3954" t="s">
        <v>774</v>
      </c>
      <c r="E3954" s="7">
        <v>150</v>
      </c>
      <c r="F3954" t="s">
        <v>20</v>
      </c>
      <c r="G3954" t="s">
        <v>21</v>
      </c>
      <c r="H3954" t="str">
        <f>"POOL REFUND 7-6-19"</f>
        <v>POOL REFUND 7-6-19</v>
      </c>
      <c r="I3954" t="str">
        <f>"REFUND"</f>
        <v>REFUND</v>
      </c>
    </row>
    <row r="3955" spans="1:9" x14ac:dyDescent="0.25">
      <c r="A3955" s="6">
        <v>43671</v>
      </c>
      <c r="B3955" t="s">
        <v>26</v>
      </c>
      <c r="C3955">
        <v>61534</v>
      </c>
      <c r="D3955" t="s">
        <v>774</v>
      </c>
      <c r="E3955" s="7">
        <v>150</v>
      </c>
      <c r="F3955" t="s">
        <v>20</v>
      </c>
      <c r="G3955" t="s">
        <v>21</v>
      </c>
      <c r="H3955" t="str">
        <f>"POOL RFND 7/6/19"</f>
        <v>POOL RFND 7/6/19</v>
      </c>
      <c r="I3955" t="str">
        <f>"REFUND"</f>
        <v>REFUND</v>
      </c>
    </row>
    <row r="3956" spans="1:9" x14ac:dyDescent="0.25">
      <c r="A3956" s="6">
        <v>43671</v>
      </c>
      <c r="B3956" t="s">
        <v>26</v>
      </c>
      <c r="C3956">
        <v>61535</v>
      </c>
      <c r="D3956" t="s">
        <v>61</v>
      </c>
      <c r="E3956" s="7">
        <v>544.75</v>
      </c>
      <c r="F3956" t="s">
        <v>20</v>
      </c>
      <c r="G3956" t="s">
        <v>21</v>
      </c>
      <c r="H3956" t="str">
        <f>"025-264455"</f>
        <v>025-264455</v>
      </c>
      <c r="I3956" t="str">
        <f>"TYLER TECHNOLOGIES  INC."</f>
        <v>TYLER TECHNOLOGIES  INC.</v>
      </c>
    </row>
    <row r="3957" spans="1:9" x14ac:dyDescent="0.25">
      <c r="A3957" s="6">
        <v>43671</v>
      </c>
      <c r="B3957" t="s">
        <v>26</v>
      </c>
      <c r="C3957">
        <v>61535</v>
      </c>
      <c r="D3957" t="s">
        <v>61</v>
      </c>
      <c r="E3957" s="7">
        <v>544.75</v>
      </c>
      <c r="F3957" t="s">
        <v>20</v>
      </c>
      <c r="G3957" t="s">
        <v>21</v>
      </c>
      <c r="H3957" t="str">
        <f>"025-264714"</f>
        <v>025-264714</v>
      </c>
      <c r="I3957" t="str">
        <f>"TYLER TECHNOLOGIES  INC."</f>
        <v>TYLER TECHNOLOGIES  INC.</v>
      </c>
    </row>
    <row r="3958" spans="1:9" x14ac:dyDescent="0.25">
      <c r="A3958" s="6">
        <v>43671</v>
      </c>
      <c r="B3958" t="s">
        <v>91</v>
      </c>
      <c r="C3958">
        <v>61536</v>
      </c>
      <c r="D3958" t="s">
        <v>92</v>
      </c>
      <c r="E3958" s="7">
        <v>20450.57</v>
      </c>
      <c r="F3958" t="s">
        <v>20</v>
      </c>
      <c r="G3958" t="s">
        <v>21</v>
      </c>
      <c r="H3958" t="str">
        <f>"RET201907168530"</f>
        <v>RET201907168530</v>
      </c>
      <c r="I3958" t="str">
        <f>"TMRS CITY OF FLORESVILLE"</f>
        <v>TMRS CITY OF FLORESVILLE</v>
      </c>
    </row>
    <row r="3959" spans="1:9" x14ac:dyDescent="0.25">
      <c r="A3959" s="6">
        <v>43671</v>
      </c>
      <c r="B3959" t="s">
        <v>91</v>
      </c>
      <c r="C3959">
        <v>61536</v>
      </c>
      <c r="D3959" t="s">
        <v>92</v>
      </c>
      <c r="E3959" s="7">
        <v>20450.57</v>
      </c>
      <c r="F3959" t="s">
        <v>20</v>
      </c>
      <c r="G3959" t="s">
        <v>93</v>
      </c>
      <c r="H3959" t="str">
        <f>"CHECK"</f>
        <v>CHECK</v>
      </c>
      <c r="I3959" t="str">
        <f>""</f>
        <v/>
      </c>
    </row>
    <row r="3960" spans="1:9" x14ac:dyDescent="0.25">
      <c r="A3960" s="6">
        <v>43671</v>
      </c>
      <c r="B3960" t="s">
        <v>26</v>
      </c>
      <c r="C3960">
        <v>61538</v>
      </c>
      <c r="D3960" t="s">
        <v>184</v>
      </c>
      <c r="E3960" s="7">
        <v>974</v>
      </c>
      <c r="F3960" t="s">
        <v>20</v>
      </c>
      <c r="G3960" t="s">
        <v>21</v>
      </c>
      <c r="H3960" t="str">
        <f>"1055-468"</f>
        <v>1055-468</v>
      </c>
      <c r="I3960" t="str">
        <f>"POLLUTION CONTROL SERVICES"</f>
        <v>POLLUTION CONTROL SERVICES</v>
      </c>
    </row>
    <row r="3961" spans="1:9" x14ac:dyDescent="0.25">
      <c r="A3961" s="6">
        <v>43671</v>
      </c>
      <c r="B3961" t="s">
        <v>26</v>
      </c>
      <c r="C3961">
        <v>61538</v>
      </c>
      <c r="D3961" t="s">
        <v>184</v>
      </c>
      <c r="E3961" s="7">
        <v>974</v>
      </c>
      <c r="F3961" t="s">
        <v>20</v>
      </c>
      <c r="G3961" t="s">
        <v>21</v>
      </c>
      <c r="H3961" t="str">
        <f>"1055-469"</f>
        <v>1055-469</v>
      </c>
      <c r="I3961" t="str">
        <f>"POLLUTION CONTROL SERVICES"</f>
        <v>POLLUTION CONTROL SERVICES</v>
      </c>
    </row>
    <row r="3962" spans="1:9" x14ac:dyDescent="0.25">
      <c r="A3962" s="6">
        <v>43671</v>
      </c>
      <c r="B3962" t="s">
        <v>26</v>
      </c>
      <c r="C3962">
        <v>61539</v>
      </c>
      <c r="D3962" t="s">
        <v>414</v>
      </c>
      <c r="E3962" s="7">
        <v>40</v>
      </c>
      <c r="F3962" t="s">
        <v>20</v>
      </c>
      <c r="G3962" t="s">
        <v>21</v>
      </c>
      <c r="H3962" t="str">
        <f>"2019000638"</f>
        <v>2019000638</v>
      </c>
      <c r="I3962" t="str">
        <f>"AHC PHYSICIANS INC."</f>
        <v>AHC PHYSICIANS INC.</v>
      </c>
    </row>
    <row r="3963" spans="1:9" x14ac:dyDescent="0.25">
      <c r="A3963" s="6">
        <v>43671</v>
      </c>
      <c r="B3963" t="s">
        <v>26</v>
      </c>
      <c r="C3963">
        <v>61540</v>
      </c>
      <c r="D3963" t="s">
        <v>168</v>
      </c>
      <c r="E3963" s="7">
        <v>537</v>
      </c>
      <c r="F3963" t="s">
        <v>20</v>
      </c>
      <c r="G3963" t="s">
        <v>21</v>
      </c>
      <c r="H3963" t="str">
        <f>"LI-6497"</f>
        <v>LI-6497</v>
      </c>
      <c r="I3963" t="str">
        <f t="shared" ref="I3963:I3969" si="75">"BEXAR COUNTY AUDITOR/ATTN:CRIM"</f>
        <v>BEXAR COUNTY AUDITOR/ATTN:CRIM</v>
      </c>
    </row>
    <row r="3964" spans="1:9" x14ac:dyDescent="0.25">
      <c r="A3964" s="6">
        <v>43671</v>
      </c>
      <c r="B3964" t="s">
        <v>26</v>
      </c>
      <c r="C3964">
        <v>61540</v>
      </c>
      <c r="D3964" t="s">
        <v>168</v>
      </c>
      <c r="E3964" s="7">
        <v>537</v>
      </c>
      <c r="F3964" t="s">
        <v>20</v>
      </c>
      <c r="G3964" t="s">
        <v>21</v>
      </c>
      <c r="H3964" t="str">
        <f>"LI-6498"</f>
        <v>LI-6498</v>
      </c>
      <c r="I3964" t="str">
        <f t="shared" si="75"/>
        <v>BEXAR COUNTY AUDITOR/ATTN:CRIM</v>
      </c>
    </row>
    <row r="3965" spans="1:9" x14ac:dyDescent="0.25">
      <c r="A3965" s="6">
        <v>43671</v>
      </c>
      <c r="B3965" t="s">
        <v>26</v>
      </c>
      <c r="C3965">
        <v>61540</v>
      </c>
      <c r="D3965" t="s">
        <v>168</v>
      </c>
      <c r="E3965" s="7">
        <v>537</v>
      </c>
      <c r="F3965" t="s">
        <v>20</v>
      </c>
      <c r="G3965" t="s">
        <v>21</v>
      </c>
      <c r="H3965" t="str">
        <f>"LI-6499"</f>
        <v>LI-6499</v>
      </c>
      <c r="I3965" t="str">
        <f t="shared" si="75"/>
        <v>BEXAR COUNTY AUDITOR/ATTN:CRIM</v>
      </c>
    </row>
    <row r="3966" spans="1:9" x14ac:dyDescent="0.25">
      <c r="A3966" s="6">
        <v>43671</v>
      </c>
      <c r="B3966" t="s">
        <v>26</v>
      </c>
      <c r="C3966">
        <v>61540</v>
      </c>
      <c r="D3966" t="s">
        <v>168</v>
      </c>
      <c r="E3966" s="7">
        <v>537</v>
      </c>
      <c r="F3966" t="s">
        <v>20</v>
      </c>
      <c r="G3966" t="s">
        <v>21</v>
      </c>
      <c r="H3966" t="str">
        <f>"LI-6500"</f>
        <v>LI-6500</v>
      </c>
      <c r="I3966" t="str">
        <f t="shared" si="75"/>
        <v>BEXAR COUNTY AUDITOR/ATTN:CRIM</v>
      </c>
    </row>
    <row r="3967" spans="1:9" x14ac:dyDescent="0.25">
      <c r="A3967" s="6">
        <v>43671</v>
      </c>
      <c r="B3967" t="s">
        <v>26</v>
      </c>
      <c r="C3967">
        <v>61540</v>
      </c>
      <c r="D3967" t="s">
        <v>168</v>
      </c>
      <c r="E3967" s="7">
        <v>537</v>
      </c>
      <c r="F3967" t="s">
        <v>20</v>
      </c>
      <c r="G3967" t="s">
        <v>21</v>
      </c>
      <c r="H3967" t="str">
        <f>"LI-6501"</f>
        <v>LI-6501</v>
      </c>
      <c r="I3967" t="str">
        <f t="shared" si="75"/>
        <v>BEXAR COUNTY AUDITOR/ATTN:CRIM</v>
      </c>
    </row>
    <row r="3968" spans="1:9" x14ac:dyDescent="0.25">
      <c r="A3968" s="6">
        <v>43671</v>
      </c>
      <c r="B3968" t="s">
        <v>26</v>
      </c>
      <c r="C3968">
        <v>61540</v>
      </c>
      <c r="D3968" t="s">
        <v>168</v>
      </c>
      <c r="E3968" s="7">
        <v>537</v>
      </c>
      <c r="F3968" t="s">
        <v>20</v>
      </c>
      <c r="G3968" t="s">
        <v>21</v>
      </c>
      <c r="H3968" t="str">
        <f>"LI-6502"</f>
        <v>LI-6502</v>
      </c>
      <c r="I3968" t="str">
        <f t="shared" si="75"/>
        <v>BEXAR COUNTY AUDITOR/ATTN:CRIM</v>
      </c>
    </row>
    <row r="3969" spans="1:9" x14ac:dyDescent="0.25">
      <c r="A3969" s="6">
        <v>43671</v>
      </c>
      <c r="B3969" t="s">
        <v>26</v>
      </c>
      <c r="C3969">
        <v>61540</v>
      </c>
      <c r="D3969" t="s">
        <v>168</v>
      </c>
      <c r="E3969" s="7">
        <v>537</v>
      </c>
      <c r="F3969" t="s">
        <v>20</v>
      </c>
      <c r="G3969" t="s">
        <v>21</v>
      </c>
      <c r="H3969" t="str">
        <f>"LI-6503"</f>
        <v>LI-6503</v>
      </c>
      <c r="I3969" t="str">
        <f t="shared" si="75"/>
        <v>BEXAR COUNTY AUDITOR/ATTN:CRIM</v>
      </c>
    </row>
    <row r="3970" spans="1:9" x14ac:dyDescent="0.25">
      <c r="A3970" s="6">
        <v>43671</v>
      </c>
      <c r="B3970" t="s">
        <v>26</v>
      </c>
      <c r="C3970">
        <v>61542</v>
      </c>
      <c r="D3970" t="s">
        <v>62</v>
      </c>
      <c r="E3970" s="7">
        <v>1337.12</v>
      </c>
      <c r="F3970" t="s">
        <v>20</v>
      </c>
      <c r="G3970" t="s">
        <v>21</v>
      </c>
      <c r="H3970" t="str">
        <f>"M.VELIZ 7/2019"</f>
        <v>M.VELIZ 7/2019</v>
      </c>
      <c r="I3970" t="str">
        <f>"PROFICIENT BENEFIT SOLUTIONS"</f>
        <v>PROFICIENT BENEFIT SOLUTIONS</v>
      </c>
    </row>
    <row r="3971" spans="1:9" x14ac:dyDescent="0.25">
      <c r="A3971" s="6">
        <v>43671</v>
      </c>
      <c r="B3971" t="s">
        <v>26</v>
      </c>
      <c r="C3971">
        <v>61543</v>
      </c>
      <c r="D3971" t="s">
        <v>169</v>
      </c>
      <c r="E3971" s="7">
        <v>35.1</v>
      </c>
      <c r="F3971" t="s">
        <v>20</v>
      </c>
      <c r="G3971" t="s">
        <v>21</v>
      </c>
      <c r="H3971" t="str">
        <f>"121899"</f>
        <v>121899</v>
      </c>
      <c r="I3971" t="str">
        <f>"THE POLICE AND SHERIFFS PRESS"</f>
        <v>THE POLICE AND SHERIFFS PRESS</v>
      </c>
    </row>
    <row r="3972" spans="1:9" x14ac:dyDescent="0.25">
      <c r="A3972" s="6">
        <v>43671</v>
      </c>
      <c r="B3972" t="s">
        <v>26</v>
      </c>
      <c r="C3972">
        <v>61543</v>
      </c>
      <c r="D3972" t="s">
        <v>169</v>
      </c>
      <c r="E3972" s="7">
        <v>35.1</v>
      </c>
      <c r="F3972" t="s">
        <v>20</v>
      </c>
      <c r="G3972" t="s">
        <v>21</v>
      </c>
      <c r="H3972" t="str">
        <f>"122199"</f>
        <v>122199</v>
      </c>
      <c r="I3972" t="str">
        <f>"THE POLICE AND SHERIFFS PRESS"</f>
        <v>THE POLICE AND SHERIFFS PRESS</v>
      </c>
    </row>
    <row r="3973" spans="1:9" x14ac:dyDescent="0.25">
      <c r="A3973" s="6">
        <v>43671</v>
      </c>
      <c r="B3973" t="s">
        <v>26</v>
      </c>
      <c r="C3973">
        <v>61544</v>
      </c>
      <c r="D3973" t="s">
        <v>115</v>
      </c>
      <c r="E3973" s="7">
        <v>207.96</v>
      </c>
      <c r="F3973" t="s">
        <v>20</v>
      </c>
      <c r="G3973" t="s">
        <v>21</v>
      </c>
      <c r="H3973" t="str">
        <f>"3547466616"</f>
        <v>3547466616</v>
      </c>
      <c r="I3973" t="str">
        <f>"BATTERY- PD UNIT 330"</f>
        <v>BATTERY- PD UNIT 330</v>
      </c>
    </row>
    <row r="3974" spans="1:9" x14ac:dyDescent="0.25">
      <c r="A3974" s="6">
        <v>43671</v>
      </c>
      <c r="B3974" t="s">
        <v>26</v>
      </c>
      <c r="C3974">
        <v>61544</v>
      </c>
      <c r="D3974" t="s">
        <v>115</v>
      </c>
      <c r="E3974" s="7">
        <v>207.96</v>
      </c>
      <c r="F3974" t="s">
        <v>20</v>
      </c>
      <c r="G3974" t="s">
        <v>21</v>
      </c>
      <c r="H3974" t="str">
        <f>"3547466617"</f>
        <v>3547466617</v>
      </c>
      <c r="I3974" t="str">
        <f>"TOOLS"</f>
        <v>TOOLS</v>
      </c>
    </row>
    <row r="3975" spans="1:9" x14ac:dyDescent="0.25">
      <c r="A3975" s="6">
        <v>43671</v>
      </c>
      <c r="B3975" t="s">
        <v>26</v>
      </c>
      <c r="C3975">
        <v>61544</v>
      </c>
      <c r="D3975" t="s">
        <v>115</v>
      </c>
      <c r="E3975" s="7">
        <v>207.96</v>
      </c>
      <c r="F3975" t="s">
        <v>20</v>
      </c>
      <c r="G3975" t="s">
        <v>21</v>
      </c>
      <c r="H3975" t="str">
        <f>"3547470955"</f>
        <v>3547470955</v>
      </c>
      <c r="I3975" t="str">
        <f>"WATER DEPT UNIT 204"</f>
        <v>WATER DEPT UNIT 204</v>
      </c>
    </row>
    <row r="3976" spans="1:9" x14ac:dyDescent="0.25">
      <c r="A3976" s="6">
        <v>43671</v>
      </c>
      <c r="B3976" t="s">
        <v>26</v>
      </c>
      <c r="C3976">
        <v>61545</v>
      </c>
      <c r="D3976" t="s">
        <v>63</v>
      </c>
      <c r="E3976" s="7">
        <v>733.89</v>
      </c>
      <c r="F3976" t="s">
        <v>20</v>
      </c>
      <c r="G3976" t="s">
        <v>21</v>
      </c>
      <c r="H3976" t="str">
        <f>"8404216291"</f>
        <v>8404216291</v>
      </c>
      <c r="I3976" t="str">
        <f>"CINTAS CORPORATION"</f>
        <v>CINTAS CORPORATION</v>
      </c>
    </row>
    <row r="3977" spans="1:9" x14ac:dyDescent="0.25">
      <c r="A3977" s="6">
        <v>43671</v>
      </c>
      <c r="B3977" t="s">
        <v>26</v>
      </c>
      <c r="C3977">
        <v>61546</v>
      </c>
      <c r="D3977" t="s">
        <v>117</v>
      </c>
      <c r="E3977" s="7">
        <v>2765.99</v>
      </c>
      <c r="F3977" t="s">
        <v>20</v>
      </c>
      <c r="G3977" t="s">
        <v>21</v>
      </c>
      <c r="H3977" t="str">
        <f>"JUNE 2019 FEES"</f>
        <v>JUNE 2019 FEES</v>
      </c>
      <c r="I3977" t="str">
        <f>"LINEBARGER GOGGAN BLAIR &amp; SAMP"</f>
        <v>LINEBARGER GOGGAN BLAIR &amp; SAMP</v>
      </c>
    </row>
    <row r="3978" spans="1:9" x14ac:dyDescent="0.25">
      <c r="A3978" s="6">
        <v>43671</v>
      </c>
      <c r="B3978" t="s">
        <v>26</v>
      </c>
      <c r="C3978">
        <v>61546</v>
      </c>
      <c r="D3978" t="s">
        <v>117</v>
      </c>
      <c r="E3978" s="7">
        <v>2765.99</v>
      </c>
      <c r="F3978" t="s">
        <v>20</v>
      </c>
      <c r="G3978" t="s">
        <v>21</v>
      </c>
      <c r="H3978" t="str">
        <f>"MAY 2019 FEE"</f>
        <v>MAY 2019 FEE</v>
      </c>
      <c r="I3978" t="str">
        <f>"LINEBARGER GOGGAN BLAIR &amp; SAMP"</f>
        <v>LINEBARGER GOGGAN BLAIR &amp; SAMP</v>
      </c>
    </row>
    <row r="3979" spans="1:9" x14ac:dyDescent="0.25">
      <c r="A3979" s="6">
        <v>43671</v>
      </c>
      <c r="B3979" t="s">
        <v>26</v>
      </c>
      <c r="C3979">
        <v>61547</v>
      </c>
      <c r="D3979" t="s">
        <v>606</v>
      </c>
      <c r="E3979" s="7">
        <v>75</v>
      </c>
      <c r="F3979" t="s">
        <v>20</v>
      </c>
      <c r="G3979" t="s">
        <v>21</v>
      </c>
      <c r="H3979" t="str">
        <f>"FY 19/20 DUES"</f>
        <v>FY 19/20 DUES</v>
      </c>
      <c r="I3979" t="str">
        <f>"TEXAS MUNICIPAL COURTS ASSOCIA"</f>
        <v>TEXAS MUNICIPAL COURTS ASSOCIA</v>
      </c>
    </row>
    <row r="3980" spans="1:9" x14ac:dyDescent="0.25">
      <c r="A3980" s="6">
        <v>43671</v>
      </c>
      <c r="B3980" t="s">
        <v>26</v>
      </c>
      <c r="C3980">
        <v>61548</v>
      </c>
      <c r="D3980" t="s">
        <v>118</v>
      </c>
      <c r="E3980" s="7">
        <v>722</v>
      </c>
      <c r="F3980" t="s">
        <v>20</v>
      </c>
      <c r="G3980" t="s">
        <v>21</v>
      </c>
      <c r="H3980" t="str">
        <f>"11467"</f>
        <v>11467</v>
      </c>
      <c r="I3980" t="str">
        <f>"BRYAN AIR CONDITIONING &amp; HEATI"</f>
        <v>BRYAN AIR CONDITIONING &amp; HEATI</v>
      </c>
    </row>
    <row r="3981" spans="1:9" x14ac:dyDescent="0.25">
      <c r="A3981" s="6">
        <v>43671</v>
      </c>
      <c r="B3981" t="s">
        <v>26</v>
      </c>
      <c r="C3981">
        <v>61549</v>
      </c>
      <c r="D3981" t="s">
        <v>533</v>
      </c>
      <c r="E3981" s="7">
        <v>450</v>
      </c>
      <c r="F3981" t="s">
        <v>20</v>
      </c>
      <c r="G3981" t="s">
        <v>21</v>
      </c>
      <c r="H3981" t="str">
        <f>"COUNCIL MEM 7/2019"</f>
        <v>COUNCIL MEM 7/2019</v>
      </c>
      <c r="I3981" t="str">
        <f>"ASSOCIATION OF HISPANIC MUNICI"</f>
        <v>ASSOCIATION OF HISPANIC MUNICI</v>
      </c>
    </row>
    <row r="3982" spans="1:9" x14ac:dyDescent="0.25">
      <c r="A3982" s="6">
        <v>43671</v>
      </c>
      <c r="B3982" t="s">
        <v>26</v>
      </c>
      <c r="C3982">
        <v>61550</v>
      </c>
      <c r="D3982" t="s">
        <v>495</v>
      </c>
      <c r="E3982" s="7">
        <v>74.599999999999994</v>
      </c>
      <c r="F3982" t="s">
        <v>20</v>
      </c>
      <c r="G3982" t="s">
        <v>21</v>
      </c>
      <c r="H3982" t="str">
        <f>"0405193-IN"</f>
        <v>0405193-IN</v>
      </c>
      <c r="I3982" t="str">
        <f>"EVIDENCE TAPE"</f>
        <v>EVIDENCE TAPE</v>
      </c>
    </row>
    <row r="3983" spans="1:9" x14ac:dyDescent="0.25">
      <c r="A3983" s="6">
        <v>43671</v>
      </c>
      <c r="B3983" t="s">
        <v>91</v>
      </c>
      <c r="C3983">
        <v>61551</v>
      </c>
      <c r="D3983" t="s">
        <v>95</v>
      </c>
      <c r="E3983" s="7">
        <v>29.99</v>
      </c>
      <c r="F3983" t="s">
        <v>20</v>
      </c>
      <c r="G3983" t="s">
        <v>21</v>
      </c>
      <c r="H3983" t="str">
        <f>"LEA201907168530"</f>
        <v>LEA201907168530</v>
      </c>
      <c r="I3983" t="str">
        <f>"INSURANCE"</f>
        <v>INSURANCE</v>
      </c>
    </row>
    <row r="3984" spans="1:9" x14ac:dyDescent="0.25">
      <c r="A3984" s="6">
        <v>43671</v>
      </c>
      <c r="B3984" t="s">
        <v>26</v>
      </c>
      <c r="C3984">
        <v>61552</v>
      </c>
      <c r="D3984" t="s">
        <v>119</v>
      </c>
      <c r="E3984" s="7">
        <v>12</v>
      </c>
      <c r="F3984" t="s">
        <v>20</v>
      </c>
      <c r="G3984" t="s">
        <v>21</v>
      </c>
      <c r="H3984" t="str">
        <f>"54237"</f>
        <v>54237</v>
      </c>
      <c r="I3984" t="str">
        <f>"PRUSKI'S TIRE SHOP  L.L.C."</f>
        <v>PRUSKI'S TIRE SHOP  L.L.C.</v>
      </c>
    </row>
    <row r="3985" spans="1:9" x14ac:dyDescent="0.25">
      <c r="A3985" s="6">
        <v>43671</v>
      </c>
      <c r="B3985" t="s">
        <v>26</v>
      </c>
      <c r="C3985">
        <v>61553</v>
      </c>
      <c r="D3985" t="s">
        <v>120</v>
      </c>
      <c r="E3985" s="7">
        <v>1856.77</v>
      </c>
      <c r="F3985" t="s">
        <v>20</v>
      </c>
      <c r="G3985" t="s">
        <v>21</v>
      </c>
      <c r="H3985" t="str">
        <f>"71177817"</f>
        <v>71177817</v>
      </c>
      <c r="I3985" t="str">
        <f>"VERIZON BUSINESS"</f>
        <v>VERIZON BUSINESS</v>
      </c>
    </row>
    <row r="3986" spans="1:9" x14ac:dyDescent="0.25">
      <c r="A3986" s="6">
        <v>43671</v>
      </c>
      <c r="B3986" t="s">
        <v>26</v>
      </c>
      <c r="C3986">
        <v>61553</v>
      </c>
      <c r="D3986" t="s">
        <v>120</v>
      </c>
      <c r="E3986" s="7">
        <v>1856.77</v>
      </c>
      <c r="F3986" t="s">
        <v>20</v>
      </c>
      <c r="G3986" t="s">
        <v>21</v>
      </c>
      <c r="H3986" t="str">
        <f>"71178608"</f>
        <v>71178608</v>
      </c>
      <c r="I3986" t="str">
        <f>"VERIZON BUSINESS"</f>
        <v>VERIZON BUSINESS</v>
      </c>
    </row>
    <row r="3987" spans="1:9" x14ac:dyDescent="0.25">
      <c r="A3987" s="6">
        <v>43671</v>
      </c>
      <c r="B3987" t="s">
        <v>26</v>
      </c>
      <c r="C3987">
        <v>61554</v>
      </c>
      <c r="D3987" t="s">
        <v>69</v>
      </c>
      <c r="E3987" s="7">
        <v>712.65</v>
      </c>
      <c r="F3987" t="s">
        <v>20</v>
      </c>
      <c r="G3987" t="s">
        <v>21</v>
      </c>
      <c r="H3987" t="str">
        <f>"3300352"</f>
        <v>3300352</v>
      </c>
      <c r="I3987" t="str">
        <f>"SHREDDAR REPAIR"</f>
        <v>SHREDDAR REPAIR</v>
      </c>
    </row>
    <row r="3988" spans="1:9" x14ac:dyDescent="0.25">
      <c r="A3988" s="6">
        <v>43671</v>
      </c>
      <c r="B3988" t="s">
        <v>26</v>
      </c>
      <c r="C3988">
        <v>61554</v>
      </c>
      <c r="D3988" t="s">
        <v>69</v>
      </c>
      <c r="E3988" s="7">
        <v>712.65</v>
      </c>
      <c r="F3988" t="s">
        <v>20</v>
      </c>
      <c r="G3988" t="s">
        <v>21</v>
      </c>
      <c r="H3988" t="str">
        <f>"3300633"</f>
        <v>3300633</v>
      </c>
      <c r="I3988" t="str">
        <f>"EWALD KUBOTA  INC."</f>
        <v>EWALD KUBOTA  INC.</v>
      </c>
    </row>
    <row r="3989" spans="1:9" x14ac:dyDescent="0.25">
      <c r="A3989" s="6">
        <v>43671</v>
      </c>
      <c r="B3989" t="s">
        <v>26</v>
      </c>
      <c r="C3989">
        <v>61554</v>
      </c>
      <c r="D3989" t="s">
        <v>69</v>
      </c>
      <c r="E3989" s="7">
        <v>712.65</v>
      </c>
      <c r="F3989" t="s">
        <v>20</v>
      </c>
      <c r="G3989" t="s">
        <v>21</v>
      </c>
      <c r="H3989" t="str">
        <f>"3300674"</f>
        <v>3300674</v>
      </c>
      <c r="I3989" t="str">
        <f>"REPAIR EQUIPMENT"</f>
        <v>REPAIR EQUIPMENT</v>
      </c>
    </row>
    <row r="3990" spans="1:9" x14ac:dyDescent="0.25">
      <c r="A3990" s="6">
        <v>43671</v>
      </c>
      <c r="B3990" t="s">
        <v>26</v>
      </c>
      <c r="C3990">
        <v>61554</v>
      </c>
      <c r="D3990" t="s">
        <v>69</v>
      </c>
      <c r="E3990" s="7">
        <v>712.65</v>
      </c>
      <c r="F3990" t="s">
        <v>20</v>
      </c>
      <c r="G3990" t="s">
        <v>21</v>
      </c>
      <c r="H3990" t="str">
        <f>"3300711"</f>
        <v>3300711</v>
      </c>
      <c r="I3990" t="str">
        <f>"LAWN MOWER REPAIR"</f>
        <v>LAWN MOWER REPAIR</v>
      </c>
    </row>
    <row r="3991" spans="1:9" x14ac:dyDescent="0.25">
      <c r="A3991" s="6">
        <v>43671</v>
      </c>
      <c r="B3991" t="s">
        <v>26</v>
      </c>
      <c r="C3991">
        <v>61556</v>
      </c>
      <c r="D3991" t="s">
        <v>29</v>
      </c>
      <c r="E3991" s="7">
        <v>73792.31</v>
      </c>
      <c r="F3991" t="s">
        <v>20</v>
      </c>
      <c r="G3991" t="s">
        <v>21</v>
      </c>
      <c r="H3991" t="str">
        <f>"34215"</f>
        <v>34215</v>
      </c>
      <c r="I3991" t="str">
        <f t="shared" ref="I3991:I4003" si="76">"M &amp; S ENGINEERING  LLC"</f>
        <v>M &amp; S ENGINEERING  LLC</v>
      </c>
    </row>
    <row r="3992" spans="1:9" x14ac:dyDescent="0.25">
      <c r="A3992" s="6">
        <v>43671</v>
      </c>
      <c r="B3992" t="s">
        <v>26</v>
      </c>
      <c r="C3992">
        <v>61556</v>
      </c>
      <c r="D3992" t="s">
        <v>29</v>
      </c>
      <c r="E3992" s="7">
        <v>73792.31</v>
      </c>
      <c r="F3992" t="s">
        <v>20</v>
      </c>
      <c r="G3992" t="s">
        <v>21</v>
      </c>
      <c r="H3992" t="str">
        <f>"34585"</f>
        <v>34585</v>
      </c>
      <c r="I3992" t="str">
        <f t="shared" si="76"/>
        <v>M &amp; S ENGINEERING  LLC</v>
      </c>
    </row>
    <row r="3993" spans="1:9" x14ac:dyDescent="0.25">
      <c r="A3993" s="6">
        <v>43671</v>
      </c>
      <c r="B3993" t="s">
        <v>26</v>
      </c>
      <c r="C3993">
        <v>61556</v>
      </c>
      <c r="D3993" t="s">
        <v>29</v>
      </c>
      <c r="E3993" s="7">
        <v>73792.31</v>
      </c>
      <c r="F3993" t="s">
        <v>20</v>
      </c>
      <c r="G3993" t="s">
        <v>21</v>
      </c>
      <c r="H3993" t="str">
        <f>"34743"</f>
        <v>34743</v>
      </c>
      <c r="I3993" t="str">
        <f t="shared" si="76"/>
        <v>M &amp; S ENGINEERING  LLC</v>
      </c>
    </row>
    <row r="3994" spans="1:9" x14ac:dyDescent="0.25">
      <c r="A3994" s="6">
        <v>43671</v>
      </c>
      <c r="B3994" t="s">
        <v>26</v>
      </c>
      <c r="C3994">
        <v>61556</v>
      </c>
      <c r="D3994" t="s">
        <v>29</v>
      </c>
      <c r="E3994" s="7">
        <v>73792.31</v>
      </c>
      <c r="F3994" t="s">
        <v>20</v>
      </c>
      <c r="G3994" t="s">
        <v>21</v>
      </c>
      <c r="H3994" t="str">
        <f>"35817"</f>
        <v>35817</v>
      </c>
      <c r="I3994" t="str">
        <f t="shared" si="76"/>
        <v>M &amp; S ENGINEERING  LLC</v>
      </c>
    </row>
    <row r="3995" spans="1:9" x14ac:dyDescent="0.25">
      <c r="A3995" s="6">
        <v>43671</v>
      </c>
      <c r="B3995" t="s">
        <v>26</v>
      </c>
      <c r="C3995">
        <v>61556</v>
      </c>
      <c r="D3995" t="s">
        <v>29</v>
      </c>
      <c r="E3995" s="7">
        <v>73792.31</v>
      </c>
      <c r="F3995" t="s">
        <v>20</v>
      </c>
      <c r="G3995" t="s">
        <v>21</v>
      </c>
      <c r="H3995" t="str">
        <f>"37148"</f>
        <v>37148</v>
      </c>
      <c r="I3995" t="str">
        <f t="shared" si="76"/>
        <v>M &amp; S ENGINEERING  LLC</v>
      </c>
    </row>
    <row r="3996" spans="1:9" x14ac:dyDescent="0.25">
      <c r="A3996" s="6">
        <v>43671</v>
      </c>
      <c r="B3996" t="s">
        <v>26</v>
      </c>
      <c r="C3996">
        <v>61556</v>
      </c>
      <c r="D3996" t="s">
        <v>29</v>
      </c>
      <c r="E3996" s="7">
        <v>73792.31</v>
      </c>
      <c r="F3996" t="s">
        <v>20</v>
      </c>
      <c r="G3996" t="s">
        <v>21</v>
      </c>
      <c r="H3996" t="str">
        <f>"37423"</f>
        <v>37423</v>
      </c>
      <c r="I3996" t="str">
        <f t="shared" si="76"/>
        <v>M &amp; S ENGINEERING  LLC</v>
      </c>
    </row>
    <row r="3997" spans="1:9" x14ac:dyDescent="0.25">
      <c r="A3997" s="6">
        <v>43671</v>
      </c>
      <c r="B3997" t="s">
        <v>26</v>
      </c>
      <c r="C3997">
        <v>61556</v>
      </c>
      <c r="D3997" t="s">
        <v>29</v>
      </c>
      <c r="E3997" s="7">
        <v>73792.31</v>
      </c>
      <c r="F3997" t="s">
        <v>20</v>
      </c>
      <c r="G3997" t="s">
        <v>21</v>
      </c>
      <c r="H3997" t="str">
        <f>"37776"</f>
        <v>37776</v>
      </c>
      <c r="I3997" t="str">
        <f t="shared" si="76"/>
        <v>M &amp; S ENGINEERING  LLC</v>
      </c>
    </row>
    <row r="3998" spans="1:9" x14ac:dyDescent="0.25">
      <c r="A3998" s="6">
        <v>43671</v>
      </c>
      <c r="B3998" t="s">
        <v>26</v>
      </c>
      <c r="C3998">
        <v>61556</v>
      </c>
      <c r="D3998" t="s">
        <v>29</v>
      </c>
      <c r="E3998" s="7">
        <v>73792.31</v>
      </c>
      <c r="F3998" t="s">
        <v>20</v>
      </c>
      <c r="G3998" t="s">
        <v>21</v>
      </c>
      <c r="H3998" t="str">
        <f>"37779"</f>
        <v>37779</v>
      </c>
      <c r="I3998" t="str">
        <f t="shared" si="76"/>
        <v>M &amp; S ENGINEERING  LLC</v>
      </c>
    </row>
    <row r="3999" spans="1:9" x14ac:dyDescent="0.25">
      <c r="A3999" s="6">
        <v>43671</v>
      </c>
      <c r="B3999" t="s">
        <v>26</v>
      </c>
      <c r="C3999">
        <v>61556</v>
      </c>
      <c r="D3999" t="s">
        <v>29</v>
      </c>
      <c r="E3999" s="7">
        <v>73792.31</v>
      </c>
      <c r="F3999" t="s">
        <v>20</v>
      </c>
      <c r="G3999" t="s">
        <v>21</v>
      </c>
      <c r="H3999" t="str">
        <f>"37780"</f>
        <v>37780</v>
      </c>
      <c r="I3999" t="str">
        <f t="shared" si="76"/>
        <v>M &amp; S ENGINEERING  LLC</v>
      </c>
    </row>
    <row r="4000" spans="1:9" x14ac:dyDescent="0.25">
      <c r="A4000" s="6">
        <v>43671</v>
      </c>
      <c r="B4000" t="s">
        <v>26</v>
      </c>
      <c r="C4000">
        <v>61556</v>
      </c>
      <c r="D4000" t="s">
        <v>29</v>
      </c>
      <c r="E4000" s="7">
        <v>73792.31</v>
      </c>
      <c r="F4000" t="s">
        <v>20</v>
      </c>
      <c r="G4000" t="s">
        <v>21</v>
      </c>
      <c r="H4000" t="str">
        <f>"38134"</f>
        <v>38134</v>
      </c>
      <c r="I4000" t="str">
        <f t="shared" si="76"/>
        <v>M &amp; S ENGINEERING  LLC</v>
      </c>
    </row>
    <row r="4001" spans="1:9" x14ac:dyDescent="0.25">
      <c r="A4001" s="6">
        <v>43671</v>
      </c>
      <c r="B4001" t="s">
        <v>26</v>
      </c>
      <c r="C4001">
        <v>61556</v>
      </c>
      <c r="D4001" t="s">
        <v>29</v>
      </c>
      <c r="E4001" s="7">
        <v>73792.31</v>
      </c>
      <c r="F4001" t="s">
        <v>20</v>
      </c>
      <c r="G4001" t="s">
        <v>21</v>
      </c>
      <c r="H4001" t="str">
        <f>"38135"</f>
        <v>38135</v>
      </c>
      <c r="I4001" t="str">
        <f t="shared" si="76"/>
        <v>M &amp; S ENGINEERING  LLC</v>
      </c>
    </row>
    <row r="4002" spans="1:9" x14ac:dyDescent="0.25">
      <c r="A4002" s="6">
        <v>43671</v>
      </c>
      <c r="B4002" t="s">
        <v>26</v>
      </c>
      <c r="C4002">
        <v>61556</v>
      </c>
      <c r="D4002" t="s">
        <v>29</v>
      </c>
      <c r="E4002" s="7">
        <v>73792.31</v>
      </c>
      <c r="F4002" t="s">
        <v>20</v>
      </c>
      <c r="G4002" t="s">
        <v>21</v>
      </c>
      <c r="H4002" t="str">
        <f>"38139"</f>
        <v>38139</v>
      </c>
      <c r="I4002" t="str">
        <f t="shared" si="76"/>
        <v>M &amp; S ENGINEERING  LLC</v>
      </c>
    </row>
    <row r="4003" spans="1:9" x14ac:dyDescent="0.25">
      <c r="A4003" s="6">
        <v>43671</v>
      </c>
      <c r="B4003" t="s">
        <v>26</v>
      </c>
      <c r="C4003">
        <v>61556</v>
      </c>
      <c r="D4003" t="s">
        <v>29</v>
      </c>
      <c r="E4003" s="7">
        <v>73792.31</v>
      </c>
      <c r="F4003" t="s">
        <v>20</v>
      </c>
      <c r="G4003" t="s">
        <v>21</v>
      </c>
      <c r="H4003" t="str">
        <f>"38179"</f>
        <v>38179</v>
      </c>
      <c r="I4003" t="str">
        <f t="shared" si="76"/>
        <v>M &amp; S ENGINEERING  LLC</v>
      </c>
    </row>
    <row r="4004" spans="1:9" x14ac:dyDescent="0.25">
      <c r="A4004" s="6">
        <v>43671</v>
      </c>
      <c r="B4004" t="s">
        <v>91</v>
      </c>
      <c r="C4004">
        <v>61559</v>
      </c>
      <c r="D4004" t="s">
        <v>96</v>
      </c>
      <c r="E4004" s="7">
        <v>114.91</v>
      </c>
      <c r="F4004" t="s">
        <v>20</v>
      </c>
      <c r="G4004" t="s">
        <v>21</v>
      </c>
      <c r="H4004" t="str">
        <f>"PPL201907168530"</f>
        <v>PPL201907168530</v>
      </c>
      <c r="I4004" t="str">
        <f>"INSURANCE"</f>
        <v>INSURANCE</v>
      </c>
    </row>
    <row r="4005" spans="1:9" x14ac:dyDescent="0.25">
      <c r="A4005" s="6">
        <v>43671</v>
      </c>
      <c r="B4005" t="s">
        <v>26</v>
      </c>
      <c r="C4005">
        <v>61560</v>
      </c>
      <c r="D4005" t="s">
        <v>632</v>
      </c>
      <c r="E4005" s="7">
        <v>585</v>
      </c>
      <c r="F4005" t="s">
        <v>20</v>
      </c>
      <c r="G4005" t="s">
        <v>21</v>
      </c>
      <c r="H4005" t="str">
        <f>"240946"</f>
        <v>240946</v>
      </c>
      <c r="I4005" t="str">
        <f>"PUBLIC AGENCY TRAINING COUNCIL"</f>
        <v>PUBLIC AGENCY TRAINING COUNCIL</v>
      </c>
    </row>
    <row r="4006" spans="1:9" x14ac:dyDescent="0.25">
      <c r="A4006" s="6">
        <v>43671</v>
      </c>
      <c r="B4006" t="s">
        <v>26</v>
      </c>
      <c r="C4006">
        <v>61561</v>
      </c>
      <c r="D4006" t="s">
        <v>74</v>
      </c>
      <c r="E4006" s="7">
        <v>30.52</v>
      </c>
      <c r="F4006" t="s">
        <v>20</v>
      </c>
      <c r="G4006" t="s">
        <v>21</v>
      </c>
      <c r="H4006" t="str">
        <f>"9833631046"</f>
        <v>9833631046</v>
      </c>
      <c r="I4006" t="str">
        <f>"VERIZON WIRELESS"</f>
        <v>VERIZON WIRELESS</v>
      </c>
    </row>
    <row r="4007" spans="1:9" x14ac:dyDescent="0.25">
      <c r="A4007" s="6">
        <v>43671</v>
      </c>
      <c r="B4007" t="s">
        <v>26</v>
      </c>
      <c r="C4007">
        <v>61562</v>
      </c>
      <c r="D4007" t="s">
        <v>123</v>
      </c>
      <c r="E4007" s="7">
        <v>363.97</v>
      </c>
      <c r="F4007" t="s">
        <v>20</v>
      </c>
      <c r="G4007" t="s">
        <v>21</v>
      </c>
      <c r="H4007" t="str">
        <f>"260550001001"</f>
        <v>260550001001</v>
      </c>
      <c r="I4007" t="str">
        <f>"OFFICE DEPOT  INC."</f>
        <v>OFFICE DEPOT  INC.</v>
      </c>
    </row>
    <row r="4008" spans="1:9" x14ac:dyDescent="0.25">
      <c r="A4008" s="6">
        <v>43671</v>
      </c>
      <c r="B4008" t="s">
        <v>26</v>
      </c>
      <c r="C4008">
        <v>61562</v>
      </c>
      <c r="D4008" t="s">
        <v>123</v>
      </c>
      <c r="E4008" s="7">
        <v>363.97</v>
      </c>
      <c r="F4008" t="s">
        <v>20</v>
      </c>
      <c r="G4008" t="s">
        <v>21</v>
      </c>
      <c r="H4008" t="str">
        <f>"335116842001"</f>
        <v>335116842001</v>
      </c>
      <c r="I4008" t="str">
        <f>"SUPPLIES FOR PARKS"</f>
        <v>SUPPLIES FOR PARKS</v>
      </c>
    </row>
    <row r="4009" spans="1:9" x14ac:dyDescent="0.25">
      <c r="A4009" s="6">
        <v>43671</v>
      </c>
      <c r="B4009" t="s">
        <v>26</v>
      </c>
      <c r="C4009">
        <v>61562</v>
      </c>
      <c r="D4009" t="s">
        <v>123</v>
      </c>
      <c r="E4009" s="7">
        <v>363.97</v>
      </c>
      <c r="F4009" t="s">
        <v>20</v>
      </c>
      <c r="G4009" t="s">
        <v>21</v>
      </c>
      <c r="H4009" t="str">
        <f>"337197662001"</f>
        <v>337197662001</v>
      </c>
      <c r="I4009" t="str">
        <f>"OFFICE DEPOT  INC."</f>
        <v>OFFICE DEPOT  INC.</v>
      </c>
    </row>
    <row r="4010" spans="1:9" x14ac:dyDescent="0.25">
      <c r="A4010" s="6">
        <v>43671</v>
      </c>
      <c r="B4010" t="s">
        <v>26</v>
      </c>
      <c r="C4010">
        <v>61562</v>
      </c>
      <c r="D4010" t="s">
        <v>123</v>
      </c>
      <c r="E4010" s="7">
        <v>363.97</v>
      </c>
      <c r="F4010" t="s">
        <v>20</v>
      </c>
      <c r="G4010" t="s">
        <v>21</v>
      </c>
      <c r="H4010" t="str">
        <f>"337197945001"</f>
        <v>337197945001</v>
      </c>
      <c r="I4010" t="str">
        <f>"BOXES"</f>
        <v>BOXES</v>
      </c>
    </row>
    <row r="4011" spans="1:9" x14ac:dyDescent="0.25">
      <c r="A4011" s="6">
        <v>43671</v>
      </c>
      <c r="B4011" t="s">
        <v>26</v>
      </c>
      <c r="C4011">
        <v>61562</v>
      </c>
      <c r="D4011" t="s">
        <v>123</v>
      </c>
      <c r="E4011" s="7">
        <v>363.97</v>
      </c>
      <c r="F4011" t="s">
        <v>20</v>
      </c>
      <c r="G4011" t="s">
        <v>21</v>
      </c>
      <c r="H4011" t="str">
        <f>"337551064001"</f>
        <v>337551064001</v>
      </c>
      <c r="I4011" t="str">
        <f>"Supplies"</f>
        <v>Supplies</v>
      </c>
    </row>
    <row r="4012" spans="1:9" x14ac:dyDescent="0.25">
      <c r="A4012" s="6">
        <v>43671</v>
      </c>
      <c r="B4012" t="s">
        <v>26</v>
      </c>
      <c r="C4012">
        <v>61562</v>
      </c>
      <c r="D4012" t="s">
        <v>123</v>
      </c>
      <c r="E4012" s="7">
        <v>363.97</v>
      </c>
      <c r="F4012" t="s">
        <v>20</v>
      </c>
      <c r="G4012" t="s">
        <v>21</v>
      </c>
      <c r="H4012" t="str">
        <f>"337576020001"</f>
        <v>337576020001</v>
      </c>
      <c r="I4012" t="str">
        <f>"Supplies"</f>
        <v>Supplies</v>
      </c>
    </row>
    <row r="4013" spans="1:9" x14ac:dyDescent="0.25">
      <c r="A4013" s="6">
        <v>43671</v>
      </c>
      <c r="B4013" t="s">
        <v>26</v>
      </c>
      <c r="C4013">
        <v>61564</v>
      </c>
      <c r="D4013" t="s">
        <v>137</v>
      </c>
      <c r="E4013" s="7">
        <v>69.95</v>
      </c>
      <c r="F4013" t="s">
        <v>20</v>
      </c>
      <c r="G4013" t="s">
        <v>21</v>
      </c>
      <c r="H4013" t="str">
        <f>"1343"</f>
        <v>1343</v>
      </c>
      <c r="I4013" t="str">
        <f>"OMNIBUS-M  INC.D.B.A."</f>
        <v>OMNIBUS-M  INC.D.B.A.</v>
      </c>
    </row>
    <row r="4014" spans="1:9" x14ac:dyDescent="0.25">
      <c r="A4014" s="6">
        <v>43671</v>
      </c>
      <c r="B4014" t="s">
        <v>26</v>
      </c>
      <c r="C4014">
        <v>61565</v>
      </c>
      <c r="D4014" t="s">
        <v>77</v>
      </c>
      <c r="E4014" s="7">
        <v>1173.43</v>
      </c>
      <c r="F4014" t="s">
        <v>20</v>
      </c>
      <c r="G4014" t="s">
        <v>21</v>
      </c>
      <c r="H4014" t="str">
        <f>"857001247-19"</f>
        <v>857001247-19</v>
      </c>
      <c r="I4014" t="str">
        <f>"CHLORINE"</f>
        <v>CHLORINE</v>
      </c>
    </row>
    <row r="4015" spans="1:9" x14ac:dyDescent="0.25">
      <c r="A4015" s="6">
        <v>43671</v>
      </c>
      <c r="B4015" t="s">
        <v>26</v>
      </c>
      <c r="C4015">
        <v>61565</v>
      </c>
      <c r="D4015" t="s">
        <v>77</v>
      </c>
      <c r="E4015" s="7">
        <v>1173.43</v>
      </c>
      <c r="F4015" t="s">
        <v>20</v>
      </c>
      <c r="G4015" t="s">
        <v>21</v>
      </c>
      <c r="H4015" t="str">
        <f>"DE85001331-19"</f>
        <v>DE85001331-19</v>
      </c>
      <c r="I4015" t="str">
        <f>"DPC INDUSTRIES  INC."</f>
        <v>DPC INDUSTRIES  INC.</v>
      </c>
    </row>
    <row r="4016" spans="1:9" x14ac:dyDescent="0.25">
      <c r="A4016" s="6">
        <v>43671</v>
      </c>
      <c r="B4016" t="s">
        <v>26</v>
      </c>
      <c r="C4016">
        <v>61565</v>
      </c>
      <c r="D4016" t="s">
        <v>77</v>
      </c>
      <c r="E4016" s="7">
        <v>1173.43</v>
      </c>
      <c r="F4016" t="s">
        <v>20</v>
      </c>
      <c r="G4016" t="s">
        <v>21</v>
      </c>
      <c r="H4016" t="str">
        <f>"DE85001539-19"</f>
        <v>DE85001539-19</v>
      </c>
      <c r="I4016" t="str">
        <f>"DPC INDUSTRIES  INC."</f>
        <v>DPC INDUSTRIES  INC.</v>
      </c>
    </row>
    <row r="4017" spans="1:9" x14ac:dyDescent="0.25">
      <c r="A4017" s="6">
        <v>43671</v>
      </c>
      <c r="B4017" t="s">
        <v>26</v>
      </c>
      <c r="C4017">
        <v>61566</v>
      </c>
      <c r="D4017" t="s">
        <v>79</v>
      </c>
      <c r="E4017" s="7">
        <v>33.68</v>
      </c>
      <c r="F4017" t="s">
        <v>20</v>
      </c>
      <c r="G4017" t="s">
        <v>21</v>
      </c>
      <c r="H4017" t="str">
        <f>"6-602-92518"</f>
        <v>6-602-92518</v>
      </c>
      <c r="I4017" t="str">
        <f>"FEDEX"</f>
        <v>FEDEX</v>
      </c>
    </row>
    <row r="4018" spans="1:9" x14ac:dyDescent="0.25">
      <c r="A4018" s="6">
        <v>43671</v>
      </c>
      <c r="B4018" t="s">
        <v>26</v>
      </c>
      <c r="C4018">
        <v>61566</v>
      </c>
      <c r="D4018" t="s">
        <v>79</v>
      </c>
      <c r="E4018" s="7">
        <v>33.68</v>
      </c>
      <c r="F4018" t="s">
        <v>20</v>
      </c>
      <c r="G4018" t="s">
        <v>21</v>
      </c>
      <c r="H4018" t="str">
        <f>"6-616-26251"</f>
        <v>6-616-26251</v>
      </c>
      <c r="I4018" t="str">
        <f>"FEDEX"</f>
        <v>FEDEX</v>
      </c>
    </row>
    <row r="4019" spans="1:9" x14ac:dyDescent="0.25">
      <c r="A4019" s="6">
        <v>43671</v>
      </c>
      <c r="B4019" t="s">
        <v>91</v>
      </c>
      <c r="C4019">
        <v>61567</v>
      </c>
      <c r="D4019" t="s">
        <v>81</v>
      </c>
      <c r="E4019" s="7">
        <v>2001.29</v>
      </c>
      <c r="F4019" t="s">
        <v>20</v>
      </c>
      <c r="G4019" t="s">
        <v>21</v>
      </c>
      <c r="H4019" t="str">
        <f>"A.MARTINEZ 7/24/19"</f>
        <v>A.MARTINEZ 7/24/19</v>
      </c>
      <c r="I4019" t="str">
        <f>"CITY OF FLORESVILLE -PETTY CAS"</f>
        <v>CITY OF FLORESVILLE -PETTY CAS</v>
      </c>
    </row>
    <row r="4020" spans="1:9" x14ac:dyDescent="0.25">
      <c r="A4020" s="6">
        <v>43671</v>
      </c>
      <c r="B4020" t="s">
        <v>91</v>
      </c>
      <c r="C4020">
        <v>61567</v>
      </c>
      <c r="D4020" t="s">
        <v>81</v>
      </c>
      <c r="E4020" s="7">
        <v>2001.29</v>
      </c>
      <c r="F4020" t="s">
        <v>20</v>
      </c>
      <c r="G4020" t="s">
        <v>21</v>
      </c>
      <c r="H4020" t="str">
        <f>"BOXING EVNT7/27/19"</f>
        <v>BOXING EVNT7/27/19</v>
      </c>
      <c r="I4020" t="str">
        <f>"CITY OF FLORESVILLE -PETTY CAS"</f>
        <v>CITY OF FLORESVILLE -PETTY CAS</v>
      </c>
    </row>
    <row r="4021" spans="1:9" x14ac:dyDescent="0.25">
      <c r="A4021" s="6">
        <v>43671</v>
      </c>
      <c r="B4021" t="s">
        <v>91</v>
      </c>
      <c r="C4021">
        <v>61567</v>
      </c>
      <c r="D4021" t="s">
        <v>81</v>
      </c>
      <c r="E4021" s="7">
        <v>2001.29</v>
      </c>
      <c r="F4021" t="s">
        <v>20</v>
      </c>
      <c r="G4021" t="s">
        <v>93</v>
      </c>
      <c r="H4021" t="str">
        <f>"CHECK"</f>
        <v>CHECK</v>
      </c>
      <c r="I4021" t="str">
        <f>""</f>
        <v/>
      </c>
    </row>
    <row r="4022" spans="1:9" x14ac:dyDescent="0.25">
      <c r="A4022" s="6">
        <v>43671</v>
      </c>
      <c r="B4022" t="s">
        <v>26</v>
      </c>
      <c r="C4022">
        <v>61568</v>
      </c>
      <c r="D4022" t="s">
        <v>130</v>
      </c>
      <c r="E4022" s="7">
        <v>4165</v>
      </c>
      <c r="F4022" t="s">
        <v>20</v>
      </c>
      <c r="G4022" t="s">
        <v>21</v>
      </c>
      <c r="H4022" t="str">
        <f>"INV660730"</f>
        <v>INV660730</v>
      </c>
      <c r="I4022" t="str">
        <f>"DOCUMATION"</f>
        <v>DOCUMATION</v>
      </c>
    </row>
    <row r="4023" spans="1:9" x14ac:dyDescent="0.25">
      <c r="A4023" s="6">
        <v>43671</v>
      </c>
      <c r="B4023" t="s">
        <v>91</v>
      </c>
      <c r="C4023">
        <v>61569</v>
      </c>
      <c r="D4023" t="s">
        <v>97</v>
      </c>
      <c r="E4023" s="7">
        <v>29777.33</v>
      </c>
      <c r="F4023" t="s">
        <v>20</v>
      </c>
      <c r="G4023" t="s">
        <v>21</v>
      </c>
      <c r="H4023" t="str">
        <f>"DEN201907168530"</f>
        <v>DEN201907168530</v>
      </c>
      <c r="I4023" t="str">
        <f>"DENTAL INSURANCE"</f>
        <v>DENTAL INSURANCE</v>
      </c>
    </row>
    <row r="4024" spans="1:9" x14ac:dyDescent="0.25">
      <c r="A4024" s="6">
        <v>43671</v>
      </c>
      <c r="B4024" t="s">
        <v>91</v>
      </c>
      <c r="C4024">
        <v>61569</v>
      </c>
      <c r="D4024" t="s">
        <v>97</v>
      </c>
      <c r="E4024" s="7">
        <v>29777.33</v>
      </c>
      <c r="F4024" t="s">
        <v>20</v>
      </c>
      <c r="G4024" t="s">
        <v>21</v>
      </c>
      <c r="H4024" t="str">
        <f>"MED201907168530"</f>
        <v>MED201907168530</v>
      </c>
      <c r="I4024" t="str">
        <f>"HEALTH &amp; DENTAL INSURANCE"</f>
        <v>HEALTH &amp; DENTAL INSURANCE</v>
      </c>
    </row>
    <row r="4025" spans="1:9" x14ac:dyDescent="0.25">
      <c r="A4025" s="6">
        <v>43671</v>
      </c>
      <c r="B4025" t="s">
        <v>91</v>
      </c>
      <c r="C4025">
        <v>61569</v>
      </c>
      <c r="D4025" t="s">
        <v>97</v>
      </c>
      <c r="E4025" s="7">
        <v>29777.33</v>
      </c>
      <c r="F4025" t="s">
        <v>20</v>
      </c>
      <c r="G4025" t="s">
        <v>93</v>
      </c>
      <c r="H4025" t="str">
        <f>"CHECK"</f>
        <v>CHECK</v>
      </c>
      <c r="I4025" t="str">
        <f>""</f>
        <v/>
      </c>
    </row>
    <row r="4026" spans="1:9" x14ac:dyDescent="0.25">
      <c r="A4026" s="6">
        <v>43671</v>
      </c>
      <c r="B4026" t="s">
        <v>91</v>
      </c>
      <c r="C4026">
        <v>61571</v>
      </c>
      <c r="D4026" t="s">
        <v>98</v>
      </c>
      <c r="E4026" s="7">
        <v>1880.75</v>
      </c>
      <c r="F4026" t="s">
        <v>20</v>
      </c>
      <c r="G4026" t="s">
        <v>21</v>
      </c>
      <c r="H4026" t="str">
        <f>"STD201907168530"</f>
        <v>STD201907168530</v>
      </c>
      <c r="I4026" t="str">
        <f>"SHORT TERM DISABILITY"</f>
        <v>SHORT TERM DISABILITY</v>
      </c>
    </row>
    <row r="4027" spans="1:9" x14ac:dyDescent="0.25">
      <c r="A4027" s="6">
        <v>43671</v>
      </c>
      <c r="B4027" t="s">
        <v>91</v>
      </c>
      <c r="C4027">
        <v>61571</v>
      </c>
      <c r="D4027" t="s">
        <v>98</v>
      </c>
      <c r="E4027" s="7">
        <v>1880.75</v>
      </c>
      <c r="F4027" t="s">
        <v>20</v>
      </c>
      <c r="G4027" t="s">
        <v>21</v>
      </c>
      <c r="H4027" t="str">
        <f>"VIS201907168530"</f>
        <v>VIS201907168530</v>
      </c>
      <c r="I4027" t="str">
        <f>"VISION INSURANCE"</f>
        <v>VISION INSURANCE</v>
      </c>
    </row>
    <row r="4028" spans="1:9" x14ac:dyDescent="0.25">
      <c r="A4028" s="6">
        <v>43671</v>
      </c>
      <c r="B4028" t="s">
        <v>91</v>
      </c>
      <c r="C4028">
        <v>61571</v>
      </c>
      <c r="D4028" t="s">
        <v>98</v>
      </c>
      <c r="E4028" s="7">
        <v>1880.75</v>
      </c>
      <c r="F4028" t="s">
        <v>20</v>
      </c>
      <c r="G4028" t="s">
        <v>21</v>
      </c>
      <c r="H4028" t="str">
        <f>"VLC201907168530"</f>
        <v>VLC201907168530</v>
      </c>
      <c r="I4028" t="str">
        <f>"CHILD LIFE INSURANCE"</f>
        <v>CHILD LIFE INSURANCE</v>
      </c>
    </row>
    <row r="4029" spans="1:9" x14ac:dyDescent="0.25">
      <c r="A4029" s="6">
        <v>43671</v>
      </c>
      <c r="B4029" t="s">
        <v>91</v>
      </c>
      <c r="C4029">
        <v>61571</v>
      </c>
      <c r="D4029" t="s">
        <v>98</v>
      </c>
      <c r="E4029" s="7">
        <v>1880.75</v>
      </c>
      <c r="F4029" t="s">
        <v>20</v>
      </c>
      <c r="G4029" t="s">
        <v>21</v>
      </c>
      <c r="H4029" t="str">
        <f>"VLS201907168530"</f>
        <v>VLS201907168530</v>
      </c>
      <c r="I4029" t="str">
        <f>"SPOUSE LIFE"</f>
        <v>SPOUSE LIFE</v>
      </c>
    </row>
    <row r="4030" spans="1:9" x14ac:dyDescent="0.25">
      <c r="A4030" s="6">
        <v>43671</v>
      </c>
      <c r="B4030" t="s">
        <v>91</v>
      </c>
      <c r="C4030">
        <v>61571</v>
      </c>
      <c r="D4030" t="s">
        <v>98</v>
      </c>
      <c r="E4030" s="7">
        <v>1880.75</v>
      </c>
      <c r="F4030" t="s">
        <v>20</v>
      </c>
      <c r="G4030" t="s">
        <v>21</v>
      </c>
      <c r="H4030" t="str">
        <f>"VOE201907168530"</f>
        <v>VOE201907168530</v>
      </c>
      <c r="I4030" t="str">
        <f>"EMPLOYEE LIFE"</f>
        <v>EMPLOYEE LIFE</v>
      </c>
    </row>
    <row r="4031" spans="1:9" x14ac:dyDescent="0.25">
      <c r="A4031" s="6">
        <v>43671</v>
      </c>
      <c r="B4031" t="s">
        <v>91</v>
      </c>
      <c r="C4031">
        <v>61571</v>
      </c>
      <c r="D4031" t="s">
        <v>98</v>
      </c>
      <c r="E4031" s="7">
        <v>1880.75</v>
      </c>
      <c r="F4031" t="s">
        <v>20</v>
      </c>
      <c r="G4031" t="s">
        <v>21</v>
      </c>
      <c r="H4031" t="str">
        <f>"VOL201907168530"</f>
        <v>VOL201907168530</v>
      </c>
      <c r="I4031" t="str">
        <f>"LIFE"</f>
        <v>LIFE</v>
      </c>
    </row>
    <row r="4032" spans="1:9" x14ac:dyDescent="0.25">
      <c r="A4032" s="6">
        <v>43671</v>
      </c>
      <c r="B4032" t="s">
        <v>26</v>
      </c>
      <c r="C4032">
        <v>61575</v>
      </c>
      <c r="D4032" t="s">
        <v>380</v>
      </c>
      <c r="E4032" s="7">
        <v>219</v>
      </c>
      <c r="F4032" t="s">
        <v>20</v>
      </c>
      <c r="G4032" t="s">
        <v>21</v>
      </c>
      <c r="H4032" t="str">
        <f>"63622*"</f>
        <v>63622*</v>
      </c>
      <c r="I4032" t="str">
        <f>"ABIP CERTIFIED PUBLIC ACCOUNTA"</f>
        <v>ABIP CERTIFIED PUBLIC ACCOUNTA</v>
      </c>
    </row>
    <row r="4033" spans="1:9" x14ac:dyDescent="0.25">
      <c r="A4033" s="6">
        <v>43671</v>
      </c>
      <c r="B4033" t="s">
        <v>26</v>
      </c>
      <c r="C4033">
        <v>61575</v>
      </c>
      <c r="D4033" t="s">
        <v>380</v>
      </c>
      <c r="E4033" s="7">
        <v>219</v>
      </c>
      <c r="F4033" t="s">
        <v>20</v>
      </c>
      <c r="G4033" t="s">
        <v>21</v>
      </c>
      <c r="H4033" t="str">
        <f>"MILEAGE EXT."</f>
        <v>MILEAGE EXT.</v>
      </c>
      <c r="I4033" t="str">
        <f>"ABIP CERTIFIED PUBLIC ACCOUNTA"</f>
        <v>ABIP CERTIFIED PUBLIC ACCOUNTA</v>
      </c>
    </row>
    <row r="4034" spans="1:9" x14ac:dyDescent="0.25">
      <c r="A4034" s="6">
        <v>43671</v>
      </c>
      <c r="B4034" t="s">
        <v>26</v>
      </c>
      <c r="C4034">
        <v>61576</v>
      </c>
      <c r="D4034" t="s">
        <v>308</v>
      </c>
      <c r="E4034" s="7">
        <v>325.3</v>
      </c>
      <c r="F4034" t="s">
        <v>20</v>
      </c>
      <c r="G4034" t="s">
        <v>21</v>
      </c>
      <c r="H4034" t="str">
        <f>"8/13-15/2019 TRWA"</f>
        <v>8/13-15/2019 TRWA</v>
      </c>
      <c r="I4034" t="str">
        <f>"JOHNNY VILLARREAL"</f>
        <v>JOHNNY VILLARREAL</v>
      </c>
    </row>
    <row r="4035" spans="1:9" x14ac:dyDescent="0.25">
      <c r="A4035" s="6">
        <v>43671</v>
      </c>
      <c r="B4035" t="s">
        <v>26</v>
      </c>
      <c r="C4035">
        <v>61576</v>
      </c>
      <c r="D4035" t="s">
        <v>308</v>
      </c>
      <c r="E4035" s="7">
        <v>325.3</v>
      </c>
      <c r="F4035" t="s">
        <v>20</v>
      </c>
      <c r="G4035" t="s">
        <v>21</v>
      </c>
      <c r="H4035" t="str">
        <f>"8/13-15/2019TRWA"</f>
        <v>8/13-15/2019TRWA</v>
      </c>
      <c r="I4035" t="str">
        <f>"TRAINING/MEALS/MILEAGE"</f>
        <v>TRAINING/MEALS/MILEAGE</v>
      </c>
    </row>
    <row r="4036" spans="1:9" x14ac:dyDescent="0.25">
      <c r="A4036" s="6">
        <v>43671</v>
      </c>
      <c r="B4036" t="s">
        <v>26</v>
      </c>
      <c r="C4036">
        <v>61577</v>
      </c>
      <c r="D4036" t="s">
        <v>85</v>
      </c>
      <c r="E4036" s="7">
        <v>2146.4899999999998</v>
      </c>
      <c r="F4036" t="s">
        <v>20</v>
      </c>
      <c r="G4036" t="s">
        <v>21</v>
      </c>
      <c r="H4036" t="str">
        <f>"8301970021 7/19"</f>
        <v>8301970021 7/19</v>
      </c>
      <c r="I4036" t="str">
        <f t="shared" ref="I4036:I4042" si="77">"FRONTIER"</f>
        <v>FRONTIER</v>
      </c>
    </row>
    <row r="4037" spans="1:9" x14ac:dyDescent="0.25">
      <c r="A4037" s="6">
        <v>43671</v>
      </c>
      <c r="B4037" t="s">
        <v>26</v>
      </c>
      <c r="C4037">
        <v>61577</v>
      </c>
      <c r="D4037" t="s">
        <v>85</v>
      </c>
      <c r="E4037" s="7">
        <v>2146.4899999999998</v>
      </c>
      <c r="F4037" t="s">
        <v>20</v>
      </c>
      <c r="G4037" t="s">
        <v>21</v>
      </c>
      <c r="H4037" t="str">
        <f>"8302162733 6/19"</f>
        <v>8302162733 6/19</v>
      </c>
      <c r="I4037" t="str">
        <f t="shared" si="77"/>
        <v>FRONTIER</v>
      </c>
    </row>
    <row r="4038" spans="1:9" x14ac:dyDescent="0.25">
      <c r="A4038" s="6">
        <v>43671</v>
      </c>
      <c r="B4038" t="s">
        <v>26</v>
      </c>
      <c r="C4038">
        <v>61577</v>
      </c>
      <c r="D4038" t="s">
        <v>85</v>
      </c>
      <c r="E4038" s="7">
        <v>2146.4899999999998</v>
      </c>
      <c r="F4038" t="s">
        <v>20</v>
      </c>
      <c r="G4038" t="s">
        <v>21</v>
      </c>
      <c r="H4038" t="str">
        <f>"8302162755 6/19"</f>
        <v>8302162755 6/19</v>
      </c>
      <c r="I4038" t="str">
        <f t="shared" si="77"/>
        <v>FRONTIER</v>
      </c>
    </row>
    <row r="4039" spans="1:9" x14ac:dyDescent="0.25">
      <c r="A4039" s="6">
        <v>43671</v>
      </c>
      <c r="B4039" t="s">
        <v>26</v>
      </c>
      <c r="C4039">
        <v>61577</v>
      </c>
      <c r="D4039" t="s">
        <v>85</v>
      </c>
      <c r="E4039" s="7">
        <v>2146.4899999999998</v>
      </c>
      <c r="F4039" t="s">
        <v>20</v>
      </c>
      <c r="G4039" t="s">
        <v>21</v>
      </c>
      <c r="H4039" t="str">
        <f>"8303932804 6/19"</f>
        <v>8303932804 6/19</v>
      </c>
      <c r="I4039" t="str">
        <f t="shared" si="77"/>
        <v>FRONTIER</v>
      </c>
    </row>
    <row r="4040" spans="1:9" x14ac:dyDescent="0.25">
      <c r="A4040" s="6">
        <v>43671</v>
      </c>
      <c r="B4040" t="s">
        <v>26</v>
      </c>
      <c r="C4040">
        <v>61577</v>
      </c>
      <c r="D4040" t="s">
        <v>85</v>
      </c>
      <c r="E4040" s="7">
        <v>2146.4899999999998</v>
      </c>
      <c r="F4040" t="s">
        <v>20</v>
      </c>
      <c r="G4040" t="s">
        <v>21</v>
      </c>
      <c r="H4040" t="str">
        <f>"8303934055 7/19"</f>
        <v>8303934055 7/19</v>
      </c>
      <c r="I4040" t="str">
        <f t="shared" si="77"/>
        <v>FRONTIER</v>
      </c>
    </row>
    <row r="4041" spans="1:9" x14ac:dyDescent="0.25">
      <c r="A4041" s="6">
        <v>43671</v>
      </c>
      <c r="B4041" t="s">
        <v>26</v>
      </c>
      <c r="C4041">
        <v>61577</v>
      </c>
      <c r="D4041" t="s">
        <v>85</v>
      </c>
      <c r="E4041" s="7">
        <v>2146.4899999999998</v>
      </c>
      <c r="F4041" t="s">
        <v>20</v>
      </c>
      <c r="G4041" t="s">
        <v>21</v>
      </c>
      <c r="H4041" t="str">
        <f>"8303936794 6/19"</f>
        <v>8303936794 6/19</v>
      </c>
      <c r="I4041" t="str">
        <f t="shared" si="77"/>
        <v>FRONTIER</v>
      </c>
    </row>
    <row r="4042" spans="1:9" x14ac:dyDescent="0.25">
      <c r="A4042" s="6">
        <v>43671</v>
      </c>
      <c r="B4042" t="s">
        <v>26</v>
      </c>
      <c r="C4042">
        <v>61577</v>
      </c>
      <c r="D4042" t="s">
        <v>85</v>
      </c>
      <c r="E4042" s="7">
        <v>2146.4899999999998</v>
      </c>
      <c r="F4042" t="s">
        <v>20</v>
      </c>
      <c r="G4042" t="s">
        <v>21</v>
      </c>
      <c r="H4042" t="str">
        <f>"8303938193 6/19"</f>
        <v>8303938193 6/19</v>
      </c>
      <c r="I4042" t="str">
        <f t="shared" si="77"/>
        <v>FRONTIER</v>
      </c>
    </row>
    <row r="4043" spans="1:9" x14ac:dyDescent="0.25">
      <c r="A4043" s="6">
        <v>43671</v>
      </c>
      <c r="B4043" t="s">
        <v>26</v>
      </c>
      <c r="C4043">
        <v>61579</v>
      </c>
      <c r="D4043" t="s">
        <v>194</v>
      </c>
      <c r="E4043" s="7">
        <v>206.94</v>
      </c>
      <c r="F4043" t="s">
        <v>20</v>
      </c>
      <c r="G4043" t="s">
        <v>21</v>
      </c>
      <c r="H4043" t="str">
        <f>"BC0869212"</f>
        <v>BC0869212</v>
      </c>
      <c r="I4043" t="str">
        <f>"GALLS  LLC-D.B.A. STERLING'S U"</f>
        <v>GALLS  LLC-D.B.A. STERLING'S U</v>
      </c>
    </row>
    <row r="4044" spans="1:9" x14ac:dyDescent="0.25">
      <c r="A4044" s="6">
        <v>43671</v>
      </c>
      <c r="B4044" t="s">
        <v>26</v>
      </c>
      <c r="C4044">
        <v>61579</v>
      </c>
      <c r="D4044" t="s">
        <v>194</v>
      </c>
      <c r="E4044" s="7">
        <v>206.94</v>
      </c>
      <c r="F4044" t="s">
        <v>20</v>
      </c>
      <c r="G4044" t="s">
        <v>21</v>
      </c>
      <c r="H4044" t="str">
        <f>"BC0872584"</f>
        <v>BC0872584</v>
      </c>
      <c r="I4044" t="str">
        <f>"GALLS  LLC-D.B.A. STERLING'S U"</f>
        <v>GALLS  LLC-D.B.A. STERLING'S U</v>
      </c>
    </row>
    <row r="4045" spans="1:9" x14ac:dyDescent="0.25">
      <c r="A4045" s="6">
        <v>43671</v>
      </c>
      <c r="B4045" t="s">
        <v>26</v>
      </c>
      <c r="C4045">
        <v>61580</v>
      </c>
      <c r="D4045" t="s">
        <v>175</v>
      </c>
      <c r="E4045" s="7">
        <v>500</v>
      </c>
      <c r="F4045" t="s">
        <v>20</v>
      </c>
      <c r="G4045" t="s">
        <v>21</v>
      </c>
      <c r="H4045" t="str">
        <f>"151744"</f>
        <v>151744</v>
      </c>
      <c r="I4045" t="str">
        <f>"AMER TECHNOLOGY  INC."</f>
        <v>AMER TECHNOLOGY  INC.</v>
      </c>
    </row>
    <row r="4046" spans="1:9" x14ac:dyDescent="0.25">
      <c r="A4046" s="6">
        <v>43671</v>
      </c>
      <c r="B4046" t="s">
        <v>26</v>
      </c>
      <c r="C4046">
        <v>61581</v>
      </c>
      <c r="D4046" t="s">
        <v>326</v>
      </c>
      <c r="E4046" s="7">
        <v>32</v>
      </c>
      <c r="F4046" t="s">
        <v>20</v>
      </c>
      <c r="G4046" t="s">
        <v>21</v>
      </c>
      <c r="H4046" t="str">
        <f>"19960079"</f>
        <v>19960079</v>
      </c>
      <c r="I4046" t="str">
        <f>"MATHESON TRI-GAS INC"</f>
        <v>MATHESON TRI-GAS INC</v>
      </c>
    </row>
    <row r="4047" spans="1:9" x14ac:dyDescent="0.25">
      <c r="A4047" s="6">
        <v>43671</v>
      </c>
      <c r="B4047" t="s">
        <v>26</v>
      </c>
      <c r="C4047">
        <v>61582</v>
      </c>
      <c r="D4047" t="s">
        <v>555</v>
      </c>
      <c r="E4047" s="7">
        <v>368</v>
      </c>
      <c r="F4047" t="s">
        <v>20</v>
      </c>
      <c r="G4047" t="s">
        <v>21</v>
      </c>
      <c r="H4047" t="str">
        <f>"LDSHIP SKILLS 7/19"</f>
        <v>LDSHIP SKILLS 7/19</v>
      </c>
      <c r="I4047" t="str">
        <f>"TRAINING/CONFERENCE"</f>
        <v>TRAINING/CONFERENCE</v>
      </c>
    </row>
    <row r="4048" spans="1:9" x14ac:dyDescent="0.25">
      <c r="A4048" s="6">
        <v>43671</v>
      </c>
      <c r="B4048" t="s">
        <v>26</v>
      </c>
      <c r="C4048">
        <v>61582</v>
      </c>
      <c r="D4048" t="s">
        <v>555</v>
      </c>
      <c r="E4048" s="7">
        <v>368</v>
      </c>
      <c r="F4048" t="s">
        <v>20</v>
      </c>
      <c r="G4048" t="s">
        <v>21</v>
      </c>
      <c r="H4048" t="str">
        <f>"LDSHP SKILLS"</f>
        <v>LDSHP SKILLS</v>
      </c>
      <c r="I4048" t="str">
        <f>"PERRY HYDEN"</f>
        <v>PERRY HYDEN</v>
      </c>
    </row>
    <row r="4049" spans="1:9" x14ac:dyDescent="0.25">
      <c r="A4049" s="6">
        <v>43671</v>
      </c>
      <c r="B4049" t="s">
        <v>91</v>
      </c>
      <c r="C4049">
        <v>61583</v>
      </c>
      <c r="D4049" t="s">
        <v>176</v>
      </c>
      <c r="E4049" s="7">
        <v>868572.68</v>
      </c>
      <c r="F4049" t="s">
        <v>20</v>
      </c>
      <c r="G4049" t="s">
        <v>21</v>
      </c>
      <c r="H4049" t="str">
        <f>"PAY APP #25 FINAL"</f>
        <v>PAY APP #25 FINAL</v>
      </c>
      <c r="I4049" t="str">
        <f>"PEPPER-LAWSON WATERWORKS"</f>
        <v>PEPPER-LAWSON WATERWORKS</v>
      </c>
    </row>
    <row r="4050" spans="1:9" x14ac:dyDescent="0.25">
      <c r="A4050" s="6">
        <v>43671</v>
      </c>
      <c r="B4050" t="s">
        <v>91</v>
      </c>
      <c r="C4050">
        <v>61583</v>
      </c>
      <c r="D4050" t="s">
        <v>176</v>
      </c>
      <c r="E4050" s="7">
        <v>868572.68</v>
      </c>
      <c r="F4050" t="s">
        <v>20</v>
      </c>
      <c r="G4050" t="s">
        <v>21</v>
      </c>
      <c r="H4050" t="str">
        <f>"PAY APP #9 FINAL"</f>
        <v>PAY APP #9 FINAL</v>
      </c>
      <c r="I4050" t="str">
        <f>"PEPPER-LAWSON WATERWORKS"</f>
        <v>PEPPER-LAWSON WATERWORKS</v>
      </c>
    </row>
    <row r="4051" spans="1:9" x14ac:dyDescent="0.25">
      <c r="A4051" s="6">
        <v>43671</v>
      </c>
      <c r="B4051" t="s">
        <v>91</v>
      </c>
      <c r="C4051">
        <v>61583</v>
      </c>
      <c r="D4051" t="s">
        <v>176</v>
      </c>
      <c r="E4051" s="7">
        <v>868572.68</v>
      </c>
      <c r="F4051" t="s">
        <v>20</v>
      </c>
      <c r="G4051" t="s">
        <v>93</v>
      </c>
      <c r="H4051" t="str">
        <f>"CHECK"</f>
        <v>CHECK</v>
      </c>
      <c r="I4051" t="str">
        <f>""</f>
        <v/>
      </c>
    </row>
    <row r="4052" spans="1:9" x14ac:dyDescent="0.25">
      <c r="A4052" s="6">
        <v>43671</v>
      </c>
      <c r="B4052" t="s">
        <v>26</v>
      </c>
      <c r="C4052">
        <v>61584</v>
      </c>
      <c r="D4052" t="s">
        <v>237</v>
      </c>
      <c r="E4052" s="7">
        <v>335.3</v>
      </c>
      <c r="F4052" t="s">
        <v>20</v>
      </c>
      <c r="G4052" t="s">
        <v>21</v>
      </c>
      <c r="H4052" t="str">
        <f>"170962504-001"</f>
        <v>170962504-001</v>
      </c>
      <c r="I4052" t="str">
        <f>"LIGHTS FOR FREEDOM FEST"</f>
        <v>LIGHTS FOR FREEDOM FEST</v>
      </c>
    </row>
    <row r="4053" spans="1:9" x14ac:dyDescent="0.25">
      <c r="A4053" s="6">
        <v>43671</v>
      </c>
      <c r="B4053" t="s">
        <v>26</v>
      </c>
      <c r="C4053">
        <v>61585</v>
      </c>
      <c r="D4053" t="s">
        <v>200</v>
      </c>
      <c r="E4053" s="7">
        <v>10837.5</v>
      </c>
      <c r="F4053" t="s">
        <v>20</v>
      </c>
      <c r="G4053" t="s">
        <v>21</v>
      </c>
      <c r="H4053" t="str">
        <f>"133"</f>
        <v>133</v>
      </c>
      <c r="I4053" t="str">
        <f>"MARIO AVILES"</f>
        <v>MARIO AVILES</v>
      </c>
    </row>
    <row r="4054" spans="1:9" x14ac:dyDescent="0.25">
      <c r="A4054" s="6">
        <v>43671</v>
      </c>
      <c r="B4054" t="s">
        <v>26</v>
      </c>
      <c r="C4054">
        <v>61586</v>
      </c>
      <c r="D4054" t="s">
        <v>345</v>
      </c>
      <c r="E4054" s="7">
        <v>374</v>
      </c>
      <c r="F4054" t="s">
        <v>20</v>
      </c>
      <c r="G4054" t="s">
        <v>21</v>
      </c>
      <c r="H4054" t="str">
        <f>"7/22/2019"</f>
        <v>7/22/2019</v>
      </c>
      <c r="I4054" t="str">
        <f>"MICHAEL ISAAC MARTINEZ"</f>
        <v>MICHAEL ISAAC MARTINEZ</v>
      </c>
    </row>
    <row r="4055" spans="1:9" x14ac:dyDescent="0.25">
      <c r="A4055" s="6">
        <v>43671</v>
      </c>
      <c r="B4055" t="s">
        <v>26</v>
      </c>
      <c r="C4055">
        <v>61587</v>
      </c>
      <c r="D4055" t="s">
        <v>452</v>
      </c>
      <c r="E4055" s="7">
        <v>65</v>
      </c>
      <c r="F4055" t="s">
        <v>20</v>
      </c>
      <c r="G4055" t="s">
        <v>21</v>
      </c>
      <c r="H4055" t="str">
        <f>"7/20/2019"</f>
        <v>7/20/2019</v>
      </c>
      <c r="I4055" t="str">
        <f>"DESIREE PEREZ"</f>
        <v>DESIREE PEREZ</v>
      </c>
    </row>
    <row r="4056" spans="1:9" x14ac:dyDescent="0.25">
      <c r="A4056" s="6">
        <v>43671</v>
      </c>
      <c r="B4056" t="s">
        <v>26</v>
      </c>
      <c r="C4056">
        <v>61588</v>
      </c>
      <c r="D4056" t="s">
        <v>315</v>
      </c>
      <c r="E4056" s="7">
        <v>704.99</v>
      </c>
      <c r="F4056" t="s">
        <v>20</v>
      </c>
      <c r="G4056" t="s">
        <v>21</v>
      </c>
      <c r="H4056" t="str">
        <f>"819073"</f>
        <v>819073</v>
      </c>
      <c r="I4056" t="str">
        <f>"PRIME TIME ADVERTISING"</f>
        <v>PRIME TIME ADVERTISING</v>
      </c>
    </row>
    <row r="4057" spans="1:9" x14ac:dyDescent="0.25">
      <c r="A4057" s="6">
        <v>43671</v>
      </c>
      <c r="B4057" t="s">
        <v>26</v>
      </c>
      <c r="C4057">
        <v>61589</v>
      </c>
      <c r="D4057" t="s">
        <v>398</v>
      </c>
      <c r="E4057" s="7">
        <v>55</v>
      </c>
      <c r="F4057" t="s">
        <v>20</v>
      </c>
      <c r="G4057" t="s">
        <v>21</v>
      </c>
      <c r="H4057" t="str">
        <f>"20190710"</f>
        <v>20190710</v>
      </c>
      <c r="I4057" t="str">
        <f>"INTERCEPTOR TECHNOLOGY GROUP L"</f>
        <v>INTERCEPTOR TECHNOLOGY GROUP L</v>
      </c>
    </row>
    <row r="4058" spans="1:9" x14ac:dyDescent="0.25">
      <c r="A4058" s="6">
        <v>43671</v>
      </c>
      <c r="B4058" t="s">
        <v>26</v>
      </c>
      <c r="C4058">
        <v>61590</v>
      </c>
      <c r="D4058" t="s">
        <v>182</v>
      </c>
      <c r="E4058" s="7">
        <v>126.39</v>
      </c>
      <c r="F4058" t="s">
        <v>20</v>
      </c>
      <c r="G4058" t="s">
        <v>21</v>
      </c>
      <c r="H4058" t="str">
        <f>"REIMBSTMT 7/23/19"</f>
        <v>REIMBSTMT 7/23/19</v>
      </c>
      <c r="I4058" t="str">
        <f>"DAVID INOUYE"</f>
        <v>DAVID INOUYE</v>
      </c>
    </row>
    <row r="4059" spans="1:9" x14ac:dyDescent="0.25">
      <c r="A4059" s="6">
        <v>43671</v>
      </c>
      <c r="B4059" t="s">
        <v>26</v>
      </c>
      <c r="C4059">
        <v>61591</v>
      </c>
      <c r="D4059" t="s">
        <v>483</v>
      </c>
      <c r="E4059" s="7">
        <v>79</v>
      </c>
      <c r="F4059" t="s">
        <v>20</v>
      </c>
      <c r="G4059" t="s">
        <v>21</v>
      </c>
      <c r="H4059" t="str">
        <f>"5393181"</f>
        <v>5393181</v>
      </c>
      <c r="I4059" t="str">
        <f>"MATERIAL"</f>
        <v>MATERIAL</v>
      </c>
    </row>
    <row r="4060" spans="1:9" x14ac:dyDescent="0.25">
      <c r="A4060" s="6">
        <v>43671</v>
      </c>
      <c r="B4060" t="s">
        <v>26</v>
      </c>
      <c r="C4060">
        <v>61592</v>
      </c>
      <c r="D4060" t="s">
        <v>528</v>
      </c>
      <c r="E4060" s="7">
        <v>388.66</v>
      </c>
      <c r="F4060" t="s">
        <v>20</v>
      </c>
      <c r="G4060" t="s">
        <v>21</v>
      </c>
      <c r="H4060" t="str">
        <f>"215010"</f>
        <v>215010</v>
      </c>
      <c r="I4060" t="str">
        <f>"PROSTAR SERVICES INC"</f>
        <v>PROSTAR SERVICES INC</v>
      </c>
    </row>
    <row r="4061" spans="1:9" x14ac:dyDescent="0.25">
      <c r="A4061" s="6">
        <v>43671</v>
      </c>
      <c r="B4061" t="s">
        <v>26</v>
      </c>
      <c r="C4061">
        <v>61592</v>
      </c>
      <c r="D4061" t="s">
        <v>528</v>
      </c>
      <c r="E4061" s="7">
        <v>388.66</v>
      </c>
      <c r="F4061" t="s">
        <v>20</v>
      </c>
      <c r="G4061" t="s">
        <v>21</v>
      </c>
      <c r="H4061" t="str">
        <f>"245920"</f>
        <v>245920</v>
      </c>
      <c r="I4061" t="str">
        <f>"PROSTAR SERVICES INC"</f>
        <v>PROSTAR SERVICES INC</v>
      </c>
    </row>
    <row r="4062" spans="1:9" x14ac:dyDescent="0.25">
      <c r="A4062" s="6">
        <v>43671</v>
      </c>
      <c r="B4062" t="s">
        <v>26</v>
      </c>
      <c r="C4062">
        <v>61593</v>
      </c>
      <c r="D4062" t="s">
        <v>568</v>
      </c>
      <c r="E4062" s="7">
        <v>552.96</v>
      </c>
      <c r="F4062" t="s">
        <v>20</v>
      </c>
      <c r="G4062" t="s">
        <v>21</v>
      </c>
      <c r="H4062" t="str">
        <f>"8781166"</f>
        <v>8781166</v>
      </c>
      <c r="I4062" t="str">
        <f>"TIRE HUB"</f>
        <v>TIRE HUB</v>
      </c>
    </row>
    <row r="4063" spans="1:9" x14ac:dyDescent="0.25">
      <c r="A4063" s="6">
        <v>43671</v>
      </c>
      <c r="B4063" t="s">
        <v>26</v>
      </c>
      <c r="C4063">
        <v>61594</v>
      </c>
      <c r="D4063" t="s">
        <v>629</v>
      </c>
      <c r="E4063" s="7">
        <v>16.5</v>
      </c>
      <c r="F4063" t="s">
        <v>20</v>
      </c>
      <c r="G4063" t="s">
        <v>21</v>
      </c>
      <c r="H4063" t="str">
        <f>"37398"</f>
        <v>37398</v>
      </c>
      <c r="I4063" t="str">
        <f>"DELTA SPECIALTIES SIGNS &amp; SUPP"</f>
        <v>DELTA SPECIALTIES SIGNS &amp; SUPP</v>
      </c>
    </row>
    <row r="4064" spans="1:9" x14ac:dyDescent="0.25">
      <c r="A4064" s="6">
        <v>43671</v>
      </c>
      <c r="B4064" t="s">
        <v>26</v>
      </c>
      <c r="C4064">
        <v>61595</v>
      </c>
      <c r="D4064" t="s">
        <v>644</v>
      </c>
      <c r="E4064" s="7">
        <v>662.07</v>
      </c>
      <c r="F4064" t="s">
        <v>20</v>
      </c>
      <c r="G4064" t="s">
        <v>21</v>
      </c>
      <c r="H4064" t="str">
        <f>"8213338336"</f>
        <v>8213338336</v>
      </c>
      <c r="I4064" t="str">
        <f t="shared" ref="I4064:I4070" si="78">"UNIFIRST CORPORATION"</f>
        <v>UNIFIRST CORPORATION</v>
      </c>
    </row>
    <row r="4065" spans="1:9" x14ac:dyDescent="0.25">
      <c r="A4065" s="6">
        <v>43671</v>
      </c>
      <c r="B4065" t="s">
        <v>26</v>
      </c>
      <c r="C4065">
        <v>61595</v>
      </c>
      <c r="D4065" t="s">
        <v>644</v>
      </c>
      <c r="E4065" s="7">
        <v>662.07</v>
      </c>
      <c r="F4065" t="s">
        <v>20</v>
      </c>
      <c r="G4065" t="s">
        <v>21</v>
      </c>
      <c r="H4065" t="str">
        <f>"8213338337"</f>
        <v>8213338337</v>
      </c>
      <c r="I4065" t="str">
        <f t="shared" si="78"/>
        <v>UNIFIRST CORPORATION</v>
      </c>
    </row>
    <row r="4066" spans="1:9" x14ac:dyDescent="0.25">
      <c r="A4066" s="6">
        <v>43671</v>
      </c>
      <c r="B4066" t="s">
        <v>26</v>
      </c>
      <c r="C4066">
        <v>61595</v>
      </c>
      <c r="D4066" t="s">
        <v>644</v>
      </c>
      <c r="E4066" s="7">
        <v>662.07</v>
      </c>
      <c r="F4066" t="s">
        <v>20</v>
      </c>
      <c r="G4066" t="s">
        <v>21</v>
      </c>
      <c r="H4066" t="str">
        <f>"8213338338"</f>
        <v>8213338338</v>
      </c>
      <c r="I4066" t="str">
        <f t="shared" si="78"/>
        <v>UNIFIRST CORPORATION</v>
      </c>
    </row>
    <row r="4067" spans="1:9" x14ac:dyDescent="0.25">
      <c r="A4067" s="6">
        <v>43671</v>
      </c>
      <c r="B4067" t="s">
        <v>26</v>
      </c>
      <c r="C4067">
        <v>61595</v>
      </c>
      <c r="D4067" t="s">
        <v>644</v>
      </c>
      <c r="E4067" s="7">
        <v>662.07</v>
      </c>
      <c r="F4067" t="s">
        <v>20</v>
      </c>
      <c r="G4067" t="s">
        <v>21</v>
      </c>
      <c r="H4067" t="str">
        <f>"8213338339"</f>
        <v>8213338339</v>
      </c>
      <c r="I4067" t="str">
        <f t="shared" si="78"/>
        <v>UNIFIRST CORPORATION</v>
      </c>
    </row>
    <row r="4068" spans="1:9" x14ac:dyDescent="0.25">
      <c r="A4068" s="6">
        <v>43671</v>
      </c>
      <c r="B4068" t="s">
        <v>26</v>
      </c>
      <c r="C4068">
        <v>61595</v>
      </c>
      <c r="D4068" t="s">
        <v>644</v>
      </c>
      <c r="E4068" s="7">
        <v>662.07</v>
      </c>
      <c r="F4068" t="s">
        <v>20</v>
      </c>
      <c r="G4068" t="s">
        <v>21</v>
      </c>
      <c r="H4068" t="str">
        <f>"8213338340"</f>
        <v>8213338340</v>
      </c>
      <c r="I4068" t="str">
        <f t="shared" si="78"/>
        <v>UNIFIRST CORPORATION</v>
      </c>
    </row>
    <row r="4069" spans="1:9" x14ac:dyDescent="0.25">
      <c r="A4069" s="6">
        <v>43671</v>
      </c>
      <c r="B4069" t="s">
        <v>26</v>
      </c>
      <c r="C4069">
        <v>61595</v>
      </c>
      <c r="D4069" t="s">
        <v>644</v>
      </c>
      <c r="E4069" s="7">
        <v>662.07</v>
      </c>
      <c r="F4069" t="s">
        <v>20</v>
      </c>
      <c r="G4069" t="s">
        <v>21</v>
      </c>
      <c r="H4069" t="str">
        <f>"8213338341"</f>
        <v>8213338341</v>
      </c>
      <c r="I4069" t="str">
        <f t="shared" si="78"/>
        <v>UNIFIRST CORPORATION</v>
      </c>
    </row>
    <row r="4070" spans="1:9" x14ac:dyDescent="0.25">
      <c r="A4070" s="6">
        <v>43671</v>
      </c>
      <c r="B4070" t="s">
        <v>26</v>
      </c>
      <c r="C4070">
        <v>61595</v>
      </c>
      <c r="D4070" t="s">
        <v>644</v>
      </c>
      <c r="E4070" s="7">
        <v>662.07</v>
      </c>
      <c r="F4070" t="s">
        <v>20</v>
      </c>
      <c r="G4070" t="s">
        <v>21</v>
      </c>
      <c r="H4070" t="str">
        <f>"8213340833"</f>
        <v>8213340833</v>
      </c>
      <c r="I4070" t="str">
        <f t="shared" si="78"/>
        <v>UNIFIRST CORPORATION</v>
      </c>
    </row>
    <row r="4071" spans="1:9" x14ac:dyDescent="0.25">
      <c r="A4071" s="6">
        <v>43671</v>
      </c>
      <c r="B4071" t="s">
        <v>91</v>
      </c>
      <c r="C4071">
        <v>61597</v>
      </c>
      <c r="D4071" t="s">
        <v>716</v>
      </c>
      <c r="E4071" s="7">
        <v>724</v>
      </c>
      <c r="F4071" t="s">
        <v>20</v>
      </c>
      <c r="G4071" t="s">
        <v>21</v>
      </c>
      <c r="H4071" t="str">
        <f>"7/22/19"</f>
        <v>7/22/19</v>
      </c>
      <c r="I4071" t="str">
        <f>"ALFREDO SENDEJO"</f>
        <v>ALFREDO SENDEJO</v>
      </c>
    </row>
    <row r="4072" spans="1:9" x14ac:dyDescent="0.25">
      <c r="A4072" s="6">
        <v>43671</v>
      </c>
      <c r="B4072" t="s">
        <v>91</v>
      </c>
      <c r="C4072">
        <v>61597</v>
      </c>
      <c r="D4072" t="s">
        <v>716</v>
      </c>
      <c r="E4072" s="7">
        <v>724</v>
      </c>
      <c r="F4072" t="s">
        <v>20</v>
      </c>
      <c r="G4072" t="s">
        <v>21</v>
      </c>
      <c r="H4072" t="str">
        <f>"7/22/2019"</f>
        <v>7/22/2019</v>
      </c>
      <c r="I4072" t="str">
        <f>"ALFREDO SENDEJO"</f>
        <v>ALFREDO SENDEJO</v>
      </c>
    </row>
    <row r="4073" spans="1:9" x14ac:dyDescent="0.25">
      <c r="A4073" s="6">
        <v>43671</v>
      </c>
      <c r="B4073" t="s">
        <v>91</v>
      </c>
      <c r="C4073">
        <v>61597</v>
      </c>
      <c r="D4073" t="s">
        <v>716</v>
      </c>
      <c r="E4073" s="7">
        <v>724</v>
      </c>
      <c r="F4073" t="s">
        <v>20</v>
      </c>
      <c r="G4073" t="s">
        <v>93</v>
      </c>
      <c r="H4073" t="str">
        <f>"CHECK"</f>
        <v>CHECK</v>
      </c>
      <c r="I4073" t="str">
        <f>""</f>
        <v/>
      </c>
    </row>
    <row r="4074" spans="1:9" x14ac:dyDescent="0.25">
      <c r="A4074" s="6">
        <v>43671</v>
      </c>
      <c r="B4074" t="s">
        <v>26</v>
      </c>
      <c r="C4074">
        <v>61598</v>
      </c>
      <c r="D4074" t="s">
        <v>739</v>
      </c>
      <c r="E4074" s="7">
        <v>299.10000000000002</v>
      </c>
      <c r="F4074" t="s">
        <v>20</v>
      </c>
      <c r="G4074" t="s">
        <v>21</v>
      </c>
      <c r="H4074" t="str">
        <f>"287291275286TX"</f>
        <v>287291275286TX</v>
      </c>
      <c r="I4074" t="str">
        <f>"FIRSTNET/AT&amp;T MOBILITY LLC"</f>
        <v>FIRSTNET/AT&amp;T MOBILITY LLC</v>
      </c>
    </row>
    <row r="4075" spans="1:9" x14ac:dyDescent="0.25">
      <c r="A4075" s="6">
        <v>43671</v>
      </c>
      <c r="B4075" t="s">
        <v>26</v>
      </c>
      <c r="C4075">
        <v>61599</v>
      </c>
      <c r="D4075" t="s">
        <v>777</v>
      </c>
      <c r="E4075" s="7">
        <v>50</v>
      </c>
      <c r="F4075" t="s">
        <v>20</v>
      </c>
      <c r="G4075" t="s">
        <v>21</v>
      </c>
      <c r="H4075" t="str">
        <f>"DEPST REFUND 7/19"</f>
        <v>DEPST REFUND 7/19</v>
      </c>
      <c r="I4075" t="str">
        <f>"REFUND"</f>
        <v>REFUND</v>
      </c>
    </row>
    <row r="4076" spans="1:9" x14ac:dyDescent="0.25">
      <c r="A4076" s="6">
        <v>43671</v>
      </c>
      <c r="B4076" t="s">
        <v>26</v>
      </c>
      <c r="C4076">
        <v>61600</v>
      </c>
      <c r="D4076" t="s">
        <v>495</v>
      </c>
      <c r="E4076" s="7">
        <v>722.79</v>
      </c>
      <c r="F4076" t="s">
        <v>20</v>
      </c>
      <c r="G4076" t="s">
        <v>21</v>
      </c>
      <c r="H4076" t="str">
        <f>"0405779-IN"</f>
        <v>0405779-IN</v>
      </c>
      <c r="I4076" t="str">
        <f>"INVESTIGATION KITS/SUPPLI"</f>
        <v>INVESTIGATION KITS/SUPPLI</v>
      </c>
    </row>
    <row r="4077" spans="1:9" x14ac:dyDescent="0.25">
      <c r="A4077" s="6">
        <v>43671</v>
      </c>
      <c r="B4077" t="s">
        <v>26</v>
      </c>
      <c r="C4077">
        <v>61601</v>
      </c>
      <c r="D4077" t="s">
        <v>205</v>
      </c>
      <c r="E4077" s="7">
        <v>811.7</v>
      </c>
      <c r="F4077" t="s">
        <v>20</v>
      </c>
      <c r="G4077" t="s">
        <v>21</v>
      </c>
      <c r="H4077" t="str">
        <f>"7/27/19 BXNG EVENT"</f>
        <v>7/27/19 BXNG EVENT</v>
      </c>
      <c r="I4077" t="str">
        <f>"SILVER EAGLE DISTRIBUTORS"</f>
        <v>SILVER EAGLE DISTRIBUTORS</v>
      </c>
    </row>
    <row r="4078" spans="1:9" x14ac:dyDescent="0.25">
      <c r="A4078" s="6">
        <v>43671</v>
      </c>
      <c r="B4078" t="s">
        <v>26</v>
      </c>
      <c r="C4078">
        <v>61602</v>
      </c>
      <c r="D4078" t="s">
        <v>81</v>
      </c>
      <c r="E4078" s="7">
        <v>201.29</v>
      </c>
      <c r="F4078" t="s">
        <v>20</v>
      </c>
      <c r="G4078" t="s">
        <v>21</v>
      </c>
      <c r="H4078" t="str">
        <f>"7/25/19 A.MARTINEZ"</f>
        <v>7/25/19 A.MARTINEZ</v>
      </c>
      <c r="I4078" t="str">
        <f>"CITY OF FLORESVILLE -PETTY CAS"</f>
        <v>CITY OF FLORESVILLE -PETTY CAS</v>
      </c>
    </row>
    <row r="4079" spans="1:9" x14ac:dyDescent="0.25">
      <c r="A4079" s="6">
        <v>43671</v>
      </c>
      <c r="B4079" t="s">
        <v>26</v>
      </c>
      <c r="C4079">
        <v>61603</v>
      </c>
      <c r="D4079" t="s">
        <v>489</v>
      </c>
      <c r="E4079" s="7">
        <v>952.6</v>
      </c>
      <c r="F4079" t="s">
        <v>20</v>
      </c>
      <c r="G4079" t="s">
        <v>21</v>
      </c>
      <c r="H4079" t="str">
        <f>"10757"</f>
        <v>10757</v>
      </c>
      <c r="I4079" t="str">
        <f>"SOUTHPOINT RENTALS  LLC"</f>
        <v>SOUTHPOINT RENTALS  LLC</v>
      </c>
    </row>
    <row r="4080" spans="1:9" x14ac:dyDescent="0.25">
      <c r="A4080" s="6">
        <v>43671</v>
      </c>
      <c r="B4080" t="s">
        <v>26</v>
      </c>
      <c r="C4080">
        <v>61604</v>
      </c>
      <c r="D4080" t="s">
        <v>639</v>
      </c>
      <c r="E4080" s="7">
        <v>1912.5</v>
      </c>
      <c r="F4080" t="s">
        <v>20</v>
      </c>
      <c r="G4080" t="s">
        <v>21</v>
      </c>
      <c r="H4080" t="str">
        <f>"121967"</f>
        <v>121967</v>
      </c>
      <c r="I4080" t="str">
        <f>"NEXT LEVEL STAFFING"</f>
        <v>NEXT LEVEL STAFFING</v>
      </c>
    </row>
    <row r="4081" spans="1:9" x14ac:dyDescent="0.25">
      <c r="A4081" s="6">
        <v>43671</v>
      </c>
      <c r="B4081" t="s">
        <v>26</v>
      </c>
      <c r="C4081">
        <v>61605</v>
      </c>
      <c r="D4081" t="s">
        <v>716</v>
      </c>
      <c r="E4081" s="7">
        <v>350</v>
      </c>
      <c r="F4081" t="s">
        <v>20</v>
      </c>
      <c r="G4081" t="s">
        <v>21</v>
      </c>
      <c r="H4081" t="str">
        <f>"07/22/2019"</f>
        <v>07/22/2019</v>
      </c>
      <c r="I4081" t="str">
        <f>"ALFREDO SENDEJO"</f>
        <v>ALFREDO SENDEJO</v>
      </c>
    </row>
    <row r="4082" spans="1:9" x14ac:dyDescent="0.25">
      <c r="A4082" s="6">
        <v>43671</v>
      </c>
      <c r="B4082" t="s">
        <v>26</v>
      </c>
      <c r="C4082">
        <v>61606</v>
      </c>
      <c r="D4082" t="s">
        <v>81</v>
      </c>
      <c r="E4082" s="7">
        <v>205.03</v>
      </c>
      <c r="F4082" t="s">
        <v>20</v>
      </c>
      <c r="G4082" t="s">
        <v>21</v>
      </c>
      <c r="H4082" t="str">
        <f>"A.MONTOYA 7/25/19"</f>
        <v>A.MONTOYA 7/25/19</v>
      </c>
      <c r="I4082" t="str">
        <f>"CITY OF FLORESVILLE -PETTY CAS"</f>
        <v>CITY OF FLORESVILLE -PETTY CAS</v>
      </c>
    </row>
    <row r="4083" spans="1:9" x14ac:dyDescent="0.25">
      <c r="A4083" s="6">
        <v>43671</v>
      </c>
      <c r="B4083" t="s">
        <v>26</v>
      </c>
      <c r="C4083">
        <v>61607</v>
      </c>
      <c r="D4083" t="s">
        <v>81</v>
      </c>
      <c r="E4083" s="7">
        <v>1800</v>
      </c>
      <c r="F4083" t="s">
        <v>20</v>
      </c>
      <c r="G4083" t="s">
        <v>21</v>
      </c>
      <c r="H4083" t="str">
        <f>"BOXING 7/27/2019"</f>
        <v>BOXING 7/27/2019</v>
      </c>
      <c r="I4083" t="str">
        <f>"CITY OF FLORESVILLE -PETTY CAS"</f>
        <v>CITY OF FLORESVILLE -PETTY CAS</v>
      </c>
    </row>
    <row r="4084" spans="1:9" x14ac:dyDescent="0.25">
      <c r="A4084" s="6">
        <v>43677</v>
      </c>
      <c r="B4084" t="s">
        <v>26</v>
      </c>
      <c r="C4084">
        <v>61624</v>
      </c>
      <c r="D4084" t="s">
        <v>51</v>
      </c>
      <c r="E4084" s="7">
        <v>327.84</v>
      </c>
      <c r="F4084" t="s">
        <v>20</v>
      </c>
      <c r="G4084" t="s">
        <v>21</v>
      </c>
      <c r="H4084" t="str">
        <f>"CLE201907308533"</f>
        <v>CLE201907308533</v>
      </c>
      <c r="I4084" t="str">
        <f>"CLEAT ONLY DUES"</f>
        <v>CLEAT ONLY DUES</v>
      </c>
    </row>
    <row r="4085" spans="1:9" x14ac:dyDescent="0.25">
      <c r="A4085" s="6">
        <v>43677</v>
      </c>
      <c r="B4085" t="s">
        <v>26</v>
      </c>
      <c r="C4085">
        <v>61624</v>
      </c>
      <c r="D4085" t="s">
        <v>51</v>
      </c>
      <c r="E4085" s="7">
        <v>327.84</v>
      </c>
      <c r="F4085" t="s">
        <v>20</v>
      </c>
      <c r="G4085" t="s">
        <v>21</v>
      </c>
      <c r="H4085" t="str">
        <f>"PDD201907308533"</f>
        <v>PDD201907308533</v>
      </c>
      <c r="I4085" t="str">
        <f>"POLICE OFFICERS ASSOC DUES"</f>
        <v>POLICE OFFICERS ASSOC DUES</v>
      </c>
    </row>
    <row r="4086" spans="1:9" x14ac:dyDescent="0.25">
      <c r="A4086" s="6">
        <v>43677</v>
      </c>
      <c r="B4086" t="s">
        <v>91</v>
      </c>
      <c r="C4086">
        <v>61625</v>
      </c>
      <c r="D4086" t="s">
        <v>90</v>
      </c>
      <c r="E4086" s="7">
        <v>101.1</v>
      </c>
      <c r="F4086" t="s">
        <v>20</v>
      </c>
      <c r="G4086" t="s">
        <v>21</v>
      </c>
      <c r="H4086" t="str">
        <f>"AFS201907308533"</f>
        <v>AFS201907308533</v>
      </c>
      <c r="I4086" t="str">
        <f>"AFLAC STD"</f>
        <v>AFLAC STD</v>
      </c>
    </row>
    <row r="4087" spans="1:9" x14ac:dyDescent="0.25">
      <c r="A4087" s="6">
        <v>43677</v>
      </c>
      <c r="B4087" t="s">
        <v>26</v>
      </c>
      <c r="C4087">
        <v>61626</v>
      </c>
      <c r="D4087" t="s">
        <v>52</v>
      </c>
      <c r="E4087" s="7">
        <v>1056.98</v>
      </c>
      <c r="F4087" t="s">
        <v>20</v>
      </c>
      <c r="G4087" t="s">
        <v>21</v>
      </c>
      <c r="H4087" t="str">
        <f>"CPS201907308533"</f>
        <v>CPS201907308533</v>
      </c>
      <c r="I4087" t="str">
        <f>"G MENDOZA 00123012032010EM5054"</f>
        <v>G MENDOZA 00123012032010EM5054</v>
      </c>
    </row>
    <row r="4088" spans="1:9" x14ac:dyDescent="0.25">
      <c r="A4088" s="6">
        <v>43677</v>
      </c>
      <c r="B4088" t="s">
        <v>26</v>
      </c>
      <c r="C4088">
        <v>61626</v>
      </c>
      <c r="D4088" t="s">
        <v>52</v>
      </c>
      <c r="E4088" s="7">
        <v>1056.98</v>
      </c>
      <c r="F4088" t="s">
        <v>20</v>
      </c>
      <c r="G4088" t="s">
        <v>21</v>
      </c>
      <c r="H4088" t="str">
        <f>"CS 201907308533"</f>
        <v>CS 201907308533</v>
      </c>
      <c r="I4088" t="str">
        <f>"CAUSE#98EM504113 PEGGY RIVAS"</f>
        <v>CAUSE#98EM504113 PEGGY RIVAS</v>
      </c>
    </row>
    <row r="4089" spans="1:9" x14ac:dyDescent="0.25">
      <c r="A4089" s="6">
        <v>43677</v>
      </c>
      <c r="B4089" t="s">
        <v>26</v>
      </c>
      <c r="C4089">
        <v>61626</v>
      </c>
      <c r="D4089" t="s">
        <v>52</v>
      </c>
      <c r="E4089" s="7">
        <v>1056.98</v>
      </c>
      <c r="F4089" t="s">
        <v>20</v>
      </c>
      <c r="G4089" t="s">
        <v>21</v>
      </c>
      <c r="H4089" t="str">
        <f>"CSJ201907308533"</f>
        <v>CSJ201907308533</v>
      </c>
      <c r="I4089" t="str">
        <f>"CAUSE# 0010185272 MARIANN GUTI"</f>
        <v>CAUSE# 0010185272 MARIANN GUTI</v>
      </c>
    </row>
    <row r="4090" spans="1:9" x14ac:dyDescent="0.25">
      <c r="A4090" s="6">
        <v>43677</v>
      </c>
      <c r="B4090" t="s">
        <v>26</v>
      </c>
      <c r="C4090">
        <v>61627</v>
      </c>
      <c r="D4090" t="s">
        <v>54</v>
      </c>
      <c r="E4090" s="7">
        <v>932.52</v>
      </c>
      <c r="F4090" t="s">
        <v>20</v>
      </c>
      <c r="G4090" t="s">
        <v>21</v>
      </c>
      <c r="H4090" t="str">
        <f>"457201907308533"</f>
        <v>457201907308533</v>
      </c>
      <c r="I4090" t="str">
        <f>"CASE # 180-60751 457B DEDUCT"</f>
        <v>CASE # 180-60751 457B DEDUCT</v>
      </c>
    </row>
    <row r="4091" spans="1:9" x14ac:dyDescent="0.25">
      <c r="A4091" s="6">
        <v>43678</v>
      </c>
      <c r="B4091" t="s">
        <v>26</v>
      </c>
      <c r="C4091">
        <v>61628</v>
      </c>
      <c r="D4091" t="s">
        <v>57</v>
      </c>
      <c r="E4091" s="7">
        <v>22955.17</v>
      </c>
      <c r="F4091" t="s">
        <v>20</v>
      </c>
      <c r="G4091" t="s">
        <v>21</v>
      </c>
      <c r="H4091" t="str">
        <f>"11617 ST LTS 7/201"</f>
        <v>11617 ST LTS 7/201</v>
      </c>
      <c r="I4091" t="str">
        <f>"F.E.L.P.S."</f>
        <v>F.E.L.P.S.</v>
      </c>
    </row>
    <row r="4092" spans="1:9" x14ac:dyDescent="0.25">
      <c r="A4092" s="6">
        <v>43678</v>
      </c>
      <c r="B4092" t="s">
        <v>26</v>
      </c>
      <c r="C4092">
        <v>61629</v>
      </c>
      <c r="D4092" t="s">
        <v>59</v>
      </c>
      <c r="E4092" s="7">
        <v>1211</v>
      </c>
      <c r="F4092" t="s">
        <v>20</v>
      </c>
      <c r="G4092" t="s">
        <v>21</v>
      </c>
      <c r="H4092" t="str">
        <f>"1017472"</f>
        <v>1017472</v>
      </c>
      <c r="I4092" t="str">
        <f>"PARKING LOT SUPPLIES"</f>
        <v>PARKING LOT SUPPLIES</v>
      </c>
    </row>
    <row r="4093" spans="1:9" x14ac:dyDescent="0.25">
      <c r="A4093" s="6">
        <v>43678</v>
      </c>
      <c r="B4093" t="s">
        <v>26</v>
      </c>
      <c r="C4093">
        <v>61630</v>
      </c>
      <c r="D4093" t="s">
        <v>273</v>
      </c>
      <c r="E4093" s="7">
        <v>2802.31</v>
      </c>
      <c r="F4093" t="s">
        <v>20</v>
      </c>
      <c r="G4093" t="s">
        <v>21</v>
      </c>
      <c r="H4093" t="str">
        <f>"5119-000089128"</f>
        <v>5119-000089128</v>
      </c>
      <c r="I4093" t="str">
        <f>"REPUBLIC SERVICES TESSMAN ROAD"</f>
        <v>REPUBLIC SERVICES TESSMAN ROAD</v>
      </c>
    </row>
    <row r="4094" spans="1:9" x14ac:dyDescent="0.25">
      <c r="A4094" s="6">
        <v>43678</v>
      </c>
      <c r="B4094" t="s">
        <v>26</v>
      </c>
      <c r="C4094">
        <v>61631</v>
      </c>
      <c r="D4094" t="s">
        <v>107</v>
      </c>
      <c r="E4094" s="7">
        <v>247.85</v>
      </c>
      <c r="F4094" t="s">
        <v>20</v>
      </c>
      <c r="G4094" t="s">
        <v>21</v>
      </c>
      <c r="H4094" t="str">
        <f>"1166960-20190630"</f>
        <v>1166960-20190630</v>
      </c>
      <c r="I4094" t="str">
        <f>"LEXISNEXIS RISK SOLUTIONS"</f>
        <v>LEXISNEXIS RISK SOLUTIONS</v>
      </c>
    </row>
    <row r="4095" spans="1:9" x14ac:dyDescent="0.25">
      <c r="A4095" s="6">
        <v>43678</v>
      </c>
      <c r="B4095" t="s">
        <v>26</v>
      </c>
      <c r="C4095">
        <v>61632</v>
      </c>
      <c r="D4095" t="s">
        <v>778</v>
      </c>
      <c r="E4095" s="7">
        <v>50</v>
      </c>
      <c r="F4095" t="s">
        <v>20</v>
      </c>
      <c r="G4095" t="s">
        <v>21</v>
      </c>
      <c r="H4095" t="str">
        <f>"DEPST REFUND 7/21"</f>
        <v>DEPST REFUND 7/21</v>
      </c>
      <c r="I4095" t="str">
        <f>"REFUND"</f>
        <v>REFUND</v>
      </c>
    </row>
    <row r="4096" spans="1:9" x14ac:dyDescent="0.25">
      <c r="A4096" s="6">
        <v>43678</v>
      </c>
      <c r="B4096" t="s">
        <v>26</v>
      </c>
      <c r="C4096">
        <v>61633</v>
      </c>
      <c r="D4096" t="s">
        <v>0</v>
      </c>
      <c r="E4096" s="7">
        <v>3340.14</v>
      </c>
      <c r="F4096" t="s">
        <v>20</v>
      </c>
      <c r="G4096" t="s">
        <v>21</v>
      </c>
      <c r="H4096" t="str">
        <f>"16992887 071819"</f>
        <v>16992887 071819</v>
      </c>
      <c r="I4096" t="str">
        <f>"CITY OF FLORESVILLE"</f>
        <v>CITY OF FLORESVILLE</v>
      </c>
    </row>
    <row r="4097" spans="1:9" x14ac:dyDescent="0.25">
      <c r="A4097" s="6">
        <v>43678</v>
      </c>
      <c r="B4097" t="s">
        <v>26</v>
      </c>
      <c r="C4097">
        <v>61634</v>
      </c>
      <c r="D4097" t="s">
        <v>184</v>
      </c>
      <c r="E4097" s="7">
        <v>1010</v>
      </c>
      <c r="F4097" t="s">
        <v>20</v>
      </c>
      <c r="G4097" t="s">
        <v>21</v>
      </c>
      <c r="H4097" t="str">
        <f>"1053-037"</f>
        <v>1053-037</v>
      </c>
      <c r="I4097" t="str">
        <f>"POLLUTION CONTROL SERVICES"</f>
        <v>POLLUTION CONTROL SERVICES</v>
      </c>
    </row>
    <row r="4098" spans="1:9" x14ac:dyDescent="0.25">
      <c r="A4098" s="6">
        <v>43678</v>
      </c>
      <c r="B4098" t="s">
        <v>26</v>
      </c>
      <c r="C4098">
        <v>61634</v>
      </c>
      <c r="D4098" t="s">
        <v>184</v>
      </c>
      <c r="E4098" s="7">
        <v>1010</v>
      </c>
      <c r="F4098" t="s">
        <v>20</v>
      </c>
      <c r="G4098" t="s">
        <v>21</v>
      </c>
      <c r="H4098" t="str">
        <f>"1053-038"</f>
        <v>1053-038</v>
      </c>
      <c r="I4098" t="str">
        <f>"POLLUTION CONTROL SERVICES"</f>
        <v>POLLUTION CONTROL SERVICES</v>
      </c>
    </row>
    <row r="4099" spans="1:9" x14ac:dyDescent="0.25">
      <c r="A4099" s="6">
        <v>43678</v>
      </c>
      <c r="B4099" t="s">
        <v>26</v>
      </c>
      <c r="C4099">
        <v>61635</v>
      </c>
      <c r="D4099" t="s">
        <v>122</v>
      </c>
      <c r="E4099" s="7">
        <v>55</v>
      </c>
      <c r="F4099" t="s">
        <v>20</v>
      </c>
      <c r="G4099" t="s">
        <v>21</v>
      </c>
      <c r="H4099" t="str">
        <f>"890471"</f>
        <v>890471</v>
      </c>
      <c r="I4099" t="str">
        <f>"TIRES"</f>
        <v>TIRES</v>
      </c>
    </row>
    <row r="4100" spans="1:9" x14ac:dyDescent="0.25">
      <c r="A4100" s="6">
        <v>43678</v>
      </c>
      <c r="B4100" t="s">
        <v>26</v>
      </c>
      <c r="C4100">
        <v>61635</v>
      </c>
      <c r="D4100" t="s">
        <v>122</v>
      </c>
      <c r="E4100" s="7">
        <v>55</v>
      </c>
      <c r="F4100" t="s">
        <v>20</v>
      </c>
      <c r="G4100" t="s">
        <v>21</v>
      </c>
      <c r="H4100" t="str">
        <f>"890495"</f>
        <v>890495</v>
      </c>
      <c r="I4100" t="str">
        <f>"TIRES"</f>
        <v>TIRES</v>
      </c>
    </row>
    <row r="4101" spans="1:9" x14ac:dyDescent="0.25">
      <c r="A4101" s="6">
        <v>43678</v>
      </c>
      <c r="B4101" t="s">
        <v>26</v>
      </c>
      <c r="C4101">
        <v>61636</v>
      </c>
      <c r="D4101" t="s">
        <v>304</v>
      </c>
      <c r="E4101" s="7">
        <v>5.54</v>
      </c>
      <c r="F4101" t="s">
        <v>20</v>
      </c>
      <c r="G4101" t="s">
        <v>21</v>
      </c>
      <c r="H4101" t="str">
        <f>"500721299 7/2019"</f>
        <v>500721299 7/2019</v>
      </c>
      <c r="I4101" t="str">
        <f>"ASCAP"</f>
        <v>ASCAP</v>
      </c>
    </row>
    <row r="4102" spans="1:9" x14ac:dyDescent="0.25">
      <c r="A4102" s="6">
        <v>43678</v>
      </c>
      <c r="B4102" t="s">
        <v>26</v>
      </c>
      <c r="C4102">
        <v>61637</v>
      </c>
      <c r="D4102" t="s">
        <v>156</v>
      </c>
      <c r="E4102" s="7">
        <v>705.6</v>
      </c>
      <c r="F4102" t="s">
        <v>20</v>
      </c>
      <c r="G4102" t="s">
        <v>21</v>
      </c>
      <c r="H4102" t="str">
        <f>"7/31/2019"</f>
        <v>7/31/2019</v>
      </c>
      <c r="I4102" t="str">
        <f>"GLI DISTRIBUTING"</f>
        <v>GLI DISTRIBUTING</v>
      </c>
    </row>
    <row r="4103" spans="1:9" x14ac:dyDescent="0.25">
      <c r="A4103" s="6">
        <v>43678</v>
      </c>
      <c r="B4103" t="s">
        <v>26</v>
      </c>
      <c r="C4103">
        <v>61638</v>
      </c>
      <c r="D4103" t="s">
        <v>132</v>
      </c>
      <c r="E4103" s="7">
        <v>72.03</v>
      </c>
      <c r="F4103" t="s">
        <v>20</v>
      </c>
      <c r="G4103" t="s">
        <v>21</v>
      </c>
      <c r="H4103" t="str">
        <f>"16992887 071819"</f>
        <v>16992887 071819</v>
      </c>
      <c r="I4103" t="str">
        <f>"SPARKLETTS &amp; SIERRA SPRINGS"</f>
        <v>SPARKLETTS &amp; SIERRA SPRINGS</v>
      </c>
    </row>
    <row r="4104" spans="1:9" x14ac:dyDescent="0.25">
      <c r="A4104" s="6">
        <v>43678</v>
      </c>
      <c r="B4104" t="s">
        <v>26</v>
      </c>
      <c r="C4104">
        <v>61639</v>
      </c>
      <c r="D4104" t="s">
        <v>200</v>
      </c>
      <c r="E4104" s="7">
        <v>10837.5</v>
      </c>
      <c r="F4104" t="s">
        <v>20</v>
      </c>
      <c r="G4104" t="s">
        <v>21</v>
      </c>
      <c r="H4104" t="str">
        <f>"116"</f>
        <v>116</v>
      </c>
      <c r="I4104" t="str">
        <f>"MARIO AVILES"</f>
        <v>MARIO AVILES</v>
      </c>
    </row>
    <row r="4105" spans="1:9" x14ac:dyDescent="0.25">
      <c r="A4105" s="6">
        <v>43678</v>
      </c>
      <c r="B4105" t="s">
        <v>26</v>
      </c>
      <c r="C4105">
        <v>61640</v>
      </c>
      <c r="D4105" t="s">
        <v>345</v>
      </c>
      <c r="E4105" s="7">
        <v>242</v>
      </c>
      <c r="F4105" t="s">
        <v>20</v>
      </c>
      <c r="G4105" t="s">
        <v>21</v>
      </c>
      <c r="H4105" t="str">
        <f>"7/29/2019"</f>
        <v>7/29/2019</v>
      </c>
      <c r="I4105" t="str">
        <f>"MICHAEL ISAAC MARTINEZ"</f>
        <v>MICHAEL ISAAC MARTINEZ</v>
      </c>
    </row>
    <row r="4106" spans="1:9" x14ac:dyDescent="0.25">
      <c r="A4106" s="6">
        <v>43678</v>
      </c>
      <c r="B4106" t="s">
        <v>26</v>
      </c>
      <c r="C4106">
        <v>61641</v>
      </c>
      <c r="D4106" t="s">
        <v>452</v>
      </c>
      <c r="E4106" s="7">
        <v>75</v>
      </c>
      <c r="F4106" t="s">
        <v>20</v>
      </c>
      <c r="G4106" t="s">
        <v>21</v>
      </c>
      <c r="H4106" t="str">
        <f>"7/27/19"</f>
        <v>7/27/19</v>
      </c>
      <c r="I4106" t="str">
        <f>"DESIREE PEREZ"</f>
        <v>DESIREE PEREZ</v>
      </c>
    </row>
    <row r="4107" spans="1:9" x14ac:dyDescent="0.25">
      <c r="A4107" s="6">
        <v>43678</v>
      </c>
      <c r="B4107" t="s">
        <v>26</v>
      </c>
      <c r="C4107">
        <v>61642</v>
      </c>
      <c r="D4107" t="s">
        <v>639</v>
      </c>
      <c r="E4107" s="7">
        <v>428.13</v>
      </c>
      <c r="F4107" t="s">
        <v>20</v>
      </c>
      <c r="G4107" t="s">
        <v>21</v>
      </c>
      <c r="H4107" t="str">
        <f>"1207554"</f>
        <v>1207554</v>
      </c>
      <c r="I4107" t="str">
        <f>"NEXT LEVEL STAFFING"</f>
        <v>NEXT LEVEL STAFFING</v>
      </c>
    </row>
    <row r="4108" spans="1:9" x14ac:dyDescent="0.25">
      <c r="A4108" s="6">
        <v>43678</v>
      </c>
      <c r="B4108" t="s">
        <v>26</v>
      </c>
      <c r="C4108">
        <v>61643</v>
      </c>
      <c r="D4108" t="s">
        <v>671</v>
      </c>
      <c r="E4108" s="7">
        <v>75</v>
      </c>
      <c r="F4108" t="s">
        <v>20</v>
      </c>
      <c r="G4108" t="s">
        <v>21</v>
      </c>
      <c r="H4108" t="str">
        <f>"7/27/19"</f>
        <v>7/27/19</v>
      </c>
      <c r="I4108" t="str">
        <f>"AIMEE LEE MARTINEZ"</f>
        <v>AIMEE LEE MARTINEZ</v>
      </c>
    </row>
    <row r="4109" spans="1:9" x14ac:dyDescent="0.25">
      <c r="A4109" s="6">
        <v>43678</v>
      </c>
      <c r="B4109" t="s">
        <v>26</v>
      </c>
      <c r="C4109">
        <v>61644</v>
      </c>
      <c r="D4109" t="s">
        <v>696</v>
      </c>
      <c r="E4109" s="7">
        <v>75</v>
      </c>
      <c r="F4109" t="s">
        <v>20</v>
      </c>
      <c r="G4109" t="s">
        <v>21</v>
      </c>
      <c r="H4109" t="str">
        <f>"7/27/2019"</f>
        <v>7/27/2019</v>
      </c>
      <c r="I4109" t="str">
        <f>"ANGEL G. ROSAS"</f>
        <v>ANGEL G. ROSAS</v>
      </c>
    </row>
    <row r="4110" spans="1:9" x14ac:dyDescent="0.25">
      <c r="A4110" s="6">
        <v>43678</v>
      </c>
      <c r="B4110" t="s">
        <v>26</v>
      </c>
      <c r="C4110">
        <v>61645</v>
      </c>
      <c r="D4110" t="s">
        <v>698</v>
      </c>
      <c r="E4110" s="7">
        <v>75</v>
      </c>
      <c r="F4110" t="s">
        <v>20</v>
      </c>
      <c r="G4110" t="s">
        <v>21</v>
      </c>
      <c r="H4110" t="str">
        <f>"7/27/19"</f>
        <v>7/27/19</v>
      </c>
      <c r="I4110" t="str">
        <f>"TRACY ORTIZ"</f>
        <v>TRACY ORTIZ</v>
      </c>
    </row>
    <row r="4111" spans="1:9" x14ac:dyDescent="0.25">
      <c r="A4111" s="6">
        <v>43678</v>
      </c>
      <c r="B4111" t="s">
        <v>26</v>
      </c>
      <c r="C4111">
        <v>61646</v>
      </c>
      <c r="D4111" t="s">
        <v>716</v>
      </c>
      <c r="E4111" s="7">
        <v>370</v>
      </c>
      <c r="F4111" t="s">
        <v>20</v>
      </c>
      <c r="G4111" t="s">
        <v>21</v>
      </c>
      <c r="H4111" t="str">
        <f>"7/29/19"</f>
        <v>7/29/19</v>
      </c>
      <c r="I4111" t="str">
        <f>"ALFREDO SENDEJO"</f>
        <v>ALFREDO SENDEJO</v>
      </c>
    </row>
    <row r="4112" spans="1:9" x14ac:dyDescent="0.25">
      <c r="A4112" s="6">
        <v>43678</v>
      </c>
      <c r="B4112" t="s">
        <v>26</v>
      </c>
      <c r="C4112">
        <v>61647</v>
      </c>
      <c r="D4112" t="s">
        <v>752</v>
      </c>
      <c r="E4112" s="7">
        <v>75</v>
      </c>
      <c r="F4112" t="s">
        <v>20</v>
      </c>
      <c r="G4112" t="s">
        <v>21</v>
      </c>
      <c r="H4112" t="str">
        <f>"7/27/19"</f>
        <v>7/27/19</v>
      </c>
      <c r="I4112" t="str">
        <f>"BLANCA PEREZ"</f>
        <v>BLANCA PEREZ</v>
      </c>
    </row>
    <row r="4113" spans="1:9" x14ac:dyDescent="0.25">
      <c r="A4113" s="6">
        <v>43678</v>
      </c>
      <c r="B4113" t="s">
        <v>26</v>
      </c>
      <c r="C4113">
        <v>61648</v>
      </c>
      <c r="D4113" t="s">
        <v>779</v>
      </c>
      <c r="E4113" s="7">
        <v>75</v>
      </c>
      <c r="F4113" t="s">
        <v>20</v>
      </c>
      <c r="G4113" t="s">
        <v>21</v>
      </c>
      <c r="H4113" t="str">
        <f>"7/27/2019"</f>
        <v>7/27/2019</v>
      </c>
      <c r="I4113" t="str">
        <f>"ARTURO CORONAL"</f>
        <v>ARTURO CORONAL</v>
      </c>
    </row>
    <row r="4114" spans="1:9" x14ac:dyDescent="0.25">
      <c r="A4114" s="6">
        <v>43678</v>
      </c>
      <c r="B4114" t="s">
        <v>26</v>
      </c>
      <c r="C4114">
        <v>61649</v>
      </c>
      <c r="D4114" t="s">
        <v>780</v>
      </c>
      <c r="E4114" s="7">
        <v>75</v>
      </c>
      <c r="F4114" t="s">
        <v>20</v>
      </c>
      <c r="G4114" t="s">
        <v>21</v>
      </c>
      <c r="H4114" t="str">
        <f>"7/27/19"</f>
        <v>7/27/19</v>
      </c>
      <c r="I4114" t="str">
        <f>"NORBERT CHAVEZ JR"</f>
        <v>NORBERT CHAVEZ JR</v>
      </c>
    </row>
    <row r="4115" spans="1:9" x14ac:dyDescent="0.25">
      <c r="A4115" s="6">
        <v>43678</v>
      </c>
      <c r="B4115" t="s">
        <v>26</v>
      </c>
      <c r="C4115">
        <v>61650</v>
      </c>
      <c r="D4115" t="s">
        <v>781</v>
      </c>
      <c r="E4115" s="7">
        <v>75</v>
      </c>
      <c r="F4115" t="s">
        <v>20</v>
      </c>
      <c r="G4115" t="s">
        <v>21</v>
      </c>
      <c r="H4115" t="str">
        <f>"7/27/19"</f>
        <v>7/27/19</v>
      </c>
      <c r="I4115" t="str">
        <f>"ASHLEY MARTINEZ"</f>
        <v>ASHLEY MARTINEZ</v>
      </c>
    </row>
    <row r="4116" spans="1:9" x14ac:dyDescent="0.25">
      <c r="A4116" s="6">
        <v>43678</v>
      </c>
      <c r="B4116" t="s">
        <v>91</v>
      </c>
      <c r="C4116">
        <v>61651</v>
      </c>
      <c r="D4116" t="s">
        <v>782</v>
      </c>
      <c r="E4116" s="7">
        <v>35</v>
      </c>
      <c r="F4116" t="s">
        <v>20</v>
      </c>
      <c r="G4116" t="s">
        <v>21</v>
      </c>
      <c r="H4116" t="str">
        <f>"7/27/2019"</f>
        <v>7/27/2019</v>
      </c>
      <c r="I4116" t="str">
        <f>"ALBERTO MALDONADO SAENZ III"</f>
        <v>ALBERTO MALDONADO SAENZ III</v>
      </c>
    </row>
    <row r="4117" spans="1:9" x14ac:dyDescent="0.25">
      <c r="A4117" s="6">
        <v>43678</v>
      </c>
      <c r="B4117" t="s">
        <v>91</v>
      </c>
      <c r="C4117">
        <v>61651</v>
      </c>
      <c r="D4117" t="s">
        <v>782</v>
      </c>
      <c r="E4117" s="7">
        <v>35</v>
      </c>
      <c r="F4117" t="s">
        <v>20</v>
      </c>
      <c r="G4117" t="s">
        <v>93</v>
      </c>
      <c r="H4117" t="str">
        <f>"CHECK"</f>
        <v>CHECK</v>
      </c>
      <c r="I4117" t="str">
        <f>""</f>
        <v/>
      </c>
    </row>
    <row r="4118" spans="1:9" x14ac:dyDescent="0.25">
      <c r="A4118" s="6">
        <v>43678</v>
      </c>
      <c r="B4118" t="s">
        <v>26</v>
      </c>
      <c r="C4118">
        <v>61652</v>
      </c>
      <c r="D4118" t="s">
        <v>783</v>
      </c>
      <c r="E4118" s="7">
        <v>75</v>
      </c>
      <c r="F4118" t="s">
        <v>20</v>
      </c>
      <c r="G4118" t="s">
        <v>21</v>
      </c>
      <c r="H4118" t="str">
        <f>"7/27/19"</f>
        <v>7/27/19</v>
      </c>
      <c r="I4118" t="str">
        <f>"MICHAEL ASCENCIO"</f>
        <v>MICHAEL ASCENCIO</v>
      </c>
    </row>
    <row r="4119" spans="1:9" x14ac:dyDescent="0.25">
      <c r="A4119" s="6">
        <v>43678</v>
      </c>
      <c r="B4119" t="s">
        <v>26</v>
      </c>
      <c r="C4119">
        <v>61653</v>
      </c>
      <c r="D4119" t="s">
        <v>784</v>
      </c>
      <c r="E4119" s="7">
        <v>72</v>
      </c>
      <c r="F4119" t="s">
        <v>20</v>
      </c>
      <c r="G4119" t="s">
        <v>21</v>
      </c>
      <c r="H4119" t="str">
        <f>"7/27/19"</f>
        <v>7/27/19</v>
      </c>
      <c r="I4119" t="str">
        <f>"TARA M LEE"</f>
        <v>TARA M LEE</v>
      </c>
    </row>
    <row r="4120" spans="1:9" x14ac:dyDescent="0.25">
      <c r="A4120" s="6">
        <v>43678</v>
      </c>
      <c r="B4120" t="s">
        <v>26</v>
      </c>
      <c r="C4120">
        <v>61654</v>
      </c>
      <c r="D4120" t="s">
        <v>785</v>
      </c>
      <c r="E4120" s="7">
        <v>75</v>
      </c>
      <c r="F4120" t="s">
        <v>20</v>
      </c>
      <c r="G4120" t="s">
        <v>21</v>
      </c>
      <c r="H4120" t="str">
        <f>"7/27/19"</f>
        <v>7/27/19</v>
      </c>
      <c r="I4120" t="str">
        <f>"RAECHEL THOMAS"</f>
        <v>RAECHEL THOMAS</v>
      </c>
    </row>
    <row r="4121" spans="1:9" x14ac:dyDescent="0.25">
      <c r="A4121" s="6">
        <v>43678</v>
      </c>
      <c r="B4121" t="s">
        <v>26</v>
      </c>
      <c r="C4121">
        <v>61655</v>
      </c>
      <c r="D4121" t="s">
        <v>637</v>
      </c>
      <c r="E4121" s="7">
        <v>75</v>
      </c>
      <c r="F4121" t="s">
        <v>20</v>
      </c>
      <c r="G4121" t="s">
        <v>21</v>
      </c>
      <c r="H4121" t="str">
        <f>"8/2019-COUNCIL"</f>
        <v>8/2019-COUNCIL</v>
      </c>
      <c r="I4121" t="str">
        <f>"SALARIES"</f>
        <v>SALARIES</v>
      </c>
    </row>
    <row r="4122" spans="1:9" x14ac:dyDescent="0.25">
      <c r="A4122" s="6">
        <v>43678</v>
      </c>
      <c r="B4122" t="s">
        <v>26</v>
      </c>
      <c r="C4122">
        <v>61656</v>
      </c>
      <c r="D4122" t="s">
        <v>223</v>
      </c>
      <c r="E4122" s="7">
        <v>75</v>
      </c>
      <c r="F4122" t="s">
        <v>20</v>
      </c>
      <c r="G4122" t="s">
        <v>21</v>
      </c>
      <c r="H4122" t="str">
        <f>"8/2019-COUNCIL"</f>
        <v>8/2019-COUNCIL</v>
      </c>
      <c r="I4122" t="str">
        <f>""</f>
        <v/>
      </c>
    </row>
    <row r="4123" spans="1:9" x14ac:dyDescent="0.25">
      <c r="A4123" s="6">
        <v>43678</v>
      </c>
      <c r="B4123" t="s">
        <v>26</v>
      </c>
      <c r="C4123">
        <v>61657</v>
      </c>
      <c r="D4123" t="s">
        <v>36</v>
      </c>
      <c r="E4123" s="7">
        <v>75</v>
      </c>
      <c r="F4123" t="s">
        <v>20</v>
      </c>
      <c r="G4123" t="s">
        <v>21</v>
      </c>
      <c r="H4123" t="str">
        <f>"8/2019-COUNCIL"</f>
        <v>8/2019-COUNCIL</v>
      </c>
      <c r="I4123" t="str">
        <f>""</f>
        <v/>
      </c>
    </row>
    <row r="4124" spans="1:9" x14ac:dyDescent="0.25">
      <c r="A4124" s="6">
        <v>43678</v>
      </c>
      <c r="B4124" t="s">
        <v>91</v>
      </c>
      <c r="C4124">
        <v>61658</v>
      </c>
      <c r="D4124" t="s">
        <v>37</v>
      </c>
      <c r="E4124" s="7">
        <v>75</v>
      </c>
      <c r="F4124" t="s">
        <v>20</v>
      </c>
      <c r="G4124" t="s">
        <v>21</v>
      </c>
      <c r="H4124" t="str">
        <f>"8/2019-COUNCIL"</f>
        <v>8/2019-COUNCIL</v>
      </c>
      <c r="I4124" t="str">
        <f>""</f>
        <v/>
      </c>
    </row>
    <row r="4125" spans="1:9" x14ac:dyDescent="0.25">
      <c r="A4125" s="6">
        <v>43678</v>
      </c>
      <c r="B4125" t="s">
        <v>91</v>
      </c>
      <c r="C4125">
        <v>61658</v>
      </c>
      <c r="D4125" t="s">
        <v>37</v>
      </c>
      <c r="E4125" s="7">
        <v>75</v>
      </c>
      <c r="F4125" t="s">
        <v>20</v>
      </c>
      <c r="G4125" t="s">
        <v>93</v>
      </c>
      <c r="H4125" t="str">
        <f>"CHECK"</f>
        <v>CHECK</v>
      </c>
      <c r="I4125" t="str">
        <f>""</f>
        <v/>
      </c>
    </row>
    <row r="4126" spans="1:9" x14ac:dyDescent="0.25">
      <c r="A4126" s="6">
        <v>43678</v>
      </c>
      <c r="B4126" t="s">
        <v>26</v>
      </c>
      <c r="C4126">
        <v>61659</v>
      </c>
      <c r="D4126" t="s">
        <v>38</v>
      </c>
      <c r="E4126" s="7">
        <v>100</v>
      </c>
      <c r="F4126" t="s">
        <v>20</v>
      </c>
      <c r="G4126" t="s">
        <v>21</v>
      </c>
      <c r="H4126" t="str">
        <f>"8/2019-MAYOR"</f>
        <v>8/2019-MAYOR</v>
      </c>
      <c r="I4126" t="str">
        <f>""</f>
        <v/>
      </c>
    </row>
    <row r="4127" spans="1:9" x14ac:dyDescent="0.25">
      <c r="A4127" s="6">
        <v>43678</v>
      </c>
      <c r="B4127" t="s">
        <v>91</v>
      </c>
      <c r="C4127">
        <v>61660</v>
      </c>
      <c r="D4127" t="s">
        <v>200</v>
      </c>
      <c r="E4127" s="7">
        <v>5000</v>
      </c>
      <c r="F4127" t="s">
        <v>20</v>
      </c>
      <c r="G4127" t="s">
        <v>21</v>
      </c>
      <c r="H4127" t="str">
        <f>"134"</f>
        <v>134</v>
      </c>
      <c r="I4127" t="str">
        <f>"MARIO AVILES"</f>
        <v>MARIO AVILES</v>
      </c>
    </row>
    <row r="4128" spans="1:9" x14ac:dyDescent="0.25">
      <c r="A4128" s="6">
        <v>43678</v>
      </c>
      <c r="B4128" t="s">
        <v>91</v>
      </c>
      <c r="C4128">
        <v>61660</v>
      </c>
      <c r="D4128" t="s">
        <v>200</v>
      </c>
      <c r="E4128" s="7">
        <v>5000</v>
      </c>
      <c r="F4128" t="s">
        <v>20</v>
      </c>
      <c r="G4128" t="s">
        <v>93</v>
      </c>
      <c r="H4128" t="str">
        <f>"CHECK"</f>
        <v>CHECK</v>
      </c>
      <c r="I4128" t="str">
        <f>""</f>
        <v/>
      </c>
    </row>
    <row r="4129" spans="1:9" x14ac:dyDescent="0.25">
      <c r="A4129" s="6">
        <v>43678</v>
      </c>
      <c r="B4129" t="s">
        <v>26</v>
      </c>
      <c r="C4129">
        <v>61661</v>
      </c>
      <c r="D4129" t="s">
        <v>558</v>
      </c>
      <c r="E4129" s="7">
        <v>75</v>
      </c>
      <c r="F4129" t="s">
        <v>20</v>
      </c>
      <c r="G4129" t="s">
        <v>21</v>
      </c>
      <c r="H4129" t="str">
        <f>"8/2019-COUNCIL"</f>
        <v>8/2019-COUNCIL</v>
      </c>
      <c r="I4129" t="str">
        <f>"SALARIES"</f>
        <v>SALARIES</v>
      </c>
    </row>
    <row r="4130" spans="1:9" x14ac:dyDescent="0.25">
      <c r="A4130" s="6">
        <v>43678</v>
      </c>
      <c r="B4130" t="s">
        <v>26</v>
      </c>
      <c r="C4130">
        <v>61662</v>
      </c>
      <c r="D4130" t="s">
        <v>205</v>
      </c>
      <c r="E4130" s="7">
        <v>845.6</v>
      </c>
      <c r="F4130" t="s">
        <v>20</v>
      </c>
      <c r="G4130" t="s">
        <v>21</v>
      </c>
      <c r="H4130" t="str">
        <f>"8/1/2019"</f>
        <v>8/1/2019</v>
      </c>
      <c r="I4130" t="str">
        <f>"SILVER EAGLE DISTRIBUTORS"</f>
        <v>SILVER EAGLE DISTRIBUTORS</v>
      </c>
    </row>
    <row r="4131" spans="1:9" x14ac:dyDescent="0.25">
      <c r="A4131" s="6">
        <v>43683</v>
      </c>
      <c r="B4131" t="s">
        <v>91</v>
      </c>
      <c r="C4131">
        <v>61663</v>
      </c>
      <c r="D4131" t="s">
        <v>90</v>
      </c>
      <c r="E4131" s="7">
        <v>769.6</v>
      </c>
      <c r="F4131" t="s">
        <v>20</v>
      </c>
      <c r="G4131" t="s">
        <v>21</v>
      </c>
      <c r="H4131" t="str">
        <f>"ACA201907308533"</f>
        <v>ACA201907308533</v>
      </c>
      <c r="I4131" t="str">
        <f>"AFLAC INSURANCE"</f>
        <v>AFLAC INSURANCE</v>
      </c>
    </row>
    <row r="4132" spans="1:9" x14ac:dyDescent="0.25">
      <c r="A4132" s="6">
        <v>43683</v>
      </c>
      <c r="B4132" t="s">
        <v>91</v>
      </c>
      <c r="C4132">
        <v>61663</v>
      </c>
      <c r="D4132" t="s">
        <v>90</v>
      </c>
      <c r="E4132" s="7">
        <v>769.6</v>
      </c>
      <c r="F4132" t="s">
        <v>20</v>
      </c>
      <c r="G4132" t="s">
        <v>21</v>
      </c>
      <c r="H4132" t="str">
        <f>"AD2201907308533"</f>
        <v>AD2201907308533</v>
      </c>
      <c r="I4132" t="str">
        <f>"AFLAC INSURANCE"</f>
        <v>AFLAC INSURANCE</v>
      </c>
    </row>
    <row r="4133" spans="1:9" x14ac:dyDescent="0.25">
      <c r="A4133" s="6">
        <v>43683</v>
      </c>
      <c r="B4133" t="s">
        <v>91</v>
      </c>
      <c r="C4133">
        <v>61663</v>
      </c>
      <c r="D4133" t="s">
        <v>90</v>
      </c>
      <c r="E4133" s="7">
        <v>769.6</v>
      </c>
      <c r="F4133" t="s">
        <v>20</v>
      </c>
      <c r="G4133" t="s">
        <v>21</v>
      </c>
      <c r="H4133" t="str">
        <f>"ADR201907308533"</f>
        <v>ADR201907308533</v>
      </c>
      <c r="I4133" t="str">
        <f>"INSURANCE"</f>
        <v>INSURANCE</v>
      </c>
    </row>
    <row r="4134" spans="1:9" x14ac:dyDescent="0.25">
      <c r="A4134" s="6">
        <v>43683</v>
      </c>
      <c r="B4134" t="s">
        <v>91</v>
      </c>
      <c r="C4134">
        <v>61663</v>
      </c>
      <c r="D4134" t="s">
        <v>90</v>
      </c>
      <c r="E4134" s="7">
        <v>769.6</v>
      </c>
      <c r="F4134" t="s">
        <v>20</v>
      </c>
      <c r="G4134" t="s">
        <v>21</v>
      </c>
      <c r="H4134" t="str">
        <f>"AF1201907308533"</f>
        <v>AF1201907308533</v>
      </c>
      <c r="I4134" t="str">
        <f>"AFLAC INSURANCE"</f>
        <v>AFLAC INSURANCE</v>
      </c>
    </row>
    <row r="4135" spans="1:9" x14ac:dyDescent="0.25">
      <c r="A4135" s="6">
        <v>43683</v>
      </c>
      <c r="B4135" t="s">
        <v>91</v>
      </c>
      <c r="C4135">
        <v>61663</v>
      </c>
      <c r="D4135" t="s">
        <v>90</v>
      </c>
      <c r="E4135" s="7">
        <v>769.6</v>
      </c>
      <c r="F4135" t="s">
        <v>20</v>
      </c>
      <c r="G4135" t="s">
        <v>21</v>
      </c>
      <c r="H4135" t="str">
        <f>"ASP201907308533"</f>
        <v>ASP201907308533</v>
      </c>
      <c r="I4135" t="str">
        <f>"AFLAC INSURANCE"</f>
        <v>AFLAC INSURANCE</v>
      </c>
    </row>
    <row r="4136" spans="1:9" x14ac:dyDescent="0.25">
      <c r="A4136" s="6">
        <v>43683</v>
      </c>
      <c r="B4136" t="s">
        <v>91</v>
      </c>
      <c r="C4136">
        <v>61663</v>
      </c>
      <c r="D4136" t="s">
        <v>90</v>
      </c>
      <c r="E4136" s="7">
        <v>769.6</v>
      </c>
      <c r="F4136" t="s">
        <v>20</v>
      </c>
      <c r="G4136" t="s">
        <v>21</v>
      </c>
      <c r="H4136" t="str">
        <f>"HCO201907308533"</f>
        <v>HCO201907308533</v>
      </c>
      <c r="I4136" t="str">
        <f>"AFLAC INSURANCE"</f>
        <v>AFLAC INSURANCE</v>
      </c>
    </row>
    <row r="4137" spans="1:9" x14ac:dyDescent="0.25">
      <c r="A4137" s="6">
        <v>43683</v>
      </c>
      <c r="B4137" t="s">
        <v>91</v>
      </c>
      <c r="C4137">
        <v>61663</v>
      </c>
      <c r="D4137" t="s">
        <v>90</v>
      </c>
      <c r="E4137" s="7">
        <v>769.6</v>
      </c>
      <c r="F4137" t="s">
        <v>20</v>
      </c>
      <c r="G4137" t="s">
        <v>93</v>
      </c>
      <c r="H4137" t="str">
        <f>"CHECK"</f>
        <v>CHECK</v>
      </c>
      <c r="I4137" t="str">
        <f>""</f>
        <v/>
      </c>
    </row>
    <row r="4138" spans="1:9" x14ac:dyDescent="0.25">
      <c r="A4138" s="6">
        <v>43683</v>
      </c>
      <c r="B4138" t="s">
        <v>91</v>
      </c>
      <c r="C4138">
        <v>61665</v>
      </c>
      <c r="D4138" t="s">
        <v>95</v>
      </c>
      <c r="E4138" s="7">
        <v>29.99</v>
      </c>
      <c r="F4138" t="s">
        <v>20</v>
      </c>
      <c r="G4138" t="s">
        <v>21</v>
      </c>
      <c r="H4138" t="str">
        <f>"LEA201907308533"</f>
        <v>LEA201907308533</v>
      </c>
      <c r="I4138" t="str">
        <f>"INSURANCE"</f>
        <v>INSURANCE</v>
      </c>
    </row>
    <row r="4139" spans="1:9" x14ac:dyDescent="0.25">
      <c r="A4139" s="6">
        <v>43683</v>
      </c>
      <c r="B4139" t="s">
        <v>91</v>
      </c>
      <c r="C4139">
        <v>61665</v>
      </c>
      <c r="D4139" t="s">
        <v>95</v>
      </c>
      <c r="E4139" s="7">
        <v>29.99</v>
      </c>
      <c r="F4139" t="s">
        <v>20</v>
      </c>
      <c r="G4139" t="s">
        <v>93</v>
      </c>
      <c r="H4139" t="str">
        <f>"CHECK"</f>
        <v>CHECK</v>
      </c>
      <c r="I4139" t="str">
        <f>""</f>
        <v/>
      </c>
    </row>
    <row r="4140" spans="1:9" x14ac:dyDescent="0.25">
      <c r="A4140" s="6">
        <v>43683</v>
      </c>
      <c r="B4140" t="s">
        <v>91</v>
      </c>
      <c r="C4140">
        <v>61666</v>
      </c>
      <c r="D4140" t="s">
        <v>96</v>
      </c>
      <c r="E4140" s="7">
        <v>114.91</v>
      </c>
      <c r="F4140" t="s">
        <v>20</v>
      </c>
      <c r="G4140" t="s">
        <v>21</v>
      </c>
      <c r="H4140" t="str">
        <f>"PPL201907308533"</f>
        <v>PPL201907308533</v>
      </c>
      <c r="I4140" t="str">
        <f>"INSURANCE"</f>
        <v>INSURANCE</v>
      </c>
    </row>
    <row r="4141" spans="1:9" x14ac:dyDescent="0.25">
      <c r="A4141" s="6">
        <v>43683</v>
      </c>
      <c r="B4141" t="s">
        <v>91</v>
      </c>
      <c r="C4141">
        <v>61667</v>
      </c>
      <c r="D4141" t="s">
        <v>97</v>
      </c>
      <c r="E4141" s="7">
        <v>28249.61</v>
      </c>
      <c r="F4141" t="s">
        <v>20</v>
      </c>
      <c r="G4141" t="s">
        <v>21</v>
      </c>
      <c r="H4141" t="str">
        <f>"DEN201907308533"</f>
        <v>DEN201907308533</v>
      </c>
      <c r="I4141" t="str">
        <f>"DENTAL INSURANCE"</f>
        <v>DENTAL INSURANCE</v>
      </c>
    </row>
    <row r="4142" spans="1:9" x14ac:dyDescent="0.25">
      <c r="A4142" s="6">
        <v>43683</v>
      </c>
      <c r="B4142" t="s">
        <v>91</v>
      </c>
      <c r="C4142">
        <v>61667</v>
      </c>
      <c r="D4142" t="s">
        <v>97</v>
      </c>
      <c r="E4142" s="7">
        <v>28249.61</v>
      </c>
      <c r="F4142" t="s">
        <v>20</v>
      </c>
      <c r="G4142" t="s">
        <v>21</v>
      </c>
      <c r="H4142" t="str">
        <f>"MED201907308533"</f>
        <v>MED201907308533</v>
      </c>
      <c r="I4142" t="str">
        <f>"HEALTH &amp; DENTAL INSURANCE"</f>
        <v>HEALTH &amp; DENTAL INSURANCE</v>
      </c>
    </row>
    <row r="4143" spans="1:9" x14ac:dyDescent="0.25">
      <c r="A4143" s="6">
        <v>43683</v>
      </c>
      <c r="B4143" t="s">
        <v>91</v>
      </c>
      <c r="C4143">
        <v>61667</v>
      </c>
      <c r="D4143" t="s">
        <v>97</v>
      </c>
      <c r="E4143" s="7">
        <v>28249.61</v>
      </c>
      <c r="F4143" t="s">
        <v>20</v>
      </c>
      <c r="G4143" t="s">
        <v>93</v>
      </c>
      <c r="H4143" t="str">
        <f>"CHECK"</f>
        <v>CHECK</v>
      </c>
      <c r="I4143" t="str">
        <f>""</f>
        <v/>
      </c>
    </row>
    <row r="4144" spans="1:9" x14ac:dyDescent="0.25">
      <c r="A4144" s="6">
        <v>43683</v>
      </c>
      <c r="B4144" t="s">
        <v>91</v>
      </c>
      <c r="C4144">
        <v>61669</v>
      </c>
      <c r="D4144" t="s">
        <v>98</v>
      </c>
      <c r="E4144" s="7">
        <v>1788.11</v>
      </c>
      <c r="F4144" t="s">
        <v>20</v>
      </c>
      <c r="G4144" t="s">
        <v>21</v>
      </c>
      <c r="H4144" t="str">
        <f>"STD201907308533"</f>
        <v>STD201907308533</v>
      </c>
      <c r="I4144" t="str">
        <f>"SHORT TERM DISABILITY"</f>
        <v>SHORT TERM DISABILITY</v>
      </c>
    </row>
    <row r="4145" spans="1:9" x14ac:dyDescent="0.25">
      <c r="A4145" s="6">
        <v>43683</v>
      </c>
      <c r="B4145" t="s">
        <v>91</v>
      </c>
      <c r="C4145">
        <v>61669</v>
      </c>
      <c r="D4145" t="s">
        <v>98</v>
      </c>
      <c r="E4145" s="7">
        <v>1788.11</v>
      </c>
      <c r="F4145" t="s">
        <v>20</v>
      </c>
      <c r="G4145" t="s">
        <v>21</v>
      </c>
      <c r="H4145" t="str">
        <f>"VIS201907308533"</f>
        <v>VIS201907308533</v>
      </c>
      <c r="I4145" t="str">
        <f>"VISION INSURANCE"</f>
        <v>VISION INSURANCE</v>
      </c>
    </row>
    <row r="4146" spans="1:9" x14ac:dyDescent="0.25">
      <c r="A4146" s="6">
        <v>43683</v>
      </c>
      <c r="B4146" t="s">
        <v>91</v>
      </c>
      <c r="C4146">
        <v>61669</v>
      </c>
      <c r="D4146" t="s">
        <v>98</v>
      </c>
      <c r="E4146" s="7">
        <v>1788.11</v>
      </c>
      <c r="F4146" t="s">
        <v>20</v>
      </c>
      <c r="G4146" t="s">
        <v>21</v>
      </c>
      <c r="H4146" t="str">
        <f>"VLC201907308533"</f>
        <v>VLC201907308533</v>
      </c>
      <c r="I4146" t="str">
        <f>"CHILD LIFE INSURANCE"</f>
        <v>CHILD LIFE INSURANCE</v>
      </c>
    </row>
    <row r="4147" spans="1:9" x14ac:dyDescent="0.25">
      <c r="A4147" s="6">
        <v>43683</v>
      </c>
      <c r="B4147" t="s">
        <v>91</v>
      </c>
      <c r="C4147">
        <v>61669</v>
      </c>
      <c r="D4147" t="s">
        <v>98</v>
      </c>
      <c r="E4147" s="7">
        <v>1788.11</v>
      </c>
      <c r="F4147" t="s">
        <v>20</v>
      </c>
      <c r="G4147" t="s">
        <v>21</v>
      </c>
      <c r="H4147" t="str">
        <f>"VLS201907308533"</f>
        <v>VLS201907308533</v>
      </c>
      <c r="I4147" t="str">
        <f>"SPOUSE LIFE"</f>
        <v>SPOUSE LIFE</v>
      </c>
    </row>
    <row r="4148" spans="1:9" x14ac:dyDescent="0.25">
      <c r="A4148" s="6">
        <v>43683</v>
      </c>
      <c r="B4148" t="s">
        <v>91</v>
      </c>
      <c r="C4148">
        <v>61669</v>
      </c>
      <c r="D4148" t="s">
        <v>98</v>
      </c>
      <c r="E4148" s="7">
        <v>1788.11</v>
      </c>
      <c r="F4148" t="s">
        <v>20</v>
      </c>
      <c r="G4148" t="s">
        <v>21</v>
      </c>
      <c r="H4148" t="str">
        <f>"VOE201907308533"</f>
        <v>VOE201907308533</v>
      </c>
      <c r="I4148" t="str">
        <f>"EMPLOYEE LIFE"</f>
        <v>EMPLOYEE LIFE</v>
      </c>
    </row>
    <row r="4149" spans="1:9" x14ac:dyDescent="0.25">
      <c r="A4149" s="6">
        <v>43683</v>
      </c>
      <c r="B4149" t="s">
        <v>91</v>
      </c>
      <c r="C4149">
        <v>61669</v>
      </c>
      <c r="D4149" t="s">
        <v>98</v>
      </c>
      <c r="E4149" s="7">
        <v>1788.11</v>
      </c>
      <c r="F4149" t="s">
        <v>20</v>
      </c>
      <c r="G4149" t="s">
        <v>21</v>
      </c>
      <c r="H4149" t="str">
        <f>"VOL201907308533"</f>
        <v>VOL201907308533</v>
      </c>
      <c r="I4149" t="str">
        <f>"LIFE"</f>
        <v>LIFE</v>
      </c>
    </row>
    <row r="4150" spans="1:9" x14ac:dyDescent="0.25">
      <c r="A4150" s="6">
        <v>43683</v>
      </c>
      <c r="B4150" t="s">
        <v>91</v>
      </c>
      <c r="C4150">
        <v>61669</v>
      </c>
      <c r="D4150" t="s">
        <v>98</v>
      </c>
      <c r="E4150" s="7">
        <v>1788.11</v>
      </c>
      <c r="F4150" t="s">
        <v>20</v>
      </c>
      <c r="G4150" t="s">
        <v>93</v>
      </c>
      <c r="H4150" t="str">
        <f>"CHECK"</f>
        <v>CHECK</v>
      </c>
      <c r="I4150" t="str">
        <f>""</f>
        <v/>
      </c>
    </row>
    <row r="4151" spans="1:9" x14ac:dyDescent="0.25">
      <c r="A4151" s="6">
        <v>43684</v>
      </c>
      <c r="B4151" t="s">
        <v>26</v>
      </c>
      <c r="C4151">
        <v>61673</v>
      </c>
      <c r="D4151" t="s">
        <v>56</v>
      </c>
      <c r="E4151" s="7">
        <v>185</v>
      </c>
      <c r="F4151" t="s">
        <v>20</v>
      </c>
      <c r="G4151" t="s">
        <v>21</v>
      </c>
      <c r="H4151" t="str">
        <f>"176230"</f>
        <v>176230</v>
      </c>
      <c r="I4151" t="str">
        <f>"GERALD LUBIANSKI ENTERPRISES"</f>
        <v>GERALD LUBIANSKI ENTERPRISES</v>
      </c>
    </row>
    <row r="4152" spans="1:9" x14ac:dyDescent="0.25">
      <c r="A4152" s="6">
        <v>43684</v>
      </c>
      <c r="B4152" t="s">
        <v>26</v>
      </c>
      <c r="C4152">
        <v>61673</v>
      </c>
      <c r="D4152" t="s">
        <v>56</v>
      </c>
      <c r="E4152" s="7">
        <v>185</v>
      </c>
      <c r="F4152" t="s">
        <v>20</v>
      </c>
      <c r="G4152" t="s">
        <v>21</v>
      </c>
      <c r="H4152" t="str">
        <f>"176294"</f>
        <v>176294</v>
      </c>
      <c r="I4152" t="str">
        <f>"WEED KILLER"</f>
        <v>WEED KILLER</v>
      </c>
    </row>
    <row r="4153" spans="1:9" x14ac:dyDescent="0.25">
      <c r="A4153" s="6">
        <v>43684</v>
      </c>
      <c r="B4153" t="s">
        <v>26</v>
      </c>
      <c r="C4153">
        <v>61674</v>
      </c>
      <c r="D4153" t="s">
        <v>249</v>
      </c>
      <c r="E4153" s="7">
        <v>430</v>
      </c>
      <c r="F4153" t="s">
        <v>20</v>
      </c>
      <c r="G4153" t="s">
        <v>21</v>
      </c>
      <c r="H4153" t="str">
        <f>"54899"</f>
        <v>54899</v>
      </c>
      <c r="I4153" t="str">
        <f>"DUMP TRUCK TIRE"</f>
        <v>DUMP TRUCK TIRE</v>
      </c>
    </row>
    <row r="4154" spans="1:9" x14ac:dyDescent="0.25">
      <c r="A4154" s="6">
        <v>43684</v>
      </c>
      <c r="B4154" t="s">
        <v>26</v>
      </c>
      <c r="C4154">
        <v>61675</v>
      </c>
      <c r="D4154" t="s">
        <v>59</v>
      </c>
      <c r="E4154" s="7">
        <v>460.79</v>
      </c>
      <c r="F4154" t="s">
        <v>20</v>
      </c>
      <c r="G4154" t="s">
        <v>21</v>
      </c>
      <c r="H4154" t="str">
        <f>"1022982.1"</f>
        <v>1022982.1</v>
      </c>
      <c r="I4154" t="str">
        <f>"FERGUSON WATERWORKS - MUNICIPA"</f>
        <v>FERGUSON WATERWORKS - MUNICIPA</v>
      </c>
    </row>
    <row r="4155" spans="1:9" x14ac:dyDescent="0.25">
      <c r="A4155" s="6">
        <v>43684</v>
      </c>
      <c r="B4155" t="s">
        <v>26</v>
      </c>
      <c r="C4155">
        <v>61675</v>
      </c>
      <c r="D4155" t="s">
        <v>59</v>
      </c>
      <c r="E4155" s="7">
        <v>460.79</v>
      </c>
      <c r="F4155" t="s">
        <v>20</v>
      </c>
      <c r="G4155" t="s">
        <v>21</v>
      </c>
      <c r="H4155" t="str">
        <f>"1023105"</f>
        <v>1023105</v>
      </c>
      <c r="I4155" t="str">
        <f>"FERGUSON WATERWORKS - MUNICIPA"</f>
        <v>FERGUSON WATERWORKS - MUNICIPA</v>
      </c>
    </row>
    <row r="4156" spans="1:9" x14ac:dyDescent="0.25">
      <c r="A4156" s="6">
        <v>43684</v>
      </c>
      <c r="B4156" t="s">
        <v>26</v>
      </c>
      <c r="C4156">
        <v>61676</v>
      </c>
      <c r="D4156" t="s">
        <v>202</v>
      </c>
      <c r="E4156" s="7">
        <v>10217.370000000001</v>
      </c>
      <c r="F4156" t="s">
        <v>20</v>
      </c>
      <c r="G4156" t="s">
        <v>21</v>
      </c>
      <c r="H4156" t="str">
        <f>"61943003"</f>
        <v>61943003</v>
      </c>
      <c r="I4156" t="str">
        <f>"UVALDE ROCK ASPHALT"</f>
        <v>UVALDE ROCK ASPHALT</v>
      </c>
    </row>
    <row r="4157" spans="1:9" x14ac:dyDescent="0.25">
      <c r="A4157" s="6">
        <v>43684</v>
      </c>
      <c r="B4157" t="s">
        <v>26</v>
      </c>
      <c r="C4157">
        <v>61677</v>
      </c>
      <c r="D4157" t="s">
        <v>90</v>
      </c>
      <c r="E4157" s="7">
        <v>1884.6</v>
      </c>
      <c r="F4157" t="s">
        <v>20</v>
      </c>
      <c r="G4157" t="s">
        <v>21</v>
      </c>
      <c r="H4157" t="str">
        <f>"AUG. 2019"</f>
        <v>AUG. 2019</v>
      </c>
      <c r="I4157" t="str">
        <f>"AFLAC"</f>
        <v>AFLAC</v>
      </c>
    </row>
    <row r="4158" spans="1:9" x14ac:dyDescent="0.25">
      <c r="A4158" s="6">
        <v>43684</v>
      </c>
      <c r="B4158" t="s">
        <v>26</v>
      </c>
      <c r="C4158">
        <v>61678</v>
      </c>
      <c r="D4158" t="s">
        <v>108</v>
      </c>
      <c r="E4158" s="7">
        <v>2435.58</v>
      </c>
      <c r="F4158" t="s">
        <v>20</v>
      </c>
      <c r="G4158" t="s">
        <v>21</v>
      </c>
      <c r="H4158" t="str">
        <f>"041295624159"</f>
        <v>041295624159</v>
      </c>
      <c r="I4158" t="str">
        <f>"POOLSURE"</f>
        <v>POOLSURE</v>
      </c>
    </row>
    <row r="4159" spans="1:9" x14ac:dyDescent="0.25">
      <c r="A4159" s="6">
        <v>43684</v>
      </c>
      <c r="B4159" t="s">
        <v>26</v>
      </c>
      <c r="C4159">
        <v>61679</v>
      </c>
      <c r="D4159" t="s">
        <v>203</v>
      </c>
      <c r="E4159" s="7">
        <v>1546.3</v>
      </c>
      <c r="F4159" t="s">
        <v>20</v>
      </c>
      <c r="G4159" t="s">
        <v>21</v>
      </c>
      <c r="H4159" t="str">
        <f>"954286"</f>
        <v>954286</v>
      </c>
      <c r="I4159" t="str">
        <f>"SUPPLIES FOR WATER DEPT"</f>
        <v>SUPPLIES FOR WATER DEPT</v>
      </c>
    </row>
    <row r="4160" spans="1:9" x14ac:dyDescent="0.25">
      <c r="A4160" s="6">
        <v>43684</v>
      </c>
      <c r="B4160" t="s">
        <v>26</v>
      </c>
      <c r="C4160">
        <v>61679</v>
      </c>
      <c r="D4160" t="s">
        <v>203</v>
      </c>
      <c r="E4160" s="7">
        <v>1546.3</v>
      </c>
      <c r="F4160" t="s">
        <v>20</v>
      </c>
      <c r="G4160" t="s">
        <v>21</v>
      </c>
      <c r="H4160" t="str">
        <f>"958023"</f>
        <v>958023</v>
      </c>
      <c r="I4160" t="str">
        <f>"SAFETY EQUIPMENT FOR WW"</f>
        <v>SAFETY EQUIPMENT FOR WW</v>
      </c>
    </row>
    <row r="4161" spans="1:9" x14ac:dyDescent="0.25">
      <c r="A4161" s="6">
        <v>43684</v>
      </c>
      <c r="B4161" t="s">
        <v>26</v>
      </c>
      <c r="C4161">
        <v>61679</v>
      </c>
      <c r="D4161" t="s">
        <v>203</v>
      </c>
      <c r="E4161" s="7">
        <v>1546.3</v>
      </c>
      <c r="F4161" t="s">
        <v>20</v>
      </c>
      <c r="G4161" t="s">
        <v>21</v>
      </c>
      <c r="H4161" t="str">
        <f>"958024"</f>
        <v>958024</v>
      </c>
      <c r="I4161" t="str">
        <f>"SAFETY EQUIPMENT FOR WW"</f>
        <v>SAFETY EQUIPMENT FOR WW</v>
      </c>
    </row>
    <row r="4162" spans="1:9" x14ac:dyDescent="0.25">
      <c r="A4162" s="6">
        <v>43684</v>
      </c>
      <c r="B4162" t="s">
        <v>26</v>
      </c>
      <c r="C4162">
        <v>61679</v>
      </c>
      <c r="D4162" t="s">
        <v>203</v>
      </c>
      <c r="E4162" s="7">
        <v>1546.3</v>
      </c>
      <c r="F4162" t="s">
        <v>20</v>
      </c>
      <c r="G4162" t="s">
        <v>21</v>
      </c>
      <c r="H4162" t="str">
        <f>"958099"</f>
        <v>958099</v>
      </c>
      <c r="I4162" t="str">
        <f>"SAFETY EQUIPMENT FOR WW"</f>
        <v>SAFETY EQUIPMENT FOR WW</v>
      </c>
    </row>
    <row r="4163" spans="1:9" x14ac:dyDescent="0.25">
      <c r="A4163" s="6">
        <v>43684</v>
      </c>
      <c r="B4163" t="s">
        <v>26</v>
      </c>
      <c r="C4163">
        <v>61681</v>
      </c>
      <c r="D4163" t="s">
        <v>110</v>
      </c>
      <c r="E4163" s="7">
        <v>3459.07</v>
      </c>
      <c r="F4163" t="s">
        <v>20</v>
      </c>
      <c r="G4163" t="s">
        <v>21</v>
      </c>
      <c r="H4163" t="str">
        <f>"1483332"</f>
        <v>1483332</v>
      </c>
      <c r="I4163" t="str">
        <f t="shared" ref="I4163:I4172" si="79">"BUREAU VERITAS NORTH AMERICA"</f>
        <v>BUREAU VERITAS NORTH AMERICA</v>
      </c>
    </row>
    <row r="4164" spans="1:9" x14ac:dyDescent="0.25">
      <c r="A4164" s="6">
        <v>43684</v>
      </c>
      <c r="B4164" t="s">
        <v>26</v>
      </c>
      <c r="C4164">
        <v>61681</v>
      </c>
      <c r="D4164" t="s">
        <v>110</v>
      </c>
      <c r="E4164" s="7">
        <v>3459.07</v>
      </c>
      <c r="F4164" t="s">
        <v>20</v>
      </c>
      <c r="G4164" t="s">
        <v>21</v>
      </c>
      <c r="H4164" t="str">
        <f>"1483333"</f>
        <v>1483333</v>
      </c>
      <c r="I4164" t="str">
        <f t="shared" si="79"/>
        <v>BUREAU VERITAS NORTH AMERICA</v>
      </c>
    </row>
    <row r="4165" spans="1:9" x14ac:dyDescent="0.25">
      <c r="A4165" s="6">
        <v>43684</v>
      </c>
      <c r="B4165" t="s">
        <v>26</v>
      </c>
      <c r="C4165">
        <v>61681</v>
      </c>
      <c r="D4165" t="s">
        <v>110</v>
      </c>
      <c r="E4165" s="7">
        <v>3459.07</v>
      </c>
      <c r="F4165" t="s">
        <v>20</v>
      </c>
      <c r="G4165" t="s">
        <v>21</v>
      </c>
      <c r="H4165" t="str">
        <f>"1483334"</f>
        <v>1483334</v>
      </c>
      <c r="I4165" t="str">
        <f t="shared" si="79"/>
        <v>BUREAU VERITAS NORTH AMERICA</v>
      </c>
    </row>
    <row r="4166" spans="1:9" x14ac:dyDescent="0.25">
      <c r="A4166" s="6">
        <v>43684</v>
      </c>
      <c r="B4166" t="s">
        <v>26</v>
      </c>
      <c r="C4166">
        <v>61681</v>
      </c>
      <c r="D4166" t="s">
        <v>110</v>
      </c>
      <c r="E4166" s="7">
        <v>3459.07</v>
      </c>
      <c r="F4166" t="s">
        <v>20</v>
      </c>
      <c r="G4166" t="s">
        <v>21</v>
      </c>
      <c r="H4166" t="str">
        <f>"1483335"</f>
        <v>1483335</v>
      </c>
      <c r="I4166" t="str">
        <f t="shared" si="79"/>
        <v>BUREAU VERITAS NORTH AMERICA</v>
      </c>
    </row>
    <row r="4167" spans="1:9" x14ac:dyDescent="0.25">
      <c r="A4167" s="6">
        <v>43684</v>
      </c>
      <c r="B4167" t="s">
        <v>26</v>
      </c>
      <c r="C4167">
        <v>61681</v>
      </c>
      <c r="D4167" t="s">
        <v>110</v>
      </c>
      <c r="E4167" s="7">
        <v>3459.07</v>
      </c>
      <c r="F4167" t="s">
        <v>20</v>
      </c>
      <c r="G4167" t="s">
        <v>21</v>
      </c>
      <c r="H4167" t="str">
        <f>"1483336"</f>
        <v>1483336</v>
      </c>
      <c r="I4167" t="str">
        <f t="shared" si="79"/>
        <v>BUREAU VERITAS NORTH AMERICA</v>
      </c>
    </row>
    <row r="4168" spans="1:9" x14ac:dyDescent="0.25">
      <c r="A4168" s="6">
        <v>43684</v>
      </c>
      <c r="B4168" t="s">
        <v>26</v>
      </c>
      <c r="C4168">
        <v>61681</v>
      </c>
      <c r="D4168" t="s">
        <v>110</v>
      </c>
      <c r="E4168" s="7">
        <v>3459.07</v>
      </c>
      <c r="F4168" t="s">
        <v>20</v>
      </c>
      <c r="G4168" t="s">
        <v>21</v>
      </c>
      <c r="H4168" t="str">
        <f>"1483337"</f>
        <v>1483337</v>
      </c>
      <c r="I4168" t="str">
        <f t="shared" si="79"/>
        <v>BUREAU VERITAS NORTH AMERICA</v>
      </c>
    </row>
    <row r="4169" spans="1:9" x14ac:dyDescent="0.25">
      <c r="A4169" s="6">
        <v>43684</v>
      </c>
      <c r="B4169" t="s">
        <v>26</v>
      </c>
      <c r="C4169">
        <v>61681</v>
      </c>
      <c r="D4169" t="s">
        <v>110</v>
      </c>
      <c r="E4169" s="7">
        <v>3459.07</v>
      </c>
      <c r="F4169" t="s">
        <v>20</v>
      </c>
      <c r="G4169" t="s">
        <v>21</v>
      </c>
      <c r="H4169" t="str">
        <f>"1483338"</f>
        <v>1483338</v>
      </c>
      <c r="I4169" t="str">
        <f t="shared" si="79"/>
        <v>BUREAU VERITAS NORTH AMERICA</v>
      </c>
    </row>
    <row r="4170" spans="1:9" x14ac:dyDescent="0.25">
      <c r="A4170" s="6">
        <v>43684</v>
      </c>
      <c r="B4170" t="s">
        <v>26</v>
      </c>
      <c r="C4170">
        <v>61681</v>
      </c>
      <c r="D4170" t="s">
        <v>110</v>
      </c>
      <c r="E4170" s="7">
        <v>3459.07</v>
      </c>
      <c r="F4170" t="s">
        <v>20</v>
      </c>
      <c r="G4170" t="s">
        <v>21</v>
      </c>
      <c r="H4170" t="str">
        <f>"1483339"</f>
        <v>1483339</v>
      </c>
      <c r="I4170" t="str">
        <f t="shared" si="79"/>
        <v>BUREAU VERITAS NORTH AMERICA</v>
      </c>
    </row>
    <row r="4171" spans="1:9" x14ac:dyDescent="0.25">
      <c r="A4171" s="6">
        <v>43684</v>
      </c>
      <c r="B4171" t="s">
        <v>26</v>
      </c>
      <c r="C4171">
        <v>61681</v>
      </c>
      <c r="D4171" t="s">
        <v>110</v>
      </c>
      <c r="E4171" s="7">
        <v>3459.07</v>
      </c>
      <c r="F4171" t="s">
        <v>20</v>
      </c>
      <c r="G4171" t="s">
        <v>21</v>
      </c>
      <c r="H4171" t="str">
        <f>"1483340"</f>
        <v>1483340</v>
      </c>
      <c r="I4171" t="str">
        <f t="shared" si="79"/>
        <v>BUREAU VERITAS NORTH AMERICA</v>
      </c>
    </row>
    <row r="4172" spans="1:9" x14ac:dyDescent="0.25">
      <c r="A4172" s="6">
        <v>43684</v>
      </c>
      <c r="B4172" t="s">
        <v>26</v>
      </c>
      <c r="C4172">
        <v>61681</v>
      </c>
      <c r="D4172" t="s">
        <v>110</v>
      </c>
      <c r="E4172" s="7">
        <v>3459.07</v>
      </c>
      <c r="F4172" t="s">
        <v>20</v>
      </c>
      <c r="G4172" t="s">
        <v>21</v>
      </c>
      <c r="H4172" t="str">
        <f>"1483341"</f>
        <v>1483341</v>
      </c>
      <c r="I4172" t="str">
        <f t="shared" si="79"/>
        <v>BUREAU VERITAS NORTH AMERICA</v>
      </c>
    </row>
    <row r="4173" spans="1:9" x14ac:dyDescent="0.25">
      <c r="A4173" s="6">
        <v>43684</v>
      </c>
      <c r="B4173" t="s">
        <v>91</v>
      </c>
      <c r="C4173">
        <v>61683</v>
      </c>
      <c r="D4173" t="s">
        <v>92</v>
      </c>
      <c r="E4173" s="7">
        <v>19747.759999999998</v>
      </c>
      <c r="F4173" t="s">
        <v>20</v>
      </c>
      <c r="G4173" t="s">
        <v>21</v>
      </c>
      <c r="H4173" t="str">
        <f>"RET201907308533"</f>
        <v>RET201907308533</v>
      </c>
      <c r="I4173" t="str">
        <f>"TMRS CITY OF FLORESVILLE"</f>
        <v>TMRS CITY OF FLORESVILLE</v>
      </c>
    </row>
    <row r="4174" spans="1:9" x14ac:dyDescent="0.25">
      <c r="A4174" s="6">
        <v>43684</v>
      </c>
      <c r="B4174" t="s">
        <v>91</v>
      </c>
      <c r="C4174">
        <v>61683</v>
      </c>
      <c r="D4174" t="s">
        <v>92</v>
      </c>
      <c r="E4174" s="7">
        <v>19747.759999999998</v>
      </c>
      <c r="F4174" t="s">
        <v>20</v>
      </c>
      <c r="G4174" t="s">
        <v>93</v>
      </c>
      <c r="H4174" t="str">
        <f>"CHECK"</f>
        <v>CHECK</v>
      </c>
      <c r="I4174" t="str">
        <f>""</f>
        <v/>
      </c>
    </row>
    <row r="4175" spans="1:9" x14ac:dyDescent="0.25">
      <c r="A4175" s="6">
        <v>43684</v>
      </c>
      <c r="B4175" t="s">
        <v>26</v>
      </c>
      <c r="C4175">
        <v>61685</v>
      </c>
      <c r="D4175" t="s">
        <v>62</v>
      </c>
      <c r="E4175" s="7">
        <v>210</v>
      </c>
      <c r="F4175" t="s">
        <v>20</v>
      </c>
      <c r="G4175" t="s">
        <v>21</v>
      </c>
      <c r="H4175" t="str">
        <f>"64685"</f>
        <v>64685</v>
      </c>
      <c r="I4175" t="str">
        <f>"PROFICIENT BENEFIT SOLUTIONS"</f>
        <v>PROFICIENT BENEFIT SOLUTIONS</v>
      </c>
    </row>
    <row r="4176" spans="1:9" x14ac:dyDescent="0.25">
      <c r="A4176" s="6">
        <v>43684</v>
      </c>
      <c r="B4176" t="s">
        <v>26</v>
      </c>
      <c r="C4176">
        <v>61686</v>
      </c>
      <c r="D4176" t="s">
        <v>63</v>
      </c>
      <c r="E4176" s="7">
        <v>834.86</v>
      </c>
      <c r="F4176" t="s">
        <v>20</v>
      </c>
      <c r="G4176" t="s">
        <v>21</v>
      </c>
      <c r="H4176" t="str">
        <f>"8404224068"</f>
        <v>8404224068</v>
      </c>
      <c r="I4176" t="str">
        <f>"CINTAS CORPORATION"</f>
        <v>CINTAS CORPORATION</v>
      </c>
    </row>
    <row r="4177" spans="1:9" x14ac:dyDescent="0.25">
      <c r="A4177" s="6">
        <v>43684</v>
      </c>
      <c r="B4177" t="s">
        <v>26</v>
      </c>
      <c r="C4177">
        <v>61687</v>
      </c>
      <c r="D4177" t="s">
        <v>64</v>
      </c>
      <c r="E4177" s="7">
        <v>5712</v>
      </c>
      <c r="F4177" t="s">
        <v>20</v>
      </c>
      <c r="G4177" t="s">
        <v>21</v>
      </c>
      <c r="H4177" t="str">
        <f>"7890"</f>
        <v>7890</v>
      </c>
      <c r="I4177" t="str">
        <f>"DREWA DESIGNS  INC."</f>
        <v>DREWA DESIGNS  INC.</v>
      </c>
    </row>
    <row r="4178" spans="1:9" x14ac:dyDescent="0.25">
      <c r="A4178" s="6">
        <v>43684</v>
      </c>
      <c r="B4178" t="s">
        <v>26</v>
      </c>
      <c r="C4178">
        <v>61688</v>
      </c>
      <c r="D4178" t="s">
        <v>66</v>
      </c>
      <c r="E4178" s="7">
        <v>3200</v>
      </c>
      <c r="F4178" t="s">
        <v>20</v>
      </c>
      <c r="G4178" t="s">
        <v>21</v>
      </c>
      <c r="H4178" t="str">
        <f>"56022"</f>
        <v>56022</v>
      </c>
      <c r="I4178" t="str">
        <f>"LOPEZ EXTERMINATING SERVICE  I"</f>
        <v>LOPEZ EXTERMINATING SERVICE  I</v>
      </c>
    </row>
    <row r="4179" spans="1:9" x14ac:dyDescent="0.25">
      <c r="A4179" s="6">
        <v>43684</v>
      </c>
      <c r="B4179" t="s">
        <v>26</v>
      </c>
      <c r="C4179">
        <v>61689</v>
      </c>
      <c r="D4179" t="s">
        <v>301</v>
      </c>
      <c r="E4179" s="7">
        <v>107.48</v>
      </c>
      <c r="F4179" t="s">
        <v>20</v>
      </c>
      <c r="G4179" t="s">
        <v>21</v>
      </c>
      <c r="H4179" t="str">
        <f>"1773850"</f>
        <v>1773850</v>
      </c>
      <c r="I4179" t="str">
        <f>"GRANDE TRUCK CENTER"</f>
        <v>GRANDE TRUCK CENTER</v>
      </c>
    </row>
    <row r="4180" spans="1:9" x14ac:dyDescent="0.25">
      <c r="A4180" s="6">
        <v>43684</v>
      </c>
      <c r="B4180" t="s">
        <v>26</v>
      </c>
      <c r="C4180">
        <v>61690</v>
      </c>
      <c r="D4180" t="s">
        <v>188</v>
      </c>
      <c r="E4180" s="7">
        <v>247.99</v>
      </c>
      <c r="F4180" t="s">
        <v>20</v>
      </c>
      <c r="G4180" t="s">
        <v>21</v>
      </c>
      <c r="H4180" t="str">
        <f>"59471"</f>
        <v>59471</v>
      </c>
      <c r="I4180" t="str">
        <f>"ALAN HYDRAULICS &amp; MACHINERY CO"</f>
        <v>ALAN HYDRAULICS &amp; MACHINERY CO</v>
      </c>
    </row>
    <row r="4181" spans="1:9" x14ac:dyDescent="0.25">
      <c r="A4181" s="6">
        <v>43684</v>
      </c>
      <c r="B4181" t="s">
        <v>26</v>
      </c>
      <c r="C4181">
        <v>61691</v>
      </c>
      <c r="D4181" t="s">
        <v>95</v>
      </c>
      <c r="E4181" s="7">
        <v>64.959999999999994</v>
      </c>
      <c r="F4181" t="s">
        <v>20</v>
      </c>
      <c r="G4181" t="s">
        <v>21</v>
      </c>
      <c r="H4181" t="str">
        <f>"AUG. 2019"</f>
        <v>AUG. 2019</v>
      </c>
      <c r="I4181" t="str">
        <f>"LEGAL PLANS"</f>
        <v>LEGAL PLANS</v>
      </c>
    </row>
    <row r="4182" spans="1:9" x14ac:dyDescent="0.25">
      <c r="A4182" s="6">
        <v>43684</v>
      </c>
      <c r="B4182" t="s">
        <v>26</v>
      </c>
      <c r="C4182">
        <v>61692</v>
      </c>
      <c r="D4182" t="s">
        <v>69</v>
      </c>
      <c r="E4182" s="7">
        <v>579.26</v>
      </c>
      <c r="F4182" t="s">
        <v>20</v>
      </c>
      <c r="G4182" t="s">
        <v>21</v>
      </c>
      <c r="H4182" t="str">
        <f>"3300973"</f>
        <v>3300973</v>
      </c>
      <c r="I4182" t="str">
        <f>"EWALD KUBOTA  INC."</f>
        <v>EWALD KUBOTA  INC.</v>
      </c>
    </row>
    <row r="4183" spans="1:9" x14ac:dyDescent="0.25">
      <c r="A4183" s="6">
        <v>43684</v>
      </c>
      <c r="B4183" t="s">
        <v>26</v>
      </c>
      <c r="C4183">
        <v>61693</v>
      </c>
      <c r="D4183" t="s">
        <v>96</v>
      </c>
      <c r="E4183" s="7">
        <v>352.65</v>
      </c>
      <c r="F4183" t="s">
        <v>20</v>
      </c>
      <c r="G4183" t="s">
        <v>21</v>
      </c>
      <c r="H4183" t="str">
        <f>"AUG. 2019"</f>
        <v>AUG. 2019</v>
      </c>
      <c r="I4183" t="str">
        <f>"LEGALSHIELD"</f>
        <v>LEGALSHIELD</v>
      </c>
    </row>
    <row r="4184" spans="1:9" x14ac:dyDescent="0.25">
      <c r="A4184" s="6">
        <v>43684</v>
      </c>
      <c r="B4184" t="s">
        <v>26</v>
      </c>
      <c r="C4184">
        <v>61694</v>
      </c>
      <c r="D4184" t="s">
        <v>74</v>
      </c>
      <c r="E4184" s="7">
        <v>4329.42</v>
      </c>
      <c r="F4184" t="s">
        <v>20</v>
      </c>
      <c r="G4184" t="s">
        <v>21</v>
      </c>
      <c r="H4184" t="str">
        <f>"9834749818"</f>
        <v>9834749818</v>
      </c>
      <c r="I4184" t="str">
        <f>"VERIZON WIRELESS"</f>
        <v>VERIZON WIRELESS</v>
      </c>
    </row>
    <row r="4185" spans="1:9" x14ac:dyDescent="0.25">
      <c r="A4185" s="6">
        <v>43684</v>
      </c>
      <c r="B4185" t="s">
        <v>26</v>
      </c>
      <c r="C4185">
        <v>61694</v>
      </c>
      <c r="D4185" t="s">
        <v>74</v>
      </c>
      <c r="E4185" s="7">
        <v>4329.42</v>
      </c>
      <c r="F4185" t="s">
        <v>20</v>
      </c>
      <c r="G4185" t="s">
        <v>21</v>
      </c>
      <c r="H4185" t="str">
        <f>"9834749819"</f>
        <v>9834749819</v>
      </c>
      <c r="I4185" t="str">
        <f>"VERIZON WIRELESS"</f>
        <v>VERIZON WIRELESS</v>
      </c>
    </row>
    <row r="4186" spans="1:9" x14ac:dyDescent="0.25">
      <c r="A4186" s="6">
        <v>43684</v>
      </c>
      <c r="B4186" t="s">
        <v>26</v>
      </c>
      <c r="C4186">
        <v>61695</v>
      </c>
      <c r="D4186" t="s">
        <v>170</v>
      </c>
      <c r="E4186" s="7">
        <v>2308</v>
      </c>
      <c r="F4186" t="s">
        <v>20</v>
      </c>
      <c r="G4186" t="s">
        <v>21</v>
      </c>
      <c r="H4186" t="str">
        <f>"0000031208"</f>
        <v>0000031208</v>
      </c>
      <c r="I4186" t="str">
        <f>"BARRETT &amp; SONS  INC."</f>
        <v>BARRETT &amp; SONS  INC.</v>
      </c>
    </row>
    <row r="4187" spans="1:9" x14ac:dyDescent="0.25">
      <c r="A4187" s="6">
        <v>43684</v>
      </c>
      <c r="B4187" t="s">
        <v>26</v>
      </c>
      <c r="C4187">
        <v>61696</v>
      </c>
      <c r="D4187" t="s">
        <v>124</v>
      </c>
      <c r="E4187" s="7">
        <v>134.88</v>
      </c>
      <c r="F4187" t="s">
        <v>20</v>
      </c>
      <c r="G4187" t="s">
        <v>21</v>
      </c>
      <c r="H4187" t="str">
        <f>"11175603"</f>
        <v>11175603</v>
      </c>
      <c r="I4187" t="str">
        <f>"LOW DIE PROJECT"</f>
        <v>LOW DIE PROJECT</v>
      </c>
    </row>
    <row r="4188" spans="1:9" x14ac:dyDescent="0.25">
      <c r="A4188" s="6">
        <v>43684</v>
      </c>
      <c r="B4188" t="s">
        <v>26</v>
      </c>
      <c r="C4188">
        <v>61697</v>
      </c>
      <c r="D4188" t="s">
        <v>534</v>
      </c>
      <c r="E4188" s="7">
        <v>107.17</v>
      </c>
      <c r="F4188" t="s">
        <v>20</v>
      </c>
      <c r="G4188" t="s">
        <v>21</v>
      </c>
      <c r="H4188" t="str">
        <f>"8404244328"</f>
        <v>8404244328</v>
      </c>
      <c r="I4188" t="str">
        <f>"CINTAS CORPORATION NO. 2"</f>
        <v>CINTAS CORPORATION NO. 2</v>
      </c>
    </row>
    <row r="4189" spans="1:9" x14ac:dyDescent="0.25">
      <c r="A4189" s="6">
        <v>43684</v>
      </c>
      <c r="B4189" t="s">
        <v>26</v>
      </c>
      <c r="C4189">
        <v>61698</v>
      </c>
      <c r="D4189" t="s">
        <v>79</v>
      </c>
      <c r="E4189" s="7">
        <v>37.020000000000003</v>
      </c>
      <c r="F4189" t="s">
        <v>20</v>
      </c>
      <c r="G4189" t="s">
        <v>21</v>
      </c>
      <c r="H4189" t="str">
        <f>"6-624-09728"</f>
        <v>6-624-09728</v>
      </c>
      <c r="I4189" t="str">
        <f>"FEDEX"</f>
        <v>FEDEX</v>
      </c>
    </row>
    <row r="4190" spans="1:9" x14ac:dyDescent="0.25">
      <c r="A4190" s="6">
        <v>43684</v>
      </c>
      <c r="B4190" t="s">
        <v>26</v>
      </c>
      <c r="C4190">
        <v>61699</v>
      </c>
      <c r="D4190" t="s">
        <v>80</v>
      </c>
      <c r="E4190" s="7">
        <v>1500</v>
      </c>
      <c r="F4190" t="s">
        <v>20</v>
      </c>
      <c r="G4190" t="s">
        <v>21</v>
      </c>
      <c r="H4190" t="str">
        <f>"1648-20190801-1"</f>
        <v>1648-20190801-1</v>
      </c>
      <c r="I4190" t="str">
        <f>"LVWIFI.COM"</f>
        <v>LVWIFI.COM</v>
      </c>
    </row>
    <row r="4191" spans="1:9" x14ac:dyDescent="0.25">
      <c r="A4191" s="6">
        <v>43684</v>
      </c>
      <c r="B4191" t="s">
        <v>26</v>
      </c>
      <c r="C4191">
        <v>61699</v>
      </c>
      <c r="D4191" t="s">
        <v>80</v>
      </c>
      <c r="E4191" s="7">
        <v>1500</v>
      </c>
      <c r="F4191" t="s">
        <v>20</v>
      </c>
      <c r="G4191" t="s">
        <v>21</v>
      </c>
      <c r="H4191" t="str">
        <f>"2313-20190801-1"</f>
        <v>2313-20190801-1</v>
      </c>
      <c r="I4191" t="str">
        <f>"LVWIFI.COM"</f>
        <v>LVWIFI.COM</v>
      </c>
    </row>
    <row r="4192" spans="1:9" x14ac:dyDescent="0.25">
      <c r="A4192" s="6">
        <v>43684</v>
      </c>
      <c r="B4192" t="s">
        <v>26</v>
      </c>
      <c r="C4192">
        <v>61700</v>
      </c>
      <c r="D4192" t="s">
        <v>207</v>
      </c>
      <c r="E4192" s="7">
        <v>308</v>
      </c>
      <c r="F4192" t="s">
        <v>20</v>
      </c>
      <c r="G4192" t="s">
        <v>21</v>
      </c>
      <c r="H4192" t="str">
        <f>"5310"</f>
        <v>5310</v>
      </c>
      <c r="I4192" t="str">
        <f>"DECALS FOR SHOP &amp; W WATER"</f>
        <v>DECALS FOR SHOP &amp; W WATER</v>
      </c>
    </row>
    <row r="4193" spans="1:9" x14ac:dyDescent="0.25">
      <c r="A4193" s="6">
        <v>43684</v>
      </c>
      <c r="B4193" t="s">
        <v>26</v>
      </c>
      <c r="C4193">
        <v>61701</v>
      </c>
      <c r="D4193" t="s">
        <v>148</v>
      </c>
      <c r="E4193" s="7">
        <v>500</v>
      </c>
      <c r="F4193" t="s">
        <v>20</v>
      </c>
      <c r="G4193" t="s">
        <v>21</v>
      </c>
      <c r="H4193" t="str">
        <f>"WMS0044296"</f>
        <v>WMS0044296</v>
      </c>
      <c r="I4193" t="str">
        <f>"TEXAS COMMISSION ON ENVIRONMEN"</f>
        <v>TEXAS COMMISSION ON ENVIRONMEN</v>
      </c>
    </row>
    <row r="4194" spans="1:9" x14ac:dyDescent="0.25">
      <c r="A4194" s="6">
        <v>43684</v>
      </c>
      <c r="B4194" t="s">
        <v>26</v>
      </c>
      <c r="C4194">
        <v>61702</v>
      </c>
      <c r="D4194" t="s">
        <v>31</v>
      </c>
      <c r="E4194" s="7">
        <v>3010</v>
      </c>
      <c r="F4194" t="s">
        <v>20</v>
      </c>
      <c r="G4194" t="s">
        <v>21</v>
      </c>
      <c r="H4194" t="str">
        <f>"2019224"</f>
        <v>2019224</v>
      </c>
      <c r="I4194" t="str">
        <f>"THE LAW OFFICE OF TOM CALDWELL"</f>
        <v>THE LAW OFFICE OF TOM CALDWELL</v>
      </c>
    </row>
    <row r="4195" spans="1:9" x14ac:dyDescent="0.25">
      <c r="A4195" s="6">
        <v>43684</v>
      </c>
      <c r="B4195" t="s">
        <v>26</v>
      </c>
      <c r="C4195">
        <v>61703</v>
      </c>
      <c r="D4195" t="s">
        <v>129</v>
      </c>
      <c r="E4195" s="7">
        <v>155.1</v>
      </c>
      <c r="F4195" t="s">
        <v>20</v>
      </c>
      <c r="G4195" t="s">
        <v>21</v>
      </c>
      <c r="H4195" t="str">
        <f>"P53880"</f>
        <v>P53880</v>
      </c>
      <c r="I4195" t="str">
        <f>"MATERIAL FOR WATER DEPT"</f>
        <v>MATERIAL FOR WATER DEPT</v>
      </c>
    </row>
    <row r="4196" spans="1:9" x14ac:dyDescent="0.25">
      <c r="A4196" s="6">
        <v>43684</v>
      </c>
      <c r="B4196" t="s">
        <v>26</v>
      </c>
      <c r="C4196">
        <v>61704</v>
      </c>
      <c r="D4196" t="s">
        <v>97</v>
      </c>
      <c r="E4196" s="7">
        <v>37942.550000000003</v>
      </c>
      <c r="F4196" t="s">
        <v>20</v>
      </c>
      <c r="G4196" t="s">
        <v>21</v>
      </c>
      <c r="H4196" t="str">
        <f>"AUG. 2019"</f>
        <v>AUG. 2019</v>
      </c>
      <c r="I4196" t="str">
        <f>"HEALTH CARE SERVICE CORPORATIO"</f>
        <v>HEALTH CARE SERVICE CORPORATIO</v>
      </c>
    </row>
    <row r="4197" spans="1:9" x14ac:dyDescent="0.25">
      <c r="A4197" s="6">
        <v>43684</v>
      </c>
      <c r="B4197" t="s">
        <v>26</v>
      </c>
      <c r="C4197">
        <v>61706</v>
      </c>
      <c r="D4197" t="s">
        <v>98</v>
      </c>
      <c r="E4197" s="7">
        <v>3558.11</v>
      </c>
      <c r="F4197" t="s">
        <v>20</v>
      </c>
      <c r="G4197" t="s">
        <v>21</v>
      </c>
      <c r="H4197" t="str">
        <f>"AUG. 2019"</f>
        <v>AUG. 2019</v>
      </c>
      <c r="I4197" t="str">
        <f>"DEARBORN LIFE INSURANCE COMPAN"</f>
        <v>DEARBORN LIFE INSURANCE COMPAN</v>
      </c>
    </row>
    <row r="4198" spans="1:9" x14ac:dyDescent="0.25">
      <c r="A4198" s="6">
        <v>43684</v>
      </c>
      <c r="B4198" t="s">
        <v>26</v>
      </c>
      <c r="C4198">
        <v>61707</v>
      </c>
      <c r="D4198" t="s">
        <v>83</v>
      </c>
      <c r="E4198" s="7">
        <v>1044</v>
      </c>
      <c r="F4198" t="s">
        <v>20</v>
      </c>
      <c r="G4198" t="s">
        <v>21</v>
      </c>
      <c r="H4198" t="str">
        <f>"844640"</f>
        <v>844640</v>
      </c>
      <c r="I4198" t="str">
        <f>"APPRIVER"</f>
        <v>APPRIVER</v>
      </c>
    </row>
    <row r="4199" spans="1:9" x14ac:dyDescent="0.25">
      <c r="A4199" s="6">
        <v>43684</v>
      </c>
      <c r="B4199" t="s">
        <v>26</v>
      </c>
      <c r="C4199">
        <v>61708</v>
      </c>
      <c r="D4199" t="s">
        <v>85</v>
      </c>
      <c r="E4199" s="7">
        <v>2238.16</v>
      </c>
      <c r="F4199" t="s">
        <v>20</v>
      </c>
      <c r="G4199" t="s">
        <v>21</v>
      </c>
      <c r="H4199" t="str">
        <f>"8301970024 7/2019"</f>
        <v>8301970024 7/2019</v>
      </c>
      <c r="I4199" t="str">
        <f t="shared" ref="I4199:I4211" si="80">"FRONTIER"</f>
        <v>FRONTIER</v>
      </c>
    </row>
    <row r="4200" spans="1:9" x14ac:dyDescent="0.25">
      <c r="A4200" s="6">
        <v>43684</v>
      </c>
      <c r="B4200" t="s">
        <v>26</v>
      </c>
      <c r="C4200">
        <v>61708</v>
      </c>
      <c r="D4200" t="s">
        <v>85</v>
      </c>
      <c r="E4200" s="7">
        <v>2238.16</v>
      </c>
      <c r="F4200" t="s">
        <v>20</v>
      </c>
      <c r="G4200" t="s">
        <v>21</v>
      </c>
      <c r="H4200" t="str">
        <f>"8302162691 8/19"</f>
        <v>8302162691 8/19</v>
      </c>
      <c r="I4200" t="str">
        <f t="shared" si="80"/>
        <v>FRONTIER</v>
      </c>
    </row>
    <row r="4201" spans="1:9" x14ac:dyDescent="0.25">
      <c r="A4201" s="6">
        <v>43684</v>
      </c>
      <c r="B4201" t="s">
        <v>26</v>
      </c>
      <c r="C4201">
        <v>61708</v>
      </c>
      <c r="D4201" t="s">
        <v>85</v>
      </c>
      <c r="E4201" s="7">
        <v>2238.16</v>
      </c>
      <c r="F4201" t="s">
        <v>20</v>
      </c>
      <c r="G4201" t="s">
        <v>21</v>
      </c>
      <c r="H4201" t="str">
        <f>"8302162733 7/19"</f>
        <v>8302162733 7/19</v>
      </c>
      <c r="I4201" t="str">
        <f t="shared" si="80"/>
        <v>FRONTIER</v>
      </c>
    </row>
    <row r="4202" spans="1:9" x14ac:dyDescent="0.25">
      <c r="A4202" s="6">
        <v>43684</v>
      </c>
      <c r="B4202" t="s">
        <v>26</v>
      </c>
      <c r="C4202">
        <v>61708</v>
      </c>
      <c r="D4202" t="s">
        <v>85</v>
      </c>
      <c r="E4202" s="7">
        <v>2238.16</v>
      </c>
      <c r="F4202" t="s">
        <v>20</v>
      </c>
      <c r="G4202" t="s">
        <v>21</v>
      </c>
      <c r="H4202" t="str">
        <f>"8302162745 8/19"</f>
        <v>8302162745 8/19</v>
      </c>
      <c r="I4202" t="str">
        <f t="shared" si="80"/>
        <v>FRONTIER</v>
      </c>
    </row>
    <row r="4203" spans="1:9" x14ac:dyDescent="0.25">
      <c r="A4203" s="6">
        <v>43684</v>
      </c>
      <c r="B4203" t="s">
        <v>26</v>
      </c>
      <c r="C4203">
        <v>61708</v>
      </c>
      <c r="D4203" t="s">
        <v>85</v>
      </c>
      <c r="E4203" s="7">
        <v>2238.16</v>
      </c>
      <c r="F4203" t="s">
        <v>20</v>
      </c>
      <c r="G4203" t="s">
        <v>21</v>
      </c>
      <c r="H4203" t="str">
        <f>"8302162755 7/19"</f>
        <v>8302162755 7/19</v>
      </c>
      <c r="I4203" t="str">
        <f t="shared" si="80"/>
        <v>FRONTIER</v>
      </c>
    </row>
    <row r="4204" spans="1:9" x14ac:dyDescent="0.25">
      <c r="A4204" s="6">
        <v>43684</v>
      </c>
      <c r="B4204" t="s">
        <v>26</v>
      </c>
      <c r="C4204">
        <v>61708</v>
      </c>
      <c r="D4204" t="s">
        <v>85</v>
      </c>
      <c r="E4204" s="7">
        <v>2238.16</v>
      </c>
      <c r="F4204" t="s">
        <v>20</v>
      </c>
      <c r="G4204" t="s">
        <v>21</v>
      </c>
      <c r="H4204" t="str">
        <f>"8303932056 8/19"</f>
        <v>8303932056 8/19</v>
      </c>
      <c r="I4204" t="str">
        <f t="shared" si="80"/>
        <v>FRONTIER</v>
      </c>
    </row>
    <row r="4205" spans="1:9" x14ac:dyDescent="0.25">
      <c r="A4205" s="6">
        <v>43684</v>
      </c>
      <c r="B4205" t="s">
        <v>26</v>
      </c>
      <c r="C4205">
        <v>61708</v>
      </c>
      <c r="D4205" t="s">
        <v>85</v>
      </c>
      <c r="E4205" s="7">
        <v>2238.16</v>
      </c>
      <c r="F4205" t="s">
        <v>20</v>
      </c>
      <c r="G4205" t="s">
        <v>21</v>
      </c>
      <c r="H4205" t="str">
        <f>"8303932804 7/19"</f>
        <v>8303932804 7/19</v>
      </c>
      <c r="I4205" t="str">
        <f t="shared" si="80"/>
        <v>FRONTIER</v>
      </c>
    </row>
    <row r="4206" spans="1:9" x14ac:dyDescent="0.25">
      <c r="A4206" s="6">
        <v>43684</v>
      </c>
      <c r="B4206" t="s">
        <v>26</v>
      </c>
      <c r="C4206">
        <v>61708</v>
      </c>
      <c r="D4206" t="s">
        <v>85</v>
      </c>
      <c r="E4206" s="7">
        <v>2238.16</v>
      </c>
      <c r="F4206" t="s">
        <v>20</v>
      </c>
      <c r="G4206" t="s">
        <v>21</v>
      </c>
      <c r="H4206" t="str">
        <f>"8303933105 8/19"</f>
        <v>8303933105 8/19</v>
      </c>
      <c r="I4206" t="str">
        <f t="shared" si="80"/>
        <v>FRONTIER</v>
      </c>
    </row>
    <row r="4207" spans="1:9" x14ac:dyDescent="0.25">
      <c r="A4207" s="6">
        <v>43684</v>
      </c>
      <c r="B4207" t="s">
        <v>26</v>
      </c>
      <c r="C4207">
        <v>61708</v>
      </c>
      <c r="D4207" t="s">
        <v>85</v>
      </c>
      <c r="E4207" s="7">
        <v>2238.16</v>
      </c>
      <c r="F4207" t="s">
        <v>20</v>
      </c>
      <c r="G4207" t="s">
        <v>21</v>
      </c>
      <c r="H4207" t="str">
        <f>"8303933186 8/19"</f>
        <v>8303933186 8/19</v>
      </c>
      <c r="I4207" t="str">
        <f t="shared" si="80"/>
        <v>FRONTIER</v>
      </c>
    </row>
    <row r="4208" spans="1:9" x14ac:dyDescent="0.25">
      <c r="A4208" s="6">
        <v>43684</v>
      </c>
      <c r="B4208" t="s">
        <v>26</v>
      </c>
      <c r="C4208">
        <v>61708</v>
      </c>
      <c r="D4208" t="s">
        <v>85</v>
      </c>
      <c r="E4208" s="7">
        <v>2238.16</v>
      </c>
      <c r="F4208" t="s">
        <v>20</v>
      </c>
      <c r="G4208" t="s">
        <v>21</v>
      </c>
      <c r="H4208" t="str">
        <f>"8303933718 8/19"</f>
        <v>8303933718 8/19</v>
      </c>
      <c r="I4208" t="str">
        <f t="shared" si="80"/>
        <v>FRONTIER</v>
      </c>
    </row>
    <row r="4209" spans="1:9" x14ac:dyDescent="0.25">
      <c r="A4209" s="6">
        <v>43684</v>
      </c>
      <c r="B4209" t="s">
        <v>26</v>
      </c>
      <c r="C4209">
        <v>61708</v>
      </c>
      <c r="D4209" t="s">
        <v>85</v>
      </c>
      <c r="E4209" s="7">
        <v>2238.16</v>
      </c>
      <c r="F4209" t="s">
        <v>20</v>
      </c>
      <c r="G4209" t="s">
        <v>21</v>
      </c>
      <c r="H4209" t="str">
        <f>"8303936616 8/2019"</f>
        <v>8303936616 8/2019</v>
      </c>
      <c r="I4209" t="str">
        <f t="shared" si="80"/>
        <v>FRONTIER</v>
      </c>
    </row>
    <row r="4210" spans="1:9" x14ac:dyDescent="0.25">
      <c r="A4210" s="6">
        <v>43684</v>
      </c>
      <c r="B4210" t="s">
        <v>26</v>
      </c>
      <c r="C4210">
        <v>61708</v>
      </c>
      <c r="D4210" t="s">
        <v>85</v>
      </c>
      <c r="E4210" s="7">
        <v>2238.16</v>
      </c>
      <c r="F4210" t="s">
        <v>20</v>
      </c>
      <c r="G4210" t="s">
        <v>21</v>
      </c>
      <c r="H4210" t="str">
        <f>"8303936794 7/19"</f>
        <v>8303936794 7/19</v>
      </c>
      <c r="I4210" t="str">
        <f t="shared" si="80"/>
        <v>FRONTIER</v>
      </c>
    </row>
    <row r="4211" spans="1:9" x14ac:dyDescent="0.25">
      <c r="A4211" s="6">
        <v>43684</v>
      </c>
      <c r="B4211" t="s">
        <v>26</v>
      </c>
      <c r="C4211">
        <v>61708</v>
      </c>
      <c r="D4211" t="s">
        <v>85</v>
      </c>
      <c r="E4211" s="7">
        <v>2238.16</v>
      </c>
      <c r="F4211" t="s">
        <v>20</v>
      </c>
      <c r="G4211" t="s">
        <v>21</v>
      </c>
      <c r="H4211" t="str">
        <f>"8303939456 8/19"</f>
        <v>8303939456 8/19</v>
      </c>
      <c r="I4211" t="str">
        <f t="shared" si="80"/>
        <v>FRONTIER</v>
      </c>
    </row>
    <row r="4212" spans="1:9" x14ac:dyDescent="0.25">
      <c r="A4212" s="6">
        <v>43684</v>
      </c>
      <c r="B4212" t="s">
        <v>26</v>
      </c>
      <c r="C4212">
        <v>61711</v>
      </c>
      <c r="D4212" t="s">
        <v>47</v>
      </c>
      <c r="E4212" s="7">
        <v>76857.100000000006</v>
      </c>
      <c r="F4212" t="s">
        <v>20</v>
      </c>
      <c r="G4212" t="s">
        <v>21</v>
      </c>
      <c r="H4212" t="str">
        <f>"COFEP7222019"</f>
        <v>COFEP7222019</v>
      </c>
      <c r="I4212" t="str">
        <f>"HEARTLAND PARK &amp; RECREATION  L"</f>
        <v>HEARTLAND PARK &amp; RECREATION  L</v>
      </c>
    </row>
    <row r="4213" spans="1:9" x14ac:dyDescent="0.25">
      <c r="A4213" s="6">
        <v>43684</v>
      </c>
      <c r="B4213" t="s">
        <v>26</v>
      </c>
      <c r="C4213">
        <v>61712</v>
      </c>
      <c r="D4213" t="s">
        <v>336</v>
      </c>
      <c r="E4213" s="7">
        <v>308.2</v>
      </c>
      <c r="F4213" t="s">
        <v>20</v>
      </c>
      <c r="G4213" t="s">
        <v>21</v>
      </c>
      <c r="H4213" t="str">
        <f>"CLASS 8/5/19"</f>
        <v>CLASS 8/5/19</v>
      </c>
      <c r="I4213" t="str">
        <f>"BILLY HERRERA"</f>
        <v>BILLY HERRERA</v>
      </c>
    </row>
    <row r="4214" spans="1:9" x14ac:dyDescent="0.25">
      <c r="A4214" s="6">
        <v>43684</v>
      </c>
      <c r="B4214" t="s">
        <v>26</v>
      </c>
      <c r="C4214">
        <v>61713</v>
      </c>
      <c r="D4214" t="s">
        <v>195</v>
      </c>
      <c r="E4214" s="7">
        <v>4834.67</v>
      </c>
      <c r="F4214" t="s">
        <v>20</v>
      </c>
      <c r="G4214" t="s">
        <v>21</v>
      </c>
      <c r="H4214" t="str">
        <f>"1565201907"</f>
        <v>1565201907</v>
      </c>
      <c r="I4214" t="str">
        <f>"ARISTA INFORMATION SYSTEMS  IN"</f>
        <v>ARISTA INFORMATION SYSTEMS  IN</v>
      </c>
    </row>
    <row r="4215" spans="1:9" x14ac:dyDescent="0.25">
      <c r="A4215" s="6">
        <v>43684</v>
      </c>
      <c r="B4215" t="s">
        <v>26</v>
      </c>
      <c r="C4215">
        <v>61713</v>
      </c>
      <c r="D4215" t="s">
        <v>195</v>
      </c>
      <c r="E4215" s="7">
        <v>4834.67</v>
      </c>
      <c r="F4215" t="s">
        <v>20</v>
      </c>
      <c r="G4215" t="s">
        <v>21</v>
      </c>
      <c r="H4215" t="str">
        <f>"27864"</f>
        <v>27864</v>
      </c>
      <c r="I4215" t="str">
        <f>"ARISTA INFORMATION SYSTEMS  IN"</f>
        <v>ARISTA INFORMATION SYSTEMS  IN</v>
      </c>
    </row>
    <row r="4216" spans="1:9" x14ac:dyDescent="0.25">
      <c r="A4216" s="6">
        <v>43684</v>
      </c>
      <c r="B4216" t="s">
        <v>26</v>
      </c>
      <c r="C4216">
        <v>61714</v>
      </c>
      <c r="D4216" t="s">
        <v>642</v>
      </c>
      <c r="E4216" s="7">
        <v>1146.57</v>
      </c>
      <c r="F4216" t="s">
        <v>20</v>
      </c>
      <c r="G4216" t="s">
        <v>21</v>
      </c>
      <c r="H4216" t="str">
        <f>"5333261590"</f>
        <v>5333261590</v>
      </c>
      <c r="I4216" t="str">
        <f>"SCRUBBER REPAIR"</f>
        <v>SCRUBBER REPAIR</v>
      </c>
    </row>
    <row r="4217" spans="1:9" x14ac:dyDescent="0.25">
      <c r="A4217" s="6">
        <v>43684</v>
      </c>
      <c r="B4217" t="s">
        <v>26</v>
      </c>
      <c r="C4217">
        <v>61714</v>
      </c>
      <c r="D4217" t="s">
        <v>642</v>
      </c>
      <c r="E4217" s="7">
        <v>1146.57</v>
      </c>
      <c r="F4217" t="s">
        <v>20</v>
      </c>
      <c r="G4217" t="s">
        <v>21</v>
      </c>
      <c r="H4217" t="str">
        <f>"5333282661"</f>
        <v>5333282661</v>
      </c>
      <c r="I4217" t="str">
        <f>"SCRUBBER REPAIR"</f>
        <v>SCRUBBER REPAIR</v>
      </c>
    </row>
    <row r="4218" spans="1:9" x14ac:dyDescent="0.25">
      <c r="A4218" s="6">
        <v>43684</v>
      </c>
      <c r="B4218" t="s">
        <v>26</v>
      </c>
      <c r="C4218">
        <v>61715</v>
      </c>
      <c r="D4218" t="s">
        <v>200</v>
      </c>
      <c r="E4218" s="7">
        <v>5500</v>
      </c>
      <c r="F4218" t="s">
        <v>20</v>
      </c>
      <c r="G4218" t="s">
        <v>21</v>
      </c>
      <c r="H4218" t="str">
        <f>"136"</f>
        <v>136</v>
      </c>
      <c r="I4218" t="str">
        <f>"MARIO AVILES"</f>
        <v>MARIO AVILES</v>
      </c>
    </row>
    <row r="4219" spans="1:9" x14ac:dyDescent="0.25">
      <c r="A4219" s="6">
        <v>43684</v>
      </c>
      <c r="B4219" t="s">
        <v>91</v>
      </c>
      <c r="C4219">
        <v>61716</v>
      </c>
      <c r="D4219" t="s">
        <v>142</v>
      </c>
      <c r="E4219" s="7">
        <v>189</v>
      </c>
      <c r="F4219" t="s">
        <v>20</v>
      </c>
      <c r="G4219" t="s">
        <v>21</v>
      </c>
      <c r="H4219" t="str">
        <f>"S955041350"</f>
        <v>S955041350</v>
      </c>
      <c r="I4219" t="str">
        <f>"SPORTS MEDIA"</f>
        <v>SPORTS MEDIA</v>
      </c>
    </row>
    <row r="4220" spans="1:9" x14ac:dyDescent="0.25">
      <c r="A4220" s="6">
        <v>43684</v>
      </c>
      <c r="B4220" t="s">
        <v>26</v>
      </c>
      <c r="C4220">
        <v>61717</v>
      </c>
      <c r="D4220" t="s">
        <v>197</v>
      </c>
      <c r="E4220" s="7">
        <v>2700</v>
      </c>
      <c r="F4220" t="s">
        <v>20</v>
      </c>
      <c r="G4220" t="s">
        <v>21</v>
      </c>
      <c r="H4220" t="str">
        <f>"192709"</f>
        <v>192709</v>
      </c>
      <c r="I4220" t="str">
        <f>"CHEMICALS"</f>
        <v>CHEMICALS</v>
      </c>
    </row>
    <row r="4221" spans="1:9" x14ac:dyDescent="0.25">
      <c r="A4221" s="6">
        <v>43684</v>
      </c>
      <c r="B4221" t="s">
        <v>26</v>
      </c>
      <c r="C4221">
        <v>61718</v>
      </c>
      <c r="D4221" t="s">
        <v>233</v>
      </c>
      <c r="E4221" s="7">
        <v>40</v>
      </c>
      <c r="F4221" t="s">
        <v>20</v>
      </c>
      <c r="G4221" t="s">
        <v>21</v>
      </c>
      <c r="H4221" t="str">
        <f>"TCEQ TEST 8/15/19"</f>
        <v>TCEQ TEST 8/15/19</v>
      </c>
      <c r="I4221" t="str">
        <f>"STEFANO CANTU"</f>
        <v>STEFANO CANTU</v>
      </c>
    </row>
    <row r="4222" spans="1:9" x14ac:dyDescent="0.25">
      <c r="A4222" s="6">
        <v>43684</v>
      </c>
      <c r="B4222" t="s">
        <v>26</v>
      </c>
      <c r="C4222">
        <v>61719</v>
      </c>
      <c r="D4222" t="s">
        <v>346</v>
      </c>
      <c r="E4222" s="7">
        <v>27500</v>
      </c>
      <c r="F4222" t="s">
        <v>20</v>
      </c>
      <c r="G4222" t="s">
        <v>21</v>
      </c>
      <c r="H4222" t="str">
        <f>"06/11-07/11 2019"</f>
        <v>06/11-07/11 2019</v>
      </c>
      <c r="I4222" t="str">
        <f>"SYLVIA RODRIGUEZ"</f>
        <v>SYLVIA RODRIGUEZ</v>
      </c>
    </row>
    <row r="4223" spans="1:9" x14ac:dyDescent="0.25">
      <c r="A4223" s="6">
        <v>43684</v>
      </c>
      <c r="B4223" t="s">
        <v>26</v>
      </c>
      <c r="C4223">
        <v>61719</v>
      </c>
      <c r="D4223" t="s">
        <v>346</v>
      </c>
      <c r="E4223" s="7">
        <v>27500</v>
      </c>
      <c r="F4223" t="s">
        <v>20</v>
      </c>
      <c r="G4223" t="s">
        <v>21</v>
      </c>
      <c r="H4223" t="str">
        <f>"07/11-8/11 2019"</f>
        <v>07/11-8/11 2019</v>
      </c>
      <c r="I4223" t="str">
        <f>"SYLVIA RODRIGUEZ"</f>
        <v>SYLVIA RODRIGUEZ</v>
      </c>
    </row>
    <row r="4224" spans="1:9" x14ac:dyDescent="0.25">
      <c r="A4224" s="6">
        <v>43684</v>
      </c>
      <c r="B4224" t="s">
        <v>26</v>
      </c>
      <c r="C4224">
        <v>61721</v>
      </c>
      <c r="D4224" t="s">
        <v>398</v>
      </c>
      <c r="E4224" s="7">
        <v>55</v>
      </c>
      <c r="F4224" t="s">
        <v>20</v>
      </c>
      <c r="G4224" t="s">
        <v>21</v>
      </c>
      <c r="H4224" t="str">
        <f>"2080119"</f>
        <v>2080119</v>
      </c>
      <c r="I4224" t="str">
        <f>"INTERCEPTOR TECHNOLOGY GROUP L"</f>
        <v>INTERCEPTOR TECHNOLOGY GROUP L</v>
      </c>
    </row>
    <row r="4225" spans="1:9" x14ac:dyDescent="0.25">
      <c r="A4225" s="6">
        <v>43684</v>
      </c>
      <c r="B4225" t="s">
        <v>26</v>
      </c>
      <c r="C4225">
        <v>61722</v>
      </c>
      <c r="D4225" t="s">
        <v>443</v>
      </c>
      <c r="E4225" s="7">
        <v>4116.67</v>
      </c>
      <c r="F4225" t="s">
        <v>20</v>
      </c>
      <c r="G4225" t="s">
        <v>21</v>
      </c>
      <c r="H4225" t="str">
        <f>"10581"</f>
        <v>10581</v>
      </c>
      <c r="I4225" t="str">
        <f>"RIOJAS TURF CARE  LLC"</f>
        <v>RIOJAS TURF CARE  LLC</v>
      </c>
    </row>
    <row r="4226" spans="1:9" x14ac:dyDescent="0.25">
      <c r="A4226" s="6">
        <v>43684</v>
      </c>
      <c r="B4226" t="s">
        <v>26</v>
      </c>
      <c r="C4226">
        <v>61723</v>
      </c>
      <c r="D4226" t="s">
        <v>568</v>
      </c>
      <c r="E4226" s="7">
        <v>338.97</v>
      </c>
      <c r="F4226" t="s">
        <v>20</v>
      </c>
      <c r="G4226" t="s">
        <v>21</v>
      </c>
      <c r="H4226" t="str">
        <f>"8210668"</f>
        <v>8210668</v>
      </c>
      <c r="I4226" t="str">
        <f>"TIRE HUB"</f>
        <v>TIRE HUB</v>
      </c>
    </row>
    <row r="4227" spans="1:9" x14ac:dyDescent="0.25">
      <c r="A4227" s="6">
        <v>43684</v>
      </c>
      <c r="B4227" t="s">
        <v>26</v>
      </c>
      <c r="C4227">
        <v>61724</v>
      </c>
      <c r="D4227" t="s">
        <v>644</v>
      </c>
      <c r="E4227" s="7">
        <v>1613.41</v>
      </c>
      <c r="F4227" t="s">
        <v>20</v>
      </c>
      <c r="G4227" t="s">
        <v>21</v>
      </c>
      <c r="H4227" t="str">
        <f>"8213340839"</f>
        <v>8213340839</v>
      </c>
      <c r="I4227" t="str">
        <f t="shared" ref="I4227:I4248" si="81">"UNIFIRST CORPORATION"</f>
        <v>UNIFIRST CORPORATION</v>
      </c>
    </row>
    <row r="4228" spans="1:9" x14ac:dyDescent="0.25">
      <c r="A4228" s="6">
        <v>43684</v>
      </c>
      <c r="B4228" t="s">
        <v>26</v>
      </c>
      <c r="C4228">
        <v>61724</v>
      </c>
      <c r="D4228" t="s">
        <v>644</v>
      </c>
      <c r="E4228" s="7">
        <v>1613.41</v>
      </c>
      <c r="F4228" t="s">
        <v>20</v>
      </c>
      <c r="G4228" t="s">
        <v>21</v>
      </c>
      <c r="H4228" t="str">
        <f>"8213340840"</f>
        <v>8213340840</v>
      </c>
      <c r="I4228" t="str">
        <f t="shared" si="81"/>
        <v>UNIFIRST CORPORATION</v>
      </c>
    </row>
    <row r="4229" spans="1:9" x14ac:dyDescent="0.25">
      <c r="A4229" s="6">
        <v>43684</v>
      </c>
      <c r="B4229" t="s">
        <v>26</v>
      </c>
      <c r="C4229">
        <v>61724</v>
      </c>
      <c r="D4229" t="s">
        <v>644</v>
      </c>
      <c r="E4229" s="7">
        <v>1613.41</v>
      </c>
      <c r="F4229" t="s">
        <v>20</v>
      </c>
      <c r="G4229" t="s">
        <v>21</v>
      </c>
      <c r="H4229" t="str">
        <f>"8213340841"</f>
        <v>8213340841</v>
      </c>
      <c r="I4229" t="str">
        <f t="shared" si="81"/>
        <v>UNIFIRST CORPORATION</v>
      </c>
    </row>
    <row r="4230" spans="1:9" x14ac:dyDescent="0.25">
      <c r="A4230" s="6">
        <v>43684</v>
      </c>
      <c r="B4230" t="s">
        <v>26</v>
      </c>
      <c r="C4230">
        <v>61724</v>
      </c>
      <c r="D4230" t="s">
        <v>644</v>
      </c>
      <c r="E4230" s="7">
        <v>1613.41</v>
      </c>
      <c r="F4230" t="s">
        <v>20</v>
      </c>
      <c r="G4230" t="s">
        <v>21</v>
      </c>
      <c r="H4230" t="str">
        <f>"8213340842"</f>
        <v>8213340842</v>
      </c>
      <c r="I4230" t="str">
        <f t="shared" si="81"/>
        <v>UNIFIRST CORPORATION</v>
      </c>
    </row>
    <row r="4231" spans="1:9" x14ac:dyDescent="0.25">
      <c r="A4231" s="6">
        <v>43684</v>
      </c>
      <c r="B4231" t="s">
        <v>26</v>
      </c>
      <c r="C4231">
        <v>61724</v>
      </c>
      <c r="D4231" t="s">
        <v>644</v>
      </c>
      <c r="E4231" s="7">
        <v>1613.41</v>
      </c>
      <c r="F4231" t="s">
        <v>20</v>
      </c>
      <c r="G4231" t="s">
        <v>21</v>
      </c>
      <c r="H4231" t="str">
        <f>"8213340843"</f>
        <v>8213340843</v>
      </c>
      <c r="I4231" t="str">
        <f t="shared" si="81"/>
        <v>UNIFIRST CORPORATION</v>
      </c>
    </row>
    <row r="4232" spans="1:9" x14ac:dyDescent="0.25">
      <c r="A4232" s="6">
        <v>43684</v>
      </c>
      <c r="B4232" t="s">
        <v>26</v>
      </c>
      <c r="C4232">
        <v>61724</v>
      </c>
      <c r="D4232" t="s">
        <v>644</v>
      </c>
      <c r="E4232" s="7">
        <v>1613.41</v>
      </c>
      <c r="F4232" t="s">
        <v>20</v>
      </c>
      <c r="G4232" t="s">
        <v>21</v>
      </c>
      <c r="H4232" t="str">
        <f>"8213340844"</f>
        <v>8213340844</v>
      </c>
      <c r="I4232" t="str">
        <f t="shared" si="81"/>
        <v>UNIFIRST CORPORATION</v>
      </c>
    </row>
    <row r="4233" spans="1:9" x14ac:dyDescent="0.25">
      <c r="A4233" s="6">
        <v>43684</v>
      </c>
      <c r="B4233" t="s">
        <v>26</v>
      </c>
      <c r="C4233">
        <v>61724</v>
      </c>
      <c r="D4233" t="s">
        <v>644</v>
      </c>
      <c r="E4233" s="7">
        <v>1613.41</v>
      </c>
      <c r="F4233" t="s">
        <v>20</v>
      </c>
      <c r="G4233" t="s">
        <v>21</v>
      </c>
      <c r="H4233" t="str">
        <f>"8213343451"</f>
        <v>8213343451</v>
      </c>
      <c r="I4233" t="str">
        <f t="shared" si="81"/>
        <v>UNIFIRST CORPORATION</v>
      </c>
    </row>
    <row r="4234" spans="1:9" x14ac:dyDescent="0.25">
      <c r="A4234" s="6">
        <v>43684</v>
      </c>
      <c r="B4234" t="s">
        <v>26</v>
      </c>
      <c r="C4234">
        <v>61724</v>
      </c>
      <c r="D4234" t="s">
        <v>644</v>
      </c>
      <c r="E4234" s="7">
        <v>1613.41</v>
      </c>
      <c r="F4234" t="s">
        <v>20</v>
      </c>
      <c r="G4234" t="s">
        <v>21</v>
      </c>
      <c r="H4234" t="str">
        <f>"8213343452"</f>
        <v>8213343452</v>
      </c>
      <c r="I4234" t="str">
        <f t="shared" si="81"/>
        <v>UNIFIRST CORPORATION</v>
      </c>
    </row>
    <row r="4235" spans="1:9" x14ac:dyDescent="0.25">
      <c r="A4235" s="6">
        <v>43684</v>
      </c>
      <c r="B4235" t="s">
        <v>26</v>
      </c>
      <c r="C4235">
        <v>61724</v>
      </c>
      <c r="D4235" t="s">
        <v>644</v>
      </c>
      <c r="E4235" s="7">
        <v>1613.41</v>
      </c>
      <c r="F4235" t="s">
        <v>20</v>
      </c>
      <c r="G4235" t="s">
        <v>21</v>
      </c>
      <c r="H4235" t="str">
        <f>"8213343453"</f>
        <v>8213343453</v>
      </c>
      <c r="I4235" t="str">
        <f t="shared" si="81"/>
        <v>UNIFIRST CORPORATION</v>
      </c>
    </row>
    <row r="4236" spans="1:9" x14ac:dyDescent="0.25">
      <c r="A4236" s="6">
        <v>43684</v>
      </c>
      <c r="B4236" t="s">
        <v>26</v>
      </c>
      <c r="C4236">
        <v>61724</v>
      </c>
      <c r="D4236" t="s">
        <v>644</v>
      </c>
      <c r="E4236" s="7">
        <v>1613.41</v>
      </c>
      <c r="F4236" t="s">
        <v>20</v>
      </c>
      <c r="G4236" t="s">
        <v>21</v>
      </c>
      <c r="H4236" t="str">
        <f>"8213346002"</f>
        <v>8213346002</v>
      </c>
      <c r="I4236" t="str">
        <f t="shared" si="81"/>
        <v>UNIFIRST CORPORATION</v>
      </c>
    </row>
    <row r="4237" spans="1:9" x14ac:dyDescent="0.25">
      <c r="A4237" s="6">
        <v>43684</v>
      </c>
      <c r="B4237" t="s">
        <v>26</v>
      </c>
      <c r="C4237">
        <v>61724</v>
      </c>
      <c r="D4237" t="s">
        <v>644</v>
      </c>
      <c r="E4237" s="7">
        <v>1613.41</v>
      </c>
      <c r="F4237" t="s">
        <v>20</v>
      </c>
      <c r="G4237" t="s">
        <v>21</v>
      </c>
      <c r="H4237" t="str">
        <f>"8213346003"</f>
        <v>8213346003</v>
      </c>
      <c r="I4237" t="str">
        <f t="shared" si="81"/>
        <v>UNIFIRST CORPORATION</v>
      </c>
    </row>
    <row r="4238" spans="1:9" x14ac:dyDescent="0.25">
      <c r="A4238" s="6">
        <v>43684</v>
      </c>
      <c r="B4238" t="s">
        <v>26</v>
      </c>
      <c r="C4238">
        <v>61724</v>
      </c>
      <c r="D4238" t="s">
        <v>644</v>
      </c>
      <c r="E4238" s="7">
        <v>1613.41</v>
      </c>
      <c r="F4238" t="s">
        <v>20</v>
      </c>
      <c r="G4238" t="s">
        <v>21</v>
      </c>
      <c r="H4238" t="str">
        <f>"8213346004"</f>
        <v>8213346004</v>
      </c>
      <c r="I4238" t="str">
        <f t="shared" si="81"/>
        <v>UNIFIRST CORPORATION</v>
      </c>
    </row>
    <row r="4239" spans="1:9" x14ac:dyDescent="0.25">
      <c r="A4239" s="6">
        <v>43684</v>
      </c>
      <c r="B4239" t="s">
        <v>26</v>
      </c>
      <c r="C4239">
        <v>61724</v>
      </c>
      <c r="D4239" t="s">
        <v>644</v>
      </c>
      <c r="E4239" s="7">
        <v>1613.41</v>
      </c>
      <c r="F4239" t="s">
        <v>20</v>
      </c>
      <c r="G4239" t="s">
        <v>21</v>
      </c>
      <c r="H4239" t="str">
        <f>"8213346005"</f>
        <v>8213346005</v>
      </c>
      <c r="I4239" t="str">
        <f t="shared" si="81"/>
        <v>UNIFIRST CORPORATION</v>
      </c>
    </row>
    <row r="4240" spans="1:9" x14ac:dyDescent="0.25">
      <c r="A4240" s="6">
        <v>43684</v>
      </c>
      <c r="B4240" t="s">
        <v>26</v>
      </c>
      <c r="C4240">
        <v>61724</v>
      </c>
      <c r="D4240" t="s">
        <v>644</v>
      </c>
      <c r="E4240" s="7">
        <v>1613.41</v>
      </c>
      <c r="F4240" t="s">
        <v>20</v>
      </c>
      <c r="G4240" t="s">
        <v>21</v>
      </c>
      <c r="H4240" t="str">
        <f>"8213346006"</f>
        <v>8213346006</v>
      </c>
      <c r="I4240" t="str">
        <f t="shared" si="81"/>
        <v>UNIFIRST CORPORATION</v>
      </c>
    </row>
    <row r="4241" spans="1:9" x14ac:dyDescent="0.25">
      <c r="A4241" s="6">
        <v>43684</v>
      </c>
      <c r="B4241" t="s">
        <v>26</v>
      </c>
      <c r="C4241">
        <v>61724</v>
      </c>
      <c r="D4241" t="s">
        <v>644</v>
      </c>
      <c r="E4241" s="7">
        <v>1613.41</v>
      </c>
      <c r="F4241" t="s">
        <v>20</v>
      </c>
      <c r="G4241" t="s">
        <v>21</v>
      </c>
      <c r="H4241" t="str">
        <f>"8213346007"</f>
        <v>8213346007</v>
      </c>
      <c r="I4241" t="str">
        <f t="shared" si="81"/>
        <v>UNIFIRST CORPORATION</v>
      </c>
    </row>
    <row r="4242" spans="1:9" x14ac:dyDescent="0.25">
      <c r="A4242" s="6">
        <v>43684</v>
      </c>
      <c r="B4242" t="s">
        <v>26</v>
      </c>
      <c r="C4242">
        <v>61724</v>
      </c>
      <c r="D4242" t="s">
        <v>644</v>
      </c>
      <c r="E4242" s="7">
        <v>1613.41</v>
      </c>
      <c r="F4242" t="s">
        <v>20</v>
      </c>
      <c r="G4242" t="s">
        <v>21</v>
      </c>
      <c r="H4242" t="str">
        <f>"8213346008"</f>
        <v>8213346008</v>
      </c>
      <c r="I4242" t="str">
        <f t="shared" si="81"/>
        <v>UNIFIRST CORPORATION</v>
      </c>
    </row>
    <row r="4243" spans="1:9" x14ac:dyDescent="0.25">
      <c r="A4243" s="6">
        <v>43684</v>
      </c>
      <c r="B4243" t="s">
        <v>26</v>
      </c>
      <c r="C4243">
        <v>61724</v>
      </c>
      <c r="D4243" t="s">
        <v>644</v>
      </c>
      <c r="E4243" s="7">
        <v>1613.41</v>
      </c>
      <c r="F4243" t="s">
        <v>20</v>
      </c>
      <c r="G4243" t="s">
        <v>21</v>
      </c>
      <c r="H4243" t="str">
        <f>"8213348653"</f>
        <v>8213348653</v>
      </c>
      <c r="I4243" t="str">
        <f t="shared" si="81"/>
        <v>UNIFIRST CORPORATION</v>
      </c>
    </row>
    <row r="4244" spans="1:9" x14ac:dyDescent="0.25">
      <c r="A4244" s="6">
        <v>43684</v>
      </c>
      <c r="B4244" t="s">
        <v>26</v>
      </c>
      <c r="C4244">
        <v>61724</v>
      </c>
      <c r="D4244" t="s">
        <v>644</v>
      </c>
      <c r="E4244" s="7">
        <v>1613.41</v>
      </c>
      <c r="F4244" t="s">
        <v>20</v>
      </c>
      <c r="G4244" t="s">
        <v>21</v>
      </c>
      <c r="H4244" t="str">
        <f>"8213348654"</f>
        <v>8213348654</v>
      </c>
      <c r="I4244" t="str">
        <f t="shared" si="81"/>
        <v>UNIFIRST CORPORATION</v>
      </c>
    </row>
    <row r="4245" spans="1:9" x14ac:dyDescent="0.25">
      <c r="A4245" s="6">
        <v>43684</v>
      </c>
      <c r="B4245" t="s">
        <v>26</v>
      </c>
      <c r="C4245">
        <v>61724</v>
      </c>
      <c r="D4245" t="s">
        <v>644</v>
      </c>
      <c r="E4245" s="7">
        <v>1613.41</v>
      </c>
      <c r="F4245" t="s">
        <v>20</v>
      </c>
      <c r="G4245" t="s">
        <v>21</v>
      </c>
      <c r="H4245" t="str">
        <f>"8213348655"</f>
        <v>8213348655</v>
      </c>
      <c r="I4245" t="str">
        <f t="shared" si="81"/>
        <v>UNIFIRST CORPORATION</v>
      </c>
    </row>
    <row r="4246" spans="1:9" x14ac:dyDescent="0.25">
      <c r="A4246" s="6">
        <v>43684</v>
      </c>
      <c r="B4246" t="s">
        <v>26</v>
      </c>
      <c r="C4246">
        <v>61724</v>
      </c>
      <c r="D4246" t="s">
        <v>644</v>
      </c>
      <c r="E4246" s="7">
        <v>1613.41</v>
      </c>
      <c r="F4246" t="s">
        <v>20</v>
      </c>
      <c r="G4246" t="s">
        <v>21</v>
      </c>
      <c r="H4246" t="str">
        <f>"8213348656"</f>
        <v>8213348656</v>
      </c>
      <c r="I4246" t="str">
        <f t="shared" si="81"/>
        <v>UNIFIRST CORPORATION</v>
      </c>
    </row>
    <row r="4247" spans="1:9" x14ac:dyDescent="0.25">
      <c r="A4247" s="6">
        <v>43684</v>
      </c>
      <c r="B4247" t="s">
        <v>26</v>
      </c>
      <c r="C4247">
        <v>61724</v>
      </c>
      <c r="D4247" t="s">
        <v>644</v>
      </c>
      <c r="E4247" s="7">
        <v>1613.41</v>
      </c>
      <c r="F4247" t="s">
        <v>20</v>
      </c>
      <c r="G4247" t="s">
        <v>21</v>
      </c>
      <c r="H4247" t="str">
        <f>"8213348657"</f>
        <v>8213348657</v>
      </c>
      <c r="I4247" t="str">
        <f t="shared" si="81"/>
        <v>UNIFIRST CORPORATION</v>
      </c>
    </row>
    <row r="4248" spans="1:9" x14ac:dyDescent="0.25">
      <c r="A4248" s="6">
        <v>43684</v>
      </c>
      <c r="B4248" t="s">
        <v>26</v>
      </c>
      <c r="C4248">
        <v>61724</v>
      </c>
      <c r="D4248" t="s">
        <v>644</v>
      </c>
      <c r="E4248" s="7">
        <v>1613.41</v>
      </c>
      <c r="F4248" t="s">
        <v>20</v>
      </c>
      <c r="G4248" t="s">
        <v>21</v>
      </c>
      <c r="H4248" t="str">
        <f>"8213348658"</f>
        <v>8213348658</v>
      </c>
      <c r="I4248" t="str">
        <f t="shared" si="81"/>
        <v>UNIFIRST CORPORATION</v>
      </c>
    </row>
    <row r="4249" spans="1:9" x14ac:dyDescent="0.25">
      <c r="A4249" s="6">
        <v>43684</v>
      </c>
      <c r="B4249" t="s">
        <v>26</v>
      </c>
      <c r="C4249">
        <v>61729</v>
      </c>
      <c r="D4249" t="s">
        <v>786</v>
      </c>
      <c r="E4249" s="7">
        <v>12348</v>
      </c>
      <c r="F4249" t="s">
        <v>20</v>
      </c>
      <c r="G4249" t="s">
        <v>21</v>
      </c>
      <c r="H4249" t="str">
        <f>"0102269-IN"</f>
        <v>0102269-IN</v>
      </c>
      <c r="I4249" t="str">
        <f>"MATERIAL FOR W WATER DEPT"</f>
        <v>MATERIAL FOR W WATER DEPT</v>
      </c>
    </row>
    <row r="4250" spans="1:9" x14ac:dyDescent="0.25">
      <c r="A4250" s="6">
        <v>43685</v>
      </c>
      <c r="B4250" t="s">
        <v>26</v>
      </c>
      <c r="C4250">
        <v>61730</v>
      </c>
      <c r="D4250" t="s">
        <v>345</v>
      </c>
      <c r="E4250" s="7">
        <v>385</v>
      </c>
      <c r="F4250" t="s">
        <v>20</v>
      </c>
      <c r="G4250" t="s">
        <v>21</v>
      </c>
      <c r="H4250" t="str">
        <f>"8/5/19"</f>
        <v>8/5/19</v>
      </c>
      <c r="I4250" t="str">
        <f>"MICHAEL ISAAC MARTINEZ"</f>
        <v>MICHAEL ISAAC MARTINEZ</v>
      </c>
    </row>
    <row r="4251" spans="1:9" x14ac:dyDescent="0.25">
      <c r="A4251" s="6">
        <v>43685</v>
      </c>
      <c r="B4251" t="s">
        <v>26</v>
      </c>
      <c r="C4251">
        <v>61731</v>
      </c>
      <c r="D4251" t="s">
        <v>452</v>
      </c>
      <c r="E4251" s="7">
        <v>70</v>
      </c>
      <c r="F4251" t="s">
        <v>20</v>
      </c>
      <c r="G4251" t="s">
        <v>21</v>
      </c>
      <c r="H4251" t="str">
        <f>"8/5/19"</f>
        <v>8/5/19</v>
      </c>
      <c r="I4251" t="str">
        <f>"DESIREE PEREZ"</f>
        <v>DESIREE PEREZ</v>
      </c>
    </row>
    <row r="4252" spans="1:9" x14ac:dyDescent="0.25">
      <c r="A4252" s="6">
        <v>43685</v>
      </c>
      <c r="B4252" t="s">
        <v>26</v>
      </c>
      <c r="C4252">
        <v>61732</v>
      </c>
      <c r="D4252" t="s">
        <v>716</v>
      </c>
      <c r="E4252" s="7">
        <v>380</v>
      </c>
      <c r="F4252" t="s">
        <v>20</v>
      </c>
      <c r="G4252" t="s">
        <v>21</v>
      </c>
      <c r="H4252" t="str">
        <f>"8/5/2019"</f>
        <v>8/5/2019</v>
      </c>
      <c r="I4252" t="str">
        <f>"ALFREDO SENDEJO"</f>
        <v>ALFREDO SENDEJO</v>
      </c>
    </row>
    <row r="4253" spans="1:9" x14ac:dyDescent="0.25">
      <c r="A4253" s="6">
        <v>43685</v>
      </c>
      <c r="B4253" t="s">
        <v>26</v>
      </c>
      <c r="C4253">
        <v>61733</v>
      </c>
      <c r="D4253" t="s">
        <v>752</v>
      </c>
      <c r="E4253" s="7">
        <v>70</v>
      </c>
      <c r="F4253" t="s">
        <v>20</v>
      </c>
      <c r="G4253" t="s">
        <v>21</v>
      </c>
      <c r="H4253" t="str">
        <f>"8/5/19"</f>
        <v>8/5/19</v>
      </c>
      <c r="I4253" t="str">
        <f>"BLANCA PEREZ"</f>
        <v>BLANCA PEREZ</v>
      </c>
    </row>
    <row r="4254" spans="1:9" x14ac:dyDescent="0.25">
      <c r="A4254" s="6">
        <v>43685</v>
      </c>
      <c r="B4254" t="s">
        <v>26</v>
      </c>
      <c r="C4254">
        <v>61734</v>
      </c>
      <c r="D4254" t="s">
        <v>772</v>
      </c>
      <c r="E4254" s="7">
        <v>50</v>
      </c>
      <c r="F4254" t="s">
        <v>20</v>
      </c>
      <c r="G4254" t="s">
        <v>21</v>
      </c>
      <c r="H4254" t="str">
        <f>"REFUND 5/18/19*2"</f>
        <v>REFUND 5/18/19*2</v>
      </c>
      <c r="I4254" t="str">
        <f>"REFUND"</f>
        <v>REFUND</v>
      </c>
    </row>
    <row r="4255" spans="1:9" x14ac:dyDescent="0.25">
      <c r="A4255" s="6">
        <v>43685</v>
      </c>
      <c r="B4255" t="s">
        <v>26</v>
      </c>
      <c r="C4255">
        <v>61735</v>
      </c>
      <c r="D4255" t="s">
        <v>599</v>
      </c>
      <c r="E4255" s="7">
        <v>62676.52</v>
      </c>
      <c r="F4255" t="s">
        <v>20</v>
      </c>
      <c r="G4255" t="s">
        <v>21</v>
      </c>
      <c r="H4255" t="str">
        <f>"PAY APP #9"</f>
        <v>PAY APP #9</v>
      </c>
      <c r="I4255" t="str">
        <f>"METER INSTALL GROUP  LLC."</f>
        <v>METER INSTALL GROUP  LLC.</v>
      </c>
    </row>
    <row r="4256" spans="1:9" x14ac:dyDescent="0.25">
      <c r="A4256" s="6">
        <v>43693</v>
      </c>
      <c r="B4256" t="s">
        <v>26</v>
      </c>
      <c r="C4256">
        <v>61750</v>
      </c>
      <c r="D4256" t="s">
        <v>51</v>
      </c>
      <c r="E4256" s="7">
        <v>327.84</v>
      </c>
      <c r="F4256" t="s">
        <v>20</v>
      </c>
      <c r="G4256" t="s">
        <v>21</v>
      </c>
      <c r="H4256" t="str">
        <f>"CLE201908138535"</f>
        <v>CLE201908138535</v>
      </c>
      <c r="I4256" t="str">
        <f>"CLEAT ONLY DUES"</f>
        <v>CLEAT ONLY DUES</v>
      </c>
    </row>
    <row r="4257" spans="1:9" x14ac:dyDescent="0.25">
      <c r="A4257" s="6">
        <v>43693</v>
      </c>
      <c r="B4257" t="s">
        <v>26</v>
      </c>
      <c r="C4257">
        <v>61750</v>
      </c>
      <c r="D4257" t="s">
        <v>51</v>
      </c>
      <c r="E4257" s="7">
        <v>327.84</v>
      </c>
      <c r="F4257" t="s">
        <v>20</v>
      </c>
      <c r="G4257" t="s">
        <v>21</v>
      </c>
      <c r="H4257" t="str">
        <f>"PDD201908138535"</f>
        <v>PDD201908138535</v>
      </c>
      <c r="I4257" t="str">
        <f>"POLICE OFFICERS ASSOC DUES"</f>
        <v>POLICE OFFICERS ASSOC DUES</v>
      </c>
    </row>
    <row r="4258" spans="1:9" x14ac:dyDescent="0.25">
      <c r="A4258" s="6">
        <v>43693</v>
      </c>
      <c r="B4258" t="s">
        <v>91</v>
      </c>
      <c r="C4258">
        <v>61751</v>
      </c>
      <c r="D4258" t="s">
        <v>90</v>
      </c>
      <c r="E4258" s="7">
        <v>101.1</v>
      </c>
      <c r="F4258" t="s">
        <v>20</v>
      </c>
      <c r="G4258" t="s">
        <v>21</v>
      </c>
      <c r="H4258" t="str">
        <f>"AFS201908138535"</f>
        <v>AFS201908138535</v>
      </c>
      <c r="I4258" t="str">
        <f>"AFLAC STD"</f>
        <v>AFLAC STD</v>
      </c>
    </row>
    <row r="4259" spans="1:9" x14ac:dyDescent="0.25">
      <c r="A4259" s="6">
        <v>43693</v>
      </c>
      <c r="B4259" t="s">
        <v>26</v>
      </c>
      <c r="C4259">
        <v>61752</v>
      </c>
      <c r="D4259" t="s">
        <v>52</v>
      </c>
      <c r="E4259" s="7">
        <v>1056.98</v>
      </c>
      <c r="F4259" t="s">
        <v>20</v>
      </c>
      <c r="G4259" t="s">
        <v>21</v>
      </c>
      <c r="H4259" t="str">
        <f>"CPS201908138535"</f>
        <v>CPS201908138535</v>
      </c>
      <c r="I4259" t="str">
        <f>"G MENDOZA 00123012032010EM5054"</f>
        <v>G MENDOZA 00123012032010EM5054</v>
      </c>
    </row>
    <row r="4260" spans="1:9" x14ac:dyDescent="0.25">
      <c r="A4260" s="6">
        <v>43693</v>
      </c>
      <c r="B4260" t="s">
        <v>26</v>
      </c>
      <c r="C4260">
        <v>61752</v>
      </c>
      <c r="D4260" t="s">
        <v>52</v>
      </c>
      <c r="E4260" s="7">
        <v>1056.98</v>
      </c>
      <c r="F4260" t="s">
        <v>20</v>
      </c>
      <c r="G4260" t="s">
        <v>21</v>
      </c>
      <c r="H4260" t="str">
        <f>"CS 201908138535"</f>
        <v>CS 201908138535</v>
      </c>
      <c r="I4260" t="str">
        <f>"CAUSE#98EM504113 PEGGY RIVAS"</f>
        <v>CAUSE#98EM504113 PEGGY RIVAS</v>
      </c>
    </row>
    <row r="4261" spans="1:9" x14ac:dyDescent="0.25">
      <c r="A4261" s="6">
        <v>43693</v>
      </c>
      <c r="B4261" t="s">
        <v>26</v>
      </c>
      <c r="C4261">
        <v>61752</v>
      </c>
      <c r="D4261" t="s">
        <v>52</v>
      </c>
      <c r="E4261" s="7">
        <v>1056.98</v>
      </c>
      <c r="F4261" t="s">
        <v>20</v>
      </c>
      <c r="G4261" t="s">
        <v>21</v>
      </c>
      <c r="H4261" t="str">
        <f>"CSJ201908138535"</f>
        <v>CSJ201908138535</v>
      </c>
      <c r="I4261" t="str">
        <f>"CAUSE# 0010185272 MARIANN GUTI"</f>
        <v>CAUSE# 0010185272 MARIANN GUTI</v>
      </c>
    </row>
    <row r="4262" spans="1:9" x14ac:dyDescent="0.25">
      <c r="A4262" s="6">
        <v>43693</v>
      </c>
      <c r="B4262" t="s">
        <v>91</v>
      </c>
      <c r="C4262">
        <v>61753</v>
      </c>
      <c r="D4262" t="s">
        <v>54</v>
      </c>
      <c r="E4262" s="7">
        <v>1137.32</v>
      </c>
      <c r="F4262" t="s">
        <v>20</v>
      </c>
      <c r="G4262" t="s">
        <v>21</v>
      </c>
      <c r="H4262" t="str">
        <f>"457201908138535"</f>
        <v>457201908138535</v>
      </c>
      <c r="I4262" t="str">
        <f>"CASE # 180-60751 457B DEDUCT"</f>
        <v>CASE # 180-60751 457B DEDUCT</v>
      </c>
    </row>
    <row r="4263" spans="1:9" x14ac:dyDescent="0.25">
      <c r="A4263" s="6">
        <v>43693</v>
      </c>
      <c r="B4263" t="s">
        <v>91</v>
      </c>
      <c r="C4263">
        <v>61753</v>
      </c>
      <c r="D4263" t="s">
        <v>54</v>
      </c>
      <c r="E4263" s="7">
        <v>1137.32</v>
      </c>
      <c r="F4263" t="s">
        <v>20</v>
      </c>
      <c r="G4263" t="s">
        <v>93</v>
      </c>
      <c r="H4263" t="str">
        <f>"CHECK"</f>
        <v>CHECK</v>
      </c>
      <c r="I4263" t="str">
        <f>""</f>
        <v/>
      </c>
    </row>
    <row r="4264" spans="1:9" x14ac:dyDescent="0.25">
      <c r="A4264" s="6">
        <v>43691</v>
      </c>
      <c r="B4264" t="s">
        <v>26</v>
      </c>
      <c r="C4264">
        <v>61754</v>
      </c>
      <c r="D4264" t="s">
        <v>126</v>
      </c>
      <c r="E4264" s="7">
        <v>235.6</v>
      </c>
      <c r="F4264" t="s">
        <v>20</v>
      </c>
      <c r="G4264" t="s">
        <v>21</v>
      </c>
      <c r="H4264" t="str">
        <f>"0859-002347475"</f>
        <v>0859-002347475</v>
      </c>
      <c r="I4264" t="str">
        <f>"REPUBLIC SERVICES #859"</f>
        <v>REPUBLIC SERVICES #859</v>
      </c>
    </row>
    <row r="4265" spans="1:9" x14ac:dyDescent="0.25">
      <c r="A4265" s="6">
        <v>43691</v>
      </c>
      <c r="B4265" t="s">
        <v>26</v>
      </c>
      <c r="C4265">
        <v>61755</v>
      </c>
      <c r="D4265" t="s">
        <v>536</v>
      </c>
      <c r="E4265" s="7">
        <v>4565.45</v>
      </c>
      <c r="F4265" t="s">
        <v>20</v>
      </c>
      <c r="G4265" t="s">
        <v>21</v>
      </c>
      <c r="H4265" t="str">
        <f>"8107202679"</f>
        <v>8107202679</v>
      </c>
      <c r="I4265" t="str">
        <f t="shared" ref="I4265:I4271" si="82">"COCA-COLA SOUTHWEST BEVERAGES"</f>
        <v>COCA-COLA SOUTHWEST BEVERAGES</v>
      </c>
    </row>
    <row r="4266" spans="1:9" x14ac:dyDescent="0.25">
      <c r="A4266" s="6">
        <v>43691</v>
      </c>
      <c r="B4266" t="s">
        <v>26</v>
      </c>
      <c r="C4266">
        <v>61755</v>
      </c>
      <c r="D4266" t="s">
        <v>536</v>
      </c>
      <c r="E4266" s="7">
        <v>4565.45</v>
      </c>
      <c r="F4266" t="s">
        <v>20</v>
      </c>
      <c r="G4266" t="s">
        <v>21</v>
      </c>
      <c r="H4266" t="str">
        <f>"8109201818"</f>
        <v>8109201818</v>
      </c>
      <c r="I4266" t="str">
        <f t="shared" si="82"/>
        <v>COCA-COLA SOUTHWEST BEVERAGES</v>
      </c>
    </row>
    <row r="4267" spans="1:9" x14ac:dyDescent="0.25">
      <c r="A4267" s="6">
        <v>43691</v>
      </c>
      <c r="B4267" t="s">
        <v>26</v>
      </c>
      <c r="C4267">
        <v>61755</v>
      </c>
      <c r="D4267" t="s">
        <v>536</v>
      </c>
      <c r="E4267" s="7">
        <v>4565.45</v>
      </c>
      <c r="F4267" t="s">
        <v>20</v>
      </c>
      <c r="G4267" t="s">
        <v>21</v>
      </c>
      <c r="H4267" t="str">
        <f>"8109201892"</f>
        <v>8109201892</v>
      </c>
      <c r="I4267" t="str">
        <f t="shared" si="82"/>
        <v>COCA-COLA SOUTHWEST BEVERAGES</v>
      </c>
    </row>
    <row r="4268" spans="1:9" x14ac:dyDescent="0.25">
      <c r="A4268" s="6">
        <v>43691</v>
      </c>
      <c r="B4268" t="s">
        <v>26</v>
      </c>
      <c r="C4268">
        <v>61755</v>
      </c>
      <c r="D4268" t="s">
        <v>536</v>
      </c>
      <c r="E4268" s="7">
        <v>4565.45</v>
      </c>
      <c r="F4268" t="s">
        <v>20</v>
      </c>
      <c r="G4268" t="s">
        <v>21</v>
      </c>
      <c r="H4268" t="str">
        <f>"8119203073"</f>
        <v>8119203073</v>
      </c>
      <c r="I4268" t="str">
        <f t="shared" si="82"/>
        <v>COCA-COLA SOUTHWEST BEVERAGES</v>
      </c>
    </row>
    <row r="4269" spans="1:9" x14ac:dyDescent="0.25">
      <c r="A4269" s="6">
        <v>43691</v>
      </c>
      <c r="B4269" t="s">
        <v>26</v>
      </c>
      <c r="C4269">
        <v>61755</v>
      </c>
      <c r="D4269" t="s">
        <v>536</v>
      </c>
      <c r="E4269" s="7">
        <v>4565.45</v>
      </c>
      <c r="F4269" t="s">
        <v>20</v>
      </c>
      <c r="G4269" t="s">
        <v>21</v>
      </c>
      <c r="H4269" t="str">
        <f>"8121203406"</f>
        <v>8121203406</v>
      </c>
      <c r="I4269" t="str">
        <f t="shared" si="82"/>
        <v>COCA-COLA SOUTHWEST BEVERAGES</v>
      </c>
    </row>
    <row r="4270" spans="1:9" x14ac:dyDescent="0.25">
      <c r="A4270" s="6">
        <v>43691</v>
      </c>
      <c r="B4270" t="s">
        <v>26</v>
      </c>
      <c r="C4270">
        <v>61755</v>
      </c>
      <c r="D4270" t="s">
        <v>536</v>
      </c>
      <c r="E4270" s="7">
        <v>4565.45</v>
      </c>
      <c r="F4270" t="s">
        <v>20</v>
      </c>
      <c r="G4270" t="s">
        <v>21</v>
      </c>
      <c r="H4270" t="str">
        <f>"8152201936"</f>
        <v>8152201936</v>
      </c>
      <c r="I4270" t="str">
        <f t="shared" si="82"/>
        <v>COCA-COLA SOUTHWEST BEVERAGES</v>
      </c>
    </row>
    <row r="4271" spans="1:9" x14ac:dyDescent="0.25">
      <c r="A4271" s="6">
        <v>43691</v>
      </c>
      <c r="B4271" t="s">
        <v>26</v>
      </c>
      <c r="C4271">
        <v>61755</v>
      </c>
      <c r="D4271" t="s">
        <v>536</v>
      </c>
      <c r="E4271" s="7">
        <v>4565.45</v>
      </c>
      <c r="F4271" t="s">
        <v>20</v>
      </c>
      <c r="G4271" t="s">
        <v>21</v>
      </c>
      <c r="H4271" t="str">
        <f>"8174205799"</f>
        <v>8174205799</v>
      </c>
      <c r="I4271" t="str">
        <f t="shared" si="82"/>
        <v>COCA-COLA SOUTHWEST BEVERAGES</v>
      </c>
    </row>
    <row r="4272" spans="1:9" x14ac:dyDescent="0.25">
      <c r="A4272" s="6">
        <v>43691</v>
      </c>
      <c r="B4272" t="s">
        <v>26</v>
      </c>
      <c r="C4272">
        <v>61757</v>
      </c>
      <c r="D4272" t="s">
        <v>345</v>
      </c>
      <c r="E4272" s="7">
        <v>275</v>
      </c>
      <c r="F4272" t="s">
        <v>20</v>
      </c>
      <c r="G4272" t="s">
        <v>21</v>
      </c>
      <c r="H4272" t="str">
        <f>"8/12/19"</f>
        <v>8/12/19</v>
      </c>
      <c r="I4272" t="str">
        <f>"MICHAEL ISAAC MARTINEZ"</f>
        <v>MICHAEL ISAAC MARTINEZ</v>
      </c>
    </row>
    <row r="4273" spans="1:9" x14ac:dyDescent="0.25">
      <c r="A4273" s="6">
        <v>43691</v>
      </c>
      <c r="B4273" t="s">
        <v>26</v>
      </c>
      <c r="C4273">
        <v>61758</v>
      </c>
      <c r="D4273" t="s">
        <v>599</v>
      </c>
      <c r="E4273" s="7">
        <v>59755.8</v>
      </c>
      <c r="F4273" t="s">
        <v>20</v>
      </c>
      <c r="G4273" t="s">
        <v>21</v>
      </c>
      <c r="H4273" t="str">
        <f>"PAY APP #10"</f>
        <v>PAY APP #10</v>
      </c>
      <c r="I4273" t="str">
        <f>"METER INSTALL GROUP  LLC."</f>
        <v>METER INSTALL GROUP  LLC.</v>
      </c>
    </row>
    <row r="4274" spans="1:9" x14ac:dyDescent="0.25">
      <c r="A4274" s="6">
        <v>43691</v>
      </c>
      <c r="B4274" t="s">
        <v>26</v>
      </c>
      <c r="C4274">
        <v>61759</v>
      </c>
      <c r="D4274" t="s">
        <v>716</v>
      </c>
      <c r="E4274" s="7">
        <v>280</v>
      </c>
      <c r="F4274" t="s">
        <v>20</v>
      </c>
      <c r="G4274" t="s">
        <v>21</v>
      </c>
      <c r="H4274" t="str">
        <f>"8/12/19"</f>
        <v>8/12/19</v>
      </c>
      <c r="I4274" t="str">
        <f>"ALFREDO SENDEJO"</f>
        <v>ALFREDO SENDEJO</v>
      </c>
    </row>
    <row r="4275" spans="1:9" x14ac:dyDescent="0.25">
      <c r="A4275" s="6">
        <v>43692</v>
      </c>
      <c r="B4275" t="s">
        <v>26</v>
      </c>
      <c r="C4275">
        <v>61760</v>
      </c>
      <c r="D4275" t="s">
        <v>92</v>
      </c>
      <c r="E4275" s="7">
        <v>59618.15</v>
      </c>
      <c r="F4275" t="s">
        <v>20</v>
      </c>
      <c r="G4275" t="s">
        <v>21</v>
      </c>
      <c r="H4275" t="str">
        <f>"JULY 2019"</f>
        <v>JULY 2019</v>
      </c>
      <c r="I4275" t="str">
        <f>"TEXAS MUNICIPAL RETIREMENT SYS"</f>
        <v>TEXAS MUNICIPAL RETIREMENT SYS</v>
      </c>
    </row>
    <row r="4276" spans="1:9" x14ac:dyDescent="0.25">
      <c r="A4276" s="6">
        <v>43692</v>
      </c>
      <c r="B4276" t="s">
        <v>26</v>
      </c>
      <c r="C4276">
        <v>61761</v>
      </c>
      <c r="D4276" t="s">
        <v>176</v>
      </c>
      <c r="E4276" s="7">
        <v>434286.34</v>
      </c>
      <c r="F4276" t="s">
        <v>20</v>
      </c>
      <c r="G4276" t="s">
        <v>21</v>
      </c>
      <c r="H4276" t="str">
        <f>"PAY APP#25"</f>
        <v>PAY APP#25</v>
      </c>
      <c r="I4276" t="str">
        <f>"PEPPER-LAWSON WATERWORKS"</f>
        <v>PEPPER-LAWSON WATERWORKS</v>
      </c>
    </row>
    <row r="4277" spans="1:9" x14ac:dyDescent="0.25">
      <c r="A4277" s="6">
        <v>43698</v>
      </c>
      <c r="B4277" t="s">
        <v>26</v>
      </c>
      <c r="C4277">
        <v>61762</v>
      </c>
      <c r="D4277" t="s">
        <v>102</v>
      </c>
      <c r="E4277" s="7">
        <v>96.36</v>
      </c>
      <c r="F4277" t="s">
        <v>20</v>
      </c>
      <c r="G4277" t="s">
        <v>21</v>
      </c>
      <c r="H4277" t="str">
        <f>"1120 D ST 8/19"</f>
        <v>1120 D ST 8/19</v>
      </c>
      <c r="I4277" t="str">
        <f>"CENTERPOINT ENERGY ENTEX"</f>
        <v>CENTERPOINT ENERGY ENTEX</v>
      </c>
    </row>
    <row r="4278" spans="1:9" x14ac:dyDescent="0.25">
      <c r="A4278" s="6">
        <v>43698</v>
      </c>
      <c r="B4278" t="s">
        <v>26</v>
      </c>
      <c r="C4278">
        <v>61762</v>
      </c>
      <c r="D4278" t="s">
        <v>102</v>
      </c>
      <c r="E4278" s="7">
        <v>96.36</v>
      </c>
      <c r="F4278" t="s">
        <v>20</v>
      </c>
      <c r="G4278" t="s">
        <v>21</v>
      </c>
      <c r="H4278" t="str">
        <f>"1200 1ST ST 8/19"</f>
        <v>1200 1ST ST 8/19</v>
      </c>
      <c r="I4278" t="str">
        <f>"CENTERPOINT ENERGY ENTEX"</f>
        <v>CENTERPOINT ENERGY ENTEX</v>
      </c>
    </row>
    <row r="4279" spans="1:9" x14ac:dyDescent="0.25">
      <c r="A4279" s="6">
        <v>43698</v>
      </c>
      <c r="B4279" t="s">
        <v>26</v>
      </c>
      <c r="C4279">
        <v>61762</v>
      </c>
      <c r="D4279" t="s">
        <v>102</v>
      </c>
      <c r="E4279" s="7">
        <v>96.36</v>
      </c>
      <c r="F4279" t="s">
        <v>20</v>
      </c>
      <c r="G4279" t="s">
        <v>21</v>
      </c>
      <c r="H4279" t="str">
        <f>"920 C ST 8/19"</f>
        <v>920 C ST 8/19</v>
      </c>
      <c r="I4279" t="str">
        <f>"CENTERPOINT ENERGY ENTEX"</f>
        <v>CENTERPOINT ENERGY ENTEX</v>
      </c>
    </row>
    <row r="4280" spans="1:9" x14ac:dyDescent="0.25">
      <c r="A4280" s="6">
        <v>43698</v>
      </c>
      <c r="B4280" t="s">
        <v>26</v>
      </c>
      <c r="C4280">
        <v>61763</v>
      </c>
      <c r="D4280" t="s">
        <v>57</v>
      </c>
      <c r="E4280" s="7">
        <v>10117.16</v>
      </c>
      <c r="F4280" t="s">
        <v>20</v>
      </c>
      <c r="G4280" t="s">
        <v>21</v>
      </c>
      <c r="H4280" t="str">
        <f>"11617 8/2019"</f>
        <v>11617 8/2019</v>
      </c>
      <c r="I4280" t="str">
        <f>"F.E.L.P.S."</f>
        <v>F.E.L.P.S.</v>
      </c>
    </row>
    <row r="4281" spans="1:9" x14ac:dyDescent="0.25">
      <c r="A4281" s="6">
        <v>43698</v>
      </c>
      <c r="B4281" t="s">
        <v>26</v>
      </c>
      <c r="C4281">
        <v>61763</v>
      </c>
      <c r="D4281" t="s">
        <v>57</v>
      </c>
      <c r="E4281" s="7">
        <v>10117.16</v>
      </c>
      <c r="F4281" t="s">
        <v>20</v>
      </c>
      <c r="G4281" t="s">
        <v>21</v>
      </c>
      <c r="H4281" t="str">
        <f>"33062 8/2019"</f>
        <v>33062 8/2019</v>
      </c>
      <c r="I4281" t="str">
        <f>"F.E.L.P.S."</f>
        <v>F.E.L.P.S.</v>
      </c>
    </row>
    <row r="4282" spans="1:9" x14ac:dyDescent="0.25">
      <c r="A4282" s="6">
        <v>43698</v>
      </c>
      <c r="B4282" t="s">
        <v>26</v>
      </c>
      <c r="C4282">
        <v>61764</v>
      </c>
      <c r="D4282" t="s">
        <v>201</v>
      </c>
      <c r="E4282" s="7">
        <v>273.57</v>
      </c>
      <c r="F4282" t="s">
        <v>20</v>
      </c>
      <c r="G4282" t="s">
        <v>21</v>
      </c>
      <c r="H4282" t="str">
        <f>"139359"</f>
        <v>139359</v>
      </c>
      <c r="I4282" t="str">
        <f>"WILSON COUNTY HARDWARE"</f>
        <v>WILSON COUNTY HARDWARE</v>
      </c>
    </row>
    <row r="4283" spans="1:9" x14ac:dyDescent="0.25">
      <c r="A4283" s="6">
        <v>43698</v>
      </c>
      <c r="B4283" t="s">
        <v>26</v>
      </c>
      <c r="C4283">
        <v>61764</v>
      </c>
      <c r="D4283" t="s">
        <v>201</v>
      </c>
      <c r="E4283" s="7">
        <v>273.57</v>
      </c>
      <c r="F4283" t="s">
        <v>20</v>
      </c>
      <c r="G4283" t="s">
        <v>21</v>
      </c>
      <c r="H4283" t="str">
        <f>"139361"</f>
        <v>139361</v>
      </c>
      <c r="I4283" t="str">
        <f>"WILSON COUNTY HARDWARE"</f>
        <v>WILSON COUNTY HARDWARE</v>
      </c>
    </row>
    <row r="4284" spans="1:9" x14ac:dyDescent="0.25">
      <c r="A4284" s="6">
        <v>43698</v>
      </c>
      <c r="B4284" t="s">
        <v>26</v>
      </c>
      <c r="C4284">
        <v>61764</v>
      </c>
      <c r="D4284" t="s">
        <v>201</v>
      </c>
      <c r="E4284" s="7">
        <v>273.57</v>
      </c>
      <c r="F4284" t="s">
        <v>20</v>
      </c>
      <c r="G4284" t="s">
        <v>21</v>
      </c>
      <c r="H4284" t="str">
        <f>"139367"</f>
        <v>139367</v>
      </c>
      <c r="I4284" t="str">
        <f>"WILSON COUNTY HARDWARE"</f>
        <v>WILSON COUNTY HARDWARE</v>
      </c>
    </row>
    <row r="4285" spans="1:9" x14ac:dyDescent="0.25">
      <c r="A4285" s="6">
        <v>43698</v>
      </c>
      <c r="B4285" t="s">
        <v>26</v>
      </c>
      <c r="C4285">
        <v>61764</v>
      </c>
      <c r="D4285" t="s">
        <v>201</v>
      </c>
      <c r="E4285" s="7">
        <v>273.57</v>
      </c>
      <c r="F4285" t="s">
        <v>20</v>
      </c>
      <c r="G4285" t="s">
        <v>21</v>
      </c>
      <c r="H4285" t="str">
        <f>"139368"</f>
        <v>139368</v>
      </c>
      <c r="I4285" t="str">
        <f>"WILSON COUNTY HARDWARE"</f>
        <v>WILSON COUNTY HARDWARE</v>
      </c>
    </row>
    <row r="4286" spans="1:9" x14ac:dyDescent="0.25">
      <c r="A4286" s="6">
        <v>43698</v>
      </c>
      <c r="B4286" t="s">
        <v>91</v>
      </c>
      <c r="C4286">
        <v>61765</v>
      </c>
      <c r="D4286" t="s">
        <v>59</v>
      </c>
      <c r="E4286" s="7">
        <v>992.5</v>
      </c>
      <c r="F4286" t="s">
        <v>20</v>
      </c>
      <c r="G4286" t="s">
        <v>21</v>
      </c>
      <c r="H4286" t="str">
        <f>"1025730"</f>
        <v>1025730</v>
      </c>
      <c r="I4286" t="str">
        <f>"CHOP SAW AND BLADES"</f>
        <v>CHOP SAW AND BLADES</v>
      </c>
    </row>
    <row r="4287" spans="1:9" x14ac:dyDescent="0.25">
      <c r="A4287" s="6">
        <v>43698</v>
      </c>
      <c r="B4287" t="s">
        <v>91</v>
      </c>
      <c r="C4287">
        <v>61765</v>
      </c>
      <c r="D4287" t="s">
        <v>59</v>
      </c>
      <c r="E4287" s="7">
        <v>992.5</v>
      </c>
      <c r="F4287" t="s">
        <v>20</v>
      </c>
      <c r="G4287" t="s">
        <v>21</v>
      </c>
      <c r="H4287" t="str">
        <f>"1025772"</f>
        <v>1025772</v>
      </c>
      <c r="I4287" t="str">
        <f>"CHOP SAW AND BLADES"</f>
        <v>CHOP SAW AND BLADES</v>
      </c>
    </row>
    <row r="4288" spans="1:9" x14ac:dyDescent="0.25">
      <c r="A4288" s="6">
        <v>43698</v>
      </c>
      <c r="B4288" t="s">
        <v>91</v>
      </c>
      <c r="C4288">
        <v>61765</v>
      </c>
      <c r="D4288" t="s">
        <v>59</v>
      </c>
      <c r="E4288" s="7">
        <v>992.5</v>
      </c>
      <c r="F4288" t="s">
        <v>20</v>
      </c>
      <c r="G4288" t="s">
        <v>93</v>
      </c>
      <c r="H4288" t="str">
        <f>"CHECK"</f>
        <v>CHECK</v>
      </c>
      <c r="I4288" t="str">
        <f>""</f>
        <v/>
      </c>
    </row>
    <row r="4289" spans="1:9" x14ac:dyDescent="0.25">
      <c r="A4289" s="6">
        <v>43698</v>
      </c>
      <c r="B4289" t="s">
        <v>91</v>
      </c>
      <c r="C4289">
        <v>61766</v>
      </c>
      <c r="D4289" t="s">
        <v>339</v>
      </c>
      <c r="E4289" s="7">
        <v>940</v>
      </c>
      <c r="F4289" t="s">
        <v>20</v>
      </c>
      <c r="G4289" t="s">
        <v>21</v>
      </c>
      <c r="H4289" t="str">
        <f>"808109"</f>
        <v>808109</v>
      </c>
      <c r="I4289" t="str">
        <f>"VEHICLE EQUIPTMENT"</f>
        <v>VEHICLE EQUIPTMENT</v>
      </c>
    </row>
    <row r="4290" spans="1:9" x14ac:dyDescent="0.25">
      <c r="A4290" s="6">
        <v>43698</v>
      </c>
      <c r="B4290" t="s">
        <v>91</v>
      </c>
      <c r="C4290">
        <v>61766</v>
      </c>
      <c r="D4290" t="s">
        <v>339</v>
      </c>
      <c r="E4290" s="7">
        <v>940</v>
      </c>
      <c r="F4290" t="s">
        <v>20</v>
      </c>
      <c r="G4290" t="s">
        <v>21</v>
      </c>
      <c r="H4290" t="str">
        <f>"808109*"</f>
        <v>808109*</v>
      </c>
      <c r="I4290" t="str">
        <f>"SOUTHWEST PUBLIC SAFETY"</f>
        <v>SOUTHWEST PUBLIC SAFETY</v>
      </c>
    </row>
    <row r="4291" spans="1:9" x14ac:dyDescent="0.25">
      <c r="A4291" s="6">
        <v>43698</v>
      </c>
      <c r="B4291" t="s">
        <v>91</v>
      </c>
      <c r="C4291">
        <v>61766</v>
      </c>
      <c r="D4291" t="s">
        <v>339</v>
      </c>
      <c r="E4291" s="7">
        <v>940</v>
      </c>
      <c r="F4291" t="s">
        <v>20</v>
      </c>
      <c r="G4291" t="s">
        <v>93</v>
      </c>
      <c r="H4291" t="str">
        <f>"CHECK"</f>
        <v>CHECK</v>
      </c>
      <c r="I4291" t="str">
        <f>""</f>
        <v/>
      </c>
    </row>
    <row r="4292" spans="1:9" x14ac:dyDescent="0.25">
      <c r="A4292" s="6">
        <v>43698</v>
      </c>
      <c r="B4292" t="s">
        <v>26</v>
      </c>
      <c r="C4292">
        <v>61767</v>
      </c>
      <c r="D4292" t="s">
        <v>366</v>
      </c>
      <c r="E4292" s="7">
        <v>1151.96</v>
      </c>
      <c r="F4292" t="s">
        <v>20</v>
      </c>
      <c r="G4292" t="s">
        <v>21</v>
      </c>
      <c r="H4292" t="str">
        <f>"32069090184 81319"</f>
        <v>32069090184 81319</v>
      </c>
      <c r="I4292" t="str">
        <f>"COMPTROLLER OF PUBLIC ACCOUNTS"</f>
        <v>COMPTROLLER OF PUBLIC ACCOUNTS</v>
      </c>
    </row>
    <row r="4293" spans="1:9" x14ac:dyDescent="0.25">
      <c r="A4293" s="6">
        <v>43698</v>
      </c>
      <c r="B4293" t="s">
        <v>91</v>
      </c>
      <c r="C4293">
        <v>61768</v>
      </c>
      <c r="D4293" t="s">
        <v>202</v>
      </c>
      <c r="E4293" s="7">
        <v>12093.13</v>
      </c>
      <c r="F4293" t="s">
        <v>20</v>
      </c>
      <c r="G4293" t="s">
        <v>21</v>
      </c>
      <c r="H4293" t="str">
        <f>"61952064/619561653"</f>
        <v>61952064/619561653</v>
      </c>
      <c r="I4293" t="str">
        <f>"FEDC PARKING LOT PROJECT"</f>
        <v>FEDC PARKING LOT PROJECT</v>
      </c>
    </row>
    <row r="4294" spans="1:9" x14ac:dyDescent="0.25">
      <c r="A4294" s="6">
        <v>43698</v>
      </c>
      <c r="B4294" t="s">
        <v>91</v>
      </c>
      <c r="C4294">
        <v>61768</v>
      </c>
      <c r="D4294" t="s">
        <v>202</v>
      </c>
      <c r="E4294" s="7">
        <v>12093.13</v>
      </c>
      <c r="F4294" t="s">
        <v>20</v>
      </c>
      <c r="G4294" t="s">
        <v>21</v>
      </c>
      <c r="H4294" t="str">
        <f>"61956154"</f>
        <v>61956154</v>
      </c>
      <c r="I4294" t="str">
        <f>"FEDC PARKING LOT PROJECT"</f>
        <v>FEDC PARKING LOT PROJECT</v>
      </c>
    </row>
    <row r="4295" spans="1:9" x14ac:dyDescent="0.25">
      <c r="A4295" s="6">
        <v>43698</v>
      </c>
      <c r="B4295" t="s">
        <v>91</v>
      </c>
      <c r="C4295">
        <v>61768</v>
      </c>
      <c r="D4295" t="s">
        <v>202</v>
      </c>
      <c r="E4295" s="7">
        <v>12093.13</v>
      </c>
      <c r="F4295" t="s">
        <v>20</v>
      </c>
      <c r="G4295" t="s">
        <v>93</v>
      </c>
      <c r="H4295" t="str">
        <f>"CHECK"</f>
        <v>CHECK</v>
      </c>
      <c r="I4295" t="str">
        <f>""</f>
        <v/>
      </c>
    </row>
    <row r="4296" spans="1:9" x14ac:dyDescent="0.25">
      <c r="A4296" s="6">
        <v>43698</v>
      </c>
      <c r="B4296" t="s">
        <v>26</v>
      </c>
      <c r="C4296">
        <v>61769</v>
      </c>
      <c r="D4296" t="s">
        <v>179</v>
      </c>
      <c r="E4296" s="7">
        <v>64.11</v>
      </c>
      <c r="F4296" t="s">
        <v>20</v>
      </c>
      <c r="G4296" t="s">
        <v>21</v>
      </c>
      <c r="H4296" t="str">
        <f>"1317"</f>
        <v>1317</v>
      </c>
      <c r="I4296" t="str">
        <f>"ANCIRA FORD-MERCURY"</f>
        <v>ANCIRA FORD-MERCURY</v>
      </c>
    </row>
    <row r="4297" spans="1:9" x14ac:dyDescent="0.25">
      <c r="A4297" s="6">
        <v>43698</v>
      </c>
      <c r="B4297" t="s">
        <v>26</v>
      </c>
      <c r="C4297">
        <v>61770</v>
      </c>
      <c r="D4297" t="s">
        <v>273</v>
      </c>
      <c r="E4297" s="7">
        <v>811.78</v>
      </c>
      <c r="F4297" t="s">
        <v>20</v>
      </c>
      <c r="G4297" t="s">
        <v>21</v>
      </c>
      <c r="H4297" t="str">
        <f>"5119-000089575"</f>
        <v>5119-000089575</v>
      </c>
      <c r="I4297" t="str">
        <f>"REPUBLIC SERVICES TESSMAN ROAD"</f>
        <v>REPUBLIC SERVICES TESSMAN ROAD</v>
      </c>
    </row>
    <row r="4298" spans="1:9" x14ac:dyDescent="0.25">
      <c r="A4298" s="6">
        <v>43698</v>
      </c>
      <c r="B4298" t="s">
        <v>26</v>
      </c>
      <c r="C4298">
        <v>61771</v>
      </c>
      <c r="D4298" t="s">
        <v>180</v>
      </c>
      <c r="E4298" s="7">
        <v>190.31</v>
      </c>
      <c r="F4298" t="s">
        <v>20</v>
      </c>
      <c r="G4298" t="s">
        <v>21</v>
      </c>
      <c r="H4298" t="str">
        <f>"126723"</f>
        <v>126723</v>
      </c>
      <c r="I4298" t="str">
        <f>"DITTMAR LUMBER CO."</f>
        <v>DITTMAR LUMBER CO.</v>
      </c>
    </row>
    <row r="4299" spans="1:9" x14ac:dyDescent="0.25">
      <c r="A4299" s="6">
        <v>43698</v>
      </c>
      <c r="B4299" t="s">
        <v>26</v>
      </c>
      <c r="C4299">
        <v>61771</v>
      </c>
      <c r="D4299" t="s">
        <v>180</v>
      </c>
      <c r="E4299" s="7">
        <v>190.31</v>
      </c>
      <c r="F4299" t="s">
        <v>20</v>
      </c>
      <c r="G4299" t="s">
        <v>21</v>
      </c>
      <c r="H4299" t="str">
        <f>"30135827"</f>
        <v>30135827</v>
      </c>
      <c r="I4299" t="str">
        <f>"DITTMAR LUMBER CO."</f>
        <v>DITTMAR LUMBER CO.</v>
      </c>
    </row>
    <row r="4300" spans="1:9" x14ac:dyDescent="0.25">
      <c r="A4300" s="6">
        <v>43698</v>
      </c>
      <c r="B4300" t="s">
        <v>26</v>
      </c>
      <c r="C4300">
        <v>61772</v>
      </c>
      <c r="D4300" t="s">
        <v>787</v>
      </c>
      <c r="E4300" s="7">
        <v>200</v>
      </c>
      <c r="F4300" t="s">
        <v>20</v>
      </c>
      <c r="G4300" t="s">
        <v>21</v>
      </c>
      <c r="H4300" t="str">
        <f>"4/4/2020 REFUND"</f>
        <v>4/4/2020 REFUND</v>
      </c>
      <c r="I4300" t="str">
        <f>"REFUND"</f>
        <v>REFUND</v>
      </c>
    </row>
    <row r="4301" spans="1:9" x14ac:dyDescent="0.25">
      <c r="A4301" s="6">
        <v>43698</v>
      </c>
      <c r="B4301" t="s">
        <v>26</v>
      </c>
      <c r="C4301">
        <v>61773</v>
      </c>
      <c r="D4301" t="s">
        <v>788</v>
      </c>
      <c r="E4301" s="7">
        <v>50</v>
      </c>
      <c r="F4301" t="s">
        <v>20</v>
      </c>
      <c r="G4301" t="s">
        <v>21</v>
      </c>
      <c r="H4301" t="str">
        <f>"8/10/2019 DEP REFU"</f>
        <v>8/10/2019 DEP REFU</v>
      </c>
      <c r="I4301" t="str">
        <f>"REFUND"</f>
        <v>REFUND</v>
      </c>
    </row>
    <row r="4302" spans="1:9" x14ac:dyDescent="0.25">
      <c r="A4302" s="6">
        <v>43698</v>
      </c>
      <c r="B4302" t="s">
        <v>26</v>
      </c>
      <c r="C4302">
        <v>61774</v>
      </c>
      <c r="D4302" t="s">
        <v>789</v>
      </c>
      <c r="E4302" s="7">
        <v>50</v>
      </c>
      <c r="F4302" t="s">
        <v>20</v>
      </c>
      <c r="G4302" t="s">
        <v>21</v>
      </c>
      <c r="H4302" t="str">
        <f>"BW DEP. REFND 8/19"</f>
        <v>BW DEP. REFND 8/19</v>
      </c>
      <c r="I4302" t="str">
        <f>"REFUND"</f>
        <v>REFUND</v>
      </c>
    </row>
    <row r="4303" spans="1:9" x14ac:dyDescent="0.25">
      <c r="A4303" s="6">
        <v>43698</v>
      </c>
      <c r="B4303" t="s">
        <v>26</v>
      </c>
      <c r="C4303">
        <v>61775</v>
      </c>
      <c r="D4303" t="s">
        <v>790</v>
      </c>
      <c r="E4303" s="7">
        <v>50</v>
      </c>
      <c r="F4303" t="s">
        <v>20</v>
      </c>
      <c r="G4303" t="s">
        <v>21</v>
      </c>
      <c r="H4303" t="str">
        <f>"DEP REFUND 8/21/19"</f>
        <v>DEP REFUND 8/21/19</v>
      </c>
      <c r="I4303" t="str">
        <f>"REFUND"</f>
        <v>REFUND</v>
      </c>
    </row>
    <row r="4304" spans="1:9" x14ac:dyDescent="0.25">
      <c r="A4304" s="6">
        <v>43698</v>
      </c>
      <c r="B4304" t="s">
        <v>26</v>
      </c>
      <c r="C4304">
        <v>61776</v>
      </c>
      <c r="D4304" t="s">
        <v>791</v>
      </c>
      <c r="E4304" s="7">
        <v>140</v>
      </c>
      <c r="F4304" t="s">
        <v>20</v>
      </c>
      <c r="G4304" t="s">
        <v>21</v>
      </c>
      <c r="H4304" t="str">
        <f>"REFUND 08/11/19"</f>
        <v>REFUND 08/11/19</v>
      </c>
      <c r="I4304" t="str">
        <f>"REFUND"</f>
        <v>REFUND</v>
      </c>
    </row>
    <row r="4305" spans="1:9" x14ac:dyDescent="0.25">
      <c r="A4305" s="6">
        <v>43698</v>
      </c>
      <c r="B4305" t="s">
        <v>26</v>
      </c>
      <c r="C4305">
        <v>61777</v>
      </c>
      <c r="D4305" t="s">
        <v>61</v>
      </c>
      <c r="E4305" s="7">
        <v>11373.55</v>
      </c>
      <c r="F4305" t="s">
        <v>20</v>
      </c>
      <c r="G4305" t="s">
        <v>21</v>
      </c>
      <c r="H4305" t="str">
        <f>"025-266668"</f>
        <v>025-266668</v>
      </c>
      <c r="I4305" t="str">
        <f>"TYLER TECHNOLOGIES  INC."</f>
        <v>TYLER TECHNOLOGIES  INC.</v>
      </c>
    </row>
    <row r="4306" spans="1:9" x14ac:dyDescent="0.25">
      <c r="A4306" s="6">
        <v>43698</v>
      </c>
      <c r="B4306" t="s">
        <v>26</v>
      </c>
      <c r="C4306">
        <v>61777</v>
      </c>
      <c r="D4306" t="s">
        <v>61</v>
      </c>
      <c r="E4306" s="7">
        <v>11373.55</v>
      </c>
      <c r="F4306" t="s">
        <v>20</v>
      </c>
      <c r="G4306" t="s">
        <v>21</v>
      </c>
      <c r="H4306" t="str">
        <f>"025-266669"</f>
        <v>025-266669</v>
      </c>
      <c r="I4306" t="str">
        <f>"TYLER TECHNOLOGIES  INC."</f>
        <v>TYLER TECHNOLOGIES  INC.</v>
      </c>
    </row>
    <row r="4307" spans="1:9" x14ac:dyDescent="0.25">
      <c r="A4307" s="6">
        <v>43698</v>
      </c>
      <c r="B4307" t="s">
        <v>26</v>
      </c>
      <c r="C4307">
        <v>61777</v>
      </c>
      <c r="D4307" t="s">
        <v>61</v>
      </c>
      <c r="E4307" s="7">
        <v>11373.55</v>
      </c>
      <c r="F4307" t="s">
        <v>20</v>
      </c>
      <c r="G4307" t="s">
        <v>21</v>
      </c>
      <c r="H4307" t="str">
        <f>"025-267186"</f>
        <v>025-267186</v>
      </c>
      <c r="I4307" t="str">
        <f>"TYLER TECHNOLOGIES  INC."</f>
        <v>TYLER TECHNOLOGIES  INC.</v>
      </c>
    </row>
    <row r="4308" spans="1:9" x14ac:dyDescent="0.25">
      <c r="A4308" s="6">
        <v>43698</v>
      </c>
      <c r="B4308" t="s">
        <v>26</v>
      </c>
      <c r="C4308">
        <v>61778</v>
      </c>
      <c r="D4308" t="s">
        <v>325</v>
      </c>
      <c r="E4308" s="7">
        <v>493.44</v>
      </c>
      <c r="F4308" t="s">
        <v>20</v>
      </c>
      <c r="G4308" t="s">
        <v>21</v>
      </c>
      <c r="H4308" t="str">
        <f>"2470001 8/1/19"</f>
        <v>2470001 8/1/19</v>
      </c>
      <c r="I4308" t="str">
        <f>"DSHS CENTRAL LAB MC2004"</f>
        <v>DSHS CENTRAL LAB MC2004</v>
      </c>
    </row>
    <row r="4309" spans="1:9" x14ac:dyDescent="0.25">
      <c r="A4309" s="6">
        <v>43698</v>
      </c>
      <c r="B4309" t="s">
        <v>26</v>
      </c>
      <c r="C4309">
        <v>61779</v>
      </c>
      <c r="D4309" t="s">
        <v>212</v>
      </c>
      <c r="E4309" s="7">
        <v>50</v>
      </c>
      <c r="F4309" t="s">
        <v>20</v>
      </c>
      <c r="G4309" t="s">
        <v>21</v>
      </c>
      <c r="H4309" t="str">
        <f>"PA2184"</f>
        <v>PA2184</v>
      </c>
      <c r="I4309" t="str">
        <f>"AACOG"</f>
        <v>AACOG</v>
      </c>
    </row>
    <row r="4310" spans="1:9" x14ac:dyDescent="0.25">
      <c r="A4310" s="6">
        <v>43698</v>
      </c>
      <c r="B4310" t="s">
        <v>26</v>
      </c>
      <c r="C4310">
        <v>61780</v>
      </c>
      <c r="D4310" t="s">
        <v>115</v>
      </c>
      <c r="E4310" s="7">
        <v>57.98</v>
      </c>
      <c r="F4310" t="s">
        <v>20</v>
      </c>
      <c r="G4310" t="s">
        <v>21</v>
      </c>
      <c r="H4310" t="str">
        <f>"3547489810"</f>
        <v>3547489810</v>
      </c>
      <c r="I4310" t="str">
        <f>"SHOP TRUCK REPAIR"</f>
        <v>SHOP TRUCK REPAIR</v>
      </c>
    </row>
    <row r="4311" spans="1:9" x14ac:dyDescent="0.25">
      <c r="A4311" s="6">
        <v>43698</v>
      </c>
      <c r="B4311" t="s">
        <v>26</v>
      </c>
      <c r="C4311">
        <v>61781</v>
      </c>
      <c r="D4311" t="s">
        <v>63</v>
      </c>
      <c r="E4311" s="7">
        <v>1656.91</v>
      </c>
      <c r="F4311" t="s">
        <v>20</v>
      </c>
      <c r="G4311" t="s">
        <v>21</v>
      </c>
      <c r="H4311" t="str">
        <f>"8404237643"</f>
        <v>8404237643</v>
      </c>
      <c r="I4311" t="str">
        <f>"CINTAS CORPORATION"</f>
        <v>CINTAS CORPORATION</v>
      </c>
    </row>
    <row r="4312" spans="1:9" x14ac:dyDescent="0.25">
      <c r="A4312" s="6">
        <v>43698</v>
      </c>
      <c r="B4312" t="s">
        <v>26</v>
      </c>
      <c r="C4312">
        <v>61781</v>
      </c>
      <c r="D4312" t="s">
        <v>63</v>
      </c>
      <c r="E4312" s="7">
        <v>1656.91</v>
      </c>
      <c r="F4312" t="s">
        <v>20</v>
      </c>
      <c r="G4312" t="s">
        <v>21</v>
      </c>
      <c r="H4312" t="str">
        <f>"8404253232"</f>
        <v>8404253232</v>
      </c>
      <c r="I4312" t="str">
        <f>"CINTAS CORPORATION"</f>
        <v>CINTAS CORPORATION</v>
      </c>
    </row>
    <row r="4313" spans="1:9" x14ac:dyDescent="0.25">
      <c r="A4313" s="6">
        <v>43698</v>
      </c>
      <c r="B4313" t="s">
        <v>26</v>
      </c>
      <c r="C4313">
        <v>61782</v>
      </c>
      <c r="D4313" t="s">
        <v>792</v>
      </c>
      <c r="E4313" s="7">
        <v>81</v>
      </c>
      <c r="F4313" t="s">
        <v>20</v>
      </c>
      <c r="G4313" t="s">
        <v>21</v>
      </c>
      <c r="H4313" t="str">
        <f>"78144 7/31/19"</f>
        <v>78144 7/31/19</v>
      </c>
      <c r="I4313" t="str">
        <f>"LAW ENFORCEMENT SYSTEMS  INC."</f>
        <v>LAW ENFORCEMENT SYSTEMS  INC.</v>
      </c>
    </row>
    <row r="4314" spans="1:9" x14ac:dyDescent="0.25">
      <c r="A4314" s="6">
        <v>43698</v>
      </c>
      <c r="B4314" t="s">
        <v>26</v>
      </c>
      <c r="C4314">
        <v>61783</v>
      </c>
      <c r="D4314" t="s">
        <v>117</v>
      </c>
      <c r="E4314" s="7">
        <v>2710.72</v>
      </c>
      <c r="F4314" t="s">
        <v>20</v>
      </c>
      <c r="G4314" t="s">
        <v>21</v>
      </c>
      <c r="H4314" t="str">
        <f>"JULY 2019 FEES"</f>
        <v>JULY 2019 FEES</v>
      </c>
      <c r="I4314" t="str">
        <f>"LINEBARGER GOGGAN BLAIR &amp; SAMP"</f>
        <v>LINEBARGER GOGGAN BLAIR &amp; SAMP</v>
      </c>
    </row>
    <row r="4315" spans="1:9" x14ac:dyDescent="0.25">
      <c r="A4315" s="6">
        <v>43698</v>
      </c>
      <c r="B4315" t="s">
        <v>26</v>
      </c>
      <c r="C4315">
        <v>61783</v>
      </c>
      <c r="D4315" t="s">
        <v>117</v>
      </c>
      <c r="E4315" s="7">
        <v>2710.72</v>
      </c>
      <c r="F4315" t="s">
        <v>20</v>
      </c>
      <c r="G4315" t="s">
        <v>21</v>
      </c>
      <c r="H4315" t="str">
        <f>"JUNE 2019 MUNICIPA"</f>
        <v>JUNE 2019 MUNICIPA</v>
      </c>
      <c r="I4315" t="str">
        <f>"LINEBARGER GOGGAN BLAIR &amp; SAMP"</f>
        <v>LINEBARGER GOGGAN BLAIR &amp; SAMP</v>
      </c>
    </row>
    <row r="4316" spans="1:9" x14ac:dyDescent="0.25">
      <c r="A4316" s="6">
        <v>43698</v>
      </c>
      <c r="B4316" t="s">
        <v>26</v>
      </c>
      <c r="C4316">
        <v>61784</v>
      </c>
      <c r="D4316" t="s">
        <v>186</v>
      </c>
      <c r="E4316" s="7">
        <v>7632.08</v>
      </c>
      <c r="F4316" t="s">
        <v>20</v>
      </c>
      <c r="G4316" t="s">
        <v>21</v>
      </c>
      <c r="H4316" t="str">
        <f>"4TH QRT 10/1-12/31"</f>
        <v>4TH QRT 10/1-12/31</v>
      </c>
      <c r="I4316" t="str">
        <f>"WILSON COUNTY APPRAISAL DISTRI"</f>
        <v>WILSON COUNTY APPRAISAL DISTRI</v>
      </c>
    </row>
    <row r="4317" spans="1:9" x14ac:dyDescent="0.25">
      <c r="A4317" s="6">
        <v>43698</v>
      </c>
      <c r="B4317" t="s">
        <v>26</v>
      </c>
      <c r="C4317">
        <v>61785</v>
      </c>
      <c r="D4317" t="s">
        <v>66</v>
      </c>
      <c r="E4317" s="7">
        <v>50</v>
      </c>
      <c r="F4317" t="s">
        <v>20</v>
      </c>
      <c r="G4317" t="s">
        <v>21</v>
      </c>
      <c r="H4317" t="str">
        <f>"56041"</f>
        <v>56041</v>
      </c>
      <c r="I4317" t="str">
        <f>"LOPEZ EXTERMINATING SERVICE  I"</f>
        <v>LOPEZ EXTERMINATING SERVICE  I</v>
      </c>
    </row>
    <row r="4318" spans="1:9" x14ac:dyDescent="0.25">
      <c r="A4318" s="6">
        <v>43698</v>
      </c>
      <c r="B4318" t="s">
        <v>26</v>
      </c>
      <c r="C4318">
        <v>61786</v>
      </c>
      <c r="D4318" t="s">
        <v>495</v>
      </c>
      <c r="E4318" s="7">
        <v>185</v>
      </c>
      <c r="F4318" t="s">
        <v>20</v>
      </c>
      <c r="G4318" t="s">
        <v>21</v>
      </c>
      <c r="H4318" t="str">
        <f>"0409427-IN"</f>
        <v>0409427-IN</v>
      </c>
      <c r="I4318" t="str">
        <f>"INVESTIGATION KITS/SUPPLI"</f>
        <v>INVESTIGATION KITS/SUPPLI</v>
      </c>
    </row>
    <row r="4319" spans="1:9" x14ac:dyDescent="0.25">
      <c r="A4319" s="6">
        <v>43698</v>
      </c>
      <c r="B4319" t="s">
        <v>26</v>
      </c>
      <c r="C4319">
        <v>61787</v>
      </c>
      <c r="D4319" t="s">
        <v>69</v>
      </c>
      <c r="E4319" s="7">
        <v>474.66</v>
      </c>
      <c r="F4319" t="s">
        <v>20</v>
      </c>
      <c r="G4319" t="s">
        <v>21</v>
      </c>
      <c r="H4319" t="str">
        <f>"3300514"</f>
        <v>3300514</v>
      </c>
      <c r="I4319" t="str">
        <f>"EQUIPMENT FOR WASTE WATER"</f>
        <v>EQUIPMENT FOR WASTE WATER</v>
      </c>
    </row>
    <row r="4320" spans="1:9" x14ac:dyDescent="0.25">
      <c r="A4320" s="6">
        <v>43698</v>
      </c>
      <c r="B4320" t="s">
        <v>26</v>
      </c>
      <c r="C4320">
        <v>61787</v>
      </c>
      <c r="D4320" t="s">
        <v>69</v>
      </c>
      <c r="E4320" s="7">
        <v>474.66</v>
      </c>
      <c r="F4320" t="s">
        <v>20</v>
      </c>
      <c r="G4320" t="s">
        <v>21</v>
      </c>
      <c r="H4320" t="str">
        <f>"3300837"</f>
        <v>3300837</v>
      </c>
      <c r="I4320" t="str">
        <f>"SPOOL INSERTS"</f>
        <v>SPOOL INSERTS</v>
      </c>
    </row>
    <row r="4321" spans="1:9" x14ac:dyDescent="0.25">
      <c r="A4321" s="6">
        <v>43698</v>
      </c>
      <c r="B4321" t="s">
        <v>26</v>
      </c>
      <c r="C4321">
        <v>61788</v>
      </c>
      <c r="D4321" t="s">
        <v>29</v>
      </c>
      <c r="E4321" s="7">
        <v>30474.48</v>
      </c>
      <c r="F4321" t="s">
        <v>20</v>
      </c>
      <c r="G4321" t="s">
        <v>21</v>
      </c>
      <c r="H4321" t="str">
        <f>"38469"</f>
        <v>38469</v>
      </c>
      <c r="I4321" t="str">
        <f t="shared" ref="I4321:I4331" si="83">"M &amp; S ENGINEERING  LLC"</f>
        <v>M &amp; S ENGINEERING  LLC</v>
      </c>
    </row>
    <row r="4322" spans="1:9" x14ac:dyDescent="0.25">
      <c r="A4322" s="6">
        <v>43698</v>
      </c>
      <c r="B4322" t="s">
        <v>26</v>
      </c>
      <c r="C4322">
        <v>61788</v>
      </c>
      <c r="D4322" t="s">
        <v>29</v>
      </c>
      <c r="E4322" s="7">
        <v>30474.48</v>
      </c>
      <c r="F4322" t="s">
        <v>20</v>
      </c>
      <c r="G4322" t="s">
        <v>21</v>
      </c>
      <c r="H4322" t="str">
        <f>"38491"</f>
        <v>38491</v>
      </c>
      <c r="I4322" t="str">
        <f t="shared" si="83"/>
        <v>M &amp; S ENGINEERING  LLC</v>
      </c>
    </row>
    <row r="4323" spans="1:9" x14ac:dyDescent="0.25">
      <c r="A4323" s="6">
        <v>43698</v>
      </c>
      <c r="B4323" t="s">
        <v>26</v>
      </c>
      <c r="C4323">
        <v>61788</v>
      </c>
      <c r="D4323" t="s">
        <v>29</v>
      </c>
      <c r="E4323" s="7">
        <v>30474.48</v>
      </c>
      <c r="F4323" t="s">
        <v>20</v>
      </c>
      <c r="G4323" t="s">
        <v>21</v>
      </c>
      <c r="H4323" t="str">
        <f>"38573"</f>
        <v>38573</v>
      </c>
      <c r="I4323" t="str">
        <f t="shared" si="83"/>
        <v>M &amp; S ENGINEERING  LLC</v>
      </c>
    </row>
    <row r="4324" spans="1:9" x14ac:dyDescent="0.25">
      <c r="A4324" s="6">
        <v>43698</v>
      </c>
      <c r="B4324" t="s">
        <v>26</v>
      </c>
      <c r="C4324">
        <v>61788</v>
      </c>
      <c r="D4324" t="s">
        <v>29</v>
      </c>
      <c r="E4324" s="7">
        <v>30474.48</v>
      </c>
      <c r="F4324" t="s">
        <v>20</v>
      </c>
      <c r="G4324" t="s">
        <v>21</v>
      </c>
      <c r="H4324" t="str">
        <f>"38658"</f>
        <v>38658</v>
      </c>
      <c r="I4324" t="str">
        <f t="shared" si="83"/>
        <v>M &amp; S ENGINEERING  LLC</v>
      </c>
    </row>
    <row r="4325" spans="1:9" x14ac:dyDescent="0.25">
      <c r="A4325" s="6">
        <v>43698</v>
      </c>
      <c r="B4325" t="s">
        <v>26</v>
      </c>
      <c r="C4325">
        <v>61788</v>
      </c>
      <c r="D4325" t="s">
        <v>29</v>
      </c>
      <c r="E4325" s="7">
        <v>30474.48</v>
      </c>
      <c r="F4325" t="s">
        <v>20</v>
      </c>
      <c r="G4325" t="s">
        <v>21</v>
      </c>
      <c r="H4325" t="str">
        <f>"38660"</f>
        <v>38660</v>
      </c>
      <c r="I4325" t="str">
        <f t="shared" si="83"/>
        <v>M &amp; S ENGINEERING  LLC</v>
      </c>
    </row>
    <row r="4326" spans="1:9" x14ac:dyDescent="0.25">
      <c r="A4326" s="6">
        <v>43698</v>
      </c>
      <c r="B4326" t="s">
        <v>26</v>
      </c>
      <c r="C4326">
        <v>61788</v>
      </c>
      <c r="D4326" t="s">
        <v>29</v>
      </c>
      <c r="E4326" s="7">
        <v>30474.48</v>
      </c>
      <c r="F4326" t="s">
        <v>20</v>
      </c>
      <c r="G4326" t="s">
        <v>21</v>
      </c>
      <c r="H4326" t="str">
        <f>"38879"</f>
        <v>38879</v>
      </c>
      <c r="I4326" t="str">
        <f t="shared" si="83"/>
        <v>M &amp; S ENGINEERING  LLC</v>
      </c>
    </row>
    <row r="4327" spans="1:9" x14ac:dyDescent="0.25">
      <c r="A4327" s="6">
        <v>43698</v>
      </c>
      <c r="B4327" t="s">
        <v>26</v>
      </c>
      <c r="C4327">
        <v>61788</v>
      </c>
      <c r="D4327" t="s">
        <v>29</v>
      </c>
      <c r="E4327" s="7">
        <v>30474.48</v>
      </c>
      <c r="F4327" t="s">
        <v>20</v>
      </c>
      <c r="G4327" t="s">
        <v>21</v>
      </c>
      <c r="H4327" t="str">
        <f>"38914"</f>
        <v>38914</v>
      </c>
      <c r="I4327" t="str">
        <f t="shared" si="83"/>
        <v>M &amp; S ENGINEERING  LLC</v>
      </c>
    </row>
    <row r="4328" spans="1:9" x14ac:dyDescent="0.25">
      <c r="A4328" s="6">
        <v>43698</v>
      </c>
      <c r="B4328" t="s">
        <v>26</v>
      </c>
      <c r="C4328">
        <v>61788</v>
      </c>
      <c r="D4328" t="s">
        <v>29</v>
      </c>
      <c r="E4328" s="7">
        <v>30474.48</v>
      </c>
      <c r="F4328" t="s">
        <v>20</v>
      </c>
      <c r="G4328" t="s">
        <v>21</v>
      </c>
      <c r="H4328" t="str">
        <f>"38915"</f>
        <v>38915</v>
      </c>
      <c r="I4328" t="str">
        <f t="shared" si="83"/>
        <v>M &amp; S ENGINEERING  LLC</v>
      </c>
    </row>
    <row r="4329" spans="1:9" x14ac:dyDescent="0.25">
      <c r="A4329" s="6">
        <v>43698</v>
      </c>
      <c r="B4329" t="s">
        <v>26</v>
      </c>
      <c r="C4329">
        <v>61788</v>
      </c>
      <c r="D4329" t="s">
        <v>29</v>
      </c>
      <c r="E4329" s="7">
        <v>30474.48</v>
      </c>
      <c r="F4329" t="s">
        <v>20</v>
      </c>
      <c r="G4329" t="s">
        <v>21</v>
      </c>
      <c r="H4329" t="str">
        <f>"38916"</f>
        <v>38916</v>
      </c>
      <c r="I4329" t="str">
        <f t="shared" si="83"/>
        <v>M &amp; S ENGINEERING  LLC</v>
      </c>
    </row>
    <row r="4330" spans="1:9" x14ac:dyDescent="0.25">
      <c r="A4330" s="6">
        <v>43698</v>
      </c>
      <c r="B4330" t="s">
        <v>26</v>
      </c>
      <c r="C4330">
        <v>61788</v>
      </c>
      <c r="D4330" t="s">
        <v>29</v>
      </c>
      <c r="E4330" s="7">
        <v>30474.48</v>
      </c>
      <c r="F4330" t="s">
        <v>20</v>
      </c>
      <c r="G4330" t="s">
        <v>21</v>
      </c>
      <c r="H4330" t="str">
        <f>"39274"</f>
        <v>39274</v>
      </c>
      <c r="I4330" t="str">
        <f t="shared" si="83"/>
        <v>M &amp; S ENGINEERING  LLC</v>
      </c>
    </row>
    <row r="4331" spans="1:9" x14ac:dyDescent="0.25">
      <c r="A4331" s="6">
        <v>43698</v>
      </c>
      <c r="B4331" t="s">
        <v>26</v>
      </c>
      <c r="C4331">
        <v>61788</v>
      </c>
      <c r="D4331" t="s">
        <v>29</v>
      </c>
      <c r="E4331" s="7">
        <v>30474.48</v>
      </c>
      <c r="F4331" t="s">
        <v>20</v>
      </c>
      <c r="G4331" t="s">
        <v>21</v>
      </c>
      <c r="H4331" t="str">
        <f>"39279"</f>
        <v>39279</v>
      </c>
      <c r="I4331" t="str">
        <f t="shared" si="83"/>
        <v>M &amp; S ENGINEERING  LLC</v>
      </c>
    </row>
    <row r="4332" spans="1:9" x14ac:dyDescent="0.25">
      <c r="A4332" s="6">
        <v>43698</v>
      </c>
      <c r="B4332" t="s">
        <v>26</v>
      </c>
      <c r="C4332">
        <v>61790</v>
      </c>
      <c r="D4332" t="s">
        <v>71</v>
      </c>
      <c r="E4332" s="7">
        <v>2588.8000000000002</v>
      </c>
      <c r="F4332" t="s">
        <v>20</v>
      </c>
      <c r="G4332" t="s">
        <v>21</v>
      </c>
      <c r="H4332" t="str">
        <f>"4020367637"</f>
        <v>4020367637</v>
      </c>
      <c r="I4332" t="str">
        <f t="shared" ref="I4332:I4346" si="84">"CINTAS CORPORATION #087"</f>
        <v>CINTAS CORPORATION #087</v>
      </c>
    </row>
    <row r="4333" spans="1:9" x14ac:dyDescent="0.25">
      <c r="A4333" s="6">
        <v>43698</v>
      </c>
      <c r="B4333" t="s">
        <v>26</v>
      </c>
      <c r="C4333">
        <v>61790</v>
      </c>
      <c r="D4333" t="s">
        <v>71</v>
      </c>
      <c r="E4333" s="7">
        <v>2588.8000000000002</v>
      </c>
      <c r="F4333" t="s">
        <v>20</v>
      </c>
      <c r="G4333" t="s">
        <v>21</v>
      </c>
      <c r="H4333" t="str">
        <f>"4021231401"</f>
        <v>4021231401</v>
      </c>
      <c r="I4333" t="str">
        <f t="shared" si="84"/>
        <v>CINTAS CORPORATION #087</v>
      </c>
    </row>
    <row r="4334" spans="1:9" x14ac:dyDescent="0.25">
      <c r="A4334" s="6">
        <v>43698</v>
      </c>
      <c r="B4334" t="s">
        <v>26</v>
      </c>
      <c r="C4334">
        <v>61790</v>
      </c>
      <c r="D4334" t="s">
        <v>71</v>
      </c>
      <c r="E4334" s="7">
        <v>2588.8000000000002</v>
      </c>
      <c r="F4334" t="s">
        <v>20</v>
      </c>
      <c r="G4334" t="s">
        <v>21</v>
      </c>
      <c r="H4334" t="str">
        <f>"4022143791"</f>
        <v>4022143791</v>
      </c>
      <c r="I4334" t="str">
        <f t="shared" si="84"/>
        <v>CINTAS CORPORATION #087</v>
      </c>
    </row>
    <row r="4335" spans="1:9" x14ac:dyDescent="0.25">
      <c r="A4335" s="6">
        <v>43698</v>
      </c>
      <c r="B4335" t="s">
        <v>26</v>
      </c>
      <c r="C4335">
        <v>61790</v>
      </c>
      <c r="D4335" t="s">
        <v>71</v>
      </c>
      <c r="E4335" s="7">
        <v>2588.8000000000002</v>
      </c>
      <c r="F4335" t="s">
        <v>20</v>
      </c>
      <c r="G4335" t="s">
        <v>21</v>
      </c>
      <c r="H4335" t="str">
        <f>"4022969876"</f>
        <v>4022969876</v>
      </c>
      <c r="I4335" t="str">
        <f t="shared" si="84"/>
        <v>CINTAS CORPORATION #087</v>
      </c>
    </row>
    <row r="4336" spans="1:9" x14ac:dyDescent="0.25">
      <c r="A4336" s="6">
        <v>43698</v>
      </c>
      <c r="B4336" t="s">
        <v>26</v>
      </c>
      <c r="C4336">
        <v>61790</v>
      </c>
      <c r="D4336" t="s">
        <v>71</v>
      </c>
      <c r="E4336" s="7">
        <v>2588.8000000000002</v>
      </c>
      <c r="F4336" t="s">
        <v>20</v>
      </c>
      <c r="G4336" t="s">
        <v>21</v>
      </c>
      <c r="H4336" t="str">
        <f>"4023906172"</f>
        <v>4023906172</v>
      </c>
      <c r="I4336" t="str">
        <f t="shared" si="84"/>
        <v>CINTAS CORPORATION #087</v>
      </c>
    </row>
    <row r="4337" spans="1:9" x14ac:dyDescent="0.25">
      <c r="A4337" s="6">
        <v>43698</v>
      </c>
      <c r="B4337" t="s">
        <v>26</v>
      </c>
      <c r="C4337">
        <v>61790</v>
      </c>
      <c r="D4337" t="s">
        <v>71</v>
      </c>
      <c r="E4337" s="7">
        <v>2588.8000000000002</v>
      </c>
      <c r="F4337" t="s">
        <v>20</v>
      </c>
      <c r="G4337" t="s">
        <v>21</v>
      </c>
      <c r="H4337" t="str">
        <f>"4024852348"</f>
        <v>4024852348</v>
      </c>
      <c r="I4337" t="str">
        <f t="shared" si="84"/>
        <v>CINTAS CORPORATION #087</v>
      </c>
    </row>
    <row r="4338" spans="1:9" x14ac:dyDescent="0.25">
      <c r="A4338" s="6">
        <v>43698</v>
      </c>
      <c r="B4338" t="s">
        <v>26</v>
      </c>
      <c r="C4338">
        <v>61790</v>
      </c>
      <c r="D4338" t="s">
        <v>71</v>
      </c>
      <c r="E4338" s="7">
        <v>2588.8000000000002</v>
      </c>
      <c r="F4338" t="s">
        <v>20</v>
      </c>
      <c r="G4338" t="s">
        <v>21</v>
      </c>
      <c r="H4338" t="str">
        <f>"4025748351"</f>
        <v>4025748351</v>
      </c>
      <c r="I4338" t="str">
        <f t="shared" si="84"/>
        <v>CINTAS CORPORATION #087</v>
      </c>
    </row>
    <row r="4339" spans="1:9" x14ac:dyDescent="0.25">
      <c r="A4339" s="6">
        <v>43698</v>
      </c>
      <c r="B4339" t="s">
        <v>26</v>
      </c>
      <c r="C4339">
        <v>61790</v>
      </c>
      <c r="D4339" t="s">
        <v>71</v>
      </c>
      <c r="E4339" s="7">
        <v>2588.8000000000002</v>
      </c>
      <c r="F4339" t="s">
        <v>20</v>
      </c>
      <c r="G4339" t="s">
        <v>21</v>
      </c>
      <c r="H4339" t="str">
        <f>"4025748443"</f>
        <v>4025748443</v>
      </c>
      <c r="I4339" t="str">
        <f t="shared" si="84"/>
        <v>CINTAS CORPORATION #087</v>
      </c>
    </row>
    <row r="4340" spans="1:9" x14ac:dyDescent="0.25">
      <c r="A4340" s="6">
        <v>43698</v>
      </c>
      <c r="B4340" t="s">
        <v>26</v>
      </c>
      <c r="C4340">
        <v>61790</v>
      </c>
      <c r="D4340" t="s">
        <v>71</v>
      </c>
      <c r="E4340" s="7">
        <v>2588.8000000000002</v>
      </c>
      <c r="F4340" t="s">
        <v>20</v>
      </c>
      <c r="G4340" t="s">
        <v>21</v>
      </c>
      <c r="H4340" t="str">
        <f>"4026694211"</f>
        <v>4026694211</v>
      </c>
      <c r="I4340" t="str">
        <f t="shared" si="84"/>
        <v>CINTAS CORPORATION #087</v>
      </c>
    </row>
    <row r="4341" spans="1:9" x14ac:dyDescent="0.25">
      <c r="A4341" s="6">
        <v>43698</v>
      </c>
      <c r="B4341" t="s">
        <v>26</v>
      </c>
      <c r="C4341">
        <v>61790</v>
      </c>
      <c r="D4341" t="s">
        <v>71</v>
      </c>
      <c r="E4341" s="7">
        <v>2588.8000000000002</v>
      </c>
      <c r="F4341" t="s">
        <v>20</v>
      </c>
      <c r="G4341" t="s">
        <v>21</v>
      </c>
      <c r="H4341" t="str">
        <f>"4026694255"</f>
        <v>4026694255</v>
      </c>
      <c r="I4341" t="str">
        <f t="shared" si="84"/>
        <v>CINTAS CORPORATION #087</v>
      </c>
    </row>
    <row r="4342" spans="1:9" x14ac:dyDescent="0.25">
      <c r="A4342" s="6">
        <v>43698</v>
      </c>
      <c r="B4342" t="s">
        <v>26</v>
      </c>
      <c r="C4342">
        <v>61790</v>
      </c>
      <c r="D4342" t="s">
        <v>71</v>
      </c>
      <c r="E4342" s="7">
        <v>2588.8000000000002</v>
      </c>
      <c r="F4342" t="s">
        <v>20</v>
      </c>
      <c r="G4342" t="s">
        <v>21</v>
      </c>
      <c r="H4342" t="str">
        <f>"4027179357"</f>
        <v>4027179357</v>
      </c>
      <c r="I4342" t="str">
        <f t="shared" si="84"/>
        <v>CINTAS CORPORATION #087</v>
      </c>
    </row>
    <row r="4343" spans="1:9" x14ac:dyDescent="0.25">
      <c r="A4343" s="6">
        <v>43698</v>
      </c>
      <c r="B4343" t="s">
        <v>26</v>
      </c>
      <c r="C4343">
        <v>61790</v>
      </c>
      <c r="D4343" t="s">
        <v>71</v>
      </c>
      <c r="E4343" s="7">
        <v>2588.8000000000002</v>
      </c>
      <c r="F4343" t="s">
        <v>20</v>
      </c>
      <c r="G4343" t="s">
        <v>21</v>
      </c>
      <c r="H4343" t="str">
        <f>"4027664034"</f>
        <v>4027664034</v>
      </c>
      <c r="I4343" t="str">
        <f t="shared" si="84"/>
        <v>CINTAS CORPORATION #087</v>
      </c>
    </row>
    <row r="4344" spans="1:9" x14ac:dyDescent="0.25">
      <c r="A4344" s="6">
        <v>43698</v>
      </c>
      <c r="B4344" t="s">
        <v>26</v>
      </c>
      <c r="C4344">
        <v>61790</v>
      </c>
      <c r="D4344" t="s">
        <v>71</v>
      </c>
      <c r="E4344" s="7">
        <v>2588.8000000000002</v>
      </c>
      <c r="F4344" t="s">
        <v>20</v>
      </c>
      <c r="G4344" t="s">
        <v>21</v>
      </c>
      <c r="H4344" t="str">
        <f>"4027720117"</f>
        <v>4027720117</v>
      </c>
      <c r="I4344" t="str">
        <f t="shared" si="84"/>
        <v>CINTAS CORPORATION #087</v>
      </c>
    </row>
    <row r="4345" spans="1:9" x14ac:dyDescent="0.25">
      <c r="A4345" s="6">
        <v>43698</v>
      </c>
      <c r="B4345" t="s">
        <v>26</v>
      </c>
      <c r="C4345">
        <v>61790</v>
      </c>
      <c r="D4345" t="s">
        <v>71</v>
      </c>
      <c r="E4345" s="7">
        <v>2588.8000000000002</v>
      </c>
      <c r="F4345" t="s">
        <v>20</v>
      </c>
      <c r="G4345" t="s">
        <v>21</v>
      </c>
      <c r="H4345" t="str">
        <f>"4027720139"</f>
        <v>4027720139</v>
      </c>
      <c r="I4345" t="str">
        <f t="shared" si="84"/>
        <v>CINTAS CORPORATION #087</v>
      </c>
    </row>
    <row r="4346" spans="1:9" x14ac:dyDescent="0.25">
      <c r="A4346" s="6">
        <v>43698</v>
      </c>
      <c r="B4346" t="s">
        <v>26</v>
      </c>
      <c r="C4346">
        <v>61790</v>
      </c>
      <c r="D4346" t="s">
        <v>71</v>
      </c>
      <c r="E4346" s="7">
        <v>2588.8000000000002</v>
      </c>
      <c r="F4346" t="s">
        <v>20</v>
      </c>
      <c r="G4346" t="s">
        <v>21</v>
      </c>
      <c r="H4346" t="str">
        <f>"4027720143"</f>
        <v>4027720143</v>
      </c>
      <c r="I4346" t="str">
        <f t="shared" si="84"/>
        <v>CINTAS CORPORATION #087</v>
      </c>
    </row>
    <row r="4347" spans="1:9" x14ac:dyDescent="0.25">
      <c r="A4347" s="6">
        <v>43698</v>
      </c>
      <c r="B4347" t="s">
        <v>26</v>
      </c>
      <c r="C4347">
        <v>61793</v>
      </c>
      <c r="D4347" t="s">
        <v>123</v>
      </c>
      <c r="E4347" s="7">
        <v>199.99</v>
      </c>
      <c r="F4347" t="s">
        <v>20</v>
      </c>
      <c r="G4347" t="s">
        <v>21</v>
      </c>
      <c r="H4347" t="str">
        <f>"347096294001"</f>
        <v>347096294001</v>
      </c>
      <c r="I4347" t="str">
        <f>"CASH REGISTER"</f>
        <v>CASH REGISTER</v>
      </c>
    </row>
    <row r="4348" spans="1:9" x14ac:dyDescent="0.25">
      <c r="A4348" s="6">
        <v>43698</v>
      </c>
      <c r="B4348" t="s">
        <v>91</v>
      </c>
      <c r="C4348">
        <v>61794</v>
      </c>
      <c r="D4348" t="s">
        <v>75</v>
      </c>
      <c r="E4348" s="7">
        <v>119.98</v>
      </c>
      <c r="F4348" t="s">
        <v>20</v>
      </c>
      <c r="G4348" t="s">
        <v>21</v>
      </c>
      <c r="H4348" t="str">
        <f>"8184 AUG 2019"</f>
        <v>8184 AUG 2019</v>
      </c>
      <c r="I4348" t="str">
        <f>"TRACTOR SUPPLY CREDIT PLAN"</f>
        <v>TRACTOR SUPPLY CREDIT PLAN</v>
      </c>
    </row>
    <row r="4349" spans="1:9" x14ac:dyDescent="0.25">
      <c r="A4349" s="6">
        <v>43698</v>
      </c>
      <c r="B4349" t="s">
        <v>91</v>
      </c>
      <c r="C4349">
        <v>61794</v>
      </c>
      <c r="D4349" t="s">
        <v>75</v>
      </c>
      <c r="E4349" s="7">
        <v>119.98</v>
      </c>
      <c r="F4349" t="s">
        <v>20</v>
      </c>
      <c r="G4349" t="s">
        <v>21</v>
      </c>
      <c r="H4349" t="str">
        <f>"8184 AUG. 2019"</f>
        <v>8184 AUG. 2019</v>
      </c>
      <c r="I4349" t="str">
        <f>"PAIR BURNER"</f>
        <v>PAIR BURNER</v>
      </c>
    </row>
    <row r="4350" spans="1:9" x14ac:dyDescent="0.25">
      <c r="A4350" s="6">
        <v>43698</v>
      </c>
      <c r="B4350" t="s">
        <v>91</v>
      </c>
      <c r="C4350">
        <v>61794</v>
      </c>
      <c r="D4350" t="s">
        <v>75</v>
      </c>
      <c r="E4350" s="7">
        <v>119.98</v>
      </c>
      <c r="F4350" t="s">
        <v>20</v>
      </c>
      <c r="G4350" t="s">
        <v>93</v>
      </c>
      <c r="H4350" t="str">
        <f>"CHECK"</f>
        <v>CHECK</v>
      </c>
      <c r="I4350" t="str">
        <f>""</f>
        <v/>
      </c>
    </row>
    <row r="4351" spans="1:9" x14ac:dyDescent="0.25">
      <c r="A4351" s="6">
        <v>43698</v>
      </c>
      <c r="B4351" t="s">
        <v>26</v>
      </c>
      <c r="C4351">
        <v>61795</v>
      </c>
      <c r="D4351" t="s">
        <v>77</v>
      </c>
      <c r="E4351" s="7">
        <v>3262.85</v>
      </c>
      <c r="F4351" t="s">
        <v>20</v>
      </c>
      <c r="G4351" t="s">
        <v>21</v>
      </c>
      <c r="H4351" t="str">
        <f>"857001489-19"</f>
        <v>857001489-19</v>
      </c>
      <c r="I4351" t="str">
        <f>"CHLORINE WATER"</f>
        <v>CHLORINE WATER</v>
      </c>
    </row>
    <row r="4352" spans="1:9" x14ac:dyDescent="0.25">
      <c r="A4352" s="6">
        <v>43698</v>
      </c>
      <c r="B4352" t="s">
        <v>26</v>
      </c>
      <c r="C4352">
        <v>61795</v>
      </c>
      <c r="D4352" t="s">
        <v>77</v>
      </c>
      <c r="E4352" s="7">
        <v>3262.85</v>
      </c>
      <c r="F4352" t="s">
        <v>20</v>
      </c>
      <c r="G4352" t="s">
        <v>21</v>
      </c>
      <c r="H4352" t="str">
        <f>"857001490-19"</f>
        <v>857001490-19</v>
      </c>
      <c r="I4352" t="str">
        <f>"CHLORINE WATER"</f>
        <v>CHLORINE WATER</v>
      </c>
    </row>
    <row r="4353" spans="1:9" x14ac:dyDescent="0.25">
      <c r="A4353" s="6">
        <v>43698</v>
      </c>
      <c r="B4353" t="s">
        <v>26</v>
      </c>
      <c r="C4353">
        <v>61795</v>
      </c>
      <c r="D4353" t="s">
        <v>77</v>
      </c>
      <c r="E4353" s="7">
        <v>3262.85</v>
      </c>
      <c r="F4353" t="s">
        <v>20</v>
      </c>
      <c r="G4353" t="s">
        <v>21</v>
      </c>
      <c r="H4353" t="str">
        <f>"857001491-19"</f>
        <v>857001491-19</v>
      </c>
      <c r="I4353" t="str">
        <f>"CHLORINE AND GRANULAR"</f>
        <v>CHLORINE AND GRANULAR</v>
      </c>
    </row>
    <row r="4354" spans="1:9" x14ac:dyDescent="0.25">
      <c r="A4354" s="6">
        <v>43698</v>
      </c>
      <c r="B4354" t="s">
        <v>26</v>
      </c>
      <c r="C4354">
        <v>61795</v>
      </c>
      <c r="D4354" t="s">
        <v>77</v>
      </c>
      <c r="E4354" s="7">
        <v>3262.85</v>
      </c>
      <c r="F4354" t="s">
        <v>20</v>
      </c>
      <c r="G4354" t="s">
        <v>21</v>
      </c>
      <c r="H4354" t="str">
        <f>"DE85001594-19"</f>
        <v>DE85001594-19</v>
      </c>
      <c r="I4354" t="str">
        <f>"DPC INDUSTRIES  INC."</f>
        <v>DPC INDUSTRIES  INC.</v>
      </c>
    </row>
    <row r="4355" spans="1:9" x14ac:dyDescent="0.25">
      <c r="A4355" s="6">
        <v>43698</v>
      </c>
      <c r="B4355" t="s">
        <v>26</v>
      </c>
      <c r="C4355">
        <v>61795</v>
      </c>
      <c r="D4355" t="s">
        <v>77</v>
      </c>
      <c r="E4355" s="7">
        <v>3262.85</v>
      </c>
      <c r="F4355" t="s">
        <v>20</v>
      </c>
      <c r="G4355" t="s">
        <v>21</v>
      </c>
      <c r="H4355" t="str">
        <f>"DE85001802-19"</f>
        <v>DE85001802-19</v>
      </c>
      <c r="I4355" t="str">
        <f>"DPC INDUSTRIES  INC."</f>
        <v>DPC INDUSTRIES  INC.</v>
      </c>
    </row>
    <row r="4356" spans="1:9" x14ac:dyDescent="0.25">
      <c r="A4356" s="6">
        <v>43698</v>
      </c>
      <c r="B4356" t="s">
        <v>26</v>
      </c>
      <c r="C4356">
        <v>61796</v>
      </c>
      <c r="D4356" t="s">
        <v>124</v>
      </c>
      <c r="E4356" s="7">
        <v>29.09</v>
      </c>
      <c r="F4356" t="s">
        <v>20</v>
      </c>
      <c r="G4356" t="s">
        <v>21</v>
      </c>
      <c r="H4356" t="str">
        <f>"11175422"</f>
        <v>11175422</v>
      </c>
      <c r="I4356" t="str">
        <f>"BIT SET"</f>
        <v>BIT SET</v>
      </c>
    </row>
    <row r="4357" spans="1:9" x14ac:dyDescent="0.25">
      <c r="A4357" s="6">
        <v>43698</v>
      </c>
      <c r="B4357" t="s">
        <v>26</v>
      </c>
      <c r="C4357">
        <v>61797</v>
      </c>
      <c r="D4357" t="s">
        <v>126</v>
      </c>
      <c r="E4357" s="7">
        <v>84650.42</v>
      </c>
      <c r="F4357" t="s">
        <v>20</v>
      </c>
      <c r="G4357" t="s">
        <v>21</v>
      </c>
      <c r="H4357" t="str">
        <f>"0859-002353759"</f>
        <v>0859-002353759</v>
      </c>
      <c r="I4357" t="str">
        <f>"REPUBLIC SERVICES #859"</f>
        <v>REPUBLIC SERVICES #859</v>
      </c>
    </row>
    <row r="4358" spans="1:9" x14ac:dyDescent="0.25">
      <c r="A4358" s="6">
        <v>43698</v>
      </c>
      <c r="B4358" t="s">
        <v>26</v>
      </c>
      <c r="C4358">
        <v>61798</v>
      </c>
      <c r="D4358" t="s">
        <v>79</v>
      </c>
      <c r="E4358" s="7">
        <v>27</v>
      </c>
      <c r="F4358" t="s">
        <v>20</v>
      </c>
      <c r="G4358" t="s">
        <v>21</v>
      </c>
      <c r="H4358" t="str">
        <f>"6-631-07142"</f>
        <v>6-631-07142</v>
      </c>
      <c r="I4358" t="str">
        <f>"FEDEX"</f>
        <v>FEDEX</v>
      </c>
    </row>
    <row r="4359" spans="1:9" x14ac:dyDescent="0.25">
      <c r="A4359" s="6">
        <v>43698</v>
      </c>
      <c r="B4359" t="s">
        <v>26</v>
      </c>
      <c r="C4359">
        <v>61798</v>
      </c>
      <c r="D4359" t="s">
        <v>79</v>
      </c>
      <c r="E4359" s="7">
        <v>27</v>
      </c>
      <c r="F4359" t="s">
        <v>20</v>
      </c>
      <c r="G4359" t="s">
        <v>21</v>
      </c>
      <c r="H4359" t="str">
        <f>"6-700-18236"</f>
        <v>6-700-18236</v>
      </c>
      <c r="I4359" t="str">
        <f>"FEDEX"</f>
        <v>FEDEX</v>
      </c>
    </row>
    <row r="4360" spans="1:9" x14ac:dyDescent="0.25">
      <c r="A4360" s="6">
        <v>43698</v>
      </c>
      <c r="B4360" t="s">
        <v>26</v>
      </c>
      <c r="C4360">
        <v>61799</v>
      </c>
      <c r="D4360" t="s">
        <v>139</v>
      </c>
      <c r="E4360" s="7">
        <v>65</v>
      </c>
      <c r="F4360" t="s">
        <v>20</v>
      </c>
      <c r="G4360" t="s">
        <v>21</v>
      </c>
      <c r="H4360" t="str">
        <f>"27046"</f>
        <v>27046</v>
      </c>
      <c r="I4360" t="str">
        <f>"ANGEL FIRE &amp; SAFETY"</f>
        <v>ANGEL FIRE &amp; SAFETY</v>
      </c>
    </row>
    <row r="4361" spans="1:9" x14ac:dyDescent="0.25">
      <c r="A4361" s="6">
        <v>43698</v>
      </c>
      <c r="B4361" t="s">
        <v>26</v>
      </c>
      <c r="C4361">
        <v>61800</v>
      </c>
      <c r="D4361" t="s">
        <v>130</v>
      </c>
      <c r="E4361" s="7">
        <v>2416</v>
      </c>
      <c r="F4361" t="s">
        <v>20</v>
      </c>
      <c r="G4361" t="s">
        <v>21</v>
      </c>
      <c r="H4361" t="str">
        <f>"25139086"</f>
        <v>25139086</v>
      </c>
      <c r="I4361" t="str">
        <f>"DOCUMATION"</f>
        <v>DOCUMATION</v>
      </c>
    </row>
    <row r="4362" spans="1:9" x14ac:dyDescent="0.25">
      <c r="A4362" s="6">
        <v>43698</v>
      </c>
      <c r="B4362" t="s">
        <v>91</v>
      </c>
      <c r="C4362">
        <v>61801</v>
      </c>
      <c r="D4362" t="s">
        <v>131</v>
      </c>
      <c r="E4362" s="7">
        <v>29.98</v>
      </c>
      <c r="F4362" t="s">
        <v>20</v>
      </c>
      <c r="G4362" t="s">
        <v>21</v>
      </c>
      <c r="H4362" t="str">
        <f>"042399"</f>
        <v>042399</v>
      </c>
      <c r="I4362" t="str">
        <f>"MUD FLAPS"</f>
        <v>MUD FLAPS</v>
      </c>
    </row>
    <row r="4363" spans="1:9" x14ac:dyDescent="0.25">
      <c r="A4363" s="6">
        <v>43698</v>
      </c>
      <c r="B4363" t="s">
        <v>91</v>
      </c>
      <c r="C4363">
        <v>61801</v>
      </c>
      <c r="D4363" t="s">
        <v>131</v>
      </c>
      <c r="E4363" s="7">
        <v>29.98</v>
      </c>
      <c r="F4363" t="s">
        <v>20</v>
      </c>
      <c r="G4363" t="s">
        <v>21</v>
      </c>
      <c r="H4363" t="str">
        <f>"042399*"</f>
        <v>042399*</v>
      </c>
      <c r="I4363" t="str">
        <f>"R &amp; S TEXAS PARTS CO"</f>
        <v>R &amp; S TEXAS PARTS CO</v>
      </c>
    </row>
    <row r="4364" spans="1:9" x14ac:dyDescent="0.25">
      <c r="A4364" s="6">
        <v>43698</v>
      </c>
      <c r="B4364" t="s">
        <v>91</v>
      </c>
      <c r="C4364">
        <v>61801</v>
      </c>
      <c r="D4364" t="s">
        <v>131</v>
      </c>
      <c r="E4364" s="7">
        <v>29.98</v>
      </c>
      <c r="F4364" t="s">
        <v>20</v>
      </c>
      <c r="G4364" t="s">
        <v>93</v>
      </c>
      <c r="H4364" t="str">
        <f>"CHECK"</f>
        <v>CHECK</v>
      </c>
      <c r="I4364" t="str">
        <f>""</f>
        <v/>
      </c>
    </row>
    <row r="4365" spans="1:9" x14ac:dyDescent="0.25">
      <c r="A4365" s="6">
        <v>43698</v>
      </c>
      <c r="B4365" t="s">
        <v>26</v>
      </c>
      <c r="C4365">
        <v>61802</v>
      </c>
      <c r="D4365" t="s">
        <v>84</v>
      </c>
      <c r="E4365" s="7">
        <v>7685.5</v>
      </c>
      <c r="F4365" t="s">
        <v>20</v>
      </c>
      <c r="G4365" t="s">
        <v>21</v>
      </c>
      <c r="H4365" t="str">
        <f>"1542317"</f>
        <v>1542317</v>
      </c>
      <c r="I4365" t="str">
        <f>"STANTEC CONSULTING SERVICES IN"</f>
        <v>STANTEC CONSULTING SERVICES IN</v>
      </c>
    </row>
    <row r="4366" spans="1:9" x14ac:dyDescent="0.25">
      <c r="A4366" s="6">
        <v>43698</v>
      </c>
      <c r="B4366" t="s">
        <v>26</v>
      </c>
      <c r="C4366">
        <v>61802</v>
      </c>
      <c r="D4366" t="s">
        <v>84</v>
      </c>
      <c r="E4366" s="7">
        <v>7685.5</v>
      </c>
      <c r="F4366" t="s">
        <v>20</v>
      </c>
      <c r="G4366" t="s">
        <v>21</v>
      </c>
      <c r="H4366" t="str">
        <f>"1542318"</f>
        <v>1542318</v>
      </c>
      <c r="I4366" t="str">
        <f>"STANTEC CONSULTING SERVICES IN"</f>
        <v>STANTEC CONSULTING SERVICES IN</v>
      </c>
    </row>
    <row r="4367" spans="1:9" x14ac:dyDescent="0.25">
      <c r="A4367" s="6">
        <v>43698</v>
      </c>
      <c r="B4367" t="s">
        <v>26</v>
      </c>
      <c r="C4367">
        <v>61803</v>
      </c>
      <c r="D4367" t="s">
        <v>85</v>
      </c>
      <c r="E4367" s="7">
        <v>2023</v>
      </c>
      <c r="F4367" t="s">
        <v>20</v>
      </c>
      <c r="G4367" t="s">
        <v>21</v>
      </c>
      <c r="H4367" t="str">
        <f>"8303930579 8/19"</f>
        <v>8303930579 8/19</v>
      </c>
      <c r="I4367" t="str">
        <f t="shared" ref="I4367:I4373" si="85">"FRONTIER"</f>
        <v>FRONTIER</v>
      </c>
    </row>
    <row r="4368" spans="1:9" x14ac:dyDescent="0.25">
      <c r="A4368" s="6">
        <v>43698</v>
      </c>
      <c r="B4368" t="s">
        <v>26</v>
      </c>
      <c r="C4368">
        <v>61803</v>
      </c>
      <c r="D4368" t="s">
        <v>85</v>
      </c>
      <c r="E4368" s="7">
        <v>2023</v>
      </c>
      <c r="F4368" t="s">
        <v>20</v>
      </c>
      <c r="G4368" t="s">
        <v>21</v>
      </c>
      <c r="H4368" t="str">
        <f>"8303932801 8/10/19"</f>
        <v>8303932801 8/10/19</v>
      </c>
      <c r="I4368" t="str">
        <f t="shared" si="85"/>
        <v>FRONTIER</v>
      </c>
    </row>
    <row r="4369" spans="1:9" x14ac:dyDescent="0.25">
      <c r="A4369" s="6">
        <v>43698</v>
      </c>
      <c r="B4369" t="s">
        <v>26</v>
      </c>
      <c r="C4369">
        <v>61803</v>
      </c>
      <c r="D4369" t="s">
        <v>85</v>
      </c>
      <c r="E4369" s="7">
        <v>2023</v>
      </c>
      <c r="F4369" t="s">
        <v>20</v>
      </c>
      <c r="G4369" t="s">
        <v>21</v>
      </c>
      <c r="H4369" t="str">
        <f>"8303933108 8/19"</f>
        <v>8303933108 8/19</v>
      </c>
      <c r="I4369" t="str">
        <f t="shared" si="85"/>
        <v>FRONTIER</v>
      </c>
    </row>
    <row r="4370" spans="1:9" x14ac:dyDescent="0.25">
      <c r="A4370" s="6">
        <v>43698</v>
      </c>
      <c r="B4370" t="s">
        <v>26</v>
      </c>
      <c r="C4370">
        <v>61803</v>
      </c>
      <c r="D4370" t="s">
        <v>85</v>
      </c>
      <c r="E4370" s="7">
        <v>2023</v>
      </c>
      <c r="F4370" t="s">
        <v>20</v>
      </c>
      <c r="G4370" t="s">
        <v>21</v>
      </c>
      <c r="H4370" t="str">
        <f>"8303934055 8/19"</f>
        <v>8303934055 8/19</v>
      </c>
      <c r="I4370" t="str">
        <f t="shared" si="85"/>
        <v>FRONTIER</v>
      </c>
    </row>
    <row r="4371" spans="1:9" x14ac:dyDescent="0.25">
      <c r="A4371" s="6">
        <v>43698</v>
      </c>
      <c r="B4371" t="s">
        <v>26</v>
      </c>
      <c r="C4371">
        <v>61803</v>
      </c>
      <c r="D4371" t="s">
        <v>85</v>
      </c>
      <c r="E4371" s="7">
        <v>2023</v>
      </c>
      <c r="F4371" t="s">
        <v>20</v>
      </c>
      <c r="G4371" t="s">
        <v>21</v>
      </c>
      <c r="H4371" t="str">
        <f>"8303936794 8/10/19"</f>
        <v>8303936794 8/10/19</v>
      </c>
      <c r="I4371" t="str">
        <f t="shared" si="85"/>
        <v>FRONTIER</v>
      </c>
    </row>
    <row r="4372" spans="1:9" x14ac:dyDescent="0.25">
      <c r="A4372" s="6">
        <v>43698</v>
      </c>
      <c r="B4372" t="s">
        <v>26</v>
      </c>
      <c r="C4372">
        <v>61803</v>
      </c>
      <c r="D4372" t="s">
        <v>85</v>
      </c>
      <c r="E4372" s="7">
        <v>2023</v>
      </c>
      <c r="F4372" t="s">
        <v>20</v>
      </c>
      <c r="G4372" t="s">
        <v>21</v>
      </c>
      <c r="H4372" t="str">
        <f>"8303937070 8/19"</f>
        <v>8303937070 8/19</v>
      </c>
      <c r="I4372" t="str">
        <f t="shared" si="85"/>
        <v>FRONTIER</v>
      </c>
    </row>
    <row r="4373" spans="1:9" x14ac:dyDescent="0.25">
      <c r="A4373" s="6">
        <v>43698</v>
      </c>
      <c r="B4373" t="s">
        <v>26</v>
      </c>
      <c r="C4373">
        <v>61803</v>
      </c>
      <c r="D4373" t="s">
        <v>85</v>
      </c>
      <c r="E4373" s="7">
        <v>2023</v>
      </c>
      <c r="F4373" t="s">
        <v>20</v>
      </c>
      <c r="G4373" t="s">
        <v>21</v>
      </c>
      <c r="H4373" t="str">
        <f>"8303939791 8/19"</f>
        <v>8303939791 8/19</v>
      </c>
      <c r="I4373" t="str">
        <f t="shared" si="85"/>
        <v>FRONTIER</v>
      </c>
    </row>
    <row r="4374" spans="1:9" x14ac:dyDescent="0.25">
      <c r="A4374" s="6">
        <v>43698</v>
      </c>
      <c r="B4374" t="s">
        <v>26</v>
      </c>
      <c r="C4374">
        <v>61805</v>
      </c>
      <c r="D4374" t="s">
        <v>194</v>
      </c>
      <c r="E4374" s="7">
        <v>413.92</v>
      </c>
      <c r="F4374" t="s">
        <v>20</v>
      </c>
      <c r="G4374" t="s">
        <v>21</v>
      </c>
      <c r="H4374" t="str">
        <f>"013166813"</f>
        <v>013166813</v>
      </c>
      <c r="I4374" t="str">
        <f>"UNIFORMS"</f>
        <v>UNIFORMS</v>
      </c>
    </row>
    <row r="4375" spans="1:9" x14ac:dyDescent="0.25">
      <c r="A4375" s="6">
        <v>43698</v>
      </c>
      <c r="B4375" t="s">
        <v>26</v>
      </c>
      <c r="C4375">
        <v>61805</v>
      </c>
      <c r="D4375" t="s">
        <v>194</v>
      </c>
      <c r="E4375" s="7">
        <v>413.92</v>
      </c>
      <c r="F4375" t="s">
        <v>20</v>
      </c>
      <c r="G4375" t="s">
        <v>21</v>
      </c>
      <c r="H4375" t="str">
        <f>"013213552"</f>
        <v>013213552</v>
      </c>
      <c r="I4375" t="str">
        <f>"UNIFORMS"</f>
        <v>UNIFORMS</v>
      </c>
    </row>
    <row r="4376" spans="1:9" x14ac:dyDescent="0.25">
      <c r="A4376" s="6">
        <v>43698</v>
      </c>
      <c r="B4376" t="s">
        <v>26</v>
      </c>
      <c r="C4376">
        <v>61805</v>
      </c>
      <c r="D4376" t="s">
        <v>194</v>
      </c>
      <c r="E4376" s="7">
        <v>413.92</v>
      </c>
      <c r="F4376" t="s">
        <v>20</v>
      </c>
      <c r="G4376" t="s">
        <v>21</v>
      </c>
      <c r="H4376" t="str">
        <f>"BC0877203"</f>
        <v>BC0877203</v>
      </c>
      <c r="I4376" t="str">
        <f>"UNIFORMS"</f>
        <v>UNIFORMS</v>
      </c>
    </row>
    <row r="4377" spans="1:9" x14ac:dyDescent="0.25">
      <c r="A4377" s="6">
        <v>43698</v>
      </c>
      <c r="B4377" t="s">
        <v>26</v>
      </c>
      <c r="C4377">
        <v>61806</v>
      </c>
      <c r="D4377" t="s">
        <v>326</v>
      </c>
      <c r="E4377" s="7">
        <v>235.6</v>
      </c>
      <c r="F4377" t="s">
        <v>20</v>
      </c>
      <c r="G4377" t="s">
        <v>21</v>
      </c>
      <c r="H4377" t="str">
        <f>"20132033"</f>
        <v>20132033</v>
      </c>
      <c r="I4377" t="str">
        <f>"MATHESON TRI-GAS INC"</f>
        <v>MATHESON TRI-GAS INC</v>
      </c>
    </row>
    <row r="4378" spans="1:9" x14ac:dyDescent="0.25">
      <c r="A4378" s="6">
        <v>43698</v>
      </c>
      <c r="B4378" t="s">
        <v>26</v>
      </c>
      <c r="C4378">
        <v>61807</v>
      </c>
      <c r="D4378" t="s">
        <v>345</v>
      </c>
      <c r="E4378" s="7">
        <v>308</v>
      </c>
      <c r="F4378" t="s">
        <v>20</v>
      </c>
      <c r="G4378" t="s">
        <v>21</v>
      </c>
      <c r="H4378" t="str">
        <f>"08/19/2019"</f>
        <v>08/19/2019</v>
      </c>
      <c r="I4378" t="str">
        <f>"MICHAEL ISAAC MARTINEZ"</f>
        <v>MICHAEL ISAAC MARTINEZ</v>
      </c>
    </row>
    <row r="4379" spans="1:9" x14ac:dyDescent="0.25">
      <c r="A4379" s="6">
        <v>43698</v>
      </c>
      <c r="B4379" t="s">
        <v>26</v>
      </c>
      <c r="C4379">
        <v>61808</v>
      </c>
      <c r="D4379" t="s">
        <v>452</v>
      </c>
      <c r="E4379" s="7">
        <v>80</v>
      </c>
      <c r="F4379" t="s">
        <v>20</v>
      </c>
      <c r="G4379" t="s">
        <v>21</v>
      </c>
      <c r="H4379" t="str">
        <f>"08/17/2019"</f>
        <v>08/17/2019</v>
      </c>
      <c r="I4379" t="str">
        <f>"DESIREE PEREZ"</f>
        <v>DESIREE PEREZ</v>
      </c>
    </row>
    <row r="4380" spans="1:9" x14ac:dyDescent="0.25">
      <c r="A4380" s="6">
        <v>43698</v>
      </c>
      <c r="B4380" t="s">
        <v>26</v>
      </c>
      <c r="C4380">
        <v>61809</v>
      </c>
      <c r="D4380" t="s">
        <v>48</v>
      </c>
      <c r="E4380" s="7">
        <v>2753.38</v>
      </c>
      <c r="F4380" t="s">
        <v>20</v>
      </c>
      <c r="G4380" t="s">
        <v>21</v>
      </c>
      <c r="H4380" t="str">
        <f>"1706"</f>
        <v>1706</v>
      </c>
      <c r="I4380" t="str">
        <f>"RANDY HOLLAR  LLC"</f>
        <v>RANDY HOLLAR  LLC</v>
      </c>
    </row>
    <row r="4381" spans="1:9" x14ac:dyDescent="0.25">
      <c r="A4381" s="6">
        <v>43698</v>
      </c>
      <c r="B4381" t="s">
        <v>26</v>
      </c>
      <c r="C4381">
        <v>61810</v>
      </c>
      <c r="D4381" t="s">
        <v>351</v>
      </c>
      <c r="E4381" s="7">
        <v>75</v>
      </c>
      <c r="F4381" t="s">
        <v>20</v>
      </c>
      <c r="G4381" t="s">
        <v>21</v>
      </c>
      <c r="H4381" t="str">
        <f>"890375"</f>
        <v>890375</v>
      </c>
      <c r="I4381" t="str">
        <f>"H &amp; H OIL"</f>
        <v>H &amp; H OIL</v>
      </c>
    </row>
    <row r="4382" spans="1:9" x14ac:dyDescent="0.25">
      <c r="A4382" s="6">
        <v>43698</v>
      </c>
      <c r="B4382" t="s">
        <v>26</v>
      </c>
      <c r="C4382">
        <v>61811</v>
      </c>
      <c r="D4382" t="s">
        <v>415</v>
      </c>
      <c r="E4382" s="7">
        <v>1425</v>
      </c>
      <c r="F4382" t="s">
        <v>20</v>
      </c>
      <c r="G4382" t="s">
        <v>21</v>
      </c>
      <c r="H4382" t="str">
        <f>"19016784"</f>
        <v>19016784</v>
      </c>
      <c r="I4382" t="str">
        <f>"OVERHEAD DOOR"</f>
        <v>OVERHEAD DOOR</v>
      </c>
    </row>
    <row r="4383" spans="1:9" x14ac:dyDescent="0.25">
      <c r="A4383" s="6">
        <v>43698</v>
      </c>
      <c r="B4383" t="s">
        <v>26</v>
      </c>
      <c r="C4383">
        <v>61812</v>
      </c>
      <c r="D4383" t="s">
        <v>478</v>
      </c>
      <c r="E4383" s="7">
        <v>275</v>
      </c>
      <c r="F4383" t="s">
        <v>20</v>
      </c>
      <c r="G4383" t="s">
        <v>21</v>
      </c>
      <c r="H4383" t="str">
        <f>"3934"</f>
        <v>3934</v>
      </c>
      <c r="I4383" t="str">
        <f>"QUALITY SERVICES TOWING &amp; RECO"</f>
        <v>QUALITY SERVICES TOWING &amp; RECO</v>
      </c>
    </row>
    <row r="4384" spans="1:9" x14ac:dyDescent="0.25">
      <c r="A4384" s="6">
        <v>43698</v>
      </c>
      <c r="B4384" t="s">
        <v>26</v>
      </c>
      <c r="C4384">
        <v>61813</v>
      </c>
      <c r="D4384" t="s">
        <v>528</v>
      </c>
      <c r="E4384" s="7">
        <v>173</v>
      </c>
      <c r="F4384" t="s">
        <v>20</v>
      </c>
      <c r="G4384" t="s">
        <v>21</v>
      </c>
      <c r="H4384" t="str">
        <f>"10013305"</f>
        <v>10013305</v>
      </c>
      <c r="I4384" t="str">
        <f>"PROSTAR SERVICES INC"</f>
        <v>PROSTAR SERVICES INC</v>
      </c>
    </row>
    <row r="4385" spans="1:9" x14ac:dyDescent="0.25">
      <c r="A4385" s="6">
        <v>43698</v>
      </c>
      <c r="B4385" t="s">
        <v>26</v>
      </c>
      <c r="C4385">
        <v>61814</v>
      </c>
      <c r="D4385" t="s">
        <v>554</v>
      </c>
      <c r="E4385" s="7">
        <v>74.95</v>
      </c>
      <c r="F4385" t="s">
        <v>20</v>
      </c>
      <c r="G4385" t="s">
        <v>21</v>
      </c>
      <c r="H4385" t="str">
        <f>"AA40050"</f>
        <v>AA40050</v>
      </c>
      <c r="I4385" t="str">
        <f>"TEXAS WIRED MUSIC"</f>
        <v>TEXAS WIRED MUSIC</v>
      </c>
    </row>
    <row r="4386" spans="1:9" x14ac:dyDescent="0.25">
      <c r="A4386" s="6">
        <v>43698</v>
      </c>
      <c r="B4386" t="s">
        <v>26</v>
      </c>
      <c r="C4386">
        <v>61815</v>
      </c>
      <c r="D4386" t="s">
        <v>599</v>
      </c>
      <c r="E4386" s="7">
        <v>261.86</v>
      </c>
      <c r="F4386" t="s">
        <v>20</v>
      </c>
      <c r="G4386" t="s">
        <v>21</v>
      </c>
      <c r="H4386" t="str">
        <f>"FC 14"</f>
        <v>FC 14</v>
      </c>
      <c r="I4386" t="str">
        <f>"METER INSTALL GROUP  LLC."</f>
        <v>METER INSTALL GROUP  LLC.</v>
      </c>
    </row>
    <row r="4387" spans="1:9" x14ac:dyDescent="0.25">
      <c r="A4387" s="6">
        <v>43698</v>
      </c>
      <c r="B4387" t="s">
        <v>26</v>
      </c>
      <c r="C4387">
        <v>61816</v>
      </c>
      <c r="D4387" t="s">
        <v>644</v>
      </c>
      <c r="E4387" s="7">
        <v>672.27</v>
      </c>
      <c r="F4387" t="s">
        <v>20</v>
      </c>
      <c r="G4387" t="s">
        <v>21</v>
      </c>
      <c r="H4387" t="str">
        <f>"8213338342"</f>
        <v>8213338342</v>
      </c>
      <c r="I4387" t="str">
        <f t="shared" ref="I4387:I4394" si="86">"UNIFIRST CORPORATION"</f>
        <v>UNIFIRST CORPORATION</v>
      </c>
    </row>
    <row r="4388" spans="1:9" x14ac:dyDescent="0.25">
      <c r="A4388" s="6">
        <v>43698</v>
      </c>
      <c r="B4388" t="s">
        <v>26</v>
      </c>
      <c r="C4388">
        <v>61816</v>
      </c>
      <c r="D4388" t="s">
        <v>644</v>
      </c>
      <c r="E4388" s="7">
        <v>672.27</v>
      </c>
      <c r="F4388" t="s">
        <v>20</v>
      </c>
      <c r="G4388" t="s">
        <v>21</v>
      </c>
      <c r="H4388" t="str">
        <f>"8213348652"</f>
        <v>8213348652</v>
      </c>
      <c r="I4388" t="str">
        <f t="shared" si="86"/>
        <v>UNIFIRST CORPORATION</v>
      </c>
    </row>
    <row r="4389" spans="1:9" x14ac:dyDescent="0.25">
      <c r="A4389" s="6">
        <v>43698</v>
      </c>
      <c r="B4389" t="s">
        <v>26</v>
      </c>
      <c r="C4389">
        <v>61816</v>
      </c>
      <c r="D4389" t="s">
        <v>644</v>
      </c>
      <c r="E4389" s="7">
        <v>672.27</v>
      </c>
      <c r="F4389" t="s">
        <v>20</v>
      </c>
      <c r="G4389" t="s">
        <v>21</v>
      </c>
      <c r="H4389" t="str">
        <f>"8213351150"</f>
        <v>8213351150</v>
      </c>
      <c r="I4389" t="str">
        <f t="shared" si="86"/>
        <v>UNIFIRST CORPORATION</v>
      </c>
    </row>
    <row r="4390" spans="1:9" x14ac:dyDescent="0.25">
      <c r="A4390" s="6">
        <v>43698</v>
      </c>
      <c r="B4390" t="s">
        <v>26</v>
      </c>
      <c r="C4390">
        <v>61816</v>
      </c>
      <c r="D4390" t="s">
        <v>644</v>
      </c>
      <c r="E4390" s="7">
        <v>672.27</v>
      </c>
      <c r="F4390" t="s">
        <v>20</v>
      </c>
      <c r="G4390" t="s">
        <v>21</v>
      </c>
      <c r="H4390" t="str">
        <f>"8213351151"</f>
        <v>8213351151</v>
      </c>
      <c r="I4390" t="str">
        <f t="shared" si="86"/>
        <v>UNIFIRST CORPORATION</v>
      </c>
    </row>
    <row r="4391" spans="1:9" x14ac:dyDescent="0.25">
      <c r="A4391" s="6">
        <v>43698</v>
      </c>
      <c r="B4391" t="s">
        <v>26</v>
      </c>
      <c r="C4391">
        <v>61816</v>
      </c>
      <c r="D4391" t="s">
        <v>644</v>
      </c>
      <c r="E4391" s="7">
        <v>672.27</v>
      </c>
      <c r="F4391" t="s">
        <v>20</v>
      </c>
      <c r="G4391" t="s">
        <v>21</v>
      </c>
      <c r="H4391" t="str">
        <f>"8213351152"</f>
        <v>8213351152</v>
      </c>
      <c r="I4391" t="str">
        <f t="shared" si="86"/>
        <v>UNIFIRST CORPORATION</v>
      </c>
    </row>
    <row r="4392" spans="1:9" x14ac:dyDescent="0.25">
      <c r="A4392" s="6">
        <v>43698</v>
      </c>
      <c r="B4392" t="s">
        <v>26</v>
      </c>
      <c r="C4392">
        <v>61816</v>
      </c>
      <c r="D4392" t="s">
        <v>644</v>
      </c>
      <c r="E4392" s="7">
        <v>672.27</v>
      </c>
      <c r="F4392" t="s">
        <v>20</v>
      </c>
      <c r="G4392" t="s">
        <v>21</v>
      </c>
      <c r="H4392" t="str">
        <f>"8213351153"</f>
        <v>8213351153</v>
      </c>
      <c r="I4392" t="str">
        <f t="shared" si="86"/>
        <v>UNIFIRST CORPORATION</v>
      </c>
    </row>
    <row r="4393" spans="1:9" x14ac:dyDescent="0.25">
      <c r="A4393" s="6">
        <v>43698</v>
      </c>
      <c r="B4393" t="s">
        <v>26</v>
      </c>
      <c r="C4393">
        <v>61816</v>
      </c>
      <c r="D4393" t="s">
        <v>644</v>
      </c>
      <c r="E4393" s="7">
        <v>672.27</v>
      </c>
      <c r="F4393" t="s">
        <v>20</v>
      </c>
      <c r="G4393" t="s">
        <v>21</v>
      </c>
      <c r="H4393" t="str">
        <f>"8213351154"</f>
        <v>8213351154</v>
      </c>
      <c r="I4393" t="str">
        <f t="shared" si="86"/>
        <v>UNIFIRST CORPORATION</v>
      </c>
    </row>
    <row r="4394" spans="1:9" x14ac:dyDescent="0.25">
      <c r="A4394" s="6">
        <v>43698</v>
      </c>
      <c r="B4394" t="s">
        <v>26</v>
      </c>
      <c r="C4394">
        <v>61816</v>
      </c>
      <c r="D4394" t="s">
        <v>644</v>
      </c>
      <c r="E4394" s="7">
        <v>672.27</v>
      </c>
      <c r="F4394" t="s">
        <v>20</v>
      </c>
      <c r="G4394" t="s">
        <v>21</v>
      </c>
      <c r="H4394" t="str">
        <f>"8213351155"</f>
        <v>8213351155</v>
      </c>
      <c r="I4394" t="str">
        <f t="shared" si="86"/>
        <v>UNIFIRST CORPORATION</v>
      </c>
    </row>
    <row r="4395" spans="1:9" x14ac:dyDescent="0.25">
      <c r="A4395" s="6">
        <v>43698</v>
      </c>
      <c r="B4395" t="s">
        <v>26</v>
      </c>
      <c r="C4395">
        <v>61818</v>
      </c>
      <c r="D4395" t="s">
        <v>696</v>
      </c>
      <c r="E4395" s="7">
        <v>75</v>
      </c>
      <c r="F4395" t="s">
        <v>20</v>
      </c>
      <c r="G4395" t="s">
        <v>21</v>
      </c>
      <c r="H4395" t="str">
        <f>"08/17/2019"</f>
        <v>08/17/2019</v>
      </c>
      <c r="I4395" t="str">
        <f>"ANGEL G. ROSAS"</f>
        <v>ANGEL G. ROSAS</v>
      </c>
    </row>
    <row r="4396" spans="1:9" x14ac:dyDescent="0.25">
      <c r="A4396" s="6">
        <v>43698</v>
      </c>
      <c r="B4396" t="s">
        <v>26</v>
      </c>
      <c r="C4396">
        <v>61819</v>
      </c>
      <c r="D4396" t="s">
        <v>716</v>
      </c>
      <c r="E4396" s="7">
        <v>350</v>
      </c>
      <c r="F4396" t="s">
        <v>20</v>
      </c>
      <c r="G4396" t="s">
        <v>21</v>
      </c>
      <c r="H4396" t="str">
        <f>"08/19/2019"</f>
        <v>08/19/2019</v>
      </c>
      <c r="I4396" t="str">
        <f>"ALFREDO SENDEJO"</f>
        <v>ALFREDO SENDEJO</v>
      </c>
    </row>
    <row r="4397" spans="1:9" x14ac:dyDescent="0.25">
      <c r="A4397" s="6">
        <v>43698</v>
      </c>
      <c r="B4397" t="s">
        <v>26</v>
      </c>
      <c r="C4397">
        <v>61820</v>
      </c>
      <c r="D4397" t="s">
        <v>739</v>
      </c>
      <c r="E4397" s="7">
        <v>95.94</v>
      </c>
      <c r="F4397" t="s">
        <v>20</v>
      </c>
      <c r="G4397" t="s">
        <v>21</v>
      </c>
      <c r="H4397" t="str">
        <f>"287291275286X 7/27"</f>
        <v>287291275286X 7/27</v>
      </c>
      <c r="I4397" t="str">
        <f>"FIRSTNET/AT&amp;T MOBILITY LLC"</f>
        <v>FIRSTNET/AT&amp;T MOBILITY LLC</v>
      </c>
    </row>
    <row r="4398" spans="1:9" x14ac:dyDescent="0.25">
      <c r="A4398" s="6">
        <v>43698</v>
      </c>
      <c r="B4398" t="s">
        <v>26</v>
      </c>
      <c r="C4398">
        <v>61821</v>
      </c>
      <c r="D4398" t="s">
        <v>793</v>
      </c>
      <c r="E4398" s="7">
        <v>845</v>
      </c>
      <c r="F4398" t="s">
        <v>20</v>
      </c>
      <c r="G4398" t="s">
        <v>21</v>
      </c>
      <c r="H4398" t="str">
        <f>"1868"</f>
        <v>1868</v>
      </c>
      <c r="I4398" t="str">
        <f>"BRAVE ALLIANCE MISSION"</f>
        <v>BRAVE ALLIANCE MISSION</v>
      </c>
    </row>
    <row r="4399" spans="1:9" x14ac:dyDescent="0.25">
      <c r="A4399" s="6">
        <v>43698</v>
      </c>
      <c r="B4399" t="s">
        <v>91</v>
      </c>
      <c r="C4399">
        <v>61822</v>
      </c>
      <c r="D4399" t="s">
        <v>794</v>
      </c>
      <c r="E4399" s="7">
        <v>250</v>
      </c>
      <c r="F4399" t="s">
        <v>20</v>
      </c>
      <c r="G4399" t="s">
        <v>21</v>
      </c>
      <c r="H4399" t="str">
        <f>"20613"</f>
        <v>20613</v>
      </c>
      <c r="I4399" t="str">
        <f>"CREATIVE RF VENTURE GROUP LLC/"</f>
        <v>CREATIVE RF VENTURE GROUP LLC/</v>
      </c>
    </row>
    <row r="4400" spans="1:9" x14ac:dyDescent="0.25">
      <c r="A4400" s="6">
        <v>43698</v>
      </c>
      <c r="B4400" t="s">
        <v>91</v>
      </c>
      <c r="C4400">
        <v>61822</v>
      </c>
      <c r="D4400" t="s">
        <v>794</v>
      </c>
      <c r="E4400" s="7">
        <v>250</v>
      </c>
      <c r="F4400" t="s">
        <v>20</v>
      </c>
      <c r="G4400" t="s">
        <v>93</v>
      </c>
      <c r="H4400" t="str">
        <f>"CHECK"</f>
        <v>CHECK</v>
      </c>
      <c r="I4400" t="str">
        <f>""</f>
        <v/>
      </c>
    </row>
    <row r="4401" spans="1:9" x14ac:dyDescent="0.25">
      <c r="A4401" s="6">
        <v>43698</v>
      </c>
      <c r="B4401" t="s">
        <v>26</v>
      </c>
      <c r="C4401">
        <v>61823</v>
      </c>
      <c r="D4401" t="s">
        <v>795</v>
      </c>
      <c r="E4401" s="7">
        <v>80</v>
      </c>
      <c r="F4401" t="s">
        <v>20</v>
      </c>
      <c r="G4401" t="s">
        <v>21</v>
      </c>
      <c r="H4401" t="str">
        <f>"8/17/19"</f>
        <v>8/17/19</v>
      </c>
      <c r="I4401" t="str">
        <f>"MAYRA RODRIQUEZ"</f>
        <v>MAYRA RODRIQUEZ</v>
      </c>
    </row>
    <row r="4402" spans="1:9" x14ac:dyDescent="0.25">
      <c r="A4402" s="6">
        <v>43699</v>
      </c>
      <c r="B4402" t="s">
        <v>26</v>
      </c>
      <c r="C4402">
        <v>61824</v>
      </c>
      <c r="D4402" t="s">
        <v>104</v>
      </c>
      <c r="E4402" s="7">
        <v>1401.96</v>
      </c>
      <c r="F4402" t="s">
        <v>20</v>
      </c>
      <c r="G4402" t="s">
        <v>21</v>
      </c>
      <c r="H4402" t="str">
        <f>"1068 7/31/19 VARIO"</f>
        <v>1068 7/31/19 VARIO</v>
      </c>
      <c r="I4402" t="str">
        <f>"WILSON COUNTY NEWS"</f>
        <v>WILSON COUNTY NEWS</v>
      </c>
    </row>
    <row r="4403" spans="1:9" x14ac:dyDescent="0.25">
      <c r="A4403" s="6">
        <v>43699</v>
      </c>
      <c r="B4403" t="s">
        <v>26</v>
      </c>
      <c r="C4403">
        <v>61825</v>
      </c>
      <c r="D4403" t="s">
        <v>339</v>
      </c>
      <c r="E4403" s="7">
        <v>470</v>
      </c>
      <c r="F4403" t="s">
        <v>20</v>
      </c>
      <c r="G4403" t="s">
        <v>21</v>
      </c>
      <c r="H4403" t="str">
        <f>"808109-1"</f>
        <v>808109-1</v>
      </c>
      <c r="I4403" t="str">
        <f>"SOUTHWEST PUBLIC SAFETY"</f>
        <v>SOUTHWEST PUBLIC SAFETY</v>
      </c>
    </row>
    <row r="4404" spans="1:9" x14ac:dyDescent="0.25">
      <c r="A4404" s="6">
        <v>43699</v>
      </c>
      <c r="B4404" t="s">
        <v>26</v>
      </c>
      <c r="C4404">
        <v>61826</v>
      </c>
      <c r="D4404" t="s">
        <v>202</v>
      </c>
      <c r="E4404" s="7">
        <v>14633.98</v>
      </c>
      <c r="F4404" t="s">
        <v>20</v>
      </c>
      <c r="G4404" t="s">
        <v>21</v>
      </c>
      <c r="H4404" t="str">
        <f>"61950518"</f>
        <v>61950518</v>
      </c>
      <c r="I4404" t="str">
        <f>"VULCAN CONSTRUCTION MATERIALS"</f>
        <v>VULCAN CONSTRUCTION MATERIALS</v>
      </c>
    </row>
    <row r="4405" spans="1:9" x14ac:dyDescent="0.25">
      <c r="A4405" s="6">
        <v>43699</v>
      </c>
      <c r="B4405" t="s">
        <v>26</v>
      </c>
      <c r="C4405">
        <v>61826</v>
      </c>
      <c r="D4405" t="s">
        <v>202</v>
      </c>
      <c r="E4405" s="7">
        <v>14633.98</v>
      </c>
      <c r="F4405" t="s">
        <v>20</v>
      </c>
      <c r="G4405" t="s">
        <v>21</v>
      </c>
      <c r="H4405" t="str">
        <f>"61952064"</f>
        <v>61952064</v>
      </c>
      <c r="I4405" t="str">
        <f>"VULCAN CONSTRUCTION MATERIALS"</f>
        <v>VULCAN CONSTRUCTION MATERIALS</v>
      </c>
    </row>
    <row r="4406" spans="1:9" x14ac:dyDescent="0.25">
      <c r="A4406" s="6">
        <v>43699</v>
      </c>
      <c r="B4406" t="s">
        <v>26</v>
      </c>
      <c r="C4406">
        <v>61826</v>
      </c>
      <c r="D4406" t="s">
        <v>202</v>
      </c>
      <c r="E4406" s="7">
        <v>14633.98</v>
      </c>
      <c r="F4406" t="s">
        <v>20</v>
      </c>
      <c r="G4406" t="s">
        <v>21</v>
      </c>
      <c r="H4406" t="str">
        <f>"61956153"</f>
        <v>61956153</v>
      </c>
      <c r="I4406" t="str">
        <f>"VULCAN CONSTRUCTION MATERIALS"</f>
        <v>VULCAN CONSTRUCTION MATERIALS</v>
      </c>
    </row>
    <row r="4407" spans="1:9" x14ac:dyDescent="0.25">
      <c r="A4407" s="6">
        <v>43699</v>
      </c>
      <c r="B4407" t="s">
        <v>26</v>
      </c>
      <c r="C4407">
        <v>61826</v>
      </c>
      <c r="D4407" t="s">
        <v>202</v>
      </c>
      <c r="E4407" s="7">
        <v>14633.98</v>
      </c>
      <c r="F4407" t="s">
        <v>20</v>
      </c>
      <c r="G4407" t="s">
        <v>21</v>
      </c>
      <c r="H4407" t="str">
        <f>"61956154*"</f>
        <v>61956154*</v>
      </c>
      <c r="I4407" t="str">
        <f>"VULCAN CONSTRUCTION MATERIALS"</f>
        <v>VULCAN CONSTRUCTION MATERIALS</v>
      </c>
    </row>
    <row r="4408" spans="1:9" x14ac:dyDescent="0.25">
      <c r="A4408" s="6">
        <v>43699</v>
      </c>
      <c r="B4408" t="s">
        <v>91</v>
      </c>
      <c r="C4408">
        <v>61827</v>
      </c>
      <c r="D4408" t="s">
        <v>92</v>
      </c>
      <c r="E4408" s="7">
        <v>18924.48</v>
      </c>
      <c r="F4408" t="s">
        <v>20</v>
      </c>
      <c r="G4408" t="s">
        <v>21</v>
      </c>
      <c r="H4408" t="str">
        <f>"RET201908138535"</f>
        <v>RET201908138535</v>
      </c>
      <c r="I4408" t="str">
        <f>"TMRS CITY OF FLORESVILLE"</f>
        <v>TMRS CITY OF FLORESVILLE</v>
      </c>
    </row>
    <row r="4409" spans="1:9" x14ac:dyDescent="0.25">
      <c r="A4409" s="6">
        <v>43699</v>
      </c>
      <c r="B4409" t="s">
        <v>91</v>
      </c>
      <c r="C4409">
        <v>61827</v>
      </c>
      <c r="D4409" t="s">
        <v>92</v>
      </c>
      <c r="E4409" s="7">
        <v>18924.48</v>
      </c>
      <c r="F4409" t="s">
        <v>20</v>
      </c>
      <c r="G4409" t="s">
        <v>93</v>
      </c>
      <c r="H4409" t="str">
        <f>"CHECK"</f>
        <v>CHECK</v>
      </c>
      <c r="I4409" t="str">
        <f>""</f>
        <v/>
      </c>
    </row>
    <row r="4410" spans="1:9" x14ac:dyDescent="0.25">
      <c r="A4410" s="6">
        <v>43699</v>
      </c>
      <c r="B4410" t="s">
        <v>26</v>
      </c>
      <c r="C4410">
        <v>61829</v>
      </c>
      <c r="D4410" t="s">
        <v>62</v>
      </c>
      <c r="E4410" s="7">
        <v>4132.95</v>
      </c>
      <c r="F4410" t="s">
        <v>20</v>
      </c>
      <c r="G4410" t="s">
        <v>21</v>
      </c>
      <c r="H4410" t="str">
        <f>"A.MARTINEZ 8/16/19"</f>
        <v>A.MARTINEZ 8/16/19</v>
      </c>
      <c r="I4410" t="str">
        <f>"PROFICIENT BENEFIT SOLUTIONS"</f>
        <v>PROFICIENT BENEFIT SOLUTIONS</v>
      </c>
    </row>
    <row r="4411" spans="1:9" x14ac:dyDescent="0.25">
      <c r="A4411" s="6">
        <v>43699</v>
      </c>
      <c r="B4411" t="s">
        <v>26</v>
      </c>
      <c r="C4411">
        <v>61829</v>
      </c>
      <c r="D4411" t="s">
        <v>62</v>
      </c>
      <c r="E4411" s="7">
        <v>4132.95</v>
      </c>
      <c r="F4411" t="s">
        <v>20</v>
      </c>
      <c r="G4411" t="s">
        <v>21</v>
      </c>
      <c r="H4411" t="str">
        <f>"C.MORENO 8/19/19"</f>
        <v>C.MORENO 8/19/19</v>
      </c>
      <c r="I4411" t="str">
        <f>"PROFICIENT BENEFIT SOLUTIONS"</f>
        <v>PROFICIENT BENEFIT SOLUTIONS</v>
      </c>
    </row>
    <row r="4412" spans="1:9" x14ac:dyDescent="0.25">
      <c r="A4412" s="6">
        <v>43699</v>
      </c>
      <c r="B4412" t="s">
        <v>26</v>
      </c>
      <c r="C4412">
        <v>61829</v>
      </c>
      <c r="D4412" t="s">
        <v>62</v>
      </c>
      <c r="E4412" s="7">
        <v>4132.95</v>
      </c>
      <c r="F4412" t="s">
        <v>20</v>
      </c>
      <c r="G4412" t="s">
        <v>21</v>
      </c>
      <c r="H4412" t="str">
        <f>"H.MARTINEZ 8/16/19"</f>
        <v>H.MARTINEZ 8/16/19</v>
      </c>
      <c r="I4412" t="str">
        <f>"PROFICIENT BENEFIT SOLUTIONS"</f>
        <v>PROFICIENT BENEFIT SOLUTIONS</v>
      </c>
    </row>
    <row r="4413" spans="1:9" x14ac:dyDescent="0.25">
      <c r="A4413" s="6">
        <v>43699</v>
      </c>
      <c r="B4413" t="s">
        <v>26</v>
      </c>
      <c r="C4413">
        <v>61830</v>
      </c>
      <c r="D4413" t="s">
        <v>118</v>
      </c>
      <c r="E4413" s="7">
        <v>693.71</v>
      </c>
      <c r="F4413" t="s">
        <v>20</v>
      </c>
      <c r="G4413" t="s">
        <v>21</v>
      </c>
      <c r="H4413" t="str">
        <f>"11507"</f>
        <v>11507</v>
      </c>
      <c r="I4413" t="str">
        <f>"BRYAN AIR CONDITIONING &amp; HEATI"</f>
        <v>BRYAN AIR CONDITIONING &amp; HEATI</v>
      </c>
    </row>
    <row r="4414" spans="1:9" x14ac:dyDescent="0.25">
      <c r="A4414" s="6">
        <v>43699</v>
      </c>
      <c r="B4414" t="s">
        <v>26</v>
      </c>
      <c r="C4414">
        <v>61831</v>
      </c>
      <c r="D4414" t="s">
        <v>120</v>
      </c>
      <c r="E4414" s="7">
        <v>1856.77</v>
      </c>
      <c r="F4414" t="s">
        <v>20</v>
      </c>
      <c r="G4414" t="s">
        <v>21</v>
      </c>
      <c r="H4414" t="str">
        <f>"71197731"</f>
        <v>71197731</v>
      </c>
      <c r="I4414" t="str">
        <f>"VERIZON BUSINESS"</f>
        <v>VERIZON BUSINESS</v>
      </c>
    </row>
    <row r="4415" spans="1:9" x14ac:dyDescent="0.25">
      <c r="A4415" s="6">
        <v>43699</v>
      </c>
      <c r="B4415" t="s">
        <v>26</v>
      </c>
      <c r="C4415">
        <v>61831</v>
      </c>
      <c r="D4415" t="s">
        <v>120</v>
      </c>
      <c r="E4415" s="7">
        <v>1856.77</v>
      </c>
      <c r="F4415" t="s">
        <v>20</v>
      </c>
      <c r="G4415" t="s">
        <v>21</v>
      </c>
      <c r="H4415" t="str">
        <f>"71197935"</f>
        <v>71197935</v>
      </c>
      <c r="I4415" t="str">
        <f>"VERIZON BUSINESS"</f>
        <v>VERIZON BUSINESS</v>
      </c>
    </row>
    <row r="4416" spans="1:9" x14ac:dyDescent="0.25">
      <c r="A4416" s="6">
        <v>43699</v>
      </c>
      <c r="B4416" t="s">
        <v>26</v>
      </c>
      <c r="C4416">
        <v>61832</v>
      </c>
      <c r="D4416" t="s">
        <v>75</v>
      </c>
      <c r="E4416" s="7">
        <v>59.99</v>
      </c>
      <c r="F4416" t="s">
        <v>20</v>
      </c>
      <c r="G4416" t="s">
        <v>21</v>
      </c>
      <c r="H4416" t="str">
        <f>"8184 8/2019"</f>
        <v>8184 8/2019</v>
      </c>
      <c r="I4416" t="str">
        <f>"TRACTOR SUPPLY CREDIT PLAN"</f>
        <v>TRACTOR SUPPLY CREDIT PLAN</v>
      </c>
    </row>
    <row r="4417" spans="1:9" x14ac:dyDescent="0.25">
      <c r="A4417" s="6">
        <v>43699</v>
      </c>
      <c r="B4417" t="s">
        <v>26</v>
      </c>
      <c r="C4417">
        <v>61833</v>
      </c>
      <c r="D4417" t="s">
        <v>130</v>
      </c>
      <c r="E4417" s="7">
        <v>4165</v>
      </c>
      <c r="F4417" t="s">
        <v>20</v>
      </c>
      <c r="G4417" t="s">
        <v>21</v>
      </c>
      <c r="H4417" t="str">
        <f>"INV668352"</f>
        <v>INV668352</v>
      </c>
      <c r="I4417" t="str">
        <f>"DOCUMATION"</f>
        <v>DOCUMATION</v>
      </c>
    </row>
    <row r="4418" spans="1:9" x14ac:dyDescent="0.25">
      <c r="A4418" s="6">
        <v>43699</v>
      </c>
      <c r="B4418" t="s">
        <v>26</v>
      </c>
      <c r="C4418">
        <v>61834</v>
      </c>
      <c r="D4418" t="s">
        <v>131</v>
      </c>
      <c r="E4418" s="7">
        <v>14.99</v>
      </c>
      <c r="F4418" t="s">
        <v>20</v>
      </c>
      <c r="G4418" t="s">
        <v>21</v>
      </c>
      <c r="H4418" t="str">
        <f>"042399-1"</f>
        <v>042399-1</v>
      </c>
      <c r="I4418" t="str">
        <f>"R &amp; S TEXAS PARTS CO"</f>
        <v>R &amp; S TEXAS PARTS CO</v>
      </c>
    </row>
    <row r="4419" spans="1:9" x14ac:dyDescent="0.25">
      <c r="A4419" s="6">
        <v>43699</v>
      </c>
      <c r="B4419" t="s">
        <v>26</v>
      </c>
      <c r="C4419">
        <v>61835</v>
      </c>
      <c r="D4419" t="s">
        <v>153</v>
      </c>
      <c r="E4419" s="7">
        <v>1100</v>
      </c>
      <c r="F4419" t="s">
        <v>20</v>
      </c>
      <c r="G4419" t="s">
        <v>21</v>
      </c>
      <c r="H4419" t="str">
        <f>"080619"</f>
        <v>080619</v>
      </c>
      <c r="I4419" t="str">
        <f>"FULLER COMPANY"</f>
        <v>FULLER COMPANY</v>
      </c>
    </row>
    <row r="4420" spans="1:9" x14ac:dyDescent="0.25">
      <c r="A4420" s="6">
        <v>43699</v>
      </c>
      <c r="B4420" t="s">
        <v>26</v>
      </c>
      <c r="C4420">
        <v>61836</v>
      </c>
      <c r="D4420" t="s">
        <v>85</v>
      </c>
      <c r="E4420" s="7">
        <v>131.4</v>
      </c>
      <c r="F4420" t="s">
        <v>20</v>
      </c>
      <c r="G4420" t="s">
        <v>21</v>
      </c>
      <c r="H4420" t="str">
        <f>"8302162733 8/19"</f>
        <v>8302162733 8/19</v>
      </c>
      <c r="I4420" t="str">
        <f>"FRONTIER"</f>
        <v>FRONTIER</v>
      </c>
    </row>
    <row r="4421" spans="1:9" x14ac:dyDescent="0.25">
      <c r="A4421" s="6">
        <v>43699</v>
      </c>
      <c r="B4421" t="s">
        <v>26</v>
      </c>
      <c r="C4421">
        <v>61836</v>
      </c>
      <c r="D4421" t="s">
        <v>85</v>
      </c>
      <c r="E4421" s="7">
        <v>131.4</v>
      </c>
      <c r="F4421" t="s">
        <v>20</v>
      </c>
      <c r="G4421" t="s">
        <v>21</v>
      </c>
      <c r="H4421" t="str">
        <f>"8302162755 8/19"</f>
        <v>8302162755 8/19</v>
      </c>
      <c r="I4421" t="str">
        <f>"FRONTIER"</f>
        <v>FRONTIER</v>
      </c>
    </row>
    <row r="4422" spans="1:9" x14ac:dyDescent="0.25">
      <c r="A4422" s="6">
        <v>43699</v>
      </c>
      <c r="B4422" t="s">
        <v>26</v>
      </c>
      <c r="C4422">
        <v>61837</v>
      </c>
      <c r="D4422" t="s">
        <v>313</v>
      </c>
      <c r="E4422" s="7">
        <v>11592</v>
      </c>
      <c r="F4422" t="s">
        <v>20</v>
      </c>
      <c r="G4422" t="s">
        <v>21</v>
      </c>
      <c r="H4422" t="str">
        <f>"4A  TAX BOND 8/19"</f>
        <v>4A  TAX BOND 8/19</v>
      </c>
      <c r="I4422" t="s">
        <v>571</v>
      </c>
    </row>
    <row r="4423" spans="1:9" x14ac:dyDescent="0.25">
      <c r="A4423" s="6">
        <v>43699</v>
      </c>
      <c r="B4423" t="s">
        <v>26</v>
      </c>
      <c r="C4423">
        <v>61838</v>
      </c>
      <c r="D4423" t="s">
        <v>796</v>
      </c>
      <c r="E4423" s="7">
        <v>600</v>
      </c>
      <c r="F4423" t="s">
        <v>20</v>
      </c>
      <c r="G4423" t="s">
        <v>21</v>
      </c>
      <c r="H4423" t="str">
        <f>"HYDRANT RFND 6/18"</f>
        <v>HYDRANT RFND 6/18</v>
      </c>
      <c r="I4423" t="str">
        <f>"M &amp; G CONTRACTORS LLC"</f>
        <v>M &amp; G CONTRACTORS LLC</v>
      </c>
    </row>
    <row r="4424" spans="1:9" x14ac:dyDescent="0.25">
      <c r="A4424" s="6">
        <v>43699</v>
      </c>
      <c r="B4424" t="s">
        <v>26</v>
      </c>
      <c r="C4424">
        <v>61839</v>
      </c>
      <c r="D4424" t="s">
        <v>599</v>
      </c>
      <c r="E4424" s="7">
        <v>5836.8</v>
      </c>
      <c r="F4424" t="s">
        <v>20</v>
      </c>
      <c r="G4424" t="s">
        <v>21</v>
      </c>
      <c r="H4424" t="str">
        <f>"PAY APP #11"</f>
        <v>PAY APP #11</v>
      </c>
      <c r="I4424" t="str">
        <f>"METER INSTALL GROUP  LLC."</f>
        <v>METER INSTALL GROUP  LLC.</v>
      </c>
    </row>
    <row r="4425" spans="1:9" x14ac:dyDescent="0.25">
      <c r="A4425" s="6">
        <v>43699</v>
      </c>
      <c r="B4425" t="s">
        <v>26</v>
      </c>
      <c r="C4425">
        <v>61840</v>
      </c>
      <c r="D4425" t="s">
        <v>797</v>
      </c>
      <c r="E4425" s="7">
        <v>600</v>
      </c>
      <c r="F4425" t="s">
        <v>20</v>
      </c>
      <c r="G4425" t="s">
        <v>21</v>
      </c>
      <c r="H4425" t="str">
        <f>"HYDRANT RFND 7/19"</f>
        <v>HYDRANT RFND 7/19</v>
      </c>
      <c r="I4425" t="str">
        <f>"DALTECH UTILITIES INC."</f>
        <v>DALTECH UTILITIES INC.</v>
      </c>
    </row>
    <row r="4426" spans="1:9" x14ac:dyDescent="0.25">
      <c r="A4426" s="6">
        <v>43703</v>
      </c>
      <c r="B4426" t="s">
        <v>26</v>
      </c>
      <c r="C4426">
        <v>61841</v>
      </c>
      <c r="D4426" t="s">
        <v>202</v>
      </c>
      <c r="E4426" s="7">
        <v>3751.55</v>
      </c>
      <c r="F4426" t="s">
        <v>20</v>
      </c>
      <c r="G4426" t="s">
        <v>21</v>
      </c>
      <c r="H4426" t="str">
        <f>"61933447"</f>
        <v>61933447</v>
      </c>
      <c r="I4426" t="str">
        <f>"VULCAN CONSTRUCTION MATERIALS"</f>
        <v>VULCAN CONSTRUCTION MATERIALS</v>
      </c>
    </row>
    <row r="4427" spans="1:9" x14ac:dyDescent="0.25">
      <c r="A4427" s="6">
        <v>43707</v>
      </c>
      <c r="B4427" t="s">
        <v>26</v>
      </c>
      <c r="C4427">
        <v>61855</v>
      </c>
      <c r="D4427" t="s">
        <v>51</v>
      </c>
      <c r="E4427" s="7">
        <v>327.84</v>
      </c>
      <c r="F4427" t="s">
        <v>20</v>
      </c>
      <c r="G4427" t="s">
        <v>21</v>
      </c>
      <c r="H4427" t="str">
        <f>"CLE201908278536"</f>
        <v>CLE201908278536</v>
      </c>
      <c r="I4427" t="str">
        <f>"CLEAT ONLY DUES"</f>
        <v>CLEAT ONLY DUES</v>
      </c>
    </row>
    <row r="4428" spans="1:9" x14ac:dyDescent="0.25">
      <c r="A4428" s="6">
        <v>43707</v>
      </c>
      <c r="B4428" t="s">
        <v>26</v>
      </c>
      <c r="C4428">
        <v>61855</v>
      </c>
      <c r="D4428" t="s">
        <v>51</v>
      </c>
      <c r="E4428" s="7">
        <v>327.84</v>
      </c>
      <c r="F4428" t="s">
        <v>20</v>
      </c>
      <c r="G4428" t="s">
        <v>21</v>
      </c>
      <c r="H4428" t="str">
        <f>"PDD201908278536"</f>
        <v>PDD201908278536</v>
      </c>
      <c r="I4428" t="str">
        <f>"POLICE OFFICERS ASSOC DUES"</f>
        <v>POLICE OFFICERS ASSOC DUES</v>
      </c>
    </row>
    <row r="4429" spans="1:9" x14ac:dyDescent="0.25">
      <c r="A4429" s="6">
        <v>43707</v>
      </c>
      <c r="B4429" t="s">
        <v>26</v>
      </c>
      <c r="C4429">
        <v>61856</v>
      </c>
      <c r="D4429" t="s">
        <v>90</v>
      </c>
      <c r="E4429" s="7">
        <v>101.1</v>
      </c>
      <c r="F4429" t="s">
        <v>20</v>
      </c>
      <c r="G4429" t="s">
        <v>21</v>
      </c>
      <c r="H4429" t="str">
        <f>"AFS201908278536"</f>
        <v>AFS201908278536</v>
      </c>
      <c r="I4429" t="str">
        <f>"AFLAC STD"</f>
        <v>AFLAC STD</v>
      </c>
    </row>
    <row r="4430" spans="1:9" x14ac:dyDescent="0.25">
      <c r="A4430" s="6">
        <v>43707</v>
      </c>
      <c r="B4430" t="s">
        <v>26</v>
      </c>
      <c r="C4430">
        <v>61857</v>
      </c>
      <c r="D4430" t="s">
        <v>52</v>
      </c>
      <c r="E4430" s="7">
        <v>1056.98</v>
      </c>
      <c r="F4430" t="s">
        <v>20</v>
      </c>
      <c r="G4430" t="s">
        <v>21</v>
      </c>
      <c r="H4430" t="str">
        <f>"CPS201908278536"</f>
        <v>CPS201908278536</v>
      </c>
      <c r="I4430" t="str">
        <f>"G MENDOZA 00123012032010EM5054"</f>
        <v>G MENDOZA 00123012032010EM5054</v>
      </c>
    </row>
    <row r="4431" spans="1:9" x14ac:dyDescent="0.25">
      <c r="A4431" s="6">
        <v>43707</v>
      </c>
      <c r="B4431" t="s">
        <v>26</v>
      </c>
      <c r="C4431">
        <v>61857</v>
      </c>
      <c r="D4431" t="s">
        <v>52</v>
      </c>
      <c r="E4431" s="7">
        <v>1056.98</v>
      </c>
      <c r="F4431" t="s">
        <v>20</v>
      </c>
      <c r="G4431" t="s">
        <v>21</v>
      </c>
      <c r="H4431" t="str">
        <f>"CS 201908278536"</f>
        <v>CS 201908278536</v>
      </c>
      <c r="I4431" t="str">
        <f>"CAUSE#98EM504113 PEGGY RIVAS"</f>
        <v>CAUSE#98EM504113 PEGGY RIVAS</v>
      </c>
    </row>
    <row r="4432" spans="1:9" x14ac:dyDescent="0.25">
      <c r="A4432" s="6">
        <v>43707</v>
      </c>
      <c r="B4432" t="s">
        <v>26</v>
      </c>
      <c r="C4432">
        <v>61857</v>
      </c>
      <c r="D4432" t="s">
        <v>52</v>
      </c>
      <c r="E4432" s="7">
        <v>1056.98</v>
      </c>
      <c r="F4432" t="s">
        <v>20</v>
      </c>
      <c r="G4432" t="s">
        <v>21</v>
      </c>
      <c r="H4432" t="str">
        <f>"CSJ201908278536"</f>
        <v>CSJ201908278536</v>
      </c>
      <c r="I4432" t="str">
        <f>"CAUSE# 0010185272 MARIANN GUTI"</f>
        <v>CAUSE# 0010185272 MARIANN GUTI</v>
      </c>
    </row>
    <row r="4433" spans="1:9" x14ac:dyDescent="0.25">
      <c r="A4433" s="6">
        <v>43707</v>
      </c>
      <c r="B4433" t="s">
        <v>26</v>
      </c>
      <c r="C4433">
        <v>61858</v>
      </c>
      <c r="D4433" t="s">
        <v>54</v>
      </c>
      <c r="E4433" s="7">
        <v>1137.32</v>
      </c>
      <c r="F4433" t="s">
        <v>20</v>
      </c>
      <c r="G4433" t="s">
        <v>21</v>
      </c>
      <c r="H4433" t="str">
        <f>"457201908278536"</f>
        <v>457201908278536</v>
      </c>
      <c r="I4433" t="str">
        <f>"CASE # 180-60751 457B DEDUCT"</f>
        <v>CASE # 180-60751 457B DEDUCT</v>
      </c>
    </row>
    <row r="4434" spans="1:9" x14ac:dyDescent="0.25">
      <c r="A4434" s="6">
        <v>43705</v>
      </c>
      <c r="B4434" t="s">
        <v>26</v>
      </c>
      <c r="C4434">
        <v>61859</v>
      </c>
      <c r="D4434" t="s">
        <v>57</v>
      </c>
      <c r="E4434" s="7">
        <v>24894.38</v>
      </c>
      <c r="F4434" t="s">
        <v>20</v>
      </c>
      <c r="G4434" t="s">
        <v>21</v>
      </c>
      <c r="H4434" t="str">
        <f>"11617 9/2019"</f>
        <v>11617 9/2019</v>
      </c>
      <c r="I4434" t="str">
        <f>"F.E.L.P.S."</f>
        <v>F.E.L.P.S.</v>
      </c>
    </row>
    <row r="4435" spans="1:9" x14ac:dyDescent="0.25">
      <c r="A4435" s="6">
        <v>43705</v>
      </c>
      <c r="B4435" t="s">
        <v>26</v>
      </c>
      <c r="C4435">
        <v>61860</v>
      </c>
      <c r="D4435" t="s">
        <v>103</v>
      </c>
      <c r="E4435" s="7">
        <v>77896.36</v>
      </c>
      <c r="F4435" t="s">
        <v>20</v>
      </c>
      <c r="G4435" t="s">
        <v>21</v>
      </c>
      <c r="H4435" t="str">
        <f>"AUG. 2019SALES TAX"</f>
        <v>AUG. 2019SALES TAX</v>
      </c>
      <c r="I4435" t="str">
        <f>"F. E. D. C."</f>
        <v>F. E. D. C.</v>
      </c>
    </row>
    <row r="4436" spans="1:9" x14ac:dyDescent="0.25">
      <c r="A4436" s="6">
        <v>43705</v>
      </c>
      <c r="B4436" t="s">
        <v>26</v>
      </c>
      <c r="C4436">
        <v>61861</v>
      </c>
      <c r="D4436" t="s">
        <v>107</v>
      </c>
      <c r="E4436" s="7">
        <v>409</v>
      </c>
      <c r="F4436" t="s">
        <v>20</v>
      </c>
      <c r="G4436" t="s">
        <v>21</v>
      </c>
      <c r="H4436" t="str">
        <f>"1166960-20190731"</f>
        <v>1166960-20190731</v>
      </c>
      <c r="I4436" t="str">
        <f>"LEXISNEXIS RISK SOLUTIONS"</f>
        <v>LEXISNEXIS RISK SOLUTIONS</v>
      </c>
    </row>
    <row r="4437" spans="1:9" x14ac:dyDescent="0.25">
      <c r="A4437" s="6">
        <v>43705</v>
      </c>
      <c r="B4437" t="s">
        <v>26</v>
      </c>
      <c r="C4437">
        <v>61862</v>
      </c>
      <c r="D4437" t="s">
        <v>180</v>
      </c>
      <c r="E4437" s="7">
        <v>599.76</v>
      </c>
      <c r="F4437" t="s">
        <v>20</v>
      </c>
      <c r="G4437" t="s">
        <v>21</v>
      </c>
      <c r="H4437" t="str">
        <f>"127109"</f>
        <v>127109</v>
      </c>
      <c r="I4437" t="str">
        <f>"2 CASES OF FLUSH METERS"</f>
        <v>2 CASES OF FLUSH METERS</v>
      </c>
    </row>
    <row r="4438" spans="1:9" x14ac:dyDescent="0.25">
      <c r="A4438" s="6">
        <v>43705</v>
      </c>
      <c r="B4438" t="s">
        <v>26</v>
      </c>
      <c r="C4438">
        <v>61863</v>
      </c>
      <c r="D4438" t="s">
        <v>181</v>
      </c>
      <c r="E4438" s="7">
        <v>44.75</v>
      </c>
      <c r="F4438" t="s">
        <v>20</v>
      </c>
      <c r="G4438" t="s">
        <v>21</v>
      </c>
      <c r="H4438" t="str">
        <f>"8303933186 8/19"</f>
        <v>8303933186 8/19</v>
      </c>
      <c r="I4438" t="str">
        <f>"AT&amp;T"</f>
        <v>AT&amp;T</v>
      </c>
    </row>
    <row r="4439" spans="1:9" x14ac:dyDescent="0.25">
      <c r="A4439" s="6">
        <v>43705</v>
      </c>
      <c r="B4439" t="s">
        <v>26</v>
      </c>
      <c r="C4439">
        <v>61864</v>
      </c>
      <c r="D4439" t="s">
        <v>798</v>
      </c>
      <c r="E4439" s="7">
        <v>50</v>
      </c>
      <c r="F4439" t="s">
        <v>20</v>
      </c>
      <c r="G4439" t="s">
        <v>21</v>
      </c>
      <c r="H4439" t="str">
        <f>"DEP. REFND 8/24/19"</f>
        <v>DEP. REFND 8/24/19</v>
      </c>
      <c r="I4439" t="str">
        <f>"REFUND"</f>
        <v>REFUND</v>
      </c>
    </row>
    <row r="4440" spans="1:9" x14ac:dyDescent="0.25">
      <c r="A4440" s="6">
        <v>43705</v>
      </c>
      <c r="B4440" t="s">
        <v>26</v>
      </c>
      <c r="C4440">
        <v>61865</v>
      </c>
      <c r="D4440" t="s">
        <v>0</v>
      </c>
      <c r="E4440" s="7">
        <v>4854.37</v>
      </c>
      <c r="F4440" t="s">
        <v>20</v>
      </c>
      <c r="G4440" t="s">
        <v>21</v>
      </c>
      <c r="H4440" t="str">
        <f>"AUGUST 2019"</f>
        <v>AUGUST 2019</v>
      </c>
      <c r="I4440" t="str">
        <f>"CITY OF FLORESVILLE"</f>
        <v>CITY OF FLORESVILLE</v>
      </c>
    </row>
    <row r="4441" spans="1:9" x14ac:dyDescent="0.25">
      <c r="A4441" s="6">
        <v>43705</v>
      </c>
      <c r="B4441" t="s">
        <v>91</v>
      </c>
      <c r="C4441">
        <v>61866</v>
      </c>
      <c r="D4441" t="s">
        <v>92</v>
      </c>
      <c r="E4441" s="7">
        <v>18895.11</v>
      </c>
      <c r="F4441" t="s">
        <v>20</v>
      </c>
      <c r="G4441" t="s">
        <v>21</v>
      </c>
      <c r="H4441" t="str">
        <f>"RET201908278536"</f>
        <v>RET201908278536</v>
      </c>
      <c r="I4441" t="str">
        <f>"TMRS CITY OF FLORESVILLE"</f>
        <v>TMRS CITY OF FLORESVILLE</v>
      </c>
    </row>
    <row r="4442" spans="1:9" x14ac:dyDescent="0.25">
      <c r="A4442" s="6">
        <v>43705</v>
      </c>
      <c r="B4442" t="s">
        <v>91</v>
      </c>
      <c r="C4442">
        <v>61866</v>
      </c>
      <c r="D4442" t="s">
        <v>92</v>
      </c>
      <c r="E4442" s="7">
        <v>18895.11</v>
      </c>
      <c r="F4442" t="s">
        <v>20</v>
      </c>
      <c r="G4442" t="s">
        <v>93</v>
      </c>
      <c r="H4442" t="str">
        <f>"CHECK"</f>
        <v>CHECK</v>
      </c>
      <c r="I4442" t="str">
        <f>""</f>
        <v/>
      </c>
    </row>
    <row r="4443" spans="1:9" x14ac:dyDescent="0.25">
      <c r="A4443" s="6">
        <v>43705</v>
      </c>
      <c r="B4443" t="s">
        <v>26</v>
      </c>
      <c r="C4443">
        <v>61868</v>
      </c>
      <c r="D4443" t="s">
        <v>301</v>
      </c>
      <c r="E4443" s="7">
        <v>452.27</v>
      </c>
      <c r="F4443" t="s">
        <v>20</v>
      </c>
      <c r="G4443" t="s">
        <v>21</v>
      </c>
      <c r="H4443" t="str">
        <f>"1771403"</f>
        <v>1771403</v>
      </c>
      <c r="I4443" t="str">
        <f>"2015 MACK -"</f>
        <v>2015 MACK -</v>
      </c>
    </row>
    <row r="4444" spans="1:9" x14ac:dyDescent="0.25">
      <c r="A4444" s="6">
        <v>43705</v>
      </c>
      <c r="B4444" t="s">
        <v>26</v>
      </c>
      <c r="C4444">
        <v>61869</v>
      </c>
      <c r="D4444" t="s">
        <v>146</v>
      </c>
      <c r="E4444" s="7">
        <v>632.5</v>
      </c>
      <c r="F4444" t="s">
        <v>20</v>
      </c>
      <c r="G4444" t="s">
        <v>21</v>
      </c>
      <c r="H4444" t="str">
        <f>"742372"</f>
        <v>742372</v>
      </c>
      <c r="I4444" t="str">
        <f>"LARRY SRALLA ELECTRIC"</f>
        <v>LARRY SRALLA ELECTRIC</v>
      </c>
    </row>
    <row r="4445" spans="1:9" x14ac:dyDescent="0.25">
      <c r="A4445" s="6">
        <v>43705</v>
      </c>
      <c r="B4445" t="s">
        <v>26</v>
      </c>
      <c r="C4445">
        <v>61869</v>
      </c>
      <c r="D4445" t="s">
        <v>146</v>
      </c>
      <c r="E4445" s="7">
        <v>632.5</v>
      </c>
      <c r="F4445" t="s">
        <v>20</v>
      </c>
      <c r="G4445" t="s">
        <v>21</v>
      </c>
      <c r="H4445" t="str">
        <f>"742373"</f>
        <v>742373</v>
      </c>
      <c r="I4445" t="str">
        <f>"LARRY SRALLA ELECTRIC"</f>
        <v>LARRY SRALLA ELECTRIC</v>
      </c>
    </row>
    <row r="4446" spans="1:9" x14ac:dyDescent="0.25">
      <c r="A4446" s="6">
        <v>43705</v>
      </c>
      <c r="B4446" t="s">
        <v>26</v>
      </c>
      <c r="C4446">
        <v>61869</v>
      </c>
      <c r="D4446" t="s">
        <v>146</v>
      </c>
      <c r="E4446" s="7">
        <v>632.5</v>
      </c>
      <c r="F4446" t="s">
        <v>20</v>
      </c>
      <c r="G4446" t="s">
        <v>21</v>
      </c>
      <c r="H4446" t="str">
        <f>"742374"</f>
        <v>742374</v>
      </c>
      <c r="I4446" t="str">
        <f>"LARRY SRALLA ELECTRIC"</f>
        <v>LARRY SRALLA ELECTRIC</v>
      </c>
    </row>
    <row r="4447" spans="1:9" x14ac:dyDescent="0.25">
      <c r="A4447" s="6">
        <v>43705</v>
      </c>
      <c r="B4447" t="s">
        <v>26</v>
      </c>
      <c r="C4447">
        <v>61870</v>
      </c>
      <c r="D4447" t="s">
        <v>123</v>
      </c>
      <c r="E4447" s="7">
        <v>228.64</v>
      </c>
      <c r="F4447" t="s">
        <v>20</v>
      </c>
      <c r="G4447" t="s">
        <v>21</v>
      </c>
      <c r="H4447" t="str">
        <f>"357682853001"</f>
        <v>357682853001</v>
      </c>
      <c r="I4447" t="str">
        <f>"OFFICE SUPPLIES"</f>
        <v>OFFICE SUPPLIES</v>
      </c>
    </row>
    <row r="4448" spans="1:9" x14ac:dyDescent="0.25">
      <c r="A4448" s="6">
        <v>43705</v>
      </c>
      <c r="B4448" t="s">
        <v>26</v>
      </c>
      <c r="C4448">
        <v>61870</v>
      </c>
      <c r="D4448" t="s">
        <v>123</v>
      </c>
      <c r="E4448" s="7">
        <v>228.64</v>
      </c>
      <c r="F4448" t="s">
        <v>20</v>
      </c>
      <c r="G4448" t="s">
        <v>21</v>
      </c>
      <c r="H4448" t="str">
        <f>"359510959001"</f>
        <v>359510959001</v>
      </c>
      <c r="I4448" t="str">
        <f>"OFFICE SUPPLIES"</f>
        <v>OFFICE SUPPLIES</v>
      </c>
    </row>
    <row r="4449" spans="1:11" x14ac:dyDescent="0.25">
      <c r="A4449" s="6">
        <v>43705</v>
      </c>
      <c r="B4449" t="s">
        <v>26</v>
      </c>
      <c r="C4449">
        <v>61871</v>
      </c>
      <c r="D4449" t="s">
        <v>137</v>
      </c>
      <c r="E4449" s="7">
        <v>121.9</v>
      </c>
      <c r="F4449" t="s">
        <v>20</v>
      </c>
      <c r="G4449" t="s">
        <v>21</v>
      </c>
      <c r="H4449" t="str">
        <f>"2447"</f>
        <v>2447</v>
      </c>
      <c r="I4449" t="str">
        <f>"OMNIBUS-M  INC.D.B.A."</f>
        <v>OMNIBUS-M  INC.D.B.A.</v>
      </c>
    </row>
    <row r="4450" spans="1:11" x14ac:dyDescent="0.25">
      <c r="A4450" s="6">
        <v>43705</v>
      </c>
      <c r="B4450" t="s">
        <v>26</v>
      </c>
      <c r="C4450">
        <v>61871</v>
      </c>
      <c r="D4450" t="s">
        <v>137</v>
      </c>
      <c r="E4450" s="7">
        <v>121.9</v>
      </c>
      <c r="F4450" t="s">
        <v>20</v>
      </c>
      <c r="G4450" t="s">
        <v>21</v>
      </c>
      <c r="H4450" t="str">
        <f>"2448"</f>
        <v>2448</v>
      </c>
      <c r="I4450" t="str">
        <f>"OMNIBUS-M  INC.D.B.A."</f>
        <v>OMNIBUS-M  INC.D.B.A.</v>
      </c>
    </row>
    <row r="4451" spans="1:11" x14ac:dyDescent="0.25">
      <c r="A4451" s="6">
        <v>43705</v>
      </c>
      <c r="B4451" t="s">
        <v>26</v>
      </c>
      <c r="C4451">
        <v>61872</v>
      </c>
      <c r="D4451" t="s">
        <v>534</v>
      </c>
      <c r="E4451" s="7">
        <v>107.14</v>
      </c>
      <c r="F4451" t="s">
        <v>20</v>
      </c>
      <c r="G4451" t="s">
        <v>21</v>
      </c>
      <c r="H4451" t="str">
        <f>"8404206786"</f>
        <v>8404206786</v>
      </c>
      <c r="I4451" t="str">
        <f>"CINTAS CORPORATION NO. 2"</f>
        <v>CINTAS CORPORATION NO. 2</v>
      </c>
    </row>
    <row r="4452" spans="1:11" x14ac:dyDescent="0.25">
      <c r="A4452" s="6">
        <v>43705</v>
      </c>
      <c r="B4452" t="s">
        <v>26</v>
      </c>
      <c r="C4452">
        <v>61873</v>
      </c>
      <c r="D4452" t="s">
        <v>125</v>
      </c>
      <c r="E4452" s="7">
        <v>500</v>
      </c>
      <c r="F4452" t="s">
        <v>20</v>
      </c>
      <c r="G4452" t="s">
        <v>21</v>
      </c>
      <c r="H4452" t="str">
        <f>"19-0618 7/2019"</f>
        <v>19-0618 7/2019</v>
      </c>
      <c r="I4452" t="str">
        <f>"INTREPID SURVEYING CORPORATION"</f>
        <v>INTREPID SURVEYING CORPORATION</v>
      </c>
    </row>
    <row r="4453" spans="1:11" x14ac:dyDescent="0.25">
      <c r="A4453" s="6">
        <v>43705</v>
      </c>
      <c r="B4453" t="s">
        <v>26</v>
      </c>
      <c r="C4453">
        <v>61874</v>
      </c>
      <c r="D4453" t="s">
        <v>191</v>
      </c>
      <c r="E4453" s="7">
        <v>1200</v>
      </c>
      <c r="F4453" t="s">
        <v>20</v>
      </c>
      <c r="G4453" t="s">
        <v>21</v>
      </c>
      <c r="H4453" t="str">
        <f>"INVO06-006306"</f>
        <v>INVO06-006306</v>
      </c>
      <c r="I4453" t="str">
        <f>"MUNISERVICES  LLC"</f>
        <v>MUNISERVICES  LLC</v>
      </c>
    </row>
    <row r="4454" spans="1:11" x14ac:dyDescent="0.25">
      <c r="A4454" s="6">
        <v>43705</v>
      </c>
      <c r="B4454" t="s">
        <v>26</v>
      </c>
      <c r="C4454">
        <v>61875</v>
      </c>
      <c r="D4454" t="s">
        <v>153</v>
      </c>
      <c r="E4454" s="7">
        <v>1500</v>
      </c>
      <c r="F4454" t="s">
        <v>20</v>
      </c>
      <c r="G4454" t="s">
        <v>21</v>
      </c>
      <c r="H4454" t="s">
        <v>799</v>
      </c>
      <c r="I4454" t="s">
        <v>800</v>
      </c>
      <c r="J4454">
        <v>1500</v>
      </c>
      <c r="K4454" t="str">
        <f>""</f>
        <v/>
      </c>
    </row>
    <row r="4455" spans="1:11" x14ac:dyDescent="0.25">
      <c r="A4455" s="6">
        <v>43705</v>
      </c>
      <c r="B4455" t="s">
        <v>26</v>
      </c>
      <c r="C4455">
        <v>61876</v>
      </c>
      <c r="D4455" t="s">
        <v>85</v>
      </c>
      <c r="E4455" s="7">
        <v>672.09</v>
      </c>
      <c r="F4455" t="s">
        <v>20</v>
      </c>
      <c r="G4455" t="s">
        <v>21</v>
      </c>
      <c r="H4455" t="str">
        <f>"8303932056 9/19"</f>
        <v>8303932056 9/19</v>
      </c>
      <c r="I4455" t="str">
        <f>"FRONTIER"</f>
        <v>FRONTIER</v>
      </c>
    </row>
    <row r="4456" spans="1:11" x14ac:dyDescent="0.25">
      <c r="A4456" s="6">
        <v>43705</v>
      </c>
      <c r="B4456" t="s">
        <v>26</v>
      </c>
      <c r="C4456">
        <v>61876</v>
      </c>
      <c r="D4456" t="s">
        <v>85</v>
      </c>
      <c r="E4456" s="7">
        <v>672.09</v>
      </c>
      <c r="F4456" t="s">
        <v>20</v>
      </c>
      <c r="G4456" t="s">
        <v>21</v>
      </c>
      <c r="H4456" t="str">
        <f>"8303933186 9/19"</f>
        <v>8303933186 9/19</v>
      </c>
      <c r="I4456" t="str">
        <f>"FRONTIER"</f>
        <v>FRONTIER</v>
      </c>
    </row>
    <row r="4457" spans="1:11" x14ac:dyDescent="0.25">
      <c r="A4457" s="6">
        <v>43705</v>
      </c>
      <c r="B4457" t="s">
        <v>26</v>
      </c>
      <c r="C4457">
        <v>61876</v>
      </c>
      <c r="D4457" t="s">
        <v>85</v>
      </c>
      <c r="E4457" s="7">
        <v>672.09</v>
      </c>
      <c r="F4457" t="s">
        <v>20</v>
      </c>
      <c r="G4457" t="s">
        <v>21</v>
      </c>
      <c r="H4457" t="str">
        <f>"83039333105 9/2019"</f>
        <v>83039333105 9/2019</v>
      </c>
      <c r="I4457" t="str">
        <f>"FRONTIER"</f>
        <v>FRONTIER</v>
      </c>
    </row>
    <row r="4458" spans="1:11" x14ac:dyDescent="0.25">
      <c r="A4458" s="6">
        <v>43705</v>
      </c>
      <c r="B4458" t="s">
        <v>26</v>
      </c>
      <c r="C4458">
        <v>61876</v>
      </c>
      <c r="D4458" t="s">
        <v>85</v>
      </c>
      <c r="E4458" s="7">
        <v>672.09</v>
      </c>
      <c r="F4458" t="s">
        <v>20</v>
      </c>
      <c r="G4458" t="s">
        <v>21</v>
      </c>
      <c r="H4458" t="str">
        <f>"8303936616 9/19"</f>
        <v>8303936616 9/19</v>
      </c>
      <c r="I4458" t="str">
        <f>"FRONTIER"</f>
        <v>FRONTIER</v>
      </c>
    </row>
    <row r="4459" spans="1:11" x14ac:dyDescent="0.25">
      <c r="A4459" s="6">
        <v>43705</v>
      </c>
      <c r="B4459" t="s">
        <v>26</v>
      </c>
      <c r="C4459">
        <v>61876</v>
      </c>
      <c r="D4459" t="s">
        <v>85</v>
      </c>
      <c r="E4459" s="7">
        <v>672.09</v>
      </c>
      <c r="F4459" t="s">
        <v>20</v>
      </c>
      <c r="G4459" t="s">
        <v>21</v>
      </c>
      <c r="H4459" t="str">
        <f>"8303939456 9/2019"</f>
        <v>8303939456 9/2019</v>
      </c>
      <c r="I4459" t="str">
        <f>"FRONTIER"</f>
        <v>FRONTIER</v>
      </c>
    </row>
    <row r="4460" spans="1:11" x14ac:dyDescent="0.25">
      <c r="A4460" s="6">
        <v>43705</v>
      </c>
      <c r="B4460" t="s">
        <v>26</v>
      </c>
      <c r="C4460">
        <v>61877</v>
      </c>
      <c r="D4460" t="s">
        <v>266</v>
      </c>
      <c r="E4460" s="7">
        <v>419000</v>
      </c>
      <c r="F4460" t="s">
        <v>20</v>
      </c>
      <c r="G4460" t="s">
        <v>21</v>
      </c>
      <c r="H4460" t="str">
        <f>"FLOR615GOR 8/28/19"</f>
        <v>FLOR615GOR 8/28/19</v>
      </c>
      <c r="I4460" t="s">
        <v>498</v>
      </c>
    </row>
    <row r="4461" spans="1:11" x14ac:dyDescent="0.25">
      <c r="A4461" s="6">
        <v>43705</v>
      </c>
      <c r="B4461" t="s">
        <v>26</v>
      </c>
      <c r="C4461">
        <v>61878</v>
      </c>
      <c r="D4461" t="s">
        <v>311</v>
      </c>
      <c r="E4461" s="7">
        <v>85958</v>
      </c>
      <c r="F4461" t="s">
        <v>20</v>
      </c>
      <c r="G4461" t="s">
        <v>21</v>
      </c>
      <c r="H4461" t="str">
        <f>"LNN00500"</f>
        <v>LNN00500</v>
      </c>
      <c r="I4461" t="s">
        <v>498</v>
      </c>
    </row>
    <row r="4462" spans="1:11" x14ac:dyDescent="0.25">
      <c r="A4462" s="6">
        <v>43705</v>
      </c>
      <c r="B4462" t="s">
        <v>26</v>
      </c>
      <c r="C4462">
        <v>61879</v>
      </c>
      <c r="D4462" t="s">
        <v>175</v>
      </c>
      <c r="E4462" s="7">
        <v>500</v>
      </c>
      <c r="F4462" t="s">
        <v>20</v>
      </c>
      <c r="G4462" t="s">
        <v>21</v>
      </c>
      <c r="H4462" t="str">
        <f>"151840"</f>
        <v>151840</v>
      </c>
      <c r="I4462" t="str">
        <f>"AMER TECHNOLOGY  INC."</f>
        <v>AMER TECHNOLOGY  INC.</v>
      </c>
    </row>
    <row r="4463" spans="1:11" x14ac:dyDescent="0.25">
      <c r="A4463" s="6">
        <v>43705</v>
      </c>
      <c r="B4463" t="s">
        <v>26</v>
      </c>
      <c r="C4463">
        <v>61880</v>
      </c>
      <c r="D4463" t="s">
        <v>132</v>
      </c>
      <c r="E4463" s="7">
        <v>88.33</v>
      </c>
      <c r="F4463" t="s">
        <v>20</v>
      </c>
      <c r="G4463" t="s">
        <v>21</v>
      </c>
      <c r="H4463" t="str">
        <f>"16992887 081519"</f>
        <v>16992887 081519</v>
      </c>
      <c r="I4463" t="str">
        <f>"SPARKLETTS &amp; SIERRA SPRINGS"</f>
        <v>SPARKLETTS &amp; SIERRA SPRINGS</v>
      </c>
    </row>
    <row r="4464" spans="1:11" x14ac:dyDescent="0.25">
      <c r="A4464" s="6">
        <v>43705</v>
      </c>
      <c r="B4464" t="s">
        <v>26</v>
      </c>
      <c r="C4464">
        <v>61881</v>
      </c>
      <c r="D4464" t="s">
        <v>327</v>
      </c>
      <c r="E4464" s="7">
        <v>42</v>
      </c>
      <c r="F4464" t="s">
        <v>20</v>
      </c>
      <c r="G4464" t="s">
        <v>21</v>
      </c>
      <c r="H4464" t="str">
        <f>"1151"</f>
        <v>1151</v>
      </c>
      <c r="I4464" t="str">
        <f>"MOY'S WATER WELL SERVICES"</f>
        <v>MOY'S WATER WELL SERVICES</v>
      </c>
    </row>
    <row r="4465" spans="1:9" x14ac:dyDescent="0.25">
      <c r="A4465" s="6">
        <v>43705</v>
      </c>
      <c r="B4465" t="s">
        <v>26</v>
      </c>
      <c r="C4465">
        <v>61882</v>
      </c>
      <c r="D4465" t="s">
        <v>328</v>
      </c>
      <c r="E4465" s="7">
        <v>1200</v>
      </c>
      <c r="F4465" t="s">
        <v>20</v>
      </c>
      <c r="G4465" t="s">
        <v>21</v>
      </c>
      <c r="H4465" t="str">
        <f>"7018232"</f>
        <v>7018232</v>
      </c>
      <c r="I4465" t="str">
        <f>"KOLOGIK"</f>
        <v>KOLOGIK</v>
      </c>
    </row>
    <row r="4466" spans="1:9" x14ac:dyDescent="0.25">
      <c r="A4466" s="6">
        <v>43705</v>
      </c>
      <c r="B4466" t="s">
        <v>26</v>
      </c>
      <c r="C4466">
        <v>61883</v>
      </c>
      <c r="D4466" t="s">
        <v>644</v>
      </c>
      <c r="E4466" s="7">
        <v>386.01</v>
      </c>
      <c r="F4466" t="s">
        <v>20</v>
      </c>
      <c r="G4466" t="s">
        <v>21</v>
      </c>
      <c r="H4466" t="str">
        <f>"8213330295"</f>
        <v>8213330295</v>
      </c>
      <c r="I4466" t="str">
        <f t="shared" ref="I4466:I4471" si="87">"UNIFIRST CORPORATION"</f>
        <v>UNIFIRST CORPORATION</v>
      </c>
    </row>
    <row r="4467" spans="1:9" x14ac:dyDescent="0.25">
      <c r="A4467" s="6">
        <v>43705</v>
      </c>
      <c r="B4467" t="s">
        <v>26</v>
      </c>
      <c r="C4467">
        <v>61883</v>
      </c>
      <c r="D4467" t="s">
        <v>644</v>
      </c>
      <c r="E4467" s="7">
        <v>386.01</v>
      </c>
      <c r="F4467" t="s">
        <v>20</v>
      </c>
      <c r="G4467" t="s">
        <v>21</v>
      </c>
      <c r="H4467" t="str">
        <f>"8213330296"</f>
        <v>8213330296</v>
      </c>
      <c r="I4467" t="str">
        <f t="shared" si="87"/>
        <v>UNIFIRST CORPORATION</v>
      </c>
    </row>
    <row r="4468" spans="1:9" x14ac:dyDescent="0.25">
      <c r="A4468" s="6">
        <v>43705</v>
      </c>
      <c r="B4468" t="s">
        <v>26</v>
      </c>
      <c r="C4468">
        <v>61883</v>
      </c>
      <c r="D4468" t="s">
        <v>644</v>
      </c>
      <c r="E4468" s="7">
        <v>386.01</v>
      </c>
      <c r="F4468" t="s">
        <v>20</v>
      </c>
      <c r="G4468" t="s">
        <v>21</v>
      </c>
      <c r="H4468" t="str">
        <f>"8213330297"</f>
        <v>8213330297</v>
      </c>
      <c r="I4468" t="str">
        <f t="shared" si="87"/>
        <v>UNIFIRST CORPORATION</v>
      </c>
    </row>
    <row r="4469" spans="1:9" x14ac:dyDescent="0.25">
      <c r="A4469" s="6">
        <v>43705</v>
      </c>
      <c r="B4469" t="s">
        <v>26</v>
      </c>
      <c r="C4469">
        <v>61883</v>
      </c>
      <c r="D4469" t="s">
        <v>644</v>
      </c>
      <c r="E4469" s="7">
        <v>386.01</v>
      </c>
      <c r="F4469" t="s">
        <v>20</v>
      </c>
      <c r="G4469" t="s">
        <v>21</v>
      </c>
      <c r="H4469" t="str">
        <f>"8213330298"</f>
        <v>8213330298</v>
      </c>
      <c r="I4469" t="str">
        <f t="shared" si="87"/>
        <v>UNIFIRST CORPORATION</v>
      </c>
    </row>
    <row r="4470" spans="1:9" x14ac:dyDescent="0.25">
      <c r="A4470" s="6">
        <v>43705</v>
      </c>
      <c r="B4470" t="s">
        <v>26</v>
      </c>
      <c r="C4470">
        <v>61883</v>
      </c>
      <c r="D4470" t="s">
        <v>644</v>
      </c>
      <c r="E4470" s="7">
        <v>386.01</v>
      </c>
      <c r="F4470" t="s">
        <v>20</v>
      </c>
      <c r="G4470" t="s">
        <v>21</v>
      </c>
      <c r="H4470" t="str">
        <f>"8213330299"</f>
        <v>8213330299</v>
      </c>
      <c r="I4470" t="str">
        <f t="shared" si="87"/>
        <v>UNIFIRST CORPORATION</v>
      </c>
    </row>
    <row r="4471" spans="1:9" x14ac:dyDescent="0.25">
      <c r="A4471" s="6">
        <v>43705</v>
      </c>
      <c r="B4471" t="s">
        <v>26</v>
      </c>
      <c r="C4471">
        <v>61883</v>
      </c>
      <c r="D4471" t="s">
        <v>644</v>
      </c>
      <c r="E4471" s="7">
        <v>386.01</v>
      </c>
      <c r="F4471" t="s">
        <v>20</v>
      </c>
      <c r="G4471" t="s">
        <v>21</v>
      </c>
      <c r="H4471" t="str">
        <f>"8213330300"</f>
        <v>8213330300</v>
      </c>
      <c r="I4471" t="str">
        <f t="shared" si="87"/>
        <v>UNIFIRST CORPORATION</v>
      </c>
    </row>
    <row r="4472" spans="1:9" x14ac:dyDescent="0.25">
      <c r="A4472" s="6">
        <v>43705</v>
      </c>
      <c r="B4472" t="s">
        <v>26</v>
      </c>
      <c r="C4472">
        <v>61885</v>
      </c>
      <c r="D4472" t="s">
        <v>647</v>
      </c>
      <c r="E4472" s="7">
        <v>2071.0100000000002</v>
      </c>
      <c r="F4472" t="s">
        <v>20</v>
      </c>
      <c r="G4472" t="s">
        <v>21</v>
      </c>
      <c r="H4472" t="str">
        <f>"25325520"</f>
        <v>25325520</v>
      </c>
      <c r="I4472" t="str">
        <f>"DOCUMATION  INC."</f>
        <v>DOCUMATION  INC.</v>
      </c>
    </row>
    <row r="4473" spans="1:9" x14ac:dyDescent="0.25">
      <c r="A4473" s="6">
        <v>43705</v>
      </c>
      <c r="B4473" t="s">
        <v>26</v>
      </c>
      <c r="C4473">
        <v>61886</v>
      </c>
      <c r="D4473" t="s">
        <v>685</v>
      </c>
      <c r="E4473" s="7">
        <v>2304.25</v>
      </c>
      <c r="F4473" t="s">
        <v>20</v>
      </c>
      <c r="G4473" t="s">
        <v>21</v>
      </c>
      <c r="H4473" t="str">
        <f>"9417A-5"</f>
        <v>9417A-5</v>
      </c>
      <c r="I4473" t="str">
        <f>"SKID STEER"</f>
        <v>SKID STEER</v>
      </c>
    </row>
    <row r="4474" spans="1:9" x14ac:dyDescent="0.25">
      <c r="A4474" s="6">
        <v>43705</v>
      </c>
      <c r="B4474" t="s">
        <v>26</v>
      </c>
      <c r="C4474">
        <v>61887</v>
      </c>
      <c r="D4474" t="s">
        <v>716</v>
      </c>
      <c r="E4474" s="7">
        <v>310</v>
      </c>
      <c r="F4474" t="s">
        <v>20</v>
      </c>
      <c r="G4474" t="s">
        <v>21</v>
      </c>
      <c r="H4474" t="str">
        <f>"8/26/19"</f>
        <v>8/26/19</v>
      </c>
      <c r="I4474" t="str">
        <f>"ALFREDO SENDEJO"</f>
        <v>ALFREDO SENDEJO</v>
      </c>
    </row>
    <row r="4475" spans="1:9" x14ac:dyDescent="0.25">
      <c r="A4475" s="6">
        <v>43705</v>
      </c>
      <c r="B4475" t="s">
        <v>26</v>
      </c>
      <c r="C4475">
        <v>61888</v>
      </c>
      <c r="D4475" t="s">
        <v>577</v>
      </c>
      <c r="E4475" s="7">
        <v>1615</v>
      </c>
      <c r="F4475" t="s">
        <v>20</v>
      </c>
      <c r="G4475" t="s">
        <v>21</v>
      </c>
      <c r="H4475" t="str">
        <f>"PERMIT APPLICATION"</f>
        <v>PERMIT APPLICATION</v>
      </c>
      <c r="I4475" t="str">
        <f>"TCEQ - OCCUPATIONAL LICENSING"</f>
        <v>TCEQ - OCCUPATIONAL LICENSING</v>
      </c>
    </row>
    <row r="4476" spans="1:9" x14ac:dyDescent="0.25">
      <c r="A4476" s="6">
        <v>43705</v>
      </c>
      <c r="B4476" t="s">
        <v>26</v>
      </c>
      <c r="C4476">
        <v>61889</v>
      </c>
      <c r="D4476" t="s">
        <v>316</v>
      </c>
      <c r="E4476" s="7">
        <v>224085.25</v>
      </c>
      <c r="F4476" t="s">
        <v>20</v>
      </c>
      <c r="G4476" t="s">
        <v>21</v>
      </c>
      <c r="H4476" t="str">
        <f>"19100082719"</f>
        <v>19100082719</v>
      </c>
      <c r="I4476" t="s">
        <v>498</v>
      </c>
    </row>
    <row r="4477" spans="1:9" x14ac:dyDescent="0.25">
      <c r="A4477" s="6">
        <v>43705</v>
      </c>
      <c r="B4477" t="s">
        <v>26</v>
      </c>
      <c r="C4477">
        <v>61890</v>
      </c>
      <c r="D4477" t="s">
        <v>54</v>
      </c>
      <c r="E4477" s="7">
        <v>932.52</v>
      </c>
      <c r="F4477" t="s">
        <v>20</v>
      </c>
      <c r="G4477" t="s">
        <v>21</v>
      </c>
      <c r="H4477" t="str">
        <f>"7/28-8/10-2019"</f>
        <v>7/28-8/10-2019</v>
      </c>
      <c r="I4477" t="str">
        <f>"NATIONWIDE TRUST COMPANY  FSB"</f>
        <v>NATIONWIDE TRUST COMPANY  FSB</v>
      </c>
    </row>
    <row r="4478" spans="1:9" x14ac:dyDescent="0.25">
      <c r="A4478" s="6">
        <v>43705</v>
      </c>
      <c r="B4478" t="s">
        <v>26</v>
      </c>
      <c r="C4478">
        <v>61891</v>
      </c>
      <c r="D4478" t="s">
        <v>200</v>
      </c>
      <c r="E4478" s="7">
        <v>8700</v>
      </c>
      <c r="F4478" t="s">
        <v>20</v>
      </c>
      <c r="G4478" t="s">
        <v>21</v>
      </c>
      <c r="H4478" t="str">
        <f>"138"</f>
        <v>138</v>
      </c>
      <c r="I4478" t="str">
        <f>"MARIO AVILES"</f>
        <v>MARIO AVILES</v>
      </c>
    </row>
    <row r="4479" spans="1:9" x14ac:dyDescent="0.25">
      <c r="A4479" s="6">
        <v>43705</v>
      </c>
      <c r="B4479" t="s">
        <v>26</v>
      </c>
      <c r="C4479">
        <v>61892</v>
      </c>
      <c r="D4479" t="s">
        <v>345</v>
      </c>
      <c r="E4479" s="7">
        <v>297</v>
      </c>
      <c r="F4479" t="s">
        <v>20</v>
      </c>
      <c r="G4479" t="s">
        <v>21</v>
      </c>
      <c r="H4479" t="str">
        <f>"8/26/2019"</f>
        <v>8/26/2019</v>
      </c>
      <c r="I4479" t="str">
        <f>"MICHAEL ISAAC MARTINEZ"</f>
        <v>MICHAEL ISAAC MARTINEZ</v>
      </c>
    </row>
    <row r="4480" spans="1:9" x14ac:dyDescent="0.25">
      <c r="A4480" s="6">
        <v>43706</v>
      </c>
      <c r="B4480" t="s">
        <v>26</v>
      </c>
      <c r="C4480">
        <v>61893</v>
      </c>
      <c r="D4480" t="s">
        <v>81</v>
      </c>
      <c r="E4480" s="7">
        <v>176.72</v>
      </c>
      <c r="F4480" t="s">
        <v>20</v>
      </c>
      <c r="G4480" t="s">
        <v>21</v>
      </c>
      <c r="H4480" t="str">
        <f>"A.MARTINEZ 8/29/19"</f>
        <v>A.MARTINEZ 8/29/19</v>
      </c>
      <c r="I4480" t="str">
        <f>"CITY OF FLORESVILLE -PETTY CAS"</f>
        <v>CITY OF FLORESVILLE -PETTY CAS</v>
      </c>
    </row>
    <row r="4481" spans="1:9" x14ac:dyDescent="0.25">
      <c r="A4481" s="6">
        <v>43706</v>
      </c>
      <c r="B4481" t="s">
        <v>26</v>
      </c>
      <c r="C4481">
        <v>61894</v>
      </c>
      <c r="D4481" t="s">
        <v>536</v>
      </c>
      <c r="E4481" s="7">
        <v>2566.64</v>
      </c>
      <c r="F4481" t="s">
        <v>20</v>
      </c>
      <c r="G4481" t="s">
        <v>21</v>
      </c>
      <c r="H4481" t="str">
        <f>"8108200234"</f>
        <v>8108200234</v>
      </c>
      <c r="I4481" t="str">
        <f t="shared" ref="I4481:I4487" si="88">"COCA-COLA SOUTHWEST BEVERAGES"</f>
        <v>COCA-COLA SOUTHWEST BEVERAGES</v>
      </c>
    </row>
    <row r="4482" spans="1:9" x14ac:dyDescent="0.25">
      <c r="A4482" s="6">
        <v>43706</v>
      </c>
      <c r="B4482" t="s">
        <v>26</v>
      </c>
      <c r="C4482">
        <v>61894</v>
      </c>
      <c r="D4482" t="s">
        <v>536</v>
      </c>
      <c r="E4482" s="7">
        <v>2566.64</v>
      </c>
      <c r="F4482" t="s">
        <v>20</v>
      </c>
      <c r="G4482" t="s">
        <v>21</v>
      </c>
      <c r="H4482" t="str">
        <f>"8108201484"</f>
        <v>8108201484</v>
      </c>
      <c r="I4482" t="str">
        <f t="shared" si="88"/>
        <v>COCA-COLA SOUTHWEST BEVERAGES</v>
      </c>
    </row>
    <row r="4483" spans="1:9" x14ac:dyDescent="0.25">
      <c r="A4483" s="6">
        <v>43706</v>
      </c>
      <c r="B4483" t="s">
        <v>26</v>
      </c>
      <c r="C4483">
        <v>61894</v>
      </c>
      <c r="D4483" t="s">
        <v>536</v>
      </c>
      <c r="E4483" s="7">
        <v>2566.64</v>
      </c>
      <c r="F4483" t="s">
        <v>20</v>
      </c>
      <c r="G4483" t="s">
        <v>21</v>
      </c>
      <c r="H4483" t="str">
        <f>"8109200725"</f>
        <v>8109200725</v>
      </c>
      <c r="I4483" t="str">
        <f t="shared" si="88"/>
        <v>COCA-COLA SOUTHWEST BEVERAGES</v>
      </c>
    </row>
    <row r="4484" spans="1:9" x14ac:dyDescent="0.25">
      <c r="A4484" s="6">
        <v>43706</v>
      </c>
      <c r="B4484" t="s">
        <v>26</v>
      </c>
      <c r="C4484">
        <v>61894</v>
      </c>
      <c r="D4484" t="s">
        <v>536</v>
      </c>
      <c r="E4484" s="7">
        <v>2566.64</v>
      </c>
      <c r="F4484" t="s">
        <v>20</v>
      </c>
      <c r="G4484" t="s">
        <v>21</v>
      </c>
      <c r="H4484" t="str">
        <f>"8109200890"</f>
        <v>8109200890</v>
      </c>
      <c r="I4484" t="str">
        <f t="shared" si="88"/>
        <v>COCA-COLA SOUTHWEST BEVERAGES</v>
      </c>
    </row>
    <row r="4485" spans="1:9" x14ac:dyDescent="0.25">
      <c r="A4485" s="6">
        <v>43706</v>
      </c>
      <c r="B4485" t="s">
        <v>26</v>
      </c>
      <c r="C4485">
        <v>61894</v>
      </c>
      <c r="D4485" t="s">
        <v>536</v>
      </c>
      <c r="E4485" s="7">
        <v>2566.64</v>
      </c>
      <c r="F4485" t="s">
        <v>20</v>
      </c>
      <c r="G4485" t="s">
        <v>21</v>
      </c>
      <c r="H4485" t="str">
        <f>"8110200141"</f>
        <v>8110200141</v>
      </c>
      <c r="I4485" t="str">
        <f t="shared" si="88"/>
        <v>COCA-COLA SOUTHWEST BEVERAGES</v>
      </c>
    </row>
    <row r="4486" spans="1:9" x14ac:dyDescent="0.25">
      <c r="A4486" s="6">
        <v>43706</v>
      </c>
      <c r="B4486" t="s">
        <v>26</v>
      </c>
      <c r="C4486">
        <v>61894</v>
      </c>
      <c r="D4486" t="s">
        <v>536</v>
      </c>
      <c r="E4486" s="7">
        <v>2566.64</v>
      </c>
      <c r="F4486" t="s">
        <v>20</v>
      </c>
      <c r="G4486" t="s">
        <v>21</v>
      </c>
      <c r="H4486" t="str">
        <f>"8110200313"</f>
        <v>8110200313</v>
      </c>
      <c r="I4486" t="str">
        <f t="shared" si="88"/>
        <v>COCA-COLA SOUTHWEST BEVERAGES</v>
      </c>
    </row>
    <row r="4487" spans="1:9" x14ac:dyDescent="0.25">
      <c r="A4487" s="6">
        <v>43706</v>
      </c>
      <c r="B4487" t="s">
        <v>26</v>
      </c>
      <c r="C4487">
        <v>61894</v>
      </c>
      <c r="D4487" t="s">
        <v>536</v>
      </c>
      <c r="E4487" s="7">
        <v>2566.64</v>
      </c>
      <c r="F4487" t="s">
        <v>20</v>
      </c>
      <c r="G4487" t="s">
        <v>21</v>
      </c>
      <c r="H4487" t="str">
        <f>"8111200180"</f>
        <v>8111200180</v>
      </c>
      <c r="I4487" t="str">
        <f t="shared" si="88"/>
        <v>COCA-COLA SOUTHWEST BEVERAGES</v>
      </c>
    </row>
    <row r="4488" spans="1:9" x14ac:dyDescent="0.25">
      <c r="A4488" s="6">
        <v>43706</v>
      </c>
      <c r="B4488" t="s">
        <v>26</v>
      </c>
      <c r="C4488">
        <v>61896</v>
      </c>
      <c r="D4488" t="s">
        <v>333</v>
      </c>
      <c r="E4488" s="7">
        <v>7991</v>
      </c>
      <c r="F4488" t="s">
        <v>20</v>
      </c>
      <c r="G4488" t="s">
        <v>21</v>
      </c>
      <c r="H4488" t="str">
        <f>"08/28/2019"</f>
        <v>08/28/2019</v>
      </c>
      <c r="I4488" t="str">
        <f>"MONICA ALMAGUER"</f>
        <v>MONICA ALMAGUER</v>
      </c>
    </row>
    <row r="4489" spans="1:9" x14ac:dyDescent="0.25">
      <c r="A4489" s="6">
        <v>43712</v>
      </c>
      <c r="B4489" t="s">
        <v>91</v>
      </c>
      <c r="C4489">
        <v>61898</v>
      </c>
      <c r="D4489" t="s">
        <v>90</v>
      </c>
      <c r="E4489" s="7">
        <v>1539.2</v>
      </c>
      <c r="F4489" t="s">
        <v>20</v>
      </c>
      <c r="G4489" t="s">
        <v>21</v>
      </c>
      <c r="H4489" t="str">
        <f>"ACA201908138535"</f>
        <v>ACA201908138535</v>
      </c>
      <c r="I4489" t="str">
        <f>"AFLAC INSURANCE"</f>
        <v>AFLAC INSURANCE</v>
      </c>
    </row>
    <row r="4490" spans="1:9" x14ac:dyDescent="0.25">
      <c r="A4490" s="6">
        <v>43712</v>
      </c>
      <c r="B4490" t="s">
        <v>91</v>
      </c>
      <c r="C4490">
        <v>61898</v>
      </c>
      <c r="D4490" t="s">
        <v>90</v>
      </c>
      <c r="E4490" s="7">
        <v>1539.2</v>
      </c>
      <c r="F4490" t="s">
        <v>20</v>
      </c>
      <c r="G4490" t="s">
        <v>21</v>
      </c>
      <c r="H4490" t="str">
        <f>"ACA201908278536"</f>
        <v>ACA201908278536</v>
      </c>
      <c r="I4490" t="str">
        <f>"AFLAC INSURANCE"</f>
        <v>AFLAC INSURANCE</v>
      </c>
    </row>
    <row r="4491" spans="1:9" x14ac:dyDescent="0.25">
      <c r="A4491" s="6">
        <v>43712</v>
      </c>
      <c r="B4491" t="s">
        <v>91</v>
      </c>
      <c r="C4491">
        <v>61898</v>
      </c>
      <c r="D4491" t="s">
        <v>90</v>
      </c>
      <c r="E4491" s="7">
        <v>1539.2</v>
      </c>
      <c r="F4491" t="s">
        <v>20</v>
      </c>
      <c r="G4491" t="s">
        <v>21</v>
      </c>
      <c r="H4491" t="str">
        <f>"AD2201908138535"</f>
        <v>AD2201908138535</v>
      </c>
      <c r="I4491" t="str">
        <f>"AFLAC INSURANCE"</f>
        <v>AFLAC INSURANCE</v>
      </c>
    </row>
    <row r="4492" spans="1:9" x14ac:dyDescent="0.25">
      <c r="A4492" s="6">
        <v>43712</v>
      </c>
      <c r="B4492" t="s">
        <v>91</v>
      </c>
      <c r="C4492">
        <v>61898</v>
      </c>
      <c r="D4492" t="s">
        <v>90</v>
      </c>
      <c r="E4492" s="7">
        <v>1539.2</v>
      </c>
      <c r="F4492" t="s">
        <v>20</v>
      </c>
      <c r="G4492" t="s">
        <v>21</v>
      </c>
      <c r="H4492" t="str">
        <f>"AD2201908278536"</f>
        <v>AD2201908278536</v>
      </c>
      <c r="I4492" t="str">
        <f>"AFLAC INSURANCE"</f>
        <v>AFLAC INSURANCE</v>
      </c>
    </row>
    <row r="4493" spans="1:9" x14ac:dyDescent="0.25">
      <c r="A4493" s="6">
        <v>43712</v>
      </c>
      <c r="B4493" t="s">
        <v>91</v>
      </c>
      <c r="C4493">
        <v>61898</v>
      </c>
      <c r="D4493" t="s">
        <v>90</v>
      </c>
      <c r="E4493" s="7">
        <v>1539.2</v>
      </c>
      <c r="F4493" t="s">
        <v>20</v>
      </c>
      <c r="G4493" t="s">
        <v>21</v>
      </c>
      <c r="H4493" t="str">
        <f>"ADR201908138535"</f>
        <v>ADR201908138535</v>
      </c>
      <c r="I4493" t="str">
        <f>"INSURANCE"</f>
        <v>INSURANCE</v>
      </c>
    </row>
    <row r="4494" spans="1:9" x14ac:dyDescent="0.25">
      <c r="A4494" s="6">
        <v>43712</v>
      </c>
      <c r="B4494" t="s">
        <v>91</v>
      </c>
      <c r="C4494">
        <v>61898</v>
      </c>
      <c r="D4494" t="s">
        <v>90</v>
      </c>
      <c r="E4494" s="7">
        <v>1539.2</v>
      </c>
      <c r="F4494" t="s">
        <v>20</v>
      </c>
      <c r="G4494" t="s">
        <v>21</v>
      </c>
      <c r="H4494" t="str">
        <f>"ADR201908278536"</f>
        <v>ADR201908278536</v>
      </c>
      <c r="I4494" t="str">
        <f>"INSURANCE"</f>
        <v>INSURANCE</v>
      </c>
    </row>
    <row r="4495" spans="1:9" x14ac:dyDescent="0.25">
      <c r="A4495" s="6">
        <v>43712</v>
      </c>
      <c r="B4495" t="s">
        <v>91</v>
      </c>
      <c r="C4495">
        <v>61898</v>
      </c>
      <c r="D4495" t="s">
        <v>90</v>
      </c>
      <c r="E4495" s="7">
        <v>1539.2</v>
      </c>
      <c r="F4495" t="s">
        <v>20</v>
      </c>
      <c r="G4495" t="s">
        <v>21</v>
      </c>
      <c r="H4495" t="str">
        <f>"AF1201908138535"</f>
        <v>AF1201908138535</v>
      </c>
      <c r="I4495" t="str">
        <f t="shared" ref="I4495:I4500" si="89">"AFLAC INSURANCE"</f>
        <v>AFLAC INSURANCE</v>
      </c>
    </row>
    <row r="4496" spans="1:9" x14ac:dyDescent="0.25">
      <c r="A4496" s="6">
        <v>43712</v>
      </c>
      <c r="B4496" t="s">
        <v>91</v>
      </c>
      <c r="C4496">
        <v>61898</v>
      </c>
      <c r="D4496" t="s">
        <v>90</v>
      </c>
      <c r="E4496" s="7">
        <v>1539.2</v>
      </c>
      <c r="F4496" t="s">
        <v>20</v>
      </c>
      <c r="G4496" t="s">
        <v>21</v>
      </c>
      <c r="H4496" t="str">
        <f>"AF1201908278536"</f>
        <v>AF1201908278536</v>
      </c>
      <c r="I4496" t="str">
        <f t="shared" si="89"/>
        <v>AFLAC INSURANCE</v>
      </c>
    </row>
    <row r="4497" spans="1:9" x14ac:dyDescent="0.25">
      <c r="A4497" s="6">
        <v>43712</v>
      </c>
      <c r="B4497" t="s">
        <v>91</v>
      </c>
      <c r="C4497">
        <v>61898</v>
      </c>
      <c r="D4497" t="s">
        <v>90</v>
      </c>
      <c r="E4497" s="7">
        <v>1539.2</v>
      </c>
      <c r="F4497" t="s">
        <v>20</v>
      </c>
      <c r="G4497" t="s">
        <v>21</v>
      </c>
      <c r="H4497" t="str">
        <f>"ASP201908138535"</f>
        <v>ASP201908138535</v>
      </c>
      <c r="I4497" t="str">
        <f t="shared" si="89"/>
        <v>AFLAC INSURANCE</v>
      </c>
    </row>
    <row r="4498" spans="1:9" x14ac:dyDescent="0.25">
      <c r="A4498" s="6">
        <v>43712</v>
      </c>
      <c r="B4498" t="s">
        <v>91</v>
      </c>
      <c r="C4498">
        <v>61898</v>
      </c>
      <c r="D4498" t="s">
        <v>90</v>
      </c>
      <c r="E4498" s="7">
        <v>1539.2</v>
      </c>
      <c r="F4498" t="s">
        <v>20</v>
      </c>
      <c r="G4498" t="s">
        <v>21</v>
      </c>
      <c r="H4498" t="str">
        <f>"ASP201908278536"</f>
        <v>ASP201908278536</v>
      </c>
      <c r="I4498" t="str">
        <f t="shared" si="89"/>
        <v>AFLAC INSURANCE</v>
      </c>
    </row>
    <row r="4499" spans="1:9" x14ac:dyDescent="0.25">
      <c r="A4499" s="6">
        <v>43712</v>
      </c>
      <c r="B4499" t="s">
        <v>91</v>
      </c>
      <c r="C4499">
        <v>61898</v>
      </c>
      <c r="D4499" t="s">
        <v>90</v>
      </c>
      <c r="E4499" s="7">
        <v>1539.2</v>
      </c>
      <c r="F4499" t="s">
        <v>20</v>
      </c>
      <c r="G4499" t="s">
        <v>21</v>
      </c>
      <c r="H4499" t="str">
        <f>"HCO201908138535"</f>
        <v>HCO201908138535</v>
      </c>
      <c r="I4499" t="str">
        <f t="shared" si="89"/>
        <v>AFLAC INSURANCE</v>
      </c>
    </row>
    <row r="4500" spans="1:9" x14ac:dyDescent="0.25">
      <c r="A4500" s="6">
        <v>43712</v>
      </c>
      <c r="B4500" t="s">
        <v>91</v>
      </c>
      <c r="C4500">
        <v>61898</v>
      </c>
      <c r="D4500" t="s">
        <v>90</v>
      </c>
      <c r="E4500" s="7">
        <v>1539.2</v>
      </c>
      <c r="F4500" t="s">
        <v>20</v>
      </c>
      <c r="G4500" t="s">
        <v>21</v>
      </c>
      <c r="H4500" t="str">
        <f>"HCO201908278536"</f>
        <v>HCO201908278536</v>
      </c>
      <c r="I4500" t="str">
        <f t="shared" si="89"/>
        <v>AFLAC INSURANCE</v>
      </c>
    </row>
    <row r="4501" spans="1:9" x14ac:dyDescent="0.25">
      <c r="A4501" s="6">
        <v>43712</v>
      </c>
      <c r="B4501" t="s">
        <v>91</v>
      </c>
      <c r="C4501">
        <v>61898</v>
      </c>
      <c r="D4501" t="s">
        <v>90</v>
      </c>
      <c r="E4501" s="7">
        <v>1539.2</v>
      </c>
      <c r="F4501" t="s">
        <v>20</v>
      </c>
      <c r="G4501" t="s">
        <v>93</v>
      </c>
      <c r="H4501" t="str">
        <f>"CHECK"</f>
        <v>CHECK</v>
      </c>
      <c r="I4501" t="str">
        <f>""</f>
        <v/>
      </c>
    </row>
    <row r="4502" spans="1:9" x14ac:dyDescent="0.25">
      <c r="A4502" s="6">
        <v>43712</v>
      </c>
      <c r="B4502" t="s">
        <v>26</v>
      </c>
      <c r="C4502">
        <v>61902</v>
      </c>
      <c r="D4502" t="s">
        <v>637</v>
      </c>
      <c r="E4502" s="7">
        <v>75</v>
      </c>
      <c r="F4502" t="s">
        <v>20</v>
      </c>
      <c r="G4502" t="s">
        <v>21</v>
      </c>
      <c r="H4502" t="str">
        <f>"9/2019-COUNCIL"</f>
        <v>9/2019-COUNCIL</v>
      </c>
      <c r="I4502" t="str">
        <f>"SALARIES"</f>
        <v>SALARIES</v>
      </c>
    </row>
    <row r="4503" spans="1:9" x14ac:dyDescent="0.25">
      <c r="A4503" s="6">
        <v>43712</v>
      </c>
      <c r="B4503" t="s">
        <v>91</v>
      </c>
      <c r="C4503">
        <v>61903</v>
      </c>
      <c r="D4503" t="s">
        <v>95</v>
      </c>
      <c r="E4503" s="7">
        <v>59.98</v>
      </c>
      <c r="F4503" t="s">
        <v>20</v>
      </c>
      <c r="G4503" t="s">
        <v>21</v>
      </c>
      <c r="H4503" t="str">
        <f>"LEA201908138535"</f>
        <v>LEA201908138535</v>
      </c>
      <c r="I4503" t="str">
        <f>"INSURANCE"</f>
        <v>INSURANCE</v>
      </c>
    </row>
    <row r="4504" spans="1:9" x14ac:dyDescent="0.25">
      <c r="A4504" s="6">
        <v>43712</v>
      </c>
      <c r="B4504" t="s">
        <v>91</v>
      </c>
      <c r="C4504">
        <v>61903</v>
      </c>
      <c r="D4504" t="s">
        <v>95</v>
      </c>
      <c r="E4504" s="7">
        <v>59.98</v>
      </c>
      <c r="F4504" t="s">
        <v>20</v>
      </c>
      <c r="G4504" t="s">
        <v>21</v>
      </c>
      <c r="H4504" t="str">
        <f>"LEA201908278536"</f>
        <v>LEA201908278536</v>
      </c>
      <c r="I4504" t="str">
        <f>"INSURANCE"</f>
        <v>INSURANCE</v>
      </c>
    </row>
    <row r="4505" spans="1:9" x14ac:dyDescent="0.25">
      <c r="A4505" s="6">
        <v>43712</v>
      </c>
      <c r="B4505" t="s">
        <v>91</v>
      </c>
      <c r="C4505">
        <v>61903</v>
      </c>
      <c r="D4505" t="s">
        <v>95</v>
      </c>
      <c r="E4505" s="7">
        <v>59.98</v>
      </c>
      <c r="F4505" t="s">
        <v>20</v>
      </c>
      <c r="G4505" t="s">
        <v>93</v>
      </c>
      <c r="H4505" t="str">
        <f>"CHECK"</f>
        <v>CHECK</v>
      </c>
      <c r="I4505" t="str">
        <f>""</f>
        <v/>
      </c>
    </row>
    <row r="4506" spans="1:9" x14ac:dyDescent="0.25">
      <c r="A4506" s="6">
        <v>43712</v>
      </c>
      <c r="B4506" t="s">
        <v>91</v>
      </c>
      <c r="C4506">
        <v>61904</v>
      </c>
      <c r="D4506" t="s">
        <v>96</v>
      </c>
      <c r="E4506" s="7">
        <v>229.82</v>
      </c>
      <c r="F4506" t="s">
        <v>20</v>
      </c>
      <c r="G4506" t="s">
        <v>21</v>
      </c>
      <c r="H4506" t="str">
        <f>"PPL201908138535"</f>
        <v>PPL201908138535</v>
      </c>
      <c r="I4506" t="str">
        <f>"INSURANCE"</f>
        <v>INSURANCE</v>
      </c>
    </row>
    <row r="4507" spans="1:9" x14ac:dyDescent="0.25">
      <c r="A4507" s="6">
        <v>43712</v>
      </c>
      <c r="B4507" t="s">
        <v>91</v>
      </c>
      <c r="C4507">
        <v>61904</v>
      </c>
      <c r="D4507" t="s">
        <v>96</v>
      </c>
      <c r="E4507" s="7">
        <v>229.82</v>
      </c>
      <c r="F4507" t="s">
        <v>20</v>
      </c>
      <c r="G4507" t="s">
        <v>21</v>
      </c>
      <c r="H4507" t="str">
        <f>"PPL201908278536"</f>
        <v>PPL201908278536</v>
      </c>
      <c r="I4507" t="str">
        <f>"INSURANCE"</f>
        <v>INSURANCE</v>
      </c>
    </row>
    <row r="4508" spans="1:9" x14ac:dyDescent="0.25">
      <c r="A4508" s="6">
        <v>43712</v>
      </c>
      <c r="B4508" t="s">
        <v>91</v>
      </c>
      <c r="C4508">
        <v>61904</v>
      </c>
      <c r="D4508" t="s">
        <v>96</v>
      </c>
      <c r="E4508" s="7">
        <v>229.82</v>
      </c>
      <c r="F4508" t="s">
        <v>20</v>
      </c>
      <c r="G4508" t="s">
        <v>93</v>
      </c>
      <c r="H4508" t="str">
        <f>"CHECK"</f>
        <v>CHECK</v>
      </c>
      <c r="I4508" t="str">
        <f>""</f>
        <v/>
      </c>
    </row>
    <row r="4509" spans="1:9" x14ac:dyDescent="0.25">
      <c r="A4509" s="6">
        <v>43712</v>
      </c>
      <c r="B4509" t="s">
        <v>26</v>
      </c>
      <c r="C4509">
        <v>61905</v>
      </c>
      <c r="D4509" t="s">
        <v>223</v>
      </c>
      <c r="E4509" s="7">
        <v>75</v>
      </c>
      <c r="F4509" t="s">
        <v>20</v>
      </c>
      <c r="G4509" t="s">
        <v>21</v>
      </c>
      <c r="H4509" t="str">
        <f>"9/2019-COUNCIL"</f>
        <v>9/2019-COUNCIL</v>
      </c>
      <c r="I4509" t="str">
        <f>""</f>
        <v/>
      </c>
    </row>
    <row r="4510" spans="1:9" x14ac:dyDescent="0.25">
      <c r="A4510" s="6">
        <v>43712</v>
      </c>
      <c r="B4510" t="s">
        <v>91</v>
      </c>
      <c r="C4510">
        <v>61906</v>
      </c>
      <c r="D4510" t="s">
        <v>97</v>
      </c>
      <c r="E4510" s="7">
        <v>58424.5</v>
      </c>
      <c r="F4510" t="s">
        <v>20</v>
      </c>
      <c r="G4510" t="s">
        <v>21</v>
      </c>
      <c r="H4510" t="str">
        <f>"DEN201908138535"</f>
        <v>DEN201908138535</v>
      </c>
      <c r="I4510" t="str">
        <f>"DENTAL INSURANCE"</f>
        <v>DENTAL INSURANCE</v>
      </c>
    </row>
    <row r="4511" spans="1:9" x14ac:dyDescent="0.25">
      <c r="A4511" s="6">
        <v>43712</v>
      </c>
      <c r="B4511" t="s">
        <v>91</v>
      </c>
      <c r="C4511">
        <v>61906</v>
      </c>
      <c r="D4511" t="s">
        <v>97</v>
      </c>
      <c r="E4511" s="7">
        <v>58424.5</v>
      </c>
      <c r="F4511" t="s">
        <v>20</v>
      </c>
      <c r="G4511" t="s">
        <v>21</v>
      </c>
      <c r="H4511" t="str">
        <f>"DEN201908278536"</f>
        <v>DEN201908278536</v>
      </c>
      <c r="I4511" t="str">
        <f>"DENTAL INSURANCE"</f>
        <v>DENTAL INSURANCE</v>
      </c>
    </row>
    <row r="4512" spans="1:9" x14ac:dyDescent="0.25">
      <c r="A4512" s="6">
        <v>43712</v>
      </c>
      <c r="B4512" t="s">
        <v>91</v>
      </c>
      <c r="C4512">
        <v>61906</v>
      </c>
      <c r="D4512" t="s">
        <v>97</v>
      </c>
      <c r="E4512" s="7">
        <v>58424.5</v>
      </c>
      <c r="F4512" t="s">
        <v>20</v>
      </c>
      <c r="G4512" t="s">
        <v>21</v>
      </c>
      <c r="H4512" t="str">
        <f>"MED201908138535"</f>
        <v>MED201908138535</v>
      </c>
      <c r="I4512" t="str">
        <f>"HEALTH &amp; DENTAL INSURANCE"</f>
        <v>HEALTH &amp; DENTAL INSURANCE</v>
      </c>
    </row>
    <row r="4513" spans="1:9" x14ac:dyDescent="0.25">
      <c r="A4513" s="6">
        <v>43712</v>
      </c>
      <c r="B4513" t="s">
        <v>91</v>
      </c>
      <c r="C4513">
        <v>61906</v>
      </c>
      <c r="D4513" t="s">
        <v>97</v>
      </c>
      <c r="E4513" s="7">
        <v>58424.5</v>
      </c>
      <c r="F4513" t="s">
        <v>20</v>
      </c>
      <c r="G4513" t="s">
        <v>21</v>
      </c>
      <c r="H4513" t="str">
        <f>"MED201908278536"</f>
        <v>MED201908278536</v>
      </c>
      <c r="I4513" t="str">
        <f>"HEALTH &amp; DENTAL INSURANCE"</f>
        <v>HEALTH &amp; DENTAL INSURANCE</v>
      </c>
    </row>
    <row r="4514" spans="1:9" x14ac:dyDescent="0.25">
      <c r="A4514" s="6">
        <v>43712</v>
      </c>
      <c r="B4514" t="s">
        <v>91</v>
      </c>
      <c r="C4514">
        <v>61906</v>
      </c>
      <c r="D4514" t="s">
        <v>97</v>
      </c>
      <c r="E4514" s="7">
        <v>58424.5</v>
      </c>
      <c r="F4514" t="s">
        <v>20</v>
      </c>
      <c r="G4514" t="s">
        <v>93</v>
      </c>
      <c r="H4514" t="str">
        <f>"CHECK"</f>
        <v>CHECK</v>
      </c>
      <c r="I4514" t="str">
        <f>""</f>
        <v/>
      </c>
    </row>
    <row r="4515" spans="1:9" x14ac:dyDescent="0.25">
      <c r="A4515" s="6">
        <v>43712</v>
      </c>
      <c r="B4515" t="s">
        <v>91</v>
      </c>
      <c r="C4515">
        <v>61910</v>
      </c>
      <c r="D4515" t="s">
        <v>98</v>
      </c>
      <c r="E4515" s="7">
        <v>3613.22</v>
      </c>
      <c r="F4515" t="s">
        <v>20</v>
      </c>
      <c r="G4515" t="s">
        <v>21</v>
      </c>
      <c r="H4515" t="str">
        <f>"STD201908138535"</f>
        <v>STD201908138535</v>
      </c>
      <c r="I4515" t="str">
        <f>"SHORT TERM DISABILITY"</f>
        <v>SHORT TERM DISABILITY</v>
      </c>
    </row>
    <row r="4516" spans="1:9" x14ac:dyDescent="0.25">
      <c r="A4516" s="6">
        <v>43712</v>
      </c>
      <c r="B4516" t="s">
        <v>91</v>
      </c>
      <c r="C4516">
        <v>61910</v>
      </c>
      <c r="D4516" t="s">
        <v>98</v>
      </c>
      <c r="E4516" s="7">
        <v>3613.22</v>
      </c>
      <c r="F4516" t="s">
        <v>20</v>
      </c>
      <c r="G4516" t="s">
        <v>21</v>
      </c>
      <c r="H4516" t="str">
        <f>"STD201908278536"</f>
        <v>STD201908278536</v>
      </c>
      <c r="I4516" t="str">
        <f>"SHORT TERM DISABILITY"</f>
        <v>SHORT TERM DISABILITY</v>
      </c>
    </row>
    <row r="4517" spans="1:9" x14ac:dyDescent="0.25">
      <c r="A4517" s="6">
        <v>43712</v>
      </c>
      <c r="B4517" t="s">
        <v>91</v>
      </c>
      <c r="C4517">
        <v>61910</v>
      </c>
      <c r="D4517" t="s">
        <v>98</v>
      </c>
      <c r="E4517" s="7">
        <v>3613.22</v>
      </c>
      <c r="F4517" t="s">
        <v>20</v>
      </c>
      <c r="G4517" t="s">
        <v>21</v>
      </c>
      <c r="H4517" t="str">
        <f>"VIS201908138535"</f>
        <v>VIS201908138535</v>
      </c>
      <c r="I4517" t="str">
        <f>"VISION INSURANCE"</f>
        <v>VISION INSURANCE</v>
      </c>
    </row>
    <row r="4518" spans="1:9" x14ac:dyDescent="0.25">
      <c r="A4518" s="6">
        <v>43712</v>
      </c>
      <c r="B4518" t="s">
        <v>91</v>
      </c>
      <c r="C4518">
        <v>61910</v>
      </c>
      <c r="D4518" t="s">
        <v>98</v>
      </c>
      <c r="E4518" s="7">
        <v>3613.22</v>
      </c>
      <c r="F4518" t="s">
        <v>20</v>
      </c>
      <c r="G4518" t="s">
        <v>21</v>
      </c>
      <c r="H4518" t="str">
        <f>"VIS201908278536"</f>
        <v>VIS201908278536</v>
      </c>
      <c r="I4518" t="str">
        <f>"VISION INSURANCE"</f>
        <v>VISION INSURANCE</v>
      </c>
    </row>
    <row r="4519" spans="1:9" x14ac:dyDescent="0.25">
      <c r="A4519" s="6">
        <v>43712</v>
      </c>
      <c r="B4519" t="s">
        <v>91</v>
      </c>
      <c r="C4519">
        <v>61910</v>
      </c>
      <c r="D4519" t="s">
        <v>98</v>
      </c>
      <c r="E4519" s="7">
        <v>3613.22</v>
      </c>
      <c r="F4519" t="s">
        <v>20</v>
      </c>
      <c r="G4519" t="s">
        <v>21</v>
      </c>
      <c r="H4519" t="str">
        <f>"VLC201908138535"</f>
        <v>VLC201908138535</v>
      </c>
      <c r="I4519" t="str">
        <f>"CHILD LIFE INSURANCE"</f>
        <v>CHILD LIFE INSURANCE</v>
      </c>
    </row>
    <row r="4520" spans="1:9" x14ac:dyDescent="0.25">
      <c r="A4520" s="6">
        <v>43712</v>
      </c>
      <c r="B4520" t="s">
        <v>91</v>
      </c>
      <c r="C4520">
        <v>61910</v>
      </c>
      <c r="D4520" t="s">
        <v>98</v>
      </c>
      <c r="E4520" s="7">
        <v>3613.22</v>
      </c>
      <c r="F4520" t="s">
        <v>20</v>
      </c>
      <c r="G4520" t="s">
        <v>21</v>
      </c>
      <c r="H4520" t="str">
        <f>"VLC201908278536"</f>
        <v>VLC201908278536</v>
      </c>
      <c r="I4520" t="str">
        <f>"CHILD LIFE INSURANCE"</f>
        <v>CHILD LIFE INSURANCE</v>
      </c>
    </row>
    <row r="4521" spans="1:9" x14ac:dyDescent="0.25">
      <c r="A4521" s="6">
        <v>43712</v>
      </c>
      <c r="B4521" t="s">
        <v>91</v>
      </c>
      <c r="C4521">
        <v>61910</v>
      </c>
      <c r="D4521" t="s">
        <v>98</v>
      </c>
      <c r="E4521" s="7">
        <v>3613.22</v>
      </c>
      <c r="F4521" t="s">
        <v>20</v>
      </c>
      <c r="G4521" t="s">
        <v>21</v>
      </c>
      <c r="H4521" t="str">
        <f>"VLS201908138535"</f>
        <v>VLS201908138535</v>
      </c>
      <c r="I4521" t="str">
        <f>"SPOUSE LIFE"</f>
        <v>SPOUSE LIFE</v>
      </c>
    </row>
    <row r="4522" spans="1:9" x14ac:dyDescent="0.25">
      <c r="A4522" s="6">
        <v>43712</v>
      </c>
      <c r="B4522" t="s">
        <v>91</v>
      </c>
      <c r="C4522">
        <v>61910</v>
      </c>
      <c r="D4522" t="s">
        <v>98</v>
      </c>
      <c r="E4522" s="7">
        <v>3613.22</v>
      </c>
      <c r="F4522" t="s">
        <v>20</v>
      </c>
      <c r="G4522" t="s">
        <v>21</v>
      </c>
      <c r="H4522" t="str">
        <f>"VLS201908278536"</f>
        <v>VLS201908278536</v>
      </c>
      <c r="I4522" t="str">
        <f>"SPOUSE LIFE"</f>
        <v>SPOUSE LIFE</v>
      </c>
    </row>
    <row r="4523" spans="1:9" x14ac:dyDescent="0.25">
      <c r="A4523" s="6">
        <v>43712</v>
      </c>
      <c r="B4523" t="s">
        <v>91</v>
      </c>
      <c r="C4523">
        <v>61910</v>
      </c>
      <c r="D4523" t="s">
        <v>98</v>
      </c>
      <c r="E4523" s="7">
        <v>3613.22</v>
      </c>
      <c r="F4523" t="s">
        <v>20</v>
      </c>
      <c r="G4523" t="s">
        <v>21</v>
      </c>
      <c r="H4523" t="str">
        <f>"VOE201908138535"</f>
        <v>VOE201908138535</v>
      </c>
      <c r="I4523" t="str">
        <f>"EMPLOYEE LIFE"</f>
        <v>EMPLOYEE LIFE</v>
      </c>
    </row>
    <row r="4524" spans="1:9" x14ac:dyDescent="0.25">
      <c r="A4524" s="6">
        <v>43712</v>
      </c>
      <c r="B4524" t="s">
        <v>91</v>
      </c>
      <c r="C4524">
        <v>61910</v>
      </c>
      <c r="D4524" t="s">
        <v>98</v>
      </c>
      <c r="E4524" s="7">
        <v>3613.22</v>
      </c>
      <c r="F4524" t="s">
        <v>20</v>
      </c>
      <c r="G4524" t="s">
        <v>21</v>
      </c>
      <c r="H4524" t="str">
        <f>"VOE201908278536"</f>
        <v>VOE201908278536</v>
      </c>
      <c r="I4524" t="str">
        <f>"EMPLOYEE LIFE"</f>
        <v>EMPLOYEE LIFE</v>
      </c>
    </row>
    <row r="4525" spans="1:9" x14ac:dyDescent="0.25">
      <c r="A4525" s="6">
        <v>43712</v>
      </c>
      <c r="B4525" t="s">
        <v>91</v>
      </c>
      <c r="C4525">
        <v>61910</v>
      </c>
      <c r="D4525" t="s">
        <v>98</v>
      </c>
      <c r="E4525" s="7">
        <v>3613.22</v>
      </c>
      <c r="F4525" t="s">
        <v>20</v>
      </c>
      <c r="G4525" t="s">
        <v>21</v>
      </c>
      <c r="H4525" t="str">
        <f>"VOL201908138535"</f>
        <v>VOL201908138535</v>
      </c>
      <c r="I4525" t="str">
        <f>"LIFE"</f>
        <v>LIFE</v>
      </c>
    </row>
    <row r="4526" spans="1:9" x14ac:dyDescent="0.25">
      <c r="A4526" s="6">
        <v>43712</v>
      </c>
      <c r="B4526" t="s">
        <v>91</v>
      </c>
      <c r="C4526">
        <v>61910</v>
      </c>
      <c r="D4526" t="s">
        <v>98</v>
      </c>
      <c r="E4526" s="7">
        <v>3613.22</v>
      </c>
      <c r="F4526" t="s">
        <v>20</v>
      </c>
      <c r="G4526" t="s">
        <v>21</v>
      </c>
      <c r="H4526" t="str">
        <f>"VOL201908278536"</f>
        <v>VOL201908278536</v>
      </c>
      <c r="I4526" t="str">
        <f>"LIFE"</f>
        <v>LIFE</v>
      </c>
    </row>
    <row r="4527" spans="1:9" x14ac:dyDescent="0.25">
      <c r="A4527" s="6">
        <v>43712</v>
      </c>
      <c r="B4527" t="s">
        <v>91</v>
      </c>
      <c r="C4527">
        <v>61910</v>
      </c>
      <c r="D4527" t="s">
        <v>98</v>
      </c>
      <c r="E4527" s="7">
        <v>3613.22</v>
      </c>
      <c r="F4527" t="s">
        <v>20</v>
      </c>
      <c r="G4527" t="s">
        <v>93</v>
      </c>
      <c r="H4527" t="str">
        <f>"CHECK"</f>
        <v>CHECK</v>
      </c>
      <c r="I4527" t="str">
        <f>""</f>
        <v/>
      </c>
    </row>
    <row r="4528" spans="1:9" x14ac:dyDescent="0.25">
      <c r="A4528" s="6">
        <v>43712</v>
      </c>
      <c r="B4528" t="s">
        <v>26</v>
      </c>
      <c r="C4528">
        <v>61918</v>
      </c>
      <c r="D4528" t="s">
        <v>36</v>
      </c>
      <c r="E4528" s="7">
        <v>75</v>
      </c>
      <c r="F4528" t="s">
        <v>20</v>
      </c>
      <c r="G4528" t="s">
        <v>21</v>
      </c>
      <c r="H4528" t="str">
        <f>"9/2019-COUNCIL"</f>
        <v>9/2019-COUNCIL</v>
      </c>
      <c r="I4528" t="str">
        <f>""</f>
        <v/>
      </c>
    </row>
    <row r="4529" spans="1:9" x14ac:dyDescent="0.25">
      <c r="A4529" s="6">
        <v>43712</v>
      </c>
      <c r="B4529" t="s">
        <v>26</v>
      </c>
      <c r="C4529">
        <v>61919</v>
      </c>
      <c r="D4529" t="s">
        <v>37</v>
      </c>
      <c r="E4529" s="7">
        <v>75</v>
      </c>
      <c r="F4529" t="s">
        <v>20</v>
      </c>
      <c r="G4529" t="s">
        <v>21</v>
      </c>
      <c r="H4529" t="str">
        <f>"9/2019-COUNCIL"</f>
        <v>9/2019-COUNCIL</v>
      </c>
      <c r="I4529" t="str">
        <f>""</f>
        <v/>
      </c>
    </row>
    <row r="4530" spans="1:9" x14ac:dyDescent="0.25">
      <c r="A4530" s="6">
        <v>43712</v>
      </c>
      <c r="B4530" t="s">
        <v>26</v>
      </c>
      <c r="C4530">
        <v>61920</v>
      </c>
      <c r="D4530" t="s">
        <v>38</v>
      </c>
      <c r="E4530" s="7">
        <v>100</v>
      </c>
      <c r="F4530" t="s">
        <v>20</v>
      </c>
      <c r="G4530" t="s">
        <v>21</v>
      </c>
      <c r="H4530" t="str">
        <f>"9/2019-MAYOR"</f>
        <v>9/2019-MAYOR</v>
      </c>
      <c r="I4530" t="str">
        <f>""</f>
        <v/>
      </c>
    </row>
    <row r="4531" spans="1:9" x14ac:dyDescent="0.25">
      <c r="A4531" s="6">
        <v>43712</v>
      </c>
      <c r="B4531" t="s">
        <v>26</v>
      </c>
      <c r="C4531">
        <v>61921</v>
      </c>
      <c r="D4531" t="s">
        <v>558</v>
      </c>
      <c r="E4531" s="7">
        <v>75</v>
      </c>
      <c r="F4531" t="s">
        <v>20</v>
      </c>
      <c r="G4531" t="s">
        <v>21</v>
      </c>
      <c r="H4531" t="str">
        <f>"9/2019-COUNCIL"</f>
        <v>9/2019-COUNCIL</v>
      </c>
      <c r="I4531" t="str">
        <f>"SALARIES"</f>
        <v>SALARIES</v>
      </c>
    </row>
    <row r="4532" spans="1:9" x14ac:dyDescent="0.25">
      <c r="A4532" s="6">
        <v>43713</v>
      </c>
      <c r="B4532" t="s">
        <v>26</v>
      </c>
      <c r="C4532">
        <v>61922</v>
      </c>
      <c r="D4532" t="s">
        <v>143</v>
      </c>
      <c r="E4532" s="7">
        <v>490</v>
      </c>
      <c r="F4532" t="s">
        <v>20</v>
      </c>
      <c r="G4532" t="s">
        <v>21</v>
      </c>
      <c r="H4532" t="str">
        <f>"9402098940"</f>
        <v>9402098940</v>
      </c>
      <c r="I4532" t="str">
        <f>"OIL FOR PARKING LOT"</f>
        <v>OIL FOR PARKING LOT</v>
      </c>
    </row>
    <row r="4533" spans="1:9" x14ac:dyDescent="0.25">
      <c r="A4533" s="6">
        <v>43713</v>
      </c>
      <c r="B4533" t="s">
        <v>26</v>
      </c>
      <c r="C4533">
        <v>61923</v>
      </c>
      <c r="D4533" t="s">
        <v>59</v>
      </c>
      <c r="E4533" s="7">
        <v>1551</v>
      </c>
      <c r="F4533" t="s">
        <v>20</v>
      </c>
      <c r="G4533" t="s">
        <v>21</v>
      </c>
      <c r="H4533" t="str">
        <f>"1028997"</f>
        <v>1028997</v>
      </c>
      <c r="I4533" t="str">
        <f>"WATER PIPES AND FITTINGS"</f>
        <v>WATER PIPES AND FITTINGS</v>
      </c>
    </row>
    <row r="4534" spans="1:9" x14ac:dyDescent="0.25">
      <c r="A4534" s="6">
        <v>43713</v>
      </c>
      <c r="B4534" t="s">
        <v>26</v>
      </c>
      <c r="C4534">
        <v>61923</v>
      </c>
      <c r="D4534" t="s">
        <v>59</v>
      </c>
      <c r="E4534" s="7">
        <v>1551</v>
      </c>
      <c r="F4534" t="s">
        <v>20</v>
      </c>
      <c r="G4534" t="s">
        <v>21</v>
      </c>
      <c r="H4534" t="str">
        <f>"1030524"</f>
        <v>1030524</v>
      </c>
      <c r="I4534" t="str">
        <f>"WATER EMERGENCY PARTS"</f>
        <v>WATER EMERGENCY PARTS</v>
      </c>
    </row>
    <row r="4535" spans="1:9" x14ac:dyDescent="0.25">
      <c r="A4535" s="6">
        <v>43713</v>
      </c>
      <c r="B4535" t="s">
        <v>26</v>
      </c>
      <c r="C4535">
        <v>61924</v>
      </c>
      <c r="D4535" t="s">
        <v>273</v>
      </c>
      <c r="E4535" s="7">
        <v>2335.39</v>
      </c>
      <c r="F4535" t="s">
        <v>20</v>
      </c>
      <c r="G4535" t="s">
        <v>21</v>
      </c>
      <c r="H4535" t="str">
        <f>"5119-000089838"</f>
        <v>5119-000089838</v>
      </c>
      <c r="I4535" t="str">
        <f>"REPUBLIC SERVICES TESSMAN ROAD"</f>
        <v>REPUBLIC SERVICES TESSMAN ROAD</v>
      </c>
    </row>
    <row r="4536" spans="1:9" x14ac:dyDescent="0.25">
      <c r="A4536" s="6">
        <v>43713</v>
      </c>
      <c r="B4536" t="s">
        <v>26</v>
      </c>
      <c r="C4536">
        <v>61925</v>
      </c>
      <c r="D4536" t="s">
        <v>108</v>
      </c>
      <c r="E4536" s="7">
        <v>2435.58</v>
      </c>
      <c r="F4536" t="s">
        <v>20</v>
      </c>
      <c r="G4536" t="s">
        <v>21</v>
      </c>
      <c r="H4536" t="str">
        <f>"041295630228"</f>
        <v>041295630228</v>
      </c>
      <c r="I4536" t="str">
        <f>"POOLSURE"</f>
        <v>POOLSURE</v>
      </c>
    </row>
    <row r="4537" spans="1:9" x14ac:dyDescent="0.25">
      <c r="A4537" s="6">
        <v>43713</v>
      </c>
      <c r="B4537" t="s">
        <v>91</v>
      </c>
      <c r="C4537">
        <v>61926</v>
      </c>
      <c r="D4537" t="s">
        <v>801</v>
      </c>
      <c r="E4537" s="7">
        <v>1092</v>
      </c>
      <c r="F4537" t="s">
        <v>20</v>
      </c>
      <c r="G4537" t="s">
        <v>21</v>
      </c>
      <c r="H4537" t="str">
        <f>"PERMIT REFUND 9/19"</f>
        <v>PERMIT REFUND 9/19</v>
      </c>
      <c r="I4537" t="str">
        <f>"REFUND"</f>
        <v>REFUND</v>
      </c>
    </row>
    <row r="4538" spans="1:9" x14ac:dyDescent="0.25">
      <c r="A4538" s="6">
        <v>43713</v>
      </c>
      <c r="B4538" t="s">
        <v>91</v>
      </c>
      <c r="C4538">
        <v>61926</v>
      </c>
      <c r="D4538" t="s">
        <v>802</v>
      </c>
      <c r="E4538" s="7">
        <v>1092</v>
      </c>
      <c r="F4538" t="s">
        <v>20</v>
      </c>
      <c r="G4538" t="s">
        <v>93</v>
      </c>
      <c r="H4538" t="str">
        <f>"CHECK"</f>
        <v>CHECK</v>
      </c>
      <c r="I4538" t="str">
        <f>""</f>
        <v/>
      </c>
    </row>
    <row r="4539" spans="1:9" x14ac:dyDescent="0.25">
      <c r="A4539" s="6">
        <v>43713</v>
      </c>
      <c r="B4539" t="s">
        <v>91</v>
      </c>
      <c r="C4539">
        <v>61927</v>
      </c>
      <c r="D4539" t="s">
        <v>0</v>
      </c>
      <c r="E4539" s="7">
        <v>144</v>
      </c>
      <c r="F4539" t="s">
        <v>20</v>
      </c>
      <c r="G4539" t="s">
        <v>21</v>
      </c>
      <c r="H4539" t="str">
        <f>"A.MARTINEZ 9/5/19"</f>
        <v>A.MARTINEZ 9/5/19</v>
      </c>
      <c r="I4539" t="str">
        <f>"CITY OF FLORESVILLE"</f>
        <v>CITY OF FLORESVILLE</v>
      </c>
    </row>
    <row r="4540" spans="1:9" x14ac:dyDescent="0.25">
      <c r="A4540" s="6">
        <v>43713</v>
      </c>
      <c r="B4540" t="s">
        <v>91</v>
      </c>
      <c r="C4540">
        <v>61927</v>
      </c>
      <c r="D4540" t="s">
        <v>0</v>
      </c>
      <c r="E4540" s="7">
        <v>144</v>
      </c>
      <c r="F4540" t="s">
        <v>20</v>
      </c>
      <c r="G4540" t="s">
        <v>93</v>
      </c>
      <c r="H4540" t="str">
        <f>"CHECK"</f>
        <v>CHECK</v>
      </c>
      <c r="I4540" t="str">
        <f>""</f>
        <v/>
      </c>
    </row>
    <row r="4541" spans="1:9" x14ac:dyDescent="0.25">
      <c r="A4541" s="6">
        <v>43713</v>
      </c>
      <c r="B4541" t="s">
        <v>26</v>
      </c>
      <c r="C4541">
        <v>61928</v>
      </c>
      <c r="D4541" t="s">
        <v>184</v>
      </c>
      <c r="E4541" s="7">
        <v>1034</v>
      </c>
      <c r="F4541" t="s">
        <v>20</v>
      </c>
      <c r="G4541" t="s">
        <v>21</v>
      </c>
      <c r="H4541" t="str">
        <f>"1056-001"</f>
        <v>1056-001</v>
      </c>
      <c r="I4541" t="str">
        <f>"POLLUTION CONTROL SERVICES"</f>
        <v>POLLUTION CONTROL SERVICES</v>
      </c>
    </row>
    <row r="4542" spans="1:9" x14ac:dyDescent="0.25">
      <c r="A4542" s="6">
        <v>43713</v>
      </c>
      <c r="B4542" t="s">
        <v>26</v>
      </c>
      <c r="C4542">
        <v>61929</v>
      </c>
      <c r="D4542" t="s">
        <v>115</v>
      </c>
      <c r="E4542" s="7">
        <v>170.98</v>
      </c>
      <c r="F4542" t="s">
        <v>20</v>
      </c>
      <c r="G4542" t="s">
        <v>21</v>
      </c>
      <c r="H4542" t="str">
        <f>"3547496110"</f>
        <v>3547496110</v>
      </c>
      <c r="I4542" t="str">
        <f>"DUMP TRUCK REPAIR"</f>
        <v>DUMP TRUCK REPAIR</v>
      </c>
    </row>
    <row r="4543" spans="1:9" x14ac:dyDescent="0.25">
      <c r="A4543" s="6">
        <v>43713</v>
      </c>
      <c r="B4543" t="s">
        <v>26</v>
      </c>
      <c r="C4543">
        <v>61929</v>
      </c>
      <c r="D4543" t="s">
        <v>115</v>
      </c>
      <c r="E4543" s="7">
        <v>170.98</v>
      </c>
      <c r="F4543" t="s">
        <v>20</v>
      </c>
      <c r="G4543" t="s">
        <v>21</v>
      </c>
      <c r="H4543" t="str">
        <f>"3547496726"</f>
        <v>3547496726</v>
      </c>
      <c r="I4543" t="str">
        <f>"ALTERNATOR UNIT #328"</f>
        <v>ALTERNATOR UNIT #328</v>
      </c>
    </row>
    <row r="4544" spans="1:9" x14ac:dyDescent="0.25">
      <c r="A4544" s="6">
        <v>43713</v>
      </c>
      <c r="B4544" t="s">
        <v>26</v>
      </c>
      <c r="C4544">
        <v>61930</v>
      </c>
      <c r="D4544" t="s">
        <v>63</v>
      </c>
      <c r="E4544" s="7">
        <v>78.19</v>
      </c>
      <c r="F4544" t="s">
        <v>20</v>
      </c>
      <c r="G4544" t="s">
        <v>21</v>
      </c>
      <c r="H4544" t="str">
        <f>"8404269423"</f>
        <v>8404269423</v>
      </c>
      <c r="I4544" t="str">
        <f>"CINTAS CORPORATION"</f>
        <v>CINTAS CORPORATION</v>
      </c>
    </row>
    <row r="4545" spans="1:9" x14ac:dyDescent="0.25">
      <c r="A4545" s="6">
        <v>43713</v>
      </c>
      <c r="B4545" t="s">
        <v>26</v>
      </c>
      <c r="C4545">
        <v>61931</v>
      </c>
      <c r="D4545" t="s">
        <v>64</v>
      </c>
      <c r="E4545" s="7">
        <v>3982</v>
      </c>
      <c r="F4545" t="s">
        <v>20</v>
      </c>
      <c r="G4545" t="s">
        <v>21</v>
      </c>
      <c r="H4545" t="str">
        <f>"7912"</f>
        <v>7912</v>
      </c>
      <c r="I4545" t="str">
        <f>"DREWA DESIGNS  INC."</f>
        <v>DREWA DESIGNS  INC.</v>
      </c>
    </row>
    <row r="4546" spans="1:9" x14ac:dyDescent="0.25">
      <c r="A4546" s="6">
        <v>43713</v>
      </c>
      <c r="B4546" t="s">
        <v>26</v>
      </c>
      <c r="C4546">
        <v>61932</v>
      </c>
      <c r="D4546" t="s">
        <v>66</v>
      </c>
      <c r="E4546" s="7">
        <v>3335.31</v>
      </c>
      <c r="F4546" t="s">
        <v>20</v>
      </c>
      <c r="G4546" t="s">
        <v>21</v>
      </c>
      <c r="H4546" t="str">
        <f>"56193"</f>
        <v>56193</v>
      </c>
      <c r="I4546" t="str">
        <f>"LOPEZ EXTERMINATING SERVICE  I"</f>
        <v>LOPEZ EXTERMINATING SERVICE  I</v>
      </c>
    </row>
    <row r="4547" spans="1:9" x14ac:dyDescent="0.25">
      <c r="A4547" s="6">
        <v>43713</v>
      </c>
      <c r="B4547" t="s">
        <v>26</v>
      </c>
      <c r="C4547">
        <v>61932</v>
      </c>
      <c r="D4547" t="s">
        <v>66</v>
      </c>
      <c r="E4547" s="7">
        <v>3335.31</v>
      </c>
      <c r="F4547" t="s">
        <v>20</v>
      </c>
      <c r="G4547" t="s">
        <v>21</v>
      </c>
      <c r="H4547" t="str">
        <f>"56267"</f>
        <v>56267</v>
      </c>
      <c r="I4547" t="str">
        <f>"LOPEZ EXTERMINATING SERVICE  I"</f>
        <v>LOPEZ EXTERMINATING SERVICE  I</v>
      </c>
    </row>
    <row r="4548" spans="1:9" x14ac:dyDescent="0.25">
      <c r="A4548" s="6">
        <v>43713</v>
      </c>
      <c r="B4548" t="s">
        <v>26</v>
      </c>
      <c r="C4548">
        <v>61933</v>
      </c>
      <c r="D4548" t="s">
        <v>254</v>
      </c>
      <c r="E4548" s="7">
        <v>1525.68</v>
      </c>
      <c r="F4548" t="s">
        <v>20</v>
      </c>
      <c r="G4548" t="s">
        <v>21</v>
      </c>
      <c r="H4548" t="str">
        <f>"042819 QRT 2/18"</f>
        <v>042819 QRT 2/18</v>
      </c>
      <c r="I4548" t="str">
        <f>"TEXAS WORKFORCE COMMISSION"</f>
        <v>TEXAS WORKFORCE COMMISSION</v>
      </c>
    </row>
    <row r="4549" spans="1:9" x14ac:dyDescent="0.25">
      <c r="A4549" s="6">
        <v>43713</v>
      </c>
      <c r="B4549" t="s">
        <v>26</v>
      </c>
      <c r="C4549">
        <v>61934</v>
      </c>
      <c r="D4549" t="s">
        <v>301</v>
      </c>
      <c r="E4549" s="7">
        <v>366.21</v>
      </c>
      <c r="F4549" t="s">
        <v>20</v>
      </c>
      <c r="G4549" t="s">
        <v>21</v>
      </c>
      <c r="H4549" t="str">
        <f>"1784033"</f>
        <v>1784033</v>
      </c>
      <c r="I4549" t="str">
        <f>"UNIT #404 REPAIR"</f>
        <v>UNIT #404 REPAIR</v>
      </c>
    </row>
    <row r="4550" spans="1:9" x14ac:dyDescent="0.25">
      <c r="A4550" s="6">
        <v>43713</v>
      </c>
      <c r="B4550" t="s">
        <v>26</v>
      </c>
      <c r="C4550">
        <v>61935</v>
      </c>
      <c r="D4550" t="s">
        <v>95</v>
      </c>
      <c r="E4550" s="7">
        <v>64.959999999999994</v>
      </c>
      <c r="F4550" t="s">
        <v>20</v>
      </c>
      <c r="G4550" t="s">
        <v>21</v>
      </c>
      <c r="H4550" t="str">
        <f>"SEPT 2019"</f>
        <v>SEPT 2019</v>
      </c>
      <c r="I4550" t="str">
        <f>"LEGAL PLANS"</f>
        <v>LEGAL PLANS</v>
      </c>
    </row>
    <row r="4551" spans="1:9" x14ac:dyDescent="0.25">
      <c r="A4551" s="6">
        <v>43713</v>
      </c>
      <c r="B4551" t="s">
        <v>26</v>
      </c>
      <c r="C4551">
        <v>61936</v>
      </c>
      <c r="D4551" t="s">
        <v>69</v>
      </c>
      <c r="E4551" s="7">
        <v>560.23</v>
      </c>
      <c r="F4551" t="s">
        <v>20</v>
      </c>
      <c r="G4551" t="s">
        <v>21</v>
      </c>
      <c r="H4551" t="str">
        <f>"3300850"</f>
        <v>3300850</v>
      </c>
      <c r="I4551" t="str">
        <f>"AXLE ASSY"</f>
        <v>AXLE ASSY</v>
      </c>
    </row>
    <row r="4552" spans="1:9" x14ac:dyDescent="0.25">
      <c r="A4552" s="6">
        <v>43713</v>
      </c>
      <c r="B4552" t="s">
        <v>26</v>
      </c>
      <c r="C4552">
        <v>61936</v>
      </c>
      <c r="D4552" t="s">
        <v>69</v>
      </c>
      <c r="E4552" s="7">
        <v>560.23</v>
      </c>
      <c r="F4552" t="s">
        <v>20</v>
      </c>
      <c r="G4552" t="s">
        <v>21</v>
      </c>
      <c r="H4552" t="str">
        <f>"3301087"</f>
        <v>3301087</v>
      </c>
      <c r="I4552" t="str">
        <f>"OIL FOR SHREDDER"</f>
        <v>OIL FOR SHREDDER</v>
      </c>
    </row>
    <row r="4553" spans="1:9" x14ac:dyDescent="0.25">
      <c r="A4553" s="6">
        <v>43713</v>
      </c>
      <c r="B4553" t="s">
        <v>26</v>
      </c>
      <c r="C4553">
        <v>61937</v>
      </c>
      <c r="D4553" t="s">
        <v>96</v>
      </c>
      <c r="E4553" s="7">
        <v>352.65</v>
      </c>
      <c r="F4553" t="s">
        <v>20</v>
      </c>
      <c r="G4553" t="s">
        <v>21</v>
      </c>
      <c r="H4553" t="str">
        <f>"SEPT 2019"</f>
        <v>SEPT 2019</v>
      </c>
      <c r="I4553" t="str">
        <f>"LEGALSHIELD"</f>
        <v>LEGALSHIELD</v>
      </c>
    </row>
    <row r="4554" spans="1:9" x14ac:dyDescent="0.25">
      <c r="A4554" s="6">
        <v>43713</v>
      </c>
      <c r="B4554" t="s">
        <v>26</v>
      </c>
      <c r="C4554">
        <v>61938</v>
      </c>
      <c r="D4554" t="s">
        <v>71</v>
      </c>
      <c r="E4554" s="7">
        <v>543.15</v>
      </c>
      <c r="F4554" t="s">
        <v>20</v>
      </c>
      <c r="G4554" t="s">
        <v>21</v>
      </c>
      <c r="H4554" t="str">
        <f>"4029141973"</f>
        <v>4029141973</v>
      </c>
      <c r="I4554" t="str">
        <f>"CINTAS CORPORATION #087"</f>
        <v>CINTAS CORPORATION #087</v>
      </c>
    </row>
    <row r="4555" spans="1:9" x14ac:dyDescent="0.25">
      <c r="A4555" s="6">
        <v>43713</v>
      </c>
      <c r="B4555" t="s">
        <v>26</v>
      </c>
      <c r="C4555">
        <v>61938</v>
      </c>
      <c r="D4555" t="s">
        <v>71</v>
      </c>
      <c r="E4555" s="7">
        <v>543.15</v>
      </c>
      <c r="F4555" t="s">
        <v>20</v>
      </c>
      <c r="G4555" t="s">
        <v>21</v>
      </c>
      <c r="H4555" t="str">
        <f>"4029142073"</f>
        <v>4029142073</v>
      </c>
      <c r="I4555" t="str">
        <f>"CINTAS CORPORATION #087"</f>
        <v>CINTAS CORPORATION #087</v>
      </c>
    </row>
    <row r="4556" spans="1:9" x14ac:dyDescent="0.25">
      <c r="A4556" s="6">
        <v>43713</v>
      </c>
      <c r="B4556" t="s">
        <v>26</v>
      </c>
      <c r="C4556">
        <v>61938</v>
      </c>
      <c r="D4556" t="s">
        <v>71</v>
      </c>
      <c r="E4556" s="7">
        <v>543.15</v>
      </c>
      <c r="F4556" t="s">
        <v>20</v>
      </c>
      <c r="G4556" t="s">
        <v>21</v>
      </c>
      <c r="H4556" t="str">
        <f>"4029142182"</f>
        <v>4029142182</v>
      </c>
      <c r="I4556" t="str">
        <f>"CINTAS CORPORATION #087"</f>
        <v>CINTAS CORPORATION #087</v>
      </c>
    </row>
    <row r="4557" spans="1:9" x14ac:dyDescent="0.25">
      <c r="A4557" s="6">
        <v>43713</v>
      </c>
      <c r="B4557" t="s">
        <v>26</v>
      </c>
      <c r="C4557">
        <v>61938</v>
      </c>
      <c r="D4557" t="s">
        <v>71</v>
      </c>
      <c r="E4557" s="7">
        <v>543.15</v>
      </c>
      <c r="F4557" t="s">
        <v>20</v>
      </c>
      <c r="G4557" t="s">
        <v>21</v>
      </c>
      <c r="H4557" t="str">
        <f>"4029142243"</f>
        <v>4029142243</v>
      </c>
      <c r="I4557" t="str">
        <f>"CINTAS CORPORATION #087"</f>
        <v>CINTAS CORPORATION #087</v>
      </c>
    </row>
    <row r="4558" spans="1:9" x14ac:dyDescent="0.25">
      <c r="A4558" s="6">
        <v>43713</v>
      </c>
      <c r="B4558" t="s">
        <v>26</v>
      </c>
      <c r="C4558">
        <v>61939</v>
      </c>
      <c r="D4558" t="s">
        <v>122</v>
      </c>
      <c r="E4558" s="7">
        <v>358</v>
      </c>
      <c r="F4558" t="s">
        <v>20</v>
      </c>
      <c r="G4558" t="s">
        <v>21</v>
      </c>
      <c r="H4558" t="str">
        <f>"880412"</f>
        <v>880412</v>
      </c>
      <c r="I4558" t="str">
        <f t="shared" ref="I4558:I4563" si="90">"VILLA TIRES"</f>
        <v>VILLA TIRES</v>
      </c>
    </row>
    <row r="4559" spans="1:9" x14ac:dyDescent="0.25">
      <c r="A4559" s="6">
        <v>43713</v>
      </c>
      <c r="B4559" t="s">
        <v>26</v>
      </c>
      <c r="C4559">
        <v>61939</v>
      </c>
      <c r="D4559" t="s">
        <v>122</v>
      </c>
      <c r="E4559" s="7">
        <v>358</v>
      </c>
      <c r="F4559" t="s">
        <v>20</v>
      </c>
      <c r="G4559" t="s">
        <v>21</v>
      </c>
      <c r="H4559" t="str">
        <f>"880420"</f>
        <v>880420</v>
      </c>
      <c r="I4559" t="str">
        <f t="shared" si="90"/>
        <v>VILLA TIRES</v>
      </c>
    </row>
    <row r="4560" spans="1:9" x14ac:dyDescent="0.25">
      <c r="A4560" s="6">
        <v>43713</v>
      </c>
      <c r="B4560" t="s">
        <v>26</v>
      </c>
      <c r="C4560">
        <v>61939</v>
      </c>
      <c r="D4560" t="s">
        <v>122</v>
      </c>
      <c r="E4560" s="7">
        <v>358</v>
      </c>
      <c r="F4560" t="s">
        <v>20</v>
      </c>
      <c r="G4560" t="s">
        <v>21</v>
      </c>
      <c r="H4560" t="str">
        <f>"880423"</f>
        <v>880423</v>
      </c>
      <c r="I4560" t="str">
        <f t="shared" si="90"/>
        <v>VILLA TIRES</v>
      </c>
    </row>
    <row r="4561" spans="1:9" x14ac:dyDescent="0.25">
      <c r="A4561" s="6">
        <v>43713</v>
      </c>
      <c r="B4561" t="s">
        <v>26</v>
      </c>
      <c r="C4561">
        <v>61939</v>
      </c>
      <c r="D4561" t="s">
        <v>122</v>
      </c>
      <c r="E4561" s="7">
        <v>358</v>
      </c>
      <c r="F4561" t="s">
        <v>20</v>
      </c>
      <c r="G4561" t="s">
        <v>21</v>
      </c>
      <c r="H4561" t="str">
        <f>"880424"</f>
        <v>880424</v>
      </c>
      <c r="I4561" t="str">
        <f t="shared" si="90"/>
        <v>VILLA TIRES</v>
      </c>
    </row>
    <row r="4562" spans="1:9" x14ac:dyDescent="0.25">
      <c r="A4562" s="6">
        <v>43713</v>
      </c>
      <c r="B4562" t="s">
        <v>26</v>
      </c>
      <c r="C4562">
        <v>61939</v>
      </c>
      <c r="D4562" t="s">
        <v>122</v>
      </c>
      <c r="E4562" s="7">
        <v>358</v>
      </c>
      <c r="F4562" t="s">
        <v>20</v>
      </c>
      <c r="G4562" t="s">
        <v>21</v>
      </c>
      <c r="H4562" t="str">
        <f>"880441"</f>
        <v>880441</v>
      </c>
      <c r="I4562" t="str">
        <f t="shared" si="90"/>
        <v>VILLA TIRES</v>
      </c>
    </row>
    <row r="4563" spans="1:9" x14ac:dyDescent="0.25">
      <c r="A4563" s="6">
        <v>43713</v>
      </c>
      <c r="B4563" t="s">
        <v>26</v>
      </c>
      <c r="C4563">
        <v>61939</v>
      </c>
      <c r="D4563" t="s">
        <v>122</v>
      </c>
      <c r="E4563" s="7">
        <v>358</v>
      </c>
      <c r="F4563" t="s">
        <v>20</v>
      </c>
      <c r="G4563" t="s">
        <v>21</v>
      </c>
      <c r="H4563" t="str">
        <f>"880442"</f>
        <v>880442</v>
      </c>
      <c r="I4563" t="str">
        <f t="shared" si="90"/>
        <v>VILLA TIRES</v>
      </c>
    </row>
    <row r="4564" spans="1:9" x14ac:dyDescent="0.25">
      <c r="A4564" s="6">
        <v>43713</v>
      </c>
      <c r="B4564" t="s">
        <v>26</v>
      </c>
      <c r="C4564">
        <v>61939</v>
      </c>
      <c r="D4564" t="s">
        <v>122</v>
      </c>
      <c r="E4564" s="7">
        <v>358</v>
      </c>
      <c r="F4564" t="s">
        <v>20</v>
      </c>
      <c r="G4564" t="s">
        <v>21</v>
      </c>
      <c r="H4564" t="str">
        <f>"VARIOUS"</f>
        <v>VARIOUS</v>
      </c>
      <c r="I4564" t="str">
        <f>"TIRES"</f>
        <v>TIRES</v>
      </c>
    </row>
    <row r="4565" spans="1:9" x14ac:dyDescent="0.25">
      <c r="A4565" s="6">
        <v>43713</v>
      </c>
      <c r="B4565" t="s">
        <v>26</v>
      </c>
      <c r="C4565">
        <v>61941</v>
      </c>
      <c r="D4565" t="s">
        <v>74</v>
      </c>
      <c r="E4565" s="7">
        <v>92.44</v>
      </c>
      <c r="F4565" t="s">
        <v>20</v>
      </c>
      <c r="G4565" t="s">
        <v>21</v>
      </c>
      <c r="H4565" t="str">
        <f>"9836742750"</f>
        <v>9836742750</v>
      </c>
      <c r="I4565" t="str">
        <f>"VERIZON WIRELESS"</f>
        <v>VERIZON WIRELESS</v>
      </c>
    </row>
    <row r="4566" spans="1:9" x14ac:dyDescent="0.25">
      <c r="A4566" s="6">
        <v>43713</v>
      </c>
      <c r="B4566" t="s">
        <v>26</v>
      </c>
      <c r="C4566">
        <v>61942</v>
      </c>
      <c r="D4566" t="s">
        <v>803</v>
      </c>
      <c r="E4566" s="7">
        <v>200</v>
      </c>
      <c r="F4566" t="s">
        <v>20</v>
      </c>
      <c r="G4566" t="s">
        <v>21</v>
      </c>
      <c r="H4566" t="str">
        <f>"8/28/19"</f>
        <v>8/28/19</v>
      </c>
      <c r="I4566" t="str">
        <f>"EAGLE WRECKER SERVICE"</f>
        <v>EAGLE WRECKER SERVICE</v>
      </c>
    </row>
    <row r="4567" spans="1:9" x14ac:dyDescent="0.25">
      <c r="A4567" s="6">
        <v>43713</v>
      </c>
      <c r="B4567" t="s">
        <v>26</v>
      </c>
      <c r="C4567">
        <v>61943</v>
      </c>
      <c r="D4567" t="s">
        <v>123</v>
      </c>
      <c r="E4567" s="7">
        <v>210.64</v>
      </c>
      <c r="F4567" t="s">
        <v>20</v>
      </c>
      <c r="G4567" t="s">
        <v>21</v>
      </c>
      <c r="H4567" t="str">
        <f>"359512116001"</f>
        <v>359512116001</v>
      </c>
      <c r="I4567" t="str">
        <f>"OFFICE SUPPLIES"</f>
        <v>OFFICE SUPPLIES</v>
      </c>
    </row>
    <row r="4568" spans="1:9" x14ac:dyDescent="0.25">
      <c r="A4568" s="6">
        <v>43713</v>
      </c>
      <c r="B4568" t="s">
        <v>26</v>
      </c>
      <c r="C4568">
        <v>61943</v>
      </c>
      <c r="D4568" t="s">
        <v>123</v>
      </c>
      <c r="E4568" s="7">
        <v>210.64</v>
      </c>
      <c r="F4568" t="s">
        <v>20</v>
      </c>
      <c r="G4568" t="s">
        <v>21</v>
      </c>
      <c r="H4568" t="str">
        <f>"361535010001"</f>
        <v>361535010001</v>
      </c>
      <c r="I4568" t="str">
        <f>"OFFICE SUPPLIES"</f>
        <v>OFFICE SUPPLIES</v>
      </c>
    </row>
    <row r="4569" spans="1:9" x14ac:dyDescent="0.25">
      <c r="A4569" s="6">
        <v>43713</v>
      </c>
      <c r="B4569" t="s">
        <v>26</v>
      </c>
      <c r="C4569">
        <v>61944</v>
      </c>
      <c r="D4569" t="s">
        <v>124</v>
      </c>
      <c r="E4569" s="7">
        <v>55.9</v>
      </c>
      <c r="F4569" t="s">
        <v>20</v>
      </c>
      <c r="G4569" t="s">
        <v>21</v>
      </c>
      <c r="H4569" t="str">
        <f>"11176803"</f>
        <v>11176803</v>
      </c>
      <c r="I4569" t="str">
        <f>"ANT KILLER &amp; MATERIAL"</f>
        <v>ANT KILLER &amp; MATERIAL</v>
      </c>
    </row>
    <row r="4570" spans="1:9" x14ac:dyDescent="0.25">
      <c r="A4570" s="6">
        <v>43713</v>
      </c>
      <c r="B4570" t="s">
        <v>26</v>
      </c>
      <c r="C4570">
        <v>61945</v>
      </c>
      <c r="D4570" t="s">
        <v>160</v>
      </c>
      <c r="E4570" s="7">
        <v>268.89999999999998</v>
      </c>
      <c r="F4570" t="s">
        <v>20</v>
      </c>
      <c r="G4570" t="s">
        <v>21</v>
      </c>
      <c r="H4570" t="str">
        <f>"TRAINING SEPT 2019"</f>
        <v>TRAINING SEPT 2019</v>
      </c>
      <c r="I4570" t="str">
        <f>"MEALS/MILES 9-11-12-2019"</f>
        <v>MEALS/MILES 9-11-12-2019</v>
      </c>
    </row>
    <row r="4571" spans="1:9" x14ac:dyDescent="0.25">
      <c r="A4571" s="6">
        <v>43713</v>
      </c>
      <c r="B4571" t="s">
        <v>26</v>
      </c>
      <c r="C4571">
        <v>61946</v>
      </c>
      <c r="D4571" t="s">
        <v>79</v>
      </c>
      <c r="E4571" s="7">
        <v>74.98</v>
      </c>
      <c r="F4571" t="s">
        <v>20</v>
      </c>
      <c r="G4571" t="s">
        <v>21</v>
      </c>
      <c r="H4571" t="str">
        <f>"6-708-36853"</f>
        <v>6-708-36853</v>
      </c>
      <c r="I4571" t="str">
        <f>"FEDEX"</f>
        <v>FEDEX</v>
      </c>
    </row>
    <row r="4572" spans="1:9" x14ac:dyDescent="0.25">
      <c r="A4572" s="6">
        <v>43713</v>
      </c>
      <c r="B4572" t="s">
        <v>26</v>
      </c>
      <c r="C4572">
        <v>61946</v>
      </c>
      <c r="D4572" t="s">
        <v>79</v>
      </c>
      <c r="E4572" s="7">
        <v>74.98</v>
      </c>
      <c r="F4572" t="s">
        <v>20</v>
      </c>
      <c r="G4572" t="s">
        <v>21</v>
      </c>
      <c r="H4572" t="str">
        <f>"6-714-54378"</f>
        <v>6-714-54378</v>
      </c>
      <c r="I4572" t="str">
        <f>"FEDEX"</f>
        <v>FEDEX</v>
      </c>
    </row>
    <row r="4573" spans="1:9" x14ac:dyDescent="0.25">
      <c r="A4573" s="6">
        <v>43713</v>
      </c>
      <c r="B4573" t="s">
        <v>26</v>
      </c>
      <c r="C4573">
        <v>61946</v>
      </c>
      <c r="D4573" t="s">
        <v>79</v>
      </c>
      <c r="E4573" s="7">
        <v>74.98</v>
      </c>
      <c r="F4573" t="s">
        <v>20</v>
      </c>
      <c r="G4573" t="s">
        <v>21</v>
      </c>
      <c r="H4573" t="str">
        <f>"6-721-61403"</f>
        <v>6-721-61403</v>
      </c>
      <c r="I4573" t="str">
        <f>"FEDEX"</f>
        <v>FEDEX</v>
      </c>
    </row>
    <row r="4574" spans="1:9" x14ac:dyDescent="0.25">
      <c r="A4574" s="6">
        <v>43713</v>
      </c>
      <c r="B4574" t="s">
        <v>26</v>
      </c>
      <c r="C4574">
        <v>61947</v>
      </c>
      <c r="D4574" t="s">
        <v>80</v>
      </c>
      <c r="E4574" s="7">
        <v>1500</v>
      </c>
      <c r="F4574" t="s">
        <v>20</v>
      </c>
      <c r="G4574" t="s">
        <v>21</v>
      </c>
      <c r="H4574" t="str">
        <f>"1648-20190901-1"</f>
        <v>1648-20190901-1</v>
      </c>
      <c r="I4574" t="str">
        <f>"LVWIFI.COM"</f>
        <v>LVWIFI.COM</v>
      </c>
    </row>
    <row r="4575" spans="1:9" x14ac:dyDescent="0.25">
      <c r="A4575" s="6">
        <v>43713</v>
      </c>
      <c r="B4575" t="s">
        <v>26</v>
      </c>
      <c r="C4575">
        <v>61947</v>
      </c>
      <c r="D4575" t="s">
        <v>80</v>
      </c>
      <c r="E4575" s="7">
        <v>1500</v>
      </c>
      <c r="F4575" t="s">
        <v>20</v>
      </c>
      <c r="G4575" t="s">
        <v>21</v>
      </c>
      <c r="H4575" t="str">
        <f>"2313-20190901-1"</f>
        <v>2313-20190901-1</v>
      </c>
      <c r="I4575" t="str">
        <f>"LVWIFI.COM"</f>
        <v>LVWIFI.COM</v>
      </c>
    </row>
    <row r="4576" spans="1:9" x14ac:dyDescent="0.25">
      <c r="A4576" s="6">
        <v>43713</v>
      </c>
      <c r="B4576" t="s">
        <v>26</v>
      </c>
      <c r="C4576">
        <v>61948</v>
      </c>
      <c r="D4576" t="s">
        <v>129</v>
      </c>
      <c r="E4576" s="7">
        <v>349.11</v>
      </c>
      <c r="F4576" t="s">
        <v>20</v>
      </c>
      <c r="G4576" t="s">
        <v>21</v>
      </c>
      <c r="H4576" t="str">
        <f>"P53655"</f>
        <v>P53655</v>
      </c>
      <c r="I4576" t="str">
        <f>"BELT AND BLADES FOR MOWER"</f>
        <v>BELT AND BLADES FOR MOWER</v>
      </c>
    </row>
    <row r="4577" spans="1:9" x14ac:dyDescent="0.25">
      <c r="A4577" s="6">
        <v>43713</v>
      </c>
      <c r="B4577" t="s">
        <v>26</v>
      </c>
      <c r="C4577">
        <v>61948</v>
      </c>
      <c r="D4577" t="s">
        <v>129</v>
      </c>
      <c r="E4577" s="7">
        <v>349.11</v>
      </c>
      <c r="F4577" t="s">
        <v>20</v>
      </c>
      <c r="G4577" t="s">
        <v>21</v>
      </c>
      <c r="H4577" t="str">
        <f>"P54720"</f>
        <v>P54720</v>
      </c>
      <c r="I4577" t="str">
        <f>"LAWNMOWER SUPPLIES"</f>
        <v>LAWNMOWER SUPPLIES</v>
      </c>
    </row>
    <row r="4578" spans="1:9" x14ac:dyDescent="0.25">
      <c r="A4578" s="6">
        <v>43713</v>
      </c>
      <c r="B4578" t="s">
        <v>26</v>
      </c>
      <c r="C4578">
        <v>61949</v>
      </c>
      <c r="D4578" t="s">
        <v>97</v>
      </c>
      <c r="E4578" s="7">
        <v>34324.379999999997</v>
      </c>
      <c r="F4578" t="s">
        <v>20</v>
      </c>
      <c r="G4578" t="s">
        <v>21</v>
      </c>
      <c r="H4578" t="str">
        <f>"SEPT 2019"</f>
        <v>SEPT 2019</v>
      </c>
      <c r="I4578" t="str">
        <f>"HEALTH CARE SERVICE CORPORATIO"</f>
        <v>HEALTH CARE SERVICE CORPORATIO</v>
      </c>
    </row>
    <row r="4579" spans="1:9" x14ac:dyDescent="0.25">
      <c r="A4579" s="6">
        <v>43713</v>
      </c>
      <c r="B4579" t="s">
        <v>26</v>
      </c>
      <c r="C4579">
        <v>61950</v>
      </c>
      <c r="D4579" t="s">
        <v>98</v>
      </c>
      <c r="E4579" s="7">
        <v>3362.81</v>
      </c>
      <c r="F4579" t="s">
        <v>20</v>
      </c>
      <c r="G4579" t="s">
        <v>21</v>
      </c>
      <c r="H4579" t="str">
        <f>"SEPT. 2019"</f>
        <v>SEPT. 2019</v>
      </c>
      <c r="I4579" t="str">
        <f>"DEARBORN LIFE INSURANCE COMPAN"</f>
        <v>DEARBORN LIFE INSURANCE COMPAN</v>
      </c>
    </row>
    <row r="4580" spans="1:9" x14ac:dyDescent="0.25">
      <c r="A4580" s="6">
        <v>43713</v>
      </c>
      <c r="B4580" t="s">
        <v>26</v>
      </c>
      <c r="C4580">
        <v>61951</v>
      </c>
      <c r="D4580" t="s">
        <v>131</v>
      </c>
      <c r="E4580" s="7">
        <v>645.84</v>
      </c>
      <c r="F4580" t="s">
        <v>20</v>
      </c>
      <c r="G4580" t="s">
        <v>21</v>
      </c>
      <c r="H4580" t="str">
        <f>"042804"</f>
        <v>042804</v>
      </c>
      <c r="I4580" t="str">
        <f>"OIL CHANGE"</f>
        <v>OIL CHANGE</v>
      </c>
    </row>
    <row r="4581" spans="1:9" x14ac:dyDescent="0.25">
      <c r="A4581" s="6">
        <v>43713</v>
      </c>
      <c r="B4581" t="s">
        <v>26</v>
      </c>
      <c r="C4581">
        <v>61951</v>
      </c>
      <c r="D4581" t="s">
        <v>131</v>
      </c>
      <c r="E4581" s="7">
        <v>645.84</v>
      </c>
      <c r="F4581" t="s">
        <v>20</v>
      </c>
      <c r="G4581" t="s">
        <v>21</v>
      </c>
      <c r="H4581" t="str">
        <f>"043291"</f>
        <v>043291</v>
      </c>
      <c r="I4581" t="str">
        <f>"2000 F750 - REPAIR"</f>
        <v>2000 F750 - REPAIR</v>
      </c>
    </row>
    <row r="4582" spans="1:9" x14ac:dyDescent="0.25">
      <c r="A4582" s="6">
        <v>43713</v>
      </c>
      <c r="B4582" t="s">
        <v>26</v>
      </c>
      <c r="C4582">
        <v>61951</v>
      </c>
      <c r="D4582" t="s">
        <v>131</v>
      </c>
      <c r="E4582" s="7">
        <v>645.84</v>
      </c>
      <c r="F4582" t="s">
        <v>20</v>
      </c>
      <c r="G4582" t="s">
        <v>21</v>
      </c>
      <c r="H4582" t="str">
        <f>"043462"</f>
        <v>043462</v>
      </c>
      <c r="I4582" t="str">
        <f>"SWEEPER REPAIR"</f>
        <v>SWEEPER REPAIR</v>
      </c>
    </row>
    <row r="4583" spans="1:9" x14ac:dyDescent="0.25">
      <c r="A4583" s="6">
        <v>43713</v>
      </c>
      <c r="B4583" t="s">
        <v>91</v>
      </c>
      <c r="C4583">
        <v>61952</v>
      </c>
      <c r="D4583" t="s">
        <v>804</v>
      </c>
      <c r="E4583" s="7">
        <v>5397.15</v>
      </c>
      <c r="F4583" t="s">
        <v>20</v>
      </c>
      <c r="G4583" t="s">
        <v>21</v>
      </c>
      <c r="H4583" t="str">
        <f>"INVTRE4092"</f>
        <v>INVTRE4092</v>
      </c>
      <c r="I4583" t="str">
        <f>"TREETOP PRODUCTS CONSOLIDATED"</f>
        <v>TREETOP PRODUCTS CONSOLIDATED</v>
      </c>
    </row>
    <row r="4584" spans="1:9" x14ac:dyDescent="0.25">
      <c r="A4584" s="6">
        <v>43713</v>
      </c>
      <c r="B4584" t="s">
        <v>91</v>
      </c>
      <c r="C4584">
        <v>61952</v>
      </c>
      <c r="D4584" t="s">
        <v>804</v>
      </c>
      <c r="E4584" s="7">
        <v>5397.15</v>
      </c>
      <c r="F4584" t="s">
        <v>20</v>
      </c>
      <c r="G4584" t="s">
        <v>93</v>
      </c>
      <c r="H4584" t="str">
        <f>"CHECK"</f>
        <v>CHECK</v>
      </c>
      <c r="I4584" t="str">
        <f>""</f>
        <v/>
      </c>
    </row>
    <row r="4585" spans="1:9" x14ac:dyDescent="0.25">
      <c r="A4585" s="6">
        <v>43713</v>
      </c>
      <c r="B4585" t="s">
        <v>26</v>
      </c>
      <c r="C4585">
        <v>61953</v>
      </c>
      <c r="D4585" t="s">
        <v>83</v>
      </c>
      <c r="E4585" s="7">
        <v>1044</v>
      </c>
      <c r="F4585" t="s">
        <v>20</v>
      </c>
      <c r="G4585" t="s">
        <v>21</v>
      </c>
      <c r="H4585" t="str">
        <f>"876787"</f>
        <v>876787</v>
      </c>
      <c r="I4585" t="str">
        <f>"APPRIVER"</f>
        <v>APPRIVER</v>
      </c>
    </row>
    <row r="4586" spans="1:9" x14ac:dyDescent="0.25">
      <c r="A4586" s="6">
        <v>43713</v>
      </c>
      <c r="B4586" t="s">
        <v>26</v>
      </c>
      <c r="C4586">
        <v>61954</v>
      </c>
      <c r="D4586" t="s">
        <v>85</v>
      </c>
      <c r="E4586" s="7">
        <v>652.36</v>
      </c>
      <c r="F4586" t="s">
        <v>20</v>
      </c>
      <c r="G4586" t="s">
        <v>21</v>
      </c>
      <c r="H4586" t="str">
        <f>"8302162691 9/19"</f>
        <v>8302162691 9/19</v>
      </c>
      <c r="I4586" t="str">
        <f>"FRONTIER"</f>
        <v>FRONTIER</v>
      </c>
    </row>
    <row r="4587" spans="1:9" x14ac:dyDescent="0.25">
      <c r="A4587" s="6">
        <v>43713</v>
      </c>
      <c r="B4587" t="s">
        <v>26</v>
      </c>
      <c r="C4587">
        <v>61954</v>
      </c>
      <c r="D4587" t="s">
        <v>85</v>
      </c>
      <c r="E4587" s="7">
        <v>652.36</v>
      </c>
      <c r="F4587" t="s">
        <v>20</v>
      </c>
      <c r="G4587" t="s">
        <v>21</v>
      </c>
      <c r="H4587" t="str">
        <f>"8302162745 9/19"</f>
        <v>8302162745 9/19</v>
      </c>
      <c r="I4587" t="str">
        <f>"FRONTIER"</f>
        <v>FRONTIER</v>
      </c>
    </row>
    <row r="4588" spans="1:9" x14ac:dyDescent="0.25">
      <c r="A4588" s="6">
        <v>43713</v>
      </c>
      <c r="B4588" t="s">
        <v>26</v>
      </c>
      <c r="C4588">
        <v>61954</v>
      </c>
      <c r="D4588" t="s">
        <v>85</v>
      </c>
      <c r="E4588" s="7">
        <v>652.36</v>
      </c>
      <c r="F4588" t="s">
        <v>20</v>
      </c>
      <c r="G4588" t="s">
        <v>21</v>
      </c>
      <c r="H4588" t="str">
        <f>"8303933718 9/2019"</f>
        <v>8303933718 9/2019</v>
      </c>
      <c r="I4588" t="str">
        <f>"FRONTIER"</f>
        <v>FRONTIER</v>
      </c>
    </row>
    <row r="4589" spans="1:9" x14ac:dyDescent="0.25">
      <c r="A4589" s="6">
        <v>43713</v>
      </c>
      <c r="B4589" t="s">
        <v>26</v>
      </c>
      <c r="C4589">
        <v>61954</v>
      </c>
      <c r="D4589" t="s">
        <v>85</v>
      </c>
      <c r="E4589" s="7">
        <v>652.36</v>
      </c>
      <c r="F4589" t="s">
        <v>20</v>
      </c>
      <c r="G4589" t="s">
        <v>21</v>
      </c>
      <c r="H4589" t="str">
        <f>"8303937070 9/19"</f>
        <v>8303937070 9/19</v>
      </c>
      <c r="I4589" t="str">
        <f>"FRONTIER"</f>
        <v>FRONTIER</v>
      </c>
    </row>
    <row r="4590" spans="1:9" x14ac:dyDescent="0.25">
      <c r="A4590" s="6">
        <v>43713</v>
      </c>
      <c r="B4590" t="s">
        <v>26</v>
      </c>
      <c r="C4590">
        <v>61955</v>
      </c>
      <c r="D4590" t="s">
        <v>805</v>
      </c>
      <c r="E4590" s="7">
        <v>190</v>
      </c>
      <c r="F4590" t="s">
        <v>20</v>
      </c>
      <c r="G4590" t="s">
        <v>21</v>
      </c>
      <c r="H4590" t="str">
        <f>"684"</f>
        <v>684</v>
      </c>
      <c r="I4590" t="str">
        <f>"GRG BULLDOG MACHINE SERVICES"</f>
        <v>GRG BULLDOG MACHINE SERVICES</v>
      </c>
    </row>
    <row r="4591" spans="1:9" x14ac:dyDescent="0.25">
      <c r="A4591" s="6">
        <v>43713</v>
      </c>
      <c r="B4591" t="s">
        <v>26</v>
      </c>
      <c r="C4591">
        <v>61956</v>
      </c>
      <c r="D4591" t="s">
        <v>326</v>
      </c>
      <c r="E4591" s="7">
        <v>136.77000000000001</v>
      </c>
      <c r="F4591" t="s">
        <v>20</v>
      </c>
      <c r="G4591" t="s">
        <v>21</v>
      </c>
      <c r="H4591" t="str">
        <f>"20227448"</f>
        <v>20227448</v>
      </c>
      <c r="I4591" t="str">
        <f>"OXYGEN/ACETYLENE"</f>
        <v>OXYGEN/ACETYLENE</v>
      </c>
    </row>
    <row r="4592" spans="1:9" x14ac:dyDescent="0.25">
      <c r="A4592" s="6">
        <v>43713</v>
      </c>
      <c r="B4592" t="s">
        <v>26</v>
      </c>
      <c r="C4592">
        <v>61957</v>
      </c>
      <c r="D4592" t="s">
        <v>195</v>
      </c>
      <c r="E4592" s="7">
        <v>588.24</v>
      </c>
      <c r="F4592" t="s">
        <v>20</v>
      </c>
      <c r="G4592" t="s">
        <v>21</v>
      </c>
      <c r="H4592" t="str">
        <f>"1565201908"</f>
        <v>1565201908</v>
      </c>
      <c r="I4592" t="str">
        <f>"ARISTA INFORMATION SYSTEMS  IN"</f>
        <v>ARISTA INFORMATION SYSTEMS  IN</v>
      </c>
    </row>
    <row r="4593" spans="1:9" x14ac:dyDescent="0.25">
      <c r="A4593" s="6">
        <v>43713</v>
      </c>
      <c r="B4593" t="s">
        <v>26</v>
      </c>
      <c r="C4593">
        <v>61957</v>
      </c>
      <c r="D4593" t="s">
        <v>195</v>
      </c>
      <c r="E4593" s="7">
        <v>588.24</v>
      </c>
      <c r="F4593" t="s">
        <v>20</v>
      </c>
      <c r="G4593" t="s">
        <v>21</v>
      </c>
      <c r="H4593" t="str">
        <f>"28050"</f>
        <v>28050</v>
      </c>
      <c r="I4593" t="str">
        <f>"ARISTA INFORMATION SYSTEMS  IN"</f>
        <v>ARISTA INFORMATION SYSTEMS  IN</v>
      </c>
    </row>
    <row r="4594" spans="1:9" x14ac:dyDescent="0.25">
      <c r="A4594" s="6">
        <v>43713</v>
      </c>
      <c r="B4594" t="s">
        <v>26</v>
      </c>
      <c r="C4594">
        <v>61958</v>
      </c>
      <c r="D4594" t="s">
        <v>345</v>
      </c>
      <c r="E4594" s="7">
        <v>297</v>
      </c>
      <c r="F4594" t="s">
        <v>20</v>
      </c>
      <c r="G4594" t="s">
        <v>21</v>
      </c>
      <c r="H4594" t="str">
        <f>"9/2/19"</f>
        <v>9/2/19</v>
      </c>
      <c r="I4594" t="str">
        <f>"MICHAEL ISAAC MARTINEZ"</f>
        <v>MICHAEL ISAAC MARTINEZ</v>
      </c>
    </row>
    <row r="4595" spans="1:9" x14ac:dyDescent="0.25">
      <c r="A4595" s="6">
        <v>43713</v>
      </c>
      <c r="B4595" t="s">
        <v>26</v>
      </c>
      <c r="C4595">
        <v>61959</v>
      </c>
      <c r="D4595" t="s">
        <v>398</v>
      </c>
      <c r="E4595" s="7">
        <v>55</v>
      </c>
      <c r="F4595" t="s">
        <v>20</v>
      </c>
      <c r="G4595" t="s">
        <v>21</v>
      </c>
      <c r="H4595" t="str">
        <f>"20190905"</f>
        <v>20190905</v>
      </c>
      <c r="I4595" t="str">
        <f>"INTERCEPTOR TECHNOLOGY GROUP L"</f>
        <v>INTERCEPTOR TECHNOLOGY GROUP L</v>
      </c>
    </row>
    <row r="4596" spans="1:9" x14ac:dyDescent="0.25">
      <c r="A4596" s="6">
        <v>43713</v>
      </c>
      <c r="B4596" t="s">
        <v>26</v>
      </c>
      <c r="C4596">
        <v>61960</v>
      </c>
      <c r="D4596" t="s">
        <v>629</v>
      </c>
      <c r="E4596" s="7">
        <v>3029.15</v>
      </c>
      <c r="F4596" t="s">
        <v>20</v>
      </c>
      <c r="G4596" t="s">
        <v>21</v>
      </c>
      <c r="H4596" t="str">
        <f>"37915"</f>
        <v>37915</v>
      </c>
      <c r="I4596" t="str">
        <f>"PARKING LOT SIGNS"</f>
        <v>PARKING LOT SIGNS</v>
      </c>
    </row>
    <row r="4597" spans="1:9" x14ac:dyDescent="0.25">
      <c r="A4597" s="6">
        <v>43713</v>
      </c>
      <c r="B4597" t="s">
        <v>26</v>
      </c>
      <c r="C4597">
        <v>61960</v>
      </c>
      <c r="D4597" t="s">
        <v>629</v>
      </c>
      <c r="E4597" s="7">
        <v>3029.15</v>
      </c>
      <c r="F4597" t="s">
        <v>20</v>
      </c>
      <c r="G4597" t="s">
        <v>21</v>
      </c>
      <c r="H4597" t="str">
        <f>"37960"</f>
        <v>37960</v>
      </c>
      <c r="I4597" t="str">
        <f>"TRAFFIC SIGNS"</f>
        <v>TRAFFIC SIGNS</v>
      </c>
    </row>
    <row r="4598" spans="1:9" x14ac:dyDescent="0.25">
      <c r="A4598" s="6">
        <v>43713</v>
      </c>
      <c r="B4598" t="s">
        <v>26</v>
      </c>
      <c r="C4598">
        <v>61960</v>
      </c>
      <c r="D4598" t="s">
        <v>629</v>
      </c>
      <c r="E4598" s="7">
        <v>3029.15</v>
      </c>
      <c r="F4598" t="s">
        <v>20</v>
      </c>
      <c r="G4598" t="s">
        <v>21</v>
      </c>
      <c r="H4598" t="str">
        <f>"37961"</f>
        <v>37961</v>
      </c>
      <c r="I4598" t="str">
        <f>"TRAFFIC CONTROL SUPPLIES"</f>
        <v>TRAFFIC CONTROL SUPPLIES</v>
      </c>
    </row>
    <row r="4599" spans="1:9" x14ac:dyDescent="0.25">
      <c r="A4599" s="6">
        <v>43713</v>
      </c>
      <c r="B4599" t="s">
        <v>26</v>
      </c>
      <c r="C4599">
        <v>61962</v>
      </c>
      <c r="D4599" t="s">
        <v>644</v>
      </c>
      <c r="E4599" s="7">
        <v>1877.82</v>
      </c>
      <c r="F4599" t="s">
        <v>20</v>
      </c>
      <c r="G4599" t="s">
        <v>21</v>
      </c>
      <c r="H4599" t="str">
        <f>"8213351149"</f>
        <v>8213351149</v>
      </c>
      <c r="I4599" t="str">
        <f t="shared" ref="I4599:I4619" si="91">"UNIFIRST CORPORATION"</f>
        <v>UNIFIRST CORPORATION</v>
      </c>
    </row>
    <row r="4600" spans="1:9" x14ac:dyDescent="0.25">
      <c r="A4600" s="6">
        <v>43713</v>
      </c>
      <c r="B4600" t="s">
        <v>26</v>
      </c>
      <c r="C4600">
        <v>61962</v>
      </c>
      <c r="D4600" t="s">
        <v>644</v>
      </c>
      <c r="E4600" s="7">
        <v>1877.82</v>
      </c>
      <c r="F4600" t="s">
        <v>20</v>
      </c>
      <c r="G4600" t="s">
        <v>21</v>
      </c>
      <c r="H4600" t="str">
        <f>"8213353801"</f>
        <v>8213353801</v>
      </c>
      <c r="I4600" t="str">
        <f t="shared" si="91"/>
        <v>UNIFIRST CORPORATION</v>
      </c>
    </row>
    <row r="4601" spans="1:9" x14ac:dyDescent="0.25">
      <c r="A4601" s="6">
        <v>43713</v>
      </c>
      <c r="B4601" t="s">
        <v>26</v>
      </c>
      <c r="C4601">
        <v>61962</v>
      </c>
      <c r="D4601" t="s">
        <v>644</v>
      </c>
      <c r="E4601" s="7">
        <v>1877.82</v>
      </c>
      <c r="F4601" t="s">
        <v>20</v>
      </c>
      <c r="G4601" t="s">
        <v>21</v>
      </c>
      <c r="H4601" t="str">
        <f>"8213353802"</f>
        <v>8213353802</v>
      </c>
      <c r="I4601" t="str">
        <f t="shared" si="91"/>
        <v>UNIFIRST CORPORATION</v>
      </c>
    </row>
    <row r="4602" spans="1:9" x14ac:dyDescent="0.25">
      <c r="A4602" s="6">
        <v>43713</v>
      </c>
      <c r="B4602" t="s">
        <v>26</v>
      </c>
      <c r="C4602">
        <v>61962</v>
      </c>
      <c r="D4602" t="s">
        <v>644</v>
      </c>
      <c r="E4602" s="7">
        <v>1877.82</v>
      </c>
      <c r="F4602" t="s">
        <v>20</v>
      </c>
      <c r="G4602" t="s">
        <v>21</v>
      </c>
      <c r="H4602" t="str">
        <f>"8213353803"</f>
        <v>8213353803</v>
      </c>
      <c r="I4602" t="str">
        <f t="shared" si="91"/>
        <v>UNIFIRST CORPORATION</v>
      </c>
    </row>
    <row r="4603" spans="1:9" x14ac:dyDescent="0.25">
      <c r="A4603" s="6">
        <v>43713</v>
      </c>
      <c r="B4603" t="s">
        <v>26</v>
      </c>
      <c r="C4603">
        <v>61962</v>
      </c>
      <c r="D4603" t="s">
        <v>644</v>
      </c>
      <c r="E4603" s="7">
        <v>1877.82</v>
      </c>
      <c r="F4603" t="s">
        <v>20</v>
      </c>
      <c r="G4603" t="s">
        <v>21</v>
      </c>
      <c r="H4603" t="str">
        <f>"8213353804"</f>
        <v>8213353804</v>
      </c>
      <c r="I4603" t="str">
        <f t="shared" si="91"/>
        <v>UNIFIRST CORPORATION</v>
      </c>
    </row>
    <row r="4604" spans="1:9" x14ac:dyDescent="0.25">
      <c r="A4604" s="6">
        <v>43713</v>
      </c>
      <c r="B4604" t="s">
        <v>26</v>
      </c>
      <c r="C4604">
        <v>61962</v>
      </c>
      <c r="D4604" t="s">
        <v>644</v>
      </c>
      <c r="E4604" s="7">
        <v>1877.82</v>
      </c>
      <c r="F4604" t="s">
        <v>20</v>
      </c>
      <c r="G4604" t="s">
        <v>21</v>
      </c>
      <c r="H4604" t="str">
        <f>"8213353805"</f>
        <v>8213353805</v>
      </c>
      <c r="I4604" t="str">
        <f t="shared" si="91"/>
        <v>UNIFIRST CORPORATION</v>
      </c>
    </row>
    <row r="4605" spans="1:9" x14ac:dyDescent="0.25">
      <c r="A4605" s="6">
        <v>43713</v>
      </c>
      <c r="B4605" t="s">
        <v>26</v>
      </c>
      <c r="C4605">
        <v>61962</v>
      </c>
      <c r="D4605" t="s">
        <v>644</v>
      </c>
      <c r="E4605" s="7">
        <v>1877.82</v>
      </c>
      <c r="F4605" t="s">
        <v>20</v>
      </c>
      <c r="G4605" t="s">
        <v>21</v>
      </c>
      <c r="H4605" t="str">
        <f>"8213353806"</f>
        <v>8213353806</v>
      </c>
      <c r="I4605" t="str">
        <f t="shared" si="91"/>
        <v>UNIFIRST CORPORATION</v>
      </c>
    </row>
    <row r="4606" spans="1:9" x14ac:dyDescent="0.25">
      <c r="A4606" s="6">
        <v>43713</v>
      </c>
      <c r="B4606" t="s">
        <v>26</v>
      </c>
      <c r="C4606">
        <v>61962</v>
      </c>
      <c r="D4606" t="s">
        <v>644</v>
      </c>
      <c r="E4606" s="7">
        <v>1877.82</v>
      </c>
      <c r="F4606" t="s">
        <v>20</v>
      </c>
      <c r="G4606" t="s">
        <v>21</v>
      </c>
      <c r="H4606" t="str">
        <f>"8213353807"</f>
        <v>8213353807</v>
      </c>
      <c r="I4606" t="str">
        <f t="shared" si="91"/>
        <v>UNIFIRST CORPORATION</v>
      </c>
    </row>
    <row r="4607" spans="1:9" x14ac:dyDescent="0.25">
      <c r="A4607" s="6">
        <v>43713</v>
      </c>
      <c r="B4607" t="s">
        <v>26</v>
      </c>
      <c r="C4607">
        <v>61962</v>
      </c>
      <c r="D4607" t="s">
        <v>644</v>
      </c>
      <c r="E4607" s="7">
        <v>1877.82</v>
      </c>
      <c r="F4607" t="s">
        <v>20</v>
      </c>
      <c r="G4607" t="s">
        <v>21</v>
      </c>
      <c r="H4607" t="str">
        <f>"8213356389"</f>
        <v>8213356389</v>
      </c>
      <c r="I4607" t="str">
        <f t="shared" si="91"/>
        <v>UNIFIRST CORPORATION</v>
      </c>
    </row>
    <row r="4608" spans="1:9" x14ac:dyDescent="0.25">
      <c r="A4608" s="6">
        <v>43713</v>
      </c>
      <c r="B4608" t="s">
        <v>26</v>
      </c>
      <c r="C4608">
        <v>61962</v>
      </c>
      <c r="D4608" t="s">
        <v>644</v>
      </c>
      <c r="E4608" s="7">
        <v>1877.82</v>
      </c>
      <c r="F4608" t="s">
        <v>20</v>
      </c>
      <c r="G4608" t="s">
        <v>21</v>
      </c>
      <c r="H4608" t="str">
        <f>"8213356390"</f>
        <v>8213356390</v>
      </c>
      <c r="I4608" t="str">
        <f t="shared" si="91"/>
        <v>UNIFIRST CORPORATION</v>
      </c>
    </row>
    <row r="4609" spans="1:9" x14ac:dyDescent="0.25">
      <c r="A4609" s="6">
        <v>43713</v>
      </c>
      <c r="B4609" t="s">
        <v>26</v>
      </c>
      <c r="C4609">
        <v>61962</v>
      </c>
      <c r="D4609" t="s">
        <v>644</v>
      </c>
      <c r="E4609" s="7">
        <v>1877.82</v>
      </c>
      <c r="F4609" t="s">
        <v>20</v>
      </c>
      <c r="G4609" t="s">
        <v>21</v>
      </c>
      <c r="H4609" t="str">
        <f>"8213356391"</f>
        <v>8213356391</v>
      </c>
      <c r="I4609" t="str">
        <f t="shared" si="91"/>
        <v>UNIFIRST CORPORATION</v>
      </c>
    </row>
    <row r="4610" spans="1:9" x14ac:dyDescent="0.25">
      <c r="A4610" s="6">
        <v>43713</v>
      </c>
      <c r="B4610" t="s">
        <v>26</v>
      </c>
      <c r="C4610">
        <v>61962</v>
      </c>
      <c r="D4610" t="s">
        <v>644</v>
      </c>
      <c r="E4610" s="7">
        <v>1877.82</v>
      </c>
      <c r="F4610" t="s">
        <v>20</v>
      </c>
      <c r="G4610" t="s">
        <v>21</v>
      </c>
      <c r="H4610" t="str">
        <f>"8213356392"</f>
        <v>8213356392</v>
      </c>
      <c r="I4610" t="str">
        <f t="shared" si="91"/>
        <v>UNIFIRST CORPORATION</v>
      </c>
    </row>
    <row r="4611" spans="1:9" x14ac:dyDescent="0.25">
      <c r="A4611" s="6">
        <v>43713</v>
      </c>
      <c r="B4611" t="s">
        <v>26</v>
      </c>
      <c r="C4611">
        <v>61962</v>
      </c>
      <c r="D4611" t="s">
        <v>644</v>
      </c>
      <c r="E4611" s="7">
        <v>1877.82</v>
      </c>
      <c r="F4611" t="s">
        <v>20</v>
      </c>
      <c r="G4611" t="s">
        <v>21</v>
      </c>
      <c r="H4611" t="str">
        <f>"8213356393"</f>
        <v>8213356393</v>
      </c>
      <c r="I4611" t="str">
        <f t="shared" si="91"/>
        <v>UNIFIRST CORPORATION</v>
      </c>
    </row>
    <row r="4612" spans="1:9" x14ac:dyDescent="0.25">
      <c r="A4612" s="6">
        <v>43713</v>
      </c>
      <c r="B4612" t="s">
        <v>26</v>
      </c>
      <c r="C4612">
        <v>61962</v>
      </c>
      <c r="D4612" t="s">
        <v>644</v>
      </c>
      <c r="E4612" s="7">
        <v>1877.82</v>
      </c>
      <c r="F4612" t="s">
        <v>20</v>
      </c>
      <c r="G4612" t="s">
        <v>21</v>
      </c>
      <c r="H4612" t="str">
        <f>"8213356394"</f>
        <v>8213356394</v>
      </c>
      <c r="I4612" t="str">
        <f t="shared" si="91"/>
        <v>UNIFIRST CORPORATION</v>
      </c>
    </row>
    <row r="4613" spans="1:9" x14ac:dyDescent="0.25">
      <c r="A4613" s="6">
        <v>43713</v>
      </c>
      <c r="B4613" t="s">
        <v>26</v>
      </c>
      <c r="C4613">
        <v>61962</v>
      </c>
      <c r="D4613" t="s">
        <v>644</v>
      </c>
      <c r="E4613" s="7">
        <v>1877.82</v>
      </c>
      <c r="F4613" t="s">
        <v>20</v>
      </c>
      <c r="G4613" t="s">
        <v>21</v>
      </c>
      <c r="H4613" t="str">
        <f>"8213356395"</f>
        <v>8213356395</v>
      </c>
      <c r="I4613" t="str">
        <f t="shared" si="91"/>
        <v>UNIFIRST CORPORATION</v>
      </c>
    </row>
    <row r="4614" spans="1:9" x14ac:dyDescent="0.25">
      <c r="A4614" s="6">
        <v>43713</v>
      </c>
      <c r="B4614" t="s">
        <v>26</v>
      </c>
      <c r="C4614">
        <v>61962</v>
      </c>
      <c r="D4614" t="s">
        <v>644</v>
      </c>
      <c r="E4614" s="7">
        <v>1877.82</v>
      </c>
      <c r="F4614" t="s">
        <v>20</v>
      </c>
      <c r="G4614" t="s">
        <v>21</v>
      </c>
      <c r="H4614" t="str">
        <f>"8213359124"</f>
        <v>8213359124</v>
      </c>
      <c r="I4614" t="str">
        <f t="shared" si="91"/>
        <v>UNIFIRST CORPORATION</v>
      </c>
    </row>
    <row r="4615" spans="1:9" x14ac:dyDescent="0.25">
      <c r="A4615" s="6">
        <v>43713</v>
      </c>
      <c r="B4615" t="s">
        <v>26</v>
      </c>
      <c r="C4615">
        <v>61962</v>
      </c>
      <c r="D4615" t="s">
        <v>644</v>
      </c>
      <c r="E4615" s="7">
        <v>1877.82</v>
      </c>
      <c r="F4615" t="s">
        <v>20</v>
      </c>
      <c r="G4615" t="s">
        <v>21</v>
      </c>
      <c r="H4615" t="str">
        <f>"8213359125"</f>
        <v>8213359125</v>
      </c>
      <c r="I4615" t="str">
        <f t="shared" si="91"/>
        <v>UNIFIRST CORPORATION</v>
      </c>
    </row>
    <row r="4616" spans="1:9" x14ac:dyDescent="0.25">
      <c r="A4616" s="6">
        <v>43713</v>
      </c>
      <c r="B4616" t="s">
        <v>26</v>
      </c>
      <c r="C4616">
        <v>61962</v>
      </c>
      <c r="D4616" t="s">
        <v>644</v>
      </c>
      <c r="E4616" s="7">
        <v>1877.82</v>
      </c>
      <c r="F4616" t="s">
        <v>20</v>
      </c>
      <c r="G4616" t="s">
        <v>21</v>
      </c>
      <c r="H4616" t="str">
        <f>"8213359126"</f>
        <v>8213359126</v>
      </c>
      <c r="I4616" t="str">
        <f t="shared" si="91"/>
        <v>UNIFIRST CORPORATION</v>
      </c>
    </row>
    <row r="4617" spans="1:9" x14ac:dyDescent="0.25">
      <c r="A4617" s="6">
        <v>43713</v>
      </c>
      <c r="B4617" t="s">
        <v>26</v>
      </c>
      <c r="C4617">
        <v>61962</v>
      </c>
      <c r="D4617" t="s">
        <v>644</v>
      </c>
      <c r="E4617" s="7">
        <v>1877.82</v>
      </c>
      <c r="F4617" t="s">
        <v>20</v>
      </c>
      <c r="G4617" t="s">
        <v>21</v>
      </c>
      <c r="H4617" t="str">
        <f>"8213359127"</f>
        <v>8213359127</v>
      </c>
      <c r="I4617" t="str">
        <f t="shared" si="91"/>
        <v>UNIFIRST CORPORATION</v>
      </c>
    </row>
    <row r="4618" spans="1:9" x14ac:dyDescent="0.25">
      <c r="A4618" s="6">
        <v>43713</v>
      </c>
      <c r="B4618" t="s">
        <v>26</v>
      </c>
      <c r="C4618">
        <v>61962</v>
      </c>
      <c r="D4618" t="s">
        <v>644</v>
      </c>
      <c r="E4618" s="7">
        <v>1877.82</v>
      </c>
      <c r="F4618" t="s">
        <v>20</v>
      </c>
      <c r="G4618" t="s">
        <v>21</v>
      </c>
      <c r="H4618" t="str">
        <f>"8213359128"</f>
        <v>8213359128</v>
      </c>
      <c r="I4618" t="str">
        <f t="shared" si="91"/>
        <v>UNIFIRST CORPORATION</v>
      </c>
    </row>
    <row r="4619" spans="1:9" x14ac:dyDescent="0.25">
      <c r="A4619" s="6">
        <v>43713</v>
      </c>
      <c r="B4619" t="s">
        <v>26</v>
      </c>
      <c r="C4619">
        <v>61962</v>
      </c>
      <c r="D4619" t="s">
        <v>644</v>
      </c>
      <c r="E4619" s="7">
        <v>1877.82</v>
      </c>
      <c r="F4619" t="s">
        <v>20</v>
      </c>
      <c r="G4619" t="s">
        <v>21</v>
      </c>
      <c r="H4619" t="str">
        <f>"8213359129"</f>
        <v>8213359129</v>
      </c>
      <c r="I4619" t="str">
        <f t="shared" si="91"/>
        <v>UNIFIRST CORPORATION</v>
      </c>
    </row>
    <row r="4620" spans="1:9" x14ac:dyDescent="0.25">
      <c r="A4620" s="6">
        <v>43713</v>
      </c>
      <c r="B4620" t="s">
        <v>26</v>
      </c>
      <c r="C4620">
        <v>61966</v>
      </c>
      <c r="D4620" t="s">
        <v>695</v>
      </c>
      <c r="E4620" s="7">
        <v>261.69</v>
      </c>
      <c r="F4620" t="s">
        <v>20</v>
      </c>
      <c r="G4620" t="s">
        <v>21</v>
      </c>
      <c r="H4620" t="str">
        <f>"1235181"</f>
        <v>1235181</v>
      </c>
      <c r="I4620" t="str">
        <f>"PAINT"</f>
        <v>PAINT</v>
      </c>
    </row>
    <row r="4621" spans="1:9" x14ac:dyDescent="0.25">
      <c r="A4621" s="6">
        <v>43713</v>
      </c>
      <c r="B4621" t="s">
        <v>26</v>
      </c>
      <c r="C4621">
        <v>61967</v>
      </c>
      <c r="D4621" t="s">
        <v>716</v>
      </c>
      <c r="E4621" s="7">
        <v>350</v>
      </c>
      <c r="F4621" t="s">
        <v>20</v>
      </c>
      <c r="G4621" t="s">
        <v>21</v>
      </c>
      <c r="H4621" t="str">
        <f>"9/2/19"</f>
        <v>9/2/19</v>
      </c>
      <c r="I4621" t="str">
        <f>"ALFREDO SENDEJO"</f>
        <v>ALFREDO SENDEJO</v>
      </c>
    </row>
    <row r="4622" spans="1:9" x14ac:dyDescent="0.25">
      <c r="A4622" s="6">
        <v>43713</v>
      </c>
      <c r="B4622" t="s">
        <v>26</v>
      </c>
      <c r="C4622">
        <v>61968</v>
      </c>
      <c r="D4622" t="s">
        <v>81</v>
      </c>
      <c r="E4622" s="7">
        <v>144</v>
      </c>
      <c r="F4622" t="s">
        <v>20</v>
      </c>
      <c r="G4622" t="s">
        <v>21</v>
      </c>
      <c r="H4622" t="str">
        <f>"A.MARTINEZ 9/5/19"</f>
        <v>A.MARTINEZ 9/5/19</v>
      </c>
      <c r="I4622" t="str">
        <f>"CITY OF FLORESVILLE -PETTY CAS"</f>
        <v>CITY OF FLORESVILLE -PETTY CAS</v>
      </c>
    </row>
    <row r="4623" spans="1:9" x14ac:dyDescent="0.25">
      <c r="A4623" s="6">
        <v>43713</v>
      </c>
      <c r="B4623" t="s">
        <v>26</v>
      </c>
      <c r="C4623">
        <v>61969</v>
      </c>
      <c r="D4623" t="s">
        <v>200</v>
      </c>
      <c r="E4623" s="7">
        <v>8700</v>
      </c>
      <c r="F4623" t="s">
        <v>20</v>
      </c>
      <c r="G4623" t="s">
        <v>21</v>
      </c>
      <c r="H4623" t="str">
        <f>"141"</f>
        <v>141</v>
      </c>
      <c r="I4623" t="str">
        <f>"MARIO AVILES"</f>
        <v>MARIO AVILES</v>
      </c>
    </row>
    <row r="4624" spans="1:9" x14ac:dyDescent="0.25">
      <c r="A4624" s="6">
        <v>43714</v>
      </c>
      <c r="B4624" t="s">
        <v>26</v>
      </c>
      <c r="C4624">
        <v>61970</v>
      </c>
      <c r="D4624" t="s">
        <v>505</v>
      </c>
      <c r="E4624" s="7">
        <v>1140</v>
      </c>
      <c r="F4624" t="s">
        <v>20</v>
      </c>
      <c r="G4624" t="s">
        <v>21</v>
      </c>
      <c r="H4624" t="str">
        <f>"138"</f>
        <v>138</v>
      </c>
      <c r="I4624" t="str">
        <f>"REALITY DEFENSE INC"</f>
        <v>REALITY DEFENSE INC</v>
      </c>
    </row>
    <row r="4625" spans="1:9" x14ac:dyDescent="0.25">
      <c r="A4625" s="6">
        <v>43719</v>
      </c>
      <c r="B4625" t="s">
        <v>26</v>
      </c>
      <c r="C4625">
        <v>61982</v>
      </c>
      <c r="D4625" t="s">
        <v>51</v>
      </c>
      <c r="E4625" s="7">
        <v>346.31</v>
      </c>
      <c r="F4625" t="s">
        <v>20</v>
      </c>
      <c r="G4625" t="s">
        <v>21</v>
      </c>
      <c r="H4625" t="str">
        <f>"CLE201909108538"</f>
        <v>CLE201909108538</v>
      </c>
      <c r="I4625" t="str">
        <f>"CLEAT ONLY DUES"</f>
        <v>CLEAT ONLY DUES</v>
      </c>
    </row>
    <row r="4626" spans="1:9" x14ac:dyDescent="0.25">
      <c r="A4626" s="6">
        <v>43719</v>
      </c>
      <c r="B4626" t="s">
        <v>26</v>
      </c>
      <c r="C4626">
        <v>61982</v>
      </c>
      <c r="D4626" t="s">
        <v>51</v>
      </c>
      <c r="E4626" s="7">
        <v>346.31</v>
      </c>
      <c r="F4626" t="s">
        <v>20</v>
      </c>
      <c r="G4626" t="s">
        <v>21</v>
      </c>
      <c r="H4626" t="str">
        <f>"PDD201909108538"</f>
        <v>PDD201909108538</v>
      </c>
      <c r="I4626" t="str">
        <f>"POLICE OFFICERS ASSOC DUES"</f>
        <v>POLICE OFFICERS ASSOC DUES</v>
      </c>
    </row>
    <row r="4627" spans="1:9" x14ac:dyDescent="0.25">
      <c r="A4627" s="6">
        <v>43719</v>
      </c>
      <c r="B4627" t="s">
        <v>26</v>
      </c>
      <c r="C4627">
        <v>61983</v>
      </c>
      <c r="D4627" t="s">
        <v>90</v>
      </c>
      <c r="E4627" s="7">
        <v>101.1</v>
      </c>
      <c r="F4627" t="s">
        <v>20</v>
      </c>
      <c r="G4627" t="s">
        <v>21</v>
      </c>
      <c r="H4627" t="str">
        <f>"AFS201909108538"</f>
        <v>AFS201909108538</v>
      </c>
      <c r="I4627" t="str">
        <f>"AFLAC STD"</f>
        <v>AFLAC STD</v>
      </c>
    </row>
    <row r="4628" spans="1:9" x14ac:dyDescent="0.25">
      <c r="A4628" s="6">
        <v>43719</v>
      </c>
      <c r="B4628" t="s">
        <v>26</v>
      </c>
      <c r="C4628">
        <v>61984</v>
      </c>
      <c r="D4628" t="s">
        <v>52</v>
      </c>
      <c r="E4628" s="7">
        <v>1056.98</v>
      </c>
      <c r="F4628" t="s">
        <v>20</v>
      </c>
      <c r="G4628" t="s">
        <v>21</v>
      </c>
      <c r="H4628" t="str">
        <f>"CPS201909108538"</f>
        <v>CPS201909108538</v>
      </c>
      <c r="I4628" t="str">
        <f>"G MENDOZA 00123012032010EM5054"</f>
        <v>G MENDOZA 00123012032010EM5054</v>
      </c>
    </row>
    <row r="4629" spans="1:9" x14ac:dyDescent="0.25">
      <c r="A4629" s="6">
        <v>43719</v>
      </c>
      <c r="B4629" t="s">
        <v>26</v>
      </c>
      <c r="C4629">
        <v>61984</v>
      </c>
      <c r="D4629" t="s">
        <v>52</v>
      </c>
      <c r="E4629" s="7">
        <v>1056.98</v>
      </c>
      <c r="F4629" t="s">
        <v>20</v>
      </c>
      <c r="G4629" t="s">
        <v>21</v>
      </c>
      <c r="H4629" t="str">
        <f>"CS 201909108538"</f>
        <v>CS 201909108538</v>
      </c>
      <c r="I4629" t="str">
        <f>"CAUSE#98EM504113 PEGGY RIVAS"</f>
        <v>CAUSE#98EM504113 PEGGY RIVAS</v>
      </c>
    </row>
    <row r="4630" spans="1:9" x14ac:dyDescent="0.25">
      <c r="A4630" s="6">
        <v>43719</v>
      </c>
      <c r="B4630" t="s">
        <v>26</v>
      </c>
      <c r="C4630">
        <v>61984</v>
      </c>
      <c r="D4630" t="s">
        <v>52</v>
      </c>
      <c r="E4630" s="7">
        <v>1056.98</v>
      </c>
      <c r="F4630" t="s">
        <v>20</v>
      </c>
      <c r="G4630" t="s">
        <v>21</v>
      </c>
      <c r="H4630" t="str">
        <f>"CSJ201909108538"</f>
        <v>CSJ201909108538</v>
      </c>
      <c r="I4630" t="str">
        <f>"CAUSE# 0010185272 MARIANN GUTI"</f>
        <v>CAUSE# 0010185272 MARIANN GUTI</v>
      </c>
    </row>
    <row r="4631" spans="1:9" x14ac:dyDescent="0.25">
      <c r="A4631" s="6">
        <v>43719</v>
      </c>
      <c r="B4631" t="s">
        <v>26</v>
      </c>
      <c r="C4631">
        <v>61985</v>
      </c>
      <c r="D4631" t="s">
        <v>54</v>
      </c>
      <c r="E4631" s="7">
        <v>1137.32</v>
      </c>
      <c r="F4631" t="s">
        <v>20</v>
      </c>
      <c r="G4631" t="s">
        <v>21</v>
      </c>
      <c r="H4631" t="str">
        <f>"457201909108538"</f>
        <v>457201909108538</v>
      </c>
      <c r="I4631" t="str">
        <f>"CASE # 180-60751 457B DEDUCT"</f>
        <v>CASE # 180-60751 457B DEDUCT</v>
      </c>
    </row>
    <row r="4632" spans="1:9" x14ac:dyDescent="0.25">
      <c r="A4632" s="6">
        <v>43720</v>
      </c>
      <c r="B4632" t="s">
        <v>26</v>
      </c>
      <c r="C4632">
        <v>61986</v>
      </c>
      <c r="D4632" t="s">
        <v>106</v>
      </c>
      <c r="E4632" s="7">
        <v>51.95</v>
      </c>
      <c r="F4632" t="s">
        <v>20</v>
      </c>
      <c r="G4632" t="s">
        <v>21</v>
      </c>
      <c r="H4632" t="str">
        <f>"1342"</f>
        <v>1342</v>
      </c>
      <c r="I4632" t="str">
        <f>"OMNIBASE SERVICES OF TEXAS"</f>
        <v>OMNIBASE SERVICES OF TEXAS</v>
      </c>
    </row>
    <row r="4633" spans="1:9" x14ac:dyDescent="0.25">
      <c r="A4633" s="6">
        <v>43720</v>
      </c>
      <c r="B4633" t="s">
        <v>26</v>
      </c>
      <c r="C4633">
        <v>61987</v>
      </c>
      <c r="D4633" t="s">
        <v>90</v>
      </c>
      <c r="E4633" s="7">
        <v>1884.6</v>
      </c>
      <c r="F4633" t="s">
        <v>20</v>
      </c>
      <c r="G4633" t="s">
        <v>21</v>
      </c>
      <c r="H4633" t="str">
        <f>"SEPTEMBER 2019"</f>
        <v>SEPTEMBER 2019</v>
      </c>
      <c r="I4633" t="str">
        <f>"AFLAC"</f>
        <v>AFLAC</v>
      </c>
    </row>
    <row r="4634" spans="1:9" x14ac:dyDescent="0.25">
      <c r="A4634" s="6">
        <v>43720</v>
      </c>
      <c r="B4634" t="s">
        <v>26</v>
      </c>
      <c r="C4634">
        <v>61988</v>
      </c>
      <c r="D4634" t="s">
        <v>240</v>
      </c>
      <c r="E4634" s="7">
        <v>1244.96</v>
      </c>
      <c r="F4634" t="s">
        <v>20</v>
      </c>
      <c r="G4634" t="s">
        <v>21</v>
      </c>
      <c r="H4634" t="str">
        <f>"0173083-IN"</f>
        <v>0173083-IN</v>
      </c>
      <c r="I4634" t="str">
        <f>"NARDIS PUBLIC SAFETY"</f>
        <v>NARDIS PUBLIC SAFETY</v>
      </c>
    </row>
    <row r="4635" spans="1:9" x14ac:dyDescent="0.25">
      <c r="A4635" s="6">
        <v>43720</v>
      </c>
      <c r="B4635" t="s">
        <v>26</v>
      </c>
      <c r="C4635">
        <v>61988</v>
      </c>
      <c r="D4635" t="s">
        <v>240</v>
      </c>
      <c r="E4635" s="7">
        <v>1244.96</v>
      </c>
      <c r="F4635" t="s">
        <v>20</v>
      </c>
      <c r="G4635" t="s">
        <v>21</v>
      </c>
      <c r="H4635" t="str">
        <f>"0173156-IN"</f>
        <v>0173156-IN</v>
      </c>
      <c r="I4635" t="str">
        <f>"NARDIS PUBLIC SAFETY"</f>
        <v>NARDIS PUBLIC SAFETY</v>
      </c>
    </row>
    <row r="4636" spans="1:9" x14ac:dyDescent="0.25">
      <c r="A4636" s="6">
        <v>43720</v>
      </c>
      <c r="B4636" t="s">
        <v>26</v>
      </c>
      <c r="C4636">
        <v>61988</v>
      </c>
      <c r="D4636" t="s">
        <v>240</v>
      </c>
      <c r="E4636" s="7">
        <v>1244.96</v>
      </c>
      <c r="F4636" t="s">
        <v>20</v>
      </c>
      <c r="G4636" t="s">
        <v>21</v>
      </c>
      <c r="H4636" t="str">
        <f>"0173244-IN"</f>
        <v>0173244-IN</v>
      </c>
      <c r="I4636" t="str">
        <f>"NARDIS PUBLIC SAFETY"</f>
        <v>NARDIS PUBLIC SAFETY</v>
      </c>
    </row>
    <row r="4637" spans="1:9" x14ac:dyDescent="0.25">
      <c r="A4637" s="6">
        <v>43720</v>
      </c>
      <c r="B4637" t="s">
        <v>26</v>
      </c>
      <c r="C4637">
        <v>61988</v>
      </c>
      <c r="D4637" t="s">
        <v>240</v>
      </c>
      <c r="E4637" s="7">
        <v>1244.96</v>
      </c>
      <c r="F4637" t="s">
        <v>20</v>
      </c>
      <c r="G4637" t="s">
        <v>21</v>
      </c>
      <c r="H4637" t="str">
        <f>"0174799-IN"</f>
        <v>0174799-IN</v>
      </c>
      <c r="I4637" t="str">
        <f>"NARDIS PUBLIC SAFETY"</f>
        <v>NARDIS PUBLIC SAFETY</v>
      </c>
    </row>
    <row r="4638" spans="1:9" x14ac:dyDescent="0.25">
      <c r="A4638" s="6">
        <v>43720</v>
      </c>
      <c r="B4638" t="s">
        <v>26</v>
      </c>
      <c r="C4638">
        <v>61989</v>
      </c>
      <c r="D4638" t="s">
        <v>110</v>
      </c>
      <c r="E4638" s="7">
        <v>1773.66</v>
      </c>
      <c r="F4638" t="s">
        <v>20</v>
      </c>
      <c r="G4638" t="s">
        <v>21</v>
      </c>
      <c r="H4638" t="str">
        <f>"1489309"</f>
        <v>1489309</v>
      </c>
      <c r="I4638" t="str">
        <f t="shared" ref="I4638:I4649" si="92">"BUREAU VERITAS NORTH AMERICA"</f>
        <v>BUREAU VERITAS NORTH AMERICA</v>
      </c>
    </row>
    <row r="4639" spans="1:9" x14ac:dyDescent="0.25">
      <c r="A4639" s="6">
        <v>43720</v>
      </c>
      <c r="B4639" t="s">
        <v>26</v>
      </c>
      <c r="C4639">
        <v>61989</v>
      </c>
      <c r="D4639" t="s">
        <v>110</v>
      </c>
      <c r="E4639" s="7">
        <v>1773.66</v>
      </c>
      <c r="F4639" t="s">
        <v>20</v>
      </c>
      <c r="G4639" t="s">
        <v>21</v>
      </c>
      <c r="H4639" t="str">
        <f>"1489311"</f>
        <v>1489311</v>
      </c>
      <c r="I4639" t="str">
        <f t="shared" si="92"/>
        <v>BUREAU VERITAS NORTH AMERICA</v>
      </c>
    </row>
    <row r="4640" spans="1:9" x14ac:dyDescent="0.25">
      <c r="A4640" s="6">
        <v>43720</v>
      </c>
      <c r="B4640" t="s">
        <v>26</v>
      </c>
      <c r="C4640">
        <v>61989</v>
      </c>
      <c r="D4640" t="s">
        <v>110</v>
      </c>
      <c r="E4640" s="7">
        <v>1773.66</v>
      </c>
      <c r="F4640" t="s">
        <v>20</v>
      </c>
      <c r="G4640" t="s">
        <v>21</v>
      </c>
      <c r="H4640" t="str">
        <f>"1489313"</f>
        <v>1489313</v>
      </c>
      <c r="I4640" t="str">
        <f t="shared" si="92"/>
        <v>BUREAU VERITAS NORTH AMERICA</v>
      </c>
    </row>
    <row r="4641" spans="1:9" x14ac:dyDescent="0.25">
      <c r="A4641" s="6">
        <v>43720</v>
      </c>
      <c r="B4641" t="s">
        <v>26</v>
      </c>
      <c r="C4641">
        <v>61989</v>
      </c>
      <c r="D4641" t="s">
        <v>110</v>
      </c>
      <c r="E4641" s="7">
        <v>1773.66</v>
      </c>
      <c r="F4641" t="s">
        <v>20</v>
      </c>
      <c r="G4641" t="s">
        <v>21</v>
      </c>
      <c r="H4641" t="str">
        <f>"1489315"</f>
        <v>1489315</v>
      </c>
      <c r="I4641" t="str">
        <f t="shared" si="92"/>
        <v>BUREAU VERITAS NORTH AMERICA</v>
      </c>
    </row>
    <row r="4642" spans="1:9" x14ac:dyDescent="0.25">
      <c r="A4642" s="6">
        <v>43720</v>
      </c>
      <c r="B4642" t="s">
        <v>26</v>
      </c>
      <c r="C4642">
        <v>61989</v>
      </c>
      <c r="D4642" t="s">
        <v>110</v>
      </c>
      <c r="E4642" s="7">
        <v>1773.66</v>
      </c>
      <c r="F4642" t="s">
        <v>20</v>
      </c>
      <c r="G4642" t="s">
        <v>21</v>
      </c>
      <c r="H4642" t="str">
        <f>"1489317"</f>
        <v>1489317</v>
      </c>
      <c r="I4642" t="str">
        <f t="shared" si="92"/>
        <v>BUREAU VERITAS NORTH AMERICA</v>
      </c>
    </row>
    <row r="4643" spans="1:9" x14ac:dyDescent="0.25">
      <c r="A4643" s="6">
        <v>43720</v>
      </c>
      <c r="B4643" t="s">
        <v>26</v>
      </c>
      <c r="C4643">
        <v>61989</v>
      </c>
      <c r="D4643" t="s">
        <v>110</v>
      </c>
      <c r="E4643" s="7">
        <v>1773.66</v>
      </c>
      <c r="F4643" t="s">
        <v>20</v>
      </c>
      <c r="G4643" t="s">
        <v>21</v>
      </c>
      <c r="H4643" t="str">
        <f>"1489319"</f>
        <v>1489319</v>
      </c>
      <c r="I4643" t="str">
        <f t="shared" si="92"/>
        <v>BUREAU VERITAS NORTH AMERICA</v>
      </c>
    </row>
    <row r="4644" spans="1:9" x14ac:dyDescent="0.25">
      <c r="A4644" s="6">
        <v>43720</v>
      </c>
      <c r="B4644" t="s">
        <v>26</v>
      </c>
      <c r="C4644">
        <v>61989</v>
      </c>
      <c r="D4644" t="s">
        <v>110</v>
      </c>
      <c r="E4644" s="7">
        <v>1773.66</v>
      </c>
      <c r="F4644" t="s">
        <v>20</v>
      </c>
      <c r="G4644" t="s">
        <v>21</v>
      </c>
      <c r="H4644" t="str">
        <f>"1489321"</f>
        <v>1489321</v>
      </c>
      <c r="I4644" t="str">
        <f t="shared" si="92"/>
        <v>BUREAU VERITAS NORTH AMERICA</v>
      </c>
    </row>
    <row r="4645" spans="1:9" x14ac:dyDescent="0.25">
      <c r="A4645" s="6">
        <v>43720</v>
      </c>
      <c r="B4645" t="s">
        <v>26</v>
      </c>
      <c r="C4645">
        <v>61989</v>
      </c>
      <c r="D4645" t="s">
        <v>110</v>
      </c>
      <c r="E4645" s="7">
        <v>1773.66</v>
      </c>
      <c r="F4645" t="s">
        <v>20</v>
      </c>
      <c r="G4645" t="s">
        <v>21</v>
      </c>
      <c r="H4645" t="str">
        <f>"1489323"</f>
        <v>1489323</v>
      </c>
      <c r="I4645" t="str">
        <f t="shared" si="92"/>
        <v>BUREAU VERITAS NORTH AMERICA</v>
      </c>
    </row>
    <row r="4646" spans="1:9" x14ac:dyDescent="0.25">
      <c r="A4646" s="6">
        <v>43720</v>
      </c>
      <c r="B4646" t="s">
        <v>26</v>
      </c>
      <c r="C4646">
        <v>61989</v>
      </c>
      <c r="D4646" t="s">
        <v>110</v>
      </c>
      <c r="E4646" s="7">
        <v>1773.66</v>
      </c>
      <c r="F4646" t="s">
        <v>20</v>
      </c>
      <c r="G4646" t="s">
        <v>21</v>
      </c>
      <c r="H4646" t="str">
        <f>"1489326"</f>
        <v>1489326</v>
      </c>
      <c r="I4646" t="str">
        <f t="shared" si="92"/>
        <v>BUREAU VERITAS NORTH AMERICA</v>
      </c>
    </row>
    <row r="4647" spans="1:9" x14ac:dyDescent="0.25">
      <c r="A4647" s="6">
        <v>43720</v>
      </c>
      <c r="B4647" t="s">
        <v>26</v>
      </c>
      <c r="C4647">
        <v>61989</v>
      </c>
      <c r="D4647" t="s">
        <v>110</v>
      </c>
      <c r="E4647" s="7">
        <v>1773.66</v>
      </c>
      <c r="F4647" t="s">
        <v>20</v>
      </c>
      <c r="G4647" t="s">
        <v>21</v>
      </c>
      <c r="H4647" t="str">
        <f>"1489328"</f>
        <v>1489328</v>
      </c>
      <c r="I4647" t="str">
        <f t="shared" si="92"/>
        <v>BUREAU VERITAS NORTH AMERICA</v>
      </c>
    </row>
    <row r="4648" spans="1:9" x14ac:dyDescent="0.25">
      <c r="A4648" s="6">
        <v>43720</v>
      </c>
      <c r="B4648" t="s">
        <v>26</v>
      </c>
      <c r="C4648">
        <v>61989</v>
      </c>
      <c r="D4648" t="s">
        <v>110</v>
      </c>
      <c r="E4648" s="7">
        <v>1773.66</v>
      </c>
      <c r="F4648" t="s">
        <v>20</v>
      </c>
      <c r="G4648" t="s">
        <v>21</v>
      </c>
      <c r="H4648" t="str">
        <f>"1489330"</f>
        <v>1489330</v>
      </c>
      <c r="I4648" t="str">
        <f t="shared" si="92"/>
        <v>BUREAU VERITAS NORTH AMERICA</v>
      </c>
    </row>
    <row r="4649" spans="1:9" x14ac:dyDescent="0.25">
      <c r="A4649" s="6">
        <v>43720</v>
      </c>
      <c r="B4649" t="s">
        <v>26</v>
      </c>
      <c r="C4649">
        <v>61989</v>
      </c>
      <c r="D4649" t="s">
        <v>110</v>
      </c>
      <c r="E4649" s="7">
        <v>1773.66</v>
      </c>
      <c r="F4649" t="s">
        <v>20</v>
      </c>
      <c r="G4649" t="s">
        <v>21</v>
      </c>
      <c r="H4649" t="str">
        <f>"1489332"</f>
        <v>1489332</v>
      </c>
      <c r="I4649" t="str">
        <f t="shared" si="92"/>
        <v>BUREAU VERITAS NORTH AMERICA</v>
      </c>
    </row>
    <row r="4650" spans="1:9" x14ac:dyDescent="0.25">
      <c r="A4650" s="6">
        <v>43720</v>
      </c>
      <c r="B4650" t="s">
        <v>26</v>
      </c>
      <c r="C4650">
        <v>61991</v>
      </c>
      <c r="D4650" t="s">
        <v>806</v>
      </c>
      <c r="E4650" s="7">
        <v>50</v>
      </c>
      <c r="F4650" t="s">
        <v>20</v>
      </c>
      <c r="G4650" t="s">
        <v>21</v>
      </c>
      <c r="H4650" t="str">
        <f>"REFUND 8/31/19"</f>
        <v>REFUND 8/31/19</v>
      </c>
      <c r="I4650" t="str">
        <f>"REFUND"</f>
        <v>REFUND</v>
      </c>
    </row>
    <row r="4651" spans="1:9" x14ac:dyDescent="0.25">
      <c r="A4651" s="6">
        <v>43720</v>
      </c>
      <c r="B4651" t="s">
        <v>26</v>
      </c>
      <c r="C4651">
        <v>61992</v>
      </c>
      <c r="D4651" t="s">
        <v>61</v>
      </c>
      <c r="E4651" s="7">
        <v>376</v>
      </c>
      <c r="F4651" t="s">
        <v>20</v>
      </c>
      <c r="G4651" t="s">
        <v>21</v>
      </c>
      <c r="H4651" t="str">
        <f>"025-256837"</f>
        <v>025-256837</v>
      </c>
      <c r="I4651" t="str">
        <f>"TYLER TECHNOLOGIES  INC."</f>
        <v>TYLER TECHNOLOGIES  INC.</v>
      </c>
    </row>
    <row r="4652" spans="1:9" x14ac:dyDescent="0.25">
      <c r="A4652" s="6">
        <v>43720</v>
      </c>
      <c r="B4652" t="s">
        <v>26</v>
      </c>
      <c r="C4652">
        <v>61992</v>
      </c>
      <c r="D4652" t="s">
        <v>61</v>
      </c>
      <c r="E4652" s="7">
        <v>376</v>
      </c>
      <c r="F4652" t="s">
        <v>20</v>
      </c>
      <c r="G4652" t="s">
        <v>21</v>
      </c>
      <c r="H4652" t="str">
        <f>"025-270454"</f>
        <v>025-270454</v>
      </c>
      <c r="I4652" t="str">
        <f>"TYLER TECHNOLOGIES  INC."</f>
        <v>TYLER TECHNOLOGIES  INC.</v>
      </c>
    </row>
    <row r="4653" spans="1:9" x14ac:dyDescent="0.25">
      <c r="A4653" s="6">
        <v>43720</v>
      </c>
      <c r="B4653" t="s">
        <v>26</v>
      </c>
      <c r="C4653">
        <v>61993</v>
      </c>
      <c r="D4653" t="s">
        <v>184</v>
      </c>
      <c r="E4653" s="7">
        <v>1158</v>
      </c>
      <c r="F4653" t="s">
        <v>20</v>
      </c>
      <c r="G4653" t="s">
        <v>21</v>
      </c>
      <c r="H4653" t="str">
        <f>"1055-871"</f>
        <v>1055-871</v>
      </c>
      <c r="I4653" t="str">
        <f>"POLLUTION CONTROL SERVICES"</f>
        <v>POLLUTION CONTROL SERVICES</v>
      </c>
    </row>
    <row r="4654" spans="1:9" x14ac:dyDescent="0.25">
      <c r="A4654" s="6">
        <v>43720</v>
      </c>
      <c r="B4654" t="s">
        <v>26</v>
      </c>
      <c r="C4654">
        <v>61993</v>
      </c>
      <c r="D4654" t="s">
        <v>184</v>
      </c>
      <c r="E4654" s="7">
        <v>1158</v>
      </c>
      <c r="F4654" t="s">
        <v>20</v>
      </c>
      <c r="G4654" t="s">
        <v>21</v>
      </c>
      <c r="H4654" t="str">
        <f>"1055-872"</f>
        <v>1055-872</v>
      </c>
      <c r="I4654" t="str">
        <f>"POLLUTION CONTROL SERVICES"</f>
        <v>POLLUTION CONTROL SERVICES</v>
      </c>
    </row>
    <row r="4655" spans="1:9" x14ac:dyDescent="0.25">
      <c r="A4655" s="6">
        <v>43720</v>
      </c>
      <c r="B4655" t="s">
        <v>26</v>
      </c>
      <c r="C4655">
        <v>61994</v>
      </c>
      <c r="D4655" t="s">
        <v>414</v>
      </c>
      <c r="E4655" s="7">
        <v>400</v>
      </c>
      <c r="F4655" t="s">
        <v>20</v>
      </c>
      <c r="G4655" t="s">
        <v>21</v>
      </c>
      <c r="H4655" t="str">
        <f>"2019000002"</f>
        <v>2019000002</v>
      </c>
      <c r="I4655" t="str">
        <f t="shared" ref="I4655:I4661" si="93">"AHC PHYSICIANS INC."</f>
        <v>AHC PHYSICIANS INC.</v>
      </c>
    </row>
    <row r="4656" spans="1:9" x14ac:dyDescent="0.25">
      <c r="A4656" s="6">
        <v>43720</v>
      </c>
      <c r="B4656" t="s">
        <v>26</v>
      </c>
      <c r="C4656">
        <v>61994</v>
      </c>
      <c r="D4656" t="s">
        <v>414</v>
      </c>
      <c r="E4656" s="7">
        <v>400</v>
      </c>
      <c r="F4656" t="s">
        <v>20</v>
      </c>
      <c r="G4656" t="s">
        <v>21</v>
      </c>
      <c r="H4656" t="str">
        <f>"2019000003"</f>
        <v>2019000003</v>
      </c>
      <c r="I4656" t="str">
        <f t="shared" si="93"/>
        <v>AHC PHYSICIANS INC.</v>
      </c>
    </row>
    <row r="4657" spans="1:10" x14ac:dyDescent="0.25">
      <c r="A4657" s="6">
        <v>43720</v>
      </c>
      <c r="B4657" t="s">
        <v>26</v>
      </c>
      <c r="C4657">
        <v>61994</v>
      </c>
      <c r="D4657" t="s">
        <v>414</v>
      </c>
      <c r="E4657" s="7">
        <v>400</v>
      </c>
      <c r="F4657" t="s">
        <v>20</v>
      </c>
      <c r="G4657" t="s">
        <v>21</v>
      </c>
      <c r="H4657" t="str">
        <f>"2019000604"</f>
        <v>2019000604</v>
      </c>
      <c r="I4657" t="str">
        <f t="shared" si="93"/>
        <v>AHC PHYSICIANS INC.</v>
      </c>
    </row>
    <row r="4658" spans="1:10" x14ac:dyDescent="0.25">
      <c r="A4658" s="6">
        <v>43720</v>
      </c>
      <c r="B4658" t="s">
        <v>26</v>
      </c>
      <c r="C4658">
        <v>61994</v>
      </c>
      <c r="D4658" t="s">
        <v>414</v>
      </c>
      <c r="E4658" s="7">
        <v>400</v>
      </c>
      <c r="F4658" t="s">
        <v>20</v>
      </c>
      <c r="G4658" t="s">
        <v>21</v>
      </c>
      <c r="H4658" t="str">
        <f>"2019000820"</f>
        <v>2019000820</v>
      </c>
      <c r="I4658" t="str">
        <f t="shared" si="93"/>
        <v>AHC PHYSICIANS INC.</v>
      </c>
    </row>
    <row r="4659" spans="1:10" x14ac:dyDescent="0.25">
      <c r="A4659" s="6">
        <v>43720</v>
      </c>
      <c r="B4659" t="s">
        <v>26</v>
      </c>
      <c r="C4659">
        <v>61994</v>
      </c>
      <c r="D4659" t="s">
        <v>414</v>
      </c>
      <c r="E4659" s="7">
        <v>400</v>
      </c>
      <c r="F4659" t="s">
        <v>20</v>
      </c>
      <c r="G4659" t="s">
        <v>21</v>
      </c>
      <c r="H4659" t="str">
        <f>"219000834"</f>
        <v>219000834</v>
      </c>
      <c r="I4659" t="str">
        <f t="shared" si="93"/>
        <v>AHC PHYSICIANS INC.</v>
      </c>
    </row>
    <row r="4660" spans="1:10" x14ac:dyDescent="0.25">
      <c r="A4660" s="6">
        <v>43720</v>
      </c>
      <c r="B4660" t="s">
        <v>26</v>
      </c>
      <c r="C4660">
        <v>61994</v>
      </c>
      <c r="D4660" t="s">
        <v>414</v>
      </c>
      <c r="E4660" s="7">
        <v>400</v>
      </c>
      <c r="F4660" t="s">
        <v>20</v>
      </c>
      <c r="G4660" t="s">
        <v>21</v>
      </c>
      <c r="H4660" t="str">
        <f>"MUNOZ0040"</f>
        <v>MUNOZ0040</v>
      </c>
      <c r="I4660" t="str">
        <f t="shared" si="93"/>
        <v>AHC PHYSICIANS INC.</v>
      </c>
    </row>
    <row r="4661" spans="1:10" x14ac:dyDescent="0.25">
      <c r="A4661" s="6">
        <v>43720</v>
      </c>
      <c r="B4661" t="s">
        <v>26</v>
      </c>
      <c r="C4661">
        <v>61994</v>
      </c>
      <c r="D4661" t="s">
        <v>414</v>
      </c>
      <c r="E4661" s="7">
        <v>400</v>
      </c>
      <c r="F4661" t="s">
        <v>20</v>
      </c>
      <c r="G4661" t="s">
        <v>21</v>
      </c>
      <c r="H4661" t="str">
        <f>"REDD000"</f>
        <v>REDD000</v>
      </c>
      <c r="I4661" t="str">
        <f t="shared" si="93"/>
        <v>AHC PHYSICIANS INC.</v>
      </c>
    </row>
    <row r="4662" spans="1:10" x14ac:dyDescent="0.25">
      <c r="A4662" s="6">
        <v>43720</v>
      </c>
      <c r="B4662" t="s">
        <v>26</v>
      </c>
      <c r="C4662">
        <v>61996</v>
      </c>
      <c r="D4662" t="s">
        <v>495</v>
      </c>
      <c r="E4662" s="7">
        <v>135.47</v>
      </c>
      <c r="F4662" t="s">
        <v>20</v>
      </c>
      <c r="G4662" t="s">
        <v>21</v>
      </c>
      <c r="H4662" t="str">
        <f>"0400475-IN"</f>
        <v>0400475-IN</v>
      </c>
      <c r="I4662" t="str">
        <f>"SIRCHIE"</f>
        <v>SIRCHIE</v>
      </c>
    </row>
    <row r="4663" spans="1:10" x14ac:dyDescent="0.25">
      <c r="A4663" s="6">
        <v>43720</v>
      </c>
      <c r="B4663" t="s">
        <v>26</v>
      </c>
      <c r="C4663">
        <v>61997</v>
      </c>
      <c r="D4663" t="s">
        <v>807</v>
      </c>
      <c r="E4663" s="7">
        <v>883</v>
      </c>
      <c r="F4663" t="s">
        <v>20</v>
      </c>
      <c r="G4663" t="s">
        <v>21</v>
      </c>
      <c r="H4663" t="str">
        <f>"S.MORENO 190802270"</f>
        <v>S.MORENO 190802270</v>
      </c>
      <c r="I4663" t="str">
        <f>"CHRISTUS SANTA ROSA HEALTH CAR"</f>
        <v>CHRISTUS SANTA ROSA HEALTH CAR</v>
      </c>
    </row>
    <row r="4664" spans="1:10" x14ac:dyDescent="0.25">
      <c r="A4664" s="6">
        <v>43720</v>
      </c>
      <c r="B4664" t="s">
        <v>26</v>
      </c>
      <c r="C4664">
        <v>61998</v>
      </c>
      <c r="D4664" t="s">
        <v>808</v>
      </c>
      <c r="E4664" s="7">
        <v>29.33</v>
      </c>
      <c r="F4664" t="s">
        <v>20</v>
      </c>
      <c r="G4664" t="s">
        <v>21</v>
      </c>
      <c r="H4664" t="s">
        <v>809</v>
      </c>
      <c r="I4664" t="s">
        <v>810</v>
      </c>
      <c r="J4664" t="str">
        <f>""</f>
        <v/>
      </c>
    </row>
    <row r="4665" spans="1:10" x14ac:dyDescent="0.25">
      <c r="A4665" s="6">
        <v>43720</v>
      </c>
      <c r="B4665" t="s">
        <v>26</v>
      </c>
      <c r="C4665">
        <v>61999</v>
      </c>
      <c r="D4665" t="s">
        <v>71</v>
      </c>
      <c r="E4665" s="7">
        <v>5248.93</v>
      </c>
      <c r="F4665" t="s">
        <v>20</v>
      </c>
      <c r="G4665" t="s">
        <v>21</v>
      </c>
      <c r="H4665" t="str">
        <f>"1900556924"</f>
        <v>1900556924</v>
      </c>
      <c r="I4665" t="str">
        <f t="shared" ref="I4665:I4677" si="94">"CINTAS CORPORATION #087"</f>
        <v>CINTAS CORPORATION #087</v>
      </c>
    </row>
    <row r="4666" spans="1:10" x14ac:dyDescent="0.25">
      <c r="A4666" s="6">
        <v>43720</v>
      </c>
      <c r="B4666" t="s">
        <v>26</v>
      </c>
      <c r="C4666">
        <v>61999</v>
      </c>
      <c r="D4666" t="s">
        <v>71</v>
      </c>
      <c r="E4666" s="7">
        <v>5248.93</v>
      </c>
      <c r="F4666" t="s">
        <v>20</v>
      </c>
      <c r="G4666" t="s">
        <v>21</v>
      </c>
      <c r="H4666" t="str">
        <f>"1900647518"</f>
        <v>1900647518</v>
      </c>
      <c r="I4666" t="str">
        <f t="shared" si="94"/>
        <v>CINTAS CORPORATION #087</v>
      </c>
    </row>
    <row r="4667" spans="1:10" x14ac:dyDescent="0.25">
      <c r="A4667" s="6">
        <v>43720</v>
      </c>
      <c r="B4667" t="s">
        <v>26</v>
      </c>
      <c r="C4667">
        <v>61999</v>
      </c>
      <c r="D4667" t="s">
        <v>71</v>
      </c>
      <c r="E4667" s="7">
        <v>5248.93</v>
      </c>
      <c r="F4667" t="s">
        <v>20</v>
      </c>
      <c r="G4667" t="s">
        <v>21</v>
      </c>
      <c r="H4667" t="str">
        <f>"4021231364"</f>
        <v>4021231364</v>
      </c>
      <c r="I4667" t="str">
        <f t="shared" si="94"/>
        <v>CINTAS CORPORATION #087</v>
      </c>
    </row>
    <row r="4668" spans="1:10" x14ac:dyDescent="0.25">
      <c r="A4668" s="6">
        <v>43720</v>
      </c>
      <c r="B4668" t="s">
        <v>26</v>
      </c>
      <c r="C4668">
        <v>61999</v>
      </c>
      <c r="D4668" t="s">
        <v>71</v>
      </c>
      <c r="E4668" s="7">
        <v>5248.93</v>
      </c>
      <c r="F4668" t="s">
        <v>20</v>
      </c>
      <c r="G4668" t="s">
        <v>21</v>
      </c>
      <c r="H4668" t="str">
        <f>"4022143799"</f>
        <v>4022143799</v>
      </c>
      <c r="I4668" t="str">
        <f t="shared" si="94"/>
        <v>CINTAS CORPORATION #087</v>
      </c>
    </row>
    <row r="4669" spans="1:10" x14ac:dyDescent="0.25">
      <c r="A4669" s="6">
        <v>43720</v>
      </c>
      <c r="B4669" t="s">
        <v>26</v>
      </c>
      <c r="C4669">
        <v>61999</v>
      </c>
      <c r="D4669" t="s">
        <v>71</v>
      </c>
      <c r="E4669" s="7">
        <v>5248.93</v>
      </c>
      <c r="F4669" t="s">
        <v>20</v>
      </c>
      <c r="G4669" t="s">
        <v>21</v>
      </c>
      <c r="H4669" t="str">
        <f>"4022969897"</f>
        <v>4022969897</v>
      </c>
      <c r="I4669" t="str">
        <f t="shared" si="94"/>
        <v>CINTAS CORPORATION #087</v>
      </c>
    </row>
    <row r="4670" spans="1:10" x14ac:dyDescent="0.25">
      <c r="A4670" s="6">
        <v>43720</v>
      </c>
      <c r="B4670" t="s">
        <v>26</v>
      </c>
      <c r="C4670">
        <v>61999</v>
      </c>
      <c r="D4670" t="s">
        <v>71</v>
      </c>
      <c r="E4670" s="7">
        <v>5248.93</v>
      </c>
      <c r="F4670" t="s">
        <v>20</v>
      </c>
      <c r="G4670" t="s">
        <v>21</v>
      </c>
      <c r="H4670" t="str">
        <f>"4023906140"</f>
        <v>4023906140</v>
      </c>
      <c r="I4670" t="str">
        <f t="shared" si="94"/>
        <v>CINTAS CORPORATION #087</v>
      </c>
    </row>
    <row r="4671" spans="1:10" x14ac:dyDescent="0.25">
      <c r="A4671" s="6">
        <v>43720</v>
      </c>
      <c r="B4671" t="s">
        <v>26</v>
      </c>
      <c r="C4671">
        <v>61999</v>
      </c>
      <c r="D4671" t="s">
        <v>71</v>
      </c>
      <c r="E4671" s="7">
        <v>5248.93</v>
      </c>
      <c r="F4671" t="s">
        <v>20</v>
      </c>
      <c r="G4671" t="s">
        <v>21</v>
      </c>
      <c r="H4671" t="str">
        <f>"4024852360"</f>
        <v>4024852360</v>
      </c>
      <c r="I4671" t="str">
        <f t="shared" si="94"/>
        <v>CINTAS CORPORATION #087</v>
      </c>
    </row>
    <row r="4672" spans="1:10" x14ac:dyDescent="0.25">
      <c r="A4672" s="6">
        <v>43720</v>
      </c>
      <c r="B4672" t="s">
        <v>26</v>
      </c>
      <c r="C4672">
        <v>61999</v>
      </c>
      <c r="D4672" t="s">
        <v>71</v>
      </c>
      <c r="E4672" s="7">
        <v>5248.93</v>
      </c>
      <c r="F4672" t="s">
        <v>20</v>
      </c>
      <c r="G4672" t="s">
        <v>21</v>
      </c>
      <c r="H4672" t="str">
        <f>"4027664064"</f>
        <v>4027664064</v>
      </c>
      <c r="I4672" t="str">
        <f t="shared" si="94"/>
        <v>CINTAS CORPORATION #087</v>
      </c>
    </row>
    <row r="4673" spans="1:9" x14ac:dyDescent="0.25">
      <c r="A4673" s="6">
        <v>43720</v>
      </c>
      <c r="B4673" t="s">
        <v>26</v>
      </c>
      <c r="C4673">
        <v>61999</v>
      </c>
      <c r="D4673" t="s">
        <v>71</v>
      </c>
      <c r="E4673" s="7">
        <v>5248.93</v>
      </c>
      <c r="F4673" t="s">
        <v>20</v>
      </c>
      <c r="G4673" t="s">
        <v>21</v>
      </c>
      <c r="H4673" t="str">
        <f>"4028134194"</f>
        <v>4028134194</v>
      </c>
      <c r="I4673" t="str">
        <f t="shared" si="94"/>
        <v>CINTAS CORPORATION #087</v>
      </c>
    </row>
    <row r="4674" spans="1:9" x14ac:dyDescent="0.25">
      <c r="A4674" s="6">
        <v>43720</v>
      </c>
      <c r="B4674" t="s">
        <v>26</v>
      </c>
      <c r="C4674">
        <v>61999</v>
      </c>
      <c r="D4674" t="s">
        <v>71</v>
      </c>
      <c r="E4674" s="7">
        <v>5248.93</v>
      </c>
      <c r="F4674" t="s">
        <v>20</v>
      </c>
      <c r="G4674" t="s">
        <v>21</v>
      </c>
      <c r="H4674" t="str">
        <f>"4028637258"</f>
        <v>4028637258</v>
      </c>
      <c r="I4674" t="str">
        <f t="shared" si="94"/>
        <v>CINTAS CORPORATION #087</v>
      </c>
    </row>
    <row r="4675" spans="1:9" x14ac:dyDescent="0.25">
      <c r="A4675" s="6">
        <v>43720</v>
      </c>
      <c r="B4675" t="s">
        <v>26</v>
      </c>
      <c r="C4675">
        <v>61999</v>
      </c>
      <c r="D4675" t="s">
        <v>71</v>
      </c>
      <c r="E4675" s="7">
        <v>5248.93</v>
      </c>
      <c r="F4675" t="s">
        <v>20</v>
      </c>
      <c r="G4675" t="s">
        <v>21</v>
      </c>
      <c r="H4675" t="str">
        <f>"4029142148"</f>
        <v>4029142148</v>
      </c>
      <c r="I4675" t="str">
        <f t="shared" si="94"/>
        <v>CINTAS CORPORATION #087</v>
      </c>
    </row>
    <row r="4676" spans="1:9" x14ac:dyDescent="0.25">
      <c r="A4676" s="6">
        <v>43720</v>
      </c>
      <c r="B4676" t="s">
        <v>26</v>
      </c>
      <c r="C4676">
        <v>61999</v>
      </c>
      <c r="D4676" t="s">
        <v>71</v>
      </c>
      <c r="E4676" s="7">
        <v>5248.93</v>
      </c>
      <c r="F4676" t="s">
        <v>20</v>
      </c>
      <c r="G4676" t="s">
        <v>21</v>
      </c>
      <c r="H4676" t="str">
        <f>"4029652341"</f>
        <v>4029652341</v>
      </c>
      <c r="I4676" t="str">
        <f t="shared" si="94"/>
        <v>CINTAS CORPORATION #087</v>
      </c>
    </row>
    <row r="4677" spans="1:9" x14ac:dyDescent="0.25">
      <c r="A4677" s="6">
        <v>43720</v>
      </c>
      <c r="B4677" t="s">
        <v>26</v>
      </c>
      <c r="C4677">
        <v>61999</v>
      </c>
      <c r="D4677" t="s">
        <v>71</v>
      </c>
      <c r="E4677" s="7">
        <v>5248.93</v>
      </c>
      <c r="F4677" t="s">
        <v>20</v>
      </c>
      <c r="G4677" t="s">
        <v>21</v>
      </c>
      <c r="H4677" t="str">
        <f>"4029652363"</f>
        <v>4029652363</v>
      </c>
      <c r="I4677" t="str">
        <f t="shared" si="94"/>
        <v>CINTAS CORPORATION #087</v>
      </c>
    </row>
    <row r="4678" spans="1:9" x14ac:dyDescent="0.25">
      <c r="A4678" s="6">
        <v>43720</v>
      </c>
      <c r="B4678" t="s">
        <v>26</v>
      </c>
      <c r="C4678">
        <v>62002</v>
      </c>
      <c r="D4678" t="s">
        <v>74</v>
      </c>
      <c r="E4678" s="7">
        <v>4359.66</v>
      </c>
      <c r="F4678" t="s">
        <v>20</v>
      </c>
      <c r="G4678" t="s">
        <v>21</v>
      </c>
      <c r="H4678" t="str">
        <f>"9836742749"</f>
        <v>9836742749</v>
      </c>
      <c r="I4678" t="str">
        <f>"VERIZON WIRELESS"</f>
        <v>VERIZON WIRELESS</v>
      </c>
    </row>
    <row r="4679" spans="1:9" x14ac:dyDescent="0.25">
      <c r="A4679" s="6">
        <v>43720</v>
      </c>
      <c r="B4679" t="s">
        <v>26</v>
      </c>
      <c r="C4679">
        <v>62003</v>
      </c>
      <c r="D4679" t="s">
        <v>534</v>
      </c>
      <c r="E4679" s="7">
        <v>107.17</v>
      </c>
      <c r="F4679" t="s">
        <v>20</v>
      </c>
      <c r="G4679" t="s">
        <v>21</v>
      </c>
      <c r="H4679" t="str">
        <f>"8404290747"</f>
        <v>8404290747</v>
      </c>
      <c r="I4679" t="str">
        <f>"CINTAS CORPORATION NO. 2"</f>
        <v>CINTAS CORPORATION NO. 2</v>
      </c>
    </row>
    <row r="4680" spans="1:9" x14ac:dyDescent="0.25">
      <c r="A4680" s="6">
        <v>43720</v>
      </c>
      <c r="B4680" t="s">
        <v>26</v>
      </c>
      <c r="C4680">
        <v>62004</v>
      </c>
      <c r="D4680" t="s">
        <v>510</v>
      </c>
      <c r="E4680" s="7">
        <v>411.72</v>
      </c>
      <c r="F4680" t="s">
        <v>20</v>
      </c>
      <c r="G4680" t="s">
        <v>21</v>
      </c>
      <c r="H4680" t="str">
        <f>"06361131"</f>
        <v>06361131</v>
      </c>
      <c r="I4680" t="str">
        <f>"PROMOTION ITEMS"</f>
        <v>PROMOTION ITEMS</v>
      </c>
    </row>
    <row r="4681" spans="1:9" x14ac:dyDescent="0.25">
      <c r="A4681" s="6">
        <v>43720</v>
      </c>
      <c r="B4681" t="s">
        <v>26</v>
      </c>
      <c r="C4681">
        <v>62005</v>
      </c>
      <c r="D4681" t="s">
        <v>81</v>
      </c>
      <c r="E4681" s="7">
        <v>759.32</v>
      </c>
      <c r="F4681" t="s">
        <v>20</v>
      </c>
      <c r="G4681" t="s">
        <v>21</v>
      </c>
      <c r="H4681" t="str">
        <f>"9/7/19 WILD GAME"</f>
        <v>9/7/19 WILD GAME</v>
      </c>
      <c r="I4681" t="str">
        <f>"CITY OF FLORESVILLE -PETTY CAS"</f>
        <v>CITY OF FLORESVILLE -PETTY CAS</v>
      </c>
    </row>
    <row r="4682" spans="1:9" x14ac:dyDescent="0.25">
      <c r="A4682" s="6">
        <v>43720</v>
      </c>
      <c r="B4682" t="s">
        <v>26</v>
      </c>
      <c r="C4682">
        <v>62006</v>
      </c>
      <c r="D4682" t="s">
        <v>761</v>
      </c>
      <c r="E4682" s="7">
        <v>105.69</v>
      </c>
      <c r="F4682" t="s">
        <v>20</v>
      </c>
      <c r="G4682" t="s">
        <v>21</v>
      </c>
      <c r="H4682" t="str">
        <f>"101-103904"</f>
        <v>101-103904</v>
      </c>
      <c r="I4682" t="str">
        <f>"SUPPLIES FOR EVENT"</f>
        <v>SUPPLIES FOR EVENT</v>
      </c>
    </row>
    <row r="4683" spans="1:9" x14ac:dyDescent="0.25">
      <c r="A4683" s="6">
        <v>43720</v>
      </c>
      <c r="B4683" t="s">
        <v>26</v>
      </c>
      <c r="C4683">
        <v>62007</v>
      </c>
      <c r="D4683" t="s">
        <v>85</v>
      </c>
      <c r="E4683" s="7">
        <v>1311.45</v>
      </c>
      <c r="F4683" t="s">
        <v>20</v>
      </c>
      <c r="G4683" t="s">
        <v>21</v>
      </c>
      <c r="H4683" t="str">
        <f>"8301970024 8/15"</f>
        <v>8301970024 8/15</v>
      </c>
      <c r="I4683" t="str">
        <f>"FRONTIER"</f>
        <v>FRONTIER</v>
      </c>
    </row>
    <row r="4684" spans="1:9" x14ac:dyDescent="0.25">
      <c r="A4684" s="6">
        <v>43720</v>
      </c>
      <c r="B4684" t="s">
        <v>26</v>
      </c>
      <c r="C4684">
        <v>62008</v>
      </c>
      <c r="D4684" t="s">
        <v>275</v>
      </c>
      <c r="E4684" s="7">
        <v>1560</v>
      </c>
      <c r="F4684" t="s">
        <v>20</v>
      </c>
      <c r="G4684" t="s">
        <v>21</v>
      </c>
      <c r="H4684" t="str">
        <f>"45256"</f>
        <v>45256</v>
      </c>
      <c r="I4684" t="str">
        <f>"CORTEZ LIQUID WASTE SERVICES"</f>
        <v>CORTEZ LIQUID WASTE SERVICES</v>
      </c>
    </row>
    <row r="4685" spans="1:9" x14ac:dyDescent="0.25">
      <c r="A4685" s="6">
        <v>43720</v>
      </c>
      <c r="B4685" t="s">
        <v>26</v>
      </c>
      <c r="C4685">
        <v>62008</v>
      </c>
      <c r="D4685" t="s">
        <v>275</v>
      </c>
      <c r="E4685" s="7">
        <v>1560</v>
      </c>
      <c r="F4685" t="s">
        <v>20</v>
      </c>
      <c r="G4685" t="s">
        <v>21</v>
      </c>
      <c r="H4685" t="str">
        <f>"45257"</f>
        <v>45257</v>
      </c>
      <c r="I4685" t="str">
        <f>"CORTEZ LIQUID WASTE SERVICES"</f>
        <v>CORTEZ LIQUID WASTE SERVICES</v>
      </c>
    </row>
    <row r="4686" spans="1:9" x14ac:dyDescent="0.25">
      <c r="A4686" s="6">
        <v>43720</v>
      </c>
      <c r="B4686" t="s">
        <v>26</v>
      </c>
      <c r="C4686">
        <v>62008</v>
      </c>
      <c r="D4686" t="s">
        <v>275</v>
      </c>
      <c r="E4686" s="7">
        <v>1560</v>
      </c>
      <c r="F4686" t="s">
        <v>20</v>
      </c>
      <c r="G4686" t="s">
        <v>21</v>
      </c>
      <c r="H4686" t="str">
        <f>"45258"</f>
        <v>45258</v>
      </c>
      <c r="I4686" t="str">
        <f>"CORTEZ LIQUID WASTE SERVICES"</f>
        <v>CORTEZ LIQUID WASTE SERVICES</v>
      </c>
    </row>
    <row r="4687" spans="1:9" x14ac:dyDescent="0.25">
      <c r="A4687" s="6">
        <v>43720</v>
      </c>
      <c r="B4687" t="s">
        <v>26</v>
      </c>
      <c r="C4687">
        <v>62008</v>
      </c>
      <c r="D4687" t="s">
        <v>275</v>
      </c>
      <c r="E4687" s="7">
        <v>1560</v>
      </c>
      <c r="F4687" t="s">
        <v>20</v>
      </c>
      <c r="G4687" t="s">
        <v>21</v>
      </c>
      <c r="H4687" t="str">
        <f>"45259"</f>
        <v>45259</v>
      </c>
      <c r="I4687" t="str">
        <f>"CORTEZ LIQUID WASTE SERVICES"</f>
        <v>CORTEZ LIQUID WASTE SERVICES</v>
      </c>
    </row>
    <row r="4688" spans="1:9" x14ac:dyDescent="0.25">
      <c r="A4688" s="6">
        <v>43720</v>
      </c>
      <c r="B4688" t="s">
        <v>26</v>
      </c>
      <c r="C4688">
        <v>62009</v>
      </c>
      <c r="D4688" t="s">
        <v>345</v>
      </c>
      <c r="E4688" s="7">
        <v>319</v>
      </c>
      <c r="F4688" t="s">
        <v>20</v>
      </c>
      <c r="G4688" t="s">
        <v>21</v>
      </c>
      <c r="H4688" t="str">
        <f>"9/9/19"</f>
        <v>9/9/19</v>
      </c>
      <c r="I4688" t="str">
        <f>"MICHAEL ISAAC MARTINEZ"</f>
        <v>MICHAEL ISAAC MARTINEZ</v>
      </c>
    </row>
    <row r="4689" spans="1:9" x14ac:dyDescent="0.25">
      <c r="A4689" s="6">
        <v>43720</v>
      </c>
      <c r="B4689" t="s">
        <v>26</v>
      </c>
      <c r="C4689">
        <v>62010</v>
      </c>
      <c r="D4689" t="s">
        <v>452</v>
      </c>
      <c r="E4689" s="7">
        <v>150</v>
      </c>
      <c r="F4689" t="s">
        <v>20</v>
      </c>
      <c r="G4689" t="s">
        <v>21</v>
      </c>
      <c r="H4689" t="str">
        <f>"09/08/2019"</f>
        <v>09/08/2019</v>
      </c>
      <c r="I4689" t="str">
        <f>"DESIREE PEREZ"</f>
        <v>DESIREE PEREZ</v>
      </c>
    </row>
    <row r="4690" spans="1:9" x14ac:dyDescent="0.25">
      <c r="A4690" s="6">
        <v>43720</v>
      </c>
      <c r="B4690" t="s">
        <v>26</v>
      </c>
      <c r="C4690">
        <v>62011</v>
      </c>
      <c r="D4690" t="s">
        <v>328</v>
      </c>
      <c r="E4690" s="7">
        <v>450.82</v>
      </c>
      <c r="F4690" t="s">
        <v>20</v>
      </c>
      <c r="G4690" t="s">
        <v>21</v>
      </c>
      <c r="H4690" t="str">
        <f>"7018298"</f>
        <v>7018298</v>
      </c>
      <c r="I4690" t="str">
        <f>"LICENSE FOR NEW OFFICER"</f>
        <v>LICENSE FOR NEW OFFICER</v>
      </c>
    </row>
    <row r="4691" spans="1:9" x14ac:dyDescent="0.25">
      <c r="A4691" s="6">
        <v>43720</v>
      </c>
      <c r="B4691" t="s">
        <v>26</v>
      </c>
      <c r="C4691">
        <v>62012</v>
      </c>
      <c r="D4691" t="s">
        <v>554</v>
      </c>
      <c r="E4691" s="7">
        <v>74.95</v>
      </c>
      <c r="F4691" t="s">
        <v>20</v>
      </c>
      <c r="G4691" t="s">
        <v>21</v>
      </c>
      <c r="H4691" t="str">
        <f>"AA44134"</f>
        <v>AA44134</v>
      </c>
      <c r="I4691" t="str">
        <f>"TEXAS WIRED MUSIC"</f>
        <v>TEXAS WIRED MUSIC</v>
      </c>
    </row>
    <row r="4692" spans="1:9" x14ac:dyDescent="0.25">
      <c r="A4692" s="6">
        <v>43720</v>
      </c>
      <c r="B4692" t="s">
        <v>26</v>
      </c>
      <c r="C4692">
        <v>62013</v>
      </c>
      <c r="D4692" t="s">
        <v>698</v>
      </c>
      <c r="E4692" s="7">
        <v>70</v>
      </c>
      <c r="F4692" t="s">
        <v>20</v>
      </c>
      <c r="G4692" t="s">
        <v>21</v>
      </c>
      <c r="H4692" t="str">
        <f>"9/7/19"</f>
        <v>9/7/19</v>
      </c>
      <c r="I4692" t="str">
        <f>"TRACY ORTIZ"</f>
        <v>TRACY ORTIZ</v>
      </c>
    </row>
    <row r="4693" spans="1:9" x14ac:dyDescent="0.25">
      <c r="A4693" s="6">
        <v>43720</v>
      </c>
      <c r="B4693" t="s">
        <v>26</v>
      </c>
      <c r="C4693">
        <v>62014</v>
      </c>
      <c r="D4693" t="s">
        <v>716</v>
      </c>
      <c r="E4693" s="7">
        <v>370</v>
      </c>
      <c r="F4693" t="s">
        <v>20</v>
      </c>
      <c r="G4693" t="s">
        <v>21</v>
      </c>
      <c r="H4693" t="str">
        <f>"9/9/2019"</f>
        <v>9/9/2019</v>
      </c>
      <c r="I4693" t="str">
        <f>"ALFREDO SENDEJO"</f>
        <v>ALFREDO SENDEJO</v>
      </c>
    </row>
    <row r="4694" spans="1:9" x14ac:dyDescent="0.25">
      <c r="A4694" s="6">
        <v>43720</v>
      </c>
      <c r="B4694" t="s">
        <v>26</v>
      </c>
      <c r="C4694">
        <v>62015</v>
      </c>
      <c r="D4694" t="s">
        <v>739</v>
      </c>
      <c r="E4694" s="7">
        <v>191.88</v>
      </c>
      <c r="F4694" t="s">
        <v>20</v>
      </c>
      <c r="G4694" t="s">
        <v>21</v>
      </c>
      <c r="H4694" t="str">
        <f>"287291275286 X0819"</f>
        <v>287291275286 X0819</v>
      </c>
      <c r="I4694" t="str">
        <f>"FIRSTNET/AT&amp;T MOBILITY LLC"</f>
        <v>FIRSTNET/AT&amp;T MOBILITY LLC</v>
      </c>
    </row>
    <row r="4695" spans="1:9" x14ac:dyDescent="0.25">
      <c r="A4695" s="6">
        <v>43720</v>
      </c>
      <c r="B4695" t="s">
        <v>26</v>
      </c>
      <c r="C4695">
        <v>62016</v>
      </c>
      <c r="D4695" t="s">
        <v>752</v>
      </c>
      <c r="E4695" s="7">
        <v>180</v>
      </c>
      <c r="F4695" t="s">
        <v>20</v>
      </c>
      <c r="G4695" t="s">
        <v>21</v>
      </c>
      <c r="H4695" t="str">
        <f>"9/7-9/8/2019"</f>
        <v>9/7-9/8/2019</v>
      </c>
      <c r="I4695" t="str">
        <f>"BLANCA PEREZ"</f>
        <v>BLANCA PEREZ</v>
      </c>
    </row>
    <row r="4696" spans="1:9" x14ac:dyDescent="0.25">
      <c r="A4696" s="6">
        <v>43720</v>
      </c>
      <c r="B4696" t="s">
        <v>26</v>
      </c>
      <c r="C4696">
        <v>62017</v>
      </c>
      <c r="D4696" t="s">
        <v>811</v>
      </c>
      <c r="E4696" s="7">
        <v>1243.1500000000001</v>
      </c>
      <c r="F4696" t="s">
        <v>20</v>
      </c>
      <c r="G4696" t="s">
        <v>21</v>
      </c>
      <c r="H4696" t="str">
        <f>"56"</f>
        <v>56</v>
      </c>
      <c r="I4696" t="str">
        <f>"SUPPLIES FOR WASTE WATER"</f>
        <v>SUPPLIES FOR WASTE WATER</v>
      </c>
    </row>
    <row r="4697" spans="1:9" x14ac:dyDescent="0.25">
      <c r="A4697" s="6">
        <v>43720</v>
      </c>
      <c r="B4697" t="s">
        <v>26</v>
      </c>
      <c r="C4697">
        <v>62017</v>
      </c>
      <c r="D4697" t="s">
        <v>811</v>
      </c>
      <c r="E4697" s="7">
        <v>1243.1500000000001</v>
      </c>
      <c r="F4697" t="s">
        <v>20</v>
      </c>
      <c r="G4697" t="s">
        <v>21</v>
      </c>
      <c r="H4697" t="str">
        <f>"57"</f>
        <v>57</v>
      </c>
      <c r="I4697" t="str">
        <f>"RAS PUMP REPAIR"</f>
        <v>RAS PUMP REPAIR</v>
      </c>
    </row>
    <row r="4698" spans="1:9" x14ac:dyDescent="0.25">
      <c r="A4698" s="6">
        <v>43720</v>
      </c>
      <c r="B4698" t="s">
        <v>26</v>
      </c>
      <c r="C4698">
        <v>62018</v>
      </c>
      <c r="D4698" t="s">
        <v>781</v>
      </c>
      <c r="E4698" s="7">
        <v>70</v>
      </c>
      <c r="F4698" t="s">
        <v>20</v>
      </c>
      <c r="G4698" t="s">
        <v>21</v>
      </c>
      <c r="H4698" t="str">
        <f>"9/719"</f>
        <v>9/719</v>
      </c>
      <c r="I4698" t="str">
        <f>"ASHLEY MARTINEZ"</f>
        <v>ASHLEY MARTINEZ</v>
      </c>
    </row>
    <row r="4699" spans="1:9" x14ac:dyDescent="0.25">
      <c r="A4699" s="6">
        <v>43720</v>
      </c>
      <c r="B4699" t="s">
        <v>26</v>
      </c>
      <c r="C4699">
        <v>62019</v>
      </c>
      <c r="D4699" t="s">
        <v>794</v>
      </c>
      <c r="E4699" s="7">
        <v>250</v>
      </c>
      <c r="F4699" t="s">
        <v>20</v>
      </c>
      <c r="G4699" t="s">
        <v>21</v>
      </c>
      <c r="H4699" t="str">
        <f>"20613*REISSUE"</f>
        <v>20613*REISSUE</v>
      </c>
      <c r="I4699" t="str">
        <f>"CREATIVE RF VENTURE GROUP LLC/"</f>
        <v>CREATIVE RF VENTURE GROUP LLC/</v>
      </c>
    </row>
    <row r="4700" spans="1:9" x14ac:dyDescent="0.25">
      <c r="A4700" s="6">
        <v>43720</v>
      </c>
      <c r="B4700" t="s">
        <v>26</v>
      </c>
      <c r="C4700">
        <v>62020</v>
      </c>
      <c r="D4700" t="s">
        <v>812</v>
      </c>
      <c r="E4700" s="7">
        <v>52.01</v>
      </c>
      <c r="F4700" t="s">
        <v>20</v>
      </c>
      <c r="G4700" t="s">
        <v>21</v>
      </c>
      <c r="H4700" t="str">
        <f>"1544153 FINAL BILL"</f>
        <v>1544153 FINAL BILL</v>
      </c>
      <c r="I4700" t="str">
        <f>"CAINE &amp; WEINER"</f>
        <v>CAINE &amp; WEINER</v>
      </c>
    </row>
    <row r="4701" spans="1:9" x14ac:dyDescent="0.25">
      <c r="A4701" s="6">
        <v>43720</v>
      </c>
      <c r="B4701" t="s">
        <v>26</v>
      </c>
      <c r="C4701">
        <v>62021</v>
      </c>
      <c r="D4701" t="s">
        <v>813</v>
      </c>
      <c r="E4701" s="7">
        <v>5000</v>
      </c>
      <c r="F4701" t="s">
        <v>20</v>
      </c>
      <c r="G4701" t="s">
        <v>21</v>
      </c>
      <c r="H4701" t="str">
        <f>"HOLIDAY EXTRV 2019"</f>
        <v>HOLIDAY EXTRV 2019</v>
      </c>
      <c r="I4701" t="str">
        <f>"MR. SUNNY OZUNA"</f>
        <v>MR. SUNNY OZUNA</v>
      </c>
    </row>
    <row r="4702" spans="1:9" x14ac:dyDescent="0.25">
      <c r="A4702" s="6">
        <v>43720</v>
      </c>
      <c r="B4702" t="s">
        <v>26</v>
      </c>
      <c r="C4702">
        <v>62022</v>
      </c>
      <c r="D4702" t="s">
        <v>205</v>
      </c>
      <c r="E4702" s="7">
        <v>501</v>
      </c>
      <c r="F4702" t="s">
        <v>20</v>
      </c>
      <c r="G4702" t="s">
        <v>21</v>
      </c>
      <c r="H4702" t="str">
        <f>"9/12/19"</f>
        <v>9/12/19</v>
      </c>
      <c r="I4702" t="str">
        <f>"SILVER EAGLE DISTRIBUTORS"</f>
        <v>SILVER EAGLE DISTRIBUTORS</v>
      </c>
    </row>
    <row r="4703" spans="1:9" x14ac:dyDescent="0.25">
      <c r="A4703" s="6">
        <v>43726</v>
      </c>
      <c r="B4703" t="s">
        <v>26</v>
      </c>
      <c r="C4703">
        <v>62023</v>
      </c>
      <c r="D4703" t="s">
        <v>102</v>
      </c>
      <c r="E4703" s="7">
        <v>96.36</v>
      </c>
      <c r="F4703" t="s">
        <v>20</v>
      </c>
      <c r="G4703" t="s">
        <v>21</v>
      </c>
      <c r="H4703" t="str">
        <f>"1120 D. ST 9/19"</f>
        <v>1120 D. ST 9/19</v>
      </c>
      <c r="I4703" t="str">
        <f>"CENTERPOINT ENERGY ENTEX"</f>
        <v>CENTERPOINT ENERGY ENTEX</v>
      </c>
    </row>
    <row r="4704" spans="1:9" x14ac:dyDescent="0.25">
      <c r="A4704" s="6">
        <v>43726</v>
      </c>
      <c r="B4704" t="s">
        <v>26</v>
      </c>
      <c r="C4704">
        <v>62023</v>
      </c>
      <c r="D4704" t="s">
        <v>102</v>
      </c>
      <c r="E4704" s="7">
        <v>96.36</v>
      </c>
      <c r="F4704" t="s">
        <v>20</v>
      </c>
      <c r="G4704" t="s">
        <v>21</v>
      </c>
      <c r="H4704" t="str">
        <f>"1200 1ST 9/19"</f>
        <v>1200 1ST 9/19</v>
      </c>
      <c r="I4704" t="str">
        <f>"CENTERPOINT ENERGY ENTEX"</f>
        <v>CENTERPOINT ENERGY ENTEX</v>
      </c>
    </row>
    <row r="4705" spans="1:9" x14ac:dyDescent="0.25">
      <c r="A4705" s="6">
        <v>43726</v>
      </c>
      <c r="B4705" t="s">
        <v>26</v>
      </c>
      <c r="C4705">
        <v>62023</v>
      </c>
      <c r="D4705" t="s">
        <v>102</v>
      </c>
      <c r="E4705" s="7">
        <v>96.36</v>
      </c>
      <c r="F4705" t="s">
        <v>20</v>
      </c>
      <c r="G4705" t="s">
        <v>21</v>
      </c>
      <c r="H4705" t="str">
        <f>"920 C. ST 9/19"</f>
        <v>920 C. ST 9/19</v>
      </c>
      <c r="I4705" t="str">
        <f>"CENTERPOINT ENERGY ENTEX"</f>
        <v>CENTERPOINT ENERGY ENTEX</v>
      </c>
    </row>
    <row r="4706" spans="1:9" x14ac:dyDescent="0.25">
      <c r="A4706" s="6">
        <v>43726</v>
      </c>
      <c r="B4706" t="s">
        <v>26</v>
      </c>
      <c r="C4706">
        <v>62024</v>
      </c>
      <c r="D4706" t="s">
        <v>57</v>
      </c>
      <c r="E4706" s="7">
        <v>10015.459999999999</v>
      </c>
      <c r="F4706" t="s">
        <v>20</v>
      </c>
      <c r="G4706" t="s">
        <v>21</v>
      </c>
      <c r="H4706" t="str">
        <f>"33062 9/2019"</f>
        <v>33062 9/2019</v>
      </c>
      <c r="I4706" t="str">
        <f>"F.E.L.P.S."</f>
        <v>F.E.L.P.S.</v>
      </c>
    </row>
    <row r="4707" spans="1:9" x14ac:dyDescent="0.25">
      <c r="A4707" s="6">
        <v>43726</v>
      </c>
      <c r="B4707" t="s">
        <v>26</v>
      </c>
      <c r="C4707">
        <v>62025</v>
      </c>
      <c r="D4707" t="s">
        <v>201</v>
      </c>
      <c r="E4707" s="7">
        <v>85.14</v>
      </c>
      <c r="F4707" t="s">
        <v>20</v>
      </c>
      <c r="G4707" t="s">
        <v>21</v>
      </c>
      <c r="H4707" t="str">
        <f>"139374"</f>
        <v>139374</v>
      </c>
      <c r="I4707" t="str">
        <f>"WILSON COUNTY HARDWARE"</f>
        <v>WILSON COUNTY HARDWARE</v>
      </c>
    </row>
    <row r="4708" spans="1:9" x14ac:dyDescent="0.25">
      <c r="A4708" s="6">
        <v>43726</v>
      </c>
      <c r="B4708" t="s">
        <v>26</v>
      </c>
      <c r="C4708">
        <v>62025</v>
      </c>
      <c r="D4708" t="s">
        <v>201</v>
      </c>
      <c r="E4708" s="7">
        <v>85.14</v>
      </c>
      <c r="F4708" t="s">
        <v>20</v>
      </c>
      <c r="G4708" t="s">
        <v>21</v>
      </c>
      <c r="H4708" t="str">
        <f>"139377"</f>
        <v>139377</v>
      </c>
      <c r="I4708" t="str">
        <f>"WILSON COUNTY HARDWARE"</f>
        <v>WILSON COUNTY HARDWARE</v>
      </c>
    </row>
    <row r="4709" spans="1:9" x14ac:dyDescent="0.25">
      <c r="A4709" s="6">
        <v>43726</v>
      </c>
      <c r="B4709" t="s">
        <v>26</v>
      </c>
      <c r="C4709">
        <v>62025</v>
      </c>
      <c r="D4709" t="s">
        <v>201</v>
      </c>
      <c r="E4709" s="7">
        <v>85.14</v>
      </c>
      <c r="F4709" t="s">
        <v>20</v>
      </c>
      <c r="G4709" t="s">
        <v>21</v>
      </c>
      <c r="H4709" t="str">
        <f>"139379"</f>
        <v>139379</v>
      </c>
      <c r="I4709" t="str">
        <f>"WILSON COUNTY HARDWARE"</f>
        <v>WILSON COUNTY HARDWARE</v>
      </c>
    </row>
    <row r="4710" spans="1:9" x14ac:dyDescent="0.25">
      <c r="A4710" s="6">
        <v>43726</v>
      </c>
      <c r="B4710" t="s">
        <v>26</v>
      </c>
      <c r="C4710">
        <v>62026</v>
      </c>
      <c r="D4710" t="s">
        <v>104</v>
      </c>
      <c r="E4710" s="7">
        <v>2431.66</v>
      </c>
      <c r="F4710" t="s">
        <v>20</v>
      </c>
      <c r="G4710" t="s">
        <v>21</v>
      </c>
      <c r="H4710" t="str">
        <f>"1385210619"</f>
        <v>1385210619</v>
      </c>
      <c r="I4710" t="str">
        <f t="shared" ref="I4710:I4718" si="95">"WILSON COUNTY NEWS"</f>
        <v>WILSON COUNTY NEWS</v>
      </c>
    </row>
    <row r="4711" spans="1:9" x14ac:dyDescent="0.25">
      <c r="A4711" s="6">
        <v>43726</v>
      </c>
      <c r="B4711" t="s">
        <v>26</v>
      </c>
      <c r="C4711">
        <v>62026</v>
      </c>
      <c r="D4711" t="s">
        <v>104</v>
      </c>
      <c r="E4711" s="7">
        <v>2431.66</v>
      </c>
      <c r="F4711" t="s">
        <v>20</v>
      </c>
      <c r="G4711" t="s">
        <v>21</v>
      </c>
      <c r="H4711" t="str">
        <f>"1389630807"</f>
        <v>1389630807</v>
      </c>
      <c r="I4711" t="str">
        <f t="shared" si="95"/>
        <v>WILSON COUNTY NEWS</v>
      </c>
    </row>
    <row r="4712" spans="1:9" x14ac:dyDescent="0.25">
      <c r="A4712" s="6">
        <v>43726</v>
      </c>
      <c r="B4712" t="s">
        <v>26</v>
      </c>
      <c r="C4712">
        <v>62026</v>
      </c>
      <c r="D4712" t="s">
        <v>104</v>
      </c>
      <c r="E4712" s="7">
        <v>2431.66</v>
      </c>
      <c r="F4712" t="s">
        <v>20</v>
      </c>
      <c r="G4712" t="s">
        <v>21</v>
      </c>
      <c r="H4712" t="str">
        <f>"1389630814"</f>
        <v>1389630814</v>
      </c>
      <c r="I4712" t="str">
        <f t="shared" si="95"/>
        <v>WILSON COUNTY NEWS</v>
      </c>
    </row>
    <row r="4713" spans="1:9" x14ac:dyDescent="0.25">
      <c r="A4713" s="6">
        <v>43726</v>
      </c>
      <c r="B4713" t="s">
        <v>26</v>
      </c>
      <c r="C4713">
        <v>62026</v>
      </c>
      <c r="D4713" t="s">
        <v>104</v>
      </c>
      <c r="E4713" s="7">
        <v>2431.66</v>
      </c>
      <c r="F4713" t="s">
        <v>20</v>
      </c>
      <c r="G4713" t="s">
        <v>21</v>
      </c>
      <c r="H4713" t="str">
        <f>"1389640807"</f>
        <v>1389640807</v>
      </c>
      <c r="I4713" t="str">
        <f t="shared" si="95"/>
        <v>WILSON COUNTY NEWS</v>
      </c>
    </row>
    <row r="4714" spans="1:9" x14ac:dyDescent="0.25">
      <c r="A4714" s="6">
        <v>43726</v>
      </c>
      <c r="B4714" t="s">
        <v>26</v>
      </c>
      <c r="C4714">
        <v>62026</v>
      </c>
      <c r="D4714" t="s">
        <v>104</v>
      </c>
      <c r="E4714" s="7">
        <v>2431.66</v>
      </c>
      <c r="F4714" t="s">
        <v>20</v>
      </c>
      <c r="G4714" t="s">
        <v>21</v>
      </c>
      <c r="H4714" t="str">
        <f>"1389640814"</f>
        <v>1389640814</v>
      </c>
      <c r="I4714" t="str">
        <f t="shared" si="95"/>
        <v>WILSON COUNTY NEWS</v>
      </c>
    </row>
    <row r="4715" spans="1:9" x14ac:dyDescent="0.25">
      <c r="A4715" s="6">
        <v>43726</v>
      </c>
      <c r="B4715" t="s">
        <v>26</v>
      </c>
      <c r="C4715">
        <v>62026</v>
      </c>
      <c r="D4715" t="s">
        <v>104</v>
      </c>
      <c r="E4715" s="7">
        <v>2431.66</v>
      </c>
      <c r="F4715" t="s">
        <v>20</v>
      </c>
      <c r="G4715" t="s">
        <v>21</v>
      </c>
      <c r="H4715" t="str">
        <f>"1389650807"</f>
        <v>1389650807</v>
      </c>
      <c r="I4715" t="str">
        <f t="shared" si="95"/>
        <v>WILSON COUNTY NEWS</v>
      </c>
    </row>
    <row r="4716" spans="1:9" x14ac:dyDescent="0.25">
      <c r="A4716" s="6">
        <v>43726</v>
      </c>
      <c r="B4716" t="s">
        <v>26</v>
      </c>
      <c r="C4716">
        <v>62026</v>
      </c>
      <c r="D4716" t="s">
        <v>104</v>
      </c>
      <c r="E4716" s="7">
        <v>2431.66</v>
      </c>
      <c r="F4716" t="s">
        <v>20</v>
      </c>
      <c r="G4716" t="s">
        <v>21</v>
      </c>
      <c r="H4716" t="str">
        <f>"1389650814"</f>
        <v>1389650814</v>
      </c>
      <c r="I4716" t="str">
        <f t="shared" si="95"/>
        <v>WILSON COUNTY NEWS</v>
      </c>
    </row>
    <row r="4717" spans="1:9" x14ac:dyDescent="0.25">
      <c r="A4717" s="6">
        <v>43726</v>
      </c>
      <c r="B4717" t="s">
        <v>26</v>
      </c>
      <c r="C4717">
        <v>62026</v>
      </c>
      <c r="D4717" t="s">
        <v>104</v>
      </c>
      <c r="E4717" s="7">
        <v>2431.66</v>
      </c>
      <c r="F4717" t="s">
        <v>20</v>
      </c>
      <c r="G4717" t="s">
        <v>21</v>
      </c>
      <c r="H4717" t="str">
        <f>"1389660807"</f>
        <v>1389660807</v>
      </c>
      <c r="I4717" t="str">
        <f t="shared" si="95"/>
        <v>WILSON COUNTY NEWS</v>
      </c>
    </row>
    <row r="4718" spans="1:9" x14ac:dyDescent="0.25">
      <c r="A4718" s="6">
        <v>43726</v>
      </c>
      <c r="B4718" t="s">
        <v>26</v>
      </c>
      <c r="C4718">
        <v>62026</v>
      </c>
      <c r="D4718" t="s">
        <v>104</v>
      </c>
      <c r="E4718" s="7">
        <v>2431.66</v>
      </c>
      <c r="F4718" t="s">
        <v>20</v>
      </c>
      <c r="G4718" t="s">
        <v>21</v>
      </c>
      <c r="H4718" t="str">
        <f>"1395060828"</f>
        <v>1395060828</v>
      </c>
      <c r="I4718" t="str">
        <f t="shared" si="95"/>
        <v>WILSON COUNTY NEWS</v>
      </c>
    </row>
    <row r="4719" spans="1:9" x14ac:dyDescent="0.25">
      <c r="A4719" s="6">
        <v>43726</v>
      </c>
      <c r="B4719" t="s">
        <v>26</v>
      </c>
      <c r="C4719">
        <v>62028</v>
      </c>
      <c r="D4719" t="s">
        <v>59</v>
      </c>
      <c r="E4719" s="7">
        <v>1766.1</v>
      </c>
      <c r="F4719" t="s">
        <v>20</v>
      </c>
      <c r="G4719" t="s">
        <v>21</v>
      </c>
      <c r="H4719" t="str">
        <f>"1028997-1"</f>
        <v>1028997-1</v>
      </c>
      <c r="I4719" t="str">
        <f>"WATER PIPES AND FITTINGS"</f>
        <v>WATER PIPES AND FITTINGS</v>
      </c>
    </row>
    <row r="4720" spans="1:9" x14ac:dyDescent="0.25">
      <c r="A4720" s="6">
        <v>43726</v>
      </c>
      <c r="B4720" t="s">
        <v>26</v>
      </c>
      <c r="C4720">
        <v>62028</v>
      </c>
      <c r="D4720" t="s">
        <v>59</v>
      </c>
      <c r="E4720" s="7">
        <v>1766.1</v>
      </c>
      <c r="F4720" t="s">
        <v>20</v>
      </c>
      <c r="G4720" t="s">
        <v>21</v>
      </c>
      <c r="H4720" t="str">
        <f>"1029353"</f>
        <v>1029353</v>
      </c>
      <c r="I4720" t="str">
        <f>"MISC STOCK"</f>
        <v>MISC STOCK</v>
      </c>
    </row>
    <row r="4721" spans="1:9" x14ac:dyDescent="0.25">
      <c r="A4721" s="6">
        <v>43726</v>
      </c>
      <c r="B4721" t="s">
        <v>26</v>
      </c>
      <c r="C4721">
        <v>62028</v>
      </c>
      <c r="D4721" t="s">
        <v>59</v>
      </c>
      <c r="E4721" s="7">
        <v>1766.1</v>
      </c>
      <c r="F4721" t="s">
        <v>20</v>
      </c>
      <c r="G4721" t="s">
        <v>21</v>
      </c>
      <c r="H4721" t="str">
        <f>"1030508"</f>
        <v>1030508</v>
      </c>
      <c r="I4721" t="str">
        <f>"FERGUSON WATERWORKS - MUNICIPA"</f>
        <v>FERGUSON WATERWORKS - MUNICIPA</v>
      </c>
    </row>
    <row r="4722" spans="1:9" x14ac:dyDescent="0.25">
      <c r="A4722" s="6">
        <v>43726</v>
      </c>
      <c r="B4722" t="s">
        <v>26</v>
      </c>
      <c r="C4722">
        <v>62028</v>
      </c>
      <c r="D4722" t="s">
        <v>59</v>
      </c>
      <c r="E4722" s="7">
        <v>1766.1</v>
      </c>
      <c r="F4722" t="s">
        <v>20</v>
      </c>
      <c r="G4722" t="s">
        <v>21</v>
      </c>
      <c r="H4722" t="str">
        <f>"1031533"</f>
        <v>1031533</v>
      </c>
      <c r="I4722" t="str">
        <f>"MISC STOCK FOR WW"</f>
        <v>MISC STOCK FOR WW</v>
      </c>
    </row>
    <row r="4723" spans="1:9" x14ac:dyDescent="0.25">
      <c r="A4723" s="6">
        <v>43726</v>
      </c>
      <c r="B4723" t="s">
        <v>26</v>
      </c>
      <c r="C4723">
        <v>62028</v>
      </c>
      <c r="D4723" t="s">
        <v>59</v>
      </c>
      <c r="E4723" s="7">
        <v>1766.1</v>
      </c>
      <c r="F4723" t="s">
        <v>20</v>
      </c>
      <c r="G4723" t="s">
        <v>21</v>
      </c>
      <c r="H4723" t="str">
        <f>"1032883"</f>
        <v>1032883</v>
      </c>
      <c r="I4723" t="str">
        <f>"PVC/PIPE"</f>
        <v>PVC/PIPE</v>
      </c>
    </row>
    <row r="4724" spans="1:9" x14ac:dyDescent="0.25">
      <c r="A4724" s="6">
        <v>43726</v>
      </c>
      <c r="B4724" t="s">
        <v>26</v>
      </c>
      <c r="C4724">
        <v>62031</v>
      </c>
      <c r="D4724" t="s">
        <v>166</v>
      </c>
      <c r="E4724" s="7">
        <v>699.58</v>
      </c>
      <c r="F4724" t="s">
        <v>20</v>
      </c>
      <c r="G4724" t="s">
        <v>21</v>
      </c>
      <c r="H4724" t="str">
        <f>"1013788947"</f>
        <v>1013788947</v>
      </c>
      <c r="I4724" t="str">
        <f>"PITNEY BOWES PURCHASE POWER"</f>
        <v>PITNEY BOWES PURCHASE POWER</v>
      </c>
    </row>
    <row r="4725" spans="1:9" x14ac:dyDescent="0.25">
      <c r="A4725" s="6">
        <v>43726</v>
      </c>
      <c r="B4725" t="s">
        <v>26</v>
      </c>
      <c r="C4725">
        <v>62031</v>
      </c>
      <c r="D4725" t="s">
        <v>166</v>
      </c>
      <c r="E4725" s="7">
        <v>699.58</v>
      </c>
      <c r="F4725" t="s">
        <v>20</v>
      </c>
      <c r="G4725" t="s">
        <v>21</v>
      </c>
      <c r="H4725" t="str">
        <f>"742379"</f>
        <v>742379</v>
      </c>
      <c r="I4725" t="str">
        <f>"PITNEY BOWES PURCHASE POWER"</f>
        <v>PITNEY BOWES PURCHASE POWER</v>
      </c>
    </row>
    <row r="4726" spans="1:9" x14ac:dyDescent="0.25">
      <c r="A4726" s="6">
        <v>43726</v>
      </c>
      <c r="B4726" t="s">
        <v>91</v>
      </c>
      <c r="C4726">
        <v>62032</v>
      </c>
      <c r="D4726" t="s">
        <v>90</v>
      </c>
      <c r="E4726" s="7">
        <v>769.6</v>
      </c>
      <c r="F4726" t="s">
        <v>20</v>
      </c>
      <c r="G4726" t="s">
        <v>21</v>
      </c>
      <c r="H4726" t="str">
        <f>"ACA201909108538"</f>
        <v>ACA201909108538</v>
      </c>
      <c r="I4726" t="str">
        <f>"AFLAC INSURANCE"</f>
        <v>AFLAC INSURANCE</v>
      </c>
    </row>
    <row r="4727" spans="1:9" x14ac:dyDescent="0.25">
      <c r="A4727" s="6">
        <v>43726</v>
      </c>
      <c r="B4727" t="s">
        <v>91</v>
      </c>
      <c r="C4727">
        <v>62032</v>
      </c>
      <c r="D4727" t="s">
        <v>90</v>
      </c>
      <c r="E4727" s="7">
        <v>769.6</v>
      </c>
      <c r="F4727" t="s">
        <v>20</v>
      </c>
      <c r="G4727" t="s">
        <v>21</v>
      </c>
      <c r="H4727" t="str">
        <f>"AD2201909108538"</f>
        <v>AD2201909108538</v>
      </c>
      <c r="I4727" t="str">
        <f>"AFLAC INSURANCE"</f>
        <v>AFLAC INSURANCE</v>
      </c>
    </row>
    <row r="4728" spans="1:9" x14ac:dyDescent="0.25">
      <c r="A4728" s="6">
        <v>43726</v>
      </c>
      <c r="B4728" t="s">
        <v>91</v>
      </c>
      <c r="C4728">
        <v>62032</v>
      </c>
      <c r="D4728" t="s">
        <v>90</v>
      </c>
      <c r="E4728" s="7">
        <v>769.6</v>
      </c>
      <c r="F4728" t="s">
        <v>20</v>
      </c>
      <c r="G4728" t="s">
        <v>21</v>
      </c>
      <c r="H4728" t="str">
        <f>"ADR201909108538"</f>
        <v>ADR201909108538</v>
      </c>
      <c r="I4728" t="str">
        <f>"INSURANCE"</f>
        <v>INSURANCE</v>
      </c>
    </row>
    <row r="4729" spans="1:9" x14ac:dyDescent="0.25">
      <c r="A4729" s="6">
        <v>43726</v>
      </c>
      <c r="B4729" t="s">
        <v>91</v>
      </c>
      <c r="C4729">
        <v>62032</v>
      </c>
      <c r="D4729" t="s">
        <v>90</v>
      </c>
      <c r="E4729" s="7">
        <v>769.6</v>
      </c>
      <c r="F4729" t="s">
        <v>20</v>
      </c>
      <c r="G4729" t="s">
        <v>21</v>
      </c>
      <c r="H4729" t="str">
        <f>"AF1201909108538"</f>
        <v>AF1201909108538</v>
      </c>
      <c r="I4729" t="str">
        <f>"AFLAC INSURANCE"</f>
        <v>AFLAC INSURANCE</v>
      </c>
    </row>
    <row r="4730" spans="1:9" x14ac:dyDescent="0.25">
      <c r="A4730" s="6">
        <v>43726</v>
      </c>
      <c r="B4730" t="s">
        <v>91</v>
      </c>
      <c r="C4730">
        <v>62032</v>
      </c>
      <c r="D4730" t="s">
        <v>90</v>
      </c>
      <c r="E4730" s="7">
        <v>769.6</v>
      </c>
      <c r="F4730" t="s">
        <v>20</v>
      </c>
      <c r="G4730" t="s">
        <v>21</v>
      </c>
      <c r="H4730" t="str">
        <f>"ASP201909108538"</f>
        <v>ASP201909108538</v>
      </c>
      <c r="I4730" t="str">
        <f>"AFLAC INSURANCE"</f>
        <v>AFLAC INSURANCE</v>
      </c>
    </row>
    <row r="4731" spans="1:9" x14ac:dyDescent="0.25">
      <c r="A4731" s="6">
        <v>43726</v>
      </c>
      <c r="B4731" t="s">
        <v>91</v>
      </c>
      <c r="C4731">
        <v>62032</v>
      </c>
      <c r="D4731" t="s">
        <v>90</v>
      </c>
      <c r="E4731" s="7">
        <v>769.6</v>
      </c>
      <c r="F4731" t="s">
        <v>20</v>
      </c>
      <c r="G4731" t="s">
        <v>21</v>
      </c>
      <c r="H4731" t="str">
        <f>"HCO201909108538"</f>
        <v>HCO201909108538</v>
      </c>
      <c r="I4731" t="str">
        <f>"AFLAC INSURANCE"</f>
        <v>AFLAC INSURANCE</v>
      </c>
    </row>
    <row r="4732" spans="1:9" x14ac:dyDescent="0.25">
      <c r="A4732" s="6">
        <v>43726</v>
      </c>
      <c r="B4732" t="s">
        <v>91</v>
      </c>
      <c r="C4732">
        <v>62032</v>
      </c>
      <c r="D4732" t="s">
        <v>90</v>
      </c>
      <c r="E4732" s="7">
        <v>769.6</v>
      </c>
      <c r="F4732" t="s">
        <v>20</v>
      </c>
      <c r="G4732" t="s">
        <v>93</v>
      </c>
      <c r="H4732" t="str">
        <f>"CHECK"</f>
        <v>CHECK</v>
      </c>
      <c r="I4732" t="str">
        <f>""</f>
        <v/>
      </c>
    </row>
    <row r="4733" spans="1:9" x14ac:dyDescent="0.25">
      <c r="A4733" s="6">
        <v>43726</v>
      </c>
      <c r="B4733" t="s">
        <v>26</v>
      </c>
      <c r="C4733">
        <v>62034</v>
      </c>
      <c r="D4733" t="s">
        <v>273</v>
      </c>
      <c r="E4733" s="7">
        <v>5411.8</v>
      </c>
      <c r="F4733" t="s">
        <v>20</v>
      </c>
      <c r="G4733" t="s">
        <v>21</v>
      </c>
      <c r="H4733" t="str">
        <f>"5119-000090017"</f>
        <v>5119-000090017</v>
      </c>
      <c r="I4733" t="str">
        <f>"REPUBLIC SERVICES TESSMAN ROAD"</f>
        <v>REPUBLIC SERVICES TESSMAN ROAD</v>
      </c>
    </row>
    <row r="4734" spans="1:9" x14ac:dyDescent="0.25">
      <c r="A4734" s="6">
        <v>43726</v>
      </c>
      <c r="B4734" t="s">
        <v>91</v>
      </c>
      <c r="C4734">
        <v>62035</v>
      </c>
      <c r="D4734" t="s">
        <v>240</v>
      </c>
      <c r="E4734" s="7">
        <v>2897.56</v>
      </c>
      <c r="F4734" t="s">
        <v>20</v>
      </c>
      <c r="G4734" t="s">
        <v>21</v>
      </c>
      <c r="H4734" t="str">
        <f>"0154228-IN"</f>
        <v>0154228-IN</v>
      </c>
      <c r="I4734" t="str">
        <f>"NARDIS PUBLIC SAFETY"</f>
        <v>NARDIS PUBLIC SAFETY</v>
      </c>
    </row>
    <row r="4735" spans="1:9" x14ac:dyDescent="0.25">
      <c r="A4735" s="6">
        <v>43726</v>
      </c>
      <c r="B4735" t="s">
        <v>91</v>
      </c>
      <c r="C4735">
        <v>62035</v>
      </c>
      <c r="D4735" t="s">
        <v>240</v>
      </c>
      <c r="E4735" s="7">
        <v>2897.56</v>
      </c>
      <c r="F4735" t="s">
        <v>20</v>
      </c>
      <c r="G4735" t="s">
        <v>21</v>
      </c>
      <c r="H4735" t="str">
        <f>"0158165-IN"</f>
        <v>0158165-IN</v>
      </c>
      <c r="I4735" t="str">
        <f>"NARDIS PUBLIC SAFETY"</f>
        <v>NARDIS PUBLIC SAFETY</v>
      </c>
    </row>
    <row r="4736" spans="1:9" x14ac:dyDescent="0.25">
      <c r="A4736" s="6">
        <v>43726</v>
      </c>
      <c r="B4736" t="s">
        <v>91</v>
      </c>
      <c r="C4736">
        <v>62035</v>
      </c>
      <c r="D4736" t="s">
        <v>240</v>
      </c>
      <c r="E4736" s="7">
        <v>2897.56</v>
      </c>
      <c r="F4736" t="s">
        <v>20</v>
      </c>
      <c r="G4736" t="s">
        <v>21</v>
      </c>
      <c r="H4736" t="str">
        <f>"0164322-IN"</f>
        <v>0164322-IN</v>
      </c>
      <c r="I4736" t="str">
        <f>"NARDIS PUBLIC SAFETY"</f>
        <v>NARDIS PUBLIC SAFETY</v>
      </c>
    </row>
    <row r="4737" spans="1:9" x14ac:dyDescent="0.25">
      <c r="A4737" s="6">
        <v>43726</v>
      </c>
      <c r="B4737" t="s">
        <v>91</v>
      </c>
      <c r="C4737">
        <v>62035</v>
      </c>
      <c r="D4737" t="s">
        <v>240</v>
      </c>
      <c r="E4737" s="7">
        <v>2897.56</v>
      </c>
      <c r="F4737" t="s">
        <v>20</v>
      </c>
      <c r="G4737" t="s">
        <v>21</v>
      </c>
      <c r="H4737" t="str">
        <f>"0174927-IN"</f>
        <v>0174927-IN</v>
      </c>
      <c r="I4737" t="str">
        <f>"NARDIS PUBLIC SAFETY"</f>
        <v>NARDIS PUBLIC SAFETY</v>
      </c>
    </row>
    <row r="4738" spans="1:9" x14ac:dyDescent="0.25">
      <c r="A4738" s="6">
        <v>43726</v>
      </c>
      <c r="B4738" t="s">
        <v>91</v>
      </c>
      <c r="C4738">
        <v>62035</v>
      </c>
      <c r="D4738" t="s">
        <v>240</v>
      </c>
      <c r="E4738" s="7">
        <v>2897.56</v>
      </c>
      <c r="F4738" t="s">
        <v>20</v>
      </c>
      <c r="G4738" t="s">
        <v>93</v>
      </c>
      <c r="H4738" t="str">
        <f>"CHECK"</f>
        <v>CHECK</v>
      </c>
      <c r="I4738" t="str">
        <f>""</f>
        <v/>
      </c>
    </row>
    <row r="4739" spans="1:9" x14ac:dyDescent="0.25">
      <c r="A4739" s="6">
        <v>43726</v>
      </c>
      <c r="B4739" t="s">
        <v>26</v>
      </c>
      <c r="C4739">
        <v>62036</v>
      </c>
      <c r="D4739" t="s">
        <v>92</v>
      </c>
      <c r="E4739" s="7">
        <v>38055.64</v>
      </c>
      <c r="F4739" t="s">
        <v>20</v>
      </c>
      <c r="G4739" t="s">
        <v>21</v>
      </c>
      <c r="H4739" t="str">
        <f>"AUGUST 2019"</f>
        <v>AUGUST 2019</v>
      </c>
      <c r="I4739" t="str">
        <f>"TEXAS MUNICIPAL RETIREMENT SYS"</f>
        <v>TEXAS MUNICIPAL RETIREMENT SYS</v>
      </c>
    </row>
    <row r="4740" spans="1:9" x14ac:dyDescent="0.25">
      <c r="A4740" s="6">
        <v>43726</v>
      </c>
      <c r="B4740" t="s">
        <v>26</v>
      </c>
      <c r="C4740">
        <v>62037</v>
      </c>
      <c r="D4740" t="s">
        <v>62</v>
      </c>
      <c r="E4740" s="7">
        <v>210</v>
      </c>
      <c r="F4740" t="s">
        <v>20</v>
      </c>
      <c r="G4740" t="s">
        <v>21</v>
      </c>
      <c r="H4740" t="str">
        <f>"65064"</f>
        <v>65064</v>
      </c>
      <c r="I4740" t="str">
        <f>"PROFICIENT BENEFIT SOLUTIONS"</f>
        <v>PROFICIENT BENEFIT SOLUTIONS</v>
      </c>
    </row>
    <row r="4741" spans="1:9" x14ac:dyDescent="0.25">
      <c r="A4741" s="6">
        <v>43726</v>
      </c>
      <c r="B4741" t="s">
        <v>26</v>
      </c>
      <c r="C4741">
        <v>62038</v>
      </c>
      <c r="D4741" t="s">
        <v>169</v>
      </c>
      <c r="E4741" s="7">
        <v>35.1</v>
      </c>
      <c r="F4741" t="s">
        <v>20</v>
      </c>
      <c r="G4741" t="s">
        <v>21</v>
      </c>
      <c r="H4741" t="str">
        <f>"124532"</f>
        <v>124532</v>
      </c>
      <c r="I4741" t="str">
        <f>"THE POLICE AND SHERIFFS PRESS"</f>
        <v>THE POLICE AND SHERIFFS PRESS</v>
      </c>
    </row>
    <row r="4742" spans="1:9" x14ac:dyDescent="0.25">
      <c r="A4742" s="6">
        <v>43726</v>
      </c>
      <c r="B4742" t="s">
        <v>26</v>
      </c>
      <c r="C4742">
        <v>62038</v>
      </c>
      <c r="D4742" t="s">
        <v>169</v>
      </c>
      <c r="E4742" s="7">
        <v>35.1</v>
      </c>
      <c r="F4742" t="s">
        <v>20</v>
      </c>
      <c r="G4742" t="s">
        <v>21</v>
      </c>
      <c r="H4742" t="str">
        <f>"124782"</f>
        <v>124782</v>
      </c>
      <c r="I4742" t="str">
        <f>"THE POLICE AND SHERIFFS PRESS"</f>
        <v>THE POLICE AND SHERIFFS PRESS</v>
      </c>
    </row>
    <row r="4743" spans="1:9" x14ac:dyDescent="0.25">
      <c r="A4743" s="6">
        <v>43726</v>
      </c>
      <c r="B4743" t="s">
        <v>26</v>
      </c>
      <c r="C4743">
        <v>62039</v>
      </c>
      <c r="D4743" t="s">
        <v>425</v>
      </c>
      <c r="E4743" s="7">
        <v>206.5</v>
      </c>
      <c r="F4743" t="s">
        <v>20</v>
      </c>
      <c r="G4743" t="s">
        <v>21</v>
      </c>
      <c r="H4743" t="str">
        <f>"393159"</f>
        <v>393159</v>
      </c>
      <c r="I4743" t="str">
        <f>"SUN BADGE CO."</f>
        <v>SUN BADGE CO.</v>
      </c>
    </row>
    <row r="4744" spans="1:9" x14ac:dyDescent="0.25">
      <c r="A4744" s="6">
        <v>43726</v>
      </c>
      <c r="B4744" t="s">
        <v>26</v>
      </c>
      <c r="C4744">
        <v>62040</v>
      </c>
      <c r="D4744" t="s">
        <v>115</v>
      </c>
      <c r="E4744" s="7">
        <v>145.96</v>
      </c>
      <c r="F4744" t="s">
        <v>20</v>
      </c>
      <c r="G4744" t="s">
        <v>21</v>
      </c>
      <c r="H4744" t="str">
        <f>"3547508822"</f>
        <v>3547508822</v>
      </c>
      <c r="I4744" t="str">
        <f>"WATER TRUCK #203 REPAIR"</f>
        <v>WATER TRUCK #203 REPAIR</v>
      </c>
    </row>
    <row r="4745" spans="1:9" x14ac:dyDescent="0.25">
      <c r="A4745" s="6">
        <v>43726</v>
      </c>
      <c r="B4745" t="s">
        <v>26</v>
      </c>
      <c r="C4745">
        <v>62041</v>
      </c>
      <c r="D4745" t="s">
        <v>63</v>
      </c>
      <c r="E4745" s="7">
        <v>2211.94</v>
      </c>
      <c r="F4745" t="s">
        <v>20</v>
      </c>
      <c r="G4745" t="s">
        <v>21</v>
      </c>
      <c r="H4745" t="str">
        <f>"8404282702"</f>
        <v>8404282702</v>
      </c>
      <c r="I4745" t="str">
        <f>"CINTAS CORPORATION"</f>
        <v>CINTAS CORPORATION</v>
      </c>
    </row>
    <row r="4746" spans="1:9" x14ac:dyDescent="0.25">
      <c r="A4746" s="6">
        <v>43726</v>
      </c>
      <c r="B4746" t="s">
        <v>26</v>
      </c>
      <c r="C4746">
        <v>62041</v>
      </c>
      <c r="D4746" t="s">
        <v>63</v>
      </c>
      <c r="E4746" s="7">
        <v>2211.94</v>
      </c>
      <c r="F4746" t="s">
        <v>20</v>
      </c>
      <c r="G4746" t="s">
        <v>21</v>
      </c>
      <c r="H4746" t="str">
        <f>"8404299475"</f>
        <v>8404299475</v>
      </c>
      <c r="I4746" t="str">
        <f>"CINTAS CORPORATION"</f>
        <v>CINTAS CORPORATION</v>
      </c>
    </row>
    <row r="4747" spans="1:9" x14ac:dyDescent="0.25">
      <c r="A4747" s="6">
        <v>43726</v>
      </c>
      <c r="B4747" t="s">
        <v>26</v>
      </c>
      <c r="C4747">
        <v>62042</v>
      </c>
      <c r="D4747" t="s">
        <v>116</v>
      </c>
      <c r="E4747" s="7">
        <v>113.63</v>
      </c>
      <c r="F4747" t="s">
        <v>20</v>
      </c>
      <c r="G4747" t="s">
        <v>21</v>
      </c>
      <c r="H4747" t="str">
        <f>"000658061"</f>
        <v>000658061</v>
      </c>
      <c r="I4747" t="str">
        <f>"POOL REPAIR"</f>
        <v>POOL REPAIR</v>
      </c>
    </row>
    <row r="4748" spans="1:9" x14ac:dyDescent="0.25">
      <c r="A4748" s="6">
        <v>43726</v>
      </c>
      <c r="B4748" t="s">
        <v>26</v>
      </c>
      <c r="C4748">
        <v>62043</v>
      </c>
      <c r="D4748" t="s">
        <v>117</v>
      </c>
      <c r="E4748" s="7">
        <v>2499.4699999999998</v>
      </c>
      <c r="F4748" t="s">
        <v>20</v>
      </c>
      <c r="G4748" t="s">
        <v>21</v>
      </c>
      <c r="H4748" t="str">
        <f>"AUGUST 2019"</f>
        <v>AUGUST 2019</v>
      </c>
      <c r="I4748" t="str">
        <f>"LINEBARGER GOGGAN BLAIR &amp; SAMP"</f>
        <v>LINEBARGER GOGGAN BLAIR &amp; SAMP</v>
      </c>
    </row>
    <row r="4749" spans="1:9" x14ac:dyDescent="0.25">
      <c r="A4749" s="6">
        <v>43726</v>
      </c>
      <c r="B4749" t="s">
        <v>26</v>
      </c>
      <c r="C4749">
        <v>62044</v>
      </c>
      <c r="D4749" t="s">
        <v>66</v>
      </c>
      <c r="E4749" s="7">
        <v>340</v>
      </c>
      <c r="F4749" t="s">
        <v>20</v>
      </c>
      <c r="G4749" t="s">
        <v>21</v>
      </c>
      <c r="H4749" t="str">
        <f>"56276"</f>
        <v>56276</v>
      </c>
      <c r="I4749" t="str">
        <f>"LOPEZ EXTERMINATING SERVICE  I"</f>
        <v>LOPEZ EXTERMINATING SERVICE  I</v>
      </c>
    </row>
    <row r="4750" spans="1:9" x14ac:dyDescent="0.25">
      <c r="A4750" s="6">
        <v>43726</v>
      </c>
      <c r="B4750" t="s">
        <v>26</v>
      </c>
      <c r="C4750">
        <v>62045</v>
      </c>
      <c r="D4750" t="s">
        <v>495</v>
      </c>
      <c r="E4750" s="7">
        <v>112.09</v>
      </c>
      <c r="F4750" t="s">
        <v>20</v>
      </c>
      <c r="G4750" t="s">
        <v>21</v>
      </c>
      <c r="H4750" t="str">
        <f>"0414155-IN"</f>
        <v>0414155-IN</v>
      </c>
      <c r="I4750" t="str">
        <f>"EVIDENCE ROOM SUPPLIES"</f>
        <v>EVIDENCE ROOM SUPPLIES</v>
      </c>
    </row>
    <row r="4751" spans="1:9" x14ac:dyDescent="0.25">
      <c r="A4751" s="6">
        <v>43726</v>
      </c>
      <c r="B4751" t="s">
        <v>91</v>
      </c>
      <c r="C4751">
        <v>62046</v>
      </c>
      <c r="D4751" t="s">
        <v>95</v>
      </c>
      <c r="E4751" s="7">
        <v>29.99</v>
      </c>
      <c r="F4751" t="s">
        <v>20</v>
      </c>
      <c r="G4751" t="s">
        <v>21</v>
      </c>
      <c r="H4751" t="str">
        <f>"LEA201909108538"</f>
        <v>LEA201909108538</v>
      </c>
      <c r="I4751" t="str">
        <f>"INSURANCE"</f>
        <v>INSURANCE</v>
      </c>
    </row>
    <row r="4752" spans="1:9" x14ac:dyDescent="0.25">
      <c r="A4752" s="6">
        <v>43726</v>
      </c>
      <c r="B4752" t="s">
        <v>91</v>
      </c>
      <c r="C4752">
        <v>62046</v>
      </c>
      <c r="D4752" t="s">
        <v>95</v>
      </c>
      <c r="E4752" s="7">
        <v>29.99</v>
      </c>
      <c r="F4752" t="s">
        <v>20</v>
      </c>
      <c r="G4752" t="s">
        <v>93</v>
      </c>
      <c r="H4752" t="str">
        <f>"CHECK"</f>
        <v>CHECK</v>
      </c>
      <c r="I4752" t="str">
        <f>""</f>
        <v/>
      </c>
    </row>
    <row r="4753" spans="1:9" x14ac:dyDescent="0.25">
      <c r="A4753" s="6">
        <v>43726</v>
      </c>
      <c r="B4753" t="s">
        <v>26</v>
      </c>
      <c r="C4753">
        <v>62047</v>
      </c>
      <c r="D4753" t="s">
        <v>120</v>
      </c>
      <c r="E4753" s="7">
        <v>1856.77</v>
      </c>
      <c r="F4753" t="s">
        <v>20</v>
      </c>
      <c r="G4753" t="s">
        <v>21</v>
      </c>
      <c r="H4753" t="str">
        <f>"71225486"</f>
        <v>71225486</v>
      </c>
      <c r="I4753" t="str">
        <f>"VERIZON BUSINESS"</f>
        <v>VERIZON BUSINESS</v>
      </c>
    </row>
    <row r="4754" spans="1:9" x14ac:dyDescent="0.25">
      <c r="A4754" s="6">
        <v>43726</v>
      </c>
      <c r="B4754" t="s">
        <v>26</v>
      </c>
      <c r="C4754">
        <v>62047</v>
      </c>
      <c r="D4754" t="s">
        <v>120</v>
      </c>
      <c r="E4754" s="7">
        <v>1856.77</v>
      </c>
      <c r="F4754" t="s">
        <v>20</v>
      </c>
      <c r="G4754" t="s">
        <v>21</v>
      </c>
      <c r="H4754" t="str">
        <f>"71225978"</f>
        <v>71225978</v>
      </c>
      <c r="I4754" t="str">
        <f>"VERIZON BUSINESS"</f>
        <v>VERIZON BUSINESS</v>
      </c>
    </row>
    <row r="4755" spans="1:9" x14ac:dyDescent="0.25">
      <c r="A4755" s="6">
        <v>43726</v>
      </c>
      <c r="B4755" t="s">
        <v>26</v>
      </c>
      <c r="C4755">
        <v>62048</v>
      </c>
      <c r="D4755" t="s">
        <v>146</v>
      </c>
      <c r="E4755" s="7">
        <v>337.5</v>
      </c>
      <c r="F4755" t="s">
        <v>20</v>
      </c>
      <c r="G4755" t="s">
        <v>21</v>
      </c>
      <c r="H4755" t="str">
        <f>"742379"</f>
        <v>742379</v>
      </c>
      <c r="I4755" t="str">
        <f>"LARRY SRALLA ELECTRIC"</f>
        <v>LARRY SRALLA ELECTRIC</v>
      </c>
    </row>
    <row r="4756" spans="1:9" x14ac:dyDescent="0.25">
      <c r="A4756" s="6">
        <v>43726</v>
      </c>
      <c r="B4756" t="s">
        <v>26</v>
      </c>
      <c r="C4756">
        <v>62049</v>
      </c>
      <c r="D4756" t="s">
        <v>29</v>
      </c>
      <c r="E4756" s="7">
        <v>3551.6</v>
      </c>
      <c r="F4756" t="s">
        <v>20</v>
      </c>
      <c r="G4756" t="s">
        <v>21</v>
      </c>
      <c r="H4756" t="str">
        <f>"39596"</f>
        <v>39596</v>
      </c>
      <c r="I4756" t="str">
        <f>"M &amp; S ENGINEERING  LLC"</f>
        <v>M &amp; S ENGINEERING  LLC</v>
      </c>
    </row>
    <row r="4757" spans="1:9" x14ac:dyDescent="0.25">
      <c r="A4757" s="6">
        <v>43726</v>
      </c>
      <c r="B4757" t="s">
        <v>91</v>
      </c>
      <c r="C4757">
        <v>62050</v>
      </c>
      <c r="D4757" t="s">
        <v>96</v>
      </c>
      <c r="E4757" s="7">
        <v>114.91</v>
      </c>
      <c r="F4757" t="s">
        <v>20</v>
      </c>
      <c r="G4757" t="s">
        <v>21</v>
      </c>
      <c r="H4757" t="str">
        <f>"PPL201909108538"</f>
        <v>PPL201909108538</v>
      </c>
      <c r="I4757" t="str">
        <f>"INSURANCE"</f>
        <v>INSURANCE</v>
      </c>
    </row>
    <row r="4758" spans="1:9" x14ac:dyDescent="0.25">
      <c r="A4758" s="6">
        <v>43726</v>
      </c>
      <c r="B4758" t="s">
        <v>91</v>
      </c>
      <c r="C4758">
        <v>62050</v>
      </c>
      <c r="D4758" t="s">
        <v>96</v>
      </c>
      <c r="E4758" s="7">
        <v>114.91</v>
      </c>
      <c r="F4758" t="s">
        <v>20</v>
      </c>
      <c r="G4758" t="s">
        <v>93</v>
      </c>
      <c r="H4758" t="str">
        <f>"CHECK"</f>
        <v>CHECK</v>
      </c>
      <c r="I4758" t="str">
        <f>""</f>
        <v/>
      </c>
    </row>
    <row r="4759" spans="1:9" x14ac:dyDescent="0.25">
      <c r="A4759" s="6">
        <v>43726</v>
      </c>
      <c r="B4759" t="s">
        <v>26</v>
      </c>
      <c r="C4759">
        <v>62051</v>
      </c>
      <c r="D4759" t="s">
        <v>71</v>
      </c>
      <c r="E4759" s="7">
        <v>2753.88</v>
      </c>
      <c r="F4759" t="s">
        <v>20</v>
      </c>
      <c r="G4759" t="s">
        <v>21</v>
      </c>
      <c r="H4759" t="str">
        <f>"4027664002"</f>
        <v>4027664002</v>
      </c>
      <c r="I4759" t="str">
        <f t="shared" ref="I4759:I4775" si="96">"CINTAS CORPORATION #087"</f>
        <v>CINTAS CORPORATION #087</v>
      </c>
    </row>
    <row r="4760" spans="1:9" x14ac:dyDescent="0.25">
      <c r="A4760" s="6">
        <v>43726</v>
      </c>
      <c r="B4760" t="s">
        <v>26</v>
      </c>
      <c r="C4760">
        <v>62051</v>
      </c>
      <c r="D4760" t="s">
        <v>71</v>
      </c>
      <c r="E4760" s="7">
        <v>2753.88</v>
      </c>
      <c r="F4760" t="s">
        <v>20</v>
      </c>
      <c r="G4760" t="s">
        <v>21</v>
      </c>
      <c r="H4760" t="str">
        <f>"4028133816"</f>
        <v>4028133816</v>
      </c>
      <c r="I4760" t="str">
        <f t="shared" si="96"/>
        <v>CINTAS CORPORATION #087</v>
      </c>
    </row>
    <row r="4761" spans="1:9" x14ac:dyDescent="0.25">
      <c r="A4761" s="6">
        <v>43726</v>
      </c>
      <c r="B4761" t="s">
        <v>26</v>
      </c>
      <c r="C4761">
        <v>62051</v>
      </c>
      <c r="D4761" t="s">
        <v>71</v>
      </c>
      <c r="E4761" s="7">
        <v>2753.88</v>
      </c>
      <c r="F4761" t="s">
        <v>20</v>
      </c>
      <c r="G4761" t="s">
        <v>21</v>
      </c>
      <c r="H4761" t="str">
        <f>"4028133818"</f>
        <v>4028133818</v>
      </c>
      <c r="I4761" t="str">
        <f t="shared" si="96"/>
        <v>CINTAS CORPORATION #087</v>
      </c>
    </row>
    <row r="4762" spans="1:9" x14ac:dyDescent="0.25">
      <c r="A4762" s="6">
        <v>43726</v>
      </c>
      <c r="B4762" t="s">
        <v>26</v>
      </c>
      <c r="C4762">
        <v>62051</v>
      </c>
      <c r="D4762" t="s">
        <v>71</v>
      </c>
      <c r="E4762" s="7">
        <v>2753.88</v>
      </c>
      <c r="F4762" t="s">
        <v>20</v>
      </c>
      <c r="G4762" t="s">
        <v>21</v>
      </c>
      <c r="H4762" t="str">
        <f>"4028134198"</f>
        <v>4028134198</v>
      </c>
      <c r="I4762" t="str">
        <f t="shared" si="96"/>
        <v>CINTAS CORPORATION #087</v>
      </c>
    </row>
    <row r="4763" spans="1:9" x14ac:dyDescent="0.25">
      <c r="A4763" s="6">
        <v>43726</v>
      </c>
      <c r="B4763" t="s">
        <v>26</v>
      </c>
      <c r="C4763">
        <v>62051</v>
      </c>
      <c r="D4763" t="s">
        <v>71</v>
      </c>
      <c r="E4763" s="7">
        <v>2753.88</v>
      </c>
      <c r="F4763" t="s">
        <v>20</v>
      </c>
      <c r="G4763" t="s">
        <v>21</v>
      </c>
      <c r="H4763" t="str">
        <f>"4028636955"</f>
        <v>4028636955</v>
      </c>
      <c r="I4763" t="str">
        <f t="shared" si="96"/>
        <v>CINTAS CORPORATION #087</v>
      </c>
    </row>
    <row r="4764" spans="1:9" x14ac:dyDescent="0.25">
      <c r="A4764" s="6">
        <v>43726</v>
      </c>
      <c r="B4764" t="s">
        <v>26</v>
      </c>
      <c r="C4764">
        <v>62051</v>
      </c>
      <c r="D4764" t="s">
        <v>71</v>
      </c>
      <c r="E4764" s="7">
        <v>2753.88</v>
      </c>
      <c r="F4764" t="s">
        <v>20</v>
      </c>
      <c r="G4764" t="s">
        <v>21</v>
      </c>
      <c r="H4764" t="str">
        <f>"4028637040"</f>
        <v>4028637040</v>
      </c>
      <c r="I4764" t="str">
        <f t="shared" si="96"/>
        <v>CINTAS CORPORATION #087</v>
      </c>
    </row>
    <row r="4765" spans="1:9" x14ac:dyDescent="0.25">
      <c r="A4765" s="6">
        <v>43726</v>
      </c>
      <c r="B4765" t="s">
        <v>26</v>
      </c>
      <c r="C4765">
        <v>62051</v>
      </c>
      <c r="D4765" t="s">
        <v>71</v>
      </c>
      <c r="E4765" s="7">
        <v>2753.88</v>
      </c>
      <c r="F4765" t="s">
        <v>20</v>
      </c>
      <c r="G4765" t="s">
        <v>21</v>
      </c>
      <c r="H4765" t="str">
        <f>"4028637193"</f>
        <v>4028637193</v>
      </c>
      <c r="I4765" t="str">
        <f t="shared" si="96"/>
        <v>CINTAS CORPORATION #087</v>
      </c>
    </row>
    <row r="4766" spans="1:9" x14ac:dyDescent="0.25">
      <c r="A4766" s="6">
        <v>43726</v>
      </c>
      <c r="B4766" t="s">
        <v>26</v>
      </c>
      <c r="C4766">
        <v>62051</v>
      </c>
      <c r="D4766" t="s">
        <v>71</v>
      </c>
      <c r="E4766" s="7">
        <v>2753.88</v>
      </c>
      <c r="F4766" t="s">
        <v>20</v>
      </c>
      <c r="G4766" t="s">
        <v>21</v>
      </c>
      <c r="H4766" t="str">
        <f>"4029651891"</f>
        <v>4029651891</v>
      </c>
      <c r="I4766" t="str">
        <f t="shared" si="96"/>
        <v>CINTAS CORPORATION #087</v>
      </c>
    </row>
    <row r="4767" spans="1:9" x14ac:dyDescent="0.25">
      <c r="A4767" s="6">
        <v>43726</v>
      </c>
      <c r="B4767" t="s">
        <v>26</v>
      </c>
      <c r="C4767">
        <v>62051</v>
      </c>
      <c r="D4767" t="s">
        <v>71</v>
      </c>
      <c r="E4767" s="7">
        <v>2753.88</v>
      </c>
      <c r="F4767" t="s">
        <v>20</v>
      </c>
      <c r="G4767" t="s">
        <v>21</v>
      </c>
      <c r="H4767" t="str">
        <f>"4029652051"</f>
        <v>4029652051</v>
      </c>
      <c r="I4767" t="str">
        <f t="shared" si="96"/>
        <v>CINTAS CORPORATION #087</v>
      </c>
    </row>
    <row r="4768" spans="1:9" x14ac:dyDescent="0.25">
      <c r="A4768" s="6">
        <v>43726</v>
      </c>
      <c r="B4768" t="s">
        <v>26</v>
      </c>
      <c r="C4768">
        <v>62051</v>
      </c>
      <c r="D4768" t="s">
        <v>71</v>
      </c>
      <c r="E4768" s="7">
        <v>2753.88</v>
      </c>
      <c r="F4768" t="s">
        <v>20</v>
      </c>
      <c r="G4768" t="s">
        <v>21</v>
      </c>
      <c r="H4768" t="str">
        <f>"4029652097"</f>
        <v>4029652097</v>
      </c>
      <c r="I4768" t="str">
        <f t="shared" si="96"/>
        <v>CINTAS CORPORATION #087</v>
      </c>
    </row>
    <row r="4769" spans="1:9" x14ac:dyDescent="0.25">
      <c r="A4769" s="6">
        <v>43726</v>
      </c>
      <c r="B4769" t="s">
        <v>26</v>
      </c>
      <c r="C4769">
        <v>62051</v>
      </c>
      <c r="D4769" t="s">
        <v>71</v>
      </c>
      <c r="E4769" s="7">
        <v>2753.88</v>
      </c>
      <c r="F4769" t="s">
        <v>20</v>
      </c>
      <c r="G4769" t="s">
        <v>21</v>
      </c>
      <c r="H4769" t="str">
        <f>"4029729209"</f>
        <v>4029729209</v>
      </c>
      <c r="I4769" t="str">
        <f t="shared" si="96"/>
        <v>CINTAS CORPORATION #087</v>
      </c>
    </row>
    <row r="4770" spans="1:9" x14ac:dyDescent="0.25">
      <c r="A4770" s="6">
        <v>43726</v>
      </c>
      <c r="B4770" t="s">
        <v>26</v>
      </c>
      <c r="C4770">
        <v>62051</v>
      </c>
      <c r="D4770" t="s">
        <v>71</v>
      </c>
      <c r="E4770" s="7">
        <v>2753.88</v>
      </c>
      <c r="F4770" t="s">
        <v>20</v>
      </c>
      <c r="G4770" t="s">
        <v>21</v>
      </c>
      <c r="H4770" t="str">
        <f>"4029729218"</f>
        <v>4029729218</v>
      </c>
      <c r="I4770" t="str">
        <f t="shared" si="96"/>
        <v>CINTAS CORPORATION #087</v>
      </c>
    </row>
    <row r="4771" spans="1:9" x14ac:dyDescent="0.25">
      <c r="A4771" s="6">
        <v>43726</v>
      </c>
      <c r="B4771" t="s">
        <v>26</v>
      </c>
      <c r="C4771">
        <v>62051</v>
      </c>
      <c r="D4771" t="s">
        <v>71</v>
      </c>
      <c r="E4771" s="7">
        <v>2753.88</v>
      </c>
      <c r="F4771" t="s">
        <v>20</v>
      </c>
      <c r="G4771" t="s">
        <v>21</v>
      </c>
      <c r="H4771" t="str">
        <f>"4029729240"</f>
        <v>4029729240</v>
      </c>
      <c r="I4771" t="str">
        <f t="shared" si="96"/>
        <v>CINTAS CORPORATION #087</v>
      </c>
    </row>
    <row r="4772" spans="1:9" x14ac:dyDescent="0.25">
      <c r="A4772" s="6">
        <v>43726</v>
      </c>
      <c r="B4772" t="s">
        <v>26</v>
      </c>
      <c r="C4772">
        <v>62051</v>
      </c>
      <c r="D4772" t="s">
        <v>71</v>
      </c>
      <c r="E4772" s="7">
        <v>2753.88</v>
      </c>
      <c r="F4772" t="s">
        <v>20</v>
      </c>
      <c r="G4772" t="s">
        <v>21</v>
      </c>
      <c r="H4772" t="str">
        <f>"4030151080"</f>
        <v>4030151080</v>
      </c>
      <c r="I4772" t="str">
        <f t="shared" si="96"/>
        <v>CINTAS CORPORATION #087</v>
      </c>
    </row>
    <row r="4773" spans="1:9" x14ac:dyDescent="0.25">
      <c r="A4773" s="6">
        <v>43726</v>
      </c>
      <c r="B4773" t="s">
        <v>26</v>
      </c>
      <c r="C4773">
        <v>62051</v>
      </c>
      <c r="D4773" t="s">
        <v>71</v>
      </c>
      <c r="E4773" s="7">
        <v>2753.88</v>
      </c>
      <c r="F4773" t="s">
        <v>20</v>
      </c>
      <c r="G4773" t="s">
        <v>21</v>
      </c>
      <c r="H4773" t="str">
        <f>"4030151168"</f>
        <v>4030151168</v>
      </c>
      <c r="I4773" t="str">
        <f t="shared" si="96"/>
        <v>CINTAS CORPORATION #087</v>
      </c>
    </row>
    <row r="4774" spans="1:9" x14ac:dyDescent="0.25">
      <c r="A4774" s="6">
        <v>43726</v>
      </c>
      <c r="B4774" t="s">
        <v>26</v>
      </c>
      <c r="C4774">
        <v>62051</v>
      </c>
      <c r="D4774" t="s">
        <v>71</v>
      </c>
      <c r="E4774" s="7">
        <v>2753.88</v>
      </c>
      <c r="F4774" t="s">
        <v>20</v>
      </c>
      <c r="G4774" t="s">
        <v>21</v>
      </c>
      <c r="H4774" t="str">
        <f>"4030151273"</f>
        <v>4030151273</v>
      </c>
      <c r="I4774" t="str">
        <f t="shared" si="96"/>
        <v>CINTAS CORPORATION #087</v>
      </c>
    </row>
    <row r="4775" spans="1:9" x14ac:dyDescent="0.25">
      <c r="A4775" s="6">
        <v>43726</v>
      </c>
      <c r="B4775" t="s">
        <v>26</v>
      </c>
      <c r="C4775">
        <v>62051</v>
      </c>
      <c r="D4775" t="s">
        <v>71</v>
      </c>
      <c r="E4775" s="7">
        <v>2753.88</v>
      </c>
      <c r="F4775" t="s">
        <v>20</v>
      </c>
      <c r="G4775" t="s">
        <v>21</v>
      </c>
      <c r="H4775" t="str">
        <f>"4030151338"</f>
        <v>4030151338</v>
      </c>
      <c r="I4775" t="str">
        <f t="shared" si="96"/>
        <v>CINTAS CORPORATION #087</v>
      </c>
    </row>
    <row r="4776" spans="1:9" x14ac:dyDescent="0.25">
      <c r="A4776" s="6">
        <v>43726</v>
      </c>
      <c r="B4776" t="s">
        <v>26</v>
      </c>
      <c r="C4776">
        <v>62054</v>
      </c>
      <c r="D4776" t="s">
        <v>803</v>
      </c>
      <c r="E4776" s="7">
        <v>125</v>
      </c>
      <c r="F4776" t="s">
        <v>20</v>
      </c>
      <c r="G4776" t="s">
        <v>21</v>
      </c>
      <c r="H4776" t="str">
        <f>"09/06/2019 UNIT203"</f>
        <v>09/06/2019 UNIT203</v>
      </c>
      <c r="I4776" t="str">
        <f>"WATER TRUCK #203"</f>
        <v>WATER TRUCK #203</v>
      </c>
    </row>
    <row r="4777" spans="1:9" x14ac:dyDescent="0.25">
      <c r="A4777" s="6">
        <v>43726</v>
      </c>
      <c r="B4777" t="s">
        <v>26</v>
      </c>
      <c r="C4777">
        <v>62055</v>
      </c>
      <c r="D4777" t="s">
        <v>215</v>
      </c>
      <c r="E4777" s="7">
        <v>3561.35</v>
      </c>
      <c r="F4777" t="s">
        <v>20</v>
      </c>
      <c r="G4777" t="s">
        <v>21</v>
      </c>
      <c r="H4777" t="str">
        <f>"604717"</f>
        <v>604717</v>
      </c>
      <c r="I4777" t="str">
        <f>"REPLACEMENT PANAL"</f>
        <v>REPLACEMENT PANAL</v>
      </c>
    </row>
    <row r="4778" spans="1:9" x14ac:dyDescent="0.25">
      <c r="A4778" s="6">
        <v>43726</v>
      </c>
      <c r="B4778" t="s">
        <v>26</v>
      </c>
      <c r="C4778">
        <v>62056</v>
      </c>
      <c r="D4778" t="s">
        <v>123</v>
      </c>
      <c r="E4778" s="7">
        <v>409.99</v>
      </c>
      <c r="F4778" t="s">
        <v>20</v>
      </c>
      <c r="G4778" t="s">
        <v>21</v>
      </c>
      <c r="H4778" t="str">
        <f>"364383238001"</f>
        <v>364383238001</v>
      </c>
      <c r="I4778" t="str">
        <f>"ENVELOPES"</f>
        <v>ENVELOPES</v>
      </c>
    </row>
    <row r="4779" spans="1:9" x14ac:dyDescent="0.25">
      <c r="A4779" s="6">
        <v>43726</v>
      </c>
      <c r="B4779" t="s">
        <v>26</v>
      </c>
      <c r="C4779">
        <v>62056</v>
      </c>
      <c r="D4779" t="s">
        <v>123</v>
      </c>
      <c r="E4779" s="7">
        <v>409.99</v>
      </c>
      <c r="F4779" t="s">
        <v>20</v>
      </c>
      <c r="G4779" t="s">
        <v>21</v>
      </c>
      <c r="H4779" t="str">
        <f>"367961515001"</f>
        <v>367961515001</v>
      </c>
      <c r="I4779" t="str">
        <f>"COPY PAPER  BUSINESS CARD"</f>
        <v>COPY PAPER  BUSINESS CARD</v>
      </c>
    </row>
    <row r="4780" spans="1:9" x14ac:dyDescent="0.25">
      <c r="A4780" s="6">
        <v>43726</v>
      </c>
      <c r="B4780" t="s">
        <v>26</v>
      </c>
      <c r="C4780">
        <v>62056</v>
      </c>
      <c r="D4780" t="s">
        <v>123</v>
      </c>
      <c r="E4780" s="7">
        <v>409.99</v>
      </c>
      <c r="F4780" t="s">
        <v>20</v>
      </c>
      <c r="G4780" t="s">
        <v>21</v>
      </c>
      <c r="H4780" t="str">
        <f>"367962443001"</f>
        <v>367962443001</v>
      </c>
      <c r="I4780" t="str">
        <f>"COPY PAPER  BUSINESS CARD"</f>
        <v>COPY PAPER  BUSINESS CARD</v>
      </c>
    </row>
    <row r="4781" spans="1:9" x14ac:dyDescent="0.25">
      <c r="A4781" s="6">
        <v>43726</v>
      </c>
      <c r="B4781" t="s">
        <v>26</v>
      </c>
      <c r="C4781">
        <v>62056</v>
      </c>
      <c r="D4781" t="s">
        <v>123</v>
      </c>
      <c r="E4781" s="7">
        <v>409.99</v>
      </c>
      <c r="F4781" t="s">
        <v>20</v>
      </c>
      <c r="G4781" t="s">
        <v>21</v>
      </c>
      <c r="H4781" t="str">
        <f>"367962444001"</f>
        <v>367962444001</v>
      </c>
      <c r="I4781" t="str">
        <f>"COPY PAPER  BUSINESS CARD"</f>
        <v>COPY PAPER  BUSINESS CARD</v>
      </c>
    </row>
    <row r="4782" spans="1:9" x14ac:dyDescent="0.25">
      <c r="A4782" s="6">
        <v>43726</v>
      </c>
      <c r="B4782" t="s">
        <v>26</v>
      </c>
      <c r="C4782">
        <v>62056</v>
      </c>
      <c r="D4782" t="s">
        <v>123</v>
      </c>
      <c r="E4782" s="7">
        <v>409.99</v>
      </c>
      <c r="F4782" t="s">
        <v>20</v>
      </c>
      <c r="G4782" t="s">
        <v>21</v>
      </c>
      <c r="H4782" t="str">
        <f>"373619856001"</f>
        <v>373619856001</v>
      </c>
      <c r="I4782" t="str">
        <f>"CLEANING SUPPLIES"</f>
        <v>CLEANING SUPPLIES</v>
      </c>
    </row>
    <row r="4783" spans="1:9" x14ac:dyDescent="0.25">
      <c r="A4783" s="6">
        <v>43726</v>
      </c>
      <c r="B4783" t="s">
        <v>26</v>
      </c>
      <c r="C4783">
        <v>62057</v>
      </c>
      <c r="D4783" t="s">
        <v>77</v>
      </c>
      <c r="E4783" s="7">
        <v>3975.48</v>
      </c>
      <c r="F4783" t="s">
        <v>20</v>
      </c>
      <c r="G4783" t="s">
        <v>21</v>
      </c>
      <c r="H4783" t="str">
        <f>"857001647-46-19"</f>
        <v>857001647-46-19</v>
      </c>
      <c r="I4783" t="str">
        <f>"CHLORINE ORDER"</f>
        <v>CHLORINE ORDER</v>
      </c>
    </row>
    <row r="4784" spans="1:9" x14ac:dyDescent="0.25">
      <c r="A4784" s="6">
        <v>43726</v>
      </c>
      <c r="B4784" t="s">
        <v>26</v>
      </c>
      <c r="C4784">
        <v>62057</v>
      </c>
      <c r="D4784" t="s">
        <v>77</v>
      </c>
      <c r="E4784" s="7">
        <v>3975.48</v>
      </c>
      <c r="F4784" t="s">
        <v>20</v>
      </c>
      <c r="G4784" t="s">
        <v>21</v>
      </c>
      <c r="H4784" t="str">
        <f>"857001756-19"</f>
        <v>857001756-19</v>
      </c>
      <c r="I4784" t="str">
        <f>"CHLORINE- HOSPITAL AND B"</f>
        <v>CHLORINE- HOSPITAL AND B</v>
      </c>
    </row>
    <row r="4785" spans="1:9" x14ac:dyDescent="0.25">
      <c r="A4785" s="6">
        <v>43726</v>
      </c>
      <c r="B4785" t="s">
        <v>26</v>
      </c>
      <c r="C4785">
        <v>62057</v>
      </c>
      <c r="D4785" t="s">
        <v>77</v>
      </c>
      <c r="E4785" s="7">
        <v>3975.48</v>
      </c>
      <c r="F4785" t="s">
        <v>20</v>
      </c>
      <c r="G4785" t="s">
        <v>21</v>
      </c>
      <c r="H4785" t="str">
        <f>"857001757-19"</f>
        <v>857001757-19</v>
      </c>
      <c r="I4785" t="str">
        <f>"CHLORINE- HOSPITAL AND B"</f>
        <v>CHLORINE- HOSPITAL AND B</v>
      </c>
    </row>
    <row r="4786" spans="1:9" x14ac:dyDescent="0.25">
      <c r="A4786" s="6">
        <v>43726</v>
      </c>
      <c r="B4786" t="s">
        <v>26</v>
      </c>
      <c r="C4786">
        <v>62057</v>
      </c>
      <c r="D4786" t="s">
        <v>77</v>
      </c>
      <c r="E4786" s="7">
        <v>3975.48</v>
      </c>
      <c r="F4786" t="s">
        <v>20</v>
      </c>
      <c r="G4786" t="s">
        <v>21</v>
      </c>
      <c r="H4786" t="str">
        <f>"857001758-19"</f>
        <v>857001758-19</v>
      </c>
      <c r="I4786" t="str">
        <f>"CHLORINE - WASTE WATER"</f>
        <v>CHLORINE - WASTE WATER</v>
      </c>
    </row>
    <row r="4787" spans="1:9" x14ac:dyDescent="0.25">
      <c r="A4787" s="6">
        <v>43726</v>
      </c>
      <c r="B4787" t="s">
        <v>26</v>
      </c>
      <c r="C4787">
        <v>62057</v>
      </c>
      <c r="D4787" t="s">
        <v>77</v>
      </c>
      <c r="E4787" s="7">
        <v>3975.48</v>
      </c>
      <c r="F4787" t="s">
        <v>20</v>
      </c>
      <c r="G4787" t="s">
        <v>21</v>
      </c>
      <c r="H4787" t="str">
        <f>"DE85001858-19"</f>
        <v>DE85001858-19</v>
      </c>
      <c r="I4787" t="str">
        <f>"DPC INDUSTRIES  INC."</f>
        <v>DPC INDUSTRIES  INC.</v>
      </c>
    </row>
    <row r="4788" spans="1:9" x14ac:dyDescent="0.25">
      <c r="A4788" s="6">
        <v>43726</v>
      </c>
      <c r="B4788" t="s">
        <v>26</v>
      </c>
      <c r="C4788">
        <v>62057</v>
      </c>
      <c r="D4788" t="s">
        <v>77</v>
      </c>
      <c r="E4788" s="7">
        <v>3975.48</v>
      </c>
      <c r="F4788" t="s">
        <v>20</v>
      </c>
      <c r="G4788" t="s">
        <v>21</v>
      </c>
      <c r="H4788" t="str">
        <f>"DE85002065-19"</f>
        <v>DE85002065-19</v>
      </c>
      <c r="I4788" t="str">
        <f>"DPC INDUSTRIES  INC."</f>
        <v>DPC INDUSTRIES  INC.</v>
      </c>
    </row>
    <row r="4789" spans="1:9" x14ac:dyDescent="0.25">
      <c r="A4789" s="6">
        <v>43726</v>
      </c>
      <c r="B4789" t="s">
        <v>26</v>
      </c>
      <c r="C4789">
        <v>62058</v>
      </c>
      <c r="D4789" t="s">
        <v>124</v>
      </c>
      <c r="E4789" s="7">
        <v>511.74</v>
      </c>
      <c r="F4789" t="s">
        <v>20</v>
      </c>
      <c r="G4789" t="s">
        <v>21</v>
      </c>
      <c r="H4789" t="str">
        <f>"11177078"</f>
        <v>11177078</v>
      </c>
      <c r="I4789" t="str">
        <f>"FIELD MATERIAL"</f>
        <v>FIELD MATERIAL</v>
      </c>
    </row>
    <row r="4790" spans="1:9" x14ac:dyDescent="0.25">
      <c r="A4790" s="6">
        <v>43726</v>
      </c>
      <c r="B4790" t="s">
        <v>26</v>
      </c>
      <c r="C4790">
        <v>62058</v>
      </c>
      <c r="D4790" t="s">
        <v>124</v>
      </c>
      <c r="E4790" s="7">
        <v>511.74</v>
      </c>
      <c r="F4790" t="s">
        <v>20</v>
      </c>
      <c r="G4790" t="s">
        <v>21</v>
      </c>
      <c r="H4790" t="str">
        <f>"11177489"</f>
        <v>11177489</v>
      </c>
      <c r="I4790" t="str">
        <f>"PARKING LOT PROJECT"</f>
        <v>PARKING LOT PROJECT</v>
      </c>
    </row>
    <row r="4791" spans="1:9" x14ac:dyDescent="0.25">
      <c r="A4791" s="6">
        <v>43726</v>
      </c>
      <c r="B4791" t="s">
        <v>26</v>
      </c>
      <c r="C4791">
        <v>62058</v>
      </c>
      <c r="D4791" t="s">
        <v>124</v>
      </c>
      <c r="E4791" s="7">
        <v>511.74</v>
      </c>
      <c r="F4791" t="s">
        <v>20</v>
      </c>
      <c r="G4791" t="s">
        <v>21</v>
      </c>
      <c r="H4791" t="str">
        <f>"11177499"</f>
        <v>11177499</v>
      </c>
      <c r="I4791" t="str">
        <f>"MCCOY'S CORPORATION"</f>
        <v>MCCOY'S CORPORATION</v>
      </c>
    </row>
    <row r="4792" spans="1:9" x14ac:dyDescent="0.25">
      <c r="A4792" s="6">
        <v>43726</v>
      </c>
      <c r="B4792" t="s">
        <v>26</v>
      </c>
      <c r="C4792">
        <v>62059</v>
      </c>
      <c r="D4792" t="s">
        <v>284</v>
      </c>
      <c r="E4792" s="7">
        <v>910</v>
      </c>
      <c r="F4792" t="s">
        <v>20</v>
      </c>
      <c r="G4792" t="s">
        <v>21</v>
      </c>
      <c r="H4792" t="str">
        <f>"BCMINV0008174"</f>
        <v>BCMINV0008174</v>
      </c>
      <c r="I4792" t="str">
        <f>"NEW BODY CAM"</f>
        <v>NEW BODY CAM</v>
      </c>
    </row>
    <row r="4793" spans="1:9" x14ac:dyDescent="0.25">
      <c r="A4793" s="6">
        <v>43726</v>
      </c>
      <c r="B4793" t="s">
        <v>26</v>
      </c>
      <c r="C4793">
        <v>62060</v>
      </c>
      <c r="D4793" t="s">
        <v>126</v>
      </c>
      <c r="E4793" s="7">
        <v>86085.66</v>
      </c>
      <c r="F4793" t="s">
        <v>20</v>
      </c>
      <c r="G4793" t="s">
        <v>21</v>
      </c>
      <c r="H4793" t="str">
        <f>"0859-002367678"</f>
        <v>0859-002367678</v>
      </c>
      <c r="I4793" t="str">
        <f>"REPUBLIC SERVICES #859"</f>
        <v>REPUBLIC SERVICES #859</v>
      </c>
    </row>
    <row r="4794" spans="1:9" x14ac:dyDescent="0.25">
      <c r="A4794" s="6">
        <v>43726</v>
      </c>
      <c r="B4794" t="s">
        <v>26</v>
      </c>
      <c r="C4794">
        <v>62060</v>
      </c>
      <c r="D4794" t="s">
        <v>126</v>
      </c>
      <c r="E4794" s="7">
        <v>86085.66</v>
      </c>
      <c r="F4794" t="s">
        <v>20</v>
      </c>
      <c r="G4794" t="s">
        <v>21</v>
      </c>
      <c r="H4794" t="str">
        <f>"0859-002371985"</f>
        <v>0859-002371985</v>
      </c>
      <c r="I4794" t="str">
        <f>"REPUBLIC SERVICES #859"</f>
        <v>REPUBLIC SERVICES #859</v>
      </c>
    </row>
    <row r="4795" spans="1:9" x14ac:dyDescent="0.25">
      <c r="A4795" s="6">
        <v>43726</v>
      </c>
      <c r="B4795" t="s">
        <v>26</v>
      </c>
      <c r="C4795">
        <v>62061</v>
      </c>
      <c r="D4795" t="s">
        <v>79</v>
      </c>
      <c r="E4795" s="7">
        <v>26.04</v>
      </c>
      <c r="F4795" t="s">
        <v>20</v>
      </c>
      <c r="G4795" t="s">
        <v>21</v>
      </c>
      <c r="H4795" t="str">
        <f>"6-729-21620"</f>
        <v>6-729-21620</v>
      </c>
      <c r="I4795" t="str">
        <f>"FEDEX"</f>
        <v>FEDEX</v>
      </c>
    </row>
    <row r="4796" spans="1:9" x14ac:dyDescent="0.25">
      <c r="A4796" s="6">
        <v>43726</v>
      </c>
      <c r="B4796" t="s">
        <v>26</v>
      </c>
      <c r="C4796">
        <v>62061</v>
      </c>
      <c r="D4796" t="s">
        <v>79</v>
      </c>
      <c r="E4796" s="7">
        <v>26.04</v>
      </c>
      <c r="F4796" t="s">
        <v>20</v>
      </c>
      <c r="G4796" t="s">
        <v>21</v>
      </c>
      <c r="H4796" t="str">
        <f>"6-734-98001"</f>
        <v>6-734-98001</v>
      </c>
      <c r="I4796" t="str">
        <f>"FEDEX"</f>
        <v>FEDEX</v>
      </c>
    </row>
    <row r="4797" spans="1:9" x14ac:dyDescent="0.25">
      <c r="A4797" s="6">
        <v>43726</v>
      </c>
      <c r="B4797" t="s">
        <v>26</v>
      </c>
      <c r="C4797">
        <v>62062</v>
      </c>
      <c r="D4797" t="s">
        <v>139</v>
      </c>
      <c r="E4797" s="7">
        <v>65</v>
      </c>
      <c r="F4797" t="s">
        <v>20</v>
      </c>
      <c r="G4797" t="s">
        <v>21</v>
      </c>
      <c r="H4797" t="str">
        <f>"27284"</f>
        <v>27284</v>
      </c>
      <c r="I4797" t="str">
        <f>"ANGEL FIRE &amp; SAFETY"</f>
        <v>ANGEL FIRE &amp; SAFETY</v>
      </c>
    </row>
    <row r="4798" spans="1:9" x14ac:dyDescent="0.25">
      <c r="A4798" s="6">
        <v>43726</v>
      </c>
      <c r="B4798" t="s">
        <v>26</v>
      </c>
      <c r="C4798">
        <v>62063</v>
      </c>
      <c r="D4798" t="s">
        <v>31</v>
      </c>
      <c r="E4798" s="7">
        <v>2000</v>
      </c>
      <c r="F4798" t="s">
        <v>20</v>
      </c>
      <c r="G4798" t="s">
        <v>21</v>
      </c>
      <c r="H4798" t="str">
        <f>"20199225"</f>
        <v>20199225</v>
      </c>
      <c r="I4798" t="str">
        <f>"THE LAW OFFICE OF TOM CALDWELL"</f>
        <v>THE LAW OFFICE OF TOM CALDWELL</v>
      </c>
    </row>
    <row r="4799" spans="1:9" x14ac:dyDescent="0.25">
      <c r="A4799" s="6">
        <v>43726</v>
      </c>
      <c r="B4799" t="s">
        <v>26</v>
      </c>
      <c r="C4799">
        <v>62064</v>
      </c>
      <c r="D4799" t="s">
        <v>130</v>
      </c>
      <c r="E4799" s="7">
        <v>4165</v>
      </c>
      <c r="F4799" t="s">
        <v>20</v>
      </c>
      <c r="G4799" t="s">
        <v>21</v>
      </c>
      <c r="H4799" t="str">
        <f>"INV676650"</f>
        <v>INV676650</v>
      </c>
      <c r="I4799" t="str">
        <f>"DOCUMATION"</f>
        <v>DOCUMATION</v>
      </c>
    </row>
    <row r="4800" spans="1:9" x14ac:dyDescent="0.25">
      <c r="A4800" s="6">
        <v>43726</v>
      </c>
      <c r="B4800" t="s">
        <v>91</v>
      </c>
      <c r="C4800">
        <v>62065</v>
      </c>
      <c r="D4800" t="s">
        <v>97</v>
      </c>
      <c r="E4800" s="7">
        <v>29212.25</v>
      </c>
      <c r="F4800" t="s">
        <v>20</v>
      </c>
      <c r="G4800" t="s">
        <v>21</v>
      </c>
      <c r="H4800" t="str">
        <f>"DEN201909108538"</f>
        <v>DEN201909108538</v>
      </c>
      <c r="I4800" t="str">
        <f>"DENTAL INSURANCE"</f>
        <v>DENTAL INSURANCE</v>
      </c>
    </row>
    <row r="4801" spans="1:9" x14ac:dyDescent="0.25">
      <c r="A4801" s="6">
        <v>43726</v>
      </c>
      <c r="B4801" t="s">
        <v>91</v>
      </c>
      <c r="C4801">
        <v>62065</v>
      </c>
      <c r="D4801" t="s">
        <v>97</v>
      </c>
      <c r="E4801" s="7">
        <v>29212.25</v>
      </c>
      <c r="F4801" t="s">
        <v>20</v>
      </c>
      <c r="G4801" t="s">
        <v>21</v>
      </c>
      <c r="H4801" t="str">
        <f>"MED201909108538"</f>
        <v>MED201909108538</v>
      </c>
      <c r="I4801" t="str">
        <f>"HEALTH &amp; DENTAL INSURANCE"</f>
        <v>HEALTH &amp; DENTAL INSURANCE</v>
      </c>
    </row>
    <row r="4802" spans="1:9" x14ac:dyDescent="0.25">
      <c r="A4802" s="6">
        <v>43726</v>
      </c>
      <c r="B4802" t="s">
        <v>91</v>
      </c>
      <c r="C4802">
        <v>62065</v>
      </c>
      <c r="D4802" t="s">
        <v>97</v>
      </c>
      <c r="E4802" s="7">
        <v>29212.25</v>
      </c>
      <c r="F4802" t="s">
        <v>20</v>
      </c>
      <c r="G4802" t="s">
        <v>93</v>
      </c>
      <c r="H4802" t="str">
        <f>"CHECK"</f>
        <v>CHECK</v>
      </c>
      <c r="I4802" t="str">
        <f>""</f>
        <v/>
      </c>
    </row>
    <row r="4803" spans="1:9" x14ac:dyDescent="0.25">
      <c r="A4803" s="6">
        <v>43726</v>
      </c>
      <c r="B4803" t="s">
        <v>91</v>
      </c>
      <c r="C4803">
        <v>62067</v>
      </c>
      <c r="D4803" t="s">
        <v>98</v>
      </c>
      <c r="E4803" s="7">
        <v>1806.79</v>
      </c>
      <c r="F4803" t="s">
        <v>20</v>
      </c>
      <c r="G4803" t="s">
        <v>21</v>
      </c>
      <c r="H4803" t="str">
        <f>"LIF201909108538"</f>
        <v>LIF201909108538</v>
      </c>
      <c r="I4803" t="str">
        <f>"INSURANCE"</f>
        <v>INSURANCE</v>
      </c>
    </row>
    <row r="4804" spans="1:9" x14ac:dyDescent="0.25">
      <c r="A4804" s="6">
        <v>43726</v>
      </c>
      <c r="B4804" t="s">
        <v>91</v>
      </c>
      <c r="C4804">
        <v>62067</v>
      </c>
      <c r="D4804" t="s">
        <v>98</v>
      </c>
      <c r="E4804" s="7">
        <v>1806.79</v>
      </c>
      <c r="F4804" t="s">
        <v>20</v>
      </c>
      <c r="G4804" t="s">
        <v>21</v>
      </c>
      <c r="H4804" t="str">
        <f>"STD201909108538"</f>
        <v>STD201909108538</v>
      </c>
      <c r="I4804" t="str">
        <f>"SHORT TERM DISABILITY"</f>
        <v>SHORT TERM DISABILITY</v>
      </c>
    </row>
    <row r="4805" spans="1:9" x14ac:dyDescent="0.25">
      <c r="A4805" s="6">
        <v>43726</v>
      </c>
      <c r="B4805" t="s">
        <v>91</v>
      </c>
      <c r="C4805">
        <v>62067</v>
      </c>
      <c r="D4805" t="s">
        <v>98</v>
      </c>
      <c r="E4805" s="7">
        <v>1806.79</v>
      </c>
      <c r="F4805" t="s">
        <v>20</v>
      </c>
      <c r="G4805" t="s">
        <v>21</v>
      </c>
      <c r="H4805" t="str">
        <f>"VIS201909108538"</f>
        <v>VIS201909108538</v>
      </c>
      <c r="I4805" t="str">
        <f>"VISION INSURANCE"</f>
        <v>VISION INSURANCE</v>
      </c>
    </row>
    <row r="4806" spans="1:9" x14ac:dyDescent="0.25">
      <c r="A4806" s="6">
        <v>43726</v>
      </c>
      <c r="B4806" t="s">
        <v>91</v>
      </c>
      <c r="C4806">
        <v>62067</v>
      </c>
      <c r="D4806" t="s">
        <v>98</v>
      </c>
      <c r="E4806" s="7">
        <v>1806.79</v>
      </c>
      <c r="F4806" t="s">
        <v>20</v>
      </c>
      <c r="G4806" t="s">
        <v>21</v>
      </c>
      <c r="H4806" t="str">
        <f>"VLC201909108538"</f>
        <v>VLC201909108538</v>
      </c>
      <c r="I4806" t="str">
        <f>"CHILD LIFE INSURANCE"</f>
        <v>CHILD LIFE INSURANCE</v>
      </c>
    </row>
    <row r="4807" spans="1:9" x14ac:dyDescent="0.25">
      <c r="A4807" s="6">
        <v>43726</v>
      </c>
      <c r="B4807" t="s">
        <v>91</v>
      </c>
      <c r="C4807">
        <v>62067</v>
      </c>
      <c r="D4807" t="s">
        <v>98</v>
      </c>
      <c r="E4807" s="7">
        <v>1806.79</v>
      </c>
      <c r="F4807" t="s">
        <v>20</v>
      </c>
      <c r="G4807" t="s">
        <v>21</v>
      </c>
      <c r="H4807" t="str">
        <f>"VLS201909108538"</f>
        <v>VLS201909108538</v>
      </c>
      <c r="I4807" t="str">
        <f>"SPOUSE LIFE"</f>
        <v>SPOUSE LIFE</v>
      </c>
    </row>
    <row r="4808" spans="1:9" x14ac:dyDescent="0.25">
      <c r="A4808" s="6">
        <v>43726</v>
      </c>
      <c r="B4808" t="s">
        <v>91</v>
      </c>
      <c r="C4808">
        <v>62067</v>
      </c>
      <c r="D4808" t="s">
        <v>98</v>
      </c>
      <c r="E4808" s="7">
        <v>1806.79</v>
      </c>
      <c r="F4808" t="s">
        <v>20</v>
      </c>
      <c r="G4808" t="s">
        <v>21</v>
      </c>
      <c r="H4808" t="str">
        <f>"VOE201909108538"</f>
        <v>VOE201909108538</v>
      </c>
      <c r="I4808" t="str">
        <f>"EMPLOYEE LIFE"</f>
        <v>EMPLOYEE LIFE</v>
      </c>
    </row>
    <row r="4809" spans="1:9" x14ac:dyDescent="0.25">
      <c r="A4809" s="6">
        <v>43726</v>
      </c>
      <c r="B4809" t="s">
        <v>91</v>
      </c>
      <c r="C4809">
        <v>62067</v>
      </c>
      <c r="D4809" t="s">
        <v>98</v>
      </c>
      <c r="E4809" s="7">
        <v>1806.79</v>
      </c>
      <c r="F4809" t="s">
        <v>20</v>
      </c>
      <c r="G4809" t="s">
        <v>21</v>
      </c>
      <c r="H4809" t="str">
        <f>"VOL201909108538"</f>
        <v>VOL201909108538</v>
      </c>
      <c r="I4809" t="str">
        <f>"LIFE"</f>
        <v>LIFE</v>
      </c>
    </row>
    <row r="4810" spans="1:9" x14ac:dyDescent="0.25">
      <c r="A4810" s="6">
        <v>43726</v>
      </c>
      <c r="B4810" t="s">
        <v>91</v>
      </c>
      <c r="C4810">
        <v>62067</v>
      </c>
      <c r="D4810" t="s">
        <v>98</v>
      </c>
      <c r="E4810" s="7">
        <v>1806.79</v>
      </c>
      <c r="F4810" t="s">
        <v>20</v>
      </c>
      <c r="G4810" t="s">
        <v>93</v>
      </c>
      <c r="H4810" t="str">
        <f>"CHECK"</f>
        <v>CHECK</v>
      </c>
      <c r="I4810" t="str">
        <f>""</f>
        <v/>
      </c>
    </row>
    <row r="4811" spans="1:9" x14ac:dyDescent="0.25">
      <c r="A4811" s="6">
        <v>43726</v>
      </c>
      <c r="B4811" t="s">
        <v>26</v>
      </c>
      <c r="C4811">
        <v>62071</v>
      </c>
      <c r="D4811" t="s">
        <v>380</v>
      </c>
      <c r="E4811" s="7">
        <v>2150</v>
      </c>
      <c r="F4811" t="s">
        <v>20</v>
      </c>
      <c r="G4811" t="s">
        <v>21</v>
      </c>
      <c r="H4811" t="str">
        <f>"65883"</f>
        <v>65883</v>
      </c>
      <c r="I4811" t="str">
        <f>"ABIP CERTIFIED PUBLIC ACCOUNTA"</f>
        <v>ABIP CERTIFIED PUBLIC ACCOUNTA</v>
      </c>
    </row>
    <row r="4812" spans="1:9" x14ac:dyDescent="0.25">
      <c r="A4812" s="6">
        <v>43726</v>
      </c>
      <c r="B4812" t="s">
        <v>91</v>
      </c>
      <c r="C4812">
        <v>62072</v>
      </c>
      <c r="D4812" t="s">
        <v>131</v>
      </c>
      <c r="E4812" s="7">
        <v>12000</v>
      </c>
      <c r="F4812" t="s">
        <v>20</v>
      </c>
      <c r="G4812" t="s">
        <v>21</v>
      </c>
      <c r="H4812" t="str">
        <f>"043791"</f>
        <v>043791</v>
      </c>
      <c r="I4812" t="str">
        <f>"R &amp; S TEXAS PARTS CO"</f>
        <v>R &amp; S TEXAS PARTS CO</v>
      </c>
    </row>
    <row r="4813" spans="1:9" x14ac:dyDescent="0.25">
      <c r="A4813" s="6">
        <v>43726</v>
      </c>
      <c r="B4813" t="s">
        <v>91</v>
      </c>
      <c r="C4813">
        <v>62072</v>
      </c>
      <c r="D4813" t="s">
        <v>131</v>
      </c>
      <c r="E4813" s="7">
        <v>12000</v>
      </c>
      <c r="F4813" t="s">
        <v>20</v>
      </c>
      <c r="G4813" t="s">
        <v>93</v>
      </c>
      <c r="H4813" t="str">
        <f>"CHECK"</f>
        <v>CHECK</v>
      </c>
      <c r="I4813" t="str">
        <f>""</f>
        <v/>
      </c>
    </row>
    <row r="4814" spans="1:9" x14ac:dyDescent="0.25">
      <c r="A4814" s="6">
        <v>43726</v>
      </c>
      <c r="B4814" t="s">
        <v>26</v>
      </c>
      <c r="C4814">
        <v>62073</v>
      </c>
      <c r="D4814" t="s">
        <v>85</v>
      </c>
      <c r="E4814" s="7">
        <v>373.69</v>
      </c>
      <c r="F4814" t="s">
        <v>20</v>
      </c>
      <c r="G4814" t="s">
        <v>21</v>
      </c>
      <c r="H4814" t="str">
        <f>"8303930579 9/19"</f>
        <v>8303930579 9/19</v>
      </c>
      <c r="I4814" t="str">
        <f t="shared" ref="I4814:I4819" si="97">"FRONTIER"</f>
        <v>FRONTIER</v>
      </c>
    </row>
    <row r="4815" spans="1:9" x14ac:dyDescent="0.25">
      <c r="A4815" s="6">
        <v>43726</v>
      </c>
      <c r="B4815" t="s">
        <v>26</v>
      </c>
      <c r="C4815">
        <v>62073</v>
      </c>
      <c r="D4815" t="s">
        <v>85</v>
      </c>
      <c r="E4815" s="7">
        <v>373.69</v>
      </c>
      <c r="F4815" t="s">
        <v>20</v>
      </c>
      <c r="G4815" t="s">
        <v>21</v>
      </c>
      <c r="H4815" t="str">
        <f>"8303932733 9/19"</f>
        <v>8303932733 9/19</v>
      </c>
      <c r="I4815" t="str">
        <f t="shared" si="97"/>
        <v>FRONTIER</v>
      </c>
    </row>
    <row r="4816" spans="1:9" x14ac:dyDescent="0.25">
      <c r="A4816" s="6">
        <v>43726</v>
      </c>
      <c r="B4816" t="s">
        <v>26</v>
      </c>
      <c r="C4816">
        <v>62073</v>
      </c>
      <c r="D4816" t="s">
        <v>85</v>
      </c>
      <c r="E4816" s="7">
        <v>373.69</v>
      </c>
      <c r="F4816" t="s">
        <v>20</v>
      </c>
      <c r="G4816" t="s">
        <v>21</v>
      </c>
      <c r="H4816" t="str">
        <f>"8303932804 9/19"</f>
        <v>8303932804 9/19</v>
      </c>
      <c r="I4816" t="str">
        <f t="shared" si="97"/>
        <v>FRONTIER</v>
      </c>
    </row>
    <row r="4817" spans="1:9" x14ac:dyDescent="0.25">
      <c r="A4817" s="6">
        <v>43726</v>
      </c>
      <c r="B4817" t="s">
        <v>26</v>
      </c>
      <c r="C4817">
        <v>62073</v>
      </c>
      <c r="D4817" t="s">
        <v>85</v>
      </c>
      <c r="E4817" s="7">
        <v>373.69</v>
      </c>
      <c r="F4817" t="s">
        <v>20</v>
      </c>
      <c r="G4817" t="s">
        <v>21</v>
      </c>
      <c r="H4817" t="str">
        <f>"8303933108 9/19"</f>
        <v>8303933108 9/19</v>
      </c>
      <c r="I4817" t="str">
        <f t="shared" si="97"/>
        <v>FRONTIER</v>
      </c>
    </row>
    <row r="4818" spans="1:9" x14ac:dyDescent="0.25">
      <c r="A4818" s="6">
        <v>43726</v>
      </c>
      <c r="B4818" t="s">
        <v>26</v>
      </c>
      <c r="C4818">
        <v>62073</v>
      </c>
      <c r="D4818" t="s">
        <v>85</v>
      </c>
      <c r="E4818" s="7">
        <v>373.69</v>
      </c>
      <c r="F4818" t="s">
        <v>20</v>
      </c>
      <c r="G4818" t="s">
        <v>21</v>
      </c>
      <c r="H4818" t="str">
        <f>"8303936794 9/19"</f>
        <v>8303936794 9/19</v>
      </c>
      <c r="I4818" t="str">
        <f t="shared" si="97"/>
        <v>FRONTIER</v>
      </c>
    </row>
    <row r="4819" spans="1:9" x14ac:dyDescent="0.25">
      <c r="A4819" s="6">
        <v>43726</v>
      </c>
      <c r="B4819" t="s">
        <v>26</v>
      </c>
      <c r="C4819">
        <v>62073</v>
      </c>
      <c r="D4819" t="s">
        <v>85</v>
      </c>
      <c r="E4819" s="7">
        <v>373.69</v>
      </c>
      <c r="F4819" t="s">
        <v>20</v>
      </c>
      <c r="G4819" t="s">
        <v>21</v>
      </c>
      <c r="H4819" t="str">
        <f>"8303939791 9/19"</f>
        <v>8303939791 9/19</v>
      </c>
      <c r="I4819" t="str">
        <f t="shared" si="97"/>
        <v>FRONTIER</v>
      </c>
    </row>
    <row r="4820" spans="1:9" x14ac:dyDescent="0.25">
      <c r="A4820" s="6">
        <v>43726</v>
      </c>
      <c r="B4820" t="s">
        <v>26</v>
      </c>
      <c r="C4820">
        <v>62074</v>
      </c>
      <c r="D4820" t="s">
        <v>326</v>
      </c>
      <c r="E4820" s="7">
        <v>32</v>
      </c>
      <c r="F4820" t="s">
        <v>20</v>
      </c>
      <c r="G4820" t="s">
        <v>21</v>
      </c>
      <c r="H4820" t="str">
        <f>"20305541"</f>
        <v>20305541</v>
      </c>
      <c r="I4820" t="str">
        <f>"MATHESON TRI-GAS INC"</f>
        <v>MATHESON TRI-GAS INC</v>
      </c>
    </row>
    <row r="4821" spans="1:9" x14ac:dyDescent="0.25">
      <c r="A4821" s="6">
        <v>43726</v>
      </c>
      <c r="B4821" t="s">
        <v>26</v>
      </c>
      <c r="C4821">
        <v>62075</v>
      </c>
      <c r="D4821" t="s">
        <v>195</v>
      </c>
      <c r="E4821" s="7">
        <v>510</v>
      </c>
      <c r="F4821" t="s">
        <v>20</v>
      </c>
      <c r="G4821" t="s">
        <v>21</v>
      </c>
      <c r="H4821" t="str">
        <f>"28230"</f>
        <v>28230</v>
      </c>
      <c r="I4821" t="str">
        <f>"ARISTA INFORMATION SYSTEMS  IN"</f>
        <v>ARISTA INFORMATION SYSTEMS  IN</v>
      </c>
    </row>
    <row r="4822" spans="1:9" x14ac:dyDescent="0.25">
      <c r="A4822" s="6">
        <v>43726</v>
      </c>
      <c r="B4822" t="s">
        <v>26</v>
      </c>
      <c r="C4822">
        <v>62076</v>
      </c>
      <c r="D4822" t="s">
        <v>345</v>
      </c>
      <c r="E4822" s="7">
        <v>297</v>
      </c>
      <c r="F4822" t="s">
        <v>20</v>
      </c>
      <c r="G4822" t="s">
        <v>21</v>
      </c>
      <c r="H4822" t="str">
        <f>"9/16/19"</f>
        <v>9/16/19</v>
      </c>
      <c r="I4822" t="str">
        <f>"MICHAEL ISAAC MARTINEZ"</f>
        <v>MICHAEL ISAAC MARTINEZ</v>
      </c>
    </row>
    <row r="4823" spans="1:9" x14ac:dyDescent="0.25">
      <c r="A4823" s="6">
        <v>43726</v>
      </c>
      <c r="B4823" t="s">
        <v>26</v>
      </c>
      <c r="C4823">
        <v>62077</v>
      </c>
      <c r="D4823" t="s">
        <v>443</v>
      </c>
      <c r="E4823" s="7">
        <v>4116.67</v>
      </c>
      <c r="F4823" t="s">
        <v>20</v>
      </c>
      <c r="G4823" t="s">
        <v>21</v>
      </c>
      <c r="H4823" t="str">
        <f>"10592"</f>
        <v>10592</v>
      </c>
      <c r="I4823" t="str">
        <f>"RIOJAS TURF CARE  LLC"</f>
        <v>RIOJAS TURF CARE  LLC</v>
      </c>
    </row>
    <row r="4824" spans="1:9" x14ac:dyDescent="0.25">
      <c r="A4824" s="6">
        <v>43726</v>
      </c>
      <c r="B4824" t="s">
        <v>26</v>
      </c>
      <c r="C4824">
        <v>62078</v>
      </c>
      <c r="D4824" t="s">
        <v>483</v>
      </c>
      <c r="E4824" s="7">
        <v>432.63</v>
      </c>
      <c r="F4824" t="s">
        <v>20</v>
      </c>
      <c r="G4824" t="s">
        <v>21</v>
      </c>
      <c r="H4824" t="str">
        <f>"5400117"</f>
        <v>5400117</v>
      </c>
      <c r="I4824" t="str">
        <f>"WASTE WATER SUPPLIES"</f>
        <v>WASTE WATER SUPPLIES</v>
      </c>
    </row>
    <row r="4825" spans="1:9" x14ac:dyDescent="0.25">
      <c r="A4825" s="6">
        <v>43726</v>
      </c>
      <c r="B4825" t="s">
        <v>26</v>
      </c>
      <c r="C4825">
        <v>62079</v>
      </c>
      <c r="D4825" t="s">
        <v>528</v>
      </c>
      <c r="E4825" s="7">
        <v>123.4</v>
      </c>
      <c r="F4825" t="s">
        <v>20</v>
      </c>
      <c r="G4825" t="s">
        <v>21</v>
      </c>
      <c r="H4825" t="str">
        <f>"10040371"</f>
        <v>10040371</v>
      </c>
      <c r="I4825" t="str">
        <f>"PROSTAR SERVICES INC"</f>
        <v>PROSTAR SERVICES INC</v>
      </c>
    </row>
    <row r="4826" spans="1:9" x14ac:dyDescent="0.25">
      <c r="A4826" s="6">
        <v>43726</v>
      </c>
      <c r="B4826" t="s">
        <v>26</v>
      </c>
      <c r="C4826">
        <v>62080</v>
      </c>
      <c r="D4826" t="s">
        <v>568</v>
      </c>
      <c r="E4826" s="7">
        <v>284.22000000000003</v>
      </c>
      <c r="F4826" t="s">
        <v>20</v>
      </c>
      <c r="G4826" t="s">
        <v>21</v>
      </c>
      <c r="H4826" t="str">
        <f>"9907907"</f>
        <v>9907907</v>
      </c>
      <c r="I4826" t="str">
        <f>"TIRES FOR UNIT #331"</f>
        <v>TIRES FOR UNIT #331</v>
      </c>
    </row>
    <row r="4827" spans="1:9" x14ac:dyDescent="0.25">
      <c r="A4827" s="6">
        <v>43726</v>
      </c>
      <c r="B4827" t="s">
        <v>26</v>
      </c>
      <c r="C4827">
        <v>62081</v>
      </c>
      <c r="D4827" t="s">
        <v>629</v>
      </c>
      <c r="E4827" s="7">
        <v>795</v>
      </c>
      <c r="F4827" t="s">
        <v>20</v>
      </c>
      <c r="G4827" t="s">
        <v>21</v>
      </c>
      <c r="H4827" t="str">
        <f>"37993"</f>
        <v>37993</v>
      </c>
      <c r="I4827" t="str">
        <f>"CEMENT CAR STOPS"</f>
        <v>CEMENT CAR STOPS</v>
      </c>
    </row>
    <row r="4828" spans="1:9" x14ac:dyDescent="0.25">
      <c r="A4828" s="6">
        <v>43726</v>
      </c>
      <c r="B4828" t="s">
        <v>26</v>
      </c>
      <c r="C4828">
        <v>62082</v>
      </c>
      <c r="D4828" t="s">
        <v>644</v>
      </c>
      <c r="E4828" s="7">
        <v>1055.0899999999999</v>
      </c>
      <c r="F4828" t="s">
        <v>20</v>
      </c>
      <c r="G4828" t="s">
        <v>21</v>
      </c>
      <c r="H4828" t="str">
        <f>"8213359123"</f>
        <v>8213359123</v>
      </c>
      <c r="I4828" t="str">
        <f t="shared" ref="I4828:I4839" si="98">"UNIFIRST CORPORATION"</f>
        <v>UNIFIRST CORPORATION</v>
      </c>
    </row>
    <row r="4829" spans="1:9" x14ac:dyDescent="0.25">
      <c r="A4829" s="6">
        <v>43726</v>
      </c>
      <c r="B4829" t="s">
        <v>26</v>
      </c>
      <c r="C4829">
        <v>62082</v>
      </c>
      <c r="D4829" t="s">
        <v>644</v>
      </c>
      <c r="E4829" s="7">
        <v>1055.0899999999999</v>
      </c>
      <c r="F4829" t="s">
        <v>20</v>
      </c>
      <c r="G4829" t="s">
        <v>21</v>
      </c>
      <c r="H4829" t="str">
        <f>"8213361877"</f>
        <v>8213361877</v>
      </c>
      <c r="I4829" t="str">
        <f t="shared" si="98"/>
        <v>UNIFIRST CORPORATION</v>
      </c>
    </row>
    <row r="4830" spans="1:9" x14ac:dyDescent="0.25">
      <c r="A4830" s="6">
        <v>43726</v>
      </c>
      <c r="B4830" t="s">
        <v>26</v>
      </c>
      <c r="C4830">
        <v>62082</v>
      </c>
      <c r="D4830" t="s">
        <v>644</v>
      </c>
      <c r="E4830" s="7">
        <v>1055.0899999999999</v>
      </c>
      <c r="F4830" t="s">
        <v>20</v>
      </c>
      <c r="G4830" t="s">
        <v>21</v>
      </c>
      <c r="H4830" t="str">
        <f>"8213361878"</f>
        <v>8213361878</v>
      </c>
      <c r="I4830" t="str">
        <f t="shared" si="98"/>
        <v>UNIFIRST CORPORATION</v>
      </c>
    </row>
    <row r="4831" spans="1:9" x14ac:dyDescent="0.25">
      <c r="A4831" s="6">
        <v>43726</v>
      </c>
      <c r="B4831" t="s">
        <v>26</v>
      </c>
      <c r="C4831">
        <v>62082</v>
      </c>
      <c r="D4831" t="s">
        <v>644</v>
      </c>
      <c r="E4831" s="7">
        <v>1055.0899999999999</v>
      </c>
      <c r="F4831" t="s">
        <v>20</v>
      </c>
      <c r="G4831" t="s">
        <v>21</v>
      </c>
      <c r="H4831" t="str">
        <f>"8213361879"</f>
        <v>8213361879</v>
      </c>
      <c r="I4831" t="str">
        <f t="shared" si="98"/>
        <v>UNIFIRST CORPORATION</v>
      </c>
    </row>
    <row r="4832" spans="1:9" x14ac:dyDescent="0.25">
      <c r="A4832" s="6">
        <v>43726</v>
      </c>
      <c r="B4832" t="s">
        <v>26</v>
      </c>
      <c r="C4832">
        <v>62082</v>
      </c>
      <c r="D4832" t="s">
        <v>644</v>
      </c>
      <c r="E4832" s="7">
        <v>1055.0899999999999</v>
      </c>
      <c r="F4832" t="s">
        <v>20</v>
      </c>
      <c r="G4832" t="s">
        <v>21</v>
      </c>
      <c r="H4832" t="str">
        <f>"8213361880"</f>
        <v>8213361880</v>
      </c>
      <c r="I4832" t="str">
        <f t="shared" si="98"/>
        <v>UNIFIRST CORPORATION</v>
      </c>
    </row>
    <row r="4833" spans="1:9" x14ac:dyDescent="0.25">
      <c r="A4833" s="6">
        <v>43726</v>
      </c>
      <c r="B4833" t="s">
        <v>26</v>
      </c>
      <c r="C4833">
        <v>62082</v>
      </c>
      <c r="D4833" t="s">
        <v>644</v>
      </c>
      <c r="E4833" s="7">
        <v>1055.0899999999999</v>
      </c>
      <c r="F4833" t="s">
        <v>20</v>
      </c>
      <c r="G4833" t="s">
        <v>21</v>
      </c>
      <c r="H4833" t="str">
        <f>"8213361881"</f>
        <v>8213361881</v>
      </c>
      <c r="I4833" t="str">
        <f t="shared" si="98"/>
        <v>UNIFIRST CORPORATION</v>
      </c>
    </row>
    <row r="4834" spans="1:9" x14ac:dyDescent="0.25">
      <c r="A4834" s="6">
        <v>43726</v>
      </c>
      <c r="B4834" t="s">
        <v>26</v>
      </c>
      <c r="C4834">
        <v>62082</v>
      </c>
      <c r="D4834" t="s">
        <v>644</v>
      </c>
      <c r="E4834" s="7">
        <v>1055.0899999999999</v>
      </c>
      <c r="F4834" t="s">
        <v>20</v>
      </c>
      <c r="G4834" t="s">
        <v>21</v>
      </c>
      <c r="H4834" t="str">
        <f>"8213361882"</f>
        <v>8213361882</v>
      </c>
      <c r="I4834" t="str">
        <f t="shared" si="98"/>
        <v>UNIFIRST CORPORATION</v>
      </c>
    </row>
    <row r="4835" spans="1:9" x14ac:dyDescent="0.25">
      <c r="A4835" s="6">
        <v>43726</v>
      </c>
      <c r="B4835" t="s">
        <v>26</v>
      </c>
      <c r="C4835">
        <v>62082</v>
      </c>
      <c r="D4835" t="s">
        <v>644</v>
      </c>
      <c r="E4835" s="7">
        <v>1055.0899999999999</v>
      </c>
      <c r="F4835" t="s">
        <v>20</v>
      </c>
      <c r="G4835" t="s">
        <v>21</v>
      </c>
      <c r="H4835" t="str">
        <f>"8213361883"</f>
        <v>8213361883</v>
      </c>
      <c r="I4835" t="str">
        <f t="shared" si="98"/>
        <v>UNIFIRST CORPORATION</v>
      </c>
    </row>
    <row r="4836" spans="1:9" x14ac:dyDescent="0.25">
      <c r="A4836" s="6">
        <v>43726</v>
      </c>
      <c r="B4836" t="s">
        <v>26</v>
      </c>
      <c r="C4836">
        <v>62082</v>
      </c>
      <c r="D4836" t="s">
        <v>644</v>
      </c>
      <c r="E4836" s="7">
        <v>1055.0899999999999</v>
      </c>
      <c r="F4836" t="s">
        <v>20</v>
      </c>
      <c r="G4836" t="s">
        <v>21</v>
      </c>
      <c r="H4836" t="str">
        <f>"8213364662"</f>
        <v>8213364662</v>
      </c>
      <c r="I4836" t="str">
        <f t="shared" si="98"/>
        <v>UNIFIRST CORPORATION</v>
      </c>
    </row>
    <row r="4837" spans="1:9" x14ac:dyDescent="0.25">
      <c r="A4837" s="6">
        <v>43726</v>
      </c>
      <c r="B4837" t="s">
        <v>26</v>
      </c>
      <c r="C4837">
        <v>62082</v>
      </c>
      <c r="D4837" t="s">
        <v>644</v>
      </c>
      <c r="E4837" s="7">
        <v>1055.0899999999999</v>
      </c>
      <c r="F4837" t="s">
        <v>20</v>
      </c>
      <c r="G4837" t="s">
        <v>21</v>
      </c>
      <c r="H4837" t="str">
        <f>"8213364663"</f>
        <v>8213364663</v>
      </c>
      <c r="I4837" t="str">
        <f t="shared" si="98"/>
        <v>UNIFIRST CORPORATION</v>
      </c>
    </row>
    <row r="4838" spans="1:9" x14ac:dyDescent="0.25">
      <c r="A4838" s="6">
        <v>43726</v>
      </c>
      <c r="B4838" t="s">
        <v>26</v>
      </c>
      <c r="C4838">
        <v>62082</v>
      </c>
      <c r="D4838" t="s">
        <v>644</v>
      </c>
      <c r="E4838" s="7">
        <v>1055.0899999999999</v>
      </c>
      <c r="F4838" t="s">
        <v>20</v>
      </c>
      <c r="G4838" t="s">
        <v>21</v>
      </c>
      <c r="H4838" t="str">
        <f>"8213364664"</f>
        <v>8213364664</v>
      </c>
      <c r="I4838" t="str">
        <f t="shared" si="98"/>
        <v>UNIFIRST CORPORATION</v>
      </c>
    </row>
    <row r="4839" spans="1:9" x14ac:dyDescent="0.25">
      <c r="A4839" s="6">
        <v>43726</v>
      </c>
      <c r="B4839" t="s">
        <v>26</v>
      </c>
      <c r="C4839">
        <v>62082</v>
      </c>
      <c r="D4839" t="s">
        <v>644</v>
      </c>
      <c r="E4839" s="7">
        <v>1055.0899999999999</v>
      </c>
      <c r="F4839" t="s">
        <v>20</v>
      </c>
      <c r="G4839" t="s">
        <v>21</v>
      </c>
      <c r="H4839" t="str">
        <f>"8213364665"</f>
        <v>8213364665</v>
      </c>
      <c r="I4839" t="str">
        <f t="shared" si="98"/>
        <v>UNIFIRST CORPORATION</v>
      </c>
    </row>
    <row r="4840" spans="1:9" x14ac:dyDescent="0.25">
      <c r="A4840" s="6">
        <v>43726</v>
      </c>
      <c r="B4840" t="s">
        <v>26</v>
      </c>
      <c r="C4840">
        <v>62085</v>
      </c>
      <c r="D4840" t="s">
        <v>648</v>
      </c>
      <c r="E4840" s="7">
        <v>8263.9599999999991</v>
      </c>
      <c r="F4840" t="s">
        <v>20</v>
      </c>
      <c r="G4840" t="s">
        <v>21</v>
      </c>
      <c r="H4840" t="str">
        <f>"941 12/2018"</f>
        <v>941 12/2018</v>
      </c>
      <c r="I4840" t="str">
        <f>"UNITED STATES TREASURY- IRS"</f>
        <v>UNITED STATES TREASURY- IRS</v>
      </c>
    </row>
    <row r="4841" spans="1:9" x14ac:dyDescent="0.25">
      <c r="A4841" s="6">
        <v>43726</v>
      </c>
      <c r="B4841" t="s">
        <v>26</v>
      </c>
      <c r="C4841">
        <v>62087</v>
      </c>
      <c r="D4841" t="s">
        <v>695</v>
      </c>
      <c r="E4841" s="7">
        <v>180</v>
      </c>
      <c r="F4841" t="s">
        <v>20</v>
      </c>
      <c r="G4841" t="s">
        <v>21</v>
      </c>
      <c r="H4841" t="str">
        <f>"1236827"</f>
        <v>1236827</v>
      </c>
      <c r="I4841" t="str">
        <f>"ALAMO PAINT &amp; DECORATING"</f>
        <v>ALAMO PAINT &amp; DECORATING</v>
      </c>
    </row>
    <row r="4842" spans="1:9" x14ac:dyDescent="0.25">
      <c r="A4842" s="6">
        <v>43726</v>
      </c>
      <c r="B4842" t="s">
        <v>26</v>
      </c>
      <c r="C4842">
        <v>62088</v>
      </c>
      <c r="D4842" t="s">
        <v>696</v>
      </c>
      <c r="E4842" s="7">
        <v>50</v>
      </c>
      <c r="F4842" t="s">
        <v>20</v>
      </c>
      <c r="G4842" t="s">
        <v>21</v>
      </c>
      <c r="H4842" t="str">
        <f>"9/16/19"</f>
        <v>9/16/19</v>
      </c>
      <c r="I4842" t="str">
        <f>"ANGEL G. ROSAS"</f>
        <v>ANGEL G. ROSAS</v>
      </c>
    </row>
    <row r="4843" spans="1:9" x14ac:dyDescent="0.25">
      <c r="A4843" s="6">
        <v>43726</v>
      </c>
      <c r="B4843" t="s">
        <v>26</v>
      </c>
      <c r="C4843">
        <v>62089</v>
      </c>
      <c r="D4843" t="s">
        <v>716</v>
      </c>
      <c r="E4843" s="7">
        <v>350</v>
      </c>
      <c r="F4843" t="s">
        <v>20</v>
      </c>
      <c r="G4843" t="s">
        <v>21</v>
      </c>
      <c r="H4843" t="str">
        <f>"9/16/19"</f>
        <v>9/16/19</v>
      </c>
      <c r="I4843" t="str">
        <f>"ALFREDO SENDEJO"</f>
        <v>ALFREDO SENDEJO</v>
      </c>
    </row>
    <row r="4844" spans="1:9" x14ac:dyDescent="0.25">
      <c r="A4844" s="6">
        <v>43726</v>
      </c>
      <c r="B4844" t="s">
        <v>26</v>
      </c>
      <c r="C4844">
        <v>62090</v>
      </c>
      <c r="D4844" t="s">
        <v>752</v>
      </c>
      <c r="E4844" s="7">
        <v>150</v>
      </c>
      <c r="F4844" t="s">
        <v>20</v>
      </c>
      <c r="G4844" t="s">
        <v>21</v>
      </c>
      <c r="H4844" t="str">
        <f>"9/16/19"</f>
        <v>9/16/19</v>
      </c>
      <c r="I4844" t="str">
        <f>"BLANCA PEREZ"</f>
        <v>BLANCA PEREZ</v>
      </c>
    </row>
    <row r="4845" spans="1:9" x14ac:dyDescent="0.25">
      <c r="A4845" s="6">
        <v>43726</v>
      </c>
      <c r="B4845" t="s">
        <v>26</v>
      </c>
      <c r="C4845">
        <v>62091</v>
      </c>
      <c r="D4845" t="s">
        <v>814</v>
      </c>
      <c r="E4845" s="7">
        <v>105</v>
      </c>
      <c r="F4845" t="s">
        <v>20</v>
      </c>
      <c r="G4845" t="s">
        <v>21</v>
      </c>
      <c r="H4845" t="str">
        <f>"9/14/19"</f>
        <v>9/14/19</v>
      </c>
      <c r="I4845" t="str">
        <f>"RACHEL GARCIA"</f>
        <v>RACHEL GARCIA</v>
      </c>
    </row>
    <row r="4846" spans="1:9" x14ac:dyDescent="0.25">
      <c r="A4846" s="6">
        <v>43726</v>
      </c>
      <c r="B4846" t="s">
        <v>26</v>
      </c>
      <c r="C4846">
        <v>62092</v>
      </c>
      <c r="D4846" t="s">
        <v>157</v>
      </c>
      <c r="E4846" s="7">
        <v>660</v>
      </c>
      <c r="F4846" t="s">
        <v>20</v>
      </c>
      <c r="G4846" t="s">
        <v>21</v>
      </c>
      <c r="H4846" t="str">
        <f>"9/18/19"</f>
        <v>9/18/19</v>
      </c>
      <c r="I4846" t="str">
        <f>"GLAZIERS"</f>
        <v>GLAZIERS</v>
      </c>
    </row>
    <row r="4847" spans="1:9" x14ac:dyDescent="0.25">
      <c r="A4847" s="6">
        <v>43726</v>
      </c>
      <c r="B4847" t="s">
        <v>26</v>
      </c>
      <c r="C4847">
        <v>62093</v>
      </c>
      <c r="D4847" t="s">
        <v>81</v>
      </c>
      <c r="E4847" s="7">
        <v>211.12</v>
      </c>
      <c r="F4847" t="s">
        <v>20</v>
      </c>
      <c r="G4847" t="s">
        <v>21</v>
      </c>
      <c r="H4847" t="str">
        <f>"A.MONTOYA 9/18/19"</f>
        <v>A.MONTOYA 9/18/19</v>
      </c>
      <c r="I4847" t="str">
        <f>"CITY OF FLORESVILLE -PETTY CAS"</f>
        <v>CITY OF FLORESVILLE -PETTY CAS</v>
      </c>
    </row>
    <row r="4848" spans="1:9" x14ac:dyDescent="0.25">
      <c r="A4848" s="6">
        <v>43726</v>
      </c>
      <c r="B4848" t="s">
        <v>26</v>
      </c>
      <c r="C4848">
        <v>62094</v>
      </c>
      <c r="D4848" t="s">
        <v>815</v>
      </c>
      <c r="E4848" s="7">
        <v>586.25</v>
      </c>
      <c r="F4848" t="s">
        <v>20</v>
      </c>
      <c r="G4848" t="s">
        <v>21</v>
      </c>
      <c r="H4848" t="str">
        <f>"P013816 9/19"</f>
        <v>P013816 9/19</v>
      </c>
      <c r="I4848" t="str">
        <f>"FLORESVILLE PARKS FOUNDATION"</f>
        <v>FLORESVILLE PARKS FOUNDATION</v>
      </c>
    </row>
    <row r="4849" spans="1:9" x14ac:dyDescent="0.25">
      <c r="A4849" s="6">
        <v>43727</v>
      </c>
      <c r="B4849" t="s">
        <v>26</v>
      </c>
      <c r="C4849">
        <v>62095</v>
      </c>
      <c r="D4849" t="s">
        <v>313</v>
      </c>
      <c r="E4849" s="7">
        <v>426945.26</v>
      </c>
      <c r="F4849" t="s">
        <v>20</v>
      </c>
      <c r="G4849" t="s">
        <v>21</v>
      </c>
      <c r="H4849" t="str">
        <f>"994300095300019/19"</f>
        <v>994300095300019/19</v>
      </c>
      <c r="I4849" t="s">
        <v>498</v>
      </c>
    </row>
    <row r="4850" spans="1:9" x14ac:dyDescent="0.25">
      <c r="A4850" s="6">
        <v>43727</v>
      </c>
      <c r="B4850" t="s">
        <v>26</v>
      </c>
      <c r="C4850">
        <v>62096</v>
      </c>
      <c r="D4850" t="s">
        <v>452</v>
      </c>
      <c r="E4850" s="7">
        <v>120</v>
      </c>
      <c r="F4850" t="s">
        <v>20</v>
      </c>
      <c r="G4850" t="s">
        <v>21</v>
      </c>
      <c r="H4850" t="str">
        <f>"9/16/19"</f>
        <v>9/16/19</v>
      </c>
      <c r="I4850" t="str">
        <f>"DESIREE PEREZ"</f>
        <v>DESIREE PEREZ</v>
      </c>
    </row>
    <row r="4851" spans="1:9" x14ac:dyDescent="0.25">
      <c r="A4851" s="6">
        <v>43727</v>
      </c>
      <c r="B4851" t="s">
        <v>26</v>
      </c>
      <c r="C4851">
        <v>62097</v>
      </c>
      <c r="D4851" t="s">
        <v>816</v>
      </c>
      <c r="E4851" s="7">
        <v>105</v>
      </c>
      <c r="F4851" t="s">
        <v>20</v>
      </c>
      <c r="G4851" t="s">
        <v>21</v>
      </c>
      <c r="H4851" t="str">
        <f>"COED SOFTBALL 9/19"</f>
        <v>COED SOFTBALL 9/19</v>
      </c>
      <c r="I4851" t="str">
        <f>"MEGAN K ANDERSON"</f>
        <v>MEGAN K ANDERSON</v>
      </c>
    </row>
    <row r="4852" spans="1:9" x14ac:dyDescent="0.25">
      <c r="A4852" s="6">
        <v>43732</v>
      </c>
      <c r="B4852" t="s">
        <v>26</v>
      </c>
      <c r="C4852">
        <v>62098</v>
      </c>
      <c r="D4852" t="s">
        <v>57</v>
      </c>
      <c r="E4852" s="7">
        <v>867.2</v>
      </c>
      <c r="F4852" t="s">
        <v>20</v>
      </c>
      <c r="G4852" t="s">
        <v>21</v>
      </c>
      <c r="H4852" t="str">
        <f>"11617 09/19"</f>
        <v>11617 09/19</v>
      </c>
      <c r="I4852" t="str">
        <f>"F.E.L.P.S."</f>
        <v>F.E.L.P.S.</v>
      </c>
    </row>
    <row r="4853" spans="1:9" x14ac:dyDescent="0.25">
      <c r="A4853" s="6">
        <v>43732</v>
      </c>
      <c r="B4853" t="s">
        <v>26</v>
      </c>
      <c r="C4853">
        <v>62099</v>
      </c>
      <c r="D4853" t="s">
        <v>156</v>
      </c>
      <c r="E4853" s="7">
        <v>360</v>
      </c>
      <c r="F4853" t="s">
        <v>20</v>
      </c>
      <c r="G4853" t="s">
        <v>21</v>
      </c>
      <c r="H4853" t="str">
        <f>"8/24/2019"</f>
        <v>8/24/2019</v>
      </c>
      <c r="I4853" t="str">
        <f>"GLI DISTRIBUTING"</f>
        <v>GLI DISTRIBUTING</v>
      </c>
    </row>
    <row r="4854" spans="1:9" x14ac:dyDescent="0.25">
      <c r="A4854" s="6">
        <v>43732</v>
      </c>
      <c r="B4854" t="s">
        <v>91</v>
      </c>
      <c r="C4854">
        <v>62100</v>
      </c>
      <c r="D4854" t="s">
        <v>57</v>
      </c>
      <c r="E4854" s="7">
        <v>867.2</v>
      </c>
      <c r="F4854" t="s">
        <v>20</v>
      </c>
      <c r="G4854" t="s">
        <v>21</v>
      </c>
      <c r="H4854" t="str">
        <f>"11617 9/19"</f>
        <v>11617 9/19</v>
      </c>
      <c r="I4854" t="str">
        <f>"F.E.L.P.S."</f>
        <v>F.E.L.P.S.</v>
      </c>
    </row>
    <row r="4855" spans="1:9" x14ac:dyDescent="0.25">
      <c r="A4855" s="6">
        <v>43732</v>
      </c>
      <c r="B4855" t="s">
        <v>91</v>
      </c>
      <c r="C4855">
        <v>62100</v>
      </c>
      <c r="D4855" t="s">
        <v>57</v>
      </c>
      <c r="E4855" s="7">
        <v>867.2</v>
      </c>
      <c r="F4855" t="s">
        <v>20</v>
      </c>
      <c r="G4855" t="s">
        <v>93</v>
      </c>
      <c r="H4855" t="str">
        <f>"CHECK"</f>
        <v>CHECK</v>
      </c>
      <c r="I4855" t="str">
        <f>""</f>
        <v/>
      </c>
    </row>
    <row r="4856" spans="1:9" x14ac:dyDescent="0.25">
      <c r="A4856" s="6">
        <v>43732</v>
      </c>
      <c r="B4856" t="s">
        <v>91</v>
      </c>
      <c r="C4856">
        <v>62101</v>
      </c>
      <c r="D4856" t="s">
        <v>92</v>
      </c>
      <c r="E4856" s="7">
        <v>19313.79</v>
      </c>
      <c r="F4856" t="s">
        <v>20</v>
      </c>
      <c r="G4856" t="s">
        <v>21</v>
      </c>
      <c r="H4856" t="str">
        <f>"RET201909108538"</f>
        <v>RET201909108538</v>
      </c>
      <c r="I4856" t="str">
        <f>"TMRS CITY OF FLORESVILLE"</f>
        <v>TMRS CITY OF FLORESVILLE</v>
      </c>
    </row>
    <row r="4857" spans="1:9" x14ac:dyDescent="0.25">
      <c r="A4857" s="6">
        <v>43732</v>
      </c>
      <c r="B4857" t="s">
        <v>91</v>
      </c>
      <c r="C4857">
        <v>62101</v>
      </c>
      <c r="D4857" t="s">
        <v>92</v>
      </c>
      <c r="E4857" s="7">
        <v>19313.79</v>
      </c>
      <c r="F4857" t="s">
        <v>20</v>
      </c>
      <c r="G4857" t="s">
        <v>93</v>
      </c>
      <c r="H4857" t="str">
        <f>"CHECK"</f>
        <v>CHECK</v>
      </c>
      <c r="I4857" t="str">
        <f>""</f>
        <v/>
      </c>
    </row>
    <row r="4858" spans="1:9" x14ac:dyDescent="0.25">
      <c r="A4858" s="6">
        <v>43732</v>
      </c>
      <c r="B4858" t="s">
        <v>26</v>
      </c>
      <c r="C4858">
        <v>62113</v>
      </c>
      <c r="D4858" t="s">
        <v>51</v>
      </c>
      <c r="E4858" s="7">
        <v>346.31</v>
      </c>
      <c r="F4858" t="s">
        <v>20</v>
      </c>
      <c r="G4858" t="s">
        <v>21</v>
      </c>
      <c r="H4858" t="str">
        <f>"CLE201909248539"</f>
        <v>CLE201909248539</v>
      </c>
      <c r="I4858" t="str">
        <f>"CLEAT ONLY DUES"</f>
        <v>CLEAT ONLY DUES</v>
      </c>
    </row>
    <row r="4859" spans="1:9" x14ac:dyDescent="0.25">
      <c r="A4859" s="6">
        <v>43732</v>
      </c>
      <c r="B4859" t="s">
        <v>26</v>
      </c>
      <c r="C4859">
        <v>62113</v>
      </c>
      <c r="D4859" t="s">
        <v>51</v>
      </c>
      <c r="E4859" s="7">
        <v>346.31</v>
      </c>
      <c r="F4859" t="s">
        <v>20</v>
      </c>
      <c r="G4859" t="s">
        <v>21</v>
      </c>
      <c r="H4859" t="str">
        <f>"PDD201909248539"</f>
        <v>PDD201909248539</v>
      </c>
      <c r="I4859" t="str">
        <f>"POLICE OFFICERS ASSOC DUES"</f>
        <v>POLICE OFFICERS ASSOC DUES</v>
      </c>
    </row>
    <row r="4860" spans="1:9" x14ac:dyDescent="0.25">
      <c r="A4860" s="6">
        <v>43732</v>
      </c>
      <c r="B4860" t="s">
        <v>91</v>
      </c>
      <c r="C4860">
        <v>62114</v>
      </c>
      <c r="D4860" t="s">
        <v>90</v>
      </c>
      <c r="E4860" s="7">
        <v>101.1</v>
      </c>
      <c r="F4860" t="s">
        <v>20</v>
      </c>
      <c r="G4860" t="s">
        <v>21</v>
      </c>
      <c r="H4860" t="str">
        <f>"AFS201909248539"</f>
        <v>AFS201909248539</v>
      </c>
      <c r="I4860" t="str">
        <f>"AFLAC STD"</f>
        <v>AFLAC STD</v>
      </c>
    </row>
    <row r="4861" spans="1:9" x14ac:dyDescent="0.25">
      <c r="A4861" s="6">
        <v>43732</v>
      </c>
      <c r="B4861" t="s">
        <v>91</v>
      </c>
      <c r="C4861">
        <v>62114</v>
      </c>
      <c r="D4861" t="s">
        <v>90</v>
      </c>
      <c r="E4861" s="7">
        <v>101.1</v>
      </c>
      <c r="F4861" t="s">
        <v>20</v>
      </c>
      <c r="G4861" t="s">
        <v>93</v>
      </c>
      <c r="H4861" t="str">
        <f>"CHECK"</f>
        <v>CHECK</v>
      </c>
      <c r="I4861" t="str">
        <f>""</f>
        <v/>
      </c>
    </row>
    <row r="4862" spans="1:9" x14ac:dyDescent="0.25">
      <c r="A4862" s="6">
        <v>43732</v>
      </c>
      <c r="B4862" t="s">
        <v>26</v>
      </c>
      <c r="C4862">
        <v>62115</v>
      </c>
      <c r="D4862" t="s">
        <v>52</v>
      </c>
      <c r="E4862" s="7">
        <v>1056.98</v>
      </c>
      <c r="F4862" t="s">
        <v>20</v>
      </c>
      <c r="G4862" t="s">
        <v>21</v>
      </c>
      <c r="H4862" t="str">
        <f>"CPS201909248539"</f>
        <v>CPS201909248539</v>
      </c>
      <c r="I4862" t="str">
        <f>"G MENDOZA 00123012032010EM5054"</f>
        <v>G MENDOZA 00123012032010EM5054</v>
      </c>
    </row>
    <row r="4863" spans="1:9" x14ac:dyDescent="0.25">
      <c r="A4863" s="6">
        <v>43732</v>
      </c>
      <c r="B4863" t="s">
        <v>26</v>
      </c>
      <c r="C4863">
        <v>62115</v>
      </c>
      <c r="D4863" t="s">
        <v>52</v>
      </c>
      <c r="E4863" s="7">
        <v>1056.98</v>
      </c>
      <c r="F4863" t="s">
        <v>20</v>
      </c>
      <c r="G4863" t="s">
        <v>21</v>
      </c>
      <c r="H4863" t="str">
        <f>"CS 201909248539"</f>
        <v>CS 201909248539</v>
      </c>
      <c r="I4863" t="str">
        <f>"CAUSE#98EM504113 PEGGY RIVAS"</f>
        <v>CAUSE#98EM504113 PEGGY RIVAS</v>
      </c>
    </row>
    <row r="4864" spans="1:9" x14ac:dyDescent="0.25">
      <c r="A4864" s="6">
        <v>43732</v>
      </c>
      <c r="B4864" t="s">
        <v>26</v>
      </c>
      <c r="C4864">
        <v>62115</v>
      </c>
      <c r="D4864" t="s">
        <v>52</v>
      </c>
      <c r="E4864" s="7">
        <v>1056.98</v>
      </c>
      <c r="F4864" t="s">
        <v>20</v>
      </c>
      <c r="G4864" t="s">
        <v>21</v>
      </c>
      <c r="H4864" t="str">
        <f>"CSJ201909248539"</f>
        <v>CSJ201909248539</v>
      </c>
      <c r="I4864" t="str">
        <f>"CAUSE# 0010185272 MARIANN GUTI"</f>
        <v>CAUSE# 0010185272 MARIANN GUTI</v>
      </c>
    </row>
    <row r="4865" spans="1:9" x14ac:dyDescent="0.25">
      <c r="A4865" s="6">
        <v>43732</v>
      </c>
      <c r="B4865" t="s">
        <v>26</v>
      </c>
      <c r="C4865">
        <v>62116</v>
      </c>
      <c r="D4865" t="s">
        <v>54</v>
      </c>
      <c r="E4865" s="7">
        <v>1137.32</v>
      </c>
      <c r="F4865" t="s">
        <v>20</v>
      </c>
      <c r="G4865" t="s">
        <v>21</v>
      </c>
      <c r="H4865" t="str">
        <f>"457201909248539"</f>
        <v>457201909248539</v>
      </c>
      <c r="I4865" t="str">
        <f>"CASE # 180-60751 457B DEDUCT"</f>
        <v>CASE # 180-60751 457B DEDUCT</v>
      </c>
    </row>
    <row r="4866" spans="1:9" x14ac:dyDescent="0.25">
      <c r="A4866" s="6">
        <v>43734</v>
      </c>
      <c r="B4866" t="s">
        <v>26</v>
      </c>
      <c r="C4866">
        <v>62117</v>
      </c>
      <c r="D4866" t="s">
        <v>103</v>
      </c>
      <c r="E4866" s="7">
        <v>92825.14</v>
      </c>
      <c r="F4866" t="s">
        <v>20</v>
      </c>
      <c r="G4866" t="s">
        <v>21</v>
      </c>
      <c r="H4866" t="str">
        <f>"SEPT. SALES TAX"</f>
        <v>SEPT. SALES TAX</v>
      </c>
      <c r="I4866" t="str">
        <f>"F. E. D. C."</f>
        <v>F. E. D. C.</v>
      </c>
    </row>
    <row r="4867" spans="1:9" x14ac:dyDescent="0.25">
      <c r="A4867" s="6">
        <v>43734</v>
      </c>
      <c r="B4867" t="s">
        <v>26</v>
      </c>
      <c r="C4867">
        <v>62118</v>
      </c>
      <c r="D4867" t="s">
        <v>273</v>
      </c>
      <c r="E4867" s="7">
        <v>789.89</v>
      </c>
      <c r="F4867" t="s">
        <v>20</v>
      </c>
      <c r="G4867" t="s">
        <v>21</v>
      </c>
      <c r="H4867" t="str">
        <f>"5119-000090267"</f>
        <v>5119-000090267</v>
      </c>
      <c r="I4867" t="str">
        <f>"REPUBLIC SERVICES TESSMAN ROAD"</f>
        <v>REPUBLIC SERVICES TESSMAN ROAD</v>
      </c>
    </row>
    <row r="4868" spans="1:9" x14ac:dyDescent="0.25">
      <c r="A4868" s="6">
        <v>43734</v>
      </c>
      <c r="B4868" t="s">
        <v>26</v>
      </c>
      <c r="C4868">
        <v>62119</v>
      </c>
      <c r="D4868" t="s">
        <v>108</v>
      </c>
      <c r="E4868" s="7">
        <v>1485.2</v>
      </c>
      <c r="F4868" t="s">
        <v>20</v>
      </c>
      <c r="G4868" t="s">
        <v>21</v>
      </c>
      <c r="H4868" t="str">
        <f>"041295633289"</f>
        <v>041295633289</v>
      </c>
      <c r="I4868" t="str">
        <f>"POOLSURE"</f>
        <v>POOLSURE</v>
      </c>
    </row>
    <row r="4869" spans="1:9" x14ac:dyDescent="0.25">
      <c r="A4869" s="6">
        <v>43734</v>
      </c>
      <c r="B4869" t="s">
        <v>26</v>
      </c>
      <c r="C4869">
        <v>62120</v>
      </c>
      <c r="D4869" t="s">
        <v>181</v>
      </c>
      <c r="E4869" s="7">
        <v>44.75</v>
      </c>
      <c r="F4869" t="s">
        <v>20</v>
      </c>
      <c r="G4869" t="s">
        <v>21</v>
      </c>
      <c r="H4869" t="str">
        <f>"8303933186 9/12"</f>
        <v>8303933186 9/12</v>
      </c>
      <c r="I4869" t="str">
        <f>"AT&amp;T"</f>
        <v>AT&amp;T</v>
      </c>
    </row>
    <row r="4870" spans="1:9" x14ac:dyDescent="0.25">
      <c r="A4870" s="6">
        <v>43734</v>
      </c>
      <c r="B4870" t="s">
        <v>26</v>
      </c>
      <c r="C4870">
        <v>62121</v>
      </c>
      <c r="D4870" t="s">
        <v>817</v>
      </c>
      <c r="E4870" s="7">
        <v>50</v>
      </c>
      <c r="F4870" t="s">
        <v>20</v>
      </c>
      <c r="G4870" t="s">
        <v>21</v>
      </c>
      <c r="H4870" t="str">
        <f>"REUND DEP 9/21/19"</f>
        <v>REUND DEP 9/21/19</v>
      </c>
      <c r="I4870" t="str">
        <f>"REFUND"</f>
        <v>REFUND</v>
      </c>
    </row>
    <row r="4871" spans="1:9" x14ac:dyDescent="0.25">
      <c r="A4871" s="6">
        <v>43734</v>
      </c>
      <c r="B4871" t="s">
        <v>91</v>
      </c>
      <c r="C4871">
        <v>62122</v>
      </c>
      <c r="D4871" t="s">
        <v>116</v>
      </c>
      <c r="E4871" s="7">
        <v>932.91</v>
      </c>
      <c r="F4871" t="s">
        <v>20</v>
      </c>
      <c r="G4871" t="s">
        <v>21</v>
      </c>
      <c r="H4871" t="str">
        <f>"INV839610"</f>
        <v>INV839610</v>
      </c>
      <c r="I4871" t="str">
        <f>"THE LIFEGUARD STORE  INC."</f>
        <v>THE LIFEGUARD STORE  INC.</v>
      </c>
    </row>
    <row r="4872" spans="1:9" x14ac:dyDescent="0.25">
      <c r="A4872" s="6">
        <v>43734</v>
      </c>
      <c r="B4872" t="s">
        <v>91</v>
      </c>
      <c r="C4872">
        <v>62122</v>
      </c>
      <c r="D4872" t="s">
        <v>116</v>
      </c>
      <c r="E4872" s="7">
        <v>932.91</v>
      </c>
      <c r="F4872" t="s">
        <v>20</v>
      </c>
      <c r="G4872" t="s">
        <v>93</v>
      </c>
      <c r="H4872" t="str">
        <f>"CHECK"</f>
        <v>CHECK</v>
      </c>
      <c r="I4872" t="str">
        <f>""</f>
        <v/>
      </c>
    </row>
    <row r="4873" spans="1:9" x14ac:dyDescent="0.25">
      <c r="A4873" s="6">
        <v>43734</v>
      </c>
      <c r="B4873" t="s">
        <v>26</v>
      </c>
      <c r="C4873">
        <v>62123</v>
      </c>
      <c r="D4873" t="s">
        <v>29</v>
      </c>
      <c r="E4873" s="7">
        <v>19907.5</v>
      </c>
      <c r="F4873" t="s">
        <v>20</v>
      </c>
      <c r="G4873" t="s">
        <v>21</v>
      </c>
      <c r="H4873" t="str">
        <f>"39795"</f>
        <v>39795</v>
      </c>
      <c r="I4873" t="str">
        <f>"M &amp; S ENGINEERING  LLC"</f>
        <v>M &amp; S ENGINEERING  LLC</v>
      </c>
    </row>
    <row r="4874" spans="1:9" x14ac:dyDescent="0.25">
      <c r="A4874" s="6">
        <v>43734</v>
      </c>
      <c r="B4874" t="s">
        <v>26</v>
      </c>
      <c r="C4874">
        <v>62124</v>
      </c>
      <c r="D4874" t="s">
        <v>71</v>
      </c>
      <c r="E4874" s="7">
        <v>1957.08</v>
      </c>
      <c r="F4874" t="s">
        <v>20</v>
      </c>
      <c r="G4874" t="s">
        <v>21</v>
      </c>
      <c r="H4874" t="str">
        <f>"4028133905"</f>
        <v>4028133905</v>
      </c>
      <c r="I4874" t="str">
        <f t="shared" ref="I4874:I4881" si="99">"CINTAS CORPORATION #087"</f>
        <v>CINTAS CORPORATION #087</v>
      </c>
    </row>
    <row r="4875" spans="1:9" x14ac:dyDescent="0.25">
      <c r="A4875" s="6">
        <v>43734</v>
      </c>
      <c r="B4875" t="s">
        <v>26</v>
      </c>
      <c r="C4875">
        <v>62124</v>
      </c>
      <c r="D4875" t="s">
        <v>71</v>
      </c>
      <c r="E4875" s="7">
        <v>1957.08</v>
      </c>
      <c r="F4875" t="s">
        <v>20</v>
      </c>
      <c r="G4875" t="s">
        <v>21</v>
      </c>
      <c r="H4875" t="str">
        <f>"4028637001"</f>
        <v>4028637001</v>
      </c>
      <c r="I4875" t="str">
        <f t="shared" si="99"/>
        <v>CINTAS CORPORATION #087</v>
      </c>
    </row>
    <row r="4876" spans="1:9" x14ac:dyDescent="0.25">
      <c r="A4876" s="6">
        <v>43734</v>
      </c>
      <c r="B4876" t="s">
        <v>26</v>
      </c>
      <c r="C4876">
        <v>62124</v>
      </c>
      <c r="D4876" t="s">
        <v>71</v>
      </c>
      <c r="E4876" s="7">
        <v>1957.08</v>
      </c>
      <c r="F4876" t="s">
        <v>20</v>
      </c>
      <c r="G4876" t="s">
        <v>21</v>
      </c>
      <c r="H4876" t="str">
        <f>"4029652044"</f>
        <v>4029652044</v>
      </c>
      <c r="I4876" t="str">
        <f t="shared" si="99"/>
        <v>CINTAS CORPORATION #087</v>
      </c>
    </row>
    <row r="4877" spans="1:9" x14ac:dyDescent="0.25">
      <c r="A4877" s="6">
        <v>43734</v>
      </c>
      <c r="B4877" t="s">
        <v>26</v>
      </c>
      <c r="C4877">
        <v>62124</v>
      </c>
      <c r="D4877" t="s">
        <v>71</v>
      </c>
      <c r="E4877" s="7">
        <v>1957.08</v>
      </c>
      <c r="F4877" t="s">
        <v>20</v>
      </c>
      <c r="G4877" t="s">
        <v>21</v>
      </c>
      <c r="H4877" t="str">
        <f>"4030151162"</f>
        <v>4030151162</v>
      </c>
      <c r="I4877" t="str">
        <f t="shared" si="99"/>
        <v>CINTAS CORPORATION #087</v>
      </c>
    </row>
    <row r="4878" spans="1:9" x14ac:dyDescent="0.25">
      <c r="A4878" s="6">
        <v>43734</v>
      </c>
      <c r="B4878" t="s">
        <v>26</v>
      </c>
      <c r="C4878">
        <v>62124</v>
      </c>
      <c r="D4878" t="s">
        <v>71</v>
      </c>
      <c r="E4878" s="7">
        <v>1957.08</v>
      </c>
      <c r="F4878" t="s">
        <v>20</v>
      </c>
      <c r="G4878" t="s">
        <v>21</v>
      </c>
      <c r="H4878" t="str">
        <f>"4030669930"</f>
        <v>4030669930</v>
      </c>
      <c r="I4878" t="str">
        <f t="shared" si="99"/>
        <v>CINTAS CORPORATION #087</v>
      </c>
    </row>
    <row r="4879" spans="1:9" x14ac:dyDescent="0.25">
      <c r="A4879" s="6">
        <v>43734</v>
      </c>
      <c r="B4879" t="s">
        <v>26</v>
      </c>
      <c r="C4879">
        <v>62124</v>
      </c>
      <c r="D4879" t="s">
        <v>71</v>
      </c>
      <c r="E4879" s="7">
        <v>1957.08</v>
      </c>
      <c r="F4879" t="s">
        <v>20</v>
      </c>
      <c r="G4879" t="s">
        <v>21</v>
      </c>
      <c r="H4879" t="str">
        <f>"4030669937"</f>
        <v>4030669937</v>
      </c>
      <c r="I4879" t="str">
        <f t="shared" si="99"/>
        <v>CINTAS CORPORATION #087</v>
      </c>
    </row>
    <row r="4880" spans="1:9" x14ac:dyDescent="0.25">
      <c r="A4880" s="6">
        <v>43734</v>
      </c>
      <c r="B4880" t="s">
        <v>26</v>
      </c>
      <c r="C4880">
        <v>62124</v>
      </c>
      <c r="D4880" t="s">
        <v>71</v>
      </c>
      <c r="E4880" s="7">
        <v>1957.08</v>
      </c>
      <c r="F4880" t="s">
        <v>20</v>
      </c>
      <c r="G4880" t="s">
        <v>21</v>
      </c>
      <c r="H4880" t="str">
        <f>"4030669946"</f>
        <v>4030669946</v>
      </c>
      <c r="I4880" t="str">
        <f t="shared" si="99"/>
        <v>CINTAS CORPORATION #087</v>
      </c>
    </row>
    <row r="4881" spans="1:9" x14ac:dyDescent="0.25">
      <c r="A4881" s="6">
        <v>43734</v>
      </c>
      <c r="B4881" t="s">
        <v>26</v>
      </c>
      <c r="C4881">
        <v>62124</v>
      </c>
      <c r="D4881" t="s">
        <v>71</v>
      </c>
      <c r="E4881" s="7">
        <v>1957.08</v>
      </c>
      <c r="F4881" t="s">
        <v>20</v>
      </c>
      <c r="G4881" t="s">
        <v>21</v>
      </c>
      <c r="H4881" t="str">
        <f>"4030670067"</f>
        <v>4030670067</v>
      </c>
      <c r="I4881" t="str">
        <f t="shared" si="99"/>
        <v>CINTAS CORPORATION #087</v>
      </c>
    </row>
    <row r="4882" spans="1:9" x14ac:dyDescent="0.25">
      <c r="A4882" s="6">
        <v>43734</v>
      </c>
      <c r="B4882" t="s">
        <v>26</v>
      </c>
      <c r="C4882">
        <v>62126</v>
      </c>
      <c r="D4882" t="s">
        <v>215</v>
      </c>
      <c r="E4882" s="7">
        <v>7573.8</v>
      </c>
      <c r="F4882" t="s">
        <v>20</v>
      </c>
      <c r="G4882" t="s">
        <v>21</v>
      </c>
      <c r="H4882" t="str">
        <f>"598867"</f>
        <v>598867</v>
      </c>
      <c r="I4882" t="str">
        <f>"ODESSA PUMPS &amp; EQUIPMENT"</f>
        <v>ODESSA PUMPS &amp; EQUIPMENT</v>
      </c>
    </row>
    <row r="4883" spans="1:9" x14ac:dyDescent="0.25">
      <c r="A4883" s="6">
        <v>43734</v>
      </c>
      <c r="B4883" t="s">
        <v>26</v>
      </c>
      <c r="C4883">
        <v>62127</v>
      </c>
      <c r="D4883" t="s">
        <v>137</v>
      </c>
      <c r="E4883" s="7">
        <v>121.9</v>
      </c>
      <c r="F4883" t="s">
        <v>20</v>
      </c>
      <c r="G4883" t="s">
        <v>21</v>
      </c>
      <c r="H4883" t="str">
        <f>"3520"</f>
        <v>3520</v>
      </c>
      <c r="I4883" t="str">
        <f>"OMNIBUS-M  INC.D.B.A."</f>
        <v>OMNIBUS-M  INC.D.B.A.</v>
      </c>
    </row>
    <row r="4884" spans="1:9" x14ac:dyDescent="0.25">
      <c r="A4884" s="6">
        <v>43734</v>
      </c>
      <c r="B4884" t="s">
        <v>26</v>
      </c>
      <c r="C4884">
        <v>62127</v>
      </c>
      <c r="D4884" t="s">
        <v>137</v>
      </c>
      <c r="E4884" s="7">
        <v>121.9</v>
      </c>
      <c r="F4884" t="s">
        <v>20</v>
      </c>
      <c r="G4884" t="s">
        <v>21</v>
      </c>
      <c r="H4884" t="str">
        <f>"3521"</f>
        <v>3521</v>
      </c>
      <c r="I4884" t="str">
        <f>"OMNIBUS-M  INC.D.B.A."</f>
        <v>OMNIBUS-M  INC.D.B.A.</v>
      </c>
    </row>
    <row r="4885" spans="1:9" x14ac:dyDescent="0.25">
      <c r="A4885" s="6">
        <v>43734</v>
      </c>
      <c r="B4885" t="s">
        <v>26</v>
      </c>
      <c r="C4885">
        <v>62128</v>
      </c>
      <c r="D4885" t="s">
        <v>124</v>
      </c>
      <c r="E4885" s="7">
        <v>20.67</v>
      </c>
      <c r="F4885" t="s">
        <v>20</v>
      </c>
      <c r="G4885" t="s">
        <v>21</v>
      </c>
      <c r="H4885" t="str">
        <f>"11178150"</f>
        <v>11178150</v>
      </c>
      <c r="I4885" t="str">
        <f>"MCCOY'S CORPORATION"</f>
        <v>MCCOY'S CORPORATION</v>
      </c>
    </row>
    <row r="4886" spans="1:9" x14ac:dyDescent="0.25">
      <c r="A4886" s="6">
        <v>43734</v>
      </c>
      <c r="B4886" t="s">
        <v>91</v>
      </c>
      <c r="C4886">
        <v>62129</v>
      </c>
      <c r="D4886" t="s">
        <v>147</v>
      </c>
      <c r="E4886" s="7">
        <v>1189.05</v>
      </c>
      <c r="F4886" t="s">
        <v>20</v>
      </c>
      <c r="G4886" t="s">
        <v>21</v>
      </c>
      <c r="H4886" t="str">
        <f>"1316"</f>
        <v>1316</v>
      </c>
      <c r="I4886" t="str">
        <f>"SRALLA ELECTRIC"</f>
        <v>SRALLA ELECTRIC</v>
      </c>
    </row>
    <row r="4887" spans="1:9" x14ac:dyDescent="0.25">
      <c r="A4887" s="6">
        <v>43734</v>
      </c>
      <c r="B4887" t="s">
        <v>91</v>
      </c>
      <c r="C4887">
        <v>62129</v>
      </c>
      <c r="D4887" t="s">
        <v>147</v>
      </c>
      <c r="E4887" s="7">
        <v>1189.05</v>
      </c>
      <c r="F4887" t="s">
        <v>20</v>
      </c>
      <c r="G4887" t="s">
        <v>21</v>
      </c>
      <c r="H4887" t="str">
        <f>"742371"</f>
        <v>742371</v>
      </c>
      <c r="I4887" t="str">
        <f>"SRALLA ELECTRIC"</f>
        <v>SRALLA ELECTRIC</v>
      </c>
    </row>
    <row r="4888" spans="1:9" x14ac:dyDescent="0.25">
      <c r="A4888" s="6">
        <v>43734</v>
      </c>
      <c r="B4888" t="s">
        <v>91</v>
      </c>
      <c r="C4888">
        <v>62129</v>
      </c>
      <c r="D4888" t="s">
        <v>147</v>
      </c>
      <c r="E4888" s="7">
        <v>1189.05</v>
      </c>
      <c r="F4888" t="s">
        <v>20</v>
      </c>
      <c r="G4888" t="s">
        <v>93</v>
      </c>
      <c r="H4888" t="str">
        <f>"CHECK"</f>
        <v>CHECK</v>
      </c>
      <c r="I4888" t="str">
        <f>""</f>
        <v/>
      </c>
    </row>
    <row r="4889" spans="1:9" x14ac:dyDescent="0.25">
      <c r="A4889" s="6">
        <v>43734</v>
      </c>
      <c r="B4889" t="s">
        <v>26</v>
      </c>
      <c r="C4889">
        <v>62130</v>
      </c>
      <c r="D4889" t="s">
        <v>85</v>
      </c>
      <c r="E4889" s="7">
        <v>632.97</v>
      </c>
      <c r="F4889" t="s">
        <v>20</v>
      </c>
      <c r="G4889" t="s">
        <v>21</v>
      </c>
      <c r="H4889" t="str">
        <f>"201909248540"</f>
        <v>201909248540</v>
      </c>
      <c r="I4889" t="str">
        <f>"FRONTIER"</f>
        <v>FRONTIER</v>
      </c>
    </row>
    <row r="4890" spans="1:9" x14ac:dyDescent="0.25">
      <c r="A4890" s="6">
        <v>43734</v>
      </c>
      <c r="B4890" t="s">
        <v>26</v>
      </c>
      <c r="C4890">
        <v>62130</v>
      </c>
      <c r="D4890" t="s">
        <v>85</v>
      </c>
      <c r="E4890" s="7">
        <v>632.97</v>
      </c>
      <c r="F4890" t="s">
        <v>20</v>
      </c>
      <c r="G4890" t="s">
        <v>21</v>
      </c>
      <c r="H4890" t="str">
        <f>"201909248541"</f>
        <v>201909248541</v>
      </c>
      <c r="I4890" t="str">
        <f>"FRONTIER"</f>
        <v>FRONTIER</v>
      </c>
    </row>
    <row r="4891" spans="1:9" x14ac:dyDescent="0.25">
      <c r="A4891" s="6">
        <v>43734</v>
      </c>
      <c r="B4891" t="s">
        <v>26</v>
      </c>
      <c r="C4891">
        <v>62130</v>
      </c>
      <c r="D4891" t="s">
        <v>85</v>
      </c>
      <c r="E4891" s="7">
        <v>632.97</v>
      </c>
      <c r="F4891" t="s">
        <v>20</v>
      </c>
      <c r="G4891" t="s">
        <v>21</v>
      </c>
      <c r="H4891" t="str">
        <f>"201909248542"</f>
        <v>201909248542</v>
      </c>
      <c r="I4891" t="str">
        <f>"FRONTIER"</f>
        <v>FRONTIER</v>
      </c>
    </row>
    <row r="4892" spans="1:9" x14ac:dyDescent="0.25">
      <c r="A4892" s="6">
        <v>43734</v>
      </c>
      <c r="B4892" t="s">
        <v>26</v>
      </c>
      <c r="C4892">
        <v>62130</v>
      </c>
      <c r="D4892" t="s">
        <v>85</v>
      </c>
      <c r="E4892" s="7">
        <v>632.97</v>
      </c>
      <c r="F4892" t="s">
        <v>20</v>
      </c>
      <c r="G4892" t="s">
        <v>21</v>
      </c>
      <c r="H4892" t="str">
        <f>"201909248543"</f>
        <v>201909248543</v>
      </c>
      <c r="I4892" t="str">
        <f>"FRONTIER"</f>
        <v>FRONTIER</v>
      </c>
    </row>
    <row r="4893" spans="1:9" x14ac:dyDescent="0.25">
      <c r="A4893" s="6">
        <v>43734</v>
      </c>
      <c r="B4893" t="s">
        <v>26</v>
      </c>
      <c r="C4893">
        <v>62130</v>
      </c>
      <c r="D4893" t="s">
        <v>85</v>
      </c>
      <c r="E4893" s="7">
        <v>632.97</v>
      </c>
      <c r="F4893" t="s">
        <v>20</v>
      </c>
      <c r="G4893" t="s">
        <v>21</v>
      </c>
      <c r="H4893" t="str">
        <f>"201909248544"</f>
        <v>201909248544</v>
      </c>
      <c r="I4893" t="str">
        <f>"FRONTIER"</f>
        <v>FRONTIER</v>
      </c>
    </row>
    <row r="4894" spans="1:9" x14ac:dyDescent="0.25">
      <c r="A4894" s="6">
        <v>43734</v>
      </c>
      <c r="B4894" t="s">
        <v>26</v>
      </c>
      <c r="C4894">
        <v>62131</v>
      </c>
      <c r="D4894" t="s">
        <v>132</v>
      </c>
      <c r="E4894" s="7">
        <v>88.33</v>
      </c>
      <c r="F4894" t="s">
        <v>20</v>
      </c>
      <c r="G4894" t="s">
        <v>21</v>
      </c>
      <c r="H4894" t="str">
        <f>"16992887 091219"</f>
        <v>16992887 091219</v>
      </c>
      <c r="I4894" t="str">
        <f>"SPARKLETTS &amp; SIERRA SPRINGS"</f>
        <v>SPARKLETTS &amp; SIERRA SPRINGS</v>
      </c>
    </row>
    <row r="4895" spans="1:9" x14ac:dyDescent="0.25">
      <c r="A4895" s="6">
        <v>43734</v>
      </c>
      <c r="B4895" t="s">
        <v>26</v>
      </c>
      <c r="C4895">
        <v>62132</v>
      </c>
      <c r="D4895" t="s">
        <v>345</v>
      </c>
      <c r="E4895" s="7">
        <v>297</v>
      </c>
      <c r="F4895" t="s">
        <v>20</v>
      </c>
      <c r="G4895" t="s">
        <v>21</v>
      </c>
      <c r="H4895" t="str">
        <f>"9/23/19"</f>
        <v>9/23/19</v>
      </c>
      <c r="I4895" t="str">
        <f>"MICHAEL ISAAC MARTINEZ"</f>
        <v>MICHAEL ISAAC MARTINEZ</v>
      </c>
    </row>
    <row r="4896" spans="1:9" x14ac:dyDescent="0.25">
      <c r="A4896" s="6">
        <v>43734</v>
      </c>
      <c r="B4896" t="s">
        <v>26</v>
      </c>
      <c r="C4896">
        <v>62133</v>
      </c>
      <c r="D4896" t="s">
        <v>452</v>
      </c>
      <c r="E4896" s="7">
        <v>70</v>
      </c>
      <c r="F4896" t="s">
        <v>20</v>
      </c>
      <c r="G4896" t="s">
        <v>21</v>
      </c>
      <c r="H4896" t="str">
        <f>"9/21/19"</f>
        <v>9/21/19</v>
      </c>
      <c r="I4896" t="str">
        <f>"DESIREE PEREZ"</f>
        <v>DESIREE PEREZ</v>
      </c>
    </row>
    <row r="4897" spans="1:9" x14ac:dyDescent="0.25">
      <c r="A4897" s="6">
        <v>43734</v>
      </c>
      <c r="B4897" t="s">
        <v>26</v>
      </c>
      <c r="C4897">
        <v>62134</v>
      </c>
      <c r="D4897" t="s">
        <v>346</v>
      </c>
      <c r="E4897" s="7">
        <v>13750</v>
      </c>
      <c r="F4897" t="s">
        <v>20</v>
      </c>
      <c r="G4897" t="s">
        <v>21</v>
      </c>
      <c r="H4897" t="str">
        <f>"8/11-9/11/2019"</f>
        <v>8/11-9/11/2019</v>
      </c>
      <c r="I4897" t="str">
        <f>"SYLVIA RODRIGUEZ"</f>
        <v>SYLVIA RODRIGUEZ</v>
      </c>
    </row>
    <row r="4898" spans="1:9" x14ac:dyDescent="0.25">
      <c r="A4898" s="6">
        <v>43734</v>
      </c>
      <c r="B4898" t="s">
        <v>26</v>
      </c>
      <c r="C4898">
        <v>62135</v>
      </c>
      <c r="D4898" t="s">
        <v>446</v>
      </c>
      <c r="E4898" s="7">
        <v>105</v>
      </c>
      <c r="F4898" t="s">
        <v>20</v>
      </c>
      <c r="G4898" t="s">
        <v>21</v>
      </c>
      <c r="H4898" t="str">
        <f>"9/20/19 SOFTBALL"</f>
        <v>9/20/19 SOFTBALL</v>
      </c>
      <c r="I4898" t="str">
        <f>"ISAIAH BARRIENTEZ"</f>
        <v>ISAIAH BARRIENTEZ</v>
      </c>
    </row>
    <row r="4899" spans="1:9" x14ac:dyDescent="0.25">
      <c r="A4899" s="6">
        <v>43734</v>
      </c>
      <c r="B4899" t="s">
        <v>26</v>
      </c>
      <c r="C4899">
        <v>62136</v>
      </c>
      <c r="D4899" t="s">
        <v>644</v>
      </c>
      <c r="E4899" s="7">
        <v>301.62</v>
      </c>
      <c r="F4899" t="s">
        <v>20</v>
      </c>
      <c r="G4899" t="s">
        <v>21</v>
      </c>
      <c r="H4899" t="str">
        <f>"8213364661"</f>
        <v>8213364661</v>
      </c>
      <c r="I4899" t="str">
        <f>"UNIFIRST CORPORATION"</f>
        <v>UNIFIRST CORPORATION</v>
      </c>
    </row>
    <row r="4900" spans="1:9" x14ac:dyDescent="0.25">
      <c r="A4900" s="6">
        <v>43734</v>
      </c>
      <c r="B4900" t="s">
        <v>26</v>
      </c>
      <c r="C4900">
        <v>62136</v>
      </c>
      <c r="D4900" t="s">
        <v>644</v>
      </c>
      <c r="E4900" s="7">
        <v>301.62</v>
      </c>
      <c r="F4900" t="s">
        <v>20</v>
      </c>
      <c r="G4900" t="s">
        <v>21</v>
      </c>
      <c r="H4900" t="str">
        <f>"8213364666"</f>
        <v>8213364666</v>
      </c>
      <c r="I4900" t="str">
        <f>"UNIFIRST CORPORATION"</f>
        <v>UNIFIRST CORPORATION</v>
      </c>
    </row>
    <row r="4901" spans="1:9" x14ac:dyDescent="0.25">
      <c r="A4901" s="6">
        <v>43734</v>
      </c>
      <c r="B4901" t="s">
        <v>26</v>
      </c>
      <c r="C4901">
        <v>62136</v>
      </c>
      <c r="D4901" t="s">
        <v>644</v>
      </c>
      <c r="E4901" s="7">
        <v>301.62</v>
      </c>
      <c r="F4901" t="s">
        <v>20</v>
      </c>
      <c r="G4901" t="s">
        <v>21</v>
      </c>
      <c r="H4901" t="str">
        <f>"8213364667"</f>
        <v>8213364667</v>
      </c>
      <c r="I4901" t="str">
        <f>"UNIFIRST CORPORATION"</f>
        <v>UNIFIRST CORPORATION</v>
      </c>
    </row>
    <row r="4902" spans="1:9" x14ac:dyDescent="0.25">
      <c r="A4902" s="6">
        <v>43734</v>
      </c>
      <c r="B4902" t="s">
        <v>26</v>
      </c>
      <c r="C4902">
        <v>62137</v>
      </c>
      <c r="D4902" t="s">
        <v>696</v>
      </c>
      <c r="E4902" s="7">
        <v>155</v>
      </c>
      <c r="F4902" t="s">
        <v>20</v>
      </c>
      <c r="G4902" t="s">
        <v>21</v>
      </c>
      <c r="H4902" t="str">
        <f>"9/2/19"</f>
        <v>9/2/19</v>
      </c>
      <c r="I4902" t="str">
        <f>"ANGEL G. ROSAS"</f>
        <v>ANGEL G. ROSAS</v>
      </c>
    </row>
    <row r="4903" spans="1:9" x14ac:dyDescent="0.25">
      <c r="A4903" s="6">
        <v>43734</v>
      </c>
      <c r="B4903" t="s">
        <v>26</v>
      </c>
      <c r="C4903">
        <v>62138</v>
      </c>
      <c r="D4903" t="s">
        <v>716</v>
      </c>
      <c r="E4903" s="7">
        <v>350</v>
      </c>
      <c r="F4903" t="s">
        <v>20</v>
      </c>
      <c r="G4903" t="s">
        <v>21</v>
      </c>
      <c r="H4903" t="str">
        <f>"9/23/19"</f>
        <v>9/23/19</v>
      </c>
      <c r="I4903" t="str">
        <f>"ALFREDO SENDEJO"</f>
        <v>ALFREDO SENDEJO</v>
      </c>
    </row>
    <row r="4904" spans="1:9" x14ac:dyDescent="0.25">
      <c r="A4904" s="6">
        <v>43734</v>
      </c>
      <c r="B4904" t="s">
        <v>26</v>
      </c>
      <c r="C4904">
        <v>62139</v>
      </c>
      <c r="D4904" t="s">
        <v>752</v>
      </c>
      <c r="E4904" s="7">
        <v>230</v>
      </c>
      <c r="F4904" t="s">
        <v>20</v>
      </c>
      <c r="G4904" t="s">
        <v>21</v>
      </c>
      <c r="H4904" t="str">
        <f>"9/22/19"</f>
        <v>9/22/19</v>
      </c>
      <c r="I4904" t="str">
        <f>"BLANCA PEREZ"</f>
        <v>BLANCA PEREZ</v>
      </c>
    </row>
    <row r="4905" spans="1:9" x14ac:dyDescent="0.25">
      <c r="A4905" s="6">
        <v>43734</v>
      </c>
      <c r="B4905" t="s">
        <v>26</v>
      </c>
      <c r="C4905">
        <v>62140</v>
      </c>
      <c r="D4905" t="s">
        <v>814</v>
      </c>
      <c r="E4905" s="7">
        <v>75</v>
      </c>
      <c r="F4905" t="s">
        <v>20</v>
      </c>
      <c r="G4905" t="s">
        <v>21</v>
      </c>
      <c r="H4905" t="str">
        <f>"9/23/19"</f>
        <v>9/23/19</v>
      </c>
      <c r="I4905" t="str">
        <f>"RACHEL GARCIA"</f>
        <v>RACHEL GARCIA</v>
      </c>
    </row>
    <row r="4906" spans="1:9" x14ac:dyDescent="0.25">
      <c r="A4906" s="6">
        <v>43734</v>
      </c>
      <c r="B4906" t="s">
        <v>26</v>
      </c>
      <c r="C4906">
        <v>62141</v>
      </c>
      <c r="D4906" t="s">
        <v>816</v>
      </c>
      <c r="E4906" s="7">
        <v>105</v>
      </c>
      <c r="F4906" t="s">
        <v>20</v>
      </c>
      <c r="G4906" t="s">
        <v>21</v>
      </c>
      <c r="H4906" t="str">
        <f>"9/27/19 SOFTBALL"</f>
        <v>9/27/19 SOFTBALL</v>
      </c>
      <c r="I4906" t="str">
        <f>"MEGAN K ANDERSON"</f>
        <v>MEGAN K ANDERSON</v>
      </c>
    </row>
    <row r="4907" spans="1:9" x14ac:dyDescent="0.25">
      <c r="A4907" s="6">
        <v>43734</v>
      </c>
      <c r="B4907" t="s">
        <v>26</v>
      </c>
      <c r="C4907">
        <v>62142</v>
      </c>
      <c r="D4907" t="s">
        <v>818</v>
      </c>
      <c r="E4907" s="7">
        <v>100</v>
      </c>
      <c r="F4907" t="s">
        <v>20</v>
      </c>
      <c r="G4907" t="s">
        <v>21</v>
      </c>
      <c r="H4907" t="str">
        <f>"9/20/19 SOFTBALL"</f>
        <v>9/20/19 SOFTBALL</v>
      </c>
      <c r="I4907" t="str">
        <f>"BRANDY NICOLE HARLOS"</f>
        <v>BRANDY NICOLE HARLOS</v>
      </c>
    </row>
    <row r="4908" spans="1:9" x14ac:dyDescent="0.25">
      <c r="A4908" s="6">
        <v>43734</v>
      </c>
      <c r="B4908" t="s">
        <v>26</v>
      </c>
      <c r="C4908">
        <v>62143</v>
      </c>
      <c r="D4908" t="s">
        <v>56</v>
      </c>
      <c r="E4908" s="7">
        <v>92.5</v>
      </c>
      <c r="F4908" t="s">
        <v>20</v>
      </c>
      <c r="G4908" t="s">
        <v>21</v>
      </c>
      <c r="H4908" t="str">
        <f>"177310"</f>
        <v>177310</v>
      </c>
      <c r="I4908" t="str">
        <f>"WEED &amp; GRASS KILLER"</f>
        <v>WEED &amp; GRASS KILLER</v>
      </c>
    </row>
    <row r="4909" spans="1:9" x14ac:dyDescent="0.25">
      <c r="A4909" s="6">
        <v>43734</v>
      </c>
      <c r="B4909" t="s">
        <v>26</v>
      </c>
      <c r="C4909">
        <v>62144</v>
      </c>
      <c r="D4909" t="s">
        <v>69</v>
      </c>
      <c r="E4909" s="7">
        <v>1244.43</v>
      </c>
      <c r="F4909" t="s">
        <v>20</v>
      </c>
      <c r="G4909" t="s">
        <v>21</v>
      </c>
      <c r="H4909" t="str">
        <f>"3301592"</f>
        <v>3301592</v>
      </c>
      <c r="I4909" t="str">
        <f>"FIELD SUPPLIES"</f>
        <v>FIELD SUPPLIES</v>
      </c>
    </row>
    <row r="4910" spans="1:9" x14ac:dyDescent="0.25">
      <c r="A4910" s="6">
        <v>43734</v>
      </c>
      <c r="B4910" t="s">
        <v>91</v>
      </c>
      <c r="C4910">
        <v>62145</v>
      </c>
      <c r="D4910" t="s">
        <v>124</v>
      </c>
      <c r="E4910" s="7">
        <v>26.17</v>
      </c>
      <c r="F4910" t="s">
        <v>20</v>
      </c>
      <c r="G4910" t="s">
        <v>21</v>
      </c>
      <c r="H4910" t="str">
        <f>"11178024"</f>
        <v>11178024</v>
      </c>
      <c r="I4910" t="str">
        <f>"LIGHT BULBS"</f>
        <v>LIGHT BULBS</v>
      </c>
    </row>
    <row r="4911" spans="1:9" x14ac:dyDescent="0.25">
      <c r="A4911" s="6">
        <v>43734</v>
      </c>
      <c r="B4911" t="s">
        <v>91</v>
      </c>
      <c r="C4911">
        <v>62145</v>
      </c>
      <c r="D4911" t="s">
        <v>124</v>
      </c>
      <c r="E4911" s="7">
        <v>26.17</v>
      </c>
      <c r="F4911" t="s">
        <v>20</v>
      </c>
      <c r="G4911" t="s">
        <v>93</v>
      </c>
      <c r="H4911" t="str">
        <f>"CHECK"</f>
        <v>CHECK</v>
      </c>
      <c r="I4911" t="str">
        <f>""</f>
        <v/>
      </c>
    </row>
    <row r="4912" spans="1:9" x14ac:dyDescent="0.25">
      <c r="A4912" s="6">
        <v>43734</v>
      </c>
      <c r="B4912" t="s">
        <v>26</v>
      </c>
      <c r="C4912">
        <v>62146</v>
      </c>
      <c r="D4912" t="s">
        <v>129</v>
      </c>
      <c r="E4912" s="7">
        <v>115.2</v>
      </c>
      <c r="F4912" t="s">
        <v>20</v>
      </c>
      <c r="G4912" t="s">
        <v>21</v>
      </c>
      <c r="H4912" t="str">
        <f>"P55680"</f>
        <v>P55680</v>
      </c>
      <c r="I4912" t="str">
        <f>"BLADE"</f>
        <v>BLADE</v>
      </c>
    </row>
    <row r="4913" spans="1:9" x14ac:dyDescent="0.25">
      <c r="A4913" s="6">
        <v>43734</v>
      </c>
      <c r="B4913" t="s">
        <v>26</v>
      </c>
      <c r="C4913">
        <v>62147</v>
      </c>
      <c r="D4913" t="s">
        <v>131</v>
      </c>
      <c r="E4913" s="7">
        <v>190.99</v>
      </c>
      <c r="F4913" t="s">
        <v>20</v>
      </c>
      <c r="G4913" t="s">
        <v>21</v>
      </c>
      <c r="H4913" t="str">
        <f>"043791*"</f>
        <v>043791*</v>
      </c>
      <c r="I4913" t="str">
        <f>"LOADER REPAIR"</f>
        <v>LOADER REPAIR</v>
      </c>
    </row>
    <row r="4914" spans="1:9" x14ac:dyDescent="0.25">
      <c r="A4914" s="6">
        <v>43734</v>
      </c>
      <c r="B4914" t="s">
        <v>26</v>
      </c>
      <c r="C4914">
        <v>62148</v>
      </c>
      <c r="D4914" t="s">
        <v>312</v>
      </c>
      <c r="E4914" s="7">
        <v>605.05999999999995</v>
      </c>
      <c r="F4914" t="s">
        <v>20</v>
      </c>
      <c r="G4914" t="s">
        <v>21</v>
      </c>
      <c r="H4914" t="str">
        <f>"17-2569"</f>
        <v>17-2569</v>
      </c>
      <c r="I4914" t="str">
        <f>"FULLER'S ALAMO SAFE AND LOCK"</f>
        <v>FULLER'S ALAMO SAFE AND LOCK</v>
      </c>
    </row>
    <row r="4915" spans="1:9" x14ac:dyDescent="0.25">
      <c r="A4915" s="6">
        <v>43734</v>
      </c>
      <c r="B4915" t="s">
        <v>26</v>
      </c>
      <c r="C4915">
        <v>62148</v>
      </c>
      <c r="D4915" t="s">
        <v>312</v>
      </c>
      <c r="E4915" s="7">
        <v>605.05999999999995</v>
      </c>
      <c r="F4915" t="s">
        <v>20</v>
      </c>
      <c r="G4915" t="s">
        <v>21</v>
      </c>
      <c r="H4915" t="str">
        <f>"18-1319"</f>
        <v>18-1319</v>
      </c>
      <c r="I4915" t="str">
        <f>"FULLER'S ALAMO SAFE AND LOCK"</f>
        <v>FULLER'S ALAMO SAFE AND LOCK</v>
      </c>
    </row>
    <row r="4916" spans="1:9" x14ac:dyDescent="0.25">
      <c r="A4916" s="6">
        <v>43734</v>
      </c>
      <c r="B4916" t="s">
        <v>26</v>
      </c>
      <c r="C4916">
        <v>62148</v>
      </c>
      <c r="D4916" t="s">
        <v>312</v>
      </c>
      <c r="E4916" s="7">
        <v>605.05999999999995</v>
      </c>
      <c r="F4916" t="s">
        <v>20</v>
      </c>
      <c r="G4916" t="s">
        <v>21</v>
      </c>
      <c r="H4916" t="str">
        <f>"18-1918"</f>
        <v>18-1918</v>
      </c>
      <c r="I4916" t="str">
        <f>"FULLER'S ALAMO SAFE AND LOCK"</f>
        <v>FULLER'S ALAMO SAFE AND LOCK</v>
      </c>
    </row>
    <row r="4917" spans="1:9" x14ac:dyDescent="0.25">
      <c r="A4917" s="6">
        <v>43734</v>
      </c>
      <c r="B4917" t="s">
        <v>26</v>
      </c>
      <c r="C4917">
        <v>62148</v>
      </c>
      <c r="D4917" t="s">
        <v>312</v>
      </c>
      <c r="E4917" s="7">
        <v>605.05999999999995</v>
      </c>
      <c r="F4917" t="s">
        <v>20</v>
      </c>
      <c r="G4917" t="s">
        <v>21</v>
      </c>
      <c r="H4917" t="str">
        <f>"18-2277"</f>
        <v>18-2277</v>
      </c>
      <c r="I4917" t="str">
        <f>"FULLER'S ALAMO SAFE AND LOCK"</f>
        <v>FULLER'S ALAMO SAFE AND LOCK</v>
      </c>
    </row>
    <row r="4918" spans="1:9" x14ac:dyDescent="0.25">
      <c r="A4918" s="6">
        <v>43734</v>
      </c>
      <c r="B4918" t="s">
        <v>26</v>
      </c>
      <c r="C4918">
        <v>62149</v>
      </c>
      <c r="D4918" t="s">
        <v>819</v>
      </c>
      <c r="E4918" s="7">
        <v>12000</v>
      </c>
      <c r="F4918" t="s">
        <v>20</v>
      </c>
      <c r="G4918" t="s">
        <v>21</v>
      </c>
      <c r="H4918" t="str">
        <f>"TC-661-1"</f>
        <v>TC-661-1</v>
      </c>
      <c r="I4918" t="str">
        <f>"WATER EMERGENCY"</f>
        <v>WATER EMERGENCY</v>
      </c>
    </row>
    <row r="4919" spans="1:9" x14ac:dyDescent="0.25">
      <c r="A4919" s="6">
        <v>43734</v>
      </c>
      <c r="B4919" t="s">
        <v>26</v>
      </c>
      <c r="C4919">
        <v>62150</v>
      </c>
      <c r="D4919" t="s">
        <v>714</v>
      </c>
      <c r="E4919" s="7">
        <v>336.79</v>
      </c>
      <c r="F4919" t="s">
        <v>20</v>
      </c>
      <c r="G4919" t="s">
        <v>21</v>
      </c>
      <c r="H4919" t="str">
        <f>"2251 9/2019"</f>
        <v>2251 9/2019</v>
      </c>
      <c r="I4919" t="str">
        <f>"FLORESVILLE AUTO SUPPLY"</f>
        <v>FLORESVILLE AUTO SUPPLY</v>
      </c>
    </row>
    <row r="4920" spans="1:9" x14ac:dyDescent="0.25">
      <c r="A4920" s="6">
        <v>43734</v>
      </c>
      <c r="B4920" t="s">
        <v>26</v>
      </c>
      <c r="C4920">
        <v>62151</v>
      </c>
      <c r="D4920" t="s">
        <v>85</v>
      </c>
      <c r="E4920" s="7">
        <v>1786.87</v>
      </c>
      <c r="F4920" t="s">
        <v>20</v>
      </c>
      <c r="G4920" t="s">
        <v>21</v>
      </c>
      <c r="H4920" t="str">
        <f>"8303934055 9/19"</f>
        <v>8303934055 9/19</v>
      </c>
      <c r="I4920" t="str">
        <f>"FRONTIER"</f>
        <v>FRONTIER</v>
      </c>
    </row>
    <row r="4921" spans="1:9" x14ac:dyDescent="0.25">
      <c r="A4921" s="6">
        <v>43734</v>
      </c>
      <c r="B4921" t="s">
        <v>26</v>
      </c>
      <c r="C4921">
        <v>62151</v>
      </c>
      <c r="D4921" t="s">
        <v>85</v>
      </c>
      <c r="E4921" s="7">
        <v>1786.87</v>
      </c>
      <c r="F4921" t="s">
        <v>20</v>
      </c>
      <c r="G4921" t="s">
        <v>21</v>
      </c>
      <c r="H4921" t="str">
        <f>"830970021 9/19"</f>
        <v>830970021 9/19</v>
      </c>
      <c r="I4921" t="str">
        <f>"FRONTIER"</f>
        <v>FRONTIER</v>
      </c>
    </row>
    <row r="4922" spans="1:9" x14ac:dyDescent="0.25">
      <c r="A4922" s="6">
        <v>43734</v>
      </c>
      <c r="B4922" t="s">
        <v>26</v>
      </c>
      <c r="C4922">
        <v>62152</v>
      </c>
      <c r="D4922" t="s">
        <v>736</v>
      </c>
      <c r="E4922" s="7">
        <v>249</v>
      </c>
      <c r="F4922" t="s">
        <v>20</v>
      </c>
      <c r="G4922" t="s">
        <v>21</v>
      </c>
      <c r="H4922" t="str">
        <f>"PD CYCLIST 9/27"</f>
        <v>PD CYCLIST 9/27</v>
      </c>
      <c r="I4922" t="str">
        <f>"BRIAN ZUNIGA"</f>
        <v>BRIAN ZUNIGA</v>
      </c>
    </row>
    <row r="4923" spans="1:9" x14ac:dyDescent="0.25">
      <c r="A4923" s="6">
        <v>43404</v>
      </c>
      <c r="B4923" t="s">
        <v>15</v>
      </c>
      <c r="C4923">
        <v>59092</v>
      </c>
      <c r="D4923" t="s">
        <v>14</v>
      </c>
      <c r="E4923">
        <v>902.18</v>
      </c>
      <c r="F4923" t="s">
        <v>15</v>
      </c>
      <c r="G4923" t="s">
        <v>15</v>
      </c>
      <c r="H4923" t="s">
        <v>15</v>
      </c>
      <c r="I4923" t="s">
        <v>15</v>
      </c>
    </row>
    <row r="4924" spans="1:9" x14ac:dyDescent="0.25">
      <c r="A4924" s="6">
        <v>43404</v>
      </c>
      <c r="B4924" t="s">
        <v>15</v>
      </c>
      <c r="C4924">
        <v>59093</v>
      </c>
      <c r="D4924" t="s">
        <v>14</v>
      </c>
      <c r="E4924" s="9">
        <v>1836.64</v>
      </c>
      <c r="F4924" t="s">
        <v>15</v>
      </c>
      <c r="G4924" t="s">
        <v>15</v>
      </c>
      <c r="H4924" t="s">
        <v>15</v>
      </c>
      <c r="I4924" t="s">
        <v>15</v>
      </c>
    </row>
    <row r="4925" spans="1:9" x14ac:dyDescent="0.25">
      <c r="A4925" s="6">
        <v>43404</v>
      </c>
      <c r="B4925" t="s">
        <v>15</v>
      </c>
      <c r="C4925">
        <v>59094</v>
      </c>
      <c r="D4925" t="s">
        <v>14</v>
      </c>
      <c r="E4925" s="9">
        <v>1754.59</v>
      </c>
      <c r="F4925" t="s">
        <v>15</v>
      </c>
      <c r="G4925" t="s">
        <v>15</v>
      </c>
      <c r="H4925" t="s">
        <v>15</v>
      </c>
      <c r="I4925" t="s">
        <v>15</v>
      </c>
    </row>
    <row r="4926" spans="1:9" x14ac:dyDescent="0.25">
      <c r="A4926" s="6">
        <v>43404</v>
      </c>
      <c r="B4926" t="s">
        <v>15</v>
      </c>
      <c r="C4926">
        <v>59095</v>
      </c>
      <c r="D4926" t="s">
        <v>14</v>
      </c>
      <c r="E4926" s="9">
        <v>1326.93</v>
      </c>
      <c r="F4926" t="s">
        <v>15</v>
      </c>
      <c r="G4926" t="s">
        <v>15</v>
      </c>
      <c r="H4926" t="s">
        <v>15</v>
      </c>
      <c r="I4926" t="s">
        <v>15</v>
      </c>
    </row>
    <row r="4927" spans="1:9" x14ac:dyDescent="0.25">
      <c r="A4927" s="6">
        <v>43404</v>
      </c>
      <c r="B4927" t="s">
        <v>15</v>
      </c>
      <c r="C4927">
        <v>59096</v>
      </c>
      <c r="D4927" t="s">
        <v>14</v>
      </c>
      <c r="E4927" s="9">
        <v>10145.200000000001</v>
      </c>
      <c r="F4927" t="s">
        <v>15</v>
      </c>
      <c r="G4927" t="s">
        <v>15</v>
      </c>
      <c r="H4927" t="s">
        <v>15</v>
      </c>
      <c r="I4927" t="s">
        <v>15</v>
      </c>
    </row>
    <row r="4928" spans="1:9" x14ac:dyDescent="0.25">
      <c r="A4928" s="6">
        <v>43404</v>
      </c>
      <c r="B4928" t="s">
        <v>15</v>
      </c>
      <c r="C4928">
        <v>59097</v>
      </c>
      <c r="D4928" t="s">
        <v>14</v>
      </c>
      <c r="E4928" s="9">
        <v>1331.18</v>
      </c>
      <c r="F4928" t="s">
        <v>15</v>
      </c>
      <c r="G4928" t="s">
        <v>15</v>
      </c>
      <c r="H4928" t="s">
        <v>15</v>
      </c>
      <c r="I4928" t="s">
        <v>15</v>
      </c>
    </row>
    <row r="4929" spans="1:9" x14ac:dyDescent="0.25">
      <c r="A4929" s="6">
        <v>43404</v>
      </c>
      <c r="B4929" t="s">
        <v>15</v>
      </c>
      <c r="C4929">
        <v>59098</v>
      </c>
      <c r="D4929" t="s">
        <v>14</v>
      </c>
      <c r="E4929" s="9">
        <v>1117.07</v>
      </c>
      <c r="F4929" t="s">
        <v>15</v>
      </c>
      <c r="G4929" t="s">
        <v>15</v>
      </c>
      <c r="H4929" t="s">
        <v>15</v>
      </c>
      <c r="I4929" t="s">
        <v>15</v>
      </c>
    </row>
    <row r="4930" spans="1:9" x14ac:dyDescent="0.25">
      <c r="A4930" s="6">
        <v>43404</v>
      </c>
      <c r="B4930" t="s">
        <v>15</v>
      </c>
      <c r="C4930">
        <v>59099</v>
      </c>
      <c r="D4930" t="s">
        <v>14</v>
      </c>
      <c r="E4930">
        <v>416.52</v>
      </c>
      <c r="F4930" t="s">
        <v>15</v>
      </c>
      <c r="G4930" t="s">
        <v>15</v>
      </c>
      <c r="H4930" t="s">
        <v>15</v>
      </c>
      <c r="I4930" t="s">
        <v>15</v>
      </c>
    </row>
    <row r="4931" spans="1:9" x14ac:dyDescent="0.25">
      <c r="A4931" s="6">
        <v>43404</v>
      </c>
      <c r="B4931" t="s">
        <v>15</v>
      </c>
      <c r="C4931">
        <v>59100</v>
      </c>
      <c r="D4931" t="s">
        <v>14</v>
      </c>
      <c r="E4931">
        <v>726.73</v>
      </c>
      <c r="F4931" t="s">
        <v>15</v>
      </c>
      <c r="G4931" t="s">
        <v>15</v>
      </c>
      <c r="H4931" t="s">
        <v>15</v>
      </c>
      <c r="I4931" t="s">
        <v>15</v>
      </c>
    </row>
    <row r="4932" spans="1:9" x14ac:dyDescent="0.25">
      <c r="A4932" s="6">
        <v>43465</v>
      </c>
      <c r="B4932" t="s">
        <v>15</v>
      </c>
      <c r="C4932">
        <v>59101</v>
      </c>
      <c r="D4932" t="s">
        <v>14</v>
      </c>
      <c r="E4932">
        <v>18.93</v>
      </c>
      <c r="F4932" t="s">
        <v>15</v>
      </c>
      <c r="G4932" t="s">
        <v>15</v>
      </c>
      <c r="H4932" t="s">
        <v>15</v>
      </c>
      <c r="I4932" t="s">
        <v>15</v>
      </c>
    </row>
    <row r="4933" spans="1:9" x14ac:dyDescent="0.25">
      <c r="A4933" s="6">
        <v>43465</v>
      </c>
      <c r="B4933" t="s">
        <v>15</v>
      </c>
      <c r="C4933">
        <v>59102</v>
      </c>
      <c r="D4933" t="s">
        <v>14</v>
      </c>
      <c r="E4933">
        <v>30.76</v>
      </c>
      <c r="F4933" t="s">
        <v>15</v>
      </c>
      <c r="G4933" t="s">
        <v>15</v>
      </c>
      <c r="H4933" t="s">
        <v>15</v>
      </c>
      <c r="I4933" t="s">
        <v>15</v>
      </c>
    </row>
    <row r="4934" spans="1:9" x14ac:dyDescent="0.25">
      <c r="A4934" s="6">
        <v>43465</v>
      </c>
      <c r="B4934" t="s">
        <v>15</v>
      </c>
      <c r="C4934">
        <v>59103</v>
      </c>
      <c r="D4934" t="s">
        <v>14</v>
      </c>
      <c r="E4934">
        <v>30.76</v>
      </c>
      <c r="F4934" t="s">
        <v>15</v>
      </c>
      <c r="G4934" t="s">
        <v>15</v>
      </c>
      <c r="H4934" t="s">
        <v>15</v>
      </c>
      <c r="I4934" t="s">
        <v>15</v>
      </c>
    </row>
    <row r="4935" spans="1:9" x14ac:dyDescent="0.25">
      <c r="A4935" s="6">
        <v>43404</v>
      </c>
      <c r="B4935" t="s">
        <v>15</v>
      </c>
      <c r="C4935">
        <v>59198</v>
      </c>
      <c r="D4935" t="s">
        <v>14</v>
      </c>
      <c r="E4935" s="9">
        <v>1644.75</v>
      </c>
      <c r="F4935" t="s">
        <v>15</v>
      </c>
      <c r="G4935" t="s">
        <v>15</v>
      </c>
      <c r="H4935" t="s">
        <v>15</v>
      </c>
      <c r="I4935" t="s">
        <v>15</v>
      </c>
    </row>
    <row r="4936" spans="1:9" x14ac:dyDescent="0.25">
      <c r="A4936" s="6">
        <v>43404</v>
      </c>
      <c r="B4936" t="s">
        <v>15</v>
      </c>
      <c r="C4936">
        <v>59199</v>
      </c>
      <c r="D4936" t="s">
        <v>14</v>
      </c>
      <c r="E4936" s="9">
        <v>1346.93</v>
      </c>
      <c r="F4936" t="s">
        <v>15</v>
      </c>
      <c r="G4936" t="s">
        <v>15</v>
      </c>
      <c r="H4936" t="s">
        <v>15</v>
      </c>
      <c r="I4936" t="s">
        <v>15</v>
      </c>
    </row>
    <row r="4937" spans="1:9" x14ac:dyDescent="0.25">
      <c r="A4937" s="6">
        <v>43404</v>
      </c>
      <c r="B4937" t="s">
        <v>15</v>
      </c>
      <c r="C4937">
        <v>59200</v>
      </c>
      <c r="D4937" t="s">
        <v>14</v>
      </c>
      <c r="E4937" s="9">
        <v>2030.42</v>
      </c>
      <c r="F4937" t="s">
        <v>15</v>
      </c>
      <c r="G4937" t="s">
        <v>15</v>
      </c>
      <c r="H4937" t="s">
        <v>15</v>
      </c>
      <c r="I4937" t="s">
        <v>15</v>
      </c>
    </row>
    <row r="4938" spans="1:9" x14ac:dyDescent="0.25">
      <c r="A4938" s="6">
        <v>43404</v>
      </c>
      <c r="B4938" t="s">
        <v>15</v>
      </c>
      <c r="C4938">
        <v>59201</v>
      </c>
      <c r="D4938" t="s">
        <v>14</v>
      </c>
      <c r="E4938" s="9">
        <v>1301.55</v>
      </c>
      <c r="F4938" t="s">
        <v>15</v>
      </c>
      <c r="G4938" t="s">
        <v>15</v>
      </c>
      <c r="H4938" t="s">
        <v>15</v>
      </c>
      <c r="I4938" t="s">
        <v>15</v>
      </c>
    </row>
    <row r="4939" spans="1:9" x14ac:dyDescent="0.25">
      <c r="A4939" s="6">
        <v>43404</v>
      </c>
      <c r="B4939" t="s">
        <v>15</v>
      </c>
      <c r="C4939">
        <v>59202</v>
      </c>
      <c r="D4939" t="s">
        <v>14</v>
      </c>
      <c r="E4939" s="9">
        <v>1471.56</v>
      </c>
      <c r="F4939" t="s">
        <v>15</v>
      </c>
      <c r="G4939" t="s">
        <v>15</v>
      </c>
      <c r="H4939" t="s">
        <v>15</v>
      </c>
      <c r="I4939" t="s">
        <v>15</v>
      </c>
    </row>
    <row r="4940" spans="1:9" x14ac:dyDescent="0.25">
      <c r="A4940" s="6">
        <v>43404</v>
      </c>
      <c r="B4940" t="s">
        <v>15</v>
      </c>
      <c r="C4940">
        <v>59203</v>
      </c>
      <c r="D4940" t="s">
        <v>14</v>
      </c>
      <c r="E4940" s="9">
        <v>1104.29</v>
      </c>
      <c r="F4940" t="s">
        <v>15</v>
      </c>
      <c r="G4940" t="s">
        <v>15</v>
      </c>
      <c r="H4940" t="s">
        <v>15</v>
      </c>
      <c r="I4940" t="s">
        <v>15</v>
      </c>
    </row>
    <row r="4941" spans="1:9" x14ac:dyDescent="0.25">
      <c r="A4941" s="6">
        <v>43404</v>
      </c>
      <c r="B4941" t="s">
        <v>15</v>
      </c>
      <c r="C4941">
        <v>59204</v>
      </c>
      <c r="D4941" t="s">
        <v>14</v>
      </c>
      <c r="E4941">
        <v>451.39</v>
      </c>
      <c r="F4941" t="s">
        <v>15</v>
      </c>
      <c r="G4941" t="s">
        <v>15</v>
      </c>
      <c r="H4941" t="s">
        <v>15</v>
      </c>
      <c r="I4941" t="s">
        <v>15</v>
      </c>
    </row>
    <row r="4942" spans="1:9" x14ac:dyDescent="0.25">
      <c r="A4942" s="6">
        <v>43404</v>
      </c>
      <c r="B4942" t="s">
        <v>15</v>
      </c>
      <c r="C4942">
        <v>59205</v>
      </c>
      <c r="D4942" t="s">
        <v>14</v>
      </c>
      <c r="E4942">
        <v>721.12</v>
      </c>
      <c r="F4942" t="s">
        <v>15</v>
      </c>
      <c r="G4942" t="s">
        <v>15</v>
      </c>
      <c r="H4942" t="s">
        <v>15</v>
      </c>
      <c r="I4942" t="s">
        <v>15</v>
      </c>
    </row>
    <row r="4943" spans="1:9" x14ac:dyDescent="0.25">
      <c r="A4943" s="6">
        <v>43434</v>
      </c>
      <c r="B4943" t="s">
        <v>15</v>
      </c>
      <c r="C4943">
        <v>59311</v>
      </c>
      <c r="D4943" t="s">
        <v>14</v>
      </c>
      <c r="E4943" s="9">
        <v>1102.1600000000001</v>
      </c>
      <c r="F4943" t="s">
        <v>15</v>
      </c>
      <c r="G4943" t="s">
        <v>15</v>
      </c>
      <c r="H4943" t="s">
        <v>15</v>
      </c>
      <c r="I4943" t="s">
        <v>15</v>
      </c>
    </row>
    <row r="4944" spans="1:9" x14ac:dyDescent="0.25">
      <c r="A4944" s="6">
        <v>43434</v>
      </c>
      <c r="B4944" t="s">
        <v>15</v>
      </c>
      <c r="C4944">
        <v>59312</v>
      </c>
      <c r="D4944" t="s">
        <v>14</v>
      </c>
      <c r="E4944">
        <v>990.31</v>
      </c>
      <c r="F4944" t="s">
        <v>15</v>
      </c>
      <c r="G4944" t="s">
        <v>15</v>
      </c>
      <c r="H4944" t="s">
        <v>15</v>
      </c>
      <c r="I4944" t="s">
        <v>15</v>
      </c>
    </row>
    <row r="4945" spans="1:9" x14ac:dyDescent="0.25">
      <c r="A4945" s="6">
        <v>43434</v>
      </c>
      <c r="B4945" t="s">
        <v>15</v>
      </c>
      <c r="C4945">
        <v>59313</v>
      </c>
      <c r="D4945" t="s">
        <v>14</v>
      </c>
      <c r="E4945" s="9">
        <v>1590.3</v>
      </c>
      <c r="F4945" t="s">
        <v>15</v>
      </c>
      <c r="G4945" t="s">
        <v>15</v>
      </c>
      <c r="H4945" t="s">
        <v>15</v>
      </c>
      <c r="I4945" t="s">
        <v>15</v>
      </c>
    </row>
    <row r="4946" spans="1:9" x14ac:dyDescent="0.25">
      <c r="A4946" s="6">
        <v>43434</v>
      </c>
      <c r="B4946" t="s">
        <v>15</v>
      </c>
      <c r="C4946">
        <v>59314</v>
      </c>
      <c r="D4946" t="s">
        <v>14</v>
      </c>
      <c r="E4946" s="9">
        <v>1815.49</v>
      </c>
      <c r="F4946" t="s">
        <v>15</v>
      </c>
      <c r="G4946" t="s">
        <v>15</v>
      </c>
      <c r="H4946" t="s">
        <v>15</v>
      </c>
      <c r="I4946" t="s">
        <v>15</v>
      </c>
    </row>
    <row r="4947" spans="1:9" x14ac:dyDescent="0.25">
      <c r="A4947" s="6">
        <v>43434</v>
      </c>
      <c r="B4947" t="s">
        <v>15</v>
      </c>
      <c r="C4947">
        <v>59315</v>
      </c>
      <c r="D4947" t="s">
        <v>14</v>
      </c>
      <c r="E4947" s="9">
        <v>1264.02</v>
      </c>
      <c r="F4947" t="s">
        <v>15</v>
      </c>
      <c r="G4947" t="s">
        <v>15</v>
      </c>
      <c r="H4947" t="s">
        <v>15</v>
      </c>
      <c r="I4947" t="s">
        <v>15</v>
      </c>
    </row>
    <row r="4948" spans="1:9" x14ac:dyDescent="0.25">
      <c r="A4948" s="6">
        <v>43434</v>
      </c>
      <c r="B4948" t="s">
        <v>15</v>
      </c>
      <c r="C4948">
        <v>59316</v>
      </c>
      <c r="D4948" t="s">
        <v>14</v>
      </c>
      <c r="E4948" s="9">
        <v>1002.84</v>
      </c>
      <c r="F4948" t="s">
        <v>15</v>
      </c>
      <c r="G4948" t="s">
        <v>15</v>
      </c>
      <c r="H4948" t="s">
        <v>15</v>
      </c>
      <c r="I4948" t="s">
        <v>15</v>
      </c>
    </row>
    <row r="4949" spans="1:9" x14ac:dyDescent="0.25">
      <c r="A4949" s="6">
        <v>43434</v>
      </c>
      <c r="B4949" t="s">
        <v>15</v>
      </c>
      <c r="C4949">
        <v>59317</v>
      </c>
      <c r="D4949" t="s">
        <v>14</v>
      </c>
      <c r="E4949" s="9">
        <v>1108.1400000000001</v>
      </c>
      <c r="F4949" t="s">
        <v>15</v>
      </c>
      <c r="G4949" t="s">
        <v>15</v>
      </c>
      <c r="H4949" t="s">
        <v>15</v>
      </c>
      <c r="I4949" t="s">
        <v>15</v>
      </c>
    </row>
    <row r="4950" spans="1:9" x14ac:dyDescent="0.25">
      <c r="A4950" s="6">
        <v>43434</v>
      </c>
      <c r="B4950" t="s">
        <v>15</v>
      </c>
      <c r="C4950">
        <v>59318</v>
      </c>
      <c r="D4950" t="s">
        <v>14</v>
      </c>
      <c r="E4950">
        <v>416.52</v>
      </c>
      <c r="F4950" t="s">
        <v>15</v>
      </c>
      <c r="G4950" t="s">
        <v>15</v>
      </c>
      <c r="H4950" t="s">
        <v>15</v>
      </c>
      <c r="I4950" t="s">
        <v>15</v>
      </c>
    </row>
    <row r="4951" spans="1:9" x14ac:dyDescent="0.25">
      <c r="A4951" s="6">
        <v>43434</v>
      </c>
      <c r="B4951" t="s">
        <v>15</v>
      </c>
      <c r="C4951">
        <v>59319</v>
      </c>
      <c r="D4951" t="s">
        <v>14</v>
      </c>
      <c r="E4951">
        <v>721.12</v>
      </c>
      <c r="F4951" t="s">
        <v>15</v>
      </c>
      <c r="G4951" t="s">
        <v>15</v>
      </c>
      <c r="H4951" t="s">
        <v>15</v>
      </c>
      <c r="I4951" t="s">
        <v>15</v>
      </c>
    </row>
    <row r="4952" spans="1:9" x14ac:dyDescent="0.25">
      <c r="A4952" s="6">
        <v>43434</v>
      </c>
      <c r="B4952" t="s">
        <v>15</v>
      </c>
      <c r="C4952">
        <v>59465</v>
      </c>
      <c r="D4952" t="s">
        <v>14</v>
      </c>
      <c r="E4952" s="9">
        <v>1906.76</v>
      </c>
      <c r="F4952" t="s">
        <v>15</v>
      </c>
      <c r="G4952" t="s">
        <v>15</v>
      </c>
      <c r="H4952" t="s">
        <v>15</v>
      </c>
      <c r="I4952" t="s">
        <v>15</v>
      </c>
    </row>
    <row r="4953" spans="1:9" x14ac:dyDescent="0.25">
      <c r="A4953" s="6">
        <v>43434</v>
      </c>
      <c r="B4953" t="s">
        <v>15</v>
      </c>
      <c r="C4953">
        <v>59466</v>
      </c>
      <c r="D4953" t="s">
        <v>14</v>
      </c>
      <c r="E4953" s="9">
        <v>1582.37</v>
      </c>
      <c r="F4953" t="s">
        <v>15</v>
      </c>
      <c r="G4953" t="s">
        <v>15</v>
      </c>
      <c r="H4953" t="s">
        <v>15</v>
      </c>
      <c r="I4953" t="s">
        <v>15</v>
      </c>
    </row>
    <row r="4954" spans="1:9" x14ac:dyDescent="0.25">
      <c r="A4954" s="6">
        <v>43434</v>
      </c>
      <c r="B4954" t="s">
        <v>15</v>
      </c>
      <c r="C4954">
        <v>59467</v>
      </c>
      <c r="D4954" t="s">
        <v>14</v>
      </c>
      <c r="E4954" s="9">
        <v>2136.4499999999998</v>
      </c>
      <c r="F4954" t="s">
        <v>15</v>
      </c>
      <c r="G4954" t="s">
        <v>15</v>
      </c>
      <c r="H4954" t="s">
        <v>15</v>
      </c>
      <c r="I4954" t="s">
        <v>15</v>
      </c>
    </row>
    <row r="4955" spans="1:9" x14ac:dyDescent="0.25">
      <c r="A4955" s="6">
        <v>43434</v>
      </c>
      <c r="B4955" t="s">
        <v>15</v>
      </c>
      <c r="C4955">
        <v>59468</v>
      </c>
      <c r="D4955" t="s">
        <v>14</v>
      </c>
      <c r="E4955" s="9">
        <v>1520.03</v>
      </c>
      <c r="F4955" t="s">
        <v>15</v>
      </c>
      <c r="G4955" t="s">
        <v>15</v>
      </c>
      <c r="H4955" t="s">
        <v>15</v>
      </c>
      <c r="I4955" t="s">
        <v>15</v>
      </c>
    </row>
    <row r="4956" spans="1:9" x14ac:dyDescent="0.25">
      <c r="A4956" s="6">
        <v>43434</v>
      </c>
      <c r="B4956" t="s">
        <v>15</v>
      </c>
      <c r="C4956">
        <v>59469</v>
      </c>
      <c r="D4956" t="s">
        <v>14</v>
      </c>
      <c r="E4956" s="9">
        <v>1467.18</v>
      </c>
      <c r="F4956" t="s">
        <v>15</v>
      </c>
      <c r="G4956" t="s">
        <v>15</v>
      </c>
      <c r="H4956" t="s">
        <v>15</v>
      </c>
      <c r="I4956" t="s">
        <v>15</v>
      </c>
    </row>
    <row r="4957" spans="1:9" x14ac:dyDescent="0.25">
      <c r="A4957" s="6">
        <v>43434</v>
      </c>
      <c r="B4957" t="s">
        <v>15</v>
      </c>
      <c r="C4957">
        <v>59470</v>
      </c>
      <c r="D4957" t="s">
        <v>14</v>
      </c>
      <c r="E4957" s="9">
        <v>1116.72</v>
      </c>
      <c r="F4957" t="s">
        <v>15</v>
      </c>
      <c r="G4957" t="s">
        <v>15</v>
      </c>
      <c r="H4957" t="s">
        <v>15</v>
      </c>
      <c r="I4957" t="s">
        <v>15</v>
      </c>
    </row>
    <row r="4958" spans="1:9" x14ac:dyDescent="0.25">
      <c r="A4958" s="6">
        <v>43434</v>
      </c>
      <c r="B4958" t="s">
        <v>15</v>
      </c>
      <c r="C4958">
        <v>59471</v>
      </c>
      <c r="D4958" t="s">
        <v>14</v>
      </c>
      <c r="E4958">
        <v>463.02</v>
      </c>
      <c r="F4958" t="s">
        <v>15</v>
      </c>
      <c r="G4958" t="s">
        <v>15</v>
      </c>
      <c r="H4958" t="s">
        <v>15</v>
      </c>
      <c r="I4958" t="s">
        <v>15</v>
      </c>
    </row>
    <row r="4959" spans="1:9" x14ac:dyDescent="0.25">
      <c r="A4959" s="6">
        <v>43465</v>
      </c>
      <c r="B4959" t="s">
        <v>15</v>
      </c>
      <c r="C4959">
        <v>59472</v>
      </c>
      <c r="D4959" t="s">
        <v>14</v>
      </c>
      <c r="E4959">
        <v>757.18</v>
      </c>
      <c r="F4959" t="s">
        <v>15</v>
      </c>
      <c r="G4959" t="s">
        <v>15</v>
      </c>
      <c r="H4959" t="s">
        <v>15</v>
      </c>
      <c r="I4959" t="s">
        <v>15</v>
      </c>
    </row>
    <row r="4960" spans="1:9" x14ac:dyDescent="0.25">
      <c r="A4960" s="6">
        <v>43465</v>
      </c>
      <c r="B4960" t="s">
        <v>15</v>
      </c>
      <c r="C4960">
        <v>59545</v>
      </c>
      <c r="D4960" t="s">
        <v>14</v>
      </c>
      <c r="E4960" s="9">
        <v>1400.05</v>
      </c>
      <c r="F4960" t="s">
        <v>15</v>
      </c>
      <c r="G4960" t="s">
        <v>15</v>
      </c>
      <c r="H4960" t="s">
        <v>15</v>
      </c>
      <c r="I4960" t="s">
        <v>15</v>
      </c>
    </row>
    <row r="4961" spans="1:9" x14ac:dyDescent="0.25">
      <c r="A4961" s="6">
        <v>43465</v>
      </c>
      <c r="B4961" t="s">
        <v>15</v>
      </c>
      <c r="C4961">
        <v>59546</v>
      </c>
      <c r="D4961" t="s">
        <v>14</v>
      </c>
      <c r="E4961" s="9">
        <v>1701.19</v>
      </c>
      <c r="F4961" t="s">
        <v>15</v>
      </c>
      <c r="G4961" t="s">
        <v>15</v>
      </c>
      <c r="H4961" t="s">
        <v>15</v>
      </c>
      <c r="I4961" t="s">
        <v>15</v>
      </c>
    </row>
    <row r="4962" spans="1:9" x14ac:dyDescent="0.25">
      <c r="A4962" s="6">
        <v>43465</v>
      </c>
      <c r="B4962" t="s">
        <v>15</v>
      </c>
      <c r="C4962">
        <v>59547</v>
      </c>
      <c r="D4962" t="s">
        <v>14</v>
      </c>
      <c r="E4962" s="9">
        <v>2095</v>
      </c>
      <c r="F4962" t="s">
        <v>15</v>
      </c>
      <c r="G4962" t="s">
        <v>15</v>
      </c>
      <c r="H4962" t="s">
        <v>15</v>
      </c>
      <c r="I4962" t="s">
        <v>15</v>
      </c>
    </row>
    <row r="4963" spans="1:9" x14ac:dyDescent="0.25">
      <c r="A4963" s="6">
        <v>43465</v>
      </c>
      <c r="B4963" t="s">
        <v>15</v>
      </c>
      <c r="C4963">
        <v>59548</v>
      </c>
      <c r="D4963" t="s">
        <v>14</v>
      </c>
      <c r="E4963" s="9">
        <v>1555.27</v>
      </c>
      <c r="F4963" t="s">
        <v>15</v>
      </c>
      <c r="G4963" t="s">
        <v>15</v>
      </c>
      <c r="H4963" t="s">
        <v>15</v>
      </c>
      <c r="I4963" t="s">
        <v>15</v>
      </c>
    </row>
    <row r="4964" spans="1:9" x14ac:dyDescent="0.25">
      <c r="A4964" s="6">
        <v>43465</v>
      </c>
      <c r="B4964" t="s">
        <v>15</v>
      </c>
      <c r="C4964">
        <v>59549</v>
      </c>
      <c r="D4964" t="s">
        <v>14</v>
      </c>
      <c r="E4964" s="9">
        <v>2116.27</v>
      </c>
      <c r="F4964" t="s">
        <v>15</v>
      </c>
      <c r="G4964" t="s">
        <v>15</v>
      </c>
      <c r="H4964" t="s">
        <v>15</v>
      </c>
      <c r="I4964" t="s">
        <v>15</v>
      </c>
    </row>
    <row r="4965" spans="1:9" x14ac:dyDescent="0.25">
      <c r="A4965" s="6">
        <v>43465</v>
      </c>
      <c r="B4965" t="s">
        <v>15</v>
      </c>
      <c r="C4965">
        <v>59550</v>
      </c>
      <c r="D4965" t="s">
        <v>14</v>
      </c>
      <c r="E4965" s="9">
        <v>1132.0899999999999</v>
      </c>
      <c r="F4965" t="s">
        <v>15</v>
      </c>
      <c r="G4965" t="s">
        <v>15</v>
      </c>
      <c r="H4965" t="s">
        <v>15</v>
      </c>
      <c r="I4965" t="s">
        <v>15</v>
      </c>
    </row>
    <row r="4966" spans="1:9" x14ac:dyDescent="0.25">
      <c r="A4966" s="6">
        <v>43465</v>
      </c>
      <c r="B4966" t="s">
        <v>15</v>
      </c>
      <c r="C4966">
        <v>59551</v>
      </c>
      <c r="D4966" t="s">
        <v>14</v>
      </c>
      <c r="E4966">
        <v>416.52</v>
      </c>
      <c r="F4966" t="s">
        <v>15</v>
      </c>
      <c r="G4966" t="s">
        <v>15</v>
      </c>
      <c r="H4966" t="s">
        <v>15</v>
      </c>
      <c r="I4966" t="s">
        <v>15</v>
      </c>
    </row>
    <row r="4967" spans="1:9" x14ac:dyDescent="0.25">
      <c r="A4967" s="6">
        <v>43465</v>
      </c>
      <c r="B4967" t="s">
        <v>15</v>
      </c>
      <c r="C4967">
        <v>59552</v>
      </c>
      <c r="D4967" t="s">
        <v>14</v>
      </c>
      <c r="E4967">
        <v>730.55</v>
      </c>
      <c r="F4967" t="s">
        <v>15</v>
      </c>
      <c r="G4967" t="s">
        <v>15</v>
      </c>
      <c r="H4967" t="s">
        <v>15</v>
      </c>
      <c r="I4967" t="s">
        <v>15</v>
      </c>
    </row>
    <row r="4968" spans="1:9" x14ac:dyDescent="0.25">
      <c r="A4968" s="6">
        <v>43465</v>
      </c>
      <c r="B4968" t="s">
        <v>15</v>
      </c>
      <c r="C4968">
        <v>59675</v>
      </c>
      <c r="D4968" t="s">
        <v>14</v>
      </c>
      <c r="E4968" s="9">
        <v>1437.25</v>
      </c>
      <c r="F4968" t="s">
        <v>15</v>
      </c>
      <c r="G4968" t="s">
        <v>15</v>
      </c>
      <c r="H4968" t="s">
        <v>15</v>
      </c>
      <c r="I4968" t="s">
        <v>15</v>
      </c>
    </row>
    <row r="4969" spans="1:9" x14ac:dyDescent="0.25">
      <c r="A4969" s="6">
        <v>43465</v>
      </c>
      <c r="B4969" t="s">
        <v>15</v>
      </c>
      <c r="C4969">
        <v>59676</v>
      </c>
      <c r="D4969" t="s">
        <v>14</v>
      </c>
      <c r="E4969" s="9">
        <v>1455.63</v>
      </c>
      <c r="F4969" t="s">
        <v>15</v>
      </c>
      <c r="G4969" t="s">
        <v>15</v>
      </c>
      <c r="H4969" t="s">
        <v>15</v>
      </c>
      <c r="I4969" t="s">
        <v>15</v>
      </c>
    </row>
    <row r="4970" spans="1:9" x14ac:dyDescent="0.25">
      <c r="A4970" s="6">
        <v>43465</v>
      </c>
      <c r="B4970" t="s">
        <v>15</v>
      </c>
      <c r="C4970">
        <v>59677</v>
      </c>
      <c r="D4970" t="s">
        <v>14</v>
      </c>
      <c r="E4970" s="9">
        <v>1909.95</v>
      </c>
      <c r="F4970" t="s">
        <v>15</v>
      </c>
      <c r="G4970" t="s">
        <v>15</v>
      </c>
      <c r="H4970" t="s">
        <v>15</v>
      </c>
      <c r="I4970" t="s">
        <v>15</v>
      </c>
    </row>
    <row r="4971" spans="1:9" x14ac:dyDescent="0.25">
      <c r="A4971" s="6">
        <v>43465</v>
      </c>
      <c r="B4971" t="s">
        <v>15</v>
      </c>
      <c r="C4971">
        <v>59678</v>
      </c>
      <c r="D4971" t="s">
        <v>14</v>
      </c>
      <c r="E4971" s="9">
        <v>1321.87</v>
      </c>
      <c r="F4971" t="s">
        <v>15</v>
      </c>
      <c r="G4971" t="s">
        <v>15</v>
      </c>
      <c r="H4971" t="s">
        <v>15</v>
      </c>
      <c r="I4971" t="s">
        <v>15</v>
      </c>
    </row>
    <row r="4972" spans="1:9" x14ac:dyDescent="0.25">
      <c r="A4972" s="6">
        <v>43465</v>
      </c>
      <c r="B4972" t="s">
        <v>15</v>
      </c>
      <c r="C4972">
        <v>59679</v>
      </c>
      <c r="D4972" t="s">
        <v>14</v>
      </c>
      <c r="E4972" s="9">
        <v>1152.8699999999999</v>
      </c>
      <c r="F4972" t="s">
        <v>15</v>
      </c>
      <c r="G4972" t="s">
        <v>15</v>
      </c>
      <c r="H4972" t="s">
        <v>15</v>
      </c>
      <c r="I4972" t="s">
        <v>15</v>
      </c>
    </row>
    <row r="4973" spans="1:9" x14ac:dyDescent="0.25">
      <c r="A4973" s="6">
        <v>43465</v>
      </c>
      <c r="B4973" t="s">
        <v>15</v>
      </c>
      <c r="C4973">
        <v>59680</v>
      </c>
      <c r="D4973" t="s">
        <v>14</v>
      </c>
      <c r="E4973" s="9">
        <v>1111.73</v>
      </c>
      <c r="F4973" t="s">
        <v>15</v>
      </c>
      <c r="G4973" t="s">
        <v>15</v>
      </c>
      <c r="H4973" t="s">
        <v>15</v>
      </c>
      <c r="I4973" t="s">
        <v>15</v>
      </c>
    </row>
    <row r="4974" spans="1:9" x14ac:dyDescent="0.25">
      <c r="A4974" s="6">
        <v>43465</v>
      </c>
      <c r="B4974" t="s">
        <v>15</v>
      </c>
      <c r="C4974">
        <v>59681</v>
      </c>
      <c r="D4974" t="s">
        <v>14</v>
      </c>
      <c r="E4974">
        <v>439.77</v>
      </c>
      <c r="F4974" t="s">
        <v>15</v>
      </c>
      <c r="G4974" t="s">
        <v>15</v>
      </c>
      <c r="H4974" t="s">
        <v>15</v>
      </c>
      <c r="I4974" t="s">
        <v>15</v>
      </c>
    </row>
    <row r="4975" spans="1:9" x14ac:dyDescent="0.25">
      <c r="A4975" s="6">
        <v>43465</v>
      </c>
      <c r="B4975" t="s">
        <v>15</v>
      </c>
      <c r="C4975">
        <v>59682</v>
      </c>
      <c r="D4975" t="s">
        <v>14</v>
      </c>
      <c r="E4975">
        <v>721.12</v>
      </c>
      <c r="F4975" t="s">
        <v>15</v>
      </c>
      <c r="G4975" t="s">
        <v>15</v>
      </c>
      <c r="H4975" t="s">
        <v>15</v>
      </c>
      <c r="I4975" t="s">
        <v>15</v>
      </c>
    </row>
    <row r="4976" spans="1:9" x14ac:dyDescent="0.25">
      <c r="A4976" s="6">
        <v>43496</v>
      </c>
      <c r="B4976" t="s">
        <v>15</v>
      </c>
      <c r="C4976">
        <v>59802</v>
      </c>
      <c r="D4976" t="s">
        <v>14</v>
      </c>
      <c r="E4976" s="9">
        <v>1075.52</v>
      </c>
      <c r="F4976" t="s">
        <v>15</v>
      </c>
      <c r="G4976" t="s">
        <v>15</v>
      </c>
      <c r="H4976" t="s">
        <v>15</v>
      </c>
      <c r="I4976" t="s">
        <v>15</v>
      </c>
    </row>
    <row r="4977" spans="1:9" x14ac:dyDescent="0.25">
      <c r="A4977" s="6">
        <v>43496</v>
      </c>
      <c r="B4977" t="s">
        <v>15</v>
      </c>
      <c r="C4977">
        <v>59803</v>
      </c>
      <c r="D4977" t="s">
        <v>14</v>
      </c>
      <c r="E4977" s="9">
        <v>1726.62</v>
      </c>
      <c r="F4977" t="s">
        <v>15</v>
      </c>
      <c r="G4977" t="s">
        <v>15</v>
      </c>
      <c r="H4977" t="s">
        <v>15</v>
      </c>
      <c r="I4977" t="s">
        <v>15</v>
      </c>
    </row>
    <row r="4978" spans="1:9" x14ac:dyDescent="0.25">
      <c r="A4978" s="6">
        <v>43496</v>
      </c>
      <c r="B4978" t="s">
        <v>15</v>
      </c>
      <c r="C4978">
        <v>59804</v>
      </c>
      <c r="D4978" t="s">
        <v>14</v>
      </c>
      <c r="E4978" s="9">
        <v>1541.28</v>
      </c>
      <c r="F4978" t="s">
        <v>15</v>
      </c>
      <c r="G4978" t="s">
        <v>15</v>
      </c>
      <c r="H4978" t="s">
        <v>15</v>
      </c>
      <c r="I4978" t="s">
        <v>15</v>
      </c>
    </row>
    <row r="4979" spans="1:9" x14ac:dyDescent="0.25">
      <c r="A4979" s="6">
        <v>43496</v>
      </c>
      <c r="B4979" t="s">
        <v>15</v>
      </c>
      <c r="C4979">
        <v>59805</v>
      </c>
      <c r="D4979" t="s">
        <v>14</v>
      </c>
      <c r="E4979" s="9">
        <v>1214.28</v>
      </c>
      <c r="F4979" t="s">
        <v>15</v>
      </c>
      <c r="G4979" t="s">
        <v>15</v>
      </c>
      <c r="H4979" t="s">
        <v>15</v>
      </c>
      <c r="I4979" t="s">
        <v>15</v>
      </c>
    </row>
    <row r="4980" spans="1:9" x14ac:dyDescent="0.25">
      <c r="A4980" s="6">
        <v>43496</v>
      </c>
      <c r="B4980" t="s">
        <v>15</v>
      </c>
      <c r="C4980">
        <v>59806</v>
      </c>
      <c r="D4980" t="s">
        <v>14</v>
      </c>
      <c r="E4980" s="9">
        <v>2338.11</v>
      </c>
      <c r="F4980" t="s">
        <v>15</v>
      </c>
      <c r="G4980" t="s">
        <v>15</v>
      </c>
      <c r="H4980" t="s">
        <v>15</v>
      </c>
      <c r="I4980" t="s">
        <v>15</v>
      </c>
    </row>
    <row r="4981" spans="1:9" x14ac:dyDescent="0.25">
      <c r="A4981" s="6">
        <v>43496</v>
      </c>
      <c r="B4981" t="s">
        <v>15</v>
      </c>
      <c r="C4981">
        <v>59807</v>
      </c>
      <c r="D4981" t="s">
        <v>14</v>
      </c>
      <c r="E4981" s="9">
        <v>1115.19</v>
      </c>
      <c r="F4981" t="s">
        <v>15</v>
      </c>
      <c r="G4981" t="s">
        <v>15</v>
      </c>
      <c r="H4981" t="s">
        <v>15</v>
      </c>
      <c r="I4981" t="s">
        <v>15</v>
      </c>
    </row>
    <row r="4982" spans="1:9" x14ac:dyDescent="0.25">
      <c r="A4982" s="6">
        <v>43496</v>
      </c>
      <c r="B4982" t="s">
        <v>15</v>
      </c>
      <c r="C4982">
        <v>59808</v>
      </c>
      <c r="D4982" t="s">
        <v>14</v>
      </c>
      <c r="E4982">
        <v>463.98</v>
      </c>
      <c r="F4982" t="s">
        <v>15</v>
      </c>
      <c r="G4982" t="s">
        <v>15</v>
      </c>
      <c r="H4982" t="s">
        <v>15</v>
      </c>
      <c r="I4982" t="s">
        <v>15</v>
      </c>
    </row>
    <row r="4983" spans="1:9" x14ac:dyDescent="0.25">
      <c r="A4983" s="6">
        <v>43496</v>
      </c>
      <c r="B4983" t="s">
        <v>15</v>
      </c>
      <c r="C4983">
        <v>59809</v>
      </c>
      <c r="D4983" t="s">
        <v>14</v>
      </c>
      <c r="E4983">
        <v>731.86</v>
      </c>
      <c r="F4983" t="s">
        <v>15</v>
      </c>
      <c r="G4983" t="s">
        <v>15</v>
      </c>
      <c r="H4983" t="s">
        <v>15</v>
      </c>
      <c r="I4983" t="s">
        <v>15</v>
      </c>
    </row>
    <row r="4984" spans="1:9" x14ac:dyDescent="0.25">
      <c r="A4984" s="6">
        <v>43496</v>
      </c>
      <c r="B4984" t="s">
        <v>15</v>
      </c>
      <c r="C4984">
        <v>59821</v>
      </c>
      <c r="D4984" t="s">
        <v>14</v>
      </c>
      <c r="E4984" s="9">
        <v>2073.12</v>
      </c>
      <c r="F4984" t="s">
        <v>15</v>
      </c>
      <c r="G4984" t="s">
        <v>15</v>
      </c>
      <c r="H4984" t="s">
        <v>15</v>
      </c>
      <c r="I4984" t="s">
        <v>15</v>
      </c>
    </row>
    <row r="4985" spans="1:9" x14ac:dyDescent="0.25">
      <c r="A4985" s="6">
        <v>43496</v>
      </c>
      <c r="B4985" t="s">
        <v>15</v>
      </c>
      <c r="C4985">
        <v>59941</v>
      </c>
      <c r="D4985" t="s">
        <v>14</v>
      </c>
      <c r="E4985" s="9">
        <v>1681.66</v>
      </c>
      <c r="F4985" t="s">
        <v>15</v>
      </c>
      <c r="G4985" t="s">
        <v>15</v>
      </c>
      <c r="H4985" t="s">
        <v>15</v>
      </c>
      <c r="I4985" t="s">
        <v>15</v>
      </c>
    </row>
    <row r="4986" spans="1:9" x14ac:dyDescent="0.25">
      <c r="A4986" s="6">
        <v>43496</v>
      </c>
      <c r="B4986" t="s">
        <v>15</v>
      </c>
      <c r="C4986">
        <v>59942</v>
      </c>
      <c r="D4986" t="s">
        <v>14</v>
      </c>
      <c r="E4986" s="9">
        <v>1283</v>
      </c>
      <c r="F4986" t="s">
        <v>15</v>
      </c>
      <c r="G4986" t="s">
        <v>15</v>
      </c>
      <c r="H4986" t="s">
        <v>15</v>
      </c>
      <c r="I4986" t="s">
        <v>15</v>
      </c>
    </row>
    <row r="4987" spans="1:9" x14ac:dyDescent="0.25">
      <c r="A4987" s="6">
        <v>43496</v>
      </c>
      <c r="B4987" t="s">
        <v>15</v>
      </c>
      <c r="C4987">
        <v>59943</v>
      </c>
      <c r="D4987" t="s">
        <v>14</v>
      </c>
      <c r="E4987" s="9">
        <v>2296.89</v>
      </c>
      <c r="F4987" t="s">
        <v>15</v>
      </c>
      <c r="G4987" t="s">
        <v>15</v>
      </c>
      <c r="H4987" t="s">
        <v>15</v>
      </c>
      <c r="I4987" t="s">
        <v>15</v>
      </c>
    </row>
    <row r="4988" spans="1:9" x14ac:dyDescent="0.25">
      <c r="A4988" s="6">
        <v>43496</v>
      </c>
      <c r="B4988" t="s">
        <v>15</v>
      </c>
      <c r="C4988">
        <v>59944</v>
      </c>
      <c r="D4988" t="s">
        <v>14</v>
      </c>
      <c r="E4988" s="9">
        <v>1284.8</v>
      </c>
      <c r="F4988" t="s">
        <v>15</v>
      </c>
      <c r="G4988" t="s">
        <v>15</v>
      </c>
      <c r="H4988" t="s">
        <v>15</v>
      </c>
      <c r="I4988" t="s">
        <v>15</v>
      </c>
    </row>
    <row r="4989" spans="1:9" x14ac:dyDescent="0.25">
      <c r="A4989" s="6">
        <v>43496</v>
      </c>
      <c r="B4989" t="s">
        <v>15</v>
      </c>
      <c r="C4989">
        <v>59945</v>
      </c>
      <c r="D4989" t="s">
        <v>14</v>
      </c>
      <c r="E4989" s="9">
        <v>1727.42</v>
      </c>
      <c r="F4989" t="s">
        <v>15</v>
      </c>
      <c r="G4989" t="s">
        <v>15</v>
      </c>
      <c r="H4989" t="s">
        <v>15</v>
      </c>
      <c r="I4989" t="s">
        <v>15</v>
      </c>
    </row>
    <row r="4990" spans="1:9" x14ac:dyDescent="0.25">
      <c r="A4990" s="6">
        <v>43496</v>
      </c>
      <c r="B4990" t="s">
        <v>15</v>
      </c>
      <c r="C4990">
        <v>59946</v>
      </c>
      <c r="D4990" t="s">
        <v>14</v>
      </c>
      <c r="E4990">
        <v>624.41999999999996</v>
      </c>
      <c r="F4990" t="s">
        <v>15</v>
      </c>
      <c r="G4990" t="s">
        <v>15</v>
      </c>
      <c r="H4990" t="s">
        <v>15</v>
      </c>
      <c r="I4990" t="s">
        <v>15</v>
      </c>
    </row>
    <row r="4991" spans="1:9" x14ac:dyDescent="0.25">
      <c r="A4991" s="6">
        <v>43496</v>
      </c>
      <c r="B4991" t="s">
        <v>15</v>
      </c>
      <c r="C4991">
        <v>59947</v>
      </c>
      <c r="D4991" t="s">
        <v>14</v>
      </c>
      <c r="E4991" s="9">
        <v>1119.47</v>
      </c>
      <c r="F4991" t="s">
        <v>15</v>
      </c>
      <c r="G4991" t="s">
        <v>15</v>
      </c>
      <c r="H4991" t="s">
        <v>15</v>
      </c>
      <c r="I4991" t="s">
        <v>15</v>
      </c>
    </row>
    <row r="4992" spans="1:9" x14ac:dyDescent="0.25">
      <c r="A4992" s="6">
        <v>43496</v>
      </c>
      <c r="B4992" t="s">
        <v>15</v>
      </c>
      <c r="C4992">
        <v>59948</v>
      </c>
      <c r="D4992" t="s">
        <v>14</v>
      </c>
      <c r="E4992">
        <v>463.98</v>
      </c>
      <c r="F4992" t="s">
        <v>15</v>
      </c>
      <c r="G4992" t="s">
        <v>15</v>
      </c>
      <c r="H4992" t="s">
        <v>15</v>
      </c>
      <c r="I4992" t="s">
        <v>15</v>
      </c>
    </row>
    <row r="4993" spans="1:9" x14ac:dyDescent="0.25">
      <c r="A4993" s="6">
        <v>43524</v>
      </c>
      <c r="B4993" t="s">
        <v>15</v>
      </c>
      <c r="C4993">
        <v>59949</v>
      </c>
      <c r="D4993" t="s">
        <v>14</v>
      </c>
      <c r="E4993">
        <v>722.08</v>
      </c>
      <c r="F4993" t="s">
        <v>15</v>
      </c>
      <c r="G4993" t="s">
        <v>15</v>
      </c>
      <c r="H4993" t="s">
        <v>15</v>
      </c>
      <c r="I4993" t="s">
        <v>15</v>
      </c>
    </row>
    <row r="4994" spans="1:9" x14ac:dyDescent="0.25">
      <c r="A4994" s="6">
        <v>43524</v>
      </c>
      <c r="B4994" t="s">
        <v>15</v>
      </c>
      <c r="C4994">
        <v>60074</v>
      </c>
      <c r="D4994" t="s">
        <v>14</v>
      </c>
      <c r="E4994" s="9">
        <v>1247.72</v>
      </c>
      <c r="F4994" t="s">
        <v>15</v>
      </c>
      <c r="G4994" t="s">
        <v>15</v>
      </c>
      <c r="H4994" t="s">
        <v>15</v>
      </c>
      <c r="I4994" t="s">
        <v>15</v>
      </c>
    </row>
    <row r="4995" spans="1:9" x14ac:dyDescent="0.25">
      <c r="A4995" s="6">
        <v>43496</v>
      </c>
      <c r="B4995" t="s">
        <v>15</v>
      </c>
      <c r="C4995">
        <v>60075</v>
      </c>
      <c r="D4995" t="s">
        <v>14</v>
      </c>
      <c r="E4995" s="9">
        <v>1772.55</v>
      </c>
      <c r="F4995" t="s">
        <v>15</v>
      </c>
      <c r="G4995" t="s">
        <v>15</v>
      </c>
      <c r="H4995" t="s">
        <v>15</v>
      </c>
      <c r="I4995" t="s">
        <v>15</v>
      </c>
    </row>
    <row r="4996" spans="1:9" x14ac:dyDescent="0.25">
      <c r="A4996" s="6">
        <v>43524</v>
      </c>
      <c r="B4996" t="s">
        <v>15</v>
      </c>
      <c r="C4996">
        <v>60076</v>
      </c>
      <c r="D4996" t="s">
        <v>14</v>
      </c>
      <c r="E4996" s="9">
        <v>2057.87</v>
      </c>
      <c r="F4996" t="s">
        <v>15</v>
      </c>
      <c r="G4996" t="s">
        <v>15</v>
      </c>
      <c r="H4996" t="s">
        <v>15</v>
      </c>
      <c r="I4996" t="s">
        <v>15</v>
      </c>
    </row>
    <row r="4997" spans="1:9" x14ac:dyDescent="0.25">
      <c r="A4997" s="6">
        <v>43496</v>
      </c>
      <c r="B4997" t="s">
        <v>15</v>
      </c>
      <c r="C4997">
        <v>60077</v>
      </c>
      <c r="D4997" t="s">
        <v>14</v>
      </c>
      <c r="E4997" s="9">
        <v>1369.41</v>
      </c>
      <c r="F4997" t="s">
        <v>15</v>
      </c>
      <c r="G4997" t="s">
        <v>15</v>
      </c>
      <c r="H4997" t="s">
        <v>15</v>
      </c>
      <c r="I4997" t="s">
        <v>15</v>
      </c>
    </row>
    <row r="4998" spans="1:9" x14ac:dyDescent="0.25">
      <c r="A4998" s="6">
        <v>43524</v>
      </c>
      <c r="B4998" t="s">
        <v>15</v>
      </c>
      <c r="C4998">
        <v>60078</v>
      </c>
      <c r="D4998" t="s">
        <v>14</v>
      </c>
      <c r="E4998" s="9">
        <v>1398.55</v>
      </c>
      <c r="F4998" t="s">
        <v>15</v>
      </c>
      <c r="G4998" t="s">
        <v>15</v>
      </c>
      <c r="H4998" t="s">
        <v>15</v>
      </c>
      <c r="I4998" t="s">
        <v>15</v>
      </c>
    </row>
    <row r="4999" spans="1:9" x14ac:dyDescent="0.25">
      <c r="A4999" s="6">
        <v>43524</v>
      </c>
      <c r="B4999" t="s">
        <v>15</v>
      </c>
      <c r="C4999">
        <v>60079</v>
      </c>
      <c r="D4999" t="s">
        <v>14</v>
      </c>
      <c r="E4999" s="9">
        <v>1309.67</v>
      </c>
      <c r="F4999" t="s">
        <v>15</v>
      </c>
      <c r="G4999" t="s">
        <v>15</v>
      </c>
      <c r="H4999" t="s">
        <v>15</v>
      </c>
      <c r="I4999" t="s">
        <v>15</v>
      </c>
    </row>
    <row r="5000" spans="1:9" x14ac:dyDescent="0.25">
      <c r="A5000" s="6">
        <v>43524</v>
      </c>
      <c r="B5000" t="s">
        <v>15</v>
      </c>
      <c r="C5000">
        <v>60080</v>
      </c>
      <c r="D5000" t="s">
        <v>14</v>
      </c>
      <c r="E5000">
        <v>260.8</v>
      </c>
      <c r="F5000" t="s">
        <v>15</v>
      </c>
      <c r="G5000" t="s">
        <v>15</v>
      </c>
      <c r="H5000" t="s">
        <v>15</v>
      </c>
      <c r="I5000" t="s">
        <v>15</v>
      </c>
    </row>
    <row r="5001" spans="1:9" x14ac:dyDescent="0.25">
      <c r="A5001" s="6">
        <v>43496</v>
      </c>
      <c r="B5001" t="s">
        <v>15</v>
      </c>
      <c r="C5001">
        <v>60081</v>
      </c>
      <c r="D5001" t="s">
        <v>14</v>
      </c>
      <c r="E5001">
        <v>739.88</v>
      </c>
      <c r="F5001" t="s">
        <v>15</v>
      </c>
      <c r="G5001" t="s">
        <v>15</v>
      </c>
      <c r="H5001" t="s">
        <v>15</v>
      </c>
      <c r="I5001" t="s">
        <v>15</v>
      </c>
    </row>
    <row r="5002" spans="1:9" x14ac:dyDescent="0.25">
      <c r="A5002" s="6">
        <v>43524</v>
      </c>
      <c r="B5002" t="s">
        <v>15</v>
      </c>
      <c r="C5002">
        <v>60163</v>
      </c>
      <c r="D5002" t="s">
        <v>14</v>
      </c>
      <c r="E5002" s="9">
        <v>1439.34</v>
      </c>
      <c r="F5002" t="s">
        <v>15</v>
      </c>
      <c r="G5002" t="s">
        <v>15</v>
      </c>
      <c r="H5002" t="s">
        <v>15</v>
      </c>
      <c r="I5002" t="s">
        <v>15</v>
      </c>
    </row>
    <row r="5003" spans="1:9" x14ac:dyDescent="0.25">
      <c r="A5003" s="6">
        <v>43524</v>
      </c>
      <c r="B5003" t="s">
        <v>15</v>
      </c>
      <c r="C5003">
        <v>60164</v>
      </c>
      <c r="D5003" t="s">
        <v>14</v>
      </c>
      <c r="E5003" s="9">
        <v>1317.07</v>
      </c>
      <c r="F5003" t="s">
        <v>15</v>
      </c>
      <c r="G5003" t="s">
        <v>15</v>
      </c>
      <c r="H5003" t="s">
        <v>15</v>
      </c>
      <c r="I5003" t="s">
        <v>15</v>
      </c>
    </row>
    <row r="5004" spans="1:9" x14ac:dyDescent="0.25">
      <c r="A5004" s="6">
        <v>43524</v>
      </c>
      <c r="B5004" t="s">
        <v>15</v>
      </c>
      <c r="C5004">
        <v>60165</v>
      </c>
      <c r="D5004" t="s">
        <v>14</v>
      </c>
      <c r="E5004" s="9">
        <v>1845.84</v>
      </c>
      <c r="F5004" t="s">
        <v>15</v>
      </c>
      <c r="G5004" t="s">
        <v>15</v>
      </c>
      <c r="H5004" t="s">
        <v>15</v>
      </c>
      <c r="I5004" t="s">
        <v>15</v>
      </c>
    </row>
    <row r="5005" spans="1:9" x14ac:dyDescent="0.25">
      <c r="A5005" s="6">
        <v>43524</v>
      </c>
      <c r="B5005" t="s">
        <v>15</v>
      </c>
      <c r="C5005">
        <v>60166</v>
      </c>
      <c r="D5005" t="s">
        <v>14</v>
      </c>
      <c r="E5005" s="9">
        <v>1298.9100000000001</v>
      </c>
      <c r="F5005" t="s">
        <v>15</v>
      </c>
      <c r="G5005" t="s">
        <v>15</v>
      </c>
      <c r="H5005" t="s">
        <v>15</v>
      </c>
      <c r="I5005" t="s">
        <v>15</v>
      </c>
    </row>
    <row r="5006" spans="1:9" x14ac:dyDescent="0.25">
      <c r="A5006" s="6">
        <v>43524</v>
      </c>
      <c r="B5006" t="s">
        <v>15</v>
      </c>
      <c r="C5006">
        <v>60167</v>
      </c>
      <c r="D5006" t="s">
        <v>14</v>
      </c>
      <c r="E5006" s="9">
        <v>1059.3800000000001</v>
      </c>
      <c r="F5006" t="s">
        <v>15</v>
      </c>
      <c r="G5006" t="s">
        <v>15</v>
      </c>
      <c r="H5006" t="s">
        <v>15</v>
      </c>
      <c r="I5006" t="s">
        <v>15</v>
      </c>
    </row>
    <row r="5007" spans="1:9" x14ac:dyDescent="0.25">
      <c r="A5007" s="6">
        <v>43524</v>
      </c>
      <c r="B5007" t="s">
        <v>15</v>
      </c>
      <c r="C5007">
        <v>60168</v>
      </c>
      <c r="D5007" t="s">
        <v>14</v>
      </c>
      <c r="E5007" s="9">
        <v>1108.03</v>
      </c>
      <c r="F5007" t="s">
        <v>15</v>
      </c>
      <c r="G5007" t="s">
        <v>15</v>
      </c>
      <c r="H5007" t="s">
        <v>15</v>
      </c>
      <c r="I5007" t="s">
        <v>15</v>
      </c>
    </row>
    <row r="5008" spans="1:9" x14ac:dyDescent="0.25">
      <c r="A5008" s="6">
        <v>43524</v>
      </c>
      <c r="B5008" t="s">
        <v>15</v>
      </c>
      <c r="C5008">
        <v>60169</v>
      </c>
      <c r="D5008" t="s">
        <v>14</v>
      </c>
      <c r="E5008">
        <v>551.19000000000005</v>
      </c>
      <c r="F5008" t="s">
        <v>15</v>
      </c>
      <c r="G5008" t="s">
        <v>15</v>
      </c>
      <c r="H5008" t="s">
        <v>15</v>
      </c>
      <c r="I5008" t="s">
        <v>15</v>
      </c>
    </row>
    <row r="5009" spans="1:9" x14ac:dyDescent="0.25">
      <c r="A5009" s="6">
        <v>43524</v>
      </c>
      <c r="B5009" t="s">
        <v>15</v>
      </c>
      <c r="C5009">
        <v>60170</v>
      </c>
      <c r="D5009" t="s">
        <v>14</v>
      </c>
      <c r="E5009">
        <v>722.08</v>
      </c>
      <c r="F5009" t="s">
        <v>15</v>
      </c>
      <c r="G5009" t="s">
        <v>15</v>
      </c>
      <c r="H5009" t="s">
        <v>15</v>
      </c>
      <c r="I5009" t="s">
        <v>15</v>
      </c>
    </row>
    <row r="5010" spans="1:9" x14ac:dyDescent="0.25">
      <c r="A5010" s="6">
        <v>43555</v>
      </c>
      <c r="B5010" t="s">
        <v>15</v>
      </c>
      <c r="C5010">
        <v>60270</v>
      </c>
      <c r="D5010" t="s">
        <v>14</v>
      </c>
      <c r="E5010" s="9">
        <v>1246.72</v>
      </c>
      <c r="F5010" t="s">
        <v>15</v>
      </c>
      <c r="G5010" t="s">
        <v>15</v>
      </c>
      <c r="H5010" t="s">
        <v>15</v>
      </c>
      <c r="I5010" t="s">
        <v>15</v>
      </c>
    </row>
    <row r="5011" spans="1:9" x14ac:dyDescent="0.25">
      <c r="A5011" s="6">
        <v>43524</v>
      </c>
      <c r="B5011" t="s">
        <v>15</v>
      </c>
      <c r="C5011">
        <v>60271</v>
      </c>
      <c r="D5011" t="s">
        <v>14</v>
      </c>
      <c r="E5011" s="9">
        <v>1473.13</v>
      </c>
      <c r="F5011" t="s">
        <v>15</v>
      </c>
      <c r="G5011" t="s">
        <v>15</v>
      </c>
      <c r="H5011" t="s">
        <v>15</v>
      </c>
      <c r="I5011" t="s">
        <v>15</v>
      </c>
    </row>
    <row r="5012" spans="1:9" x14ac:dyDescent="0.25">
      <c r="A5012" s="6">
        <v>43555</v>
      </c>
      <c r="B5012" t="s">
        <v>15</v>
      </c>
      <c r="C5012">
        <v>60272</v>
      </c>
      <c r="D5012" t="s">
        <v>14</v>
      </c>
      <c r="E5012" s="9">
        <v>2000.04</v>
      </c>
      <c r="F5012" t="s">
        <v>15</v>
      </c>
      <c r="G5012" t="s">
        <v>15</v>
      </c>
      <c r="H5012" t="s">
        <v>15</v>
      </c>
      <c r="I5012" t="s">
        <v>15</v>
      </c>
    </row>
    <row r="5013" spans="1:9" x14ac:dyDescent="0.25">
      <c r="A5013" s="6">
        <v>43555</v>
      </c>
      <c r="B5013" t="s">
        <v>15</v>
      </c>
      <c r="C5013">
        <v>60273</v>
      </c>
      <c r="D5013" t="s">
        <v>14</v>
      </c>
      <c r="E5013" s="9">
        <v>1157.8599999999999</v>
      </c>
      <c r="F5013" t="s">
        <v>15</v>
      </c>
      <c r="G5013" t="s">
        <v>15</v>
      </c>
      <c r="H5013" t="s">
        <v>15</v>
      </c>
      <c r="I5013" t="s">
        <v>15</v>
      </c>
    </row>
    <row r="5014" spans="1:9" x14ac:dyDescent="0.25">
      <c r="A5014" s="6">
        <v>43555</v>
      </c>
      <c r="B5014" t="s">
        <v>15</v>
      </c>
      <c r="C5014">
        <v>60274</v>
      </c>
      <c r="D5014" t="s">
        <v>14</v>
      </c>
      <c r="E5014" s="9">
        <v>1487.4</v>
      </c>
      <c r="F5014" t="s">
        <v>15</v>
      </c>
      <c r="G5014" t="s">
        <v>15</v>
      </c>
      <c r="H5014" t="s">
        <v>15</v>
      </c>
      <c r="I5014" t="s">
        <v>15</v>
      </c>
    </row>
    <row r="5015" spans="1:9" x14ac:dyDescent="0.25">
      <c r="A5015" s="6">
        <v>43555</v>
      </c>
      <c r="B5015" t="s">
        <v>15</v>
      </c>
      <c r="C5015">
        <v>60275</v>
      </c>
      <c r="D5015" t="s">
        <v>14</v>
      </c>
      <c r="E5015" s="9">
        <v>1143.76</v>
      </c>
      <c r="F5015" t="s">
        <v>15</v>
      </c>
      <c r="G5015" t="s">
        <v>15</v>
      </c>
      <c r="H5015" t="s">
        <v>15</v>
      </c>
      <c r="I5015" t="s">
        <v>15</v>
      </c>
    </row>
    <row r="5016" spans="1:9" x14ac:dyDescent="0.25">
      <c r="A5016" s="6">
        <v>43555</v>
      </c>
      <c r="B5016" t="s">
        <v>15</v>
      </c>
      <c r="C5016">
        <v>60276</v>
      </c>
      <c r="D5016" t="s">
        <v>14</v>
      </c>
      <c r="E5016">
        <v>463.98</v>
      </c>
      <c r="F5016" t="s">
        <v>15</v>
      </c>
      <c r="G5016" t="s">
        <v>15</v>
      </c>
      <c r="H5016" t="s">
        <v>15</v>
      </c>
      <c r="I5016" t="s">
        <v>15</v>
      </c>
    </row>
    <row r="5017" spans="1:9" x14ac:dyDescent="0.25">
      <c r="A5017" s="6">
        <v>43555</v>
      </c>
      <c r="B5017" t="s">
        <v>15</v>
      </c>
      <c r="C5017">
        <v>60277</v>
      </c>
      <c r="D5017" t="s">
        <v>14</v>
      </c>
      <c r="E5017">
        <v>722.08</v>
      </c>
      <c r="F5017" t="s">
        <v>15</v>
      </c>
      <c r="G5017" t="s">
        <v>15</v>
      </c>
      <c r="H5017" t="s">
        <v>15</v>
      </c>
      <c r="I5017" t="s">
        <v>15</v>
      </c>
    </row>
    <row r="5018" spans="1:9" x14ac:dyDescent="0.25">
      <c r="A5018" s="6">
        <v>43555</v>
      </c>
      <c r="B5018" t="s">
        <v>15</v>
      </c>
      <c r="C5018">
        <v>60380</v>
      </c>
      <c r="D5018" t="s">
        <v>14</v>
      </c>
      <c r="E5018" s="9">
        <v>1413.45</v>
      </c>
      <c r="F5018" t="s">
        <v>15</v>
      </c>
      <c r="G5018" t="s">
        <v>15</v>
      </c>
      <c r="H5018" t="s">
        <v>15</v>
      </c>
      <c r="I5018" t="s">
        <v>15</v>
      </c>
    </row>
    <row r="5019" spans="1:9" x14ac:dyDescent="0.25">
      <c r="A5019" s="6">
        <v>43555</v>
      </c>
      <c r="B5019" t="s">
        <v>15</v>
      </c>
      <c r="C5019">
        <v>60381</v>
      </c>
      <c r="D5019" t="s">
        <v>14</v>
      </c>
      <c r="E5019" s="9">
        <v>1330.54</v>
      </c>
      <c r="F5019" t="s">
        <v>15</v>
      </c>
      <c r="G5019" t="s">
        <v>15</v>
      </c>
      <c r="H5019" t="s">
        <v>15</v>
      </c>
      <c r="I5019" t="s">
        <v>15</v>
      </c>
    </row>
    <row r="5020" spans="1:9" x14ac:dyDescent="0.25">
      <c r="A5020" s="6">
        <v>43555</v>
      </c>
      <c r="B5020" t="s">
        <v>15</v>
      </c>
      <c r="C5020">
        <v>60382</v>
      </c>
      <c r="D5020" t="s">
        <v>14</v>
      </c>
      <c r="E5020" s="9">
        <v>2165.8200000000002</v>
      </c>
      <c r="F5020" t="s">
        <v>15</v>
      </c>
      <c r="G5020" t="s">
        <v>15</v>
      </c>
      <c r="H5020" t="s">
        <v>15</v>
      </c>
      <c r="I5020" t="s">
        <v>15</v>
      </c>
    </row>
    <row r="5021" spans="1:9" x14ac:dyDescent="0.25">
      <c r="A5021" s="6">
        <v>43555</v>
      </c>
      <c r="B5021" t="s">
        <v>15</v>
      </c>
      <c r="C5021">
        <v>60383</v>
      </c>
      <c r="D5021" t="s">
        <v>14</v>
      </c>
      <c r="E5021" s="9">
        <v>1382.81</v>
      </c>
      <c r="F5021" t="s">
        <v>15</v>
      </c>
      <c r="G5021" t="s">
        <v>15</v>
      </c>
      <c r="H5021" t="s">
        <v>15</v>
      </c>
      <c r="I5021" t="s">
        <v>15</v>
      </c>
    </row>
    <row r="5022" spans="1:9" x14ac:dyDescent="0.25">
      <c r="A5022" s="6">
        <v>43555</v>
      </c>
      <c r="B5022" t="s">
        <v>15</v>
      </c>
      <c r="C5022">
        <v>60384</v>
      </c>
      <c r="D5022" t="s">
        <v>14</v>
      </c>
      <c r="E5022" s="9">
        <v>1720.76</v>
      </c>
      <c r="F5022" t="s">
        <v>15</v>
      </c>
      <c r="G5022" t="s">
        <v>15</v>
      </c>
      <c r="H5022" t="s">
        <v>15</v>
      </c>
      <c r="I5022" t="s">
        <v>15</v>
      </c>
    </row>
    <row r="5023" spans="1:9" x14ac:dyDescent="0.25">
      <c r="A5023" s="6">
        <v>43555</v>
      </c>
      <c r="B5023" t="s">
        <v>15</v>
      </c>
      <c r="C5023">
        <v>60385</v>
      </c>
      <c r="D5023" t="s">
        <v>14</v>
      </c>
      <c r="E5023" s="9">
        <v>1161.6300000000001</v>
      </c>
      <c r="F5023" t="s">
        <v>15</v>
      </c>
      <c r="G5023" t="s">
        <v>15</v>
      </c>
      <c r="H5023" t="s">
        <v>15</v>
      </c>
      <c r="I5023" t="s">
        <v>15</v>
      </c>
    </row>
    <row r="5024" spans="1:9" x14ac:dyDescent="0.25">
      <c r="A5024" s="6">
        <v>43555</v>
      </c>
      <c r="B5024" t="s">
        <v>15</v>
      </c>
      <c r="C5024">
        <v>60386</v>
      </c>
      <c r="D5024" t="s">
        <v>14</v>
      </c>
      <c r="E5024">
        <v>463.98</v>
      </c>
      <c r="F5024" t="s">
        <v>15</v>
      </c>
      <c r="G5024" t="s">
        <v>15</v>
      </c>
      <c r="H5024" t="s">
        <v>15</v>
      </c>
      <c r="I5024" t="s">
        <v>15</v>
      </c>
    </row>
    <row r="5025" spans="1:9" x14ac:dyDescent="0.25">
      <c r="A5025" s="6">
        <v>43555</v>
      </c>
      <c r="B5025" t="s">
        <v>15</v>
      </c>
      <c r="C5025">
        <v>60387</v>
      </c>
      <c r="D5025" t="s">
        <v>14</v>
      </c>
      <c r="E5025">
        <v>722.08</v>
      </c>
      <c r="F5025" t="s">
        <v>15</v>
      </c>
      <c r="G5025" t="s">
        <v>15</v>
      </c>
      <c r="H5025" t="s">
        <v>15</v>
      </c>
      <c r="I5025" t="s">
        <v>15</v>
      </c>
    </row>
    <row r="5026" spans="1:9" x14ac:dyDescent="0.25">
      <c r="A5026" s="6">
        <v>43555</v>
      </c>
      <c r="B5026" t="s">
        <v>15</v>
      </c>
      <c r="C5026">
        <v>60388</v>
      </c>
      <c r="D5026" t="s">
        <v>14</v>
      </c>
      <c r="E5026" s="9">
        <v>1042.57</v>
      </c>
      <c r="F5026" t="s">
        <v>15</v>
      </c>
      <c r="G5026" t="s">
        <v>15</v>
      </c>
      <c r="H5026" t="s">
        <v>15</v>
      </c>
      <c r="I5026" t="s">
        <v>15</v>
      </c>
    </row>
    <row r="5027" spans="1:9" x14ac:dyDescent="0.25">
      <c r="A5027" s="6">
        <v>43585</v>
      </c>
      <c r="B5027" t="s">
        <v>15</v>
      </c>
      <c r="C5027">
        <v>60475</v>
      </c>
      <c r="D5027" t="s">
        <v>14</v>
      </c>
      <c r="E5027" s="9">
        <v>1470.62</v>
      </c>
      <c r="F5027" t="s">
        <v>15</v>
      </c>
      <c r="G5027" t="s">
        <v>15</v>
      </c>
      <c r="H5027" t="s">
        <v>15</v>
      </c>
      <c r="I5027" t="s">
        <v>15</v>
      </c>
    </row>
    <row r="5028" spans="1:9" x14ac:dyDescent="0.25">
      <c r="A5028" s="6">
        <v>43555</v>
      </c>
      <c r="B5028" t="s">
        <v>15</v>
      </c>
      <c r="C5028">
        <v>60476</v>
      </c>
      <c r="D5028" t="s">
        <v>14</v>
      </c>
      <c r="E5028" s="9">
        <v>1607.8</v>
      </c>
      <c r="F5028" t="s">
        <v>15</v>
      </c>
      <c r="G5028" t="s">
        <v>15</v>
      </c>
      <c r="H5028" t="s">
        <v>15</v>
      </c>
      <c r="I5028" t="s">
        <v>15</v>
      </c>
    </row>
    <row r="5029" spans="1:9" x14ac:dyDescent="0.25">
      <c r="A5029" s="6">
        <v>43555</v>
      </c>
      <c r="B5029" t="s">
        <v>15</v>
      </c>
      <c r="C5029">
        <v>60477</v>
      </c>
      <c r="D5029" t="s">
        <v>14</v>
      </c>
      <c r="E5029" s="9">
        <v>1681.98</v>
      </c>
      <c r="F5029" t="s">
        <v>15</v>
      </c>
      <c r="G5029" t="s">
        <v>15</v>
      </c>
      <c r="H5029" t="s">
        <v>15</v>
      </c>
      <c r="I5029" t="s">
        <v>15</v>
      </c>
    </row>
    <row r="5030" spans="1:9" x14ac:dyDescent="0.25">
      <c r="A5030" s="6">
        <v>43555</v>
      </c>
      <c r="B5030" t="s">
        <v>15</v>
      </c>
      <c r="C5030">
        <v>60478</v>
      </c>
      <c r="D5030" t="s">
        <v>14</v>
      </c>
      <c r="E5030" s="9">
        <v>1609.19</v>
      </c>
      <c r="F5030" t="s">
        <v>15</v>
      </c>
      <c r="G5030" t="s">
        <v>15</v>
      </c>
      <c r="H5030" t="s">
        <v>15</v>
      </c>
      <c r="I5030" t="s">
        <v>15</v>
      </c>
    </row>
    <row r="5031" spans="1:9" x14ac:dyDescent="0.25">
      <c r="A5031" s="6">
        <v>43555</v>
      </c>
      <c r="B5031" t="s">
        <v>15</v>
      </c>
      <c r="C5031">
        <v>60479</v>
      </c>
      <c r="D5031" t="s">
        <v>14</v>
      </c>
      <c r="E5031" s="9">
        <v>1059.3800000000001</v>
      </c>
      <c r="F5031" t="s">
        <v>15</v>
      </c>
      <c r="G5031" t="s">
        <v>15</v>
      </c>
      <c r="H5031" t="s">
        <v>15</v>
      </c>
      <c r="I5031" t="s">
        <v>15</v>
      </c>
    </row>
    <row r="5032" spans="1:9" x14ac:dyDescent="0.25">
      <c r="A5032" s="6">
        <v>43555</v>
      </c>
      <c r="B5032" t="s">
        <v>15</v>
      </c>
      <c r="C5032">
        <v>60480</v>
      </c>
      <c r="D5032" t="s">
        <v>14</v>
      </c>
      <c r="E5032" s="9">
        <v>1307.55</v>
      </c>
      <c r="F5032" t="s">
        <v>15</v>
      </c>
      <c r="G5032" t="s">
        <v>15</v>
      </c>
      <c r="H5032" t="s">
        <v>15</v>
      </c>
      <c r="I5032" t="s">
        <v>15</v>
      </c>
    </row>
    <row r="5033" spans="1:9" x14ac:dyDescent="0.25">
      <c r="A5033" s="6">
        <v>43555</v>
      </c>
      <c r="B5033" t="s">
        <v>15</v>
      </c>
      <c r="C5033">
        <v>60481</v>
      </c>
      <c r="D5033" t="s">
        <v>14</v>
      </c>
      <c r="E5033">
        <v>463.98</v>
      </c>
      <c r="F5033" t="s">
        <v>15</v>
      </c>
      <c r="G5033" t="s">
        <v>15</v>
      </c>
      <c r="H5033" t="s">
        <v>15</v>
      </c>
      <c r="I5033" t="s">
        <v>15</v>
      </c>
    </row>
    <row r="5034" spans="1:9" x14ac:dyDescent="0.25">
      <c r="A5034" s="6">
        <v>43585</v>
      </c>
      <c r="B5034" t="s">
        <v>15</v>
      </c>
      <c r="C5034">
        <v>60482</v>
      </c>
      <c r="D5034" t="s">
        <v>14</v>
      </c>
      <c r="E5034">
        <v>722.08</v>
      </c>
      <c r="F5034" t="s">
        <v>15</v>
      </c>
      <c r="G5034" t="s">
        <v>15</v>
      </c>
      <c r="H5034" t="s">
        <v>15</v>
      </c>
      <c r="I5034" t="s">
        <v>15</v>
      </c>
    </row>
    <row r="5035" spans="1:9" x14ac:dyDescent="0.25">
      <c r="A5035" s="6">
        <v>43585</v>
      </c>
      <c r="B5035" t="s">
        <v>15</v>
      </c>
      <c r="C5035">
        <v>60602</v>
      </c>
      <c r="D5035" t="s">
        <v>14</v>
      </c>
      <c r="E5035" s="9">
        <v>1589.15</v>
      </c>
      <c r="F5035" t="s">
        <v>15</v>
      </c>
      <c r="G5035" t="s">
        <v>15</v>
      </c>
      <c r="H5035" t="s">
        <v>15</v>
      </c>
      <c r="I5035" t="s">
        <v>15</v>
      </c>
    </row>
    <row r="5036" spans="1:9" x14ac:dyDescent="0.25">
      <c r="A5036" s="6">
        <v>43585</v>
      </c>
      <c r="B5036" t="s">
        <v>15</v>
      </c>
      <c r="C5036">
        <v>60603</v>
      </c>
      <c r="D5036" t="s">
        <v>14</v>
      </c>
      <c r="E5036" s="9">
        <v>1730.57</v>
      </c>
      <c r="F5036" t="s">
        <v>15</v>
      </c>
      <c r="G5036" t="s">
        <v>15</v>
      </c>
      <c r="H5036" t="s">
        <v>15</v>
      </c>
      <c r="I5036" t="s">
        <v>15</v>
      </c>
    </row>
    <row r="5037" spans="1:9" x14ac:dyDescent="0.25">
      <c r="A5037" s="6">
        <v>43585</v>
      </c>
      <c r="B5037" t="s">
        <v>15</v>
      </c>
      <c r="C5037">
        <v>60604</v>
      </c>
      <c r="D5037" t="s">
        <v>14</v>
      </c>
      <c r="E5037" s="9">
        <v>1705.6</v>
      </c>
      <c r="F5037" t="s">
        <v>15</v>
      </c>
      <c r="G5037" t="s">
        <v>15</v>
      </c>
      <c r="H5037" t="s">
        <v>15</v>
      </c>
      <c r="I5037" t="s">
        <v>15</v>
      </c>
    </row>
    <row r="5038" spans="1:9" x14ac:dyDescent="0.25">
      <c r="A5038" s="6">
        <v>43585</v>
      </c>
      <c r="B5038" t="s">
        <v>15</v>
      </c>
      <c r="C5038">
        <v>60605</v>
      </c>
      <c r="D5038" t="s">
        <v>14</v>
      </c>
      <c r="E5038" s="9">
        <v>1500.59</v>
      </c>
      <c r="F5038" t="s">
        <v>15</v>
      </c>
      <c r="G5038" t="s">
        <v>15</v>
      </c>
      <c r="H5038" t="s">
        <v>15</v>
      </c>
      <c r="I5038" t="s">
        <v>15</v>
      </c>
    </row>
    <row r="5039" spans="1:9" x14ac:dyDescent="0.25">
      <c r="A5039" s="6">
        <v>43585</v>
      </c>
      <c r="B5039" t="s">
        <v>15</v>
      </c>
      <c r="C5039">
        <v>60606</v>
      </c>
      <c r="D5039" t="s">
        <v>14</v>
      </c>
      <c r="E5039" s="9">
        <v>1070.4100000000001</v>
      </c>
      <c r="F5039" t="s">
        <v>15</v>
      </c>
      <c r="G5039" t="s">
        <v>15</v>
      </c>
      <c r="H5039" t="s">
        <v>15</v>
      </c>
      <c r="I5039" t="s">
        <v>15</v>
      </c>
    </row>
    <row r="5040" spans="1:9" x14ac:dyDescent="0.25">
      <c r="A5040" s="6">
        <v>43585</v>
      </c>
      <c r="B5040" t="s">
        <v>15</v>
      </c>
      <c r="C5040">
        <v>60607</v>
      </c>
      <c r="D5040" t="s">
        <v>14</v>
      </c>
      <c r="E5040" s="9">
        <v>1146.97</v>
      </c>
      <c r="F5040" t="s">
        <v>15</v>
      </c>
      <c r="G5040" t="s">
        <v>15</v>
      </c>
      <c r="H5040" t="s">
        <v>15</v>
      </c>
      <c r="I5040" t="s">
        <v>15</v>
      </c>
    </row>
    <row r="5041" spans="1:9" x14ac:dyDescent="0.25">
      <c r="A5041" s="6">
        <v>43585</v>
      </c>
      <c r="B5041" t="s">
        <v>15</v>
      </c>
      <c r="C5041">
        <v>60608</v>
      </c>
      <c r="D5041" t="s">
        <v>14</v>
      </c>
      <c r="E5041">
        <v>463.98</v>
      </c>
      <c r="F5041" t="s">
        <v>15</v>
      </c>
      <c r="G5041" t="s">
        <v>15</v>
      </c>
      <c r="H5041" t="s">
        <v>15</v>
      </c>
      <c r="I5041" t="s">
        <v>15</v>
      </c>
    </row>
    <row r="5042" spans="1:9" x14ac:dyDescent="0.25">
      <c r="A5042" s="6">
        <v>43585</v>
      </c>
      <c r="B5042" t="s">
        <v>15</v>
      </c>
      <c r="C5042">
        <v>60609</v>
      </c>
      <c r="D5042" t="s">
        <v>14</v>
      </c>
      <c r="E5042">
        <v>724.75</v>
      </c>
      <c r="F5042" t="s">
        <v>15</v>
      </c>
      <c r="G5042" t="s">
        <v>15</v>
      </c>
      <c r="H5042" t="s">
        <v>15</v>
      </c>
      <c r="I5042" t="s">
        <v>15</v>
      </c>
    </row>
    <row r="5043" spans="1:9" x14ac:dyDescent="0.25">
      <c r="A5043" s="6">
        <v>43585</v>
      </c>
      <c r="B5043" t="s">
        <v>15</v>
      </c>
      <c r="C5043">
        <v>60610</v>
      </c>
      <c r="D5043" t="s">
        <v>14</v>
      </c>
      <c r="E5043">
        <v>61.53</v>
      </c>
      <c r="F5043" t="s">
        <v>15</v>
      </c>
      <c r="G5043" t="s">
        <v>15</v>
      </c>
      <c r="H5043" t="s">
        <v>15</v>
      </c>
      <c r="I5043" t="s">
        <v>15</v>
      </c>
    </row>
    <row r="5044" spans="1:9" x14ac:dyDescent="0.25">
      <c r="A5044" s="6">
        <v>43585</v>
      </c>
      <c r="B5044" t="s">
        <v>15</v>
      </c>
      <c r="C5044">
        <v>60617</v>
      </c>
      <c r="D5044" t="s">
        <v>14</v>
      </c>
      <c r="E5044" s="9">
        <v>12982.1</v>
      </c>
      <c r="F5044" t="s">
        <v>15</v>
      </c>
      <c r="G5044" t="s">
        <v>15</v>
      </c>
      <c r="H5044" t="s">
        <v>15</v>
      </c>
      <c r="I5044" t="s">
        <v>15</v>
      </c>
    </row>
    <row r="5045" spans="1:9" x14ac:dyDescent="0.25">
      <c r="A5045" s="6">
        <v>43585</v>
      </c>
      <c r="B5045" t="s">
        <v>15</v>
      </c>
      <c r="C5045">
        <v>60715</v>
      </c>
      <c r="D5045" t="s">
        <v>14</v>
      </c>
      <c r="E5045" s="9">
        <v>1297.55</v>
      </c>
      <c r="F5045" t="s">
        <v>15</v>
      </c>
      <c r="G5045" t="s">
        <v>15</v>
      </c>
      <c r="H5045" t="s">
        <v>15</v>
      </c>
      <c r="I5045" t="s">
        <v>15</v>
      </c>
    </row>
    <row r="5046" spans="1:9" x14ac:dyDescent="0.25">
      <c r="A5046" s="6">
        <v>43585</v>
      </c>
      <c r="B5046" t="s">
        <v>15</v>
      </c>
      <c r="C5046">
        <v>60716</v>
      </c>
      <c r="D5046" t="s">
        <v>14</v>
      </c>
      <c r="E5046" s="9">
        <v>1771.62</v>
      </c>
      <c r="F5046" t="s">
        <v>15</v>
      </c>
      <c r="G5046" t="s">
        <v>15</v>
      </c>
      <c r="H5046" t="s">
        <v>15</v>
      </c>
      <c r="I5046" t="s">
        <v>15</v>
      </c>
    </row>
    <row r="5047" spans="1:9" x14ac:dyDescent="0.25">
      <c r="A5047" s="6">
        <v>43585</v>
      </c>
      <c r="B5047" t="s">
        <v>15</v>
      </c>
      <c r="C5047">
        <v>60717</v>
      </c>
      <c r="D5047" t="s">
        <v>14</v>
      </c>
      <c r="E5047" s="9">
        <v>1573.94</v>
      </c>
      <c r="F5047" t="s">
        <v>15</v>
      </c>
      <c r="G5047" t="s">
        <v>15</v>
      </c>
      <c r="H5047" t="s">
        <v>15</v>
      </c>
      <c r="I5047" t="s">
        <v>15</v>
      </c>
    </row>
    <row r="5048" spans="1:9" x14ac:dyDescent="0.25">
      <c r="A5048" s="6">
        <v>43585</v>
      </c>
      <c r="B5048" t="s">
        <v>15</v>
      </c>
      <c r="C5048">
        <v>60718</v>
      </c>
      <c r="D5048" t="s">
        <v>14</v>
      </c>
      <c r="E5048" s="9">
        <v>1061.75</v>
      </c>
      <c r="F5048" t="s">
        <v>15</v>
      </c>
      <c r="G5048" t="s">
        <v>15</v>
      </c>
      <c r="H5048" t="s">
        <v>15</v>
      </c>
      <c r="I5048" t="s">
        <v>15</v>
      </c>
    </row>
    <row r="5049" spans="1:9" x14ac:dyDescent="0.25">
      <c r="A5049" s="6">
        <v>43585</v>
      </c>
      <c r="B5049" t="s">
        <v>15</v>
      </c>
      <c r="C5049">
        <v>60719</v>
      </c>
      <c r="D5049" t="s">
        <v>14</v>
      </c>
      <c r="E5049" s="9">
        <v>1086.5899999999999</v>
      </c>
      <c r="F5049" t="s">
        <v>15</v>
      </c>
      <c r="G5049" t="s">
        <v>15</v>
      </c>
      <c r="H5049" t="s">
        <v>15</v>
      </c>
      <c r="I5049" t="s">
        <v>15</v>
      </c>
    </row>
    <row r="5050" spans="1:9" x14ac:dyDescent="0.25">
      <c r="A5050" s="6">
        <v>43585</v>
      </c>
      <c r="B5050" t="s">
        <v>15</v>
      </c>
      <c r="C5050">
        <v>60720</v>
      </c>
      <c r="D5050" t="s">
        <v>14</v>
      </c>
      <c r="E5050">
        <v>463.98</v>
      </c>
      <c r="F5050" t="s">
        <v>15</v>
      </c>
      <c r="G5050" t="s">
        <v>15</v>
      </c>
      <c r="H5050" t="s">
        <v>15</v>
      </c>
      <c r="I5050" t="s">
        <v>15</v>
      </c>
    </row>
    <row r="5051" spans="1:9" x14ac:dyDescent="0.25">
      <c r="A5051" s="6">
        <v>43616</v>
      </c>
      <c r="B5051" t="s">
        <v>15</v>
      </c>
      <c r="C5051">
        <v>60721</v>
      </c>
      <c r="D5051" t="s">
        <v>14</v>
      </c>
      <c r="E5051">
        <v>722.08</v>
      </c>
      <c r="F5051" t="s">
        <v>15</v>
      </c>
      <c r="G5051" t="s">
        <v>15</v>
      </c>
      <c r="H5051" t="s">
        <v>15</v>
      </c>
      <c r="I5051" t="s">
        <v>15</v>
      </c>
    </row>
    <row r="5052" spans="1:9" x14ac:dyDescent="0.25">
      <c r="A5052" s="6">
        <v>43616</v>
      </c>
      <c r="B5052" t="s">
        <v>15</v>
      </c>
      <c r="C5052">
        <v>60722</v>
      </c>
      <c r="D5052" t="s">
        <v>14</v>
      </c>
      <c r="E5052">
        <v>37.869999999999997</v>
      </c>
      <c r="F5052" t="s">
        <v>15</v>
      </c>
      <c r="G5052" t="s">
        <v>15</v>
      </c>
      <c r="H5052" t="s">
        <v>15</v>
      </c>
      <c r="I5052" t="s">
        <v>15</v>
      </c>
    </row>
    <row r="5053" spans="1:9" x14ac:dyDescent="0.25">
      <c r="A5053" s="6">
        <v>43708</v>
      </c>
      <c r="B5053" t="s">
        <v>15</v>
      </c>
      <c r="C5053">
        <v>60723</v>
      </c>
      <c r="D5053" t="s">
        <v>14</v>
      </c>
      <c r="E5053">
        <v>44.96</v>
      </c>
      <c r="F5053" t="s">
        <v>15</v>
      </c>
      <c r="G5053" t="s">
        <v>15</v>
      </c>
      <c r="H5053" t="s">
        <v>15</v>
      </c>
      <c r="I5053" t="s">
        <v>15</v>
      </c>
    </row>
    <row r="5054" spans="1:9" x14ac:dyDescent="0.25">
      <c r="A5054" s="6">
        <v>43616</v>
      </c>
      <c r="B5054" t="s">
        <v>15</v>
      </c>
      <c r="C5054">
        <v>60724</v>
      </c>
      <c r="D5054" t="s">
        <v>14</v>
      </c>
      <c r="E5054">
        <v>44.96</v>
      </c>
      <c r="F5054" t="s">
        <v>15</v>
      </c>
      <c r="G5054" t="s">
        <v>15</v>
      </c>
      <c r="H5054" t="s">
        <v>15</v>
      </c>
      <c r="I5054" t="s">
        <v>15</v>
      </c>
    </row>
    <row r="5055" spans="1:9" x14ac:dyDescent="0.25">
      <c r="A5055" s="6">
        <v>43585</v>
      </c>
      <c r="B5055" t="s">
        <v>15</v>
      </c>
      <c r="C5055">
        <v>60730</v>
      </c>
      <c r="D5055" t="s">
        <v>14</v>
      </c>
      <c r="E5055">
        <v>0</v>
      </c>
      <c r="F5055" t="s">
        <v>15</v>
      </c>
      <c r="G5055" t="s">
        <v>15</v>
      </c>
      <c r="H5055" t="s">
        <v>15</v>
      </c>
      <c r="I5055" t="s">
        <v>15</v>
      </c>
    </row>
    <row r="5056" spans="1:9" x14ac:dyDescent="0.25">
      <c r="A5056" s="6">
        <v>43585</v>
      </c>
      <c r="B5056" t="s">
        <v>15</v>
      </c>
      <c r="C5056">
        <v>60731</v>
      </c>
      <c r="D5056" t="s">
        <v>14</v>
      </c>
      <c r="E5056">
        <v>0</v>
      </c>
      <c r="F5056" t="s">
        <v>15</v>
      </c>
      <c r="G5056" t="s">
        <v>15</v>
      </c>
      <c r="H5056" t="s">
        <v>15</v>
      </c>
      <c r="I5056" t="s">
        <v>15</v>
      </c>
    </row>
    <row r="5057" spans="1:9" x14ac:dyDescent="0.25">
      <c r="A5057" s="6">
        <v>43616</v>
      </c>
      <c r="B5057" t="s">
        <v>15</v>
      </c>
      <c r="C5057">
        <v>60732</v>
      </c>
      <c r="D5057" t="s">
        <v>14</v>
      </c>
      <c r="E5057">
        <v>410.18</v>
      </c>
      <c r="F5057" t="s">
        <v>15</v>
      </c>
      <c r="G5057" t="s">
        <v>15</v>
      </c>
      <c r="H5057" t="s">
        <v>15</v>
      </c>
      <c r="I5057" t="s">
        <v>15</v>
      </c>
    </row>
    <row r="5058" spans="1:9" x14ac:dyDescent="0.25">
      <c r="A5058" s="6">
        <v>43585</v>
      </c>
      <c r="B5058" t="s">
        <v>15</v>
      </c>
      <c r="C5058">
        <v>60733</v>
      </c>
      <c r="D5058" t="s">
        <v>14</v>
      </c>
      <c r="E5058" s="9">
        <v>6049.46</v>
      </c>
      <c r="F5058" t="s">
        <v>15</v>
      </c>
      <c r="G5058" t="s">
        <v>15</v>
      </c>
      <c r="H5058" t="s">
        <v>15</v>
      </c>
      <c r="I5058" t="s">
        <v>15</v>
      </c>
    </row>
    <row r="5059" spans="1:9" x14ac:dyDescent="0.25">
      <c r="A5059" s="6">
        <v>43616</v>
      </c>
      <c r="B5059" t="s">
        <v>15</v>
      </c>
      <c r="C5059">
        <v>60734</v>
      </c>
      <c r="D5059" t="s">
        <v>14</v>
      </c>
      <c r="E5059" s="9">
        <v>5903.1</v>
      </c>
      <c r="F5059" t="s">
        <v>15</v>
      </c>
      <c r="G5059" t="s">
        <v>15</v>
      </c>
      <c r="H5059" t="s">
        <v>15</v>
      </c>
      <c r="I5059" t="s">
        <v>15</v>
      </c>
    </row>
    <row r="5060" spans="1:9" x14ac:dyDescent="0.25">
      <c r="A5060" s="6">
        <v>43585</v>
      </c>
      <c r="B5060" t="s">
        <v>15</v>
      </c>
      <c r="C5060">
        <v>60750</v>
      </c>
      <c r="D5060" t="s">
        <v>14</v>
      </c>
      <c r="E5060" s="9">
        <v>1367.2</v>
      </c>
      <c r="F5060" t="s">
        <v>15</v>
      </c>
      <c r="G5060" t="s">
        <v>15</v>
      </c>
      <c r="H5060" t="s">
        <v>15</v>
      </c>
      <c r="I5060" t="s">
        <v>15</v>
      </c>
    </row>
    <row r="5061" spans="1:9" x14ac:dyDescent="0.25">
      <c r="A5061" s="6">
        <v>43616</v>
      </c>
      <c r="B5061" t="s">
        <v>15</v>
      </c>
      <c r="C5061">
        <v>60824</v>
      </c>
      <c r="D5061" t="s">
        <v>14</v>
      </c>
      <c r="E5061" s="9">
        <v>1227.6300000000001</v>
      </c>
      <c r="F5061" t="s">
        <v>15</v>
      </c>
      <c r="G5061" t="s">
        <v>15</v>
      </c>
      <c r="H5061" t="s">
        <v>15</v>
      </c>
      <c r="I5061" t="s">
        <v>15</v>
      </c>
    </row>
    <row r="5062" spans="1:9" x14ac:dyDescent="0.25">
      <c r="A5062" s="6">
        <v>43616</v>
      </c>
      <c r="B5062" t="s">
        <v>15</v>
      </c>
      <c r="C5062">
        <v>60825</v>
      </c>
      <c r="D5062" t="s">
        <v>14</v>
      </c>
      <c r="E5062" s="9">
        <v>1710.9</v>
      </c>
      <c r="F5062" t="s">
        <v>15</v>
      </c>
      <c r="G5062" t="s">
        <v>15</v>
      </c>
      <c r="H5062" t="s">
        <v>15</v>
      </c>
      <c r="I5062" t="s">
        <v>15</v>
      </c>
    </row>
    <row r="5063" spans="1:9" x14ac:dyDescent="0.25">
      <c r="A5063" s="6">
        <v>43616</v>
      </c>
      <c r="B5063" t="s">
        <v>15</v>
      </c>
      <c r="C5063">
        <v>60826</v>
      </c>
      <c r="D5063" t="s">
        <v>14</v>
      </c>
      <c r="E5063" s="9">
        <v>1475.55</v>
      </c>
      <c r="F5063" t="s">
        <v>15</v>
      </c>
      <c r="G5063" t="s">
        <v>15</v>
      </c>
      <c r="H5063" t="s">
        <v>15</v>
      </c>
      <c r="I5063" t="s">
        <v>15</v>
      </c>
    </row>
    <row r="5064" spans="1:9" x14ac:dyDescent="0.25">
      <c r="A5064" s="6">
        <v>43616</v>
      </c>
      <c r="B5064" t="s">
        <v>15</v>
      </c>
      <c r="C5064">
        <v>60827</v>
      </c>
      <c r="D5064" t="s">
        <v>14</v>
      </c>
      <c r="E5064" s="9">
        <v>1007.36</v>
      </c>
      <c r="F5064" t="s">
        <v>15</v>
      </c>
      <c r="G5064" t="s">
        <v>15</v>
      </c>
      <c r="H5064" t="s">
        <v>15</v>
      </c>
      <c r="I5064" t="s">
        <v>15</v>
      </c>
    </row>
    <row r="5065" spans="1:9" x14ac:dyDescent="0.25">
      <c r="A5065" s="6">
        <v>43616</v>
      </c>
      <c r="B5065" t="s">
        <v>15</v>
      </c>
      <c r="C5065">
        <v>60828</v>
      </c>
      <c r="D5065" t="s">
        <v>14</v>
      </c>
      <c r="E5065">
        <v>292.02</v>
      </c>
      <c r="F5065" t="s">
        <v>15</v>
      </c>
      <c r="G5065" t="s">
        <v>15</v>
      </c>
      <c r="H5065" t="s">
        <v>15</v>
      </c>
      <c r="I5065" t="s">
        <v>15</v>
      </c>
    </row>
    <row r="5066" spans="1:9" x14ac:dyDescent="0.25">
      <c r="A5066" s="6">
        <v>43616</v>
      </c>
      <c r="B5066" t="s">
        <v>15</v>
      </c>
      <c r="C5066">
        <v>60829</v>
      </c>
      <c r="D5066" t="s">
        <v>14</v>
      </c>
      <c r="E5066" s="9">
        <v>1169.49</v>
      </c>
      <c r="F5066" t="s">
        <v>15</v>
      </c>
      <c r="G5066" t="s">
        <v>15</v>
      </c>
      <c r="H5066" t="s">
        <v>15</v>
      </c>
      <c r="I5066" t="s">
        <v>15</v>
      </c>
    </row>
    <row r="5067" spans="1:9" x14ac:dyDescent="0.25">
      <c r="A5067" s="6">
        <v>43616</v>
      </c>
      <c r="B5067" t="s">
        <v>15</v>
      </c>
      <c r="C5067">
        <v>60830</v>
      </c>
      <c r="D5067" t="s">
        <v>14</v>
      </c>
      <c r="E5067">
        <v>234.71</v>
      </c>
      <c r="F5067" t="s">
        <v>15</v>
      </c>
      <c r="G5067" t="s">
        <v>15</v>
      </c>
      <c r="H5067" t="s">
        <v>15</v>
      </c>
      <c r="I5067" t="s">
        <v>15</v>
      </c>
    </row>
    <row r="5068" spans="1:9" x14ac:dyDescent="0.25">
      <c r="A5068" s="6">
        <v>43616</v>
      </c>
      <c r="B5068" t="s">
        <v>15</v>
      </c>
      <c r="C5068">
        <v>60831</v>
      </c>
      <c r="D5068" t="s">
        <v>14</v>
      </c>
      <c r="E5068">
        <v>722.08</v>
      </c>
      <c r="F5068" t="s">
        <v>15</v>
      </c>
      <c r="G5068" t="s">
        <v>15</v>
      </c>
      <c r="H5068" t="s">
        <v>15</v>
      </c>
      <c r="I5068" t="s">
        <v>15</v>
      </c>
    </row>
    <row r="5069" spans="1:9" x14ac:dyDescent="0.25">
      <c r="A5069" s="6">
        <v>43616</v>
      </c>
      <c r="B5069" t="s">
        <v>15</v>
      </c>
      <c r="C5069">
        <v>60837</v>
      </c>
      <c r="D5069" t="s">
        <v>14</v>
      </c>
      <c r="E5069">
        <v>316.92</v>
      </c>
      <c r="F5069" t="s">
        <v>15</v>
      </c>
      <c r="G5069" t="s">
        <v>15</v>
      </c>
      <c r="H5069" t="s">
        <v>15</v>
      </c>
      <c r="I5069" t="s">
        <v>15</v>
      </c>
    </row>
    <row r="5070" spans="1:9" x14ac:dyDescent="0.25">
      <c r="A5070" s="6">
        <v>43616</v>
      </c>
      <c r="B5070" t="s">
        <v>15</v>
      </c>
      <c r="C5070">
        <v>60869</v>
      </c>
      <c r="D5070" t="s">
        <v>14</v>
      </c>
      <c r="E5070" s="9">
        <v>1050.27</v>
      </c>
      <c r="F5070" t="s">
        <v>15</v>
      </c>
      <c r="G5070" t="s">
        <v>15</v>
      </c>
      <c r="H5070" t="s">
        <v>15</v>
      </c>
      <c r="I5070" t="s">
        <v>15</v>
      </c>
    </row>
    <row r="5071" spans="1:9" x14ac:dyDescent="0.25">
      <c r="A5071" s="6">
        <v>43616</v>
      </c>
      <c r="B5071" t="s">
        <v>15</v>
      </c>
      <c r="C5071">
        <v>60934</v>
      </c>
      <c r="D5071" t="s">
        <v>14</v>
      </c>
      <c r="E5071" s="9">
        <v>1148.6199999999999</v>
      </c>
      <c r="F5071" t="s">
        <v>15</v>
      </c>
      <c r="G5071" t="s">
        <v>15</v>
      </c>
      <c r="H5071" t="s">
        <v>15</v>
      </c>
      <c r="I5071" t="s">
        <v>15</v>
      </c>
    </row>
    <row r="5072" spans="1:9" x14ac:dyDescent="0.25">
      <c r="A5072" s="6">
        <v>43616</v>
      </c>
      <c r="B5072" t="s">
        <v>15</v>
      </c>
      <c r="C5072">
        <v>60935</v>
      </c>
      <c r="D5072" t="s">
        <v>14</v>
      </c>
      <c r="E5072" s="9">
        <v>1939.81</v>
      </c>
      <c r="F5072" t="s">
        <v>15</v>
      </c>
      <c r="G5072" t="s">
        <v>15</v>
      </c>
      <c r="H5072" t="s">
        <v>15</v>
      </c>
      <c r="I5072" t="s">
        <v>15</v>
      </c>
    </row>
    <row r="5073" spans="1:9" x14ac:dyDescent="0.25">
      <c r="A5073" s="6">
        <v>43616</v>
      </c>
      <c r="B5073" t="s">
        <v>15</v>
      </c>
      <c r="C5073">
        <v>60936</v>
      </c>
      <c r="D5073" t="s">
        <v>14</v>
      </c>
      <c r="E5073" s="9">
        <v>1496.36</v>
      </c>
      <c r="F5073" t="s">
        <v>15</v>
      </c>
      <c r="G5073" t="s">
        <v>15</v>
      </c>
      <c r="H5073" t="s">
        <v>15</v>
      </c>
      <c r="I5073" t="s">
        <v>15</v>
      </c>
    </row>
    <row r="5074" spans="1:9" x14ac:dyDescent="0.25">
      <c r="A5074" s="6">
        <v>43616</v>
      </c>
      <c r="B5074" t="s">
        <v>15</v>
      </c>
      <c r="C5074">
        <v>60937</v>
      </c>
      <c r="D5074" t="s">
        <v>14</v>
      </c>
      <c r="E5074" s="9">
        <v>1143.76</v>
      </c>
      <c r="F5074" t="s">
        <v>15</v>
      </c>
      <c r="G5074" t="s">
        <v>15</v>
      </c>
      <c r="H5074" t="s">
        <v>15</v>
      </c>
      <c r="I5074" t="s">
        <v>15</v>
      </c>
    </row>
    <row r="5075" spans="1:9" x14ac:dyDescent="0.25">
      <c r="A5075" s="6">
        <v>43616</v>
      </c>
      <c r="B5075" t="s">
        <v>15</v>
      </c>
      <c r="C5075">
        <v>60938</v>
      </c>
      <c r="D5075" t="s">
        <v>14</v>
      </c>
      <c r="E5075">
        <v>463.98</v>
      </c>
      <c r="F5075" t="s">
        <v>15</v>
      </c>
      <c r="G5075" t="s">
        <v>15</v>
      </c>
      <c r="H5075" t="s">
        <v>15</v>
      </c>
      <c r="I5075" t="s">
        <v>15</v>
      </c>
    </row>
    <row r="5076" spans="1:9" x14ac:dyDescent="0.25">
      <c r="A5076" s="6">
        <v>43616</v>
      </c>
      <c r="B5076" t="s">
        <v>15</v>
      </c>
      <c r="C5076">
        <v>60939</v>
      </c>
      <c r="D5076" t="s">
        <v>14</v>
      </c>
      <c r="E5076">
        <v>722.08</v>
      </c>
      <c r="F5076" t="s">
        <v>15</v>
      </c>
      <c r="G5076" t="s">
        <v>15</v>
      </c>
      <c r="H5076" t="s">
        <v>15</v>
      </c>
      <c r="I5076" t="s">
        <v>15</v>
      </c>
    </row>
    <row r="5077" spans="1:9" x14ac:dyDescent="0.25">
      <c r="A5077" s="6">
        <v>43616</v>
      </c>
      <c r="B5077" t="s">
        <v>15</v>
      </c>
      <c r="C5077">
        <v>60940</v>
      </c>
      <c r="D5077" t="s">
        <v>14</v>
      </c>
      <c r="E5077">
        <v>46.07</v>
      </c>
      <c r="F5077" t="s">
        <v>15</v>
      </c>
      <c r="G5077" t="s">
        <v>15</v>
      </c>
      <c r="H5077" t="s">
        <v>15</v>
      </c>
      <c r="I5077" t="s">
        <v>15</v>
      </c>
    </row>
    <row r="5078" spans="1:9" x14ac:dyDescent="0.25">
      <c r="A5078" s="6">
        <v>43616</v>
      </c>
      <c r="B5078" t="s">
        <v>15</v>
      </c>
      <c r="C5078">
        <v>60941</v>
      </c>
      <c r="D5078" t="s">
        <v>14</v>
      </c>
      <c r="E5078">
        <v>87.73</v>
      </c>
      <c r="F5078" t="s">
        <v>15</v>
      </c>
      <c r="G5078" t="s">
        <v>15</v>
      </c>
      <c r="H5078" t="s">
        <v>15</v>
      </c>
      <c r="I5078" t="s">
        <v>15</v>
      </c>
    </row>
    <row r="5079" spans="1:9" x14ac:dyDescent="0.25">
      <c r="A5079" s="6">
        <v>43616</v>
      </c>
      <c r="B5079" t="s">
        <v>15</v>
      </c>
      <c r="C5079">
        <v>60942</v>
      </c>
      <c r="D5079" t="s">
        <v>14</v>
      </c>
      <c r="E5079">
        <v>63.03</v>
      </c>
      <c r="F5079" t="s">
        <v>15</v>
      </c>
      <c r="G5079" t="s">
        <v>15</v>
      </c>
      <c r="H5079" t="s">
        <v>15</v>
      </c>
      <c r="I5079" t="s">
        <v>15</v>
      </c>
    </row>
    <row r="5080" spans="1:9" x14ac:dyDescent="0.25">
      <c r="A5080" s="6">
        <v>43616</v>
      </c>
      <c r="B5080" t="s">
        <v>15</v>
      </c>
      <c r="C5080">
        <v>60943</v>
      </c>
      <c r="D5080" t="s">
        <v>14</v>
      </c>
      <c r="E5080">
        <v>99.4</v>
      </c>
      <c r="F5080" t="s">
        <v>15</v>
      </c>
      <c r="G5080" t="s">
        <v>15</v>
      </c>
      <c r="H5080" t="s">
        <v>15</v>
      </c>
      <c r="I5080" t="s">
        <v>15</v>
      </c>
    </row>
    <row r="5081" spans="1:9" x14ac:dyDescent="0.25">
      <c r="A5081" s="6">
        <v>43708</v>
      </c>
      <c r="B5081" t="s">
        <v>15</v>
      </c>
      <c r="C5081">
        <v>60944</v>
      </c>
      <c r="D5081" t="s">
        <v>14</v>
      </c>
      <c r="E5081">
        <v>125.42</v>
      </c>
      <c r="F5081" t="s">
        <v>15</v>
      </c>
      <c r="G5081" t="s">
        <v>15</v>
      </c>
      <c r="H5081" t="s">
        <v>15</v>
      </c>
      <c r="I5081" t="s">
        <v>15</v>
      </c>
    </row>
    <row r="5082" spans="1:9" x14ac:dyDescent="0.25">
      <c r="A5082" s="6">
        <v>43646</v>
      </c>
      <c r="B5082" t="s">
        <v>15</v>
      </c>
      <c r="C5082">
        <v>60945</v>
      </c>
      <c r="D5082" t="s">
        <v>14</v>
      </c>
      <c r="E5082">
        <v>168.02</v>
      </c>
      <c r="F5082" t="s">
        <v>15</v>
      </c>
      <c r="G5082" t="s">
        <v>15</v>
      </c>
      <c r="H5082" t="s">
        <v>15</v>
      </c>
      <c r="I5082" t="s">
        <v>15</v>
      </c>
    </row>
    <row r="5083" spans="1:9" x14ac:dyDescent="0.25">
      <c r="A5083" s="6">
        <v>43616</v>
      </c>
      <c r="B5083" t="s">
        <v>15</v>
      </c>
      <c r="C5083">
        <v>60946</v>
      </c>
      <c r="D5083" t="s">
        <v>14</v>
      </c>
      <c r="E5083">
        <v>46.07</v>
      </c>
      <c r="F5083" t="s">
        <v>15</v>
      </c>
      <c r="G5083" t="s">
        <v>15</v>
      </c>
      <c r="H5083" t="s">
        <v>15</v>
      </c>
      <c r="I5083" t="s">
        <v>15</v>
      </c>
    </row>
    <row r="5084" spans="1:9" x14ac:dyDescent="0.25">
      <c r="A5084" s="6">
        <v>43616</v>
      </c>
      <c r="B5084" t="s">
        <v>15</v>
      </c>
      <c r="C5084">
        <v>60947</v>
      </c>
      <c r="D5084" t="s">
        <v>14</v>
      </c>
      <c r="E5084">
        <v>110.82</v>
      </c>
      <c r="F5084" t="s">
        <v>15</v>
      </c>
      <c r="G5084" t="s">
        <v>15</v>
      </c>
      <c r="H5084" t="s">
        <v>15</v>
      </c>
      <c r="I5084" t="s">
        <v>15</v>
      </c>
    </row>
    <row r="5085" spans="1:9" x14ac:dyDescent="0.25">
      <c r="A5085" s="6">
        <v>43646</v>
      </c>
      <c r="B5085" t="s">
        <v>15</v>
      </c>
      <c r="C5085">
        <v>61077</v>
      </c>
      <c r="D5085" t="s">
        <v>14</v>
      </c>
      <c r="E5085" s="9">
        <v>1533.17</v>
      </c>
      <c r="F5085" t="s">
        <v>15</v>
      </c>
      <c r="G5085" t="s">
        <v>15</v>
      </c>
      <c r="H5085" t="s">
        <v>15</v>
      </c>
      <c r="I5085" t="s">
        <v>15</v>
      </c>
    </row>
    <row r="5086" spans="1:9" x14ac:dyDescent="0.25">
      <c r="A5086" s="6">
        <v>43646</v>
      </c>
      <c r="B5086" t="s">
        <v>15</v>
      </c>
      <c r="C5086">
        <v>61078</v>
      </c>
      <c r="D5086" t="s">
        <v>14</v>
      </c>
      <c r="E5086" s="9">
        <v>1907.99</v>
      </c>
      <c r="F5086" t="s">
        <v>15</v>
      </c>
      <c r="G5086" t="s">
        <v>15</v>
      </c>
      <c r="H5086" t="s">
        <v>15</v>
      </c>
      <c r="I5086" t="s">
        <v>15</v>
      </c>
    </row>
    <row r="5087" spans="1:9" x14ac:dyDescent="0.25">
      <c r="A5087" s="6">
        <v>43646</v>
      </c>
      <c r="B5087" t="s">
        <v>15</v>
      </c>
      <c r="C5087">
        <v>61079</v>
      </c>
      <c r="D5087" t="s">
        <v>14</v>
      </c>
      <c r="E5087" s="9">
        <v>1482.6</v>
      </c>
      <c r="F5087" t="s">
        <v>15</v>
      </c>
      <c r="G5087" t="s">
        <v>15</v>
      </c>
      <c r="H5087" t="s">
        <v>15</v>
      </c>
      <c r="I5087" t="s">
        <v>15</v>
      </c>
    </row>
    <row r="5088" spans="1:9" x14ac:dyDescent="0.25">
      <c r="A5088" s="6">
        <v>43646</v>
      </c>
      <c r="B5088" t="s">
        <v>15</v>
      </c>
      <c r="C5088">
        <v>61080</v>
      </c>
      <c r="D5088" t="s">
        <v>14</v>
      </c>
      <c r="E5088" s="9">
        <v>1110.52</v>
      </c>
      <c r="F5088" t="s">
        <v>15</v>
      </c>
      <c r="G5088" t="s">
        <v>15</v>
      </c>
      <c r="H5088" t="s">
        <v>15</v>
      </c>
      <c r="I5088" t="s">
        <v>15</v>
      </c>
    </row>
    <row r="5089" spans="1:9" x14ac:dyDescent="0.25">
      <c r="A5089" s="6">
        <v>43646</v>
      </c>
      <c r="B5089" t="s">
        <v>15</v>
      </c>
      <c r="C5089">
        <v>61081</v>
      </c>
      <c r="D5089" t="s">
        <v>14</v>
      </c>
      <c r="E5089">
        <v>463.98</v>
      </c>
      <c r="F5089" t="s">
        <v>15</v>
      </c>
      <c r="G5089" t="s">
        <v>15</v>
      </c>
      <c r="H5089" t="s">
        <v>15</v>
      </c>
      <c r="I5089" t="s">
        <v>15</v>
      </c>
    </row>
    <row r="5090" spans="1:9" x14ac:dyDescent="0.25">
      <c r="A5090" s="6">
        <v>43646</v>
      </c>
      <c r="B5090" t="s">
        <v>15</v>
      </c>
      <c r="C5090">
        <v>61082</v>
      </c>
      <c r="D5090" t="s">
        <v>14</v>
      </c>
      <c r="E5090">
        <v>762.16</v>
      </c>
      <c r="F5090" t="s">
        <v>15</v>
      </c>
      <c r="G5090" t="s">
        <v>15</v>
      </c>
      <c r="H5090" t="s">
        <v>15</v>
      </c>
      <c r="I5090" t="s">
        <v>15</v>
      </c>
    </row>
    <row r="5091" spans="1:9" x14ac:dyDescent="0.25">
      <c r="A5091" s="6">
        <v>43646</v>
      </c>
      <c r="B5091" t="s">
        <v>15</v>
      </c>
      <c r="C5091">
        <v>61083</v>
      </c>
      <c r="D5091" t="s">
        <v>14</v>
      </c>
      <c r="E5091">
        <v>171.07</v>
      </c>
      <c r="F5091" t="s">
        <v>15</v>
      </c>
      <c r="G5091" t="s">
        <v>15</v>
      </c>
      <c r="H5091" t="s">
        <v>15</v>
      </c>
      <c r="I5091" t="s">
        <v>15</v>
      </c>
    </row>
    <row r="5092" spans="1:9" x14ac:dyDescent="0.25">
      <c r="A5092" s="6">
        <v>43646</v>
      </c>
      <c r="B5092" t="s">
        <v>15</v>
      </c>
      <c r="C5092">
        <v>61084</v>
      </c>
      <c r="D5092" t="s">
        <v>14</v>
      </c>
      <c r="E5092">
        <v>209.35</v>
      </c>
      <c r="F5092" t="s">
        <v>15</v>
      </c>
      <c r="G5092" t="s">
        <v>15</v>
      </c>
      <c r="H5092" t="s">
        <v>15</v>
      </c>
      <c r="I5092" t="s">
        <v>15</v>
      </c>
    </row>
    <row r="5093" spans="1:9" x14ac:dyDescent="0.25">
      <c r="A5093" s="6">
        <v>43646</v>
      </c>
      <c r="B5093" t="s">
        <v>15</v>
      </c>
      <c r="C5093">
        <v>61085</v>
      </c>
      <c r="D5093" t="s">
        <v>14</v>
      </c>
      <c r="E5093">
        <v>300.77999999999997</v>
      </c>
      <c r="F5093" t="s">
        <v>15</v>
      </c>
      <c r="G5093" t="s">
        <v>15</v>
      </c>
      <c r="H5093" t="s">
        <v>15</v>
      </c>
      <c r="I5093" t="s">
        <v>15</v>
      </c>
    </row>
    <row r="5094" spans="1:9" x14ac:dyDescent="0.25">
      <c r="A5094" s="6">
        <v>43646</v>
      </c>
      <c r="B5094" t="s">
        <v>15</v>
      </c>
      <c r="C5094">
        <v>61086</v>
      </c>
      <c r="D5094" t="s">
        <v>14</v>
      </c>
      <c r="E5094">
        <v>177.66</v>
      </c>
      <c r="F5094" t="s">
        <v>15</v>
      </c>
      <c r="G5094" t="s">
        <v>15</v>
      </c>
      <c r="H5094" t="s">
        <v>15</v>
      </c>
      <c r="I5094" t="s">
        <v>15</v>
      </c>
    </row>
    <row r="5095" spans="1:9" x14ac:dyDescent="0.25">
      <c r="A5095" s="6">
        <v>43646</v>
      </c>
      <c r="B5095" t="s">
        <v>15</v>
      </c>
      <c r="C5095">
        <v>61087</v>
      </c>
      <c r="D5095" t="s">
        <v>14</v>
      </c>
      <c r="E5095">
        <v>349.42</v>
      </c>
      <c r="F5095" t="s">
        <v>15</v>
      </c>
      <c r="G5095" t="s">
        <v>15</v>
      </c>
      <c r="H5095" t="s">
        <v>15</v>
      </c>
      <c r="I5095" t="s">
        <v>15</v>
      </c>
    </row>
    <row r="5096" spans="1:9" x14ac:dyDescent="0.25">
      <c r="A5096" s="6">
        <v>43646</v>
      </c>
      <c r="B5096" t="s">
        <v>15</v>
      </c>
      <c r="C5096">
        <v>61088</v>
      </c>
      <c r="D5096" t="s">
        <v>14</v>
      </c>
      <c r="E5096">
        <v>173.04</v>
      </c>
      <c r="F5096" t="s">
        <v>15</v>
      </c>
      <c r="G5096" t="s">
        <v>15</v>
      </c>
      <c r="H5096" t="s">
        <v>15</v>
      </c>
      <c r="I5096" t="s">
        <v>15</v>
      </c>
    </row>
    <row r="5097" spans="1:9" x14ac:dyDescent="0.25">
      <c r="A5097" s="6">
        <v>43646</v>
      </c>
      <c r="B5097" t="s">
        <v>15</v>
      </c>
      <c r="C5097">
        <v>61089</v>
      </c>
      <c r="D5097" t="s">
        <v>14</v>
      </c>
      <c r="E5097">
        <v>230.3</v>
      </c>
      <c r="F5097" t="s">
        <v>15</v>
      </c>
      <c r="G5097" t="s">
        <v>15</v>
      </c>
      <c r="H5097" t="s">
        <v>15</v>
      </c>
      <c r="I5097" t="s">
        <v>15</v>
      </c>
    </row>
    <row r="5098" spans="1:9" x14ac:dyDescent="0.25">
      <c r="A5098" s="6">
        <v>43708</v>
      </c>
      <c r="B5098" t="s">
        <v>15</v>
      </c>
      <c r="C5098">
        <v>61090</v>
      </c>
      <c r="D5098" t="s">
        <v>14</v>
      </c>
      <c r="E5098">
        <v>343.81</v>
      </c>
      <c r="F5098" t="s">
        <v>15</v>
      </c>
      <c r="G5098" t="s">
        <v>15</v>
      </c>
      <c r="H5098" t="s">
        <v>15</v>
      </c>
      <c r="I5098" t="s">
        <v>15</v>
      </c>
    </row>
    <row r="5099" spans="1:9" x14ac:dyDescent="0.25">
      <c r="A5099" s="6">
        <v>43646</v>
      </c>
      <c r="B5099" t="s">
        <v>15</v>
      </c>
      <c r="C5099">
        <v>61091</v>
      </c>
      <c r="D5099" t="s">
        <v>14</v>
      </c>
      <c r="E5099">
        <v>486.57</v>
      </c>
      <c r="F5099" t="s">
        <v>15</v>
      </c>
      <c r="G5099" t="s">
        <v>15</v>
      </c>
      <c r="H5099" t="s">
        <v>15</v>
      </c>
      <c r="I5099" t="s">
        <v>15</v>
      </c>
    </row>
    <row r="5100" spans="1:9" x14ac:dyDescent="0.25">
      <c r="A5100" s="6">
        <v>43646</v>
      </c>
      <c r="B5100" t="s">
        <v>15</v>
      </c>
      <c r="C5100">
        <v>61092</v>
      </c>
      <c r="D5100" t="s">
        <v>14</v>
      </c>
      <c r="E5100">
        <v>146.32</v>
      </c>
      <c r="F5100" t="s">
        <v>15</v>
      </c>
      <c r="G5100" t="s">
        <v>15</v>
      </c>
      <c r="H5100" t="s">
        <v>15</v>
      </c>
      <c r="I5100" t="s">
        <v>15</v>
      </c>
    </row>
    <row r="5101" spans="1:9" x14ac:dyDescent="0.25">
      <c r="A5101" s="6">
        <v>43646</v>
      </c>
      <c r="B5101" t="s">
        <v>15</v>
      </c>
      <c r="C5101">
        <v>61093</v>
      </c>
      <c r="D5101" t="s">
        <v>14</v>
      </c>
      <c r="E5101">
        <v>173.33</v>
      </c>
      <c r="F5101" t="s">
        <v>15</v>
      </c>
      <c r="G5101" t="s">
        <v>15</v>
      </c>
      <c r="H5101" t="s">
        <v>15</v>
      </c>
      <c r="I5101" t="s">
        <v>15</v>
      </c>
    </row>
    <row r="5102" spans="1:9" x14ac:dyDescent="0.25">
      <c r="A5102" s="6">
        <v>43646</v>
      </c>
      <c r="B5102" t="s">
        <v>15</v>
      </c>
      <c r="C5102">
        <v>61094</v>
      </c>
      <c r="D5102" t="s">
        <v>14</v>
      </c>
      <c r="E5102">
        <v>287.70999999999998</v>
      </c>
      <c r="F5102" t="s">
        <v>15</v>
      </c>
      <c r="G5102" t="s">
        <v>15</v>
      </c>
      <c r="H5102" t="s">
        <v>15</v>
      </c>
      <c r="I5102" t="s">
        <v>15</v>
      </c>
    </row>
    <row r="5103" spans="1:9" x14ac:dyDescent="0.25">
      <c r="A5103" s="6">
        <v>43646</v>
      </c>
      <c r="B5103" t="s">
        <v>15</v>
      </c>
      <c r="C5103">
        <v>61095</v>
      </c>
      <c r="D5103" t="s">
        <v>14</v>
      </c>
      <c r="E5103">
        <v>362.54</v>
      </c>
      <c r="F5103" t="s">
        <v>15</v>
      </c>
      <c r="G5103" t="s">
        <v>15</v>
      </c>
      <c r="H5103" t="s">
        <v>15</v>
      </c>
      <c r="I5103" t="s">
        <v>15</v>
      </c>
    </row>
    <row r="5104" spans="1:9" x14ac:dyDescent="0.25">
      <c r="A5104" s="6">
        <v>43646</v>
      </c>
      <c r="B5104" t="s">
        <v>15</v>
      </c>
      <c r="C5104">
        <v>61096</v>
      </c>
      <c r="D5104" t="s">
        <v>14</v>
      </c>
      <c r="E5104" s="9">
        <v>1071.92</v>
      </c>
      <c r="F5104" t="s">
        <v>15</v>
      </c>
      <c r="G5104" t="s">
        <v>15</v>
      </c>
      <c r="H5104" t="s">
        <v>15</v>
      </c>
      <c r="I5104" t="s">
        <v>15</v>
      </c>
    </row>
    <row r="5105" spans="1:9" x14ac:dyDescent="0.25">
      <c r="A5105" s="6">
        <v>43646</v>
      </c>
      <c r="B5105" t="s">
        <v>15</v>
      </c>
      <c r="C5105">
        <v>61188</v>
      </c>
      <c r="D5105" t="s">
        <v>14</v>
      </c>
      <c r="E5105" s="9">
        <v>1514.36</v>
      </c>
      <c r="F5105" t="s">
        <v>15</v>
      </c>
      <c r="G5105" t="s">
        <v>15</v>
      </c>
      <c r="H5105" t="s">
        <v>15</v>
      </c>
      <c r="I5105" t="s">
        <v>15</v>
      </c>
    </row>
    <row r="5106" spans="1:9" x14ac:dyDescent="0.25">
      <c r="A5106" s="6">
        <v>43646</v>
      </c>
      <c r="B5106" t="s">
        <v>15</v>
      </c>
      <c r="C5106">
        <v>61189</v>
      </c>
      <c r="D5106" t="s">
        <v>14</v>
      </c>
      <c r="E5106" s="9">
        <v>1622.07</v>
      </c>
      <c r="F5106" t="s">
        <v>15</v>
      </c>
      <c r="G5106" t="s">
        <v>15</v>
      </c>
      <c r="H5106" t="s">
        <v>15</v>
      </c>
      <c r="I5106" t="s">
        <v>15</v>
      </c>
    </row>
    <row r="5107" spans="1:9" x14ac:dyDescent="0.25">
      <c r="A5107" s="6">
        <v>43646</v>
      </c>
      <c r="B5107" t="s">
        <v>15</v>
      </c>
      <c r="C5107">
        <v>61190</v>
      </c>
      <c r="D5107" t="s">
        <v>14</v>
      </c>
      <c r="E5107" s="9">
        <v>1812.1</v>
      </c>
      <c r="F5107" t="s">
        <v>15</v>
      </c>
      <c r="G5107" t="s">
        <v>15</v>
      </c>
      <c r="H5107" t="s">
        <v>15</v>
      </c>
      <c r="I5107" t="s">
        <v>15</v>
      </c>
    </row>
    <row r="5108" spans="1:9" x14ac:dyDescent="0.25">
      <c r="A5108" s="6">
        <v>43646</v>
      </c>
      <c r="B5108" t="s">
        <v>15</v>
      </c>
      <c r="C5108">
        <v>61191</v>
      </c>
      <c r="D5108" t="s">
        <v>14</v>
      </c>
      <c r="E5108" s="9">
        <v>1327.12</v>
      </c>
      <c r="F5108" t="s">
        <v>15</v>
      </c>
      <c r="G5108" t="s">
        <v>15</v>
      </c>
      <c r="H5108" t="s">
        <v>15</v>
      </c>
      <c r="I5108" t="s">
        <v>15</v>
      </c>
    </row>
    <row r="5109" spans="1:9" x14ac:dyDescent="0.25">
      <c r="A5109" s="6">
        <v>43646</v>
      </c>
      <c r="B5109" t="s">
        <v>15</v>
      </c>
      <c r="C5109">
        <v>61192</v>
      </c>
      <c r="D5109" t="s">
        <v>14</v>
      </c>
      <c r="E5109">
        <v>998.26</v>
      </c>
      <c r="F5109" t="s">
        <v>15</v>
      </c>
      <c r="G5109" t="s">
        <v>15</v>
      </c>
      <c r="H5109" t="s">
        <v>15</v>
      </c>
      <c r="I5109" t="s">
        <v>15</v>
      </c>
    </row>
    <row r="5110" spans="1:9" x14ac:dyDescent="0.25">
      <c r="A5110" s="6">
        <v>43646</v>
      </c>
      <c r="B5110" t="s">
        <v>15</v>
      </c>
      <c r="C5110">
        <v>61193</v>
      </c>
      <c r="D5110" t="s">
        <v>14</v>
      </c>
      <c r="E5110" s="9">
        <v>7045.52</v>
      </c>
      <c r="F5110" t="s">
        <v>15</v>
      </c>
      <c r="G5110" t="s">
        <v>15</v>
      </c>
      <c r="H5110" t="s">
        <v>15</v>
      </c>
      <c r="I5110" t="s">
        <v>15</v>
      </c>
    </row>
    <row r="5111" spans="1:9" x14ac:dyDescent="0.25">
      <c r="A5111" s="6">
        <v>43646</v>
      </c>
      <c r="B5111" t="s">
        <v>15</v>
      </c>
      <c r="C5111">
        <v>61194</v>
      </c>
      <c r="D5111" t="s">
        <v>14</v>
      </c>
      <c r="E5111" s="9">
        <v>1229.52</v>
      </c>
      <c r="F5111" t="s">
        <v>15</v>
      </c>
      <c r="G5111" t="s">
        <v>15</v>
      </c>
      <c r="H5111" t="s">
        <v>15</v>
      </c>
      <c r="I5111" t="s">
        <v>15</v>
      </c>
    </row>
    <row r="5112" spans="1:9" x14ac:dyDescent="0.25">
      <c r="A5112" s="6">
        <v>43646</v>
      </c>
      <c r="B5112" t="s">
        <v>15</v>
      </c>
      <c r="C5112">
        <v>61195</v>
      </c>
      <c r="D5112" t="s">
        <v>14</v>
      </c>
      <c r="E5112">
        <v>463.98</v>
      </c>
      <c r="F5112" t="s">
        <v>15</v>
      </c>
      <c r="G5112" t="s">
        <v>15</v>
      </c>
      <c r="H5112" t="s">
        <v>15</v>
      </c>
      <c r="I5112" t="s">
        <v>15</v>
      </c>
    </row>
    <row r="5113" spans="1:9" x14ac:dyDescent="0.25">
      <c r="A5113" s="6">
        <v>43646</v>
      </c>
      <c r="B5113" t="s">
        <v>15</v>
      </c>
      <c r="C5113">
        <v>61196</v>
      </c>
      <c r="D5113" t="s">
        <v>14</v>
      </c>
      <c r="E5113">
        <v>722.08</v>
      </c>
      <c r="F5113" t="s">
        <v>15</v>
      </c>
      <c r="G5113" t="s">
        <v>15</v>
      </c>
      <c r="H5113" t="s">
        <v>15</v>
      </c>
      <c r="I5113" t="s">
        <v>15</v>
      </c>
    </row>
    <row r="5114" spans="1:9" x14ac:dyDescent="0.25">
      <c r="A5114" s="6">
        <v>43646</v>
      </c>
      <c r="B5114" t="s">
        <v>15</v>
      </c>
      <c r="C5114">
        <v>61197</v>
      </c>
      <c r="D5114" t="s">
        <v>14</v>
      </c>
      <c r="E5114">
        <v>374.02</v>
      </c>
      <c r="F5114" t="s">
        <v>15</v>
      </c>
      <c r="G5114" t="s">
        <v>15</v>
      </c>
      <c r="H5114" t="s">
        <v>15</v>
      </c>
      <c r="I5114" t="s">
        <v>15</v>
      </c>
    </row>
    <row r="5115" spans="1:9" x14ac:dyDescent="0.25">
      <c r="A5115" s="6">
        <v>43646</v>
      </c>
      <c r="B5115" t="s">
        <v>15</v>
      </c>
      <c r="C5115">
        <v>61198</v>
      </c>
      <c r="D5115" t="s">
        <v>14</v>
      </c>
      <c r="E5115">
        <v>392.08</v>
      </c>
      <c r="F5115" t="s">
        <v>15</v>
      </c>
      <c r="G5115" t="s">
        <v>15</v>
      </c>
      <c r="H5115" t="s">
        <v>15</v>
      </c>
      <c r="I5115" t="s">
        <v>15</v>
      </c>
    </row>
    <row r="5116" spans="1:9" x14ac:dyDescent="0.25">
      <c r="A5116" s="6">
        <v>43677</v>
      </c>
      <c r="B5116" t="s">
        <v>15</v>
      </c>
      <c r="C5116">
        <v>61199</v>
      </c>
      <c r="D5116" t="s">
        <v>14</v>
      </c>
      <c r="E5116">
        <v>517.14</v>
      </c>
      <c r="F5116" t="s">
        <v>15</v>
      </c>
      <c r="G5116" t="s">
        <v>15</v>
      </c>
      <c r="H5116" t="s">
        <v>15</v>
      </c>
      <c r="I5116" t="s">
        <v>15</v>
      </c>
    </row>
    <row r="5117" spans="1:9" x14ac:dyDescent="0.25">
      <c r="A5117" s="6">
        <v>43646</v>
      </c>
      <c r="B5117" t="s">
        <v>15</v>
      </c>
      <c r="C5117">
        <v>61200</v>
      </c>
      <c r="D5117" t="s">
        <v>14</v>
      </c>
      <c r="E5117">
        <v>478.65</v>
      </c>
      <c r="F5117" t="s">
        <v>15</v>
      </c>
      <c r="G5117" t="s">
        <v>15</v>
      </c>
      <c r="H5117" t="s">
        <v>15</v>
      </c>
      <c r="I5117" t="s">
        <v>15</v>
      </c>
    </row>
    <row r="5118" spans="1:9" x14ac:dyDescent="0.25">
      <c r="A5118" s="6">
        <v>43646</v>
      </c>
      <c r="B5118" t="s">
        <v>15</v>
      </c>
      <c r="C5118">
        <v>61201</v>
      </c>
      <c r="D5118" t="s">
        <v>14</v>
      </c>
      <c r="E5118">
        <v>505.56</v>
      </c>
      <c r="F5118" t="s">
        <v>15</v>
      </c>
      <c r="G5118" t="s">
        <v>15</v>
      </c>
      <c r="H5118" t="s">
        <v>15</v>
      </c>
      <c r="I5118" t="s">
        <v>15</v>
      </c>
    </row>
    <row r="5119" spans="1:9" x14ac:dyDescent="0.25">
      <c r="A5119" s="6">
        <v>43646</v>
      </c>
      <c r="B5119" t="s">
        <v>15</v>
      </c>
      <c r="C5119">
        <v>61202</v>
      </c>
      <c r="D5119" t="s">
        <v>14</v>
      </c>
      <c r="E5119">
        <v>386.22</v>
      </c>
      <c r="F5119" t="s">
        <v>15</v>
      </c>
      <c r="G5119" t="s">
        <v>15</v>
      </c>
      <c r="H5119" t="s">
        <v>15</v>
      </c>
      <c r="I5119" t="s">
        <v>15</v>
      </c>
    </row>
    <row r="5120" spans="1:9" x14ac:dyDescent="0.25">
      <c r="A5120" s="6">
        <v>43646</v>
      </c>
      <c r="B5120" t="s">
        <v>15</v>
      </c>
      <c r="C5120">
        <v>61203</v>
      </c>
      <c r="D5120" t="s">
        <v>14</v>
      </c>
      <c r="E5120">
        <v>590.65</v>
      </c>
      <c r="F5120" t="s">
        <v>15</v>
      </c>
      <c r="G5120" t="s">
        <v>15</v>
      </c>
      <c r="H5120" t="s">
        <v>15</v>
      </c>
      <c r="I5120" t="s">
        <v>15</v>
      </c>
    </row>
    <row r="5121" spans="1:9" x14ac:dyDescent="0.25">
      <c r="A5121" s="6">
        <v>43738</v>
      </c>
      <c r="B5121" t="s">
        <v>15</v>
      </c>
      <c r="C5121">
        <v>61204</v>
      </c>
      <c r="D5121" t="s">
        <v>14</v>
      </c>
      <c r="E5121">
        <v>543.86</v>
      </c>
      <c r="F5121" t="s">
        <v>15</v>
      </c>
      <c r="G5121" t="s">
        <v>15</v>
      </c>
      <c r="H5121" t="s">
        <v>15</v>
      </c>
      <c r="I5121" t="s">
        <v>15</v>
      </c>
    </row>
    <row r="5122" spans="1:9" x14ac:dyDescent="0.25">
      <c r="A5122" s="6">
        <v>43677</v>
      </c>
      <c r="B5122" t="s">
        <v>15</v>
      </c>
      <c r="C5122">
        <v>61205</v>
      </c>
      <c r="D5122" t="s">
        <v>14</v>
      </c>
      <c r="E5122">
        <v>486.57</v>
      </c>
      <c r="F5122" t="s">
        <v>15</v>
      </c>
      <c r="G5122" t="s">
        <v>15</v>
      </c>
      <c r="H5122" t="s">
        <v>15</v>
      </c>
      <c r="I5122" t="s">
        <v>15</v>
      </c>
    </row>
    <row r="5123" spans="1:9" x14ac:dyDescent="0.25">
      <c r="A5123" s="6">
        <v>43646</v>
      </c>
      <c r="B5123" t="s">
        <v>15</v>
      </c>
      <c r="C5123">
        <v>61206</v>
      </c>
      <c r="D5123" t="s">
        <v>14</v>
      </c>
      <c r="E5123">
        <v>502.48</v>
      </c>
      <c r="F5123" t="s">
        <v>15</v>
      </c>
      <c r="G5123" t="s">
        <v>15</v>
      </c>
      <c r="H5123" t="s">
        <v>15</v>
      </c>
      <c r="I5123" t="s">
        <v>15</v>
      </c>
    </row>
    <row r="5124" spans="1:9" x14ac:dyDescent="0.25">
      <c r="A5124" s="6">
        <v>43646</v>
      </c>
      <c r="B5124" t="s">
        <v>15</v>
      </c>
      <c r="C5124">
        <v>61207</v>
      </c>
      <c r="D5124" t="s">
        <v>14</v>
      </c>
      <c r="E5124">
        <v>416.16</v>
      </c>
      <c r="F5124" t="s">
        <v>15</v>
      </c>
      <c r="G5124" t="s">
        <v>15</v>
      </c>
      <c r="H5124" t="s">
        <v>15</v>
      </c>
      <c r="I5124" t="s">
        <v>15</v>
      </c>
    </row>
    <row r="5125" spans="1:9" x14ac:dyDescent="0.25">
      <c r="A5125" s="6">
        <v>43646</v>
      </c>
      <c r="B5125" t="s">
        <v>15</v>
      </c>
      <c r="C5125">
        <v>61208</v>
      </c>
      <c r="D5125" t="s">
        <v>14</v>
      </c>
      <c r="E5125">
        <v>351.93</v>
      </c>
      <c r="F5125" t="s">
        <v>15</v>
      </c>
      <c r="G5125" t="s">
        <v>15</v>
      </c>
      <c r="H5125" t="s">
        <v>15</v>
      </c>
      <c r="I5125" t="s">
        <v>15</v>
      </c>
    </row>
    <row r="5126" spans="1:9" x14ac:dyDescent="0.25">
      <c r="A5126" s="6">
        <v>43646</v>
      </c>
      <c r="B5126" t="s">
        <v>15</v>
      </c>
      <c r="C5126">
        <v>61209</v>
      </c>
      <c r="D5126" t="s">
        <v>14</v>
      </c>
      <c r="E5126">
        <v>464.91</v>
      </c>
      <c r="F5126" t="s">
        <v>15</v>
      </c>
      <c r="G5126" t="s">
        <v>15</v>
      </c>
      <c r="H5126" t="s">
        <v>15</v>
      </c>
      <c r="I5126" t="s">
        <v>15</v>
      </c>
    </row>
    <row r="5127" spans="1:9" x14ac:dyDescent="0.25">
      <c r="A5127" s="6">
        <v>43677</v>
      </c>
      <c r="B5127" t="s">
        <v>15</v>
      </c>
      <c r="C5127">
        <v>61324</v>
      </c>
      <c r="D5127" t="s">
        <v>14</v>
      </c>
      <c r="E5127" s="9">
        <v>1220.3900000000001</v>
      </c>
      <c r="F5127" t="s">
        <v>15</v>
      </c>
      <c r="G5127" t="s">
        <v>15</v>
      </c>
      <c r="H5127" t="s">
        <v>15</v>
      </c>
      <c r="I5127" t="s">
        <v>15</v>
      </c>
    </row>
    <row r="5128" spans="1:9" x14ac:dyDescent="0.25">
      <c r="A5128" s="6">
        <v>43677</v>
      </c>
      <c r="B5128" t="s">
        <v>15</v>
      </c>
      <c r="C5128">
        <v>61325</v>
      </c>
      <c r="D5128" t="s">
        <v>14</v>
      </c>
      <c r="E5128" s="9">
        <v>1690.66</v>
      </c>
      <c r="F5128" t="s">
        <v>15</v>
      </c>
      <c r="G5128" t="s">
        <v>15</v>
      </c>
      <c r="H5128" t="s">
        <v>15</v>
      </c>
      <c r="I5128" t="s">
        <v>15</v>
      </c>
    </row>
    <row r="5129" spans="1:9" x14ac:dyDescent="0.25">
      <c r="A5129" s="6">
        <v>43677</v>
      </c>
      <c r="B5129" t="s">
        <v>15</v>
      </c>
      <c r="C5129">
        <v>61326</v>
      </c>
      <c r="D5129" t="s">
        <v>14</v>
      </c>
      <c r="E5129" s="9">
        <v>1327.12</v>
      </c>
      <c r="F5129" t="s">
        <v>15</v>
      </c>
      <c r="G5129" t="s">
        <v>15</v>
      </c>
      <c r="H5129" t="s">
        <v>15</v>
      </c>
      <c r="I5129" t="s">
        <v>15</v>
      </c>
    </row>
    <row r="5130" spans="1:9" x14ac:dyDescent="0.25">
      <c r="A5130" s="6">
        <v>43677</v>
      </c>
      <c r="B5130" t="s">
        <v>15</v>
      </c>
      <c r="C5130">
        <v>61327</v>
      </c>
      <c r="D5130" t="s">
        <v>14</v>
      </c>
      <c r="E5130">
        <v>998.26</v>
      </c>
      <c r="F5130" t="s">
        <v>15</v>
      </c>
      <c r="G5130" t="s">
        <v>15</v>
      </c>
      <c r="H5130" t="s">
        <v>15</v>
      </c>
      <c r="I5130" t="s">
        <v>15</v>
      </c>
    </row>
    <row r="5131" spans="1:9" x14ac:dyDescent="0.25">
      <c r="A5131" s="6">
        <v>43677</v>
      </c>
      <c r="B5131" t="s">
        <v>15</v>
      </c>
      <c r="C5131">
        <v>61328</v>
      </c>
      <c r="D5131" t="s">
        <v>14</v>
      </c>
      <c r="E5131" s="9">
        <v>1108.03</v>
      </c>
      <c r="F5131" t="s">
        <v>15</v>
      </c>
      <c r="G5131" t="s">
        <v>15</v>
      </c>
      <c r="H5131" t="s">
        <v>15</v>
      </c>
      <c r="I5131" t="s">
        <v>15</v>
      </c>
    </row>
    <row r="5132" spans="1:9" x14ac:dyDescent="0.25">
      <c r="A5132" s="6">
        <v>43677</v>
      </c>
      <c r="B5132" t="s">
        <v>15</v>
      </c>
      <c r="C5132">
        <v>61329</v>
      </c>
      <c r="D5132" t="s">
        <v>14</v>
      </c>
      <c r="E5132">
        <v>463.98</v>
      </c>
      <c r="F5132" t="s">
        <v>15</v>
      </c>
      <c r="G5132" t="s">
        <v>15</v>
      </c>
      <c r="H5132" t="s">
        <v>15</v>
      </c>
      <c r="I5132" t="s">
        <v>15</v>
      </c>
    </row>
    <row r="5133" spans="1:9" x14ac:dyDescent="0.25">
      <c r="A5133" s="6">
        <v>43677</v>
      </c>
      <c r="B5133" t="s">
        <v>15</v>
      </c>
      <c r="C5133">
        <v>61330</v>
      </c>
      <c r="D5133" t="s">
        <v>14</v>
      </c>
      <c r="E5133">
        <v>757.7</v>
      </c>
      <c r="F5133" t="s">
        <v>15</v>
      </c>
      <c r="G5133" t="s">
        <v>15</v>
      </c>
      <c r="H5133" t="s">
        <v>15</v>
      </c>
      <c r="I5133" t="s">
        <v>15</v>
      </c>
    </row>
    <row r="5134" spans="1:9" x14ac:dyDescent="0.25">
      <c r="A5134" s="6">
        <v>43677</v>
      </c>
      <c r="B5134" t="s">
        <v>15</v>
      </c>
      <c r="C5134">
        <v>61331</v>
      </c>
      <c r="D5134" t="s">
        <v>14</v>
      </c>
      <c r="E5134">
        <v>220.61</v>
      </c>
      <c r="F5134" t="s">
        <v>15</v>
      </c>
      <c r="G5134" t="s">
        <v>15</v>
      </c>
      <c r="H5134" t="s">
        <v>15</v>
      </c>
      <c r="I5134" t="s">
        <v>15</v>
      </c>
    </row>
    <row r="5135" spans="1:9" x14ac:dyDescent="0.25">
      <c r="A5135" s="6">
        <v>43677</v>
      </c>
      <c r="B5135" t="s">
        <v>15</v>
      </c>
      <c r="C5135">
        <v>61332</v>
      </c>
      <c r="D5135" t="s">
        <v>14</v>
      </c>
      <c r="E5135">
        <v>171.07</v>
      </c>
      <c r="F5135" t="s">
        <v>15</v>
      </c>
      <c r="G5135" t="s">
        <v>15</v>
      </c>
      <c r="H5135" t="s">
        <v>15</v>
      </c>
      <c r="I5135" t="s">
        <v>15</v>
      </c>
    </row>
    <row r="5136" spans="1:9" x14ac:dyDescent="0.25">
      <c r="A5136" s="6">
        <v>43708</v>
      </c>
      <c r="B5136" t="s">
        <v>15</v>
      </c>
      <c r="C5136">
        <v>61333</v>
      </c>
      <c r="D5136" t="s">
        <v>14</v>
      </c>
      <c r="E5136">
        <v>341.96</v>
      </c>
      <c r="F5136" t="s">
        <v>15</v>
      </c>
      <c r="G5136" t="s">
        <v>15</v>
      </c>
      <c r="H5136" t="s">
        <v>15</v>
      </c>
      <c r="I5136" t="s">
        <v>15</v>
      </c>
    </row>
    <row r="5137" spans="1:9" x14ac:dyDescent="0.25">
      <c r="A5137" s="6">
        <v>43677</v>
      </c>
      <c r="B5137" t="s">
        <v>15</v>
      </c>
      <c r="C5137">
        <v>61334</v>
      </c>
      <c r="D5137" t="s">
        <v>14</v>
      </c>
      <c r="E5137">
        <v>170.38</v>
      </c>
      <c r="F5137" t="s">
        <v>15</v>
      </c>
      <c r="G5137" t="s">
        <v>15</v>
      </c>
      <c r="H5137" t="s">
        <v>15</v>
      </c>
      <c r="I5137" t="s">
        <v>15</v>
      </c>
    </row>
    <row r="5138" spans="1:9" x14ac:dyDescent="0.25">
      <c r="A5138" s="6">
        <v>43677</v>
      </c>
      <c r="B5138" t="s">
        <v>15</v>
      </c>
      <c r="C5138">
        <v>61335</v>
      </c>
      <c r="D5138" t="s">
        <v>14</v>
      </c>
      <c r="E5138">
        <v>292.33999999999997</v>
      </c>
      <c r="F5138" t="s">
        <v>15</v>
      </c>
      <c r="G5138" t="s">
        <v>15</v>
      </c>
      <c r="H5138" t="s">
        <v>15</v>
      </c>
      <c r="I5138" t="s">
        <v>15</v>
      </c>
    </row>
    <row r="5139" spans="1:9" x14ac:dyDescent="0.25">
      <c r="A5139" s="6">
        <v>43677</v>
      </c>
      <c r="B5139" t="s">
        <v>15</v>
      </c>
      <c r="C5139">
        <v>61336</v>
      </c>
      <c r="D5139" t="s">
        <v>14</v>
      </c>
      <c r="E5139">
        <v>278.77999999999997</v>
      </c>
      <c r="F5139" t="s">
        <v>15</v>
      </c>
      <c r="G5139" t="s">
        <v>15</v>
      </c>
      <c r="H5139" t="s">
        <v>15</v>
      </c>
      <c r="I5139" t="s">
        <v>15</v>
      </c>
    </row>
    <row r="5140" spans="1:9" x14ac:dyDescent="0.25">
      <c r="A5140" s="6">
        <v>43738</v>
      </c>
      <c r="B5140" t="s">
        <v>15</v>
      </c>
      <c r="C5140">
        <v>61337</v>
      </c>
      <c r="D5140" t="s">
        <v>14</v>
      </c>
      <c r="E5140">
        <v>409.23</v>
      </c>
      <c r="F5140" t="s">
        <v>15</v>
      </c>
      <c r="G5140" t="s">
        <v>15</v>
      </c>
      <c r="H5140" t="s">
        <v>15</v>
      </c>
      <c r="I5140" t="s">
        <v>15</v>
      </c>
    </row>
    <row r="5141" spans="1:9" x14ac:dyDescent="0.25">
      <c r="A5141" s="6">
        <v>43677</v>
      </c>
      <c r="B5141" t="s">
        <v>15</v>
      </c>
      <c r="C5141">
        <v>61338</v>
      </c>
      <c r="D5141" t="s">
        <v>14</v>
      </c>
      <c r="E5141">
        <v>404.27</v>
      </c>
      <c r="F5141" t="s">
        <v>15</v>
      </c>
      <c r="G5141" t="s">
        <v>15</v>
      </c>
      <c r="H5141" t="s">
        <v>15</v>
      </c>
      <c r="I5141" t="s">
        <v>15</v>
      </c>
    </row>
    <row r="5142" spans="1:9" x14ac:dyDescent="0.25">
      <c r="A5142" s="6">
        <v>43677</v>
      </c>
      <c r="B5142" t="s">
        <v>15</v>
      </c>
      <c r="C5142">
        <v>61339</v>
      </c>
      <c r="D5142" t="s">
        <v>14</v>
      </c>
      <c r="E5142">
        <v>243.11</v>
      </c>
      <c r="F5142" t="s">
        <v>15</v>
      </c>
      <c r="G5142" t="s">
        <v>15</v>
      </c>
      <c r="H5142" t="s">
        <v>15</v>
      </c>
      <c r="I5142" t="s">
        <v>15</v>
      </c>
    </row>
    <row r="5143" spans="1:9" x14ac:dyDescent="0.25">
      <c r="A5143" s="6">
        <v>43677</v>
      </c>
      <c r="B5143" t="s">
        <v>15</v>
      </c>
      <c r="C5143">
        <v>61340</v>
      </c>
      <c r="D5143" t="s">
        <v>14</v>
      </c>
      <c r="E5143">
        <v>234.1</v>
      </c>
      <c r="F5143" t="s">
        <v>15</v>
      </c>
      <c r="G5143" t="s">
        <v>15</v>
      </c>
      <c r="H5143" t="s">
        <v>15</v>
      </c>
      <c r="I5143" t="s">
        <v>15</v>
      </c>
    </row>
    <row r="5144" spans="1:9" x14ac:dyDescent="0.25">
      <c r="A5144" s="6">
        <v>43677</v>
      </c>
      <c r="B5144" t="s">
        <v>15</v>
      </c>
      <c r="C5144">
        <v>61341</v>
      </c>
      <c r="D5144" t="s">
        <v>14</v>
      </c>
      <c r="E5144">
        <v>440.25</v>
      </c>
      <c r="F5144" t="s">
        <v>15</v>
      </c>
      <c r="G5144" t="s">
        <v>15</v>
      </c>
      <c r="H5144" t="s">
        <v>15</v>
      </c>
      <c r="I5144" t="s">
        <v>15</v>
      </c>
    </row>
    <row r="5145" spans="1:9" x14ac:dyDescent="0.25">
      <c r="A5145" s="6">
        <v>43677</v>
      </c>
      <c r="B5145" t="s">
        <v>15</v>
      </c>
      <c r="C5145">
        <v>61342</v>
      </c>
      <c r="D5145" t="s">
        <v>14</v>
      </c>
      <c r="E5145">
        <v>300.77999999999997</v>
      </c>
      <c r="F5145" t="s">
        <v>15</v>
      </c>
      <c r="G5145" t="s">
        <v>15</v>
      </c>
      <c r="H5145" t="s">
        <v>15</v>
      </c>
      <c r="I5145" t="s">
        <v>15</v>
      </c>
    </row>
    <row r="5146" spans="1:9" x14ac:dyDescent="0.25">
      <c r="A5146" s="6">
        <v>43677</v>
      </c>
      <c r="B5146" t="s">
        <v>15</v>
      </c>
      <c r="C5146">
        <v>61476</v>
      </c>
      <c r="D5146" t="s">
        <v>14</v>
      </c>
      <c r="E5146" s="9">
        <v>1117.67</v>
      </c>
      <c r="F5146" t="s">
        <v>15</v>
      </c>
      <c r="G5146" t="s">
        <v>15</v>
      </c>
      <c r="H5146" t="s">
        <v>15</v>
      </c>
      <c r="I5146" t="s">
        <v>15</v>
      </c>
    </row>
    <row r="5147" spans="1:9" x14ac:dyDescent="0.25">
      <c r="A5147" s="6">
        <v>43677</v>
      </c>
      <c r="B5147" t="s">
        <v>15</v>
      </c>
      <c r="C5147">
        <v>61477</v>
      </c>
      <c r="D5147" t="s">
        <v>14</v>
      </c>
      <c r="E5147" s="9">
        <v>1537.42</v>
      </c>
      <c r="F5147" t="s">
        <v>15</v>
      </c>
      <c r="G5147" t="s">
        <v>15</v>
      </c>
      <c r="H5147" t="s">
        <v>15</v>
      </c>
      <c r="I5147" t="s">
        <v>15</v>
      </c>
    </row>
    <row r="5148" spans="1:9" x14ac:dyDescent="0.25">
      <c r="A5148" s="6">
        <v>43677</v>
      </c>
      <c r="B5148" t="s">
        <v>15</v>
      </c>
      <c r="C5148">
        <v>61478</v>
      </c>
      <c r="D5148" t="s">
        <v>14</v>
      </c>
      <c r="E5148" s="9">
        <v>1303.8399999999999</v>
      </c>
      <c r="F5148" t="s">
        <v>15</v>
      </c>
      <c r="G5148" t="s">
        <v>15</v>
      </c>
      <c r="H5148" t="s">
        <v>15</v>
      </c>
      <c r="I5148" t="s">
        <v>15</v>
      </c>
    </row>
    <row r="5149" spans="1:9" x14ac:dyDescent="0.25">
      <c r="A5149" s="6">
        <v>43677</v>
      </c>
      <c r="B5149" t="s">
        <v>15</v>
      </c>
      <c r="C5149">
        <v>61479</v>
      </c>
      <c r="D5149" t="s">
        <v>14</v>
      </c>
      <c r="E5149">
        <v>998.26</v>
      </c>
      <c r="F5149" t="s">
        <v>15</v>
      </c>
      <c r="G5149" t="s">
        <v>15</v>
      </c>
      <c r="H5149" t="s">
        <v>15</v>
      </c>
      <c r="I5149" t="s">
        <v>15</v>
      </c>
    </row>
    <row r="5150" spans="1:9" x14ac:dyDescent="0.25">
      <c r="A5150" s="6">
        <v>43677</v>
      </c>
      <c r="B5150" t="s">
        <v>15</v>
      </c>
      <c r="C5150">
        <v>61480</v>
      </c>
      <c r="D5150" t="s">
        <v>14</v>
      </c>
      <c r="E5150" s="9">
        <v>1186.6400000000001</v>
      </c>
      <c r="F5150" t="s">
        <v>15</v>
      </c>
      <c r="G5150" t="s">
        <v>15</v>
      </c>
      <c r="H5150" t="s">
        <v>15</v>
      </c>
      <c r="I5150" t="s">
        <v>15</v>
      </c>
    </row>
    <row r="5151" spans="1:9" x14ac:dyDescent="0.25">
      <c r="A5151" s="6">
        <v>43677</v>
      </c>
      <c r="B5151" t="s">
        <v>15</v>
      </c>
      <c r="C5151">
        <v>61481</v>
      </c>
      <c r="D5151" t="s">
        <v>14</v>
      </c>
      <c r="E5151">
        <v>463.98</v>
      </c>
      <c r="F5151" t="s">
        <v>15</v>
      </c>
      <c r="G5151" t="s">
        <v>15</v>
      </c>
      <c r="H5151" t="s">
        <v>15</v>
      </c>
      <c r="I5151" t="s">
        <v>15</v>
      </c>
    </row>
    <row r="5152" spans="1:9" x14ac:dyDescent="0.25">
      <c r="A5152" s="6">
        <v>43677</v>
      </c>
      <c r="B5152" t="s">
        <v>15</v>
      </c>
      <c r="C5152">
        <v>61482</v>
      </c>
      <c r="D5152" t="s">
        <v>14</v>
      </c>
      <c r="E5152">
        <v>748.8</v>
      </c>
      <c r="F5152" t="s">
        <v>15</v>
      </c>
      <c r="G5152" t="s">
        <v>15</v>
      </c>
      <c r="H5152" t="s">
        <v>15</v>
      </c>
      <c r="I5152" t="s">
        <v>15</v>
      </c>
    </row>
    <row r="5153" spans="1:9" x14ac:dyDescent="0.25">
      <c r="A5153" s="6">
        <v>43708</v>
      </c>
      <c r="B5153" t="s">
        <v>15</v>
      </c>
      <c r="C5153">
        <v>61483</v>
      </c>
      <c r="D5153" t="s">
        <v>14</v>
      </c>
      <c r="E5153">
        <v>177.1</v>
      </c>
      <c r="F5153" t="s">
        <v>15</v>
      </c>
      <c r="G5153" t="s">
        <v>15</v>
      </c>
      <c r="H5153" t="s">
        <v>15</v>
      </c>
      <c r="I5153" t="s">
        <v>15</v>
      </c>
    </row>
    <row r="5154" spans="1:9" x14ac:dyDescent="0.25">
      <c r="A5154" s="6">
        <v>43677</v>
      </c>
      <c r="B5154" t="s">
        <v>15</v>
      </c>
      <c r="C5154">
        <v>61484</v>
      </c>
      <c r="D5154" t="s">
        <v>14</v>
      </c>
      <c r="E5154">
        <v>137.83000000000001</v>
      </c>
      <c r="F5154" t="s">
        <v>15</v>
      </c>
      <c r="G5154" t="s">
        <v>15</v>
      </c>
      <c r="H5154" t="s">
        <v>15</v>
      </c>
      <c r="I5154" t="s">
        <v>15</v>
      </c>
    </row>
    <row r="5155" spans="1:9" x14ac:dyDescent="0.25">
      <c r="A5155" s="6">
        <v>43677</v>
      </c>
      <c r="B5155" t="s">
        <v>15</v>
      </c>
      <c r="C5155">
        <v>61485</v>
      </c>
      <c r="D5155" t="s">
        <v>14</v>
      </c>
      <c r="E5155">
        <v>220.61</v>
      </c>
      <c r="F5155" t="s">
        <v>15</v>
      </c>
      <c r="G5155" t="s">
        <v>15</v>
      </c>
      <c r="H5155" t="s">
        <v>15</v>
      </c>
      <c r="I5155" t="s">
        <v>15</v>
      </c>
    </row>
    <row r="5156" spans="1:9" x14ac:dyDescent="0.25">
      <c r="A5156" s="6">
        <v>43708</v>
      </c>
      <c r="B5156" t="s">
        <v>15</v>
      </c>
      <c r="C5156">
        <v>61486</v>
      </c>
      <c r="D5156" t="s">
        <v>14</v>
      </c>
      <c r="E5156">
        <v>367.02</v>
      </c>
      <c r="F5156" t="s">
        <v>15</v>
      </c>
      <c r="G5156" t="s">
        <v>15</v>
      </c>
      <c r="H5156" t="s">
        <v>15</v>
      </c>
      <c r="I5156" t="s">
        <v>15</v>
      </c>
    </row>
    <row r="5157" spans="1:9" x14ac:dyDescent="0.25">
      <c r="A5157" s="6">
        <v>43769</v>
      </c>
      <c r="B5157" t="s">
        <v>15</v>
      </c>
      <c r="C5157">
        <v>61487</v>
      </c>
      <c r="D5157" t="s">
        <v>14</v>
      </c>
      <c r="E5157">
        <v>286.10000000000002</v>
      </c>
      <c r="F5157" t="s">
        <v>15</v>
      </c>
      <c r="G5157" t="s">
        <v>15</v>
      </c>
      <c r="H5157" t="s">
        <v>15</v>
      </c>
      <c r="I5157" t="s">
        <v>15</v>
      </c>
    </row>
    <row r="5158" spans="1:9" x14ac:dyDescent="0.25">
      <c r="A5158" s="6">
        <v>43677</v>
      </c>
      <c r="B5158" t="s">
        <v>15</v>
      </c>
      <c r="C5158">
        <v>61488</v>
      </c>
      <c r="D5158" t="s">
        <v>14</v>
      </c>
      <c r="E5158">
        <v>225.11</v>
      </c>
      <c r="F5158" t="s">
        <v>15</v>
      </c>
      <c r="G5158" t="s">
        <v>15</v>
      </c>
      <c r="H5158" t="s">
        <v>15</v>
      </c>
      <c r="I5158" t="s">
        <v>15</v>
      </c>
    </row>
    <row r="5159" spans="1:9" x14ac:dyDescent="0.25">
      <c r="A5159" s="6">
        <v>43677</v>
      </c>
      <c r="B5159" t="s">
        <v>15</v>
      </c>
      <c r="C5159">
        <v>61489</v>
      </c>
      <c r="D5159" t="s">
        <v>14</v>
      </c>
      <c r="E5159">
        <v>117.05</v>
      </c>
      <c r="F5159" t="s">
        <v>15</v>
      </c>
      <c r="G5159" t="s">
        <v>15</v>
      </c>
      <c r="H5159" t="s">
        <v>15</v>
      </c>
      <c r="I5159" t="s">
        <v>15</v>
      </c>
    </row>
    <row r="5160" spans="1:9" x14ac:dyDescent="0.25">
      <c r="A5160" s="6">
        <v>43677</v>
      </c>
      <c r="B5160" t="s">
        <v>15</v>
      </c>
      <c r="C5160">
        <v>61490</v>
      </c>
      <c r="D5160" t="s">
        <v>14</v>
      </c>
      <c r="E5160">
        <v>200.34</v>
      </c>
      <c r="F5160" t="s">
        <v>15</v>
      </c>
      <c r="G5160" t="s">
        <v>15</v>
      </c>
      <c r="H5160" t="s">
        <v>15</v>
      </c>
      <c r="I5160" t="s">
        <v>15</v>
      </c>
    </row>
    <row r="5161" spans="1:9" x14ac:dyDescent="0.25">
      <c r="A5161" s="6">
        <v>43677</v>
      </c>
      <c r="B5161" t="s">
        <v>15</v>
      </c>
      <c r="C5161">
        <v>61491</v>
      </c>
      <c r="D5161" t="s">
        <v>14</v>
      </c>
      <c r="E5161">
        <v>269.89999999999998</v>
      </c>
      <c r="F5161" t="s">
        <v>15</v>
      </c>
      <c r="G5161" t="s">
        <v>15</v>
      </c>
      <c r="H5161" t="s">
        <v>15</v>
      </c>
      <c r="I5161" t="s">
        <v>15</v>
      </c>
    </row>
    <row r="5162" spans="1:9" x14ac:dyDescent="0.25">
      <c r="A5162" s="6">
        <v>43677</v>
      </c>
      <c r="B5162" t="s">
        <v>15</v>
      </c>
      <c r="C5162">
        <v>61514</v>
      </c>
      <c r="D5162" t="s">
        <v>14</v>
      </c>
      <c r="E5162" s="9">
        <v>5979.85</v>
      </c>
      <c r="F5162" t="s">
        <v>15</v>
      </c>
      <c r="G5162" t="s">
        <v>15</v>
      </c>
      <c r="H5162" t="s">
        <v>15</v>
      </c>
      <c r="I5162" t="s">
        <v>15</v>
      </c>
    </row>
    <row r="5163" spans="1:9" x14ac:dyDescent="0.25">
      <c r="A5163" s="6">
        <v>43677</v>
      </c>
      <c r="B5163" t="s">
        <v>15</v>
      </c>
      <c r="C5163">
        <v>61515</v>
      </c>
      <c r="D5163" t="s">
        <v>14</v>
      </c>
      <c r="E5163" s="9">
        <v>2278.4899999999998</v>
      </c>
      <c r="F5163" t="s">
        <v>15</v>
      </c>
      <c r="G5163" t="s">
        <v>15</v>
      </c>
      <c r="H5163" t="s">
        <v>15</v>
      </c>
      <c r="I5163" t="s">
        <v>15</v>
      </c>
    </row>
    <row r="5164" spans="1:9" x14ac:dyDescent="0.25">
      <c r="A5164" s="6">
        <v>43708</v>
      </c>
      <c r="B5164" t="s">
        <v>15</v>
      </c>
      <c r="C5164">
        <v>61608</v>
      </c>
      <c r="D5164" t="s">
        <v>14</v>
      </c>
      <c r="E5164" s="9">
        <v>1328.71</v>
      </c>
      <c r="F5164" t="s">
        <v>15</v>
      </c>
      <c r="G5164" t="s">
        <v>15</v>
      </c>
      <c r="H5164" t="s">
        <v>15</v>
      </c>
      <c r="I5164" t="s">
        <v>15</v>
      </c>
    </row>
    <row r="5165" spans="1:9" x14ac:dyDescent="0.25">
      <c r="A5165" s="6">
        <v>43708</v>
      </c>
      <c r="B5165" t="s">
        <v>15</v>
      </c>
      <c r="C5165">
        <v>61609</v>
      </c>
      <c r="D5165" t="s">
        <v>14</v>
      </c>
      <c r="E5165" s="9">
        <v>1657.41</v>
      </c>
      <c r="F5165" t="s">
        <v>15</v>
      </c>
      <c r="G5165" t="s">
        <v>15</v>
      </c>
      <c r="H5165" t="s">
        <v>15</v>
      </c>
      <c r="I5165" t="s">
        <v>15</v>
      </c>
    </row>
    <row r="5166" spans="1:9" x14ac:dyDescent="0.25">
      <c r="A5166" s="6">
        <v>43708</v>
      </c>
      <c r="B5166" t="s">
        <v>15</v>
      </c>
      <c r="C5166">
        <v>61610</v>
      </c>
      <c r="D5166" t="s">
        <v>14</v>
      </c>
      <c r="E5166" s="9">
        <v>1386.34</v>
      </c>
      <c r="F5166" t="s">
        <v>15</v>
      </c>
      <c r="G5166" t="s">
        <v>15</v>
      </c>
      <c r="H5166" t="s">
        <v>15</v>
      </c>
      <c r="I5166" t="s">
        <v>15</v>
      </c>
    </row>
    <row r="5167" spans="1:9" x14ac:dyDescent="0.25">
      <c r="A5167" s="6">
        <v>43708</v>
      </c>
      <c r="B5167" t="s">
        <v>15</v>
      </c>
      <c r="C5167">
        <v>61611</v>
      </c>
      <c r="D5167" t="s">
        <v>14</v>
      </c>
      <c r="E5167">
        <v>998.26</v>
      </c>
      <c r="F5167" t="s">
        <v>15</v>
      </c>
      <c r="G5167" t="s">
        <v>15</v>
      </c>
      <c r="H5167" t="s">
        <v>15</v>
      </c>
      <c r="I5167" t="s">
        <v>15</v>
      </c>
    </row>
    <row r="5168" spans="1:9" x14ac:dyDescent="0.25">
      <c r="A5168" s="6">
        <v>43708</v>
      </c>
      <c r="B5168" t="s">
        <v>15</v>
      </c>
      <c r="C5168">
        <v>61612</v>
      </c>
      <c r="D5168" t="s">
        <v>14</v>
      </c>
      <c r="E5168" s="9">
        <v>1086.5899999999999</v>
      </c>
      <c r="F5168" t="s">
        <v>15</v>
      </c>
      <c r="G5168" t="s">
        <v>15</v>
      </c>
      <c r="H5168" t="s">
        <v>15</v>
      </c>
      <c r="I5168" t="s">
        <v>15</v>
      </c>
    </row>
    <row r="5169" spans="1:9" x14ac:dyDescent="0.25">
      <c r="A5169" s="6">
        <v>43708</v>
      </c>
      <c r="B5169" t="s">
        <v>15</v>
      </c>
      <c r="C5169">
        <v>61613</v>
      </c>
      <c r="D5169" t="s">
        <v>14</v>
      </c>
      <c r="E5169">
        <v>463.98</v>
      </c>
      <c r="F5169" t="s">
        <v>15</v>
      </c>
      <c r="G5169" t="s">
        <v>15</v>
      </c>
      <c r="H5169" t="s">
        <v>15</v>
      </c>
      <c r="I5169" t="s">
        <v>15</v>
      </c>
    </row>
    <row r="5170" spans="1:9" x14ac:dyDescent="0.25">
      <c r="A5170" s="6">
        <v>43708</v>
      </c>
      <c r="B5170" t="s">
        <v>15</v>
      </c>
      <c r="C5170">
        <v>61614</v>
      </c>
      <c r="D5170" t="s">
        <v>14</v>
      </c>
      <c r="E5170">
        <v>757.7</v>
      </c>
      <c r="F5170" t="s">
        <v>15</v>
      </c>
      <c r="G5170" t="s">
        <v>15</v>
      </c>
      <c r="H5170" t="s">
        <v>15</v>
      </c>
      <c r="I5170" t="s">
        <v>15</v>
      </c>
    </row>
    <row r="5171" spans="1:9" x14ac:dyDescent="0.25">
      <c r="A5171" s="6">
        <v>43708</v>
      </c>
      <c r="B5171" t="s">
        <v>15</v>
      </c>
      <c r="C5171">
        <v>61615</v>
      </c>
      <c r="D5171" t="s">
        <v>14</v>
      </c>
      <c r="E5171">
        <v>331.16</v>
      </c>
      <c r="F5171" t="s">
        <v>15</v>
      </c>
      <c r="G5171" t="s">
        <v>15</v>
      </c>
      <c r="H5171" t="s">
        <v>15</v>
      </c>
      <c r="I5171" t="s">
        <v>15</v>
      </c>
    </row>
    <row r="5172" spans="1:9" x14ac:dyDescent="0.25">
      <c r="A5172" s="6">
        <v>43708</v>
      </c>
      <c r="B5172" t="s">
        <v>15</v>
      </c>
      <c r="C5172">
        <v>61616</v>
      </c>
      <c r="D5172" t="s">
        <v>14</v>
      </c>
      <c r="E5172">
        <v>591.77</v>
      </c>
      <c r="F5172" t="s">
        <v>15</v>
      </c>
      <c r="G5172" t="s">
        <v>15</v>
      </c>
      <c r="H5172" t="s">
        <v>15</v>
      </c>
      <c r="I5172" t="s">
        <v>15</v>
      </c>
    </row>
    <row r="5173" spans="1:9" x14ac:dyDescent="0.25">
      <c r="A5173" s="6">
        <v>43708</v>
      </c>
      <c r="B5173" t="s">
        <v>15</v>
      </c>
      <c r="C5173">
        <v>61617</v>
      </c>
      <c r="D5173" t="s">
        <v>14</v>
      </c>
      <c r="E5173">
        <v>31.52</v>
      </c>
      <c r="F5173" t="s">
        <v>15</v>
      </c>
      <c r="G5173" t="s">
        <v>15</v>
      </c>
      <c r="H5173" t="s">
        <v>15</v>
      </c>
      <c r="I5173" t="s">
        <v>15</v>
      </c>
    </row>
    <row r="5174" spans="1:9" x14ac:dyDescent="0.25">
      <c r="A5174" s="6">
        <v>43708</v>
      </c>
      <c r="B5174" t="s">
        <v>15</v>
      </c>
      <c r="C5174">
        <v>61618</v>
      </c>
      <c r="D5174" t="s">
        <v>14</v>
      </c>
      <c r="E5174">
        <v>663.28</v>
      </c>
      <c r="F5174" t="s">
        <v>15</v>
      </c>
      <c r="G5174" t="s">
        <v>15</v>
      </c>
      <c r="H5174" t="s">
        <v>15</v>
      </c>
      <c r="I5174" t="s">
        <v>15</v>
      </c>
    </row>
    <row r="5175" spans="1:9" x14ac:dyDescent="0.25">
      <c r="A5175" s="6">
        <v>43708</v>
      </c>
      <c r="B5175" t="s">
        <v>15</v>
      </c>
      <c r="C5175">
        <v>61619</v>
      </c>
      <c r="D5175" t="s">
        <v>14</v>
      </c>
      <c r="E5175">
        <v>387.39</v>
      </c>
      <c r="F5175" t="s">
        <v>15</v>
      </c>
      <c r="G5175" t="s">
        <v>15</v>
      </c>
      <c r="H5175" t="s">
        <v>15</v>
      </c>
      <c r="I5175" t="s">
        <v>15</v>
      </c>
    </row>
    <row r="5176" spans="1:9" x14ac:dyDescent="0.25">
      <c r="A5176" s="6">
        <v>43708</v>
      </c>
      <c r="B5176" t="s">
        <v>15</v>
      </c>
      <c r="C5176">
        <v>61620</v>
      </c>
      <c r="D5176" t="s">
        <v>14</v>
      </c>
      <c r="E5176">
        <v>602.57000000000005</v>
      </c>
      <c r="F5176" t="s">
        <v>15</v>
      </c>
      <c r="G5176" t="s">
        <v>15</v>
      </c>
      <c r="H5176" t="s">
        <v>15</v>
      </c>
      <c r="I5176" t="s">
        <v>15</v>
      </c>
    </row>
    <row r="5177" spans="1:9" x14ac:dyDescent="0.25">
      <c r="A5177" s="6">
        <v>43708</v>
      </c>
      <c r="B5177" t="s">
        <v>15</v>
      </c>
      <c r="C5177">
        <v>61621</v>
      </c>
      <c r="D5177" t="s">
        <v>14</v>
      </c>
      <c r="E5177">
        <v>319.82</v>
      </c>
      <c r="F5177" t="s">
        <v>15</v>
      </c>
      <c r="G5177" t="s">
        <v>15</v>
      </c>
      <c r="H5177" t="s">
        <v>15</v>
      </c>
      <c r="I5177" t="s">
        <v>15</v>
      </c>
    </row>
    <row r="5178" spans="1:9" x14ac:dyDescent="0.25">
      <c r="A5178" s="6">
        <v>43708</v>
      </c>
      <c r="B5178" t="s">
        <v>15</v>
      </c>
      <c r="C5178">
        <v>61622</v>
      </c>
      <c r="D5178" t="s">
        <v>14</v>
      </c>
      <c r="E5178">
        <v>566.71</v>
      </c>
      <c r="F5178" t="s">
        <v>15</v>
      </c>
      <c r="G5178" t="s">
        <v>15</v>
      </c>
      <c r="H5178" t="s">
        <v>15</v>
      </c>
      <c r="I5178" t="s">
        <v>15</v>
      </c>
    </row>
    <row r="5179" spans="1:9" x14ac:dyDescent="0.25">
      <c r="A5179" s="6">
        <v>43708</v>
      </c>
      <c r="B5179" t="s">
        <v>15</v>
      </c>
      <c r="C5179">
        <v>61623</v>
      </c>
      <c r="D5179" t="s">
        <v>14</v>
      </c>
      <c r="E5179">
        <v>411.95</v>
      </c>
      <c r="F5179" t="s">
        <v>15</v>
      </c>
      <c r="G5179" t="s">
        <v>15</v>
      </c>
      <c r="H5179" t="s">
        <v>15</v>
      </c>
      <c r="I5179" t="s">
        <v>15</v>
      </c>
    </row>
    <row r="5180" spans="1:9" x14ac:dyDescent="0.25">
      <c r="A5180" s="6">
        <v>43708</v>
      </c>
      <c r="B5180" t="s">
        <v>15</v>
      </c>
      <c r="C5180">
        <v>61736</v>
      </c>
      <c r="D5180" t="s">
        <v>14</v>
      </c>
      <c r="E5180" s="9">
        <v>1085.07</v>
      </c>
      <c r="F5180" t="s">
        <v>15</v>
      </c>
      <c r="G5180" t="s">
        <v>15</v>
      </c>
      <c r="H5180" t="s">
        <v>15</v>
      </c>
      <c r="I5180" t="s">
        <v>15</v>
      </c>
    </row>
    <row r="5181" spans="1:9" x14ac:dyDescent="0.25">
      <c r="A5181" s="6">
        <v>43708</v>
      </c>
      <c r="B5181" t="s">
        <v>15</v>
      </c>
      <c r="C5181">
        <v>61737</v>
      </c>
      <c r="D5181" t="s">
        <v>14</v>
      </c>
      <c r="E5181" s="9">
        <v>1732.1</v>
      </c>
      <c r="F5181" t="s">
        <v>15</v>
      </c>
      <c r="G5181" t="s">
        <v>15</v>
      </c>
      <c r="H5181" t="s">
        <v>15</v>
      </c>
      <c r="I5181" t="s">
        <v>15</v>
      </c>
    </row>
    <row r="5182" spans="1:9" x14ac:dyDescent="0.25">
      <c r="A5182" s="6">
        <v>43708</v>
      </c>
      <c r="B5182" t="s">
        <v>15</v>
      </c>
      <c r="C5182">
        <v>61738</v>
      </c>
      <c r="D5182" t="s">
        <v>14</v>
      </c>
      <c r="E5182" s="9">
        <v>1384.93</v>
      </c>
      <c r="F5182" t="s">
        <v>15</v>
      </c>
      <c r="G5182" t="s">
        <v>15</v>
      </c>
      <c r="H5182" t="s">
        <v>15</v>
      </c>
      <c r="I5182" t="s">
        <v>15</v>
      </c>
    </row>
    <row r="5183" spans="1:9" x14ac:dyDescent="0.25">
      <c r="A5183" s="6">
        <v>43708</v>
      </c>
      <c r="B5183" t="s">
        <v>15</v>
      </c>
      <c r="C5183">
        <v>61739</v>
      </c>
      <c r="D5183" t="s">
        <v>14</v>
      </c>
      <c r="E5183">
        <v>700.49</v>
      </c>
      <c r="F5183" t="s">
        <v>15</v>
      </c>
      <c r="G5183" t="s">
        <v>15</v>
      </c>
      <c r="H5183" t="s">
        <v>15</v>
      </c>
      <c r="I5183" t="s">
        <v>15</v>
      </c>
    </row>
    <row r="5184" spans="1:9" x14ac:dyDescent="0.25">
      <c r="A5184" s="6">
        <v>43708</v>
      </c>
      <c r="B5184" t="s">
        <v>15</v>
      </c>
      <c r="C5184">
        <v>61740</v>
      </c>
      <c r="D5184" t="s">
        <v>14</v>
      </c>
      <c r="E5184" s="9">
        <v>1129.47</v>
      </c>
      <c r="F5184" t="s">
        <v>15</v>
      </c>
      <c r="G5184" t="s">
        <v>15</v>
      </c>
      <c r="H5184" t="s">
        <v>15</v>
      </c>
      <c r="I5184" t="s">
        <v>15</v>
      </c>
    </row>
    <row r="5185" spans="1:9" x14ac:dyDescent="0.25">
      <c r="A5185" s="6">
        <v>43708</v>
      </c>
      <c r="B5185" t="s">
        <v>15</v>
      </c>
      <c r="C5185">
        <v>61741</v>
      </c>
      <c r="D5185" t="s">
        <v>14</v>
      </c>
      <c r="E5185">
        <v>463.98</v>
      </c>
      <c r="F5185" t="s">
        <v>15</v>
      </c>
      <c r="G5185" t="s">
        <v>15</v>
      </c>
      <c r="H5185" t="s">
        <v>15</v>
      </c>
      <c r="I5185" t="s">
        <v>15</v>
      </c>
    </row>
    <row r="5186" spans="1:9" x14ac:dyDescent="0.25">
      <c r="A5186" s="6">
        <v>43708</v>
      </c>
      <c r="B5186" t="s">
        <v>15</v>
      </c>
      <c r="C5186">
        <v>61742</v>
      </c>
      <c r="D5186" t="s">
        <v>14</v>
      </c>
      <c r="E5186">
        <v>722.08</v>
      </c>
      <c r="F5186" t="s">
        <v>15</v>
      </c>
      <c r="G5186" t="s">
        <v>15</v>
      </c>
      <c r="H5186" t="s">
        <v>15</v>
      </c>
      <c r="I5186" t="s">
        <v>15</v>
      </c>
    </row>
    <row r="5187" spans="1:9" x14ac:dyDescent="0.25">
      <c r="A5187" s="6">
        <v>43708</v>
      </c>
      <c r="B5187" t="s">
        <v>15</v>
      </c>
      <c r="C5187">
        <v>61743</v>
      </c>
      <c r="D5187" t="s">
        <v>14</v>
      </c>
      <c r="E5187">
        <v>539.74</v>
      </c>
      <c r="F5187" t="s">
        <v>15</v>
      </c>
      <c r="G5187" t="s">
        <v>15</v>
      </c>
      <c r="H5187" t="s">
        <v>15</v>
      </c>
      <c r="I5187" t="s">
        <v>15</v>
      </c>
    </row>
    <row r="5188" spans="1:9" x14ac:dyDescent="0.25">
      <c r="A5188" s="6">
        <v>43708</v>
      </c>
      <c r="B5188" t="s">
        <v>15</v>
      </c>
      <c r="C5188">
        <v>61744</v>
      </c>
      <c r="D5188" t="s">
        <v>14</v>
      </c>
      <c r="E5188">
        <v>502.08</v>
      </c>
      <c r="F5188" t="s">
        <v>15</v>
      </c>
      <c r="G5188" t="s">
        <v>15</v>
      </c>
      <c r="H5188" t="s">
        <v>15</v>
      </c>
      <c r="I5188" t="s">
        <v>15</v>
      </c>
    </row>
    <row r="5189" spans="1:9" x14ac:dyDescent="0.25">
      <c r="A5189" s="6">
        <v>43708</v>
      </c>
      <c r="B5189" t="s">
        <v>15</v>
      </c>
      <c r="C5189">
        <v>61745</v>
      </c>
      <c r="D5189" t="s">
        <v>14</v>
      </c>
      <c r="E5189">
        <v>630.34</v>
      </c>
      <c r="F5189" t="s">
        <v>15</v>
      </c>
      <c r="G5189" t="s">
        <v>15</v>
      </c>
      <c r="H5189" t="s">
        <v>15</v>
      </c>
      <c r="I5189" t="s">
        <v>15</v>
      </c>
    </row>
    <row r="5190" spans="1:9" x14ac:dyDescent="0.25">
      <c r="A5190" s="6">
        <v>43708</v>
      </c>
      <c r="B5190" t="s">
        <v>15</v>
      </c>
      <c r="C5190">
        <v>61746</v>
      </c>
      <c r="D5190" t="s">
        <v>14</v>
      </c>
      <c r="E5190">
        <v>641.49</v>
      </c>
      <c r="F5190" t="s">
        <v>15</v>
      </c>
      <c r="G5190" t="s">
        <v>15</v>
      </c>
      <c r="H5190" t="s">
        <v>15</v>
      </c>
      <c r="I5190" t="s">
        <v>15</v>
      </c>
    </row>
    <row r="5191" spans="1:9" x14ac:dyDescent="0.25">
      <c r="A5191" s="6">
        <v>43738</v>
      </c>
      <c r="B5191" t="s">
        <v>15</v>
      </c>
      <c r="C5191">
        <v>61747</v>
      </c>
      <c r="D5191" t="s">
        <v>14</v>
      </c>
      <c r="E5191">
        <v>582.77</v>
      </c>
      <c r="F5191" t="s">
        <v>15</v>
      </c>
      <c r="G5191" t="s">
        <v>15</v>
      </c>
      <c r="H5191" t="s">
        <v>15</v>
      </c>
      <c r="I5191" t="s">
        <v>15</v>
      </c>
    </row>
    <row r="5192" spans="1:9" x14ac:dyDescent="0.25">
      <c r="A5192" s="6">
        <v>43708</v>
      </c>
      <c r="B5192" t="s">
        <v>15</v>
      </c>
      <c r="C5192">
        <v>61748</v>
      </c>
      <c r="D5192" t="s">
        <v>14</v>
      </c>
      <c r="E5192">
        <v>528.57000000000005</v>
      </c>
      <c r="F5192" t="s">
        <v>15</v>
      </c>
      <c r="G5192" t="s">
        <v>15</v>
      </c>
      <c r="H5192" t="s">
        <v>15</v>
      </c>
      <c r="I5192" t="s">
        <v>15</v>
      </c>
    </row>
    <row r="5193" spans="1:9" x14ac:dyDescent="0.25">
      <c r="A5193" s="6">
        <v>43708</v>
      </c>
      <c r="B5193" t="s">
        <v>15</v>
      </c>
      <c r="C5193">
        <v>61749</v>
      </c>
      <c r="D5193" t="s">
        <v>14</v>
      </c>
      <c r="E5193">
        <v>487.01</v>
      </c>
      <c r="F5193" t="s">
        <v>15</v>
      </c>
      <c r="G5193" t="s">
        <v>15</v>
      </c>
      <c r="H5193" t="s">
        <v>15</v>
      </c>
      <c r="I5193" t="s">
        <v>15</v>
      </c>
    </row>
    <row r="5194" spans="1:9" x14ac:dyDescent="0.25">
      <c r="A5194" s="6">
        <v>43708</v>
      </c>
      <c r="B5194" t="s">
        <v>15</v>
      </c>
      <c r="C5194">
        <v>61842</v>
      </c>
      <c r="D5194" t="s">
        <v>14</v>
      </c>
      <c r="E5194" s="9">
        <v>1571.37</v>
      </c>
      <c r="F5194" t="s">
        <v>15</v>
      </c>
      <c r="G5194" t="s">
        <v>15</v>
      </c>
      <c r="H5194" t="s">
        <v>15</v>
      </c>
      <c r="I5194" t="s">
        <v>15</v>
      </c>
    </row>
    <row r="5195" spans="1:9" x14ac:dyDescent="0.25">
      <c r="A5195" s="6">
        <v>43708</v>
      </c>
      <c r="B5195" t="s">
        <v>15</v>
      </c>
      <c r="C5195">
        <v>61843</v>
      </c>
      <c r="D5195" t="s">
        <v>14</v>
      </c>
      <c r="E5195" s="9">
        <v>1716.68</v>
      </c>
      <c r="F5195" t="s">
        <v>15</v>
      </c>
      <c r="G5195" t="s">
        <v>15</v>
      </c>
      <c r="H5195" t="s">
        <v>15</v>
      </c>
      <c r="I5195" t="s">
        <v>15</v>
      </c>
    </row>
    <row r="5196" spans="1:9" x14ac:dyDescent="0.25">
      <c r="A5196" s="6">
        <v>43708</v>
      </c>
      <c r="B5196" t="s">
        <v>15</v>
      </c>
      <c r="C5196">
        <v>61844</v>
      </c>
      <c r="D5196" t="s">
        <v>14</v>
      </c>
      <c r="E5196" s="9">
        <v>1355.31</v>
      </c>
      <c r="F5196" t="s">
        <v>15</v>
      </c>
      <c r="G5196" t="s">
        <v>15</v>
      </c>
      <c r="H5196" t="s">
        <v>15</v>
      </c>
      <c r="I5196" t="s">
        <v>15</v>
      </c>
    </row>
    <row r="5197" spans="1:9" x14ac:dyDescent="0.25">
      <c r="A5197" s="6">
        <v>43708</v>
      </c>
      <c r="B5197" t="s">
        <v>15</v>
      </c>
      <c r="C5197">
        <v>61845</v>
      </c>
      <c r="D5197" t="s">
        <v>14</v>
      </c>
      <c r="E5197">
        <v>998.26</v>
      </c>
      <c r="F5197" t="s">
        <v>15</v>
      </c>
      <c r="G5197" t="s">
        <v>15</v>
      </c>
      <c r="H5197" t="s">
        <v>15</v>
      </c>
      <c r="I5197" t="s">
        <v>15</v>
      </c>
    </row>
    <row r="5198" spans="1:9" x14ac:dyDescent="0.25">
      <c r="A5198" s="6">
        <v>43708</v>
      </c>
      <c r="B5198" t="s">
        <v>15</v>
      </c>
      <c r="C5198">
        <v>61846</v>
      </c>
      <c r="D5198" t="s">
        <v>14</v>
      </c>
      <c r="E5198" s="9">
        <v>1110.17</v>
      </c>
      <c r="F5198" t="s">
        <v>15</v>
      </c>
      <c r="G5198" t="s">
        <v>15</v>
      </c>
      <c r="H5198" t="s">
        <v>15</v>
      </c>
      <c r="I5198" t="s">
        <v>15</v>
      </c>
    </row>
    <row r="5199" spans="1:9" x14ac:dyDescent="0.25">
      <c r="A5199" s="6">
        <v>43708</v>
      </c>
      <c r="B5199" t="s">
        <v>15</v>
      </c>
      <c r="C5199">
        <v>61847</v>
      </c>
      <c r="D5199" t="s">
        <v>14</v>
      </c>
      <c r="E5199">
        <v>463.98</v>
      </c>
      <c r="F5199" t="s">
        <v>15</v>
      </c>
      <c r="G5199" t="s">
        <v>15</v>
      </c>
      <c r="H5199" t="s">
        <v>15</v>
      </c>
      <c r="I5199" t="s">
        <v>15</v>
      </c>
    </row>
    <row r="5200" spans="1:9" x14ac:dyDescent="0.25">
      <c r="A5200" s="6">
        <v>43738</v>
      </c>
      <c r="B5200" t="s">
        <v>15</v>
      </c>
      <c r="C5200">
        <v>61848</v>
      </c>
      <c r="D5200" t="s">
        <v>14</v>
      </c>
      <c r="E5200">
        <v>759.93</v>
      </c>
      <c r="F5200" t="s">
        <v>15</v>
      </c>
      <c r="G5200" t="s">
        <v>15</v>
      </c>
      <c r="H5200" t="s">
        <v>15</v>
      </c>
      <c r="I5200" t="s">
        <v>15</v>
      </c>
    </row>
    <row r="5201" spans="1:9" x14ac:dyDescent="0.25">
      <c r="A5201" s="6">
        <v>43708</v>
      </c>
      <c r="B5201" t="s">
        <v>15</v>
      </c>
      <c r="C5201">
        <v>61849</v>
      </c>
      <c r="D5201" t="s">
        <v>14</v>
      </c>
      <c r="E5201">
        <v>149.57</v>
      </c>
      <c r="F5201" t="s">
        <v>15</v>
      </c>
      <c r="G5201" t="s">
        <v>15</v>
      </c>
      <c r="H5201" t="s">
        <v>15</v>
      </c>
      <c r="I5201" t="s">
        <v>15</v>
      </c>
    </row>
    <row r="5202" spans="1:9" x14ac:dyDescent="0.25">
      <c r="A5202" s="6">
        <v>43738</v>
      </c>
      <c r="B5202" t="s">
        <v>15</v>
      </c>
      <c r="C5202">
        <v>61850</v>
      </c>
      <c r="D5202" t="s">
        <v>14</v>
      </c>
      <c r="E5202">
        <v>488.26</v>
      </c>
      <c r="F5202" t="s">
        <v>15</v>
      </c>
      <c r="G5202" t="s">
        <v>15</v>
      </c>
      <c r="H5202" t="s">
        <v>15</v>
      </c>
      <c r="I5202" t="s">
        <v>15</v>
      </c>
    </row>
    <row r="5203" spans="1:9" x14ac:dyDescent="0.25">
      <c r="A5203" s="6">
        <v>43738</v>
      </c>
      <c r="B5203" t="s">
        <v>15</v>
      </c>
      <c r="C5203">
        <v>61851</v>
      </c>
      <c r="D5203" t="s">
        <v>14</v>
      </c>
      <c r="E5203">
        <v>433.82</v>
      </c>
      <c r="F5203" t="s">
        <v>15</v>
      </c>
      <c r="G5203" t="s">
        <v>15</v>
      </c>
      <c r="H5203" t="s">
        <v>15</v>
      </c>
      <c r="I5203" t="s">
        <v>15</v>
      </c>
    </row>
    <row r="5204" spans="1:9" x14ac:dyDescent="0.25">
      <c r="A5204" s="6">
        <v>43738</v>
      </c>
      <c r="B5204" t="s">
        <v>15</v>
      </c>
      <c r="C5204">
        <v>61852</v>
      </c>
      <c r="D5204" t="s">
        <v>14</v>
      </c>
      <c r="E5204">
        <v>60.78</v>
      </c>
      <c r="F5204" t="s">
        <v>15</v>
      </c>
      <c r="G5204" t="s">
        <v>15</v>
      </c>
      <c r="H5204" t="s">
        <v>15</v>
      </c>
      <c r="I5204" t="s">
        <v>15</v>
      </c>
    </row>
    <row r="5205" spans="1:9" x14ac:dyDescent="0.25">
      <c r="A5205" s="6">
        <v>43738</v>
      </c>
      <c r="B5205" t="s">
        <v>15</v>
      </c>
      <c r="C5205">
        <v>61853</v>
      </c>
      <c r="D5205" t="s">
        <v>14</v>
      </c>
      <c r="E5205">
        <v>295.72000000000003</v>
      </c>
      <c r="F5205" t="s">
        <v>15</v>
      </c>
      <c r="G5205" t="s">
        <v>15</v>
      </c>
      <c r="H5205" t="s">
        <v>15</v>
      </c>
      <c r="I5205" t="s">
        <v>15</v>
      </c>
    </row>
    <row r="5206" spans="1:9" x14ac:dyDescent="0.25">
      <c r="A5206" s="6">
        <v>43769</v>
      </c>
      <c r="B5206" t="s">
        <v>15</v>
      </c>
      <c r="C5206">
        <v>61854</v>
      </c>
      <c r="D5206" t="s">
        <v>14</v>
      </c>
      <c r="E5206">
        <v>290.49</v>
      </c>
      <c r="F5206" t="s">
        <v>15</v>
      </c>
      <c r="G5206" t="s">
        <v>15</v>
      </c>
      <c r="H5206" t="s">
        <v>15</v>
      </c>
      <c r="I5206" t="s">
        <v>15</v>
      </c>
    </row>
    <row r="5207" spans="1:9" x14ac:dyDescent="0.25">
      <c r="A5207" s="6">
        <v>43708</v>
      </c>
      <c r="B5207" t="s">
        <v>15</v>
      </c>
      <c r="C5207">
        <v>61897</v>
      </c>
      <c r="D5207" t="s">
        <v>14</v>
      </c>
      <c r="E5207" s="9">
        <v>1222.3</v>
      </c>
      <c r="F5207" t="s">
        <v>15</v>
      </c>
      <c r="G5207" t="s">
        <v>15</v>
      </c>
      <c r="H5207" t="s">
        <v>15</v>
      </c>
      <c r="I5207" t="s">
        <v>15</v>
      </c>
    </row>
    <row r="5208" spans="1:9" x14ac:dyDescent="0.25">
      <c r="A5208" s="6">
        <v>43738</v>
      </c>
      <c r="B5208" t="s">
        <v>15</v>
      </c>
      <c r="C5208">
        <v>61971</v>
      </c>
      <c r="D5208" t="s">
        <v>14</v>
      </c>
      <c r="E5208" s="9">
        <v>1457.45</v>
      </c>
      <c r="F5208" t="s">
        <v>15</v>
      </c>
      <c r="G5208" t="s">
        <v>15</v>
      </c>
      <c r="H5208" t="s">
        <v>15</v>
      </c>
      <c r="I5208" t="s">
        <v>15</v>
      </c>
    </row>
    <row r="5209" spans="1:9" x14ac:dyDescent="0.25">
      <c r="A5209" s="6">
        <v>43738</v>
      </c>
      <c r="B5209" t="s">
        <v>15</v>
      </c>
      <c r="C5209">
        <v>61972</v>
      </c>
      <c r="D5209" t="s">
        <v>14</v>
      </c>
      <c r="E5209" s="9">
        <v>1681.02</v>
      </c>
      <c r="F5209" t="s">
        <v>15</v>
      </c>
      <c r="G5209" t="s">
        <v>15</v>
      </c>
      <c r="H5209" t="s">
        <v>15</v>
      </c>
      <c r="I5209" t="s">
        <v>15</v>
      </c>
    </row>
    <row r="5210" spans="1:9" x14ac:dyDescent="0.25">
      <c r="A5210" s="6">
        <v>43738</v>
      </c>
      <c r="B5210" t="s">
        <v>15</v>
      </c>
      <c r="C5210">
        <v>61973</v>
      </c>
      <c r="D5210" t="s">
        <v>14</v>
      </c>
      <c r="E5210" s="9">
        <v>1415.26</v>
      </c>
      <c r="F5210" t="s">
        <v>15</v>
      </c>
      <c r="G5210" t="s">
        <v>15</v>
      </c>
      <c r="H5210" t="s">
        <v>15</v>
      </c>
      <c r="I5210" t="s">
        <v>15</v>
      </c>
    </row>
    <row r="5211" spans="1:9" x14ac:dyDescent="0.25">
      <c r="A5211" s="6">
        <v>43738</v>
      </c>
      <c r="B5211" t="s">
        <v>15</v>
      </c>
      <c r="C5211">
        <v>61974</v>
      </c>
      <c r="D5211" t="s">
        <v>14</v>
      </c>
      <c r="E5211">
        <v>998.26</v>
      </c>
      <c r="F5211" t="s">
        <v>15</v>
      </c>
      <c r="G5211" t="s">
        <v>15</v>
      </c>
      <c r="H5211" t="s">
        <v>15</v>
      </c>
      <c r="I5211" t="s">
        <v>15</v>
      </c>
    </row>
    <row r="5212" spans="1:9" x14ac:dyDescent="0.25">
      <c r="A5212" s="6">
        <v>43738</v>
      </c>
      <c r="B5212" t="s">
        <v>15</v>
      </c>
      <c r="C5212">
        <v>61975</v>
      </c>
      <c r="D5212" t="s">
        <v>14</v>
      </c>
      <c r="E5212" s="9">
        <v>1122.32</v>
      </c>
      <c r="F5212" t="s">
        <v>15</v>
      </c>
      <c r="G5212" t="s">
        <v>15</v>
      </c>
      <c r="H5212" t="s">
        <v>15</v>
      </c>
      <c r="I5212" t="s">
        <v>15</v>
      </c>
    </row>
    <row r="5213" spans="1:9" x14ac:dyDescent="0.25">
      <c r="A5213" s="6">
        <v>43738</v>
      </c>
      <c r="B5213" t="s">
        <v>15</v>
      </c>
      <c r="C5213">
        <v>61976</v>
      </c>
      <c r="D5213" t="s">
        <v>14</v>
      </c>
      <c r="E5213">
        <v>463.98</v>
      </c>
      <c r="F5213" t="s">
        <v>15</v>
      </c>
      <c r="G5213" t="s">
        <v>15</v>
      </c>
      <c r="H5213" t="s">
        <v>15</v>
      </c>
      <c r="I5213" t="s">
        <v>15</v>
      </c>
    </row>
    <row r="5214" spans="1:9" x14ac:dyDescent="0.25">
      <c r="A5214" s="6">
        <v>43738</v>
      </c>
      <c r="B5214" t="s">
        <v>15</v>
      </c>
      <c r="C5214">
        <v>61977</v>
      </c>
      <c r="D5214" t="s">
        <v>14</v>
      </c>
      <c r="E5214">
        <v>723.86</v>
      </c>
      <c r="F5214" t="s">
        <v>15</v>
      </c>
      <c r="G5214" t="s">
        <v>15</v>
      </c>
      <c r="H5214" t="s">
        <v>15</v>
      </c>
      <c r="I5214" t="s">
        <v>15</v>
      </c>
    </row>
    <row r="5215" spans="1:9" x14ac:dyDescent="0.25">
      <c r="A5215" s="6">
        <v>43738</v>
      </c>
      <c r="B5215" t="s">
        <v>15</v>
      </c>
      <c r="C5215">
        <v>61978</v>
      </c>
      <c r="D5215" t="s">
        <v>14</v>
      </c>
      <c r="E5215">
        <v>360.69</v>
      </c>
      <c r="F5215" t="s">
        <v>15</v>
      </c>
      <c r="G5215" t="s">
        <v>15</v>
      </c>
      <c r="H5215" t="s">
        <v>15</v>
      </c>
      <c r="I5215" t="s">
        <v>15</v>
      </c>
    </row>
    <row r="5216" spans="1:9" x14ac:dyDescent="0.25">
      <c r="A5216" s="6">
        <v>43769</v>
      </c>
      <c r="B5216" t="s">
        <v>15</v>
      </c>
      <c r="C5216">
        <v>61979</v>
      </c>
      <c r="D5216" t="s">
        <v>14</v>
      </c>
      <c r="E5216">
        <v>370.51</v>
      </c>
      <c r="F5216" t="s">
        <v>15</v>
      </c>
      <c r="G5216" t="s">
        <v>15</v>
      </c>
      <c r="H5216" t="s">
        <v>15</v>
      </c>
      <c r="I5216" t="s">
        <v>15</v>
      </c>
    </row>
    <row r="5217" spans="1:9" x14ac:dyDescent="0.25">
      <c r="A5217" s="6">
        <v>43738</v>
      </c>
      <c r="B5217" t="s">
        <v>15</v>
      </c>
      <c r="C5217">
        <v>61980</v>
      </c>
      <c r="D5217" t="s">
        <v>14</v>
      </c>
      <c r="E5217">
        <v>195.84</v>
      </c>
      <c r="F5217" t="s">
        <v>15</v>
      </c>
      <c r="G5217" t="s">
        <v>15</v>
      </c>
      <c r="H5217" t="s">
        <v>15</v>
      </c>
      <c r="I5217" t="s">
        <v>15</v>
      </c>
    </row>
    <row r="5218" spans="1:9" x14ac:dyDescent="0.25">
      <c r="A5218" s="6">
        <v>43738</v>
      </c>
      <c r="B5218" t="s">
        <v>15</v>
      </c>
      <c r="C5218">
        <v>61981</v>
      </c>
      <c r="D5218" t="s">
        <v>14</v>
      </c>
      <c r="E5218" s="9">
        <v>1071.92</v>
      </c>
      <c r="F5218" t="s">
        <v>15</v>
      </c>
      <c r="G5218" t="s">
        <v>15</v>
      </c>
      <c r="H5218" t="s">
        <v>15</v>
      </c>
      <c r="I5218" t="s">
        <v>15</v>
      </c>
    </row>
    <row r="5219" spans="1:9" x14ac:dyDescent="0.25">
      <c r="A5219" s="6">
        <v>43738</v>
      </c>
      <c r="B5219" t="s">
        <v>15</v>
      </c>
      <c r="C5219">
        <v>62103</v>
      </c>
      <c r="D5219" t="s">
        <v>14</v>
      </c>
      <c r="E5219" s="9">
        <v>1302.58</v>
      </c>
      <c r="F5219" t="s">
        <v>15</v>
      </c>
      <c r="G5219" t="s">
        <v>15</v>
      </c>
      <c r="H5219" t="s">
        <v>15</v>
      </c>
      <c r="I5219" t="s">
        <v>15</v>
      </c>
    </row>
    <row r="5220" spans="1:9" x14ac:dyDescent="0.25">
      <c r="A5220" s="6">
        <v>43738</v>
      </c>
      <c r="B5220" t="s">
        <v>15</v>
      </c>
      <c r="C5220">
        <v>62104</v>
      </c>
      <c r="D5220" t="s">
        <v>14</v>
      </c>
      <c r="E5220" s="9">
        <v>1816.92</v>
      </c>
      <c r="F5220" t="s">
        <v>15</v>
      </c>
      <c r="G5220" t="s">
        <v>15</v>
      </c>
      <c r="H5220" t="s">
        <v>15</v>
      </c>
      <c r="I5220" t="s">
        <v>15</v>
      </c>
    </row>
    <row r="5221" spans="1:9" x14ac:dyDescent="0.25">
      <c r="A5221" s="6">
        <v>43738</v>
      </c>
      <c r="B5221" t="s">
        <v>15</v>
      </c>
      <c r="C5221">
        <v>62105</v>
      </c>
      <c r="D5221" t="s">
        <v>14</v>
      </c>
      <c r="E5221" s="9">
        <v>1462.16</v>
      </c>
      <c r="F5221" t="s">
        <v>15</v>
      </c>
      <c r="G5221" t="s">
        <v>15</v>
      </c>
      <c r="H5221" t="s">
        <v>15</v>
      </c>
      <c r="I5221" t="s">
        <v>15</v>
      </c>
    </row>
    <row r="5222" spans="1:9" x14ac:dyDescent="0.25">
      <c r="A5222" s="6">
        <v>43738</v>
      </c>
      <c r="B5222" t="s">
        <v>15</v>
      </c>
      <c r="C5222">
        <v>62106</v>
      </c>
      <c r="D5222" t="s">
        <v>14</v>
      </c>
      <c r="E5222">
        <v>998.26</v>
      </c>
      <c r="F5222" t="s">
        <v>15</v>
      </c>
      <c r="G5222" t="s">
        <v>15</v>
      </c>
      <c r="H5222" t="s">
        <v>15</v>
      </c>
      <c r="I5222" t="s">
        <v>15</v>
      </c>
    </row>
    <row r="5223" spans="1:9" x14ac:dyDescent="0.25">
      <c r="A5223" s="6">
        <v>43738</v>
      </c>
      <c r="B5223" t="s">
        <v>15</v>
      </c>
      <c r="C5223">
        <v>62107</v>
      </c>
      <c r="D5223" t="s">
        <v>14</v>
      </c>
      <c r="E5223" s="9">
        <v>1085.5</v>
      </c>
      <c r="F5223" t="s">
        <v>15</v>
      </c>
      <c r="G5223" t="s">
        <v>15</v>
      </c>
      <c r="H5223" t="s">
        <v>15</v>
      </c>
      <c r="I5223" t="s">
        <v>15</v>
      </c>
    </row>
    <row r="5224" spans="1:9" x14ac:dyDescent="0.25">
      <c r="A5224" s="6">
        <v>43738</v>
      </c>
      <c r="B5224" t="s">
        <v>15</v>
      </c>
      <c r="C5224">
        <v>62108</v>
      </c>
      <c r="D5224" t="s">
        <v>14</v>
      </c>
      <c r="E5224">
        <v>463.98</v>
      </c>
      <c r="F5224" t="s">
        <v>15</v>
      </c>
      <c r="G5224" t="s">
        <v>15</v>
      </c>
      <c r="H5224" t="s">
        <v>15</v>
      </c>
      <c r="I5224" t="s">
        <v>15</v>
      </c>
    </row>
    <row r="5225" spans="1:9" x14ac:dyDescent="0.25">
      <c r="A5225" s="6">
        <v>43738</v>
      </c>
      <c r="B5225" t="s">
        <v>15</v>
      </c>
      <c r="C5225">
        <v>62109</v>
      </c>
      <c r="D5225" t="s">
        <v>14</v>
      </c>
      <c r="E5225">
        <v>659.74</v>
      </c>
      <c r="F5225" t="s">
        <v>15</v>
      </c>
      <c r="G5225" t="s">
        <v>15</v>
      </c>
      <c r="H5225" t="s">
        <v>15</v>
      </c>
      <c r="I5225" t="s">
        <v>15</v>
      </c>
    </row>
    <row r="5226" spans="1:9" x14ac:dyDescent="0.25">
      <c r="A5226" s="6">
        <v>43769</v>
      </c>
      <c r="B5226" t="s">
        <v>15</v>
      </c>
      <c r="C5226">
        <v>62110</v>
      </c>
      <c r="D5226" t="s">
        <v>14</v>
      </c>
      <c r="E5226">
        <v>73.36</v>
      </c>
      <c r="F5226" t="s">
        <v>15</v>
      </c>
      <c r="G5226" t="s">
        <v>15</v>
      </c>
      <c r="H5226" t="s">
        <v>15</v>
      </c>
      <c r="I5226" t="s">
        <v>15</v>
      </c>
    </row>
    <row r="5227" spans="1:9" x14ac:dyDescent="0.25">
      <c r="A5227" s="6">
        <v>43769</v>
      </c>
      <c r="B5227" t="s">
        <v>15</v>
      </c>
      <c r="C5227">
        <v>62111</v>
      </c>
      <c r="D5227" t="s">
        <v>14</v>
      </c>
      <c r="E5227">
        <v>78.09</v>
      </c>
      <c r="F5227" t="s">
        <v>15</v>
      </c>
      <c r="G5227" t="s">
        <v>15</v>
      </c>
      <c r="H5227" t="s">
        <v>15</v>
      </c>
      <c r="I5227" t="s">
        <v>15</v>
      </c>
    </row>
    <row r="5228" spans="1:9" x14ac:dyDescent="0.25">
      <c r="A5228" s="6">
        <v>43769</v>
      </c>
      <c r="B5228" t="s">
        <v>15</v>
      </c>
      <c r="C5228">
        <v>62112</v>
      </c>
      <c r="D5228" t="s">
        <v>14</v>
      </c>
      <c r="E5228">
        <v>58.53</v>
      </c>
      <c r="F5228" t="s">
        <v>15</v>
      </c>
      <c r="G5228" t="s">
        <v>15</v>
      </c>
      <c r="H5228" t="s">
        <v>15</v>
      </c>
      <c r="I5228" t="s">
        <v>15</v>
      </c>
    </row>
    <row r="5229" spans="1:9" x14ac:dyDescent="0.25">
      <c r="A5229" s="6">
        <v>43708</v>
      </c>
      <c r="B5229" t="s">
        <v>15</v>
      </c>
      <c r="C5229">
        <v>999999</v>
      </c>
      <c r="D5229" t="s">
        <v>14</v>
      </c>
      <c r="E5229" s="9">
        <v>35374.629999999997</v>
      </c>
      <c r="F5229" t="s">
        <v>15</v>
      </c>
      <c r="G5229" t="s">
        <v>15</v>
      </c>
      <c r="H5229" t="s">
        <v>15</v>
      </c>
      <c r="I5229" t="s">
        <v>15</v>
      </c>
    </row>
    <row r="5230" spans="1:9" x14ac:dyDescent="0.25">
      <c r="A5230" s="6">
        <v>43646</v>
      </c>
      <c r="B5230" t="s">
        <v>15</v>
      </c>
      <c r="C5230">
        <v>999999</v>
      </c>
      <c r="D5230" t="s">
        <v>14</v>
      </c>
      <c r="E5230" s="9">
        <v>32322</v>
      </c>
      <c r="F5230" t="s">
        <v>15</v>
      </c>
      <c r="G5230" t="s">
        <v>15</v>
      </c>
      <c r="H5230" t="s">
        <v>15</v>
      </c>
      <c r="I5230" t="s">
        <v>15</v>
      </c>
    </row>
    <row r="5231" spans="1:9" x14ac:dyDescent="0.25">
      <c r="A5231" s="6">
        <v>43404</v>
      </c>
      <c r="B5231" t="s">
        <v>15</v>
      </c>
      <c r="D5231" t="s">
        <v>17</v>
      </c>
      <c r="E5231" s="9">
        <v>22192.07</v>
      </c>
      <c r="F5231" t="s">
        <v>15</v>
      </c>
      <c r="G5231" t="s">
        <v>15</v>
      </c>
      <c r="H5231" t="s">
        <v>15</v>
      </c>
      <c r="I5231" t="s">
        <v>15</v>
      </c>
    </row>
    <row r="5232" spans="1:9" x14ac:dyDescent="0.25">
      <c r="A5232" s="6">
        <v>43708</v>
      </c>
      <c r="B5232" t="s">
        <v>15</v>
      </c>
      <c r="C5232">
        <v>999999</v>
      </c>
      <c r="D5232" t="s">
        <v>14</v>
      </c>
      <c r="E5232" s="9">
        <v>22192.07</v>
      </c>
      <c r="F5232" t="s">
        <v>15</v>
      </c>
      <c r="G5232" t="s">
        <v>15</v>
      </c>
      <c r="H5232" t="s">
        <v>15</v>
      </c>
      <c r="I5232" t="s">
        <v>15</v>
      </c>
    </row>
    <row r="5233" spans="1:9" x14ac:dyDescent="0.25">
      <c r="A5233" s="6">
        <v>43404</v>
      </c>
      <c r="B5233" t="s">
        <v>15</v>
      </c>
      <c r="D5233" t="s">
        <v>17</v>
      </c>
      <c r="E5233" s="9">
        <v>80038.09</v>
      </c>
      <c r="F5233" t="s">
        <v>15</v>
      </c>
      <c r="G5233" t="s">
        <v>15</v>
      </c>
      <c r="H5233" t="s">
        <v>15</v>
      </c>
      <c r="I5233" t="s">
        <v>15</v>
      </c>
    </row>
    <row r="5234" spans="1:9" x14ac:dyDescent="0.25">
      <c r="A5234" s="6">
        <v>43404</v>
      </c>
      <c r="B5234" t="s">
        <v>15</v>
      </c>
      <c r="D5234" t="s">
        <v>17</v>
      </c>
      <c r="E5234" s="9">
        <v>89168.67</v>
      </c>
      <c r="F5234" t="s">
        <v>15</v>
      </c>
      <c r="G5234" t="s">
        <v>15</v>
      </c>
      <c r="H5234" t="s">
        <v>15</v>
      </c>
      <c r="I5234" t="s">
        <v>15</v>
      </c>
    </row>
    <row r="5235" spans="1:9" x14ac:dyDescent="0.25">
      <c r="A5235" s="6">
        <v>43434</v>
      </c>
      <c r="B5235" t="s">
        <v>15</v>
      </c>
      <c r="D5235" t="s">
        <v>17</v>
      </c>
      <c r="E5235" s="9">
        <v>80955.259999999995</v>
      </c>
      <c r="F5235" t="s">
        <v>15</v>
      </c>
      <c r="G5235" t="s">
        <v>15</v>
      </c>
      <c r="H5235" t="s">
        <v>15</v>
      </c>
      <c r="I5235" t="s">
        <v>15</v>
      </c>
    </row>
    <row r="5236" spans="1:9" x14ac:dyDescent="0.25">
      <c r="A5236" s="6">
        <v>43434</v>
      </c>
      <c r="B5236" t="s">
        <v>15</v>
      </c>
      <c r="C5236">
        <v>1</v>
      </c>
      <c r="D5236" t="s">
        <v>17</v>
      </c>
      <c r="E5236" s="9">
        <v>1223.0899999999999</v>
      </c>
      <c r="F5236" t="s">
        <v>15</v>
      </c>
      <c r="G5236" t="s">
        <v>15</v>
      </c>
      <c r="H5236" t="s">
        <v>15</v>
      </c>
      <c r="I5236" t="s">
        <v>15</v>
      </c>
    </row>
    <row r="5237" spans="1:9" x14ac:dyDescent="0.25">
      <c r="A5237" s="6">
        <v>43434</v>
      </c>
      <c r="B5237" t="s">
        <v>15</v>
      </c>
      <c r="D5237" t="s">
        <v>17</v>
      </c>
      <c r="E5237" s="9">
        <v>85831.6</v>
      </c>
      <c r="F5237" t="s">
        <v>15</v>
      </c>
      <c r="G5237" t="s">
        <v>15</v>
      </c>
      <c r="H5237" t="s">
        <v>15</v>
      </c>
      <c r="I5237" t="s">
        <v>15</v>
      </c>
    </row>
    <row r="5238" spans="1:9" x14ac:dyDescent="0.25">
      <c r="A5238" s="6">
        <v>43465</v>
      </c>
      <c r="B5238" t="s">
        <v>15</v>
      </c>
      <c r="D5238" t="s">
        <v>17</v>
      </c>
      <c r="E5238" s="9">
        <v>82396.89</v>
      </c>
      <c r="F5238" t="s">
        <v>15</v>
      </c>
      <c r="G5238" t="s">
        <v>15</v>
      </c>
      <c r="H5238" t="s">
        <v>15</v>
      </c>
      <c r="I5238" t="s">
        <v>15</v>
      </c>
    </row>
    <row r="5239" spans="1:9" x14ac:dyDescent="0.25">
      <c r="A5239" s="6">
        <v>43465</v>
      </c>
      <c r="B5239" t="s">
        <v>15</v>
      </c>
      <c r="D5239" t="s">
        <v>17</v>
      </c>
      <c r="E5239" s="9">
        <v>87146.83</v>
      </c>
      <c r="F5239" t="s">
        <v>15</v>
      </c>
      <c r="G5239" t="s">
        <v>15</v>
      </c>
      <c r="H5239" t="s">
        <v>15</v>
      </c>
      <c r="I5239" t="s">
        <v>15</v>
      </c>
    </row>
    <row r="5240" spans="1:9" x14ac:dyDescent="0.25">
      <c r="A5240" s="6">
        <v>43496</v>
      </c>
      <c r="B5240" t="s">
        <v>15</v>
      </c>
      <c r="D5240" t="s">
        <v>17</v>
      </c>
      <c r="E5240" s="9">
        <v>83715.55</v>
      </c>
      <c r="F5240" t="s">
        <v>15</v>
      </c>
      <c r="G5240" t="s">
        <v>15</v>
      </c>
      <c r="H5240" t="s">
        <v>15</v>
      </c>
      <c r="I5240" t="s">
        <v>15</v>
      </c>
    </row>
    <row r="5241" spans="1:9" x14ac:dyDescent="0.25">
      <c r="A5241" s="6">
        <v>43496</v>
      </c>
      <c r="B5241" t="s">
        <v>15</v>
      </c>
      <c r="D5241" t="s">
        <v>17</v>
      </c>
      <c r="E5241" s="9">
        <v>83980.53</v>
      </c>
      <c r="F5241" t="s">
        <v>15</v>
      </c>
      <c r="G5241" t="s">
        <v>15</v>
      </c>
      <c r="H5241" t="s">
        <v>15</v>
      </c>
      <c r="I5241" t="s">
        <v>15</v>
      </c>
    </row>
    <row r="5242" spans="1:9" x14ac:dyDescent="0.25">
      <c r="A5242" s="6">
        <v>43496</v>
      </c>
      <c r="B5242" t="s">
        <v>15</v>
      </c>
      <c r="D5242" t="s">
        <v>17</v>
      </c>
      <c r="E5242" s="9">
        <v>81951.05</v>
      </c>
      <c r="F5242" t="s">
        <v>15</v>
      </c>
      <c r="G5242" t="s">
        <v>15</v>
      </c>
      <c r="H5242" t="s">
        <v>15</v>
      </c>
      <c r="I5242" t="s">
        <v>15</v>
      </c>
    </row>
    <row r="5243" spans="1:9" x14ac:dyDescent="0.25">
      <c r="A5243" s="6">
        <v>43524</v>
      </c>
      <c r="B5243" t="s">
        <v>15</v>
      </c>
      <c r="D5243" t="s">
        <v>17</v>
      </c>
      <c r="E5243" s="9">
        <v>83720.850000000006</v>
      </c>
      <c r="F5243" t="s">
        <v>15</v>
      </c>
      <c r="G5243" t="s">
        <v>15</v>
      </c>
      <c r="H5243" t="s">
        <v>15</v>
      </c>
      <c r="I5243" t="s">
        <v>15</v>
      </c>
    </row>
    <row r="5244" spans="1:9" x14ac:dyDescent="0.25">
      <c r="A5244" s="6">
        <v>43524</v>
      </c>
      <c r="B5244" t="s">
        <v>15</v>
      </c>
      <c r="D5244" t="s">
        <v>17</v>
      </c>
      <c r="E5244" s="9">
        <v>84496.89</v>
      </c>
      <c r="F5244" t="s">
        <v>15</v>
      </c>
      <c r="G5244" t="s">
        <v>15</v>
      </c>
      <c r="H5244" t="s">
        <v>15</v>
      </c>
      <c r="I5244" t="s">
        <v>15</v>
      </c>
    </row>
    <row r="5245" spans="1:9" x14ac:dyDescent="0.25">
      <c r="A5245" s="6">
        <v>43555</v>
      </c>
      <c r="B5245" t="s">
        <v>15</v>
      </c>
      <c r="D5245" t="s">
        <v>17</v>
      </c>
      <c r="E5245" s="9">
        <v>84461.95</v>
      </c>
      <c r="F5245" t="s">
        <v>15</v>
      </c>
      <c r="G5245" t="s">
        <v>15</v>
      </c>
      <c r="H5245" t="s">
        <v>15</v>
      </c>
      <c r="I5245" t="s">
        <v>15</v>
      </c>
    </row>
    <row r="5246" spans="1:9" x14ac:dyDescent="0.25">
      <c r="A5246" s="6">
        <v>43555</v>
      </c>
      <c r="B5246" t="s">
        <v>15</v>
      </c>
      <c r="D5246" t="s">
        <v>17</v>
      </c>
      <c r="E5246" s="9">
        <v>81156.289999999994</v>
      </c>
      <c r="F5246" t="s">
        <v>15</v>
      </c>
      <c r="G5246" t="s">
        <v>15</v>
      </c>
      <c r="H5246" t="s">
        <v>15</v>
      </c>
      <c r="I5246" t="s">
        <v>15</v>
      </c>
    </row>
    <row r="5247" spans="1:9" x14ac:dyDescent="0.25">
      <c r="A5247" s="6">
        <v>43585</v>
      </c>
      <c r="B5247" t="s">
        <v>15</v>
      </c>
      <c r="D5247" t="s">
        <v>17</v>
      </c>
      <c r="E5247" s="9">
        <v>83565.990000000005</v>
      </c>
      <c r="F5247" t="s">
        <v>15</v>
      </c>
      <c r="G5247" t="s">
        <v>15</v>
      </c>
      <c r="H5247" t="s">
        <v>15</v>
      </c>
      <c r="I5247" t="s">
        <v>15</v>
      </c>
    </row>
    <row r="5248" spans="1:9" x14ac:dyDescent="0.25">
      <c r="A5248" s="6">
        <v>43585</v>
      </c>
      <c r="B5248" t="s">
        <v>15</v>
      </c>
      <c r="D5248" t="s">
        <v>17</v>
      </c>
      <c r="E5248">
        <v>410.18</v>
      </c>
      <c r="F5248" t="s">
        <v>15</v>
      </c>
      <c r="G5248" t="s">
        <v>15</v>
      </c>
      <c r="H5248" t="s">
        <v>15</v>
      </c>
      <c r="I5248" t="s">
        <v>15</v>
      </c>
    </row>
    <row r="5249" spans="1:9" x14ac:dyDescent="0.25">
      <c r="A5249" s="6">
        <v>43585</v>
      </c>
      <c r="B5249" t="s">
        <v>15</v>
      </c>
      <c r="C5249">
        <v>60733</v>
      </c>
      <c r="D5249" t="s">
        <v>14</v>
      </c>
      <c r="E5249" s="9">
        <v>6049.46</v>
      </c>
      <c r="F5249" t="s">
        <v>15</v>
      </c>
      <c r="G5249" t="s">
        <v>15</v>
      </c>
      <c r="H5249" t="s">
        <v>15</v>
      </c>
      <c r="I5249" t="s">
        <v>15</v>
      </c>
    </row>
    <row r="5250" spans="1:9" x14ac:dyDescent="0.25">
      <c r="A5250" s="6">
        <v>43585</v>
      </c>
      <c r="B5250" t="s">
        <v>15</v>
      </c>
      <c r="C5250">
        <v>999999</v>
      </c>
      <c r="D5250" t="s">
        <v>14</v>
      </c>
      <c r="E5250">
        <v>410.18</v>
      </c>
      <c r="F5250" t="s">
        <v>15</v>
      </c>
      <c r="G5250" t="s">
        <v>15</v>
      </c>
      <c r="H5250" t="s">
        <v>15</v>
      </c>
      <c r="I5250" t="s">
        <v>15</v>
      </c>
    </row>
    <row r="5251" spans="1:9" x14ac:dyDescent="0.25">
      <c r="A5251" s="6">
        <v>43585</v>
      </c>
      <c r="B5251" t="s">
        <v>15</v>
      </c>
      <c r="D5251" t="s">
        <v>17</v>
      </c>
      <c r="E5251" s="9">
        <v>83028.5</v>
      </c>
      <c r="F5251" t="s">
        <v>15</v>
      </c>
      <c r="G5251" t="s">
        <v>15</v>
      </c>
      <c r="H5251" t="s">
        <v>15</v>
      </c>
      <c r="I5251" t="s">
        <v>15</v>
      </c>
    </row>
    <row r="5252" spans="1:9" x14ac:dyDescent="0.25">
      <c r="A5252" s="6">
        <v>43616</v>
      </c>
      <c r="B5252" t="s">
        <v>15</v>
      </c>
      <c r="D5252" t="s">
        <v>17</v>
      </c>
      <c r="E5252" s="9">
        <v>80570.09</v>
      </c>
      <c r="F5252" t="s">
        <v>15</v>
      </c>
      <c r="G5252" t="s">
        <v>15</v>
      </c>
      <c r="H5252" t="s">
        <v>15</v>
      </c>
      <c r="I5252" t="s">
        <v>15</v>
      </c>
    </row>
    <row r="5253" spans="1:9" x14ac:dyDescent="0.25">
      <c r="A5253" s="6">
        <v>43616</v>
      </c>
      <c r="B5253" t="s">
        <v>15</v>
      </c>
      <c r="D5253" t="s">
        <v>17</v>
      </c>
      <c r="E5253" s="9">
        <v>82359.149999999994</v>
      </c>
      <c r="F5253" t="s">
        <v>15</v>
      </c>
      <c r="G5253" t="s">
        <v>15</v>
      </c>
      <c r="H5253" t="s">
        <v>15</v>
      </c>
      <c r="I5253" t="s">
        <v>15</v>
      </c>
    </row>
    <row r="5254" spans="1:9" x14ac:dyDescent="0.25">
      <c r="A5254" s="6">
        <v>43646</v>
      </c>
      <c r="B5254" t="s">
        <v>15</v>
      </c>
      <c r="D5254" t="s">
        <v>17</v>
      </c>
      <c r="E5254" s="9">
        <v>84959.18</v>
      </c>
      <c r="F5254" t="s">
        <v>15</v>
      </c>
      <c r="G5254" t="s">
        <v>15</v>
      </c>
      <c r="H5254" t="s">
        <v>15</v>
      </c>
      <c r="I5254" t="s">
        <v>15</v>
      </c>
    </row>
    <row r="5255" spans="1:9" x14ac:dyDescent="0.25">
      <c r="A5255" s="6">
        <v>43646</v>
      </c>
      <c r="B5255" t="s">
        <v>15</v>
      </c>
      <c r="D5255" t="s">
        <v>17</v>
      </c>
      <c r="E5255" s="9">
        <v>89930.41</v>
      </c>
      <c r="F5255" t="s">
        <v>15</v>
      </c>
      <c r="G5255" t="s">
        <v>15</v>
      </c>
      <c r="H5255" t="s">
        <v>15</v>
      </c>
      <c r="I5255" t="s">
        <v>15</v>
      </c>
    </row>
    <row r="5256" spans="1:9" x14ac:dyDescent="0.25">
      <c r="A5256" s="6">
        <v>43677</v>
      </c>
      <c r="B5256" t="s">
        <v>15</v>
      </c>
      <c r="D5256" t="s">
        <v>17</v>
      </c>
      <c r="E5256" s="9">
        <v>87466.83</v>
      </c>
      <c r="F5256" t="s">
        <v>15</v>
      </c>
      <c r="G5256" t="s">
        <v>15</v>
      </c>
      <c r="H5256" t="s">
        <v>15</v>
      </c>
      <c r="I5256" t="s">
        <v>15</v>
      </c>
    </row>
    <row r="5257" spans="1:9" x14ac:dyDescent="0.25">
      <c r="A5257" s="6">
        <v>43677</v>
      </c>
      <c r="B5257" t="s">
        <v>15</v>
      </c>
      <c r="D5257" t="s">
        <v>17</v>
      </c>
      <c r="E5257" s="9">
        <v>91681.25</v>
      </c>
      <c r="F5257" t="s">
        <v>15</v>
      </c>
      <c r="G5257" t="s">
        <v>15</v>
      </c>
      <c r="H5257" t="s">
        <v>15</v>
      </c>
      <c r="I5257" t="s">
        <v>15</v>
      </c>
    </row>
    <row r="5258" spans="1:9" x14ac:dyDescent="0.25">
      <c r="A5258" s="6">
        <v>43677</v>
      </c>
      <c r="B5258" t="s">
        <v>15</v>
      </c>
      <c r="D5258" t="s">
        <v>17</v>
      </c>
      <c r="E5258" s="9">
        <v>90849.35</v>
      </c>
      <c r="F5258" t="s">
        <v>15</v>
      </c>
      <c r="G5258" t="s">
        <v>15</v>
      </c>
      <c r="H5258" t="s">
        <v>15</v>
      </c>
      <c r="I5258" t="s">
        <v>15</v>
      </c>
    </row>
    <row r="5259" spans="1:9" x14ac:dyDescent="0.25">
      <c r="A5259" s="6">
        <v>43677</v>
      </c>
      <c r="B5259" t="s">
        <v>15</v>
      </c>
      <c r="C5259">
        <v>1</v>
      </c>
      <c r="D5259" t="s">
        <v>17</v>
      </c>
      <c r="E5259" s="9">
        <v>1989.25</v>
      </c>
      <c r="F5259" t="s">
        <v>15</v>
      </c>
      <c r="G5259" t="s">
        <v>15</v>
      </c>
      <c r="H5259" t="s">
        <v>15</v>
      </c>
      <c r="I5259" t="s">
        <v>15</v>
      </c>
    </row>
    <row r="5260" spans="1:9" x14ac:dyDescent="0.25">
      <c r="A5260" s="6">
        <v>43708</v>
      </c>
      <c r="B5260" t="s">
        <v>15</v>
      </c>
      <c r="D5260" t="s">
        <v>17</v>
      </c>
      <c r="E5260" s="9">
        <v>86725.51</v>
      </c>
      <c r="F5260" t="s">
        <v>15</v>
      </c>
      <c r="G5260" t="s">
        <v>15</v>
      </c>
      <c r="H5260" t="s">
        <v>15</v>
      </c>
      <c r="I5260" t="s">
        <v>15</v>
      </c>
    </row>
    <row r="5261" spans="1:9" x14ac:dyDescent="0.25">
      <c r="A5261" s="6">
        <v>43708</v>
      </c>
      <c r="B5261" t="s">
        <v>15</v>
      </c>
      <c r="D5261" t="s">
        <v>17</v>
      </c>
      <c r="E5261" s="9">
        <v>85655.51</v>
      </c>
      <c r="F5261" t="s">
        <v>15</v>
      </c>
      <c r="G5261" t="s">
        <v>15</v>
      </c>
      <c r="H5261" t="s">
        <v>15</v>
      </c>
      <c r="I5261" t="s">
        <v>15</v>
      </c>
    </row>
    <row r="5262" spans="1:9" x14ac:dyDescent="0.25">
      <c r="A5262" s="6">
        <v>43738</v>
      </c>
      <c r="B5262" t="s">
        <v>15</v>
      </c>
      <c r="D5262" t="s">
        <v>17</v>
      </c>
      <c r="E5262" s="9">
        <v>86845.97</v>
      </c>
      <c r="F5262" t="s">
        <v>15</v>
      </c>
      <c r="G5262" t="s">
        <v>15</v>
      </c>
      <c r="H5262" t="s">
        <v>15</v>
      </c>
      <c r="I5262" t="s">
        <v>15</v>
      </c>
    </row>
    <row r="5263" spans="1:9" x14ac:dyDescent="0.25">
      <c r="A5263" s="6">
        <v>43738</v>
      </c>
      <c r="B5263" t="s">
        <v>15</v>
      </c>
      <c r="D5263" t="s">
        <v>17</v>
      </c>
      <c r="E5263" s="9">
        <v>85679.38</v>
      </c>
      <c r="F5263" t="s">
        <v>15</v>
      </c>
      <c r="G5263" t="s">
        <v>15</v>
      </c>
      <c r="H5263" t="s">
        <v>15</v>
      </c>
      <c r="I5263" t="s">
        <v>15</v>
      </c>
    </row>
    <row r="5265" spans="4:5" ht="15.75" thickBot="1" x14ac:dyDescent="0.3">
      <c r="D5265" t="s">
        <v>557</v>
      </c>
      <c r="E5265" s="8">
        <f>SUM(E5:E5264)</f>
        <v>30678065.130000062</v>
      </c>
    </row>
    <row r="5266" spans="4:5" ht="15.75" thickTop="1" x14ac:dyDescent="0.25"/>
  </sheetData>
  <autoFilter ref="A4:I5263" xr:uid="{2BD83F39-9B7A-4103-864C-2DE84051CCDD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0CB75-CB27-4EA9-8104-AF7DC8A47FD3}">
  <dimension ref="A1:I4990"/>
  <sheetViews>
    <sheetView workbookViewId="0">
      <pane ySplit="4" topLeftCell="A5" activePane="bottomLeft" state="frozen"/>
      <selection pane="bottomLeft"/>
    </sheetView>
  </sheetViews>
  <sheetFormatPr defaultRowHeight="15" x14ac:dyDescent="0.25"/>
  <cols>
    <col min="1" max="1" width="13.28515625" customWidth="1"/>
    <col min="2" max="2" width="11.7109375" bestFit="1" customWidth="1"/>
    <col min="3" max="3" width="9" bestFit="1" customWidth="1"/>
    <col min="4" max="4" width="54.5703125" bestFit="1" customWidth="1"/>
    <col min="5" max="5" width="14.28515625" bestFit="1" customWidth="1"/>
    <col min="6" max="6" width="8.7109375" bestFit="1" customWidth="1"/>
    <col min="7" max="7" width="13.5703125" bestFit="1" customWidth="1"/>
    <col min="8" max="8" width="22.5703125" bestFit="1" customWidth="1"/>
    <col min="9" max="9" width="36.85546875" bestFit="1" customWidth="1"/>
  </cols>
  <sheetData>
    <row r="1" spans="1:9" x14ac:dyDescent="0.25">
      <c r="A1" s="1" t="s">
        <v>0</v>
      </c>
      <c r="B1" s="1"/>
      <c r="H1" s="2" t="s">
        <v>1</v>
      </c>
      <c r="I1" s="3">
        <v>43739</v>
      </c>
    </row>
    <row r="2" spans="1:9" x14ac:dyDescent="0.25">
      <c r="A2" s="1" t="s">
        <v>2</v>
      </c>
      <c r="B2" s="1"/>
      <c r="H2" s="2" t="s">
        <v>3</v>
      </c>
      <c r="I2" s="3">
        <v>44104</v>
      </c>
    </row>
    <row r="4" spans="1:9" ht="16.5" customHeight="1" thickBot="1" x14ac:dyDescent="0.3">
      <c r="A4" s="4" t="s">
        <v>4</v>
      </c>
      <c r="B4" s="4" t="s">
        <v>5</v>
      </c>
      <c r="C4" s="5" t="s">
        <v>6</v>
      </c>
      <c r="D4" s="4" t="s">
        <v>7</v>
      </c>
      <c r="E4" s="5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x14ac:dyDescent="0.25">
      <c r="A5" s="6">
        <v>44040</v>
      </c>
      <c r="B5" t="s">
        <v>13</v>
      </c>
      <c r="C5">
        <v>64562</v>
      </c>
      <c r="D5" t="s">
        <v>91</v>
      </c>
      <c r="E5" s="7">
        <v>0</v>
      </c>
      <c r="F5" t="s">
        <v>15</v>
      </c>
      <c r="G5" t="s">
        <v>15</v>
      </c>
      <c r="H5" t="s">
        <v>15</v>
      </c>
      <c r="I5" t="s">
        <v>15</v>
      </c>
    </row>
    <row r="6" spans="1:9" x14ac:dyDescent="0.25">
      <c r="A6" s="6">
        <v>44040</v>
      </c>
      <c r="B6" t="s">
        <v>13</v>
      </c>
      <c r="C6">
        <v>64563</v>
      </c>
      <c r="D6" t="s">
        <v>91</v>
      </c>
      <c r="E6" s="7">
        <v>0</v>
      </c>
      <c r="F6" t="s">
        <v>15</v>
      </c>
      <c r="G6" t="s">
        <v>15</v>
      </c>
      <c r="H6" t="s">
        <v>15</v>
      </c>
      <c r="I6" t="s">
        <v>15</v>
      </c>
    </row>
    <row r="7" spans="1:9" x14ac:dyDescent="0.25">
      <c r="A7" s="6">
        <v>44056</v>
      </c>
      <c r="B7" t="s">
        <v>13</v>
      </c>
      <c r="C7">
        <v>64711</v>
      </c>
      <c r="D7" t="s">
        <v>14</v>
      </c>
      <c r="E7" s="7">
        <v>13689.34</v>
      </c>
      <c r="F7" t="s">
        <v>15</v>
      </c>
      <c r="G7" t="s">
        <v>15</v>
      </c>
      <c r="H7" t="s">
        <v>15</v>
      </c>
      <c r="I7" t="s">
        <v>15</v>
      </c>
    </row>
    <row r="8" spans="1:9" x14ac:dyDescent="0.25">
      <c r="A8" s="6">
        <v>43747</v>
      </c>
      <c r="B8" t="s">
        <v>16</v>
      </c>
      <c r="D8" t="s">
        <v>17</v>
      </c>
      <c r="E8" s="7">
        <v>87265.78</v>
      </c>
      <c r="F8" t="s">
        <v>15</v>
      </c>
      <c r="G8" t="s">
        <v>15</v>
      </c>
      <c r="H8" t="s">
        <v>15</v>
      </c>
      <c r="I8" t="s">
        <v>15</v>
      </c>
    </row>
    <row r="9" spans="1:9" x14ac:dyDescent="0.25">
      <c r="A9" s="6">
        <v>43762</v>
      </c>
      <c r="B9" t="s">
        <v>16</v>
      </c>
      <c r="D9" t="s">
        <v>17</v>
      </c>
      <c r="E9" s="7">
        <v>92607.48</v>
      </c>
      <c r="F9" t="s">
        <v>15</v>
      </c>
      <c r="G9" t="s">
        <v>15</v>
      </c>
      <c r="H9" t="s">
        <v>15</v>
      </c>
      <c r="I9" t="s">
        <v>15</v>
      </c>
    </row>
    <row r="10" spans="1:9" x14ac:dyDescent="0.25">
      <c r="A10" s="6">
        <v>43776</v>
      </c>
      <c r="B10" t="s">
        <v>16</v>
      </c>
      <c r="D10" t="s">
        <v>17</v>
      </c>
      <c r="E10" s="7">
        <v>87620.46</v>
      </c>
      <c r="F10" t="s">
        <v>15</v>
      </c>
      <c r="G10" t="s">
        <v>15</v>
      </c>
      <c r="H10" t="s">
        <v>15</v>
      </c>
      <c r="I10" t="s">
        <v>15</v>
      </c>
    </row>
    <row r="11" spans="1:9" x14ac:dyDescent="0.25">
      <c r="A11" s="6">
        <v>43790</v>
      </c>
      <c r="B11" t="s">
        <v>16</v>
      </c>
      <c r="D11" t="s">
        <v>17</v>
      </c>
      <c r="E11" s="7">
        <v>91192.37</v>
      </c>
      <c r="F11" t="s">
        <v>15</v>
      </c>
      <c r="G11" t="s">
        <v>15</v>
      </c>
      <c r="H11" t="s">
        <v>15</v>
      </c>
      <c r="I11" t="s">
        <v>15</v>
      </c>
    </row>
    <row r="12" spans="1:9" x14ac:dyDescent="0.25">
      <c r="A12" s="6">
        <v>43804</v>
      </c>
      <c r="B12" t="s">
        <v>16</v>
      </c>
      <c r="D12" t="s">
        <v>17</v>
      </c>
      <c r="E12" s="7">
        <v>95878.16</v>
      </c>
      <c r="F12" t="s">
        <v>15</v>
      </c>
      <c r="G12" t="s">
        <v>15</v>
      </c>
      <c r="H12" t="s">
        <v>15</v>
      </c>
      <c r="I12" t="s">
        <v>15</v>
      </c>
    </row>
    <row r="13" spans="1:9" x14ac:dyDescent="0.25">
      <c r="A13" s="6">
        <v>43818</v>
      </c>
      <c r="B13" t="s">
        <v>16</v>
      </c>
      <c r="D13" t="s">
        <v>17</v>
      </c>
      <c r="E13" s="7">
        <v>92329.83</v>
      </c>
      <c r="F13" t="s">
        <v>15</v>
      </c>
      <c r="G13" t="s">
        <v>15</v>
      </c>
      <c r="H13" t="s">
        <v>15</v>
      </c>
      <c r="I13" t="s">
        <v>15</v>
      </c>
    </row>
    <row r="14" spans="1:9" x14ac:dyDescent="0.25">
      <c r="A14" s="6">
        <v>43830</v>
      </c>
      <c r="B14" t="s">
        <v>16</v>
      </c>
      <c r="D14" t="s">
        <v>17</v>
      </c>
      <c r="E14" s="7">
        <v>94978.69</v>
      </c>
      <c r="F14" t="s">
        <v>15</v>
      </c>
      <c r="G14" t="s">
        <v>15</v>
      </c>
      <c r="H14" t="s">
        <v>15</v>
      </c>
      <c r="I14" t="s">
        <v>15</v>
      </c>
    </row>
    <row r="15" spans="1:9" x14ac:dyDescent="0.25">
      <c r="A15" s="6">
        <v>43846</v>
      </c>
      <c r="B15" t="s">
        <v>16</v>
      </c>
      <c r="D15" t="s">
        <v>17</v>
      </c>
      <c r="E15" s="7">
        <v>94039.03</v>
      </c>
      <c r="F15" t="s">
        <v>15</v>
      </c>
      <c r="G15" t="s">
        <v>15</v>
      </c>
      <c r="H15" t="s">
        <v>15</v>
      </c>
      <c r="I15" t="s">
        <v>15</v>
      </c>
    </row>
    <row r="16" spans="1:9" x14ac:dyDescent="0.25">
      <c r="A16" s="6">
        <v>43860</v>
      </c>
      <c r="B16" t="s">
        <v>16</v>
      </c>
      <c r="D16" t="s">
        <v>17</v>
      </c>
      <c r="E16" s="7">
        <v>92678.38</v>
      </c>
      <c r="F16" t="s">
        <v>15</v>
      </c>
      <c r="G16" t="s">
        <v>15</v>
      </c>
      <c r="H16" t="s">
        <v>15</v>
      </c>
      <c r="I16" t="s">
        <v>15</v>
      </c>
    </row>
    <row r="17" spans="1:9" x14ac:dyDescent="0.25">
      <c r="A17" s="6">
        <v>43874</v>
      </c>
      <c r="B17" t="s">
        <v>16</v>
      </c>
      <c r="D17" t="s">
        <v>17</v>
      </c>
      <c r="E17" s="7">
        <v>89077.48</v>
      </c>
      <c r="F17" t="s">
        <v>15</v>
      </c>
      <c r="G17" t="s">
        <v>15</v>
      </c>
      <c r="H17" t="s">
        <v>15</v>
      </c>
      <c r="I17" t="s">
        <v>15</v>
      </c>
    </row>
    <row r="18" spans="1:9" x14ac:dyDescent="0.25">
      <c r="A18" s="6">
        <v>43888</v>
      </c>
      <c r="B18" t="s">
        <v>16</v>
      </c>
      <c r="D18" t="s">
        <v>17</v>
      </c>
      <c r="E18" s="7">
        <v>91475.61</v>
      </c>
      <c r="F18" t="s">
        <v>15</v>
      </c>
      <c r="G18" t="s">
        <v>15</v>
      </c>
      <c r="H18" t="s">
        <v>15</v>
      </c>
      <c r="I18" t="s">
        <v>15</v>
      </c>
    </row>
    <row r="19" spans="1:9" x14ac:dyDescent="0.25">
      <c r="A19" s="6">
        <v>43902</v>
      </c>
      <c r="B19" t="s">
        <v>16</v>
      </c>
      <c r="D19" t="s">
        <v>17</v>
      </c>
      <c r="E19" s="7">
        <v>91221.53</v>
      </c>
      <c r="F19" t="s">
        <v>15</v>
      </c>
      <c r="G19" t="s">
        <v>15</v>
      </c>
      <c r="H19" t="s">
        <v>15</v>
      </c>
      <c r="I19" t="s">
        <v>15</v>
      </c>
    </row>
    <row r="20" spans="1:9" x14ac:dyDescent="0.25">
      <c r="A20" s="6">
        <v>43916</v>
      </c>
      <c r="B20" t="s">
        <v>16</v>
      </c>
      <c r="D20" t="s">
        <v>17</v>
      </c>
      <c r="E20" s="7">
        <v>91457.24</v>
      </c>
      <c r="F20" t="s">
        <v>15</v>
      </c>
      <c r="G20" t="s">
        <v>15</v>
      </c>
      <c r="H20" t="s">
        <v>15</v>
      </c>
      <c r="I20" t="s">
        <v>15</v>
      </c>
    </row>
    <row r="21" spans="1:9" x14ac:dyDescent="0.25">
      <c r="A21" s="6">
        <v>43930</v>
      </c>
      <c r="B21" t="s">
        <v>16</v>
      </c>
      <c r="D21" t="s">
        <v>17</v>
      </c>
      <c r="E21" s="7">
        <v>90064.16</v>
      </c>
      <c r="F21" t="s">
        <v>15</v>
      </c>
      <c r="G21" t="s">
        <v>15</v>
      </c>
      <c r="H21" t="s">
        <v>15</v>
      </c>
      <c r="I21" t="s">
        <v>15</v>
      </c>
    </row>
    <row r="22" spans="1:9" x14ac:dyDescent="0.25">
      <c r="A22" s="6">
        <v>43944</v>
      </c>
      <c r="B22" t="s">
        <v>16</v>
      </c>
      <c r="D22" t="s">
        <v>17</v>
      </c>
      <c r="E22" s="7">
        <v>89683.66</v>
      </c>
      <c r="F22" t="s">
        <v>15</v>
      </c>
      <c r="G22" t="s">
        <v>15</v>
      </c>
      <c r="H22" t="s">
        <v>15</v>
      </c>
      <c r="I22" t="s">
        <v>15</v>
      </c>
    </row>
    <row r="23" spans="1:9" x14ac:dyDescent="0.25">
      <c r="A23" s="6">
        <v>43958</v>
      </c>
      <c r="B23" t="s">
        <v>16</v>
      </c>
      <c r="D23" t="s">
        <v>17</v>
      </c>
      <c r="E23" s="7">
        <v>86824.31</v>
      </c>
      <c r="F23" t="s">
        <v>15</v>
      </c>
      <c r="G23" t="s">
        <v>15</v>
      </c>
      <c r="H23" t="s">
        <v>15</v>
      </c>
      <c r="I23" t="s">
        <v>15</v>
      </c>
    </row>
    <row r="24" spans="1:9" x14ac:dyDescent="0.25">
      <c r="A24" s="6">
        <v>43972</v>
      </c>
      <c r="B24" t="s">
        <v>16</v>
      </c>
      <c r="D24" t="s">
        <v>17</v>
      </c>
      <c r="E24" s="7">
        <v>86850.94</v>
      </c>
      <c r="F24" t="s">
        <v>15</v>
      </c>
      <c r="G24" t="s">
        <v>15</v>
      </c>
      <c r="H24" t="s">
        <v>15</v>
      </c>
      <c r="I24" t="s">
        <v>15</v>
      </c>
    </row>
    <row r="25" spans="1:9" x14ac:dyDescent="0.25">
      <c r="A25" s="6">
        <v>43986</v>
      </c>
      <c r="B25" t="s">
        <v>16</v>
      </c>
      <c r="D25" t="s">
        <v>17</v>
      </c>
      <c r="E25" s="7">
        <v>84251.24</v>
      </c>
      <c r="F25" t="s">
        <v>15</v>
      </c>
      <c r="G25" t="s">
        <v>15</v>
      </c>
      <c r="H25" t="s">
        <v>15</v>
      </c>
      <c r="I25" t="s">
        <v>15</v>
      </c>
    </row>
    <row r="26" spans="1:9" x14ac:dyDescent="0.25">
      <c r="A26" s="6">
        <v>44000</v>
      </c>
      <c r="B26" t="s">
        <v>16</v>
      </c>
      <c r="D26" t="s">
        <v>17</v>
      </c>
      <c r="E26" s="7">
        <v>82269.899999999994</v>
      </c>
      <c r="F26" t="s">
        <v>15</v>
      </c>
      <c r="G26" t="s">
        <v>15</v>
      </c>
      <c r="H26" t="s">
        <v>15</v>
      </c>
      <c r="I26" t="s">
        <v>15</v>
      </c>
    </row>
    <row r="27" spans="1:9" x14ac:dyDescent="0.25">
      <c r="A27" s="6">
        <v>44014</v>
      </c>
      <c r="B27" t="s">
        <v>16</v>
      </c>
      <c r="D27" t="s">
        <v>17</v>
      </c>
      <c r="E27" s="7">
        <v>85720.07</v>
      </c>
      <c r="F27" t="s">
        <v>15</v>
      </c>
      <c r="G27" t="s">
        <v>15</v>
      </c>
      <c r="H27" t="s">
        <v>15</v>
      </c>
      <c r="I27" t="s">
        <v>15</v>
      </c>
    </row>
    <row r="28" spans="1:9" x14ac:dyDescent="0.25">
      <c r="A28" s="6">
        <v>44028</v>
      </c>
      <c r="B28" t="s">
        <v>16</v>
      </c>
      <c r="D28" t="s">
        <v>17</v>
      </c>
      <c r="E28" s="7">
        <v>88107.26</v>
      </c>
      <c r="F28" t="s">
        <v>15</v>
      </c>
      <c r="G28" t="s">
        <v>15</v>
      </c>
      <c r="H28" t="s">
        <v>15</v>
      </c>
      <c r="I28" t="s">
        <v>15</v>
      </c>
    </row>
    <row r="29" spans="1:9" x14ac:dyDescent="0.25">
      <c r="A29" s="6">
        <v>44042</v>
      </c>
      <c r="B29" t="s">
        <v>16</v>
      </c>
      <c r="D29" t="s">
        <v>17</v>
      </c>
      <c r="E29" s="7">
        <v>74849.119999999995</v>
      </c>
      <c r="F29" t="s">
        <v>15</v>
      </c>
      <c r="G29" t="s">
        <v>15</v>
      </c>
      <c r="H29" t="s">
        <v>15</v>
      </c>
      <c r="I29" t="s">
        <v>15</v>
      </c>
    </row>
    <row r="30" spans="1:9" x14ac:dyDescent="0.25">
      <c r="A30" s="6">
        <v>44056</v>
      </c>
      <c r="B30" t="s">
        <v>16</v>
      </c>
      <c r="D30" t="s">
        <v>17</v>
      </c>
      <c r="E30" s="7">
        <v>75577.22</v>
      </c>
      <c r="F30" t="s">
        <v>15</v>
      </c>
      <c r="G30" t="s">
        <v>15</v>
      </c>
      <c r="H30" t="s">
        <v>15</v>
      </c>
      <c r="I30" t="s">
        <v>15</v>
      </c>
    </row>
    <row r="31" spans="1:9" x14ac:dyDescent="0.25">
      <c r="A31" s="6">
        <v>44070</v>
      </c>
      <c r="B31" t="s">
        <v>16</v>
      </c>
      <c r="D31" t="s">
        <v>17</v>
      </c>
      <c r="E31" s="7">
        <v>75935.34</v>
      </c>
      <c r="F31" t="s">
        <v>15</v>
      </c>
      <c r="G31" t="s">
        <v>15</v>
      </c>
      <c r="H31" t="s">
        <v>15</v>
      </c>
      <c r="I31" t="s">
        <v>15</v>
      </c>
    </row>
    <row r="32" spans="1:9" x14ac:dyDescent="0.25">
      <c r="A32" s="6">
        <v>44084</v>
      </c>
      <c r="B32" t="s">
        <v>16</v>
      </c>
      <c r="D32" t="s">
        <v>17</v>
      </c>
      <c r="E32" s="7">
        <v>75916.789999999994</v>
      </c>
      <c r="F32" t="s">
        <v>15</v>
      </c>
      <c r="G32" t="s">
        <v>15</v>
      </c>
      <c r="H32" t="s">
        <v>15</v>
      </c>
      <c r="I32" t="s">
        <v>15</v>
      </c>
    </row>
    <row r="33" spans="1:9" x14ac:dyDescent="0.25">
      <c r="A33" s="6">
        <v>44098</v>
      </c>
      <c r="B33" t="s">
        <v>16</v>
      </c>
      <c r="D33" t="s">
        <v>17</v>
      </c>
      <c r="E33" s="7">
        <v>77364.23</v>
      </c>
      <c r="F33" t="s">
        <v>15</v>
      </c>
      <c r="G33" t="s">
        <v>15</v>
      </c>
      <c r="H33" t="s">
        <v>15</v>
      </c>
      <c r="I33" t="s">
        <v>15</v>
      </c>
    </row>
    <row r="34" spans="1:9" x14ac:dyDescent="0.25">
      <c r="A34" s="6">
        <v>44098</v>
      </c>
      <c r="B34" t="s">
        <v>16</v>
      </c>
      <c r="D34" t="s">
        <v>17</v>
      </c>
      <c r="E34" s="7">
        <v>77364.23</v>
      </c>
      <c r="F34" t="s">
        <v>15</v>
      </c>
      <c r="G34" t="s">
        <v>15</v>
      </c>
      <c r="H34" t="s">
        <v>15</v>
      </c>
      <c r="I34" t="s">
        <v>15</v>
      </c>
    </row>
    <row r="35" spans="1:9" x14ac:dyDescent="0.25">
      <c r="A35" s="6">
        <v>43747</v>
      </c>
      <c r="B35" t="s">
        <v>13</v>
      </c>
      <c r="C35">
        <v>62242</v>
      </c>
      <c r="D35" t="s">
        <v>14</v>
      </c>
      <c r="E35" s="7">
        <v>1145.8599999999999</v>
      </c>
      <c r="F35" t="s">
        <v>15</v>
      </c>
      <c r="G35" t="s">
        <v>15</v>
      </c>
      <c r="H35" t="s">
        <v>15</v>
      </c>
      <c r="I35" t="s">
        <v>15</v>
      </c>
    </row>
    <row r="36" spans="1:9" x14ac:dyDescent="0.25">
      <c r="A36" s="6">
        <v>43747</v>
      </c>
      <c r="B36" t="s">
        <v>13</v>
      </c>
      <c r="C36">
        <v>62243</v>
      </c>
      <c r="D36" t="s">
        <v>14</v>
      </c>
      <c r="E36" s="7">
        <v>1537.42</v>
      </c>
      <c r="F36" t="s">
        <v>15</v>
      </c>
      <c r="G36" t="s">
        <v>15</v>
      </c>
      <c r="H36" t="s">
        <v>15</v>
      </c>
      <c r="I36" t="s">
        <v>15</v>
      </c>
    </row>
    <row r="37" spans="1:9" x14ac:dyDescent="0.25">
      <c r="A37" s="6">
        <v>43747</v>
      </c>
      <c r="B37" t="s">
        <v>13</v>
      </c>
      <c r="C37">
        <v>62244</v>
      </c>
      <c r="D37" t="s">
        <v>14</v>
      </c>
      <c r="E37" s="7">
        <v>1417.73</v>
      </c>
      <c r="F37" t="s">
        <v>15</v>
      </c>
      <c r="G37" t="s">
        <v>15</v>
      </c>
      <c r="H37" t="s">
        <v>15</v>
      </c>
      <c r="I37" t="s">
        <v>15</v>
      </c>
    </row>
    <row r="38" spans="1:9" x14ac:dyDescent="0.25">
      <c r="A38" s="6">
        <v>43747</v>
      </c>
      <c r="B38" t="s">
        <v>13</v>
      </c>
      <c r="C38">
        <v>62245</v>
      </c>
      <c r="D38" t="s">
        <v>14</v>
      </c>
      <c r="E38" s="7">
        <v>1109.8</v>
      </c>
      <c r="F38" t="s">
        <v>15</v>
      </c>
      <c r="G38" t="s">
        <v>15</v>
      </c>
      <c r="H38" t="s">
        <v>15</v>
      </c>
      <c r="I38" t="s">
        <v>15</v>
      </c>
    </row>
    <row r="39" spans="1:9" x14ac:dyDescent="0.25">
      <c r="A39" s="6">
        <v>43762</v>
      </c>
      <c r="B39" t="s">
        <v>13</v>
      </c>
      <c r="C39">
        <v>62324</v>
      </c>
      <c r="D39" t="s">
        <v>14</v>
      </c>
      <c r="E39" s="7">
        <v>1117.3</v>
      </c>
      <c r="F39" t="s">
        <v>15</v>
      </c>
      <c r="G39" t="s">
        <v>15</v>
      </c>
      <c r="H39" t="s">
        <v>15</v>
      </c>
      <c r="I39" t="s">
        <v>15</v>
      </c>
    </row>
    <row r="40" spans="1:9" x14ac:dyDescent="0.25">
      <c r="A40" s="6">
        <v>43762</v>
      </c>
      <c r="B40" t="s">
        <v>13</v>
      </c>
      <c r="C40">
        <v>62325</v>
      </c>
      <c r="D40" t="s">
        <v>14</v>
      </c>
      <c r="E40" s="7">
        <v>1613.38</v>
      </c>
      <c r="F40" t="s">
        <v>15</v>
      </c>
      <c r="G40" t="s">
        <v>15</v>
      </c>
      <c r="H40" t="s">
        <v>15</v>
      </c>
      <c r="I40" t="s">
        <v>15</v>
      </c>
    </row>
    <row r="41" spans="1:9" x14ac:dyDescent="0.25">
      <c r="A41" s="6">
        <v>43762</v>
      </c>
      <c r="B41" t="s">
        <v>13</v>
      </c>
      <c r="C41">
        <v>62326</v>
      </c>
      <c r="D41" t="s">
        <v>14</v>
      </c>
      <c r="E41" s="7">
        <v>1714.75</v>
      </c>
      <c r="F41" t="s">
        <v>15</v>
      </c>
      <c r="G41" t="s">
        <v>15</v>
      </c>
      <c r="H41" t="s">
        <v>15</v>
      </c>
      <c r="I41" t="s">
        <v>15</v>
      </c>
    </row>
    <row r="42" spans="1:9" x14ac:dyDescent="0.25">
      <c r="A42" s="6">
        <v>43762</v>
      </c>
      <c r="B42" t="s">
        <v>13</v>
      </c>
      <c r="C42">
        <v>62327</v>
      </c>
      <c r="D42" t="s">
        <v>14</v>
      </c>
      <c r="E42" s="7">
        <v>1577.82</v>
      </c>
      <c r="F42" t="s">
        <v>15</v>
      </c>
      <c r="G42" t="s">
        <v>15</v>
      </c>
      <c r="H42" t="s">
        <v>15</v>
      </c>
      <c r="I42" t="s">
        <v>15</v>
      </c>
    </row>
    <row r="43" spans="1:9" x14ac:dyDescent="0.25">
      <c r="A43" s="6">
        <v>43762</v>
      </c>
      <c r="B43" t="s">
        <v>13</v>
      </c>
      <c r="C43">
        <v>62328</v>
      </c>
      <c r="D43" t="s">
        <v>14</v>
      </c>
      <c r="E43" s="7">
        <v>2058.41</v>
      </c>
      <c r="F43" t="s">
        <v>15</v>
      </c>
      <c r="G43" t="s">
        <v>15</v>
      </c>
      <c r="H43" t="s">
        <v>15</v>
      </c>
      <c r="I43" t="s">
        <v>15</v>
      </c>
    </row>
    <row r="44" spans="1:9" x14ac:dyDescent="0.25">
      <c r="A44" s="6">
        <v>43762</v>
      </c>
      <c r="B44" t="s">
        <v>13</v>
      </c>
      <c r="C44">
        <v>62329</v>
      </c>
      <c r="D44" t="s">
        <v>14</v>
      </c>
      <c r="E44" s="7">
        <v>1159.1099999999999</v>
      </c>
      <c r="F44" t="s">
        <v>15</v>
      </c>
      <c r="G44" t="s">
        <v>15</v>
      </c>
      <c r="H44" t="s">
        <v>15</v>
      </c>
      <c r="I44" t="s">
        <v>15</v>
      </c>
    </row>
    <row r="45" spans="1:9" x14ac:dyDescent="0.25">
      <c r="A45" s="6">
        <v>43777</v>
      </c>
      <c r="B45" t="s">
        <v>13</v>
      </c>
      <c r="C45">
        <v>62446</v>
      </c>
      <c r="D45" t="s">
        <v>14</v>
      </c>
      <c r="E45" s="7">
        <v>1376.33</v>
      </c>
      <c r="F45" t="s">
        <v>15</v>
      </c>
      <c r="G45" t="s">
        <v>15</v>
      </c>
      <c r="H45" t="s">
        <v>15</v>
      </c>
      <c r="I45" t="s">
        <v>15</v>
      </c>
    </row>
    <row r="46" spans="1:9" x14ac:dyDescent="0.25">
      <c r="A46" s="6">
        <v>43777</v>
      </c>
      <c r="B46" t="s">
        <v>13</v>
      </c>
      <c r="C46">
        <v>62447</v>
      </c>
      <c r="D46" t="s">
        <v>14</v>
      </c>
      <c r="E46" s="7">
        <v>1908.47</v>
      </c>
      <c r="F46" t="s">
        <v>15</v>
      </c>
      <c r="G46" t="s">
        <v>15</v>
      </c>
      <c r="H46" t="s">
        <v>15</v>
      </c>
      <c r="I46" t="s">
        <v>15</v>
      </c>
    </row>
    <row r="47" spans="1:9" x14ac:dyDescent="0.25">
      <c r="A47" s="6">
        <v>43777</v>
      </c>
      <c r="B47" t="s">
        <v>13</v>
      </c>
      <c r="C47">
        <v>62448</v>
      </c>
      <c r="D47" t="s">
        <v>14</v>
      </c>
      <c r="E47" s="7">
        <v>1345.09</v>
      </c>
      <c r="F47" t="s">
        <v>15</v>
      </c>
      <c r="G47" t="s">
        <v>15</v>
      </c>
      <c r="H47" t="s">
        <v>15</v>
      </c>
      <c r="I47" t="s">
        <v>15</v>
      </c>
    </row>
    <row r="48" spans="1:9" x14ac:dyDescent="0.25">
      <c r="A48" s="6">
        <v>43777</v>
      </c>
      <c r="B48" t="s">
        <v>13</v>
      </c>
      <c r="C48">
        <v>62450</v>
      </c>
      <c r="D48" t="s">
        <v>14</v>
      </c>
      <c r="E48" s="7">
        <v>1114.0899999999999</v>
      </c>
      <c r="F48" t="s">
        <v>15</v>
      </c>
      <c r="G48" t="s">
        <v>15</v>
      </c>
      <c r="H48" t="s">
        <v>15</v>
      </c>
      <c r="I48" t="s">
        <v>15</v>
      </c>
    </row>
    <row r="49" spans="1:9" x14ac:dyDescent="0.25">
      <c r="A49" s="6">
        <v>43788</v>
      </c>
      <c r="B49" t="s">
        <v>13</v>
      </c>
      <c r="C49">
        <v>62570</v>
      </c>
      <c r="D49" t="s">
        <v>14</v>
      </c>
      <c r="E49" s="7">
        <v>3641.75</v>
      </c>
      <c r="F49" t="s">
        <v>15</v>
      </c>
      <c r="G49" t="s">
        <v>15</v>
      </c>
      <c r="H49" t="s">
        <v>15</v>
      </c>
      <c r="I49" t="s">
        <v>15</v>
      </c>
    </row>
    <row r="50" spans="1:9" x14ac:dyDescent="0.25">
      <c r="A50" s="6">
        <v>43791</v>
      </c>
      <c r="B50" t="s">
        <v>13</v>
      </c>
      <c r="C50">
        <v>62571</v>
      </c>
      <c r="D50" t="s">
        <v>14</v>
      </c>
      <c r="E50" s="7">
        <v>1061.57</v>
      </c>
      <c r="F50" t="s">
        <v>15</v>
      </c>
      <c r="G50" t="s">
        <v>15</v>
      </c>
      <c r="H50" t="s">
        <v>15</v>
      </c>
      <c r="I50" t="s">
        <v>15</v>
      </c>
    </row>
    <row r="51" spans="1:9" x14ac:dyDescent="0.25">
      <c r="A51" s="6">
        <v>43791</v>
      </c>
      <c r="B51" t="s">
        <v>13</v>
      </c>
      <c r="C51">
        <v>62572</v>
      </c>
      <c r="D51" t="s">
        <v>14</v>
      </c>
      <c r="E51" s="7">
        <v>1633.79</v>
      </c>
      <c r="F51" t="s">
        <v>15</v>
      </c>
      <c r="G51" t="s">
        <v>15</v>
      </c>
      <c r="H51" t="s">
        <v>15</v>
      </c>
      <c r="I51" t="s">
        <v>15</v>
      </c>
    </row>
    <row r="52" spans="1:9" x14ac:dyDescent="0.25">
      <c r="A52" s="6">
        <v>43791</v>
      </c>
      <c r="B52" t="s">
        <v>13</v>
      </c>
      <c r="C52">
        <v>62573</v>
      </c>
      <c r="D52" t="s">
        <v>14</v>
      </c>
      <c r="E52" s="7">
        <v>1232.26</v>
      </c>
      <c r="F52" t="s">
        <v>15</v>
      </c>
      <c r="G52" t="s">
        <v>15</v>
      </c>
      <c r="H52" t="s">
        <v>15</v>
      </c>
      <c r="I52" t="s">
        <v>15</v>
      </c>
    </row>
    <row r="53" spans="1:9" x14ac:dyDescent="0.25">
      <c r="A53" s="6">
        <v>43791</v>
      </c>
      <c r="B53" t="s">
        <v>13</v>
      </c>
      <c r="C53">
        <v>62575</v>
      </c>
      <c r="D53" t="s">
        <v>14</v>
      </c>
      <c r="E53" s="7">
        <v>1092.6500000000001</v>
      </c>
      <c r="F53" t="s">
        <v>15</v>
      </c>
      <c r="G53" t="s">
        <v>15</v>
      </c>
      <c r="H53" t="s">
        <v>15</v>
      </c>
      <c r="I53" t="s">
        <v>15</v>
      </c>
    </row>
    <row r="54" spans="1:9" x14ac:dyDescent="0.25">
      <c r="A54" s="6">
        <v>43805</v>
      </c>
      <c r="B54" t="s">
        <v>13</v>
      </c>
      <c r="C54">
        <v>62689</v>
      </c>
      <c r="D54" t="s">
        <v>14</v>
      </c>
      <c r="E54" s="7">
        <v>1194.5899999999999</v>
      </c>
      <c r="F54" t="s">
        <v>15</v>
      </c>
      <c r="G54" t="s">
        <v>15</v>
      </c>
      <c r="H54" t="s">
        <v>15</v>
      </c>
      <c r="I54" t="s">
        <v>15</v>
      </c>
    </row>
    <row r="55" spans="1:9" x14ac:dyDescent="0.25">
      <c r="A55" s="6">
        <v>43805</v>
      </c>
      <c r="B55" t="s">
        <v>13</v>
      </c>
      <c r="C55">
        <v>62690</v>
      </c>
      <c r="D55" t="s">
        <v>14</v>
      </c>
      <c r="E55" s="7">
        <v>1544.16</v>
      </c>
      <c r="F55" t="s">
        <v>15</v>
      </c>
      <c r="G55" t="s">
        <v>15</v>
      </c>
      <c r="H55" t="s">
        <v>15</v>
      </c>
      <c r="I55" t="s">
        <v>15</v>
      </c>
    </row>
    <row r="56" spans="1:9" x14ac:dyDescent="0.25">
      <c r="A56" s="6">
        <v>43805</v>
      </c>
      <c r="B56" t="s">
        <v>13</v>
      </c>
      <c r="C56">
        <v>62691</v>
      </c>
      <c r="D56" t="s">
        <v>14</v>
      </c>
      <c r="E56" s="7">
        <v>1512.58</v>
      </c>
      <c r="F56" t="s">
        <v>15</v>
      </c>
      <c r="G56" t="s">
        <v>15</v>
      </c>
      <c r="H56" t="s">
        <v>15</v>
      </c>
      <c r="I56" t="s">
        <v>15</v>
      </c>
    </row>
    <row r="57" spans="1:9" x14ac:dyDescent="0.25">
      <c r="A57" s="6">
        <v>43805</v>
      </c>
      <c r="B57" t="s">
        <v>13</v>
      </c>
      <c r="C57">
        <v>62693</v>
      </c>
      <c r="D57" t="s">
        <v>14</v>
      </c>
      <c r="E57" s="7">
        <v>1123.3800000000001</v>
      </c>
      <c r="F57" t="s">
        <v>15</v>
      </c>
      <c r="G57" t="s">
        <v>15</v>
      </c>
      <c r="H57" t="s">
        <v>15</v>
      </c>
      <c r="I57" t="s">
        <v>15</v>
      </c>
    </row>
    <row r="58" spans="1:9" x14ac:dyDescent="0.25">
      <c r="A58" s="6">
        <v>43819</v>
      </c>
      <c r="B58" t="s">
        <v>13</v>
      </c>
      <c r="C58">
        <v>62821</v>
      </c>
      <c r="D58" t="s">
        <v>14</v>
      </c>
      <c r="E58" s="7">
        <v>1395.75</v>
      </c>
      <c r="F58" t="s">
        <v>15</v>
      </c>
      <c r="G58" t="s">
        <v>15</v>
      </c>
      <c r="H58" t="s">
        <v>15</v>
      </c>
      <c r="I58" t="s">
        <v>15</v>
      </c>
    </row>
    <row r="59" spans="1:9" x14ac:dyDescent="0.25">
      <c r="A59" s="6">
        <v>43819</v>
      </c>
      <c r="B59" t="s">
        <v>13</v>
      </c>
      <c r="C59">
        <v>62822</v>
      </c>
      <c r="D59" t="s">
        <v>14</v>
      </c>
      <c r="E59" s="7">
        <v>1638.62</v>
      </c>
      <c r="F59" t="s">
        <v>15</v>
      </c>
      <c r="G59" t="s">
        <v>15</v>
      </c>
      <c r="H59" t="s">
        <v>15</v>
      </c>
      <c r="I59" t="s">
        <v>15</v>
      </c>
    </row>
    <row r="60" spans="1:9" x14ac:dyDescent="0.25">
      <c r="A60" s="6">
        <v>43819</v>
      </c>
      <c r="B60" t="s">
        <v>13</v>
      </c>
      <c r="C60">
        <v>62823</v>
      </c>
      <c r="D60" t="s">
        <v>14</v>
      </c>
      <c r="E60" s="7">
        <v>1393.76</v>
      </c>
      <c r="F60" t="s">
        <v>15</v>
      </c>
      <c r="G60" t="s">
        <v>15</v>
      </c>
      <c r="H60" t="s">
        <v>15</v>
      </c>
      <c r="I60" t="s">
        <v>15</v>
      </c>
    </row>
    <row r="61" spans="1:9" x14ac:dyDescent="0.25">
      <c r="A61" s="6">
        <v>43819</v>
      </c>
      <c r="B61" t="s">
        <v>13</v>
      </c>
      <c r="C61">
        <v>62824</v>
      </c>
      <c r="D61" t="s">
        <v>14</v>
      </c>
      <c r="E61" s="7">
        <v>1126.24</v>
      </c>
      <c r="F61" t="s">
        <v>15</v>
      </c>
      <c r="G61" t="s">
        <v>15</v>
      </c>
      <c r="H61" t="s">
        <v>15</v>
      </c>
      <c r="I61" t="s">
        <v>15</v>
      </c>
    </row>
    <row r="62" spans="1:9" x14ac:dyDescent="0.25">
      <c r="A62" s="6">
        <v>43830</v>
      </c>
      <c r="B62" t="s">
        <v>13</v>
      </c>
      <c r="C62">
        <v>62977</v>
      </c>
      <c r="D62" t="s">
        <v>14</v>
      </c>
      <c r="E62" s="7">
        <v>1270.96</v>
      </c>
      <c r="F62" t="s">
        <v>15</v>
      </c>
      <c r="G62" t="s">
        <v>15</v>
      </c>
      <c r="H62" t="s">
        <v>15</v>
      </c>
      <c r="I62" t="s">
        <v>15</v>
      </c>
    </row>
    <row r="63" spans="1:9" x14ac:dyDescent="0.25">
      <c r="A63" s="6">
        <v>43830</v>
      </c>
      <c r="B63" t="s">
        <v>13</v>
      </c>
      <c r="C63">
        <v>62978</v>
      </c>
      <c r="D63" t="s">
        <v>14</v>
      </c>
      <c r="E63" s="7">
        <v>1562.47</v>
      </c>
      <c r="F63" t="s">
        <v>15</v>
      </c>
      <c r="G63" t="s">
        <v>15</v>
      </c>
      <c r="H63" t="s">
        <v>15</v>
      </c>
      <c r="I63" t="s">
        <v>15</v>
      </c>
    </row>
    <row r="64" spans="1:9" x14ac:dyDescent="0.25">
      <c r="A64" s="6">
        <v>43830</v>
      </c>
      <c r="B64" t="s">
        <v>13</v>
      </c>
      <c r="C64">
        <v>62979</v>
      </c>
      <c r="D64" t="s">
        <v>14</v>
      </c>
      <c r="E64" s="7">
        <v>1351.43</v>
      </c>
      <c r="F64" t="s">
        <v>15</v>
      </c>
      <c r="G64" t="s">
        <v>15</v>
      </c>
      <c r="H64" t="s">
        <v>15</v>
      </c>
      <c r="I64" t="s">
        <v>15</v>
      </c>
    </row>
    <row r="65" spans="1:9" x14ac:dyDescent="0.25">
      <c r="A65" s="6">
        <v>43830</v>
      </c>
      <c r="B65" t="s">
        <v>13</v>
      </c>
      <c r="C65">
        <v>62980</v>
      </c>
      <c r="D65" t="s">
        <v>14</v>
      </c>
      <c r="E65" s="7">
        <v>1185.56</v>
      </c>
      <c r="F65" t="s">
        <v>15</v>
      </c>
      <c r="G65" t="s">
        <v>15</v>
      </c>
      <c r="H65" t="s">
        <v>15</v>
      </c>
      <c r="I65" t="s">
        <v>15</v>
      </c>
    </row>
    <row r="66" spans="1:9" x14ac:dyDescent="0.25">
      <c r="A66" s="6">
        <v>43847</v>
      </c>
      <c r="B66" t="s">
        <v>13</v>
      </c>
      <c r="C66">
        <v>63098</v>
      </c>
      <c r="D66" t="s">
        <v>14</v>
      </c>
      <c r="E66" s="7">
        <v>1301.99</v>
      </c>
      <c r="F66" t="s">
        <v>15</v>
      </c>
      <c r="G66" t="s">
        <v>15</v>
      </c>
      <c r="H66" t="s">
        <v>15</v>
      </c>
      <c r="I66" t="s">
        <v>15</v>
      </c>
    </row>
    <row r="67" spans="1:9" x14ac:dyDescent="0.25">
      <c r="A67" s="6">
        <v>43847</v>
      </c>
      <c r="B67" t="s">
        <v>13</v>
      </c>
      <c r="C67">
        <v>63099</v>
      </c>
      <c r="D67" t="s">
        <v>14</v>
      </c>
      <c r="E67" s="7">
        <v>1648.98</v>
      </c>
      <c r="F67" t="s">
        <v>15</v>
      </c>
      <c r="G67" t="s">
        <v>15</v>
      </c>
      <c r="H67" t="s">
        <v>15</v>
      </c>
      <c r="I67" t="s">
        <v>15</v>
      </c>
    </row>
    <row r="68" spans="1:9" x14ac:dyDescent="0.25">
      <c r="A68" s="6">
        <v>43847</v>
      </c>
      <c r="B68" t="s">
        <v>13</v>
      </c>
      <c r="C68">
        <v>63100</v>
      </c>
      <c r="D68" t="s">
        <v>14</v>
      </c>
      <c r="E68" s="7">
        <v>1539.76</v>
      </c>
      <c r="F68" t="s">
        <v>15</v>
      </c>
      <c r="G68" t="s">
        <v>15</v>
      </c>
      <c r="H68" t="s">
        <v>15</v>
      </c>
      <c r="I68" t="s">
        <v>15</v>
      </c>
    </row>
    <row r="69" spans="1:9" x14ac:dyDescent="0.25">
      <c r="A69" s="6">
        <v>43847</v>
      </c>
      <c r="B69" t="s">
        <v>13</v>
      </c>
      <c r="C69">
        <v>63101</v>
      </c>
      <c r="D69" t="s">
        <v>14</v>
      </c>
      <c r="E69" s="7">
        <v>1085.6300000000001</v>
      </c>
      <c r="F69" t="s">
        <v>15</v>
      </c>
      <c r="G69" t="s">
        <v>15</v>
      </c>
      <c r="H69" t="s">
        <v>15</v>
      </c>
      <c r="I69" t="s">
        <v>15</v>
      </c>
    </row>
    <row r="70" spans="1:9" x14ac:dyDescent="0.25">
      <c r="A70" s="6">
        <v>43861</v>
      </c>
      <c r="B70" t="s">
        <v>13</v>
      </c>
      <c r="C70">
        <v>63197</v>
      </c>
      <c r="D70" t="s">
        <v>14</v>
      </c>
      <c r="E70" s="7">
        <v>1071.52</v>
      </c>
      <c r="F70" t="s">
        <v>15</v>
      </c>
      <c r="G70" t="s">
        <v>15</v>
      </c>
      <c r="H70" t="s">
        <v>15</v>
      </c>
      <c r="I70" t="s">
        <v>15</v>
      </c>
    </row>
    <row r="71" spans="1:9" x14ac:dyDescent="0.25">
      <c r="A71" s="6">
        <v>43861</v>
      </c>
      <c r="B71" t="s">
        <v>13</v>
      </c>
      <c r="C71">
        <v>63198</v>
      </c>
      <c r="D71" t="s">
        <v>14</v>
      </c>
      <c r="E71" s="7">
        <v>2021.98</v>
      </c>
      <c r="F71" t="s">
        <v>15</v>
      </c>
      <c r="G71" t="s">
        <v>15</v>
      </c>
      <c r="H71" t="s">
        <v>15</v>
      </c>
      <c r="I71" t="s">
        <v>15</v>
      </c>
    </row>
    <row r="72" spans="1:9" x14ac:dyDescent="0.25">
      <c r="A72" s="6">
        <v>43861</v>
      </c>
      <c r="B72" t="s">
        <v>13</v>
      </c>
      <c r="C72">
        <v>63199</v>
      </c>
      <c r="D72" t="s">
        <v>14</v>
      </c>
      <c r="E72" s="7">
        <v>1216.07</v>
      </c>
      <c r="F72" t="s">
        <v>15</v>
      </c>
      <c r="G72" t="s">
        <v>15</v>
      </c>
      <c r="H72" t="s">
        <v>15</v>
      </c>
      <c r="I72" t="s">
        <v>15</v>
      </c>
    </row>
    <row r="73" spans="1:9" x14ac:dyDescent="0.25">
      <c r="A73" s="6">
        <v>43861</v>
      </c>
      <c r="B73" t="s">
        <v>13</v>
      </c>
      <c r="C73">
        <v>63200</v>
      </c>
      <c r="D73" t="s">
        <v>14</v>
      </c>
      <c r="E73" s="7">
        <v>1102.78</v>
      </c>
      <c r="F73" t="s">
        <v>15</v>
      </c>
      <c r="G73" t="s">
        <v>15</v>
      </c>
      <c r="H73" t="s">
        <v>15</v>
      </c>
      <c r="I73" t="s">
        <v>15</v>
      </c>
    </row>
    <row r="74" spans="1:9" x14ac:dyDescent="0.25">
      <c r="A74" s="6">
        <v>43875</v>
      </c>
      <c r="B74" t="s">
        <v>13</v>
      </c>
      <c r="C74">
        <v>63326</v>
      </c>
      <c r="D74" t="s">
        <v>14</v>
      </c>
      <c r="E74" s="7">
        <v>1063.6199999999999</v>
      </c>
      <c r="F74" t="s">
        <v>15</v>
      </c>
      <c r="G74" t="s">
        <v>15</v>
      </c>
      <c r="H74" t="s">
        <v>15</v>
      </c>
      <c r="I74" t="s">
        <v>15</v>
      </c>
    </row>
    <row r="75" spans="1:9" x14ac:dyDescent="0.25">
      <c r="A75" s="6">
        <v>43875</v>
      </c>
      <c r="B75" t="s">
        <v>13</v>
      </c>
      <c r="C75">
        <v>63327</v>
      </c>
      <c r="D75" t="s">
        <v>14</v>
      </c>
      <c r="E75" s="7">
        <v>1634.52</v>
      </c>
      <c r="F75" t="s">
        <v>15</v>
      </c>
      <c r="G75" t="s">
        <v>15</v>
      </c>
      <c r="H75" t="s">
        <v>15</v>
      </c>
      <c r="I75" t="s">
        <v>15</v>
      </c>
    </row>
    <row r="76" spans="1:9" x14ac:dyDescent="0.25">
      <c r="A76" s="6">
        <v>43875</v>
      </c>
      <c r="B76" t="s">
        <v>13</v>
      </c>
      <c r="C76">
        <v>63328</v>
      </c>
      <c r="D76" t="s">
        <v>14</v>
      </c>
      <c r="E76" s="7">
        <v>1400.48</v>
      </c>
      <c r="F76" t="s">
        <v>15</v>
      </c>
      <c r="G76" t="s">
        <v>15</v>
      </c>
      <c r="H76" t="s">
        <v>15</v>
      </c>
      <c r="I76" t="s">
        <v>15</v>
      </c>
    </row>
    <row r="77" spans="1:9" x14ac:dyDescent="0.25">
      <c r="A77" s="6">
        <v>43875</v>
      </c>
      <c r="B77" t="s">
        <v>13</v>
      </c>
      <c r="C77">
        <v>63329</v>
      </c>
      <c r="D77" t="s">
        <v>14</v>
      </c>
      <c r="E77" s="7">
        <v>1149.96</v>
      </c>
      <c r="F77" t="s">
        <v>15</v>
      </c>
      <c r="G77" t="s">
        <v>15</v>
      </c>
      <c r="H77" t="s">
        <v>15</v>
      </c>
      <c r="I77" t="s">
        <v>15</v>
      </c>
    </row>
    <row r="78" spans="1:9" x14ac:dyDescent="0.25">
      <c r="A78" s="6">
        <v>43886</v>
      </c>
      <c r="B78" t="s">
        <v>13</v>
      </c>
      <c r="C78">
        <v>63441</v>
      </c>
      <c r="D78" t="s">
        <v>14</v>
      </c>
      <c r="E78" s="7">
        <v>1037.29</v>
      </c>
      <c r="F78" t="s">
        <v>15</v>
      </c>
      <c r="G78" t="s">
        <v>15</v>
      </c>
      <c r="H78" t="s">
        <v>15</v>
      </c>
      <c r="I78" t="s">
        <v>15</v>
      </c>
    </row>
    <row r="79" spans="1:9" x14ac:dyDescent="0.25">
      <c r="A79" s="6">
        <v>43886</v>
      </c>
      <c r="B79" t="s">
        <v>13</v>
      </c>
      <c r="C79">
        <v>63442</v>
      </c>
      <c r="D79" t="s">
        <v>14</v>
      </c>
      <c r="E79" s="7">
        <v>1618.13</v>
      </c>
      <c r="F79" t="s">
        <v>15</v>
      </c>
      <c r="G79" t="s">
        <v>15</v>
      </c>
      <c r="H79" t="s">
        <v>15</v>
      </c>
      <c r="I79" t="s">
        <v>15</v>
      </c>
    </row>
    <row r="80" spans="1:9" x14ac:dyDescent="0.25">
      <c r="A80" s="6">
        <v>43886</v>
      </c>
      <c r="B80" t="s">
        <v>13</v>
      </c>
      <c r="C80">
        <v>63443</v>
      </c>
      <c r="D80" t="s">
        <v>14</v>
      </c>
      <c r="E80" s="7">
        <v>1167.42</v>
      </c>
      <c r="F80" t="s">
        <v>15</v>
      </c>
      <c r="G80" t="s">
        <v>15</v>
      </c>
      <c r="H80" t="s">
        <v>15</v>
      </c>
      <c r="I80" t="s">
        <v>15</v>
      </c>
    </row>
    <row r="81" spans="1:9" x14ac:dyDescent="0.25">
      <c r="A81" s="6">
        <v>43886</v>
      </c>
      <c r="B81" t="s">
        <v>13</v>
      </c>
      <c r="C81">
        <v>63444</v>
      </c>
      <c r="D81" t="s">
        <v>14</v>
      </c>
      <c r="E81" s="7">
        <v>1199.99</v>
      </c>
      <c r="F81" t="s">
        <v>15</v>
      </c>
      <c r="G81" t="s">
        <v>15</v>
      </c>
      <c r="H81" t="s">
        <v>15</v>
      </c>
      <c r="I81" t="s">
        <v>15</v>
      </c>
    </row>
    <row r="82" spans="1:9" x14ac:dyDescent="0.25">
      <c r="A82" s="6">
        <v>43903</v>
      </c>
      <c r="B82" t="s">
        <v>13</v>
      </c>
      <c r="C82">
        <v>63580</v>
      </c>
      <c r="D82" t="s">
        <v>14</v>
      </c>
      <c r="E82" s="7">
        <v>1199.27</v>
      </c>
      <c r="F82" t="s">
        <v>15</v>
      </c>
      <c r="G82" t="s">
        <v>15</v>
      </c>
      <c r="H82" t="s">
        <v>15</v>
      </c>
      <c r="I82" t="s">
        <v>15</v>
      </c>
    </row>
    <row r="83" spans="1:9" x14ac:dyDescent="0.25">
      <c r="A83" s="6">
        <v>43903</v>
      </c>
      <c r="B83" t="s">
        <v>13</v>
      </c>
      <c r="C83">
        <v>63581</v>
      </c>
      <c r="D83" t="s">
        <v>14</v>
      </c>
      <c r="E83" s="7">
        <v>1619.11</v>
      </c>
      <c r="F83" t="s">
        <v>15</v>
      </c>
      <c r="G83" t="s">
        <v>15</v>
      </c>
      <c r="H83" t="s">
        <v>15</v>
      </c>
      <c r="I83" t="s">
        <v>15</v>
      </c>
    </row>
    <row r="84" spans="1:9" x14ac:dyDescent="0.25">
      <c r="A84" s="6">
        <v>43903</v>
      </c>
      <c r="B84" t="s">
        <v>13</v>
      </c>
      <c r="C84">
        <v>63582</v>
      </c>
      <c r="D84" t="s">
        <v>14</v>
      </c>
      <c r="E84" s="7">
        <v>1819.71</v>
      </c>
      <c r="F84" t="s">
        <v>15</v>
      </c>
      <c r="G84" t="s">
        <v>15</v>
      </c>
      <c r="H84" t="s">
        <v>15</v>
      </c>
      <c r="I84" t="s">
        <v>15</v>
      </c>
    </row>
    <row r="85" spans="1:9" x14ac:dyDescent="0.25">
      <c r="A85" s="6">
        <v>43903</v>
      </c>
      <c r="B85" t="s">
        <v>13</v>
      </c>
      <c r="C85">
        <v>63583</v>
      </c>
      <c r="D85" t="s">
        <v>14</v>
      </c>
      <c r="E85" s="7">
        <v>1144.24</v>
      </c>
      <c r="F85" t="s">
        <v>15</v>
      </c>
      <c r="G85" t="s">
        <v>15</v>
      </c>
      <c r="H85" t="s">
        <v>15</v>
      </c>
      <c r="I85" t="s">
        <v>15</v>
      </c>
    </row>
    <row r="86" spans="1:9" x14ac:dyDescent="0.25">
      <c r="A86" s="6">
        <v>43916</v>
      </c>
      <c r="B86" t="s">
        <v>13</v>
      </c>
      <c r="C86">
        <v>63713</v>
      </c>
      <c r="D86" t="s">
        <v>14</v>
      </c>
      <c r="E86" s="7">
        <v>1394.18</v>
      </c>
      <c r="F86" t="s">
        <v>15</v>
      </c>
      <c r="G86" t="s">
        <v>15</v>
      </c>
      <c r="H86" t="s">
        <v>15</v>
      </c>
      <c r="I86" t="s">
        <v>15</v>
      </c>
    </row>
    <row r="87" spans="1:9" x14ac:dyDescent="0.25">
      <c r="A87" s="6">
        <v>43916</v>
      </c>
      <c r="B87" t="s">
        <v>13</v>
      </c>
      <c r="C87">
        <v>63714</v>
      </c>
      <c r="D87" t="s">
        <v>14</v>
      </c>
      <c r="E87" s="7">
        <v>1621.99</v>
      </c>
      <c r="F87" t="s">
        <v>15</v>
      </c>
      <c r="G87" t="s">
        <v>15</v>
      </c>
      <c r="H87" t="s">
        <v>15</v>
      </c>
      <c r="I87" t="s">
        <v>15</v>
      </c>
    </row>
    <row r="88" spans="1:9" x14ac:dyDescent="0.25">
      <c r="A88" s="6">
        <v>43916</v>
      </c>
      <c r="B88" t="s">
        <v>13</v>
      </c>
      <c r="C88">
        <v>63715</v>
      </c>
      <c r="D88" t="s">
        <v>14</v>
      </c>
      <c r="E88" s="7">
        <v>1317.63</v>
      </c>
      <c r="F88" t="s">
        <v>15</v>
      </c>
      <c r="G88" t="s">
        <v>15</v>
      </c>
      <c r="H88" t="s">
        <v>15</v>
      </c>
      <c r="I88" t="s">
        <v>15</v>
      </c>
    </row>
    <row r="89" spans="1:9" x14ac:dyDescent="0.25">
      <c r="A89" s="6">
        <v>43916</v>
      </c>
      <c r="B89" t="s">
        <v>13</v>
      </c>
      <c r="C89">
        <v>63716</v>
      </c>
      <c r="D89" t="s">
        <v>14</v>
      </c>
      <c r="E89" s="7">
        <v>1171.3900000000001</v>
      </c>
      <c r="F89" t="s">
        <v>15</v>
      </c>
      <c r="G89" t="s">
        <v>15</v>
      </c>
      <c r="H89" t="s">
        <v>15</v>
      </c>
      <c r="I89" t="s">
        <v>15</v>
      </c>
    </row>
    <row r="90" spans="1:9" x14ac:dyDescent="0.25">
      <c r="A90" s="6">
        <v>43916</v>
      </c>
      <c r="B90" t="s">
        <v>13</v>
      </c>
      <c r="C90">
        <v>63717</v>
      </c>
      <c r="D90" t="s">
        <v>14</v>
      </c>
      <c r="E90" s="7">
        <v>1022.12</v>
      </c>
      <c r="F90" t="s">
        <v>15</v>
      </c>
      <c r="G90" t="s">
        <v>15</v>
      </c>
      <c r="H90" t="s">
        <v>15</v>
      </c>
      <c r="I90" t="s">
        <v>15</v>
      </c>
    </row>
    <row r="91" spans="1:9" x14ac:dyDescent="0.25">
      <c r="A91" s="6">
        <v>43931</v>
      </c>
      <c r="B91" t="s">
        <v>13</v>
      </c>
      <c r="C91">
        <v>63783</v>
      </c>
      <c r="D91" t="s">
        <v>14</v>
      </c>
      <c r="E91" s="7">
        <v>1192.68</v>
      </c>
      <c r="F91" t="s">
        <v>15</v>
      </c>
      <c r="G91" t="s">
        <v>15</v>
      </c>
      <c r="H91" t="s">
        <v>15</v>
      </c>
      <c r="I91" t="s">
        <v>15</v>
      </c>
    </row>
    <row r="92" spans="1:9" x14ac:dyDescent="0.25">
      <c r="A92" s="6">
        <v>43931</v>
      </c>
      <c r="B92" t="s">
        <v>13</v>
      </c>
      <c r="C92">
        <v>63784</v>
      </c>
      <c r="D92" t="s">
        <v>14</v>
      </c>
      <c r="E92" s="7">
        <v>2164.62</v>
      </c>
      <c r="F92" t="s">
        <v>15</v>
      </c>
      <c r="G92" t="s">
        <v>15</v>
      </c>
      <c r="H92" t="s">
        <v>15</v>
      </c>
      <c r="I92" t="s">
        <v>15</v>
      </c>
    </row>
    <row r="93" spans="1:9" x14ac:dyDescent="0.25">
      <c r="A93" s="6">
        <v>43931</v>
      </c>
      <c r="B93" t="s">
        <v>13</v>
      </c>
      <c r="C93">
        <v>63785</v>
      </c>
      <c r="D93" t="s">
        <v>14</v>
      </c>
      <c r="E93" s="7">
        <v>1888.83</v>
      </c>
      <c r="F93" t="s">
        <v>15</v>
      </c>
      <c r="G93" t="s">
        <v>15</v>
      </c>
      <c r="H93" t="s">
        <v>15</v>
      </c>
      <c r="I93" t="s">
        <v>15</v>
      </c>
    </row>
    <row r="94" spans="1:9" x14ac:dyDescent="0.25">
      <c r="A94" s="6">
        <v>43931</v>
      </c>
      <c r="B94" t="s">
        <v>13</v>
      </c>
      <c r="C94">
        <v>63786</v>
      </c>
      <c r="D94" t="s">
        <v>14</v>
      </c>
      <c r="E94" s="7">
        <v>1085.6300000000001</v>
      </c>
      <c r="F94" t="s">
        <v>15</v>
      </c>
      <c r="G94" t="s">
        <v>15</v>
      </c>
      <c r="H94" t="s">
        <v>15</v>
      </c>
      <c r="I94" t="s">
        <v>15</v>
      </c>
    </row>
    <row r="95" spans="1:9" x14ac:dyDescent="0.25">
      <c r="A95" s="6">
        <v>43945</v>
      </c>
      <c r="B95" t="s">
        <v>13</v>
      </c>
      <c r="C95">
        <v>63809</v>
      </c>
      <c r="D95" t="s">
        <v>14</v>
      </c>
      <c r="E95" s="7">
        <v>1856.2</v>
      </c>
      <c r="F95" t="s">
        <v>15</v>
      </c>
      <c r="G95" t="s">
        <v>15</v>
      </c>
      <c r="H95" t="s">
        <v>15</v>
      </c>
      <c r="I95" t="s">
        <v>15</v>
      </c>
    </row>
    <row r="96" spans="1:9" x14ac:dyDescent="0.25">
      <c r="A96" s="6">
        <v>43945</v>
      </c>
      <c r="B96" t="s">
        <v>13</v>
      </c>
      <c r="C96">
        <v>63810</v>
      </c>
      <c r="D96" t="s">
        <v>14</v>
      </c>
      <c r="E96" s="7">
        <v>1349</v>
      </c>
      <c r="F96" t="s">
        <v>15</v>
      </c>
      <c r="G96" t="s">
        <v>15</v>
      </c>
      <c r="H96" t="s">
        <v>15</v>
      </c>
      <c r="I96" t="s">
        <v>15</v>
      </c>
    </row>
    <row r="97" spans="1:9" x14ac:dyDescent="0.25">
      <c r="A97" s="6">
        <v>43945</v>
      </c>
      <c r="B97" t="s">
        <v>13</v>
      </c>
      <c r="C97">
        <v>63811</v>
      </c>
      <c r="D97" t="s">
        <v>14</v>
      </c>
      <c r="E97" s="7">
        <v>1167.46</v>
      </c>
      <c r="F97" t="s">
        <v>15</v>
      </c>
      <c r="G97" t="s">
        <v>15</v>
      </c>
      <c r="H97" t="s">
        <v>15</v>
      </c>
      <c r="I97" t="s">
        <v>15</v>
      </c>
    </row>
    <row r="98" spans="1:9" x14ac:dyDescent="0.25">
      <c r="A98" s="6">
        <v>43949</v>
      </c>
      <c r="B98" t="s">
        <v>13</v>
      </c>
      <c r="C98">
        <v>63866</v>
      </c>
      <c r="D98" t="s">
        <v>14</v>
      </c>
      <c r="E98" s="7">
        <v>2529.0500000000002</v>
      </c>
      <c r="F98" t="s">
        <v>15</v>
      </c>
      <c r="G98" t="s">
        <v>15</v>
      </c>
      <c r="H98" t="s">
        <v>15</v>
      </c>
      <c r="I98" t="s">
        <v>15</v>
      </c>
    </row>
    <row r="99" spans="1:9" x14ac:dyDescent="0.25">
      <c r="A99" s="6">
        <v>43949</v>
      </c>
      <c r="B99" t="s">
        <v>13</v>
      </c>
      <c r="C99">
        <v>63867</v>
      </c>
      <c r="D99" t="s">
        <v>14</v>
      </c>
      <c r="E99" s="7">
        <v>2823.36</v>
      </c>
      <c r="F99" t="s">
        <v>15</v>
      </c>
      <c r="G99" t="s">
        <v>15</v>
      </c>
      <c r="H99" t="s">
        <v>15</v>
      </c>
      <c r="I99" t="s">
        <v>15</v>
      </c>
    </row>
    <row r="100" spans="1:9" x14ac:dyDescent="0.25">
      <c r="A100" s="6">
        <v>43959</v>
      </c>
      <c r="B100" t="s">
        <v>13</v>
      </c>
      <c r="C100">
        <v>63909</v>
      </c>
      <c r="D100" t="s">
        <v>14</v>
      </c>
      <c r="E100" s="7">
        <v>1054.4000000000001</v>
      </c>
      <c r="F100" t="s">
        <v>15</v>
      </c>
      <c r="G100" t="s">
        <v>15</v>
      </c>
      <c r="H100" t="s">
        <v>15</v>
      </c>
      <c r="I100" t="s">
        <v>15</v>
      </c>
    </row>
    <row r="101" spans="1:9" x14ac:dyDescent="0.25">
      <c r="A101" s="6">
        <v>43959</v>
      </c>
      <c r="B101" t="s">
        <v>13</v>
      </c>
      <c r="C101">
        <v>63910</v>
      </c>
      <c r="D101" t="s">
        <v>14</v>
      </c>
      <c r="E101" s="7">
        <v>1632.11</v>
      </c>
      <c r="F101" t="s">
        <v>15</v>
      </c>
      <c r="G101" t="s">
        <v>15</v>
      </c>
      <c r="H101" t="s">
        <v>15</v>
      </c>
      <c r="I101" t="s">
        <v>15</v>
      </c>
    </row>
    <row r="102" spans="1:9" x14ac:dyDescent="0.25">
      <c r="A102" s="6">
        <v>43959</v>
      </c>
      <c r="B102" t="s">
        <v>13</v>
      </c>
      <c r="C102">
        <v>63911</v>
      </c>
      <c r="D102" t="s">
        <v>14</v>
      </c>
      <c r="E102" s="7">
        <v>1317.63</v>
      </c>
      <c r="F102" t="s">
        <v>15</v>
      </c>
      <c r="G102" t="s">
        <v>15</v>
      </c>
      <c r="H102" t="s">
        <v>15</v>
      </c>
      <c r="I102" t="s">
        <v>15</v>
      </c>
    </row>
    <row r="103" spans="1:9" x14ac:dyDescent="0.25">
      <c r="A103" s="6">
        <v>43959</v>
      </c>
      <c r="B103" t="s">
        <v>13</v>
      </c>
      <c r="C103">
        <v>63912</v>
      </c>
      <c r="D103" t="s">
        <v>14</v>
      </c>
      <c r="E103" s="7">
        <v>1107.07</v>
      </c>
      <c r="F103" t="s">
        <v>15</v>
      </c>
      <c r="G103" t="s">
        <v>15</v>
      </c>
      <c r="H103" t="s">
        <v>15</v>
      </c>
      <c r="I103" t="s">
        <v>15</v>
      </c>
    </row>
    <row r="104" spans="1:9" x14ac:dyDescent="0.25">
      <c r="A104" s="6">
        <v>43973</v>
      </c>
      <c r="B104" t="s">
        <v>13</v>
      </c>
      <c r="C104">
        <v>64028</v>
      </c>
      <c r="D104" t="s">
        <v>14</v>
      </c>
      <c r="E104" s="7">
        <v>1139.99</v>
      </c>
      <c r="F104" t="s">
        <v>15</v>
      </c>
      <c r="G104" t="s">
        <v>15</v>
      </c>
      <c r="H104" t="s">
        <v>15</v>
      </c>
      <c r="I104" t="s">
        <v>15</v>
      </c>
    </row>
    <row r="105" spans="1:9" x14ac:dyDescent="0.25">
      <c r="A105" s="6">
        <v>43973</v>
      </c>
      <c r="B105" t="s">
        <v>13</v>
      </c>
      <c r="C105">
        <v>64029</v>
      </c>
      <c r="D105" t="s">
        <v>14</v>
      </c>
      <c r="E105" s="7">
        <v>1754.04</v>
      </c>
      <c r="F105" t="s">
        <v>15</v>
      </c>
      <c r="G105" t="s">
        <v>15</v>
      </c>
      <c r="H105" t="s">
        <v>15</v>
      </c>
      <c r="I105" t="s">
        <v>15</v>
      </c>
    </row>
    <row r="106" spans="1:9" x14ac:dyDescent="0.25">
      <c r="A106" s="6">
        <v>43973</v>
      </c>
      <c r="B106" t="s">
        <v>13</v>
      </c>
      <c r="C106">
        <v>64030</v>
      </c>
      <c r="D106" t="s">
        <v>14</v>
      </c>
      <c r="E106" s="7">
        <v>1137.08</v>
      </c>
      <c r="F106" t="s">
        <v>15</v>
      </c>
      <c r="G106" t="s">
        <v>15</v>
      </c>
      <c r="H106" t="s">
        <v>15</v>
      </c>
      <c r="I106" t="s">
        <v>15</v>
      </c>
    </row>
    <row r="107" spans="1:9" x14ac:dyDescent="0.25">
      <c r="A107" s="6">
        <v>43973</v>
      </c>
      <c r="B107" t="s">
        <v>13</v>
      </c>
      <c r="C107">
        <v>64031</v>
      </c>
      <c r="D107" t="s">
        <v>14</v>
      </c>
      <c r="E107" s="7">
        <v>1191.76</v>
      </c>
      <c r="F107" t="s">
        <v>15</v>
      </c>
      <c r="G107" t="s">
        <v>15</v>
      </c>
      <c r="H107" t="s">
        <v>15</v>
      </c>
      <c r="I107" t="s">
        <v>15</v>
      </c>
    </row>
    <row r="108" spans="1:9" x14ac:dyDescent="0.25">
      <c r="A108" s="6">
        <v>43973</v>
      </c>
      <c r="B108" t="s">
        <v>13</v>
      </c>
      <c r="C108">
        <v>64035</v>
      </c>
      <c r="D108" t="s">
        <v>14</v>
      </c>
      <c r="E108" s="7">
        <v>1392.91</v>
      </c>
      <c r="F108" t="s">
        <v>15</v>
      </c>
      <c r="G108" t="s">
        <v>15</v>
      </c>
      <c r="H108" t="s">
        <v>15</v>
      </c>
      <c r="I108" t="s">
        <v>15</v>
      </c>
    </row>
    <row r="109" spans="1:9" x14ac:dyDescent="0.25">
      <c r="A109" s="6">
        <v>43987</v>
      </c>
      <c r="B109" t="s">
        <v>13</v>
      </c>
      <c r="C109">
        <v>64098</v>
      </c>
      <c r="D109" t="s">
        <v>14</v>
      </c>
      <c r="E109" s="7">
        <v>1095.8900000000001</v>
      </c>
      <c r="F109" t="s">
        <v>15</v>
      </c>
      <c r="G109" t="s">
        <v>15</v>
      </c>
      <c r="H109" t="s">
        <v>15</v>
      </c>
      <c r="I109" t="s">
        <v>15</v>
      </c>
    </row>
    <row r="110" spans="1:9" x14ac:dyDescent="0.25">
      <c r="A110" s="6">
        <v>43987</v>
      </c>
      <c r="B110" t="s">
        <v>13</v>
      </c>
      <c r="C110">
        <v>64099</v>
      </c>
      <c r="D110" t="s">
        <v>14</v>
      </c>
      <c r="E110" s="7">
        <v>1567.06</v>
      </c>
      <c r="F110" t="s">
        <v>15</v>
      </c>
      <c r="G110" t="s">
        <v>15</v>
      </c>
      <c r="H110" t="s">
        <v>15</v>
      </c>
      <c r="I110" t="s">
        <v>15</v>
      </c>
    </row>
    <row r="111" spans="1:9" x14ac:dyDescent="0.25">
      <c r="A111" s="6">
        <v>43987</v>
      </c>
      <c r="B111" t="s">
        <v>13</v>
      </c>
      <c r="C111">
        <v>64100</v>
      </c>
      <c r="D111" t="s">
        <v>14</v>
      </c>
      <c r="E111" s="7">
        <v>1632.84</v>
      </c>
      <c r="F111" t="s">
        <v>15</v>
      </c>
      <c r="G111" t="s">
        <v>15</v>
      </c>
      <c r="H111" t="s">
        <v>15</v>
      </c>
      <c r="I111" t="s">
        <v>15</v>
      </c>
    </row>
    <row r="112" spans="1:9" x14ac:dyDescent="0.25">
      <c r="A112" s="6">
        <v>43987</v>
      </c>
      <c r="B112" t="s">
        <v>13</v>
      </c>
      <c r="C112">
        <v>64101</v>
      </c>
      <c r="D112" t="s">
        <v>14</v>
      </c>
      <c r="E112" s="7">
        <v>1242.8699999999999</v>
      </c>
      <c r="F112" t="s">
        <v>15</v>
      </c>
      <c r="G112" t="s">
        <v>15</v>
      </c>
      <c r="H112" t="s">
        <v>15</v>
      </c>
      <c r="I112" t="s">
        <v>15</v>
      </c>
    </row>
    <row r="113" spans="1:9" x14ac:dyDescent="0.25">
      <c r="A113" s="6">
        <v>43987</v>
      </c>
      <c r="B113" t="s">
        <v>13</v>
      </c>
      <c r="C113">
        <v>64105</v>
      </c>
      <c r="D113" t="s">
        <v>14</v>
      </c>
      <c r="E113" s="7">
        <v>1430.45</v>
      </c>
      <c r="F113" t="s">
        <v>15</v>
      </c>
      <c r="G113" t="s">
        <v>15</v>
      </c>
      <c r="H113" t="s">
        <v>15</v>
      </c>
      <c r="I113" t="s">
        <v>15</v>
      </c>
    </row>
    <row r="114" spans="1:9" x14ac:dyDescent="0.25">
      <c r="A114" s="6">
        <v>44001</v>
      </c>
      <c r="B114" t="s">
        <v>13</v>
      </c>
      <c r="C114">
        <v>64223</v>
      </c>
      <c r="D114" t="s">
        <v>14</v>
      </c>
      <c r="E114" s="7">
        <v>1265.77</v>
      </c>
      <c r="F114" t="s">
        <v>15</v>
      </c>
      <c r="G114" t="s">
        <v>15</v>
      </c>
      <c r="H114" t="s">
        <v>15</v>
      </c>
      <c r="I114" t="s">
        <v>15</v>
      </c>
    </row>
    <row r="115" spans="1:9" x14ac:dyDescent="0.25">
      <c r="A115" s="6">
        <v>44001</v>
      </c>
      <c r="B115" t="s">
        <v>13</v>
      </c>
      <c r="C115">
        <v>64224</v>
      </c>
      <c r="D115" t="s">
        <v>14</v>
      </c>
      <c r="E115" s="7">
        <v>1901.7</v>
      </c>
      <c r="F115" t="s">
        <v>15</v>
      </c>
      <c r="G115" t="s">
        <v>15</v>
      </c>
      <c r="H115" t="s">
        <v>15</v>
      </c>
      <c r="I115" t="s">
        <v>15</v>
      </c>
    </row>
    <row r="116" spans="1:9" x14ac:dyDescent="0.25">
      <c r="A116" s="6">
        <v>44001</v>
      </c>
      <c r="B116" t="s">
        <v>13</v>
      </c>
      <c r="C116">
        <v>64225</v>
      </c>
      <c r="D116" t="s">
        <v>14</v>
      </c>
      <c r="E116" s="7">
        <v>1197.74</v>
      </c>
      <c r="F116" t="s">
        <v>15</v>
      </c>
      <c r="G116" t="s">
        <v>15</v>
      </c>
      <c r="H116" t="s">
        <v>15</v>
      </c>
      <c r="I116" t="s">
        <v>15</v>
      </c>
    </row>
    <row r="117" spans="1:9" x14ac:dyDescent="0.25">
      <c r="A117" s="6">
        <v>44001</v>
      </c>
      <c r="B117" t="s">
        <v>13</v>
      </c>
      <c r="C117">
        <v>64226</v>
      </c>
      <c r="D117" t="s">
        <v>14</v>
      </c>
      <c r="E117" s="7">
        <v>1081.3800000000001</v>
      </c>
      <c r="F117" t="s">
        <v>15</v>
      </c>
      <c r="G117" t="s">
        <v>15</v>
      </c>
      <c r="H117" t="s">
        <v>15</v>
      </c>
      <c r="I117" t="s">
        <v>15</v>
      </c>
    </row>
    <row r="118" spans="1:9" x14ac:dyDescent="0.25">
      <c r="A118" s="6">
        <v>44001</v>
      </c>
      <c r="B118" t="s">
        <v>13</v>
      </c>
      <c r="C118">
        <v>64227</v>
      </c>
      <c r="D118" t="s">
        <v>14</v>
      </c>
      <c r="E118" s="7">
        <v>1124.94</v>
      </c>
      <c r="F118" t="s">
        <v>15</v>
      </c>
      <c r="G118" t="s">
        <v>15</v>
      </c>
      <c r="H118" t="s">
        <v>15</v>
      </c>
      <c r="I118" t="s">
        <v>15</v>
      </c>
    </row>
    <row r="119" spans="1:9" x14ac:dyDescent="0.25">
      <c r="A119" s="6">
        <v>44001</v>
      </c>
      <c r="B119" t="s">
        <v>13</v>
      </c>
      <c r="C119">
        <v>64230</v>
      </c>
      <c r="D119" t="s">
        <v>14</v>
      </c>
      <c r="E119" s="7">
        <v>1501.42</v>
      </c>
      <c r="F119" t="s">
        <v>15</v>
      </c>
      <c r="G119" t="s">
        <v>15</v>
      </c>
      <c r="H119" t="s">
        <v>15</v>
      </c>
      <c r="I119" t="s">
        <v>15</v>
      </c>
    </row>
    <row r="120" spans="1:9" x14ac:dyDescent="0.25">
      <c r="A120" s="6">
        <v>44014</v>
      </c>
      <c r="B120" t="s">
        <v>13</v>
      </c>
      <c r="C120">
        <v>64316</v>
      </c>
      <c r="D120" t="s">
        <v>14</v>
      </c>
      <c r="E120" s="7">
        <v>1314.51</v>
      </c>
      <c r="F120" t="s">
        <v>15</v>
      </c>
      <c r="G120" t="s">
        <v>15</v>
      </c>
      <c r="H120" t="s">
        <v>15</v>
      </c>
      <c r="I120" t="s">
        <v>15</v>
      </c>
    </row>
    <row r="121" spans="1:9" x14ac:dyDescent="0.25">
      <c r="A121" s="6">
        <v>44014</v>
      </c>
      <c r="B121" t="s">
        <v>13</v>
      </c>
      <c r="C121">
        <v>64317</v>
      </c>
      <c r="D121" t="s">
        <v>14</v>
      </c>
      <c r="E121" s="7">
        <v>1769.45</v>
      </c>
      <c r="F121" t="s">
        <v>15</v>
      </c>
      <c r="G121" t="s">
        <v>15</v>
      </c>
      <c r="H121" t="s">
        <v>15</v>
      </c>
      <c r="I121" t="s">
        <v>15</v>
      </c>
    </row>
    <row r="122" spans="1:9" x14ac:dyDescent="0.25">
      <c r="A122" s="6">
        <v>44014</v>
      </c>
      <c r="B122" t="s">
        <v>13</v>
      </c>
      <c r="C122">
        <v>64318</v>
      </c>
      <c r="D122" t="s">
        <v>14</v>
      </c>
      <c r="E122" s="7">
        <v>1465.72</v>
      </c>
      <c r="F122" t="s">
        <v>15</v>
      </c>
      <c r="G122" t="s">
        <v>15</v>
      </c>
      <c r="H122" t="s">
        <v>15</v>
      </c>
      <c r="I122" t="s">
        <v>15</v>
      </c>
    </row>
    <row r="123" spans="1:9" x14ac:dyDescent="0.25">
      <c r="A123" s="6">
        <v>44014</v>
      </c>
      <c r="B123" t="s">
        <v>13</v>
      </c>
      <c r="C123">
        <v>64319</v>
      </c>
      <c r="D123" t="s">
        <v>14</v>
      </c>
      <c r="E123" s="7">
        <v>1025.8399999999999</v>
      </c>
      <c r="F123" t="s">
        <v>15</v>
      </c>
      <c r="G123" t="s">
        <v>15</v>
      </c>
      <c r="H123" t="s">
        <v>15</v>
      </c>
      <c r="I123" t="s">
        <v>15</v>
      </c>
    </row>
    <row r="124" spans="1:9" x14ac:dyDescent="0.25">
      <c r="A124" s="6">
        <v>44014</v>
      </c>
      <c r="B124" t="s">
        <v>13</v>
      </c>
      <c r="C124">
        <v>64320</v>
      </c>
      <c r="D124" t="s">
        <v>14</v>
      </c>
      <c r="E124" s="7">
        <v>1107.07</v>
      </c>
      <c r="F124" t="s">
        <v>15</v>
      </c>
      <c r="G124" t="s">
        <v>15</v>
      </c>
      <c r="H124" t="s">
        <v>15</v>
      </c>
      <c r="I124" t="s">
        <v>15</v>
      </c>
    </row>
    <row r="125" spans="1:9" x14ac:dyDescent="0.25">
      <c r="A125" s="6">
        <v>44029</v>
      </c>
      <c r="B125" t="s">
        <v>13</v>
      </c>
      <c r="C125">
        <v>64440</v>
      </c>
      <c r="D125" t="s">
        <v>14</v>
      </c>
      <c r="E125" s="7">
        <v>1538.15</v>
      </c>
      <c r="F125" t="s">
        <v>15</v>
      </c>
      <c r="G125" t="s">
        <v>15</v>
      </c>
      <c r="H125" t="s">
        <v>15</v>
      </c>
      <c r="I125" t="s">
        <v>15</v>
      </c>
    </row>
    <row r="126" spans="1:9" x14ac:dyDescent="0.25">
      <c r="A126" s="6">
        <v>44029</v>
      </c>
      <c r="B126" t="s">
        <v>13</v>
      </c>
      <c r="C126">
        <v>64441</v>
      </c>
      <c r="D126" t="s">
        <v>14</v>
      </c>
      <c r="E126" s="7">
        <v>1162.47</v>
      </c>
      <c r="F126" t="s">
        <v>15</v>
      </c>
      <c r="G126" t="s">
        <v>15</v>
      </c>
      <c r="H126" t="s">
        <v>15</v>
      </c>
      <c r="I126" t="s">
        <v>15</v>
      </c>
    </row>
    <row r="127" spans="1:9" x14ac:dyDescent="0.25">
      <c r="A127" s="6">
        <v>44029</v>
      </c>
      <c r="B127" t="s">
        <v>13</v>
      </c>
      <c r="C127">
        <v>64443</v>
      </c>
      <c r="D127" t="s">
        <v>14</v>
      </c>
      <c r="E127" s="7">
        <v>1121.3800000000001</v>
      </c>
      <c r="F127" t="s">
        <v>15</v>
      </c>
      <c r="G127" t="s">
        <v>15</v>
      </c>
      <c r="H127" t="s">
        <v>15</v>
      </c>
      <c r="I127" t="s">
        <v>15</v>
      </c>
    </row>
    <row r="128" spans="1:9" x14ac:dyDescent="0.25">
      <c r="A128" s="6">
        <v>44043</v>
      </c>
      <c r="B128" t="s">
        <v>13</v>
      </c>
      <c r="C128">
        <v>64564</v>
      </c>
      <c r="D128" t="s">
        <v>14</v>
      </c>
      <c r="E128" s="7">
        <v>1552.6</v>
      </c>
      <c r="F128" t="s">
        <v>15</v>
      </c>
      <c r="G128" t="s">
        <v>15</v>
      </c>
      <c r="H128" t="s">
        <v>15</v>
      </c>
      <c r="I128" t="s">
        <v>15</v>
      </c>
    </row>
    <row r="129" spans="1:9" x14ac:dyDescent="0.25">
      <c r="A129" s="6">
        <v>44043</v>
      </c>
      <c r="B129" t="s">
        <v>13</v>
      </c>
      <c r="C129">
        <v>64566</v>
      </c>
      <c r="D129" t="s">
        <v>14</v>
      </c>
      <c r="E129" s="7">
        <v>1164.25</v>
      </c>
      <c r="F129" t="s">
        <v>15</v>
      </c>
      <c r="G129" t="s">
        <v>15</v>
      </c>
      <c r="H129" t="s">
        <v>15</v>
      </c>
      <c r="I129" t="s">
        <v>15</v>
      </c>
    </row>
    <row r="130" spans="1:9" x14ac:dyDescent="0.25">
      <c r="A130" s="6">
        <v>44057</v>
      </c>
      <c r="B130" t="s">
        <v>13</v>
      </c>
      <c r="C130">
        <v>64659</v>
      </c>
      <c r="D130" t="s">
        <v>14</v>
      </c>
      <c r="E130" s="7">
        <v>1676.94</v>
      </c>
      <c r="F130" t="s">
        <v>15</v>
      </c>
      <c r="G130" t="s">
        <v>15</v>
      </c>
      <c r="H130" t="s">
        <v>15</v>
      </c>
      <c r="I130" t="s">
        <v>15</v>
      </c>
    </row>
    <row r="131" spans="1:9" x14ac:dyDescent="0.25">
      <c r="A131" s="6">
        <v>44057</v>
      </c>
      <c r="B131" t="s">
        <v>13</v>
      </c>
      <c r="C131">
        <v>64660</v>
      </c>
      <c r="D131" t="s">
        <v>14</v>
      </c>
      <c r="E131" s="7">
        <v>1041.51</v>
      </c>
      <c r="F131" t="s">
        <v>15</v>
      </c>
      <c r="G131" t="s">
        <v>15</v>
      </c>
      <c r="H131" t="s">
        <v>15</v>
      </c>
      <c r="I131" t="s">
        <v>15</v>
      </c>
    </row>
    <row r="132" spans="1:9" x14ac:dyDescent="0.25">
      <c r="A132" s="6">
        <v>44057</v>
      </c>
      <c r="B132" t="s">
        <v>13</v>
      </c>
      <c r="C132">
        <v>64661</v>
      </c>
      <c r="D132" t="s">
        <v>14</v>
      </c>
      <c r="E132" s="7">
        <v>1085.6300000000001</v>
      </c>
      <c r="F132" t="s">
        <v>15</v>
      </c>
      <c r="G132" t="s">
        <v>15</v>
      </c>
      <c r="H132" t="s">
        <v>15</v>
      </c>
      <c r="I132" t="s">
        <v>15</v>
      </c>
    </row>
    <row r="133" spans="1:9" x14ac:dyDescent="0.25">
      <c r="A133" s="6">
        <v>44071</v>
      </c>
      <c r="B133" t="s">
        <v>13</v>
      </c>
      <c r="C133">
        <v>64776</v>
      </c>
      <c r="D133" t="s">
        <v>14</v>
      </c>
      <c r="E133" s="7">
        <v>1544.89</v>
      </c>
      <c r="F133" t="s">
        <v>15</v>
      </c>
      <c r="G133" t="s">
        <v>15</v>
      </c>
      <c r="H133" t="s">
        <v>15</v>
      </c>
      <c r="I133" t="s">
        <v>15</v>
      </c>
    </row>
    <row r="134" spans="1:9" x14ac:dyDescent="0.25">
      <c r="A134" s="6">
        <v>44071</v>
      </c>
      <c r="B134" t="s">
        <v>13</v>
      </c>
      <c r="C134">
        <v>64777</v>
      </c>
      <c r="D134" t="s">
        <v>14</v>
      </c>
      <c r="E134" s="7">
        <v>1037.24</v>
      </c>
      <c r="F134" t="s">
        <v>15</v>
      </c>
      <c r="G134" t="s">
        <v>15</v>
      </c>
      <c r="H134" t="s">
        <v>15</v>
      </c>
      <c r="I134" t="s">
        <v>15</v>
      </c>
    </row>
    <row r="135" spans="1:9" x14ac:dyDescent="0.25">
      <c r="A135" s="6">
        <v>44071</v>
      </c>
      <c r="B135" t="s">
        <v>13</v>
      </c>
      <c r="C135">
        <v>64778</v>
      </c>
      <c r="D135" t="s">
        <v>14</v>
      </c>
      <c r="E135" s="7">
        <v>1142.82</v>
      </c>
      <c r="F135" t="s">
        <v>15</v>
      </c>
      <c r="G135" t="s">
        <v>15</v>
      </c>
      <c r="H135" t="s">
        <v>15</v>
      </c>
      <c r="I135" t="s">
        <v>15</v>
      </c>
    </row>
    <row r="136" spans="1:9" x14ac:dyDescent="0.25">
      <c r="A136" s="6">
        <v>44085</v>
      </c>
      <c r="B136" t="s">
        <v>13</v>
      </c>
      <c r="C136">
        <v>64896</v>
      </c>
      <c r="D136" t="s">
        <v>14</v>
      </c>
      <c r="E136" s="7">
        <v>1538.15</v>
      </c>
      <c r="F136" t="s">
        <v>15</v>
      </c>
      <c r="G136" t="s">
        <v>15</v>
      </c>
      <c r="H136" t="s">
        <v>15</v>
      </c>
      <c r="I136" t="s">
        <v>15</v>
      </c>
    </row>
    <row r="137" spans="1:9" x14ac:dyDescent="0.25">
      <c r="A137" s="6">
        <v>44085</v>
      </c>
      <c r="B137" t="s">
        <v>13</v>
      </c>
      <c r="C137">
        <v>64897</v>
      </c>
      <c r="D137" t="s">
        <v>14</v>
      </c>
      <c r="E137" s="7">
        <v>1186.47</v>
      </c>
      <c r="F137" t="s">
        <v>15</v>
      </c>
      <c r="G137" t="s">
        <v>15</v>
      </c>
      <c r="H137" t="s">
        <v>15</v>
      </c>
      <c r="I137" t="s">
        <v>15</v>
      </c>
    </row>
    <row r="138" spans="1:9" x14ac:dyDescent="0.25">
      <c r="A138" s="6">
        <v>44085</v>
      </c>
      <c r="B138" t="s">
        <v>13</v>
      </c>
      <c r="C138">
        <v>64898</v>
      </c>
      <c r="D138" t="s">
        <v>14</v>
      </c>
      <c r="E138" s="7">
        <v>1085.6300000000001</v>
      </c>
      <c r="F138" t="s">
        <v>15</v>
      </c>
      <c r="G138" t="s">
        <v>15</v>
      </c>
      <c r="H138" t="s">
        <v>15</v>
      </c>
      <c r="I138" t="s">
        <v>15</v>
      </c>
    </row>
    <row r="139" spans="1:9" x14ac:dyDescent="0.25">
      <c r="A139" s="6">
        <v>44082</v>
      </c>
      <c r="B139" t="s">
        <v>13</v>
      </c>
      <c r="C139">
        <v>64905</v>
      </c>
      <c r="D139" t="s">
        <v>14</v>
      </c>
      <c r="E139" s="7">
        <v>3940.95</v>
      </c>
      <c r="F139" t="s">
        <v>15</v>
      </c>
      <c r="G139" t="s">
        <v>15</v>
      </c>
      <c r="H139" t="s">
        <v>15</v>
      </c>
      <c r="I139" t="s">
        <v>15</v>
      </c>
    </row>
    <row r="140" spans="1:9" x14ac:dyDescent="0.25">
      <c r="A140" s="6">
        <v>44099</v>
      </c>
      <c r="B140" t="s">
        <v>13</v>
      </c>
      <c r="C140">
        <v>65005</v>
      </c>
      <c r="D140" t="s">
        <v>14</v>
      </c>
      <c r="E140" s="7">
        <v>1538.15</v>
      </c>
      <c r="F140" t="s">
        <v>15</v>
      </c>
      <c r="G140" t="s">
        <v>15</v>
      </c>
      <c r="H140" t="s">
        <v>15</v>
      </c>
      <c r="I140" t="s">
        <v>15</v>
      </c>
    </row>
    <row r="141" spans="1:9" x14ac:dyDescent="0.25">
      <c r="A141" s="6">
        <v>44099</v>
      </c>
      <c r="B141" t="s">
        <v>13</v>
      </c>
      <c r="C141">
        <v>65006</v>
      </c>
      <c r="D141" t="s">
        <v>14</v>
      </c>
      <c r="E141" s="7">
        <v>1073.8399999999999</v>
      </c>
      <c r="F141" t="s">
        <v>15</v>
      </c>
      <c r="G141" t="s">
        <v>15</v>
      </c>
      <c r="H141" t="s">
        <v>15</v>
      </c>
      <c r="I141" t="s">
        <v>15</v>
      </c>
    </row>
    <row r="142" spans="1:9" x14ac:dyDescent="0.25">
      <c r="A142" s="6">
        <v>44099</v>
      </c>
      <c r="B142" t="s">
        <v>13</v>
      </c>
      <c r="C142">
        <v>65007</v>
      </c>
      <c r="D142" t="s">
        <v>14</v>
      </c>
      <c r="E142" s="7">
        <v>1514.57</v>
      </c>
      <c r="F142" t="s">
        <v>15</v>
      </c>
      <c r="G142" t="s">
        <v>15</v>
      </c>
      <c r="H142" t="s">
        <v>15</v>
      </c>
      <c r="I142" t="s">
        <v>15</v>
      </c>
    </row>
    <row r="143" spans="1:9" x14ac:dyDescent="0.25">
      <c r="A143" s="6">
        <v>44000</v>
      </c>
      <c r="B143" t="s">
        <v>16</v>
      </c>
      <c r="C143">
        <v>1</v>
      </c>
      <c r="D143" t="s">
        <v>17</v>
      </c>
      <c r="E143" s="7">
        <v>7731.06</v>
      </c>
      <c r="F143" t="s">
        <v>15</v>
      </c>
      <c r="G143" t="s">
        <v>15</v>
      </c>
      <c r="H143" t="s">
        <v>15</v>
      </c>
      <c r="I143" t="s">
        <v>15</v>
      </c>
    </row>
    <row r="144" spans="1:9" x14ac:dyDescent="0.25">
      <c r="A144" s="6">
        <v>43747</v>
      </c>
      <c r="B144" t="s">
        <v>13</v>
      </c>
      <c r="C144">
        <v>62241</v>
      </c>
      <c r="D144" t="s">
        <v>14</v>
      </c>
      <c r="E144" s="7">
        <v>998.26</v>
      </c>
      <c r="F144" t="s">
        <v>15</v>
      </c>
      <c r="G144" t="s">
        <v>15</v>
      </c>
      <c r="H144" t="s">
        <v>15</v>
      </c>
      <c r="I144" t="s">
        <v>15</v>
      </c>
    </row>
    <row r="145" spans="1:9" x14ac:dyDescent="0.25">
      <c r="A145" s="6">
        <v>43747</v>
      </c>
      <c r="B145" t="s">
        <v>13</v>
      </c>
      <c r="C145">
        <v>62246</v>
      </c>
      <c r="D145" t="s">
        <v>14</v>
      </c>
      <c r="E145" s="7">
        <v>734.28</v>
      </c>
      <c r="F145" t="s">
        <v>15</v>
      </c>
      <c r="G145" t="s">
        <v>15</v>
      </c>
      <c r="H145" t="s">
        <v>15</v>
      </c>
      <c r="I145" t="s">
        <v>15</v>
      </c>
    </row>
    <row r="146" spans="1:9" x14ac:dyDescent="0.25">
      <c r="A146" s="6">
        <v>43762</v>
      </c>
      <c r="B146" t="s">
        <v>13</v>
      </c>
      <c r="C146">
        <v>62330</v>
      </c>
      <c r="D146" t="s">
        <v>14</v>
      </c>
      <c r="E146" s="7">
        <v>448.82</v>
      </c>
      <c r="F146" t="s">
        <v>15</v>
      </c>
      <c r="G146" t="s">
        <v>15</v>
      </c>
      <c r="H146" t="s">
        <v>15</v>
      </c>
      <c r="I146" t="s">
        <v>15</v>
      </c>
    </row>
    <row r="147" spans="1:9" x14ac:dyDescent="0.25">
      <c r="A147" s="6">
        <v>43762</v>
      </c>
      <c r="B147" t="s">
        <v>13</v>
      </c>
      <c r="C147">
        <v>62331</v>
      </c>
      <c r="D147" t="s">
        <v>14</v>
      </c>
      <c r="E147" s="7">
        <v>771.68</v>
      </c>
      <c r="F147" t="s">
        <v>15</v>
      </c>
      <c r="G147" t="s">
        <v>15</v>
      </c>
      <c r="H147" t="s">
        <v>15</v>
      </c>
      <c r="I147" t="s">
        <v>15</v>
      </c>
    </row>
    <row r="148" spans="1:9" x14ac:dyDescent="0.25">
      <c r="A148" s="6">
        <v>43777</v>
      </c>
      <c r="B148" t="s">
        <v>13</v>
      </c>
      <c r="C148">
        <v>62449</v>
      </c>
      <c r="D148" t="s">
        <v>14</v>
      </c>
      <c r="E148" s="7">
        <v>579</v>
      </c>
      <c r="F148" t="s">
        <v>15</v>
      </c>
      <c r="G148" t="s">
        <v>15</v>
      </c>
      <c r="H148" t="s">
        <v>15</v>
      </c>
      <c r="I148" t="s">
        <v>15</v>
      </c>
    </row>
    <row r="149" spans="1:9" x14ac:dyDescent="0.25">
      <c r="A149" s="6">
        <v>43777</v>
      </c>
      <c r="B149" t="s">
        <v>13</v>
      </c>
      <c r="C149">
        <v>62451</v>
      </c>
      <c r="D149" t="s">
        <v>14</v>
      </c>
      <c r="E149" s="7">
        <v>863.53</v>
      </c>
      <c r="F149" t="s">
        <v>15</v>
      </c>
      <c r="G149" t="s">
        <v>15</v>
      </c>
      <c r="H149" t="s">
        <v>15</v>
      </c>
      <c r="I149" t="s">
        <v>15</v>
      </c>
    </row>
    <row r="150" spans="1:9" x14ac:dyDescent="0.25">
      <c r="A150" s="6">
        <v>43777</v>
      </c>
      <c r="B150" t="s">
        <v>13</v>
      </c>
      <c r="C150">
        <v>62452</v>
      </c>
      <c r="D150" t="s">
        <v>14</v>
      </c>
      <c r="E150" s="7">
        <v>751.66</v>
      </c>
      <c r="F150" t="s">
        <v>15</v>
      </c>
      <c r="G150" t="s">
        <v>15</v>
      </c>
      <c r="H150" t="s">
        <v>15</v>
      </c>
      <c r="I150" t="s">
        <v>15</v>
      </c>
    </row>
    <row r="151" spans="1:9" x14ac:dyDescent="0.25">
      <c r="A151" s="6">
        <v>43791</v>
      </c>
      <c r="B151" t="s">
        <v>13</v>
      </c>
      <c r="C151">
        <v>62574</v>
      </c>
      <c r="D151" t="s">
        <v>14</v>
      </c>
      <c r="E151" s="7">
        <v>934.76</v>
      </c>
      <c r="F151" t="s">
        <v>15</v>
      </c>
      <c r="G151" t="s">
        <v>15</v>
      </c>
      <c r="H151" t="s">
        <v>15</v>
      </c>
      <c r="I151" t="s">
        <v>15</v>
      </c>
    </row>
    <row r="152" spans="1:9" x14ac:dyDescent="0.25">
      <c r="A152" s="6">
        <v>43791</v>
      </c>
      <c r="B152" t="s">
        <v>13</v>
      </c>
      <c r="C152">
        <v>62576</v>
      </c>
      <c r="D152" t="s">
        <v>14</v>
      </c>
      <c r="E152" s="7">
        <v>863.53</v>
      </c>
      <c r="F152" t="s">
        <v>15</v>
      </c>
      <c r="G152" t="s">
        <v>15</v>
      </c>
      <c r="H152" t="s">
        <v>15</v>
      </c>
      <c r="I152" t="s">
        <v>15</v>
      </c>
    </row>
    <row r="153" spans="1:9" x14ac:dyDescent="0.25">
      <c r="A153" s="6">
        <v>43791</v>
      </c>
      <c r="B153" t="s">
        <v>13</v>
      </c>
      <c r="C153">
        <v>62577</v>
      </c>
      <c r="D153" t="s">
        <v>14</v>
      </c>
      <c r="E153" s="7">
        <v>769.46</v>
      </c>
      <c r="F153" t="s">
        <v>15</v>
      </c>
      <c r="G153" t="s">
        <v>15</v>
      </c>
      <c r="H153" t="s">
        <v>15</v>
      </c>
      <c r="I153" t="s">
        <v>15</v>
      </c>
    </row>
    <row r="154" spans="1:9" x14ac:dyDescent="0.25">
      <c r="A154" s="6">
        <v>43805</v>
      </c>
      <c r="B154" t="s">
        <v>13</v>
      </c>
      <c r="C154">
        <v>62692</v>
      </c>
      <c r="D154" t="s">
        <v>14</v>
      </c>
      <c r="E154" s="7">
        <v>934.76</v>
      </c>
      <c r="F154" t="s">
        <v>15</v>
      </c>
      <c r="G154" t="s">
        <v>15</v>
      </c>
      <c r="H154" t="s">
        <v>15</v>
      </c>
      <c r="I154" t="s">
        <v>15</v>
      </c>
    </row>
    <row r="155" spans="1:9" x14ac:dyDescent="0.25">
      <c r="A155" s="6">
        <v>43805</v>
      </c>
      <c r="B155" t="s">
        <v>13</v>
      </c>
      <c r="C155">
        <v>62694</v>
      </c>
      <c r="D155" t="s">
        <v>14</v>
      </c>
      <c r="E155" s="7">
        <v>730.11</v>
      </c>
      <c r="F155" t="s">
        <v>15</v>
      </c>
      <c r="G155" t="s">
        <v>15</v>
      </c>
      <c r="H155" t="s">
        <v>15</v>
      </c>
      <c r="I155" t="s">
        <v>15</v>
      </c>
    </row>
    <row r="156" spans="1:9" x14ac:dyDescent="0.25">
      <c r="A156" s="6">
        <v>43805</v>
      </c>
      <c r="B156" t="s">
        <v>13</v>
      </c>
      <c r="C156">
        <v>62695</v>
      </c>
      <c r="D156" t="s">
        <v>14</v>
      </c>
      <c r="E156" s="7">
        <v>745.86</v>
      </c>
      <c r="F156" t="s">
        <v>15</v>
      </c>
      <c r="G156" t="s">
        <v>15</v>
      </c>
      <c r="H156" t="s">
        <v>15</v>
      </c>
      <c r="I156" t="s">
        <v>15</v>
      </c>
    </row>
    <row r="157" spans="1:9" x14ac:dyDescent="0.25">
      <c r="A157" s="6">
        <v>43819</v>
      </c>
      <c r="B157" t="s">
        <v>13</v>
      </c>
      <c r="C157">
        <v>62825</v>
      </c>
      <c r="D157" t="s">
        <v>14</v>
      </c>
      <c r="E157" s="7">
        <v>863.53</v>
      </c>
      <c r="F157" t="s">
        <v>15</v>
      </c>
      <c r="G157" t="s">
        <v>15</v>
      </c>
      <c r="H157" t="s">
        <v>15</v>
      </c>
      <c r="I157" t="s">
        <v>15</v>
      </c>
    </row>
    <row r="158" spans="1:9" x14ac:dyDescent="0.25">
      <c r="A158" s="6">
        <v>43819</v>
      </c>
      <c r="B158" t="s">
        <v>13</v>
      </c>
      <c r="C158">
        <v>62826</v>
      </c>
      <c r="D158" t="s">
        <v>14</v>
      </c>
      <c r="E158" s="7">
        <v>758.86</v>
      </c>
      <c r="F158" t="s">
        <v>15</v>
      </c>
      <c r="G158" t="s">
        <v>15</v>
      </c>
      <c r="H158" t="s">
        <v>15</v>
      </c>
      <c r="I158" t="s">
        <v>15</v>
      </c>
    </row>
    <row r="159" spans="1:9" x14ac:dyDescent="0.25">
      <c r="A159" s="6">
        <v>43830</v>
      </c>
      <c r="B159" t="s">
        <v>13</v>
      </c>
      <c r="C159">
        <v>62981</v>
      </c>
      <c r="D159" t="s">
        <v>14</v>
      </c>
      <c r="E159" s="7">
        <v>796.82</v>
      </c>
      <c r="F159" t="s">
        <v>15</v>
      </c>
      <c r="G159" t="s">
        <v>15</v>
      </c>
      <c r="H159" t="s">
        <v>15</v>
      </c>
      <c r="I159" t="s">
        <v>15</v>
      </c>
    </row>
    <row r="160" spans="1:9" x14ac:dyDescent="0.25">
      <c r="A160" s="6">
        <v>43830</v>
      </c>
      <c r="B160" t="s">
        <v>13</v>
      </c>
      <c r="C160">
        <v>62982</v>
      </c>
      <c r="D160" t="s">
        <v>14</v>
      </c>
      <c r="E160" s="7">
        <v>752.98</v>
      </c>
      <c r="F160" t="s">
        <v>15</v>
      </c>
      <c r="G160" t="s">
        <v>15</v>
      </c>
      <c r="H160" t="s">
        <v>15</v>
      </c>
      <c r="I160" t="s">
        <v>15</v>
      </c>
    </row>
    <row r="161" spans="1:9" x14ac:dyDescent="0.25">
      <c r="A161" s="6">
        <v>43847</v>
      </c>
      <c r="B161" t="s">
        <v>13</v>
      </c>
      <c r="C161">
        <v>63102</v>
      </c>
      <c r="D161" t="s">
        <v>14</v>
      </c>
      <c r="E161" s="7">
        <v>587.26</v>
      </c>
      <c r="F161" t="s">
        <v>15</v>
      </c>
      <c r="G161" t="s">
        <v>15</v>
      </c>
      <c r="H161" t="s">
        <v>15</v>
      </c>
      <c r="I161" t="s">
        <v>15</v>
      </c>
    </row>
    <row r="162" spans="1:9" x14ac:dyDescent="0.25">
      <c r="A162" s="6">
        <v>43847</v>
      </c>
      <c r="B162" t="s">
        <v>13</v>
      </c>
      <c r="C162">
        <v>63103</v>
      </c>
      <c r="D162" t="s">
        <v>14</v>
      </c>
      <c r="E162" s="7">
        <v>769.85</v>
      </c>
      <c r="F162" t="s">
        <v>15</v>
      </c>
      <c r="G162" t="s">
        <v>15</v>
      </c>
      <c r="H162" t="s">
        <v>15</v>
      </c>
      <c r="I162" t="s">
        <v>15</v>
      </c>
    </row>
    <row r="163" spans="1:9" x14ac:dyDescent="0.25">
      <c r="A163" s="6">
        <v>43861</v>
      </c>
      <c r="B163" t="s">
        <v>13</v>
      </c>
      <c r="C163">
        <v>63201</v>
      </c>
      <c r="D163" t="s">
        <v>14</v>
      </c>
      <c r="E163" s="7">
        <v>695.68</v>
      </c>
      <c r="F163" t="s">
        <v>15</v>
      </c>
      <c r="G163" t="s">
        <v>15</v>
      </c>
      <c r="H163" t="s">
        <v>15</v>
      </c>
      <c r="I163" t="s">
        <v>15</v>
      </c>
    </row>
    <row r="164" spans="1:9" x14ac:dyDescent="0.25">
      <c r="A164" s="6">
        <v>43861</v>
      </c>
      <c r="B164" t="s">
        <v>13</v>
      </c>
      <c r="C164">
        <v>63202</v>
      </c>
      <c r="D164" t="s">
        <v>14</v>
      </c>
      <c r="E164" s="7">
        <v>695.19</v>
      </c>
      <c r="F164" t="s">
        <v>15</v>
      </c>
      <c r="G164" t="s">
        <v>15</v>
      </c>
      <c r="H164" t="s">
        <v>15</v>
      </c>
      <c r="I164" t="s">
        <v>15</v>
      </c>
    </row>
    <row r="165" spans="1:9" x14ac:dyDescent="0.25">
      <c r="A165" s="6">
        <v>43861</v>
      </c>
      <c r="B165" t="s">
        <v>13</v>
      </c>
      <c r="C165">
        <v>63203</v>
      </c>
      <c r="D165" t="s">
        <v>14</v>
      </c>
      <c r="E165" s="7">
        <v>745.35</v>
      </c>
      <c r="F165" t="s">
        <v>15</v>
      </c>
      <c r="G165" t="s">
        <v>15</v>
      </c>
      <c r="H165" t="s">
        <v>15</v>
      </c>
      <c r="I165" t="s">
        <v>15</v>
      </c>
    </row>
    <row r="166" spans="1:9" x14ac:dyDescent="0.25">
      <c r="A166" s="6">
        <v>43875</v>
      </c>
      <c r="B166" t="s">
        <v>13</v>
      </c>
      <c r="C166">
        <v>63330</v>
      </c>
      <c r="D166" t="s">
        <v>14</v>
      </c>
      <c r="E166" s="7">
        <v>917.99</v>
      </c>
      <c r="F166" t="s">
        <v>15</v>
      </c>
      <c r="G166" t="s">
        <v>15</v>
      </c>
      <c r="H166" t="s">
        <v>15</v>
      </c>
      <c r="I166" t="s">
        <v>15</v>
      </c>
    </row>
    <row r="167" spans="1:9" x14ac:dyDescent="0.25">
      <c r="A167" s="6">
        <v>43875</v>
      </c>
      <c r="B167" t="s">
        <v>13</v>
      </c>
      <c r="C167">
        <v>63331</v>
      </c>
      <c r="D167" t="s">
        <v>14</v>
      </c>
      <c r="E167" s="7">
        <v>657.77</v>
      </c>
      <c r="F167" t="s">
        <v>15</v>
      </c>
      <c r="G167" t="s">
        <v>15</v>
      </c>
      <c r="H167" t="s">
        <v>15</v>
      </c>
      <c r="I167" t="s">
        <v>15</v>
      </c>
    </row>
    <row r="168" spans="1:9" x14ac:dyDescent="0.25">
      <c r="A168" s="6">
        <v>43875</v>
      </c>
      <c r="B168" t="s">
        <v>13</v>
      </c>
      <c r="C168">
        <v>63332</v>
      </c>
      <c r="D168" t="s">
        <v>14</v>
      </c>
      <c r="E168" s="7">
        <v>801.25</v>
      </c>
      <c r="F168" t="s">
        <v>15</v>
      </c>
      <c r="G168" t="s">
        <v>15</v>
      </c>
      <c r="H168" t="s">
        <v>15</v>
      </c>
      <c r="I168" t="s">
        <v>15</v>
      </c>
    </row>
    <row r="169" spans="1:9" x14ac:dyDescent="0.25">
      <c r="A169" s="6">
        <v>43886</v>
      </c>
      <c r="B169" t="s">
        <v>13</v>
      </c>
      <c r="C169">
        <v>63445</v>
      </c>
      <c r="D169" t="s">
        <v>14</v>
      </c>
      <c r="E169" s="7">
        <v>910.7</v>
      </c>
      <c r="F169" t="s">
        <v>15</v>
      </c>
      <c r="G169" t="s">
        <v>15</v>
      </c>
      <c r="H169" t="s">
        <v>15</v>
      </c>
      <c r="I169" t="s">
        <v>15</v>
      </c>
    </row>
    <row r="170" spans="1:9" x14ac:dyDescent="0.25">
      <c r="A170" s="6">
        <v>43886</v>
      </c>
      <c r="B170" t="s">
        <v>13</v>
      </c>
      <c r="C170">
        <v>63446</v>
      </c>
      <c r="D170" t="s">
        <v>14</v>
      </c>
      <c r="E170" s="7">
        <v>549.29999999999995</v>
      </c>
      <c r="F170" t="s">
        <v>15</v>
      </c>
      <c r="G170" t="s">
        <v>15</v>
      </c>
      <c r="H170" t="s">
        <v>15</v>
      </c>
      <c r="I170" t="s">
        <v>15</v>
      </c>
    </row>
    <row r="171" spans="1:9" x14ac:dyDescent="0.25">
      <c r="A171" s="6">
        <v>43886</v>
      </c>
      <c r="B171" t="s">
        <v>13</v>
      </c>
      <c r="C171">
        <v>63447</v>
      </c>
      <c r="D171" t="s">
        <v>14</v>
      </c>
      <c r="E171" s="7">
        <v>792.11</v>
      </c>
      <c r="F171" t="s">
        <v>15</v>
      </c>
      <c r="G171" t="s">
        <v>15</v>
      </c>
      <c r="H171" t="s">
        <v>15</v>
      </c>
      <c r="I171" t="s">
        <v>15</v>
      </c>
    </row>
    <row r="172" spans="1:9" x14ac:dyDescent="0.25">
      <c r="A172" s="6">
        <v>43903</v>
      </c>
      <c r="B172" t="s">
        <v>13</v>
      </c>
      <c r="C172">
        <v>63584</v>
      </c>
      <c r="D172" t="s">
        <v>14</v>
      </c>
      <c r="E172" s="7">
        <v>881.55</v>
      </c>
      <c r="F172" t="s">
        <v>15</v>
      </c>
      <c r="G172" t="s">
        <v>15</v>
      </c>
      <c r="H172" t="s">
        <v>15</v>
      </c>
      <c r="I172" t="s">
        <v>15</v>
      </c>
    </row>
    <row r="173" spans="1:9" x14ac:dyDescent="0.25">
      <c r="A173" s="6">
        <v>43903</v>
      </c>
      <c r="B173" t="s">
        <v>13</v>
      </c>
      <c r="C173">
        <v>63585</v>
      </c>
      <c r="D173" t="s">
        <v>14</v>
      </c>
      <c r="E173" s="7">
        <v>560.14</v>
      </c>
      <c r="F173" t="s">
        <v>15</v>
      </c>
      <c r="G173" t="s">
        <v>15</v>
      </c>
      <c r="H173" t="s">
        <v>15</v>
      </c>
      <c r="I173" t="s">
        <v>15</v>
      </c>
    </row>
    <row r="174" spans="1:9" x14ac:dyDescent="0.25">
      <c r="A174" s="6">
        <v>43903</v>
      </c>
      <c r="B174" t="s">
        <v>13</v>
      </c>
      <c r="C174">
        <v>63586</v>
      </c>
      <c r="D174" t="s">
        <v>14</v>
      </c>
      <c r="E174" s="7">
        <v>756.48</v>
      </c>
      <c r="F174" t="s">
        <v>15</v>
      </c>
      <c r="G174" t="s">
        <v>15</v>
      </c>
      <c r="H174" t="s">
        <v>15</v>
      </c>
      <c r="I174" t="s">
        <v>15</v>
      </c>
    </row>
    <row r="175" spans="1:9" x14ac:dyDescent="0.25">
      <c r="A175" s="6">
        <v>43916</v>
      </c>
      <c r="B175" t="s">
        <v>13</v>
      </c>
      <c r="C175">
        <v>63718</v>
      </c>
      <c r="D175" t="s">
        <v>14</v>
      </c>
      <c r="E175" s="7">
        <v>494.07</v>
      </c>
      <c r="F175" t="s">
        <v>15</v>
      </c>
      <c r="G175" t="s">
        <v>15</v>
      </c>
      <c r="H175" t="s">
        <v>15</v>
      </c>
      <c r="I175" t="s">
        <v>15</v>
      </c>
    </row>
    <row r="176" spans="1:9" x14ac:dyDescent="0.25">
      <c r="A176" s="6">
        <v>43916</v>
      </c>
      <c r="B176" t="s">
        <v>13</v>
      </c>
      <c r="C176">
        <v>63719</v>
      </c>
      <c r="D176" t="s">
        <v>14</v>
      </c>
      <c r="E176" s="7">
        <v>756.48</v>
      </c>
      <c r="F176" t="s">
        <v>15</v>
      </c>
      <c r="G176" t="s">
        <v>15</v>
      </c>
      <c r="H176" t="s">
        <v>15</v>
      </c>
      <c r="I176" t="s">
        <v>15</v>
      </c>
    </row>
    <row r="177" spans="1:9" x14ac:dyDescent="0.25">
      <c r="A177" s="6">
        <v>43931</v>
      </c>
      <c r="B177" t="s">
        <v>13</v>
      </c>
      <c r="C177">
        <v>63787</v>
      </c>
      <c r="D177" t="s">
        <v>14</v>
      </c>
      <c r="E177" s="7">
        <v>855.51</v>
      </c>
      <c r="F177" t="s">
        <v>15</v>
      </c>
      <c r="G177" t="s">
        <v>15</v>
      </c>
      <c r="H177" t="s">
        <v>15</v>
      </c>
      <c r="I177" t="s">
        <v>15</v>
      </c>
    </row>
    <row r="178" spans="1:9" x14ac:dyDescent="0.25">
      <c r="A178" s="6">
        <v>43931</v>
      </c>
      <c r="B178" t="s">
        <v>13</v>
      </c>
      <c r="C178">
        <v>63788</v>
      </c>
      <c r="D178" t="s">
        <v>14</v>
      </c>
      <c r="E178" s="7">
        <v>581.84</v>
      </c>
      <c r="F178" t="s">
        <v>15</v>
      </c>
      <c r="G178" t="s">
        <v>15</v>
      </c>
      <c r="H178" t="s">
        <v>15</v>
      </c>
      <c r="I178" t="s">
        <v>15</v>
      </c>
    </row>
    <row r="179" spans="1:9" x14ac:dyDescent="0.25">
      <c r="A179" s="6">
        <v>43931</v>
      </c>
      <c r="B179" t="s">
        <v>13</v>
      </c>
      <c r="C179">
        <v>63789</v>
      </c>
      <c r="D179" t="s">
        <v>14</v>
      </c>
      <c r="E179" s="7">
        <v>801.02</v>
      </c>
      <c r="F179" t="s">
        <v>15</v>
      </c>
      <c r="G179" t="s">
        <v>15</v>
      </c>
      <c r="H179" t="s">
        <v>15</v>
      </c>
      <c r="I179" t="s">
        <v>15</v>
      </c>
    </row>
    <row r="180" spans="1:9" x14ac:dyDescent="0.25">
      <c r="A180" s="6">
        <v>43945</v>
      </c>
      <c r="B180" t="s">
        <v>13</v>
      </c>
      <c r="C180">
        <v>63808</v>
      </c>
      <c r="D180" t="s">
        <v>14</v>
      </c>
      <c r="E180" s="7">
        <v>975.38</v>
      </c>
      <c r="F180" t="s">
        <v>15</v>
      </c>
      <c r="G180" t="s">
        <v>15</v>
      </c>
      <c r="H180" t="s">
        <v>15</v>
      </c>
      <c r="I180" t="s">
        <v>15</v>
      </c>
    </row>
    <row r="181" spans="1:9" x14ac:dyDescent="0.25">
      <c r="A181" s="6">
        <v>43945</v>
      </c>
      <c r="B181" t="s">
        <v>13</v>
      </c>
      <c r="C181">
        <v>63812</v>
      </c>
      <c r="D181" t="s">
        <v>14</v>
      </c>
      <c r="E181" s="7">
        <v>912.78</v>
      </c>
      <c r="F181" t="s">
        <v>15</v>
      </c>
      <c r="G181" t="s">
        <v>15</v>
      </c>
      <c r="H181" t="s">
        <v>15</v>
      </c>
      <c r="I181" t="s">
        <v>15</v>
      </c>
    </row>
    <row r="182" spans="1:9" x14ac:dyDescent="0.25">
      <c r="A182" s="6">
        <v>43945</v>
      </c>
      <c r="B182" t="s">
        <v>13</v>
      </c>
      <c r="C182">
        <v>63813</v>
      </c>
      <c r="D182" t="s">
        <v>14</v>
      </c>
      <c r="E182" s="7">
        <v>581.84</v>
      </c>
      <c r="F182" t="s">
        <v>15</v>
      </c>
      <c r="G182" t="s">
        <v>15</v>
      </c>
      <c r="H182" t="s">
        <v>15</v>
      </c>
      <c r="I182" t="s">
        <v>15</v>
      </c>
    </row>
    <row r="183" spans="1:9" x14ac:dyDescent="0.25">
      <c r="A183" s="6">
        <v>43945</v>
      </c>
      <c r="B183" t="s">
        <v>13</v>
      </c>
      <c r="C183">
        <v>63814</v>
      </c>
      <c r="D183" t="s">
        <v>14</v>
      </c>
      <c r="E183" s="7">
        <v>783.21</v>
      </c>
      <c r="F183" t="s">
        <v>15</v>
      </c>
      <c r="G183" t="s">
        <v>15</v>
      </c>
      <c r="H183" t="s">
        <v>15</v>
      </c>
      <c r="I183" t="s">
        <v>15</v>
      </c>
    </row>
    <row r="184" spans="1:9" x14ac:dyDescent="0.25">
      <c r="A184" s="6">
        <v>43959</v>
      </c>
      <c r="B184" t="s">
        <v>13</v>
      </c>
      <c r="C184">
        <v>63913</v>
      </c>
      <c r="D184" t="s">
        <v>14</v>
      </c>
      <c r="E184" s="7">
        <v>863.32</v>
      </c>
      <c r="F184" t="s">
        <v>15</v>
      </c>
      <c r="G184" t="s">
        <v>15</v>
      </c>
      <c r="H184" t="s">
        <v>15</v>
      </c>
      <c r="I184" t="s">
        <v>15</v>
      </c>
    </row>
    <row r="185" spans="1:9" x14ac:dyDescent="0.25">
      <c r="A185" s="6">
        <v>43959</v>
      </c>
      <c r="B185" t="s">
        <v>13</v>
      </c>
      <c r="C185">
        <v>63914</v>
      </c>
      <c r="D185" t="s">
        <v>14</v>
      </c>
      <c r="E185" s="7">
        <v>581.84</v>
      </c>
      <c r="F185" t="s">
        <v>15</v>
      </c>
      <c r="G185" t="s">
        <v>15</v>
      </c>
      <c r="H185" t="s">
        <v>15</v>
      </c>
      <c r="I185" t="s">
        <v>15</v>
      </c>
    </row>
    <row r="186" spans="1:9" x14ac:dyDescent="0.25">
      <c r="A186" s="6">
        <v>43959</v>
      </c>
      <c r="B186" t="s">
        <v>13</v>
      </c>
      <c r="C186">
        <v>63915</v>
      </c>
      <c r="D186" t="s">
        <v>14</v>
      </c>
      <c r="E186" s="7">
        <v>750.93</v>
      </c>
      <c r="F186" t="s">
        <v>15</v>
      </c>
      <c r="G186" t="s">
        <v>15</v>
      </c>
      <c r="H186" t="s">
        <v>15</v>
      </c>
      <c r="I186" t="s">
        <v>15</v>
      </c>
    </row>
    <row r="187" spans="1:9" x14ac:dyDescent="0.25">
      <c r="A187" s="6">
        <v>43973</v>
      </c>
      <c r="B187" t="s">
        <v>13</v>
      </c>
      <c r="C187">
        <v>64032</v>
      </c>
      <c r="D187" t="s">
        <v>14</v>
      </c>
      <c r="E187" s="7">
        <v>626.42999999999995</v>
      </c>
      <c r="F187" t="s">
        <v>15</v>
      </c>
      <c r="G187" t="s">
        <v>15</v>
      </c>
      <c r="H187" t="s">
        <v>15</v>
      </c>
      <c r="I187" t="s">
        <v>15</v>
      </c>
    </row>
    <row r="188" spans="1:9" x14ac:dyDescent="0.25">
      <c r="A188" s="6">
        <v>43973</v>
      </c>
      <c r="B188" t="s">
        <v>13</v>
      </c>
      <c r="C188">
        <v>64033</v>
      </c>
      <c r="D188" t="s">
        <v>14</v>
      </c>
      <c r="E188" s="7">
        <v>494.07</v>
      </c>
      <c r="F188" t="s">
        <v>15</v>
      </c>
      <c r="G188" t="s">
        <v>15</v>
      </c>
      <c r="H188" t="s">
        <v>15</v>
      </c>
      <c r="I188" t="s">
        <v>15</v>
      </c>
    </row>
    <row r="189" spans="1:9" x14ac:dyDescent="0.25">
      <c r="A189" s="6">
        <v>43973</v>
      </c>
      <c r="B189" t="s">
        <v>13</v>
      </c>
      <c r="C189">
        <v>64034</v>
      </c>
      <c r="D189" t="s">
        <v>14</v>
      </c>
      <c r="E189" s="7">
        <v>760.94</v>
      </c>
      <c r="F189" t="s">
        <v>15</v>
      </c>
      <c r="G189" t="s">
        <v>15</v>
      </c>
      <c r="H189" t="s">
        <v>15</v>
      </c>
      <c r="I189" t="s">
        <v>15</v>
      </c>
    </row>
    <row r="190" spans="1:9" x14ac:dyDescent="0.25">
      <c r="A190" s="6">
        <v>43987</v>
      </c>
      <c r="B190" t="s">
        <v>13</v>
      </c>
      <c r="C190">
        <v>64102</v>
      </c>
      <c r="D190" t="s">
        <v>14</v>
      </c>
      <c r="E190" s="7">
        <v>910.18</v>
      </c>
      <c r="F190" t="s">
        <v>15</v>
      </c>
      <c r="G190" t="s">
        <v>15</v>
      </c>
      <c r="H190" t="s">
        <v>15</v>
      </c>
      <c r="I190" t="s">
        <v>15</v>
      </c>
    </row>
    <row r="191" spans="1:9" x14ac:dyDescent="0.25">
      <c r="A191" s="6">
        <v>43987</v>
      </c>
      <c r="B191" t="s">
        <v>13</v>
      </c>
      <c r="C191">
        <v>64103</v>
      </c>
      <c r="D191" t="s">
        <v>14</v>
      </c>
      <c r="E191" s="7">
        <v>581.84</v>
      </c>
      <c r="F191" t="s">
        <v>15</v>
      </c>
      <c r="G191" t="s">
        <v>15</v>
      </c>
      <c r="H191" t="s">
        <v>15</v>
      </c>
      <c r="I191" t="s">
        <v>15</v>
      </c>
    </row>
    <row r="192" spans="1:9" x14ac:dyDescent="0.25">
      <c r="A192" s="6">
        <v>43987</v>
      </c>
      <c r="B192" t="s">
        <v>13</v>
      </c>
      <c r="C192">
        <v>64104</v>
      </c>
      <c r="D192" t="s">
        <v>14</v>
      </c>
      <c r="E192" s="7">
        <v>783.21</v>
      </c>
      <c r="F192" t="s">
        <v>15</v>
      </c>
      <c r="G192" t="s">
        <v>15</v>
      </c>
      <c r="H192" t="s">
        <v>15</v>
      </c>
      <c r="I192" t="s">
        <v>15</v>
      </c>
    </row>
    <row r="193" spans="1:9" x14ac:dyDescent="0.25">
      <c r="A193" s="6">
        <v>44001</v>
      </c>
      <c r="B193" t="s">
        <v>13</v>
      </c>
      <c r="C193">
        <v>64228</v>
      </c>
      <c r="D193" t="s">
        <v>14</v>
      </c>
      <c r="E193" s="7">
        <v>858.63</v>
      </c>
      <c r="F193" t="s">
        <v>15</v>
      </c>
      <c r="G193" t="s">
        <v>15</v>
      </c>
      <c r="H193" t="s">
        <v>15</v>
      </c>
      <c r="I193" t="s">
        <v>15</v>
      </c>
    </row>
    <row r="194" spans="1:9" x14ac:dyDescent="0.25">
      <c r="A194" s="6">
        <v>44001</v>
      </c>
      <c r="B194" t="s">
        <v>13</v>
      </c>
      <c r="C194">
        <v>64229</v>
      </c>
      <c r="D194" t="s">
        <v>14</v>
      </c>
      <c r="E194" s="7">
        <v>590.84</v>
      </c>
      <c r="F194" t="s">
        <v>15</v>
      </c>
      <c r="G194" t="s">
        <v>15</v>
      </c>
      <c r="H194" t="s">
        <v>15</v>
      </c>
      <c r="I194" t="s">
        <v>15</v>
      </c>
    </row>
    <row r="195" spans="1:9" x14ac:dyDescent="0.25">
      <c r="A195" s="6">
        <v>44014</v>
      </c>
      <c r="B195" t="s">
        <v>13</v>
      </c>
      <c r="C195">
        <v>64321</v>
      </c>
      <c r="D195" t="s">
        <v>14</v>
      </c>
      <c r="E195" s="7">
        <v>876.33</v>
      </c>
      <c r="F195" t="s">
        <v>15</v>
      </c>
      <c r="G195" t="s">
        <v>15</v>
      </c>
      <c r="H195" t="s">
        <v>15</v>
      </c>
      <c r="I195" t="s">
        <v>15</v>
      </c>
    </row>
    <row r="196" spans="1:9" x14ac:dyDescent="0.25">
      <c r="A196" s="6">
        <v>44014</v>
      </c>
      <c r="B196" t="s">
        <v>13</v>
      </c>
      <c r="C196">
        <v>64322</v>
      </c>
      <c r="D196" t="s">
        <v>14</v>
      </c>
      <c r="E196" s="7">
        <v>547.45000000000005</v>
      </c>
      <c r="F196" t="s">
        <v>15</v>
      </c>
      <c r="G196" t="s">
        <v>15</v>
      </c>
      <c r="H196" t="s">
        <v>15</v>
      </c>
      <c r="I196" t="s">
        <v>15</v>
      </c>
    </row>
    <row r="197" spans="1:9" x14ac:dyDescent="0.25">
      <c r="A197" s="6">
        <v>44029</v>
      </c>
      <c r="B197" t="s">
        <v>13</v>
      </c>
      <c r="C197">
        <v>64439</v>
      </c>
      <c r="D197" t="s">
        <v>14</v>
      </c>
      <c r="E197" s="7">
        <v>914.88</v>
      </c>
      <c r="F197" t="s">
        <v>15</v>
      </c>
      <c r="G197" t="s">
        <v>15</v>
      </c>
      <c r="H197" t="s">
        <v>15</v>
      </c>
      <c r="I197" t="s">
        <v>15</v>
      </c>
    </row>
    <row r="198" spans="1:9" x14ac:dyDescent="0.25">
      <c r="A198" s="6">
        <v>44029</v>
      </c>
      <c r="B198" t="s">
        <v>13</v>
      </c>
      <c r="C198">
        <v>64442</v>
      </c>
      <c r="D198" t="s">
        <v>14</v>
      </c>
      <c r="E198" s="7">
        <v>992.72</v>
      </c>
      <c r="F198" t="s">
        <v>15</v>
      </c>
      <c r="G198" t="s">
        <v>15</v>
      </c>
      <c r="H198" t="s">
        <v>15</v>
      </c>
      <c r="I198" t="s">
        <v>15</v>
      </c>
    </row>
    <row r="199" spans="1:9" x14ac:dyDescent="0.25">
      <c r="A199" s="6">
        <v>44029</v>
      </c>
      <c r="B199" t="s">
        <v>13</v>
      </c>
      <c r="C199">
        <v>64444</v>
      </c>
      <c r="D199" t="s">
        <v>14</v>
      </c>
      <c r="E199" s="7">
        <v>865.92</v>
      </c>
      <c r="F199" t="s">
        <v>15</v>
      </c>
      <c r="G199" t="s">
        <v>15</v>
      </c>
      <c r="H199" t="s">
        <v>15</v>
      </c>
      <c r="I199" t="s">
        <v>15</v>
      </c>
    </row>
    <row r="200" spans="1:9" x14ac:dyDescent="0.25">
      <c r="A200" s="6">
        <v>44029</v>
      </c>
      <c r="B200" t="s">
        <v>13</v>
      </c>
      <c r="C200">
        <v>64445</v>
      </c>
      <c r="D200" t="s">
        <v>14</v>
      </c>
      <c r="E200" s="7">
        <v>504.06</v>
      </c>
      <c r="F200" t="s">
        <v>15</v>
      </c>
      <c r="G200" t="s">
        <v>15</v>
      </c>
      <c r="H200" t="s">
        <v>15</v>
      </c>
      <c r="I200" t="s">
        <v>15</v>
      </c>
    </row>
    <row r="201" spans="1:9" x14ac:dyDescent="0.25">
      <c r="A201" s="6">
        <v>44043</v>
      </c>
      <c r="B201" t="s">
        <v>13</v>
      </c>
      <c r="C201">
        <v>64565</v>
      </c>
      <c r="D201" t="s">
        <v>14</v>
      </c>
      <c r="E201" s="7">
        <v>990.97</v>
      </c>
      <c r="F201" t="s">
        <v>15</v>
      </c>
      <c r="G201" t="s">
        <v>15</v>
      </c>
      <c r="H201" t="s">
        <v>15</v>
      </c>
      <c r="I201" t="s">
        <v>15</v>
      </c>
    </row>
    <row r="202" spans="1:9" x14ac:dyDescent="0.25">
      <c r="A202" s="6">
        <v>44043</v>
      </c>
      <c r="B202" t="s">
        <v>13</v>
      </c>
      <c r="C202">
        <v>64567</v>
      </c>
      <c r="D202" t="s">
        <v>14</v>
      </c>
      <c r="E202" s="7">
        <v>547.45000000000005</v>
      </c>
      <c r="F202" t="s">
        <v>15</v>
      </c>
      <c r="G202" t="s">
        <v>15</v>
      </c>
      <c r="H202" t="s">
        <v>15</v>
      </c>
      <c r="I202" t="s">
        <v>15</v>
      </c>
    </row>
    <row r="203" spans="1:9" x14ac:dyDescent="0.25">
      <c r="A203" s="6">
        <v>44057</v>
      </c>
      <c r="B203" t="s">
        <v>13</v>
      </c>
      <c r="C203">
        <v>64662</v>
      </c>
      <c r="D203" t="s">
        <v>14</v>
      </c>
      <c r="E203" s="7">
        <v>590.84</v>
      </c>
      <c r="F203" t="s">
        <v>15</v>
      </c>
      <c r="G203" t="s">
        <v>15</v>
      </c>
      <c r="H203" t="s">
        <v>15</v>
      </c>
      <c r="I203" t="s">
        <v>15</v>
      </c>
    </row>
    <row r="204" spans="1:9" x14ac:dyDescent="0.25">
      <c r="A204" s="6">
        <v>44071</v>
      </c>
      <c r="B204" t="s">
        <v>13</v>
      </c>
      <c r="C204">
        <v>64779</v>
      </c>
      <c r="D204" t="s">
        <v>14</v>
      </c>
      <c r="E204" s="7">
        <v>504.06</v>
      </c>
      <c r="F204" t="s">
        <v>15</v>
      </c>
      <c r="G204" t="s">
        <v>15</v>
      </c>
      <c r="H204" t="s">
        <v>15</v>
      </c>
      <c r="I204" t="s">
        <v>15</v>
      </c>
    </row>
    <row r="205" spans="1:9" x14ac:dyDescent="0.25">
      <c r="A205" s="6">
        <v>44085</v>
      </c>
      <c r="B205" t="s">
        <v>13</v>
      </c>
      <c r="C205">
        <v>64899</v>
      </c>
      <c r="D205" t="s">
        <v>14</v>
      </c>
      <c r="E205" s="7">
        <v>520.44000000000005</v>
      </c>
      <c r="F205" t="s">
        <v>15</v>
      </c>
      <c r="G205" t="s">
        <v>15</v>
      </c>
      <c r="H205" t="s">
        <v>15</v>
      </c>
      <c r="I205" t="s">
        <v>15</v>
      </c>
    </row>
    <row r="206" spans="1:9" x14ac:dyDescent="0.25">
      <c r="A206" s="6">
        <v>44099</v>
      </c>
      <c r="B206" t="s">
        <v>13</v>
      </c>
      <c r="C206">
        <v>65008</v>
      </c>
      <c r="D206" t="s">
        <v>14</v>
      </c>
      <c r="E206" s="7">
        <v>279.3</v>
      </c>
      <c r="F206" t="s">
        <v>15</v>
      </c>
      <c r="G206" t="s">
        <v>15</v>
      </c>
      <c r="H206" t="s">
        <v>15</v>
      </c>
      <c r="I206" t="s">
        <v>15</v>
      </c>
    </row>
    <row r="207" spans="1:9" x14ac:dyDescent="0.25">
      <c r="A207" s="6">
        <v>43782</v>
      </c>
      <c r="B207" t="s">
        <v>16</v>
      </c>
      <c r="D207" t="s">
        <v>17</v>
      </c>
      <c r="E207" s="7">
        <v>134.05000000000001</v>
      </c>
      <c r="F207" t="s">
        <v>15</v>
      </c>
      <c r="G207" t="s">
        <v>15</v>
      </c>
      <c r="H207" t="s">
        <v>15</v>
      </c>
      <c r="I207" t="s">
        <v>15</v>
      </c>
    </row>
    <row r="208" spans="1:9" x14ac:dyDescent="0.25">
      <c r="A208" s="6">
        <v>43907</v>
      </c>
      <c r="B208" t="s">
        <v>16</v>
      </c>
      <c r="D208" t="s">
        <v>17</v>
      </c>
      <c r="E208" s="7">
        <v>423.75</v>
      </c>
      <c r="F208" t="s">
        <v>15</v>
      </c>
      <c r="G208" t="s">
        <v>15</v>
      </c>
      <c r="H208" t="s">
        <v>15</v>
      </c>
      <c r="I208" t="s">
        <v>15</v>
      </c>
    </row>
    <row r="209" spans="1:9" x14ac:dyDescent="0.25">
      <c r="A209" s="6">
        <v>43747</v>
      </c>
      <c r="B209" t="s">
        <v>18</v>
      </c>
      <c r="C209">
        <v>59</v>
      </c>
      <c r="D209" t="s">
        <v>19</v>
      </c>
      <c r="E209" s="7">
        <v>30814.71</v>
      </c>
      <c r="F209" t="s">
        <v>20</v>
      </c>
      <c r="G209" t="s">
        <v>21</v>
      </c>
      <c r="H209" t="str">
        <f>"T1 201910078545"</f>
        <v>T1 201910078545</v>
      </c>
      <c r="I209" t="str">
        <f>"FED WITHHOLDINGS"</f>
        <v>FED WITHHOLDINGS</v>
      </c>
    </row>
    <row r="210" spans="1:9" x14ac:dyDescent="0.25">
      <c r="E210" s="7"/>
      <c r="F210" t="s">
        <v>20</v>
      </c>
      <c r="G210" t="s">
        <v>21</v>
      </c>
      <c r="H210" t="str">
        <f>"T3 201910078545"</f>
        <v>T3 201910078545</v>
      </c>
      <c r="I210" t="str">
        <f>"FICA WITHHOLDINGS"</f>
        <v>FICA WITHHOLDINGS</v>
      </c>
    </row>
    <row r="211" spans="1:9" x14ac:dyDescent="0.25">
      <c r="E211" s="7"/>
      <c r="F211" t="s">
        <v>20</v>
      </c>
      <c r="G211" t="s">
        <v>21</v>
      </c>
      <c r="H211" t="str">
        <f>"T4 201910078545"</f>
        <v>T4 201910078545</v>
      </c>
      <c r="I211" t="str">
        <f>"MEDICARE WITHHOLDINGS"</f>
        <v>MEDICARE WITHHOLDINGS</v>
      </c>
    </row>
    <row r="212" spans="1:9" x14ac:dyDescent="0.25">
      <c r="A212" s="6">
        <v>43761</v>
      </c>
      <c r="B212" t="s">
        <v>18</v>
      </c>
      <c r="C212">
        <v>60</v>
      </c>
      <c r="D212" t="s">
        <v>19</v>
      </c>
      <c r="E212" s="7">
        <v>34838.75</v>
      </c>
      <c r="F212" t="s">
        <v>20</v>
      </c>
      <c r="G212" t="s">
        <v>21</v>
      </c>
      <c r="H212" t="str">
        <f>"T1 201910228546"</f>
        <v>T1 201910228546</v>
      </c>
      <c r="I212" t="str">
        <f>"FED WITHHOLDINGS"</f>
        <v>FED WITHHOLDINGS</v>
      </c>
    </row>
    <row r="213" spans="1:9" x14ac:dyDescent="0.25">
      <c r="E213" s="7"/>
      <c r="F213" t="s">
        <v>20</v>
      </c>
      <c r="G213" t="s">
        <v>21</v>
      </c>
      <c r="H213" t="str">
        <f>"T3 201910228546"</f>
        <v>T3 201910228546</v>
      </c>
      <c r="I213" t="str">
        <f>"FICA WITHHOLDINGS"</f>
        <v>FICA WITHHOLDINGS</v>
      </c>
    </row>
    <row r="214" spans="1:9" x14ac:dyDescent="0.25">
      <c r="E214" s="7"/>
      <c r="F214" t="s">
        <v>20</v>
      </c>
      <c r="G214" t="s">
        <v>21</v>
      </c>
      <c r="H214" t="str">
        <f>"T4 201910228546"</f>
        <v>T4 201910228546</v>
      </c>
      <c r="I214" t="str">
        <f>"MEDICARE WITHHOLDINGS"</f>
        <v>MEDICARE WITHHOLDINGS</v>
      </c>
    </row>
    <row r="215" spans="1:9" x14ac:dyDescent="0.25">
      <c r="A215" s="6">
        <v>43774</v>
      </c>
      <c r="B215" t="s">
        <v>18</v>
      </c>
      <c r="C215">
        <v>61</v>
      </c>
      <c r="D215" t="s">
        <v>19</v>
      </c>
      <c r="E215" s="7">
        <v>31136.46</v>
      </c>
      <c r="F215" t="s">
        <v>20</v>
      </c>
      <c r="G215" t="s">
        <v>21</v>
      </c>
      <c r="H215" t="str">
        <f>"T1 201911058547"</f>
        <v>T1 201911058547</v>
      </c>
      <c r="I215" t="str">
        <f>"FED WITHHOLDINGS"</f>
        <v>FED WITHHOLDINGS</v>
      </c>
    </row>
    <row r="216" spans="1:9" x14ac:dyDescent="0.25">
      <c r="E216" s="7"/>
      <c r="F216" t="s">
        <v>20</v>
      </c>
      <c r="G216" t="s">
        <v>21</v>
      </c>
      <c r="H216" t="str">
        <f>"T3 201911058547"</f>
        <v>T3 201911058547</v>
      </c>
      <c r="I216" t="str">
        <f>"FICA WITHHOLDINGS"</f>
        <v>FICA WITHHOLDINGS</v>
      </c>
    </row>
    <row r="217" spans="1:9" x14ac:dyDescent="0.25">
      <c r="E217" s="7"/>
      <c r="F217" t="s">
        <v>20</v>
      </c>
      <c r="G217" t="s">
        <v>21</v>
      </c>
      <c r="H217" t="str">
        <f>"T4 201911058547"</f>
        <v>T4 201911058547</v>
      </c>
      <c r="I217" t="str">
        <f>"MEDICARE WITHHOLDINGS"</f>
        <v>MEDICARE WITHHOLDINGS</v>
      </c>
    </row>
    <row r="218" spans="1:9" x14ac:dyDescent="0.25">
      <c r="A218" s="6">
        <v>43788</v>
      </c>
      <c r="B218" t="s">
        <v>18</v>
      </c>
      <c r="C218">
        <v>62</v>
      </c>
      <c r="D218" t="s">
        <v>19</v>
      </c>
      <c r="E218" s="7">
        <v>1236.21</v>
      </c>
      <c r="F218" t="s">
        <v>20</v>
      </c>
      <c r="G218" t="s">
        <v>21</v>
      </c>
      <c r="H218" t="str">
        <f>"T1 201911198550"</f>
        <v>T1 201911198550</v>
      </c>
      <c r="I218" t="str">
        <f>"FED WITHHOLDINGS"</f>
        <v>FED WITHHOLDINGS</v>
      </c>
    </row>
    <row r="219" spans="1:9" x14ac:dyDescent="0.25">
      <c r="E219" s="7"/>
      <c r="F219" t="s">
        <v>20</v>
      </c>
      <c r="G219" t="s">
        <v>21</v>
      </c>
      <c r="H219" t="str">
        <f>"T3 201911198550"</f>
        <v>T3 201911198550</v>
      </c>
      <c r="I219" t="str">
        <f>"FICA WITHHOLDINGS"</f>
        <v>FICA WITHHOLDINGS</v>
      </c>
    </row>
    <row r="220" spans="1:9" x14ac:dyDescent="0.25">
      <c r="E220" s="7"/>
      <c r="F220" t="s">
        <v>20</v>
      </c>
      <c r="G220" t="s">
        <v>21</v>
      </c>
      <c r="H220" t="str">
        <f>"T4 201911198550"</f>
        <v>T4 201911198550</v>
      </c>
      <c r="I220" t="str">
        <f>"MEDICARE WITHHOLDINGS"</f>
        <v>MEDICARE WITHHOLDINGS</v>
      </c>
    </row>
    <row r="221" spans="1:9" x14ac:dyDescent="0.25">
      <c r="A221" s="6">
        <v>43788</v>
      </c>
      <c r="B221" t="s">
        <v>18</v>
      </c>
      <c r="C221">
        <v>63</v>
      </c>
      <c r="D221" t="s">
        <v>19</v>
      </c>
      <c r="E221" s="7">
        <v>32485.33</v>
      </c>
      <c r="F221" t="s">
        <v>20</v>
      </c>
      <c r="G221" t="s">
        <v>21</v>
      </c>
      <c r="H221" t="str">
        <f>"T1 201911198551"</f>
        <v>T1 201911198551</v>
      </c>
      <c r="I221" t="str">
        <f>"FED WITHHOLDINGS"</f>
        <v>FED WITHHOLDINGS</v>
      </c>
    </row>
    <row r="222" spans="1:9" x14ac:dyDescent="0.25">
      <c r="E222" s="7"/>
      <c r="F222" t="s">
        <v>20</v>
      </c>
      <c r="G222" t="s">
        <v>21</v>
      </c>
      <c r="H222" t="str">
        <f>"T3 201911198551"</f>
        <v>T3 201911198551</v>
      </c>
      <c r="I222" t="str">
        <f>"FICA WITHHOLDINGS"</f>
        <v>FICA WITHHOLDINGS</v>
      </c>
    </row>
    <row r="223" spans="1:9" x14ac:dyDescent="0.25">
      <c r="E223" s="7"/>
      <c r="F223" t="s">
        <v>20</v>
      </c>
      <c r="G223" t="s">
        <v>21</v>
      </c>
      <c r="H223" t="str">
        <f>"T4 201911198551"</f>
        <v>T4 201911198551</v>
      </c>
      <c r="I223" t="str">
        <f>"MEDICARE WITHHOLDINGS"</f>
        <v>MEDICARE WITHHOLDINGS</v>
      </c>
    </row>
    <row r="224" spans="1:9" x14ac:dyDescent="0.25">
      <c r="A224" s="6">
        <v>43802</v>
      </c>
      <c r="B224" t="s">
        <v>18</v>
      </c>
      <c r="C224">
        <v>64</v>
      </c>
      <c r="D224" t="s">
        <v>19</v>
      </c>
      <c r="E224" s="7">
        <v>34801.949999999997</v>
      </c>
      <c r="F224" t="s">
        <v>20</v>
      </c>
      <c r="G224" t="s">
        <v>21</v>
      </c>
      <c r="H224" t="str">
        <f>"T1 201912038552"</f>
        <v>T1 201912038552</v>
      </c>
      <c r="I224" t="str">
        <f>"FED WITHHOLDINGS"</f>
        <v>FED WITHHOLDINGS</v>
      </c>
    </row>
    <row r="225" spans="1:9" x14ac:dyDescent="0.25">
      <c r="E225" s="7"/>
      <c r="F225" t="s">
        <v>20</v>
      </c>
      <c r="G225" t="s">
        <v>21</v>
      </c>
      <c r="H225" t="str">
        <f>"T3 201912038552"</f>
        <v>T3 201912038552</v>
      </c>
      <c r="I225" t="str">
        <f>"FICA WITHHOLDINGS"</f>
        <v>FICA WITHHOLDINGS</v>
      </c>
    </row>
    <row r="226" spans="1:9" x14ac:dyDescent="0.25">
      <c r="E226" s="7"/>
      <c r="F226" t="s">
        <v>20</v>
      </c>
      <c r="G226" t="s">
        <v>21</v>
      </c>
      <c r="H226" t="str">
        <f>"T4 201912038552"</f>
        <v>T4 201912038552</v>
      </c>
      <c r="I226" t="str">
        <f>"MEDICARE WITHHOLDINGS"</f>
        <v>MEDICARE WITHHOLDINGS</v>
      </c>
    </row>
    <row r="227" spans="1:9" x14ac:dyDescent="0.25">
      <c r="A227" s="6">
        <v>43819</v>
      </c>
      <c r="B227" t="s">
        <v>18</v>
      </c>
      <c r="C227">
        <v>65</v>
      </c>
      <c r="D227" t="s">
        <v>19</v>
      </c>
      <c r="E227" s="7">
        <v>32257.42</v>
      </c>
      <c r="F227" t="s">
        <v>20</v>
      </c>
      <c r="G227" t="s">
        <v>21</v>
      </c>
      <c r="H227" t="str">
        <f>"T1 201912188558"</f>
        <v>T1 201912188558</v>
      </c>
      <c r="I227" t="str">
        <f>"FED WITHHOLDINGS"</f>
        <v>FED WITHHOLDINGS</v>
      </c>
    </row>
    <row r="228" spans="1:9" x14ac:dyDescent="0.25">
      <c r="E228" s="7"/>
      <c r="F228" t="s">
        <v>20</v>
      </c>
      <c r="G228" t="s">
        <v>21</v>
      </c>
      <c r="H228" t="str">
        <f>"T3 201912188558"</f>
        <v>T3 201912188558</v>
      </c>
      <c r="I228" t="str">
        <f>"FICA WITHHOLDINGS"</f>
        <v>FICA WITHHOLDINGS</v>
      </c>
    </row>
    <row r="229" spans="1:9" x14ac:dyDescent="0.25">
      <c r="E229" s="7"/>
      <c r="F229" t="s">
        <v>20</v>
      </c>
      <c r="G229" t="s">
        <v>21</v>
      </c>
      <c r="H229" t="str">
        <f>"T4 201912188558"</f>
        <v>T4 201912188558</v>
      </c>
      <c r="I229" t="str">
        <f>"MEDICARE WITHHOLDINGS"</f>
        <v>MEDICARE WITHHOLDINGS</v>
      </c>
    </row>
    <row r="230" spans="1:9" x14ac:dyDescent="0.25">
      <c r="A230" s="6">
        <v>43828</v>
      </c>
      <c r="B230" t="s">
        <v>18</v>
      </c>
      <c r="C230">
        <v>66</v>
      </c>
      <c r="D230" t="s">
        <v>19</v>
      </c>
      <c r="E230" s="7">
        <v>33704.35</v>
      </c>
      <c r="F230" t="s">
        <v>20</v>
      </c>
      <c r="G230" t="s">
        <v>21</v>
      </c>
      <c r="H230" t="str">
        <f>"T1 201912298559"</f>
        <v>T1 201912298559</v>
      </c>
      <c r="I230" t="str">
        <f>"FED WITHHOLDINGS"</f>
        <v>FED WITHHOLDINGS</v>
      </c>
    </row>
    <row r="231" spans="1:9" x14ac:dyDescent="0.25">
      <c r="E231" s="7"/>
      <c r="F231" t="s">
        <v>20</v>
      </c>
      <c r="G231" t="s">
        <v>21</v>
      </c>
      <c r="H231" t="str">
        <f>"T3 201912298559"</f>
        <v>T3 201912298559</v>
      </c>
      <c r="I231" t="str">
        <f>"FICA WITHHOLDINGS"</f>
        <v>FICA WITHHOLDINGS</v>
      </c>
    </row>
    <row r="232" spans="1:9" x14ac:dyDescent="0.25">
      <c r="E232" s="7"/>
      <c r="F232" t="s">
        <v>20</v>
      </c>
      <c r="G232" t="s">
        <v>21</v>
      </c>
      <c r="H232" t="str">
        <f>"T4 201912298559"</f>
        <v>T4 201912298559</v>
      </c>
      <c r="I232" t="str">
        <f>"MEDICARE WITHHOLDINGS"</f>
        <v>MEDICARE WITHHOLDINGS</v>
      </c>
    </row>
    <row r="233" spans="1:9" x14ac:dyDescent="0.25">
      <c r="A233" s="6">
        <v>43844</v>
      </c>
      <c r="B233" t="s">
        <v>18</v>
      </c>
      <c r="C233">
        <v>67</v>
      </c>
      <c r="D233" t="s">
        <v>19</v>
      </c>
      <c r="E233" s="7">
        <v>33407.33</v>
      </c>
      <c r="F233" t="s">
        <v>20</v>
      </c>
      <c r="G233" t="s">
        <v>21</v>
      </c>
      <c r="H233" t="str">
        <f>"T1 202001148560"</f>
        <v>T1 202001148560</v>
      </c>
      <c r="I233" t="str">
        <f>"FED WITHHOLDINGS"</f>
        <v>FED WITHHOLDINGS</v>
      </c>
    </row>
    <row r="234" spans="1:9" x14ac:dyDescent="0.25">
      <c r="E234" s="7"/>
      <c r="F234" t="s">
        <v>20</v>
      </c>
      <c r="G234" t="s">
        <v>21</v>
      </c>
      <c r="H234" t="str">
        <f>"T3 202001148560"</f>
        <v>T3 202001148560</v>
      </c>
      <c r="I234" t="str">
        <f>"FICA WITHHOLDINGS"</f>
        <v>FICA WITHHOLDINGS</v>
      </c>
    </row>
    <row r="235" spans="1:9" x14ac:dyDescent="0.25">
      <c r="E235" s="7"/>
      <c r="F235" t="s">
        <v>20</v>
      </c>
      <c r="G235" t="s">
        <v>21</v>
      </c>
      <c r="H235" t="str">
        <f>"T4 202001148560"</f>
        <v>T4 202001148560</v>
      </c>
      <c r="I235" t="str">
        <f>"MEDICARE WITHHOLDINGS"</f>
        <v>MEDICARE WITHHOLDINGS</v>
      </c>
    </row>
    <row r="236" spans="1:9" x14ac:dyDescent="0.25">
      <c r="A236" s="6">
        <v>43858</v>
      </c>
      <c r="B236" t="s">
        <v>18</v>
      </c>
      <c r="C236">
        <v>68</v>
      </c>
      <c r="D236" t="s">
        <v>19</v>
      </c>
      <c r="E236" s="7">
        <v>32669.39</v>
      </c>
      <c r="F236" t="s">
        <v>20</v>
      </c>
      <c r="G236" t="s">
        <v>21</v>
      </c>
      <c r="H236" t="str">
        <f>"T1 202001288561"</f>
        <v>T1 202001288561</v>
      </c>
      <c r="I236" t="str">
        <f>"FED WITHHOLDINGS"</f>
        <v>FED WITHHOLDINGS</v>
      </c>
    </row>
    <row r="237" spans="1:9" x14ac:dyDescent="0.25">
      <c r="E237" s="7"/>
      <c r="F237" t="s">
        <v>20</v>
      </c>
      <c r="G237" t="s">
        <v>21</v>
      </c>
      <c r="H237" t="str">
        <f>"T3 202001288561"</f>
        <v>T3 202001288561</v>
      </c>
      <c r="I237" t="str">
        <f>"FICA WITHHOLDINGS"</f>
        <v>FICA WITHHOLDINGS</v>
      </c>
    </row>
    <row r="238" spans="1:9" x14ac:dyDescent="0.25">
      <c r="E238" s="7"/>
      <c r="F238" t="s">
        <v>20</v>
      </c>
      <c r="G238" t="s">
        <v>21</v>
      </c>
      <c r="H238" t="str">
        <f>"T4 202001288561"</f>
        <v>T4 202001288561</v>
      </c>
      <c r="I238" t="str">
        <f>"MEDICARE WITHHOLDINGS"</f>
        <v>MEDICARE WITHHOLDINGS</v>
      </c>
    </row>
    <row r="239" spans="1:9" x14ac:dyDescent="0.25">
      <c r="A239" s="6">
        <v>43873</v>
      </c>
      <c r="B239" t="s">
        <v>18</v>
      </c>
      <c r="C239">
        <v>69</v>
      </c>
      <c r="D239" t="s">
        <v>19</v>
      </c>
      <c r="E239" s="7">
        <v>31215.3</v>
      </c>
      <c r="F239" t="s">
        <v>20</v>
      </c>
      <c r="G239" t="s">
        <v>21</v>
      </c>
      <c r="H239" t="str">
        <f>"T1 202002118562"</f>
        <v>T1 202002118562</v>
      </c>
      <c r="I239" t="str">
        <f>"FED WITHHOLDINGS"</f>
        <v>FED WITHHOLDINGS</v>
      </c>
    </row>
    <row r="240" spans="1:9" x14ac:dyDescent="0.25">
      <c r="E240" s="7"/>
      <c r="F240" t="s">
        <v>20</v>
      </c>
      <c r="G240" t="s">
        <v>21</v>
      </c>
      <c r="H240" t="str">
        <f>"T3 202002118562"</f>
        <v>T3 202002118562</v>
      </c>
      <c r="I240" t="str">
        <f>"FICA WITHHOLDINGS"</f>
        <v>FICA WITHHOLDINGS</v>
      </c>
    </row>
    <row r="241" spans="1:9" x14ac:dyDescent="0.25">
      <c r="E241" s="7"/>
      <c r="F241" t="s">
        <v>20</v>
      </c>
      <c r="G241" t="s">
        <v>21</v>
      </c>
      <c r="H241" t="str">
        <f>"T4 202002118562"</f>
        <v>T4 202002118562</v>
      </c>
      <c r="I241" t="str">
        <f>"MEDICARE WITHHOLDINGS"</f>
        <v>MEDICARE WITHHOLDINGS</v>
      </c>
    </row>
    <row r="242" spans="1:9" x14ac:dyDescent="0.25">
      <c r="A242" s="6">
        <v>43886</v>
      </c>
      <c r="B242" t="s">
        <v>18</v>
      </c>
      <c r="C242">
        <v>70</v>
      </c>
      <c r="D242" t="s">
        <v>19</v>
      </c>
      <c r="E242" s="7">
        <v>32331.47</v>
      </c>
      <c r="F242" t="s">
        <v>20</v>
      </c>
      <c r="G242" t="s">
        <v>21</v>
      </c>
      <c r="H242" t="str">
        <f>"T1 202002258563"</f>
        <v>T1 202002258563</v>
      </c>
      <c r="I242" t="str">
        <f>"FED WITHHOLDINGS"</f>
        <v>FED WITHHOLDINGS</v>
      </c>
    </row>
    <row r="243" spans="1:9" x14ac:dyDescent="0.25">
      <c r="E243" s="7"/>
      <c r="F243" t="s">
        <v>20</v>
      </c>
      <c r="G243" t="s">
        <v>21</v>
      </c>
      <c r="H243" t="str">
        <f>"T3 202002258563"</f>
        <v>T3 202002258563</v>
      </c>
      <c r="I243" t="str">
        <f>"FICA WITHHOLDINGS"</f>
        <v>FICA WITHHOLDINGS</v>
      </c>
    </row>
    <row r="244" spans="1:9" x14ac:dyDescent="0.25">
      <c r="E244" s="7"/>
      <c r="F244" t="s">
        <v>20</v>
      </c>
      <c r="G244" t="s">
        <v>21</v>
      </c>
      <c r="H244" t="str">
        <f>"T4 202002258563"</f>
        <v>T4 202002258563</v>
      </c>
      <c r="I244" t="str">
        <f>"MEDICARE WITHHOLDINGS"</f>
        <v>MEDICARE WITHHOLDINGS</v>
      </c>
    </row>
    <row r="245" spans="1:9" x14ac:dyDescent="0.25">
      <c r="A245" s="6">
        <v>43900</v>
      </c>
      <c r="B245" t="s">
        <v>18</v>
      </c>
      <c r="C245">
        <v>71</v>
      </c>
      <c r="D245" t="s">
        <v>19</v>
      </c>
      <c r="E245" s="7">
        <v>32388.02</v>
      </c>
      <c r="F245" t="s">
        <v>20</v>
      </c>
      <c r="G245" t="s">
        <v>21</v>
      </c>
      <c r="H245" t="str">
        <f>"T1 202003108564"</f>
        <v>T1 202003108564</v>
      </c>
      <c r="I245" t="str">
        <f>"FED WITHHOLDINGS"</f>
        <v>FED WITHHOLDINGS</v>
      </c>
    </row>
    <row r="246" spans="1:9" x14ac:dyDescent="0.25">
      <c r="E246" s="7"/>
      <c r="F246" t="s">
        <v>20</v>
      </c>
      <c r="G246" t="s">
        <v>21</v>
      </c>
      <c r="H246" t="str">
        <f>"T3 202003108564"</f>
        <v>T3 202003108564</v>
      </c>
      <c r="I246" t="str">
        <f>"FICA WITHHOLDINGS"</f>
        <v>FICA WITHHOLDINGS</v>
      </c>
    </row>
    <row r="247" spans="1:9" x14ac:dyDescent="0.25">
      <c r="E247" s="7"/>
      <c r="F247" t="s">
        <v>20</v>
      </c>
      <c r="G247" t="s">
        <v>21</v>
      </c>
      <c r="H247" t="str">
        <f>"T4 202003108564"</f>
        <v>T4 202003108564</v>
      </c>
      <c r="I247" t="str">
        <f>"MEDICARE WITHHOLDINGS"</f>
        <v>MEDICARE WITHHOLDINGS</v>
      </c>
    </row>
    <row r="248" spans="1:9" x14ac:dyDescent="0.25">
      <c r="A248" s="6">
        <v>43913</v>
      </c>
      <c r="B248" t="s">
        <v>18</v>
      </c>
      <c r="C248">
        <v>72</v>
      </c>
      <c r="D248" t="s">
        <v>19</v>
      </c>
      <c r="E248" s="7">
        <v>32511.35</v>
      </c>
      <c r="F248" t="s">
        <v>20</v>
      </c>
      <c r="G248" t="s">
        <v>21</v>
      </c>
      <c r="H248" t="str">
        <f>"T1 202003238566"</f>
        <v>T1 202003238566</v>
      </c>
      <c r="I248" t="str">
        <f>"FED WITHHOLDINGS"</f>
        <v>FED WITHHOLDINGS</v>
      </c>
    </row>
    <row r="249" spans="1:9" x14ac:dyDescent="0.25">
      <c r="E249" s="7"/>
      <c r="F249" t="s">
        <v>20</v>
      </c>
      <c r="G249" t="s">
        <v>21</v>
      </c>
      <c r="H249" t="str">
        <f>"T3 202003238566"</f>
        <v>T3 202003238566</v>
      </c>
      <c r="I249" t="str">
        <f>"FICA WITHHOLDINGS"</f>
        <v>FICA WITHHOLDINGS</v>
      </c>
    </row>
    <row r="250" spans="1:9" x14ac:dyDescent="0.25">
      <c r="E250" s="7"/>
      <c r="F250" t="s">
        <v>20</v>
      </c>
      <c r="G250" t="s">
        <v>21</v>
      </c>
      <c r="H250" t="str">
        <f>"T4 202003238566"</f>
        <v>T4 202003238566</v>
      </c>
      <c r="I250" t="str">
        <f>"MEDICARE WITHHOLDINGS"</f>
        <v>MEDICARE WITHHOLDINGS</v>
      </c>
    </row>
    <row r="251" spans="1:9" x14ac:dyDescent="0.25">
      <c r="A251" s="6">
        <v>43915</v>
      </c>
      <c r="B251" t="s">
        <v>91</v>
      </c>
      <c r="C251">
        <v>73</v>
      </c>
      <c r="D251" t="s">
        <v>92</v>
      </c>
      <c r="E251" s="7">
        <v>40515.94</v>
      </c>
      <c r="F251" t="s">
        <v>20</v>
      </c>
      <c r="G251" t="s">
        <v>21</v>
      </c>
      <c r="H251" t="str">
        <f>"RET202003108564"</f>
        <v>RET202003108564</v>
      </c>
      <c r="I251" t="str">
        <f>"TMRS CITY OF FLORESVILLE"</f>
        <v>TMRS CITY OF FLORESVILLE</v>
      </c>
    </row>
    <row r="252" spans="1:9" x14ac:dyDescent="0.25">
      <c r="E252" s="7"/>
      <c r="F252" t="s">
        <v>20</v>
      </c>
      <c r="G252" t="s">
        <v>21</v>
      </c>
      <c r="H252" t="str">
        <f>"RET202003238566"</f>
        <v>RET202003238566</v>
      </c>
      <c r="I252" t="str">
        <f>"TMRS CITY OF FLORESVILLE"</f>
        <v>TMRS CITY OF FLORESVILLE</v>
      </c>
    </row>
    <row r="253" spans="1:9" x14ac:dyDescent="0.25">
      <c r="A253" s="6">
        <v>43915</v>
      </c>
      <c r="B253" t="s">
        <v>91</v>
      </c>
      <c r="C253">
        <v>73</v>
      </c>
      <c r="D253" t="s">
        <v>92</v>
      </c>
      <c r="E253" s="7">
        <v>-40515.94</v>
      </c>
      <c r="F253" t="s">
        <v>20</v>
      </c>
      <c r="G253" t="s">
        <v>93</v>
      </c>
      <c r="H253" t="str">
        <f>"CHECK"</f>
        <v>CHECK</v>
      </c>
      <c r="I253" t="str">
        <f>""</f>
        <v/>
      </c>
    </row>
    <row r="254" spans="1:9" x14ac:dyDescent="0.25">
      <c r="A254" s="6">
        <v>43927</v>
      </c>
      <c r="B254" t="s">
        <v>18</v>
      </c>
      <c r="C254">
        <v>74</v>
      </c>
      <c r="D254" t="s">
        <v>19</v>
      </c>
      <c r="E254" s="7">
        <v>31959.8</v>
      </c>
      <c r="F254" t="s">
        <v>20</v>
      </c>
      <c r="G254" t="s">
        <v>21</v>
      </c>
      <c r="H254" t="str">
        <f>"T1 202004068567"</f>
        <v>T1 202004068567</v>
      </c>
      <c r="I254" t="str">
        <f>"FED WITHHOLDINGS"</f>
        <v>FED WITHHOLDINGS</v>
      </c>
    </row>
    <row r="255" spans="1:9" x14ac:dyDescent="0.25">
      <c r="E255" s="7"/>
      <c r="F255" t="s">
        <v>20</v>
      </c>
      <c r="G255" t="s">
        <v>21</v>
      </c>
      <c r="H255" t="str">
        <f>"T3 202004068567"</f>
        <v>T3 202004068567</v>
      </c>
      <c r="I255" t="str">
        <f>"FICA WITHHOLDINGS"</f>
        <v>FICA WITHHOLDINGS</v>
      </c>
    </row>
    <row r="256" spans="1:9" x14ac:dyDescent="0.25">
      <c r="E256" s="7"/>
      <c r="F256" t="s">
        <v>20</v>
      </c>
      <c r="G256" t="s">
        <v>21</v>
      </c>
      <c r="H256" t="str">
        <f>"T4 202004068567"</f>
        <v>T4 202004068567</v>
      </c>
      <c r="I256" t="str">
        <f>"MEDICARE WITHHOLDINGS"</f>
        <v>MEDICARE WITHHOLDINGS</v>
      </c>
    </row>
    <row r="257" spans="1:9" x14ac:dyDescent="0.25">
      <c r="A257" s="6">
        <v>43927</v>
      </c>
      <c r="B257" t="s">
        <v>18</v>
      </c>
      <c r="C257">
        <v>75</v>
      </c>
      <c r="D257" t="s">
        <v>19</v>
      </c>
      <c r="E257" s="7">
        <v>70.37</v>
      </c>
      <c r="F257" t="s">
        <v>20</v>
      </c>
      <c r="G257" t="s">
        <v>21</v>
      </c>
      <c r="H257" t="str">
        <f>"T1 202003178565"</f>
        <v>T1 202003178565</v>
      </c>
      <c r="I257" t="str">
        <f>"FED WITHHOLDINGS"</f>
        <v>FED WITHHOLDINGS</v>
      </c>
    </row>
    <row r="258" spans="1:9" x14ac:dyDescent="0.25">
      <c r="E258" s="7"/>
      <c r="F258" t="s">
        <v>20</v>
      </c>
      <c r="G258" t="s">
        <v>21</v>
      </c>
      <c r="H258" t="str">
        <f>"T3 202003178565"</f>
        <v>T3 202003178565</v>
      </c>
      <c r="I258" t="str">
        <f>"FICA WITHHOLDINGS"</f>
        <v>FICA WITHHOLDINGS</v>
      </c>
    </row>
    <row r="259" spans="1:9" x14ac:dyDescent="0.25">
      <c r="E259" s="7"/>
      <c r="F259" t="s">
        <v>20</v>
      </c>
      <c r="G259" t="s">
        <v>21</v>
      </c>
      <c r="H259" t="str">
        <f>"T4 202003178565"</f>
        <v>T4 202003178565</v>
      </c>
      <c r="I259" t="str">
        <f>"MEDICARE WITHHOLDINGS"</f>
        <v>MEDICARE WITHHOLDINGS</v>
      </c>
    </row>
    <row r="260" spans="1:9" x14ac:dyDescent="0.25">
      <c r="A260" s="6">
        <v>43942</v>
      </c>
      <c r="B260" t="s">
        <v>18</v>
      </c>
      <c r="C260">
        <v>76</v>
      </c>
      <c r="D260" t="s">
        <v>19</v>
      </c>
      <c r="E260" s="7">
        <v>31720.9</v>
      </c>
      <c r="F260" t="s">
        <v>20</v>
      </c>
      <c r="G260" t="s">
        <v>21</v>
      </c>
      <c r="H260" t="str">
        <f>"T1 202004218568"</f>
        <v>T1 202004218568</v>
      </c>
      <c r="I260" t="str">
        <f>"FED WITHHOLDINGS"</f>
        <v>FED WITHHOLDINGS</v>
      </c>
    </row>
    <row r="261" spans="1:9" x14ac:dyDescent="0.25">
      <c r="E261" s="7"/>
      <c r="F261" t="s">
        <v>20</v>
      </c>
      <c r="G261" t="s">
        <v>21</v>
      </c>
      <c r="H261" t="str">
        <f>"T3 202004218568"</f>
        <v>T3 202004218568</v>
      </c>
      <c r="I261" t="str">
        <f>"FICA WITHHOLDINGS"</f>
        <v>FICA WITHHOLDINGS</v>
      </c>
    </row>
    <row r="262" spans="1:9" x14ac:dyDescent="0.25">
      <c r="E262" s="7"/>
      <c r="F262" t="s">
        <v>20</v>
      </c>
      <c r="G262" t="s">
        <v>21</v>
      </c>
      <c r="H262" t="str">
        <f>"T4 202004218568"</f>
        <v>T4 202004218568</v>
      </c>
      <c r="I262" t="str">
        <f>"MEDICARE WITHHOLDINGS"</f>
        <v>MEDICARE WITHHOLDINGS</v>
      </c>
    </row>
    <row r="263" spans="1:9" x14ac:dyDescent="0.25">
      <c r="A263" s="6">
        <v>43949</v>
      </c>
      <c r="B263" t="s">
        <v>18</v>
      </c>
      <c r="C263">
        <v>77</v>
      </c>
      <c r="D263" t="s">
        <v>19</v>
      </c>
      <c r="E263" s="7">
        <v>1306.4000000000001</v>
      </c>
      <c r="F263" t="s">
        <v>20</v>
      </c>
      <c r="G263" t="s">
        <v>21</v>
      </c>
      <c r="H263" t="str">
        <f>"T1 202004288570"</f>
        <v>T1 202004288570</v>
      </c>
      <c r="I263" t="str">
        <f>"FED WITHHOLDINGS"</f>
        <v>FED WITHHOLDINGS</v>
      </c>
    </row>
    <row r="264" spans="1:9" x14ac:dyDescent="0.25">
      <c r="E264" s="7"/>
      <c r="F264" t="s">
        <v>20</v>
      </c>
      <c r="G264" t="s">
        <v>21</v>
      </c>
      <c r="H264" t="str">
        <f>"T3 202004288570"</f>
        <v>T3 202004288570</v>
      </c>
      <c r="I264" t="str">
        <f>"FICA WITHHOLDINGS"</f>
        <v>FICA WITHHOLDINGS</v>
      </c>
    </row>
    <row r="265" spans="1:9" x14ac:dyDescent="0.25">
      <c r="E265" s="7"/>
      <c r="F265" t="s">
        <v>20</v>
      </c>
      <c r="G265" t="s">
        <v>21</v>
      </c>
      <c r="H265" t="str">
        <f>"T4 202004288570"</f>
        <v>T4 202004288570</v>
      </c>
      <c r="I265" t="str">
        <f>"MEDICARE WITHHOLDINGS"</f>
        <v>MEDICARE WITHHOLDINGS</v>
      </c>
    </row>
    <row r="266" spans="1:9" x14ac:dyDescent="0.25">
      <c r="A266" s="6">
        <v>43956</v>
      </c>
      <c r="B266" t="s">
        <v>18</v>
      </c>
      <c r="C266">
        <v>78</v>
      </c>
      <c r="D266" t="s">
        <v>19</v>
      </c>
      <c r="E266" s="7">
        <v>30141.15</v>
      </c>
      <c r="F266" t="s">
        <v>20</v>
      </c>
      <c r="G266" t="s">
        <v>21</v>
      </c>
      <c r="H266" t="str">
        <f>"T1 202005058571"</f>
        <v>T1 202005058571</v>
      </c>
      <c r="I266" t="str">
        <f>"FED WITHHOLDINGS"</f>
        <v>FED WITHHOLDINGS</v>
      </c>
    </row>
    <row r="267" spans="1:9" x14ac:dyDescent="0.25">
      <c r="E267" s="7"/>
      <c r="F267" t="s">
        <v>20</v>
      </c>
      <c r="G267" t="s">
        <v>21</v>
      </c>
      <c r="H267" t="str">
        <f>"T3 202005058571"</f>
        <v>T3 202005058571</v>
      </c>
      <c r="I267" t="str">
        <f>"FICA WITHHOLDINGS"</f>
        <v>FICA WITHHOLDINGS</v>
      </c>
    </row>
    <row r="268" spans="1:9" x14ac:dyDescent="0.25">
      <c r="E268" s="7"/>
      <c r="F268" t="s">
        <v>20</v>
      </c>
      <c r="G268" t="s">
        <v>21</v>
      </c>
      <c r="H268" t="str">
        <f>"T4 202005058571"</f>
        <v>T4 202005058571</v>
      </c>
      <c r="I268" t="str">
        <f>"MEDICARE WITHHOLDINGS"</f>
        <v>MEDICARE WITHHOLDINGS</v>
      </c>
    </row>
    <row r="269" spans="1:9" x14ac:dyDescent="0.25">
      <c r="A269" s="6">
        <v>43970</v>
      </c>
      <c r="B269" t="s">
        <v>18</v>
      </c>
      <c r="C269">
        <v>79</v>
      </c>
      <c r="D269" t="s">
        <v>19</v>
      </c>
      <c r="E269" s="7">
        <v>30549.25</v>
      </c>
      <c r="F269" t="s">
        <v>20</v>
      </c>
      <c r="G269" t="s">
        <v>21</v>
      </c>
      <c r="H269" t="str">
        <f>"T1 202005198572"</f>
        <v>T1 202005198572</v>
      </c>
      <c r="I269" t="str">
        <f>"FED WITHHOLDINGS"</f>
        <v>FED WITHHOLDINGS</v>
      </c>
    </row>
    <row r="270" spans="1:9" x14ac:dyDescent="0.25">
      <c r="E270" s="7"/>
      <c r="F270" t="s">
        <v>20</v>
      </c>
      <c r="G270" t="s">
        <v>21</v>
      </c>
      <c r="H270" t="str">
        <f>"T3 202005198572"</f>
        <v>T3 202005198572</v>
      </c>
      <c r="I270" t="str">
        <f>"FICA WITHHOLDINGS"</f>
        <v>FICA WITHHOLDINGS</v>
      </c>
    </row>
    <row r="271" spans="1:9" x14ac:dyDescent="0.25">
      <c r="E271" s="7"/>
      <c r="F271" t="s">
        <v>20</v>
      </c>
      <c r="G271" t="s">
        <v>21</v>
      </c>
      <c r="H271" t="str">
        <f>"T4 202005198572"</f>
        <v>T4 202005198572</v>
      </c>
      <c r="I271" t="str">
        <f>"MEDICARE WITHHOLDINGS"</f>
        <v>MEDICARE WITHHOLDINGS</v>
      </c>
    </row>
    <row r="272" spans="1:9" x14ac:dyDescent="0.25">
      <c r="A272" s="6">
        <v>43971</v>
      </c>
      <c r="B272" t="s">
        <v>91</v>
      </c>
      <c r="C272">
        <v>80</v>
      </c>
      <c r="D272" t="s">
        <v>92</v>
      </c>
      <c r="E272" s="7">
        <v>40557.81</v>
      </c>
      <c r="F272" t="s">
        <v>20</v>
      </c>
      <c r="G272" t="s">
        <v>21</v>
      </c>
      <c r="H272" t="str">
        <f>"RET202004068567"</f>
        <v>RET202004068567</v>
      </c>
      <c r="I272" t="str">
        <f>"TMRS CITY OF FLORESVILLE"</f>
        <v>TMRS CITY OF FLORESVILLE</v>
      </c>
    </row>
    <row r="273" spans="1:9" x14ac:dyDescent="0.25">
      <c r="E273" s="7"/>
      <c r="F273" t="s">
        <v>20</v>
      </c>
      <c r="G273" t="s">
        <v>21</v>
      </c>
      <c r="H273" t="str">
        <f>"RET202004218568"</f>
        <v>RET202004218568</v>
      </c>
      <c r="I273" t="str">
        <f>"TMRS CITY OF FLORESVILLE"</f>
        <v>TMRS CITY OF FLORESVILLE</v>
      </c>
    </row>
    <row r="274" spans="1:9" x14ac:dyDescent="0.25">
      <c r="E274" s="7"/>
      <c r="F274" t="s">
        <v>20</v>
      </c>
      <c r="G274" t="s">
        <v>21</v>
      </c>
      <c r="H274" t="str">
        <f>"RET202004288569"</f>
        <v>RET202004288569</v>
      </c>
      <c r="I274" t="str">
        <f>"TMRS CITY OF FLORESVILLE"</f>
        <v>TMRS CITY OF FLORESVILLE</v>
      </c>
    </row>
    <row r="275" spans="1:9" x14ac:dyDescent="0.25">
      <c r="A275" s="6">
        <v>43971</v>
      </c>
      <c r="B275" t="s">
        <v>91</v>
      </c>
      <c r="C275">
        <v>80</v>
      </c>
      <c r="D275" t="s">
        <v>92</v>
      </c>
      <c r="E275" s="7">
        <v>-40557.81</v>
      </c>
      <c r="F275" t="s">
        <v>20</v>
      </c>
      <c r="G275" t="s">
        <v>93</v>
      </c>
      <c r="H275" t="str">
        <f>"CHECK"</f>
        <v>CHECK</v>
      </c>
      <c r="I275" t="str">
        <f>""</f>
        <v/>
      </c>
    </row>
    <row r="276" spans="1:9" x14ac:dyDescent="0.25">
      <c r="A276" s="6">
        <v>43984</v>
      </c>
      <c r="B276" t="s">
        <v>18</v>
      </c>
      <c r="C276">
        <v>81</v>
      </c>
      <c r="D276" t="s">
        <v>19</v>
      </c>
      <c r="E276" s="7">
        <v>30308.63</v>
      </c>
      <c r="F276" t="s">
        <v>20</v>
      </c>
      <c r="G276" t="s">
        <v>21</v>
      </c>
      <c r="H276" t="str">
        <f>"T1 202006028573"</f>
        <v>T1 202006028573</v>
      </c>
      <c r="I276" t="str">
        <f>"FED WITHHOLDINGS"</f>
        <v>FED WITHHOLDINGS</v>
      </c>
    </row>
    <row r="277" spans="1:9" x14ac:dyDescent="0.25">
      <c r="E277" s="7"/>
      <c r="F277" t="s">
        <v>20</v>
      </c>
      <c r="G277" t="s">
        <v>21</v>
      </c>
      <c r="H277" t="str">
        <f>"T3 202006028573"</f>
        <v>T3 202006028573</v>
      </c>
      <c r="I277" t="str">
        <f>"FICA WITHHOLDINGS"</f>
        <v>FICA WITHHOLDINGS</v>
      </c>
    </row>
    <row r="278" spans="1:9" x14ac:dyDescent="0.25">
      <c r="E278" s="7"/>
      <c r="F278" t="s">
        <v>20</v>
      </c>
      <c r="G278" t="s">
        <v>21</v>
      </c>
      <c r="H278" t="str">
        <f>"T4 202006028573"</f>
        <v>T4 202006028573</v>
      </c>
      <c r="I278" t="str">
        <f>"MEDICARE WITHHOLDINGS"</f>
        <v>MEDICARE WITHHOLDINGS</v>
      </c>
    </row>
    <row r="279" spans="1:9" x14ac:dyDescent="0.25">
      <c r="A279" s="6">
        <v>43998</v>
      </c>
      <c r="B279" t="s">
        <v>18</v>
      </c>
      <c r="C279">
        <v>82</v>
      </c>
      <c r="D279" t="s">
        <v>19</v>
      </c>
      <c r="E279" s="7">
        <v>29423.14</v>
      </c>
      <c r="F279" t="s">
        <v>20</v>
      </c>
      <c r="G279" t="s">
        <v>21</v>
      </c>
      <c r="H279" t="str">
        <f>"T1 202006168575"</f>
        <v>T1 202006168575</v>
      </c>
      <c r="I279" t="str">
        <f>"FED WITHHOLDINGS"</f>
        <v>FED WITHHOLDINGS</v>
      </c>
    </row>
    <row r="280" spans="1:9" x14ac:dyDescent="0.25">
      <c r="E280" s="7"/>
      <c r="F280" t="s">
        <v>20</v>
      </c>
      <c r="G280" t="s">
        <v>21</v>
      </c>
      <c r="H280" t="str">
        <f>"T3 202006168575"</f>
        <v>T3 202006168575</v>
      </c>
      <c r="I280" t="str">
        <f>"FICA WITHHOLDINGS"</f>
        <v>FICA WITHHOLDINGS</v>
      </c>
    </row>
    <row r="281" spans="1:9" x14ac:dyDescent="0.25">
      <c r="E281" s="7"/>
      <c r="F281" t="s">
        <v>20</v>
      </c>
      <c r="G281" t="s">
        <v>21</v>
      </c>
      <c r="H281" t="str">
        <f>"T4 202006168575"</f>
        <v>T4 202006168575</v>
      </c>
      <c r="I281" t="str">
        <f>"MEDICARE WITHHOLDINGS"</f>
        <v>MEDICARE WITHHOLDINGS</v>
      </c>
    </row>
    <row r="282" spans="1:9" x14ac:dyDescent="0.25">
      <c r="A282" s="6">
        <v>43999</v>
      </c>
      <c r="B282" t="s">
        <v>91</v>
      </c>
      <c r="C282">
        <v>83</v>
      </c>
      <c r="D282" t="s">
        <v>92</v>
      </c>
      <c r="E282" s="7">
        <v>38589.550000000003</v>
      </c>
      <c r="F282" t="s">
        <v>20</v>
      </c>
      <c r="G282" t="s">
        <v>21</v>
      </c>
      <c r="H282" t="str">
        <f>"RET202005058571"</f>
        <v>RET202005058571</v>
      </c>
      <c r="I282" t="str">
        <f>"TMRS CITY OF FLORESVILLE"</f>
        <v>TMRS CITY OF FLORESVILLE</v>
      </c>
    </row>
    <row r="283" spans="1:9" x14ac:dyDescent="0.25">
      <c r="E283" s="7"/>
      <c r="F283" t="s">
        <v>20</v>
      </c>
      <c r="G283" t="s">
        <v>21</v>
      </c>
      <c r="H283" t="str">
        <f>"RET202005198572"</f>
        <v>RET202005198572</v>
      </c>
      <c r="I283" t="str">
        <f>"TMRS CITY OF FLORESVILLE"</f>
        <v>TMRS CITY OF FLORESVILLE</v>
      </c>
    </row>
    <row r="284" spans="1:9" x14ac:dyDescent="0.25">
      <c r="A284" s="6">
        <v>43999</v>
      </c>
      <c r="B284" t="s">
        <v>91</v>
      </c>
      <c r="C284">
        <v>83</v>
      </c>
      <c r="D284" t="s">
        <v>92</v>
      </c>
      <c r="E284" s="7">
        <v>-38589.550000000003</v>
      </c>
      <c r="F284" t="s">
        <v>20</v>
      </c>
      <c r="G284" t="s">
        <v>93</v>
      </c>
      <c r="H284" t="str">
        <f>"CHECK"</f>
        <v>CHECK</v>
      </c>
      <c r="I284" t="str">
        <f>""</f>
        <v/>
      </c>
    </row>
    <row r="285" spans="1:9" x14ac:dyDescent="0.25">
      <c r="A285" s="6">
        <v>44000</v>
      </c>
      <c r="B285" t="s">
        <v>18</v>
      </c>
      <c r="C285">
        <v>84</v>
      </c>
      <c r="D285" t="s">
        <v>19</v>
      </c>
      <c r="E285" s="7">
        <v>4756.34</v>
      </c>
      <c r="F285" t="s">
        <v>20</v>
      </c>
      <c r="G285" t="s">
        <v>21</v>
      </c>
      <c r="H285" t="str">
        <f>"T1 202006168576"</f>
        <v>T1 202006168576</v>
      </c>
      <c r="I285" t="str">
        <f>"FED WITHHOLDINGS"</f>
        <v>FED WITHHOLDINGS</v>
      </c>
    </row>
    <row r="286" spans="1:9" x14ac:dyDescent="0.25">
      <c r="E286" s="7"/>
      <c r="F286" t="s">
        <v>20</v>
      </c>
      <c r="G286" t="s">
        <v>21</v>
      </c>
      <c r="H286" t="str">
        <f>"T3 202006168576"</f>
        <v>T3 202006168576</v>
      </c>
      <c r="I286" t="str">
        <f>"FICA WITHHOLDINGS"</f>
        <v>FICA WITHHOLDINGS</v>
      </c>
    </row>
    <row r="287" spans="1:9" x14ac:dyDescent="0.25">
      <c r="E287" s="7"/>
      <c r="F287" t="s">
        <v>20</v>
      </c>
      <c r="G287" t="s">
        <v>21</v>
      </c>
      <c r="H287" t="str">
        <f>"T4 202006168576"</f>
        <v>T4 202006168576</v>
      </c>
      <c r="I287" t="str">
        <f>"MEDICARE WITHHOLDINGS"</f>
        <v>MEDICARE WITHHOLDINGS</v>
      </c>
    </row>
    <row r="288" spans="1:9" x14ac:dyDescent="0.25">
      <c r="A288" s="6">
        <v>44012</v>
      </c>
      <c r="B288" t="s">
        <v>18</v>
      </c>
      <c r="C288">
        <v>85</v>
      </c>
      <c r="D288" t="s">
        <v>19</v>
      </c>
      <c r="E288" s="7">
        <v>29947.32</v>
      </c>
      <c r="F288" t="s">
        <v>20</v>
      </c>
      <c r="G288" t="s">
        <v>21</v>
      </c>
      <c r="H288" t="str">
        <f>"T1 202006308577"</f>
        <v>T1 202006308577</v>
      </c>
      <c r="I288" t="str">
        <f>"FED WITHHOLDINGS"</f>
        <v>FED WITHHOLDINGS</v>
      </c>
    </row>
    <row r="289" spans="1:9" x14ac:dyDescent="0.25">
      <c r="E289" s="7"/>
      <c r="F289" t="s">
        <v>20</v>
      </c>
      <c r="G289" t="s">
        <v>21</v>
      </c>
      <c r="H289" t="str">
        <f>"T3 202006308577"</f>
        <v>T3 202006308577</v>
      </c>
      <c r="I289" t="str">
        <f>"FICA WITHHOLDINGS"</f>
        <v>FICA WITHHOLDINGS</v>
      </c>
    </row>
    <row r="290" spans="1:9" x14ac:dyDescent="0.25">
      <c r="E290" s="7"/>
      <c r="F290" t="s">
        <v>20</v>
      </c>
      <c r="G290" t="s">
        <v>21</v>
      </c>
      <c r="H290" t="str">
        <f>"T4 202006308577"</f>
        <v>T4 202006308577</v>
      </c>
      <c r="I290" t="str">
        <f>"MEDICARE WITHHOLDINGS"</f>
        <v>MEDICARE WITHHOLDINGS</v>
      </c>
    </row>
    <row r="291" spans="1:9" x14ac:dyDescent="0.25">
      <c r="A291" s="6">
        <v>44026</v>
      </c>
      <c r="B291" t="s">
        <v>18</v>
      </c>
      <c r="C291">
        <v>86</v>
      </c>
      <c r="D291" t="s">
        <v>19</v>
      </c>
      <c r="E291" s="7">
        <v>30987.38</v>
      </c>
      <c r="F291" t="s">
        <v>20</v>
      </c>
      <c r="G291" t="s">
        <v>21</v>
      </c>
      <c r="H291" t="str">
        <f>"T1 202007148578"</f>
        <v>T1 202007148578</v>
      </c>
      <c r="I291" t="str">
        <f>"FED WITHHOLDINGS"</f>
        <v>FED WITHHOLDINGS</v>
      </c>
    </row>
    <row r="292" spans="1:9" x14ac:dyDescent="0.25">
      <c r="E292" s="7"/>
      <c r="F292" t="s">
        <v>20</v>
      </c>
      <c r="G292" t="s">
        <v>21</v>
      </c>
      <c r="H292" t="str">
        <f>"T3 202007148578"</f>
        <v>T3 202007148578</v>
      </c>
      <c r="I292" t="str">
        <f>"FICA WITHHOLDINGS"</f>
        <v>FICA WITHHOLDINGS</v>
      </c>
    </row>
    <row r="293" spans="1:9" x14ac:dyDescent="0.25">
      <c r="E293" s="7"/>
      <c r="F293" t="s">
        <v>20</v>
      </c>
      <c r="G293" t="s">
        <v>21</v>
      </c>
      <c r="H293" t="str">
        <f>"T4 202007148578"</f>
        <v>T4 202007148578</v>
      </c>
      <c r="I293" t="str">
        <f>"MEDICARE WITHHOLDINGS"</f>
        <v>MEDICARE WITHHOLDINGS</v>
      </c>
    </row>
    <row r="294" spans="1:9" x14ac:dyDescent="0.25">
      <c r="A294" s="6">
        <v>44040</v>
      </c>
      <c r="B294" t="s">
        <v>18</v>
      </c>
      <c r="C294">
        <v>87</v>
      </c>
      <c r="D294" t="s">
        <v>19</v>
      </c>
      <c r="E294" s="7">
        <v>25200.38</v>
      </c>
      <c r="F294" t="s">
        <v>20</v>
      </c>
      <c r="G294" t="s">
        <v>21</v>
      </c>
      <c r="H294" t="str">
        <f>"T1 202007288579"</f>
        <v>T1 202007288579</v>
      </c>
      <c r="I294" t="str">
        <f>"FED WITHHOLDINGS"</f>
        <v>FED WITHHOLDINGS</v>
      </c>
    </row>
    <row r="295" spans="1:9" x14ac:dyDescent="0.25">
      <c r="E295" s="7"/>
      <c r="F295" t="s">
        <v>20</v>
      </c>
      <c r="G295" t="s">
        <v>21</v>
      </c>
      <c r="H295" t="str">
        <f>"T3 202007288579"</f>
        <v>T3 202007288579</v>
      </c>
      <c r="I295" t="str">
        <f>"FICA WITHHOLDINGS"</f>
        <v>FICA WITHHOLDINGS</v>
      </c>
    </row>
    <row r="296" spans="1:9" x14ac:dyDescent="0.25">
      <c r="E296" s="7"/>
      <c r="F296" t="s">
        <v>20</v>
      </c>
      <c r="G296" t="s">
        <v>21</v>
      </c>
      <c r="H296" t="str">
        <f>"T4 202007288579"</f>
        <v>T4 202007288579</v>
      </c>
      <c r="I296" t="str">
        <f>"MEDICARE WITHHOLDINGS"</f>
        <v>MEDICARE WITHHOLDINGS</v>
      </c>
    </row>
    <row r="297" spans="1:9" x14ac:dyDescent="0.25">
      <c r="A297" s="6">
        <v>44054</v>
      </c>
      <c r="B297" t="s">
        <v>18</v>
      </c>
      <c r="C297">
        <v>88</v>
      </c>
      <c r="D297" t="s">
        <v>19</v>
      </c>
      <c r="E297" s="7">
        <v>25322.13</v>
      </c>
      <c r="F297" t="s">
        <v>20</v>
      </c>
      <c r="G297" t="s">
        <v>21</v>
      </c>
      <c r="H297" t="str">
        <f>"T1 202008118580"</f>
        <v>T1 202008118580</v>
      </c>
      <c r="I297" t="str">
        <f>"FED WITHHOLDINGS"</f>
        <v>FED WITHHOLDINGS</v>
      </c>
    </row>
    <row r="298" spans="1:9" x14ac:dyDescent="0.25">
      <c r="E298" s="7"/>
      <c r="F298" t="s">
        <v>20</v>
      </c>
      <c r="G298" t="s">
        <v>21</v>
      </c>
      <c r="H298" t="str">
        <f>"T3 202008118580"</f>
        <v>T3 202008118580</v>
      </c>
      <c r="I298" t="str">
        <f>"FICA WITHHOLDINGS"</f>
        <v>FICA WITHHOLDINGS</v>
      </c>
    </row>
    <row r="299" spans="1:9" x14ac:dyDescent="0.25">
      <c r="E299" s="7"/>
      <c r="F299" t="s">
        <v>20</v>
      </c>
      <c r="G299" t="s">
        <v>21</v>
      </c>
      <c r="H299" t="str">
        <f>"T4 202008118580"</f>
        <v>T4 202008118580</v>
      </c>
      <c r="I299" t="str">
        <f>"MEDICARE WITHHOLDINGS"</f>
        <v>MEDICARE WITHHOLDINGS</v>
      </c>
    </row>
    <row r="300" spans="1:9" x14ac:dyDescent="0.25">
      <c r="A300" s="6">
        <v>44057</v>
      </c>
      <c r="B300" t="s">
        <v>18</v>
      </c>
      <c r="C300">
        <v>90</v>
      </c>
      <c r="D300" t="s">
        <v>19</v>
      </c>
      <c r="E300" s="7">
        <v>8066.48</v>
      </c>
      <c r="F300" t="s">
        <v>20</v>
      </c>
      <c r="G300" t="s">
        <v>21</v>
      </c>
      <c r="H300" t="str">
        <f>"T1 202008138581"</f>
        <v>T1 202008138581</v>
      </c>
      <c r="I300" t="str">
        <f>"FED WITHHOLDINGS"</f>
        <v>FED WITHHOLDINGS</v>
      </c>
    </row>
    <row r="301" spans="1:9" x14ac:dyDescent="0.25">
      <c r="E301" s="7"/>
      <c r="F301" t="s">
        <v>20</v>
      </c>
      <c r="G301" t="s">
        <v>21</v>
      </c>
      <c r="H301" t="str">
        <f>"T3 202008138581"</f>
        <v>T3 202008138581</v>
      </c>
      <c r="I301" t="str">
        <f>"FICA WITHHOLDINGS"</f>
        <v>FICA WITHHOLDINGS</v>
      </c>
    </row>
    <row r="302" spans="1:9" x14ac:dyDescent="0.25">
      <c r="E302" s="7"/>
      <c r="F302" t="s">
        <v>20</v>
      </c>
      <c r="G302" t="s">
        <v>21</v>
      </c>
      <c r="H302" t="str">
        <f>"T4 202008138581"</f>
        <v>T4 202008138581</v>
      </c>
      <c r="I302" t="str">
        <f>"MEDICARE WITHHOLDINGS"</f>
        <v>MEDICARE WITHHOLDINGS</v>
      </c>
    </row>
    <row r="303" spans="1:9" x14ac:dyDescent="0.25">
      <c r="A303" s="6">
        <v>44071</v>
      </c>
      <c r="B303" t="s">
        <v>18</v>
      </c>
      <c r="C303">
        <v>91</v>
      </c>
      <c r="D303" t="s">
        <v>19</v>
      </c>
      <c r="E303" s="7">
        <v>25437.13</v>
      </c>
      <c r="F303" t="s">
        <v>20</v>
      </c>
      <c r="G303" t="s">
        <v>21</v>
      </c>
      <c r="H303" t="str">
        <f>"T1 202008258582"</f>
        <v>T1 202008258582</v>
      </c>
      <c r="I303" t="str">
        <f>"FED WITHHOLDINGS"</f>
        <v>FED WITHHOLDINGS</v>
      </c>
    </row>
    <row r="304" spans="1:9" x14ac:dyDescent="0.25">
      <c r="E304" s="7"/>
      <c r="F304" t="s">
        <v>20</v>
      </c>
      <c r="G304" t="s">
        <v>21</v>
      </c>
      <c r="H304" t="str">
        <f>"T3 202008258582"</f>
        <v>T3 202008258582</v>
      </c>
      <c r="I304" t="str">
        <f>"FICA WITHHOLDINGS"</f>
        <v>FICA WITHHOLDINGS</v>
      </c>
    </row>
    <row r="305" spans="1:9" x14ac:dyDescent="0.25">
      <c r="E305" s="7"/>
      <c r="F305" t="s">
        <v>20</v>
      </c>
      <c r="G305" t="s">
        <v>21</v>
      </c>
      <c r="H305" t="str">
        <f>"T4 202008258582"</f>
        <v>T4 202008258582</v>
      </c>
      <c r="I305" t="str">
        <f>"MEDICARE WITHHOLDINGS"</f>
        <v>MEDICARE WITHHOLDINGS</v>
      </c>
    </row>
    <row r="306" spans="1:9" x14ac:dyDescent="0.25">
      <c r="A306" s="6">
        <v>44082</v>
      </c>
      <c r="B306" t="s">
        <v>18</v>
      </c>
      <c r="C306">
        <v>92</v>
      </c>
      <c r="D306" t="s">
        <v>19</v>
      </c>
      <c r="E306" s="7">
        <v>25621.33</v>
      </c>
      <c r="F306" t="s">
        <v>20</v>
      </c>
      <c r="G306" t="s">
        <v>21</v>
      </c>
      <c r="H306" t="str">
        <f>"T1 202009088583"</f>
        <v>T1 202009088583</v>
      </c>
      <c r="I306" t="str">
        <f>"FED WITHHOLDINGS"</f>
        <v>FED WITHHOLDINGS</v>
      </c>
    </row>
    <row r="307" spans="1:9" x14ac:dyDescent="0.25">
      <c r="E307" s="7"/>
      <c r="F307" t="s">
        <v>20</v>
      </c>
      <c r="G307" t="s">
        <v>21</v>
      </c>
      <c r="H307" t="str">
        <f>"T3 202009088583"</f>
        <v>T3 202009088583</v>
      </c>
      <c r="I307" t="str">
        <f>"FICA WITHHOLDINGS"</f>
        <v>FICA WITHHOLDINGS</v>
      </c>
    </row>
    <row r="308" spans="1:9" x14ac:dyDescent="0.25">
      <c r="E308" s="7"/>
      <c r="F308" t="s">
        <v>20</v>
      </c>
      <c r="G308" t="s">
        <v>21</v>
      </c>
      <c r="H308" t="str">
        <f>"T4 202009088583"</f>
        <v>T4 202009088583</v>
      </c>
      <c r="I308" t="str">
        <f>"MEDICARE WITHHOLDINGS"</f>
        <v>MEDICARE WITHHOLDINGS</v>
      </c>
    </row>
    <row r="309" spans="1:9" x14ac:dyDescent="0.25">
      <c r="A309" s="6">
        <v>44082</v>
      </c>
      <c r="B309" t="s">
        <v>18</v>
      </c>
      <c r="C309">
        <v>93</v>
      </c>
      <c r="D309" t="s">
        <v>19</v>
      </c>
      <c r="E309" s="7">
        <v>1852.08</v>
      </c>
      <c r="F309" t="s">
        <v>20</v>
      </c>
      <c r="G309" t="s">
        <v>21</v>
      </c>
      <c r="H309" t="str">
        <f>"T1 202009088584"</f>
        <v>T1 202009088584</v>
      </c>
      <c r="I309" t="str">
        <f>"FED WITHHOLDINGS"</f>
        <v>FED WITHHOLDINGS</v>
      </c>
    </row>
    <row r="310" spans="1:9" x14ac:dyDescent="0.25">
      <c r="E310" s="7"/>
      <c r="F310" t="s">
        <v>20</v>
      </c>
      <c r="G310" t="s">
        <v>21</v>
      </c>
      <c r="H310" t="str">
        <f>"T3 202009088584"</f>
        <v>T3 202009088584</v>
      </c>
      <c r="I310" t="str">
        <f>"FICA WITHHOLDINGS"</f>
        <v>FICA WITHHOLDINGS</v>
      </c>
    </row>
    <row r="311" spans="1:9" x14ac:dyDescent="0.25">
      <c r="E311" s="7"/>
      <c r="F311" t="s">
        <v>20</v>
      </c>
      <c r="G311" t="s">
        <v>21</v>
      </c>
      <c r="H311" t="str">
        <f>"T4 202009088584"</f>
        <v>T4 202009088584</v>
      </c>
      <c r="I311" t="str">
        <f>"MEDICARE WITHHOLDINGS"</f>
        <v>MEDICARE WITHHOLDINGS</v>
      </c>
    </row>
    <row r="312" spans="1:9" x14ac:dyDescent="0.25">
      <c r="A312" s="6">
        <v>44096</v>
      </c>
      <c r="B312" t="s">
        <v>18</v>
      </c>
      <c r="C312">
        <v>94</v>
      </c>
      <c r="D312" t="s">
        <v>19</v>
      </c>
      <c r="E312" s="7">
        <v>26534.45</v>
      </c>
      <c r="F312" t="s">
        <v>20</v>
      </c>
      <c r="G312" t="s">
        <v>21</v>
      </c>
      <c r="H312" t="str">
        <f>"T1 202009228585"</f>
        <v>T1 202009228585</v>
      </c>
      <c r="I312" t="str">
        <f>"FED WITHHOLDINGS"</f>
        <v>FED WITHHOLDINGS</v>
      </c>
    </row>
    <row r="313" spans="1:9" x14ac:dyDescent="0.25">
      <c r="E313" s="7"/>
      <c r="F313" t="s">
        <v>20</v>
      </c>
      <c r="G313" t="s">
        <v>21</v>
      </c>
      <c r="H313" t="str">
        <f>"T3 202009228585"</f>
        <v>T3 202009228585</v>
      </c>
      <c r="I313" t="str">
        <f>"FICA WITHHOLDINGS"</f>
        <v>FICA WITHHOLDINGS</v>
      </c>
    </row>
    <row r="314" spans="1:9" x14ac:dyDescent="0.25">
      <c r="E314" s="7"/>
      <c r="F314" t="s">
        <v>20</v>
      </c>
      <c r="G314" t="s">
        <v>21</v>
      </c>
      <c r="H314" t="str">
        <f>"T4 202009228585"</f>
        <v>T4 202009228585</v>
      </c>
      <c r="I314" t="str">
        <f>"MEDICARE WITHHOLDINGS"</f>
        <v>MEDICARE WITHHOLDINGS</v>
      </c>
    </row>
    <row r="315" spans="1:9" x14ac:dyDescent="0.25">
      <c r="A315" s="6">
        <v>43740</v>
      </c>
      <c r="B315" t="s">
        <v>26</v>
      </c>
      <c r="C315">
        <v>62153</v>
      </c>
      <c r="D315" t="s">
        <v>56</v>
      </c>
      <c r="E315" s="7">
        <v>277.5</v>
      </c>
      <c r="F315" t="s">
        <v>20</v>
      </c>
      <c r="G315" t="s">
        <v>21</v>
      </c>
      <c r="H315" t="str">
        <f>"1773310"</f>
        <v>1773310</v>
      </c>
      <c r="I315" t="str">
        <f>"WEED KILLER"</f>
        <v>WEED KILLER</v>
      </c>
    </row>
    <row r="316" spans="1:9" x14ac:dyDescent="0.25">
      <c r="E316" s="7"/>
      <c r="F316" t="s">
        <v>20</v>
      </c>
      <c r="G316" t="s">
        <v>21</v>
      </c>
      <c r="H316" t="str">
        <f>"1977339"</f>
        <v>1977339</v>
      </c>
      <c r="I316" t="str">
        <f>"GERALD LUBIANSKI ENTERPRISES"</f>
        <v>GERALD LUBIANSKI ENTERPRISES</v>
      </c>
    </row>
    <row r="317" spans="1:9" x14ac:dyDescent="0.25">
      <c r="A317" s="6">
        <v>43740</v>
      </c>
      <c r="B317" t="s">
        <v>26</v>
      </c>
      <c r="C317">
        <v>62154</v>
      </c>
      <c r="D317" t="s">
        <v>57</v>
      </c>
      <c r="E317" s="7">
        <v>29784.7</v>
      </c>
      <c r="F317" t="s">
        <v>20</v>
      </c>
      <c r="G317" t="s">
        <v>21</v>
      </c>
      <c r="H317" t="str">
        <f>"11617 SEPT 2019"</f>
        <v>11617 SEPT 2019</v>
      </c>
      <c r="I317" t="str">
        <f>"F.E.L.P.S."</f>
        <v>F.E.L.P.S.</v>
      </c>
    </row>
    <row r="318" spans="1:9" x14ac:dyDescent="0.25">
      <c r="A318" s="6">
        <v>43740</v>
      </c>
      <c r="B318" t="s">
        <v>26</v>
      </c>
      <c r="C318">
        <v>62155</v>
      </c>
      <c r="D318" t="s">
        <v>143</v>
      </c>
      <c r="E318" s="7">
        <v>1938.75</v>
      </c>
      <c r="F318" t="s">
        <v>20</v>
      </c>
      <c r="G318" t="s">
        <v>21</v>
      </c>
      <c r="H318" t="str">
        <f>"9402131264"</f>
        <v>9402131264</v>
      </c>
      <c r="I318" t="str">
        <f>"AEP-2 PRIME OIL"</f>
        <v>AEP-2 PRIME OIL</v>
      </c>
    </row>
    <row r="319" spans="1:9" x14ac:dyDescent="0.25">
      <c r="A319" s="6">
        <v>43740</v>
      </c>
      <c r="B319" t="s">
        <v>26</v>
      </c>
      <c r="C319">
        <v>62156</v>
      </c>
      <c r="D319" t="s">
        <v>59</v>
      </c>
      <c r="E319" s="7">
        <v>249.97</v>
      </c>
      <c r="F319" t="s">
        <v>20</v>
      </c>
      <c r="G319" t="s">
        <v>21</v>
      </c>
      <c r="H319" t="str">
        <f>"1025730*"</f>
        <v>1025730*</v>
      </c>
      <c r="I319" t="str">
        <f>"FERGUSON WATERWORKS - MUNICIPA"</f>
        <v>FERGUSON WATERWORKS - MUNICIPA</v>
      </c>
    </row>
    <row r="320" spans="1:9" x14ac:dyDescent="0.25">
      <c r="E320" s="7"/>
      <c r="F320" t="s">
        <v>20</v>
      </c>
      <c r="G320" t="s">
        <v>21</v>
      </c>
      <c r="H320" t="str">
        <f>"1025772*"</f>
        <v>1025772*</v>
      </c>
      <c r="I320" t="str">
        <f>"FERGUSON WATERWORKS - MUNICIPA"</f>
        <v>FERGUSON WATERWORKS - MUNICIPA</v>
      </c>
    </row>
    <row r="321" spans="1:9" x14ac:dyDescent="0.25">
      <c r="E321" s="7"/>
      <c r="F321" t="s">
        <v>20</v>
      </c>
      <c r="G321" t="s">
        <v>21</v>
      </c>
      <c r="H321" t="str">
        <f>"1034192"</f>
        <v>1034192</v>
      </c>
      <c r="I321" t="str">
        <f>"FERGUSON WATERWORKS - MUNICIPA"</f>
        <v>FERGUSON WATERWORKS - MUNICIPA</v>
      </c>
    </row>
    <row r="322" spans="1:9" x14ac:dyDescent="0.25">
      <c r="A322" s="6">
        <v>43740</v>
      </c>
      <c r="B322" t="s">
        <v>26</v>
      </c>
      <c r="C322">
        <v>62157</v>
      </c>
      <c r="D322" t="s">
        <v>105</v>
      </c>
      <c r="E322" s="7">
        <v>28</v>
      </c>
      <c r="F322" t="s">
        <v>20</v>
      </c>
      <c r="G322" t="s">
        <v>21</v>
      </c>
      <c r="H322" t="str">
        <f>"335705/20/11/45"</f>
        <v>335705/20/11/45</v>
      </c>
      <c r="I322" t="str">
        <f>"INSPECTION STICKERS"</f>
        <v>INSPECTION STICKERS</v>
      </c>
    </row>
    <row r="323" spans="1:9" x14ac:dyDescent="0.25">
      <c r="A323" s="6">
        <v>43740</v>
      </c>
      <c r="B323" t="s">
        <v>26</v>
      </c>
      <c r="C323">
        <v>62158</v>
      </c>
      <c r="D323" t="s">
        <v>366</v>
      </c>
      <c r="E323" s="7">
        <v>313.95</v>
      </c>
      <c r="F323" t="s">
        <v>20</v>
      </c>
      <c r="G323" t="s">
        <v>21</v>
      </c>
      <c r="H323" t="str">
        <f>"CHD SFTY FINE SEPT"</f>
        <v>CHD SFTY FINE SEPT</v>
      </c>
      <c r="I323" t="str">
        <f>"COMPTROLLER OF PUBLIC ACCOUNTS"</f>
        <v>COMPTROLLER OF PUBLIC ACCOUNTS</v>
      </c>
    </row>
    <row r="324" spans="1:9" x14ac:dyDescent="0.25">
      <c r="A324" s="6">
        <v>43740</v>
      </c>
      <c r="B324" t="s">
        <v>26</v>
      </c>
      <c r="C324">
        <v>62159</v>
      </c>
      <c r="D324" t="s">
        <v>166</v>
      </c>
      <c r="E324" s="7">
        <v>426.54</v>
      </c>
      <c r="F324" t="s">
        <v>20</v>
      </c>
      <c r="G324" t="s">
        <v>21</v>
      </c>
      <c r="H324" t="str">
        <f>"1013871146"</f>
        <v>1013871146</v>
      </c>
      <c r="I324" t="str">
        <f>"PITNEY BOWES PURCHASE POWER"</f>
        <v>PITNEY BOWES PURCHASE POWER</v>
      </c>
    </row>
    <row r="325" spans="1:9" x14ac:dyDescent="0.25">
      <c r="E325" s="7"/>
      <c r="F325" t="s">
        <v>20</v>
      </c>
      <c r="G325" t="s">
        <v>21</v>
      </c>
      <c r="H325" t="str">
        <f>"1013887316"</f>
        <v>1013887316</v>
      </c>
      <c r="I325" t="str">
        <f>"PITNEY BOWES PURCHASE POWER"</f>
        <v>PITNEY BOWES PURCHASE POWER</v>
      </c>
    </row>
    <row r="326" spans="1:9" x14ac:dyDescent="0.25">
      <c r="A326" s="6">
        <v>43740</v>
      </c>
      <c r="B326" t="s">
        <v>26</v>
      </c>
      <c r="C326">
        <v>62160</v>
      </c>
      <c r="D326" t="s">
        <v>202</v>
      </c>
      <c r="E326" s="7">
        <v>4161.32</v>
      </c>
      <c r="F326" t="s">
        <v>20</v>
      </c>
      <c r="G326" t="s">
        <v>21</v>
      </c>
      <c r="H326" t="str">
        <f>"61976229/61980214"</f>
        <v>61976229/61980214</v>
      </c>
      <c r="I326" t="str">
        <f>"A-2 BASE PARKING LOT PROJ"</f>
        <v>A-2 BASE PARKING LOT PROJ</v>
      </c>
    </row>
    <row r="327" spans="1:9" x14ac:dyDescent="0.25">
      <c r="A327" s="6">
        <v>43740</v>
      </c>
      <c r="B327" t="s">
        <v>26</v>
      </c>
      <c r="C327">
        <v>62161</v>
      </c>
      <c r="D327" t="s">
        <v>637</v>
      </c>
      <c r="E327" s="7">
        <v>255.22</v>
      </c>
      <c r="F327" t="s">
        <v>20</v>
      </c>
      <c r="G327" t="s">
        <v>21</v>
      </c>
      <c r="H327" t="str">
        <f>"TML CONF. 2019"</f>
        <v>TML CONF. 2019</v>
      </c>
      <c r="I327" t="str">
        <f>"GLORIA MARTINEZ"</f>
        <v>GLORIA MARTINEZ</v>
      </c>
    </row>
    <row r="328" spans="1:9" x14ac:dyDescent="0.25">
      <c r="A328" s="6">
        <v>43740</v>
      </c>
      <c r="B328" t="s">
        <v>26</v>
      </c>
      <c r="C328">
        <v>62162</v>
      </c>
      <c r="D328" t="s">
        <v>203</v>
      </c>
      <c r="E328" s="7">
        <v>43.71</v>
      </c>
      <c r="F328" t="s">
        <v>20</v>
      </c>
      <c r="G328" t="s">
        <v>21</v>
      </c>
      <c r="H328" t="str">
        <f>"011737"</f>
        <v>011737</v>
      </c>
      <c r="I328" t="str">
        <f>"225 LB PULL"</f>
        <v>225 LB PULL</v>
      </c>
    </row>
    <row r="329" spans="1:9" x14ac:dyDescent="0.25">
      <c r="A329" s="6">
        <v>43740</v>
      </c>
      <c r="B329" t="s">
        <v>26</v>
      </c>
      <c r="C329">
        <v>62163</v>
      </c>
      <c r="D329" t="s">
        <v>240</v>
      </c>
      <c r="E329" s="7">
        <v>7667.3</v>
      </c>
      <c r="F329" t="s">
        <v>20</v>
      </c>
      <c r="G329" t="s">
        <v>21</v>
      </c>
      <c r="H329" t="str">
        <f>"0154228-IN*"</f>
        <v>0154228-IN*</v>
      </c>
      <c r="I329" t="str">
        <f t="shared" ref="I329:I344" si="0">"NARDIS PUBLIC SAFETY"</f>
        <v>NARDIS PUBLIC SAFETY</v>
      </c>
    </row>
    <row r="330" spans="1:9" x14ac:dyDescent="0.25">
      <c r="E330" s="7"/>
      <c r="F330" t="s">
        <v>20</v>
      </c>
      <c r="G330" t="s">
        <v>21</v>
      </c>
      <c r="H330" t="str">
        <f>"0157724-IN*"</f>
        <v>0157724-IN*</v>
      </c>
      <c r="I330" t="str">
        <f t="shared" si="0"/>
        <v>NARDIS PUBLIC SAFETY</v>
      </c>
    </row>
    <row r="331" spans="1:9" x14ac:dyDescent="0.25">
      <c r="E331" s="7"/>
      <c r="F331" t="s">
        <v>20</v>
      </c>
      <c r="G331" t="s">
        <v>21</v>
      </c>
      <c r="H331" t="str">
        <f>"0164332-IN"</f>
        <v>0164332-IN</v>
      </c>
      <c r="I331" t="str">
        <f t="shared" si="0"/>
        <v>NARDIS PUBLIC SAFETY</v>
      </c>
    </row>
    <row r="332" spans="1:9" x14ac:dyDescent="0.25">
      <c r="E332" s="7"/>
      <c r="F332" t="s">
        <v>20</v>
      </c>
      <c r="G332" t="s">
        <v>21</v>
      </c>
      <c r="H332" t="str">
        <f>"0164817-IN"</f>
        <v>0164817-IN</v>
      </c>
      <c r="I332" t="str">
        <f t="shared" si="0"/>
        <v>NARDIS PUBLIC SAFETY</v>
      </c>
    </row>
    <row r="333" spans="1:9" x14ac:dyDescent="0.25">
      <c r="E333" s="7"/>
      <c r="F333" t="s">
        <v>20</v>
      </c>
      <c r="G333" t="s">
        <v>21</v>
      </c>
      <c r="H333" t="str">
        <f>"0164867-IN*"</f>
        <v>0164867-IN*</v>
      </c>
      <c r="I333" t="str">
        <f t="shared" si="0"/>
        <v>NARDIS PUBLIC SAFETY</v>
      </c>
    </row>
    <row r="334" spans="1:9" x14ac:dyDescent="0.25">
      <c r="E334" s="7"/>
      <c r="F334" t="s">
        <v>20</v>
      </c>
      <c r="G334" t="s">
        <v>21</v>
      </c>
      <c r="H334" t="str">
        <f>"0165212-IN*"</f>
        <v>0165212-IN*</v>
      </c>
      <c r="I334" t="str">
        <f t="shared" si="0"/>
        <v>NARDIS PUBLIC SAFETY</v>
      </c>
    </row>
    <row r="335" spans="1:9" x14ac:dyDescent="0.25">
      <c r="E335" s="7"/>
      <c r="F335" t="s">
        <v>20</v>
      </c>
      <c r="G335" t="s">
        <v>21</v>
      </c>
      <c r="H335" t="str">
        <f>"0167083-IN"</f>
        <v>0167083-IN</v>
      </c>
      <c r="I335" t="str">
        <f t="shared" si="0"/>
        <v>NARDIS PUBLIC SAFETY</v>
      </c>
    </row>
    <row r="336" spans="1:9" x14ac:dyDescent="0.25">
      <c r="E336" s="7"/>
      <c r="F336" t="s">
        <v>20</v>
      </c>
      <c r="G336" t="s">
        <v>21</v>
      </c>
      <c r="H336" t="str">
        <f>"0168557-IN"</f>
        <v>0168557-IN</v>
      </c>
      <c r="I336" t="str">
        <f t="shared" si="0"/>
        <v>NARDIS PUBLIC SAFETY</v>
      </c>
    </row>
    <row r="337" spans="1:9" x14ac:dyDescent="0.25">
      <c r="E337" s="7"/>
      <c r="F337" t="s">
        <v>20</v>
      </c>
      <c r="G337" t="s">
        <v>21</v>
      </c>
      <c r="H337" t="str">
        <f>"0169210-IN"</f>
        <v>0169210-IN</v>
      </c>
      <c r="I337" t="str">
        <f t="shared" si="0"/>
        <v>NARDIS PUBLIC SAFETY</v>
      </c>
    </row>
    <row r="338" spans="1:9" x14ac:dyDescent="0.25">
      <c r="E338" s="7"/>
      <c r="F338" t="s">
        <v>20</v>
      </c>
      <c r="G338" t="s">
        <v>21</v>
      </c>
      <c r="H338" t="str">
        <f>"0170200-IN"</f>
        <v>0170200-IN</v>
      </c>
      <c r="I338" t="str">
        <f t="shared" si="0"/>
        <v>NARDIS PUBLIC SAFETY</v>
      </c>
    </row>
    <row r="339" spans="1:9" x14ac:dyDescent="0.25">
      <c r="E339" s="7"/>
      <c r="F339" t="s">
        <v>20</v>
      </c>
      <c r="G339" t="s">
        <v>21</v>
      </c>
      <c r="H339" t="str">
        <f>"0170225-IN"</f>
        <v>0170225-IN</v>
      </c>
      <c r="I339" t="str">
        <f t="shared" si="0"/>
        <v>NARDIS PUBLIC SAFETY</v>
      </c>
    </row>
    <row r="340" spans="1:9" x14ac:dyDescent="0.25">
      <c r="E340" s="7"/>
      <c r="F340" t="s">
        <v>20</v>
      </c>
      <c r="G340" t="s">
        <v>21</v>
      </c>
      <c r="H340" t="str">
        <f>"0171321-IN"</f>
        <v>0171321-IN</v>
      </c>
      <c r="I340" t="str">
        <f t="shared" si="0"/>
        <v>NARDIS PUBLIC SAFETY</v>
      </c>
    </row>
    <row r="341" spans="1:9" x14ac:dyDescent="0.25">
      <c r="E341" s="7"/>
      <c r="F341" t="s">
        <v>20</v>
      </c>
      <c r="G341" t="s">
        <v>21</v>
      </c>
      <c r="H341" t="str">
        <f>"0172772-IN"</f>
        <v>0172772-IN</v>
      </c>
      <c r="I341" t="str">
        <f t="shared" si="0"/>
        <v>NARDIS PUBLIC SAFETY</v>
      </c>
    </row>
    <row r="342" spans="1:9" x14ac:dyDescent="0.25">
      <c r="E342" s="7"/>
      <c r="F342" t="s">
        <v>20</v>
      </c>
      <c r="G342" t="s">
        <v>21</v>
      </c>
      <c r="H342" t="str">
        <f>"0174927-IN*"</f>
        <v>0174927-IN*</v>
      </c>
      <c r="I342" t="str">
        <f t="shared" si="0"/>
        <v>NARDIS PUBLIC SAFETY</v>
      </c>
    </row>
    <row r="343" spans="1:9" x14ac:dyDescent="0.25">
      <c r="E343" s="7"/>
      <c r="F343" t="s">
        <v>20</v>
      </c>
      <c r="G343" t="s">
        <v>21</v>
      </c>
      <c r="H343" t="str">
        <f>"0175097-IN"</f>
        <v>0175097-IN</v>
      </c>
      <c r="I343" t="str">
        <f t="shared" si="0"/>
        <v>NARDIS PUBLIC SAFETY</v>
      </c>
    </row>
    <row r="344" spans="1:9" x14ac:dyDescent="0.25">
      <c r="E344" s="7"/>
      <c r="F344" t="s">
        <v>20</v>
      </c>
      <c r="G344" t="s">
        <v>21</v>
      </c>
      <c r="H344" t="str">
        <f>"0175600-IN"</f>
        <v>0175600-IN</v>
      </c>
      <c r="I344" t="str">
        <f t="shared" si="0"/>
        <v>NARDIS PUBLIC SAFETY</v>
      </c>
    </row>
    <row r="345" spans="1:9" x14ac:dyDescent="0.25">
      <c r="A345" s="6">
        <v>43740</v>
      </c>
      <c r="B345" t="s">
        <v>26</v>
      </c>
      <c r="C345">
        <v>62166</v>
      </c>
      <c r="D345" t="s">
        <v>110</v>
      </c>
      <c r="E345" s="7">
        <v>2687.82</v>
      </c>
      <c r="F345" t="s">
        <v>20</v>
      </c>
      <c r="G345" t="s">
        <v>21</v>
      </c>
      <c r="H345" t="str">
        <f>"1494334"</f>
        <v>1494334</v>
      </c>
      <c r="I345" t="str">
        <f t="shared" ref="I345:I353" si="1">"BUREAU VERITAS NORTH AMERICA"</f>
        <v>BUREAU VERITAS NORTH AMERICA</v>
      </c>
    </row>
    <row r="346" spans="1:9" x14ac:dyDescent="0.25">
      <c r="E346" s="7"/>
      <c r="F346" t="s">
        <v>20</v>
      </c>
      <c r="G346" t="s">
        <v>21</v>
      </c>
      <c r="H346" t="str">
        <f>"1494335"</f>
        <v>1494335</v>
      </c>
      <c r="I346" t="str">
        <f t="shared" si="1"/>
        <v>BUREAU VERITAS NORTH AMERICA</v>
      </c>
    </row>
    <row r="347" spans="1:9" x14ac:dyDescent="0.25">
      <c r="E347" s="7"/>
      <c r="F347" t="s">
        <v>20</v>
      </c>
      <c r="G347" t="s">
        <v>21</v>
      </c>
      <c r="H347" t="str">
        <f>"1494336"</f>
        <v>1494336</v>
      </c>
      <c r="I347" t="str">
        <f t="shared" si="1"/>
        <v>BUREAU VERITAS NORTH AMERICA</v>
      </c>
    </row>
    <row r="348" spans="1:9" x14ac:dyDescent="0.25">
      <c r="E348" s="7"/>
      <c r="F348" t="s">
        <v>20</v>
      </c>
      <c r="G348" t="s">
        <v>21</v>
      </c>
      <c r="H348" t="str">
        <f>"1494337"</f>
        <v>1494337</v>
      </c>
      <c r="I348" t="str">
        <f t="shared" si="1"/>
        <v>BUREAU VERITAS NORTH AMERICA</v>
      </c>
    </row>
    <row r="349" spans="1:9" x14ac:dyDescent="0.25">
      <c r="E349" s="7"/>
      <c r="F349" t="s">
        <v>20</v>
      </c>
      <c r="G349" t="s">
        <v>21</v>
      </c>
      <c r="H349" t="str">
        <f>"1494338"</f>
        <v>1494338</v>
      </c>
      <c r="I349" t="str">
        <f t="shared" si="1"/>
        <v>BUREAU VERITAS NORTH AMERICA</v>
      </c>
    </row>
    <row r="350" spans="1:9" x14ac:dyDescent="0.25">
      <c r="E350" s="7"/>
      <c r="F350" t="s">
        <v>20</v>
      </c>
      <c r="G350" t="s">
        <v>21</v>
      </c>
      <c r="H350" t="str">
        <f>"1494339"</f>
        <v>1494339</v>
      </c>
      <c r="I350" t="str">
        <f t="shared" si="1"/>
        <v>BUREAU VERITAS NORTH AMERICA</v>
      </c>
    </row>
    <row r="351" spans="1:9" x14ac:dyDescent="0.25">
      <c r="E351" s="7"/>
      <c r="F351" t="s">
        <v>20</v>
      </c>
      <c r="G351" t="s">
        <v>21</v>
      </c>
      <c r="H351" t="str">
        <f>"1494340"</f>
        <v>1494340</v>
      </c>
      <c r="I351" t="str">
        <f t="shared" si="1"/>
        <v>BUREAU VERITAS NORTH AMERICA</v>
      </c>
    </row>
    <row r="352" spans="1:9" x14ac:dyDescent="0.25">
      <c r="E352" s="7"/>
      <c r="F352" t="s">
        <v>20</v>
      </c>
      <c r="G352" t="s">
        <v>21</v>
      </c>
      <c r="H352" t="str">
        <f>"1494341"</f>
        <v>1494341</v>
      </c>
      <c r="I352" t="str">
        <f t="shared" si="1"/>
        <v>BUREAU VERITAS NORTH AMERICA</v>
      </c>
    </row>
    <row r="353" spans="1:9" x14ac:dyDescent="0.25">
      <c r="E353" s="7"/>
      <c r="F353" t="s">
        <v>20</v>
      </c>
      <c r="G353" t="s">
        <v>21</v>
      </c>
      <c r="H353" t="str">
        <f>"1494342"</f>
        <v>1494342</v>
      </c>
      <c r="I353" t="str">
        <f t="shared" si="1"/>
        <v>BUREAU VERITAS NORTH AMERICA</v>
      </c>
    </row>
    <row r="354" spans="1:9" x14ac:dyDescent="0.25">
      <c r="A354" s="6">
        <v>43740</v>
      </c>
      <c r="B354" t="s">
        <v>26</v>
      </c>
      <c r="C354">
        <v>62168</v>
      </c>
      <c r="D354" t="s">
        <v>820</v>
      </c>
      <c r="E354" s="7">
        <v>50</v>
      </c>
      <c r="F354" t="s">
        <v>20</v>
      </c>
      <c r="G354" t="s">
        <v>21</v>
      </c>
      <c r="H354" t="str">
        <f>"DPST RFND 9/28/19"</f>
        <v>DPST RFND 9/28/19</v>
      </c>
      <c r="I354" t="str">
        <f>"REFUND"</f>
        <v>REFUND</v>
      </c>
    </row>
    <row r="355" spans="1:9" x14ac:dyDescent="0.25">
      <c r="A355" s="6">
        <v>43740</v>
      </c>
      <c r="B355" t="s">
        <v>26</v>
      </c>
      <c r="C355">
        <v>62169</v>
      </c>
      <c r="D355" t="s">
        <v>0</v>
      </c>
      <c r="E355" s="7">
        <v>7568.9</v>
      </c>
      <c r="F355" t="s">
        <v>20</v>
      </c>
      <c r="G355" t="s">
        <v>21</v>
      </c>
      <c r="H355" t="str">
        <f>"01-0195-00 9/19"</f>
        <v>01-0195-00 9/19</v>
      </c>
      <c r="I355" t="str">
        <f>"CITY OF FLORESVILLE"</f>
        <v>CITY OF FLORESVILLE</v>
      </c>
    </row>
    <row r="356" spans="1:9" x14ac:dyDescent="0.25">
      <c r="A356" s="6">
        <v>43740</v>
      </c>
      <c r="B356" t="s">
        <v>26</v>
      </c>
      <c r="C356">
        <v>62170</v>
      </c>
      <c r="D356" t="s">
        <v>168</v>
      </c>
      <c r="E356" s="7">
        <v>4773</v>
      </c>
      <c r="F356" t="s">
        <v>20</v>
      </c>
      <c r="G356" t="s">
        <v>21</v>
      </c>
      <c r="H356" t="str">
        <f>"LI-6335"</f>
        <v>LI-6335</v>
      </c>
      <c r="I356" t="str">
        <f t="shared" ref="I356:I361" si="2">"BEXAR COUNTY AUDITOR/ATTN:CRIM"</f>
        <v>BEXAR COUNTY AUDITOR/ATTN:CRIM</v>
      </c>
    </row>
    <row r="357" spans="1:9" x14ac:dyDescent="0.25">
      <c r="E357" s="7"/>
      <c r="F357" t="s">
        <v>20</v>
      </c>
      <c r="G357" t="s">
        <v>21</v>
      </c>
      <c r="H357" t="str">
        <f>"LI-6336"</f>
        <v>LI-6336</v>
      </c>
      <c r="I357" t="str">
        <f t="shared" si="2"/>
        <v>BEXAR COUNTY AUDITOR/ATTN:CRIM</v>
      </c>
    </row>
    <row r="358" spans="1:9" x14ac:dyDescent="0.25">
      <c r="E358" s="7"/>
      <c r="F358" t="s">
        <v>20</v>
      </c>
      <c r="G358" t="s">
        <v>21</v>
      </c>
      <c r="H358" t="str">
        <f>"LI-6337"</f>
        <v>LI-6337</v>
      </c>
      <c r="I358" t="str">
        <f t="shared" si="2"/>
        <v>BEXAR COUNTY AUDITOR/ATTN:CRIM</v>
      </c>
    </row>
    <row r="359" spans="1:9" x14ac:dyDescent="0.25">
      <c r="E359" s="7"/>
      <c r="F359" t="s">
        <v>20</v>
      </c>
      <c r="G359" t="s">
        <v>21</v>
      </c>
      <c r="H359" t="str">
        <f>"LI-6430"</f>
        <v>LI-6430</v>
      </c>
      <c r="I359" t="str">
        <f t="shared" si="2"/>
        <v>BEXAR COUNTY AUDITOR/ATTN:CRIM</v>
      </c>
    </row>
    <row r="360" spans="1:9" x14ac:dyDescent="0.25">
      <c r="E360" s="7"/>
      <c r="F360" t="s">
        <v>20</v>
      </c>
      <c r="G360" t="s">
        <v>21</v>
      </c>
      <c r="H360" t="str">
        <f>"LI-6645"</f>
        <v>LI-6645</v>
      </c>
      <c r="I360" t="str">
        <f t="shared" si="2"/>
        <v>BEXAR COUNTY AUDITOR/ATTN:CRIM</v>
      </c>
    </row>
    <row r="361" spans="1:9" x14ac:dyDescent="0.25">
      <c r="E361" s="7"/>
      <c r="F361" t="s">
        <v>20</v>
      </c>
      <c r="G361" t="s">
        <v>21</v>
      </c>
      <c r="H361" t="str">
        <f>"LI-6646"</f>
        <v>LI-6646</v>
      </c>
      <c r="I361" t="str">
        <f t="shared" si="2"/>
        <v>BEXAR COUNTY AUDITOR/ATTN:CRIM</v>
      </c>
    </row>
    <row r="362" spans="1:9" x14ac:dyDescent="0.25">
      <c r="A362" s="6">
        <v>43740</v>
      </c>
      <c r="B362" t="s">
        <v>26</v>
      </c>
      <c r="C362">
        <v>62171</v>
      </c>
      <c r="D362" t="s">
        <v>212</v>
      </c>
      <c r="E362" s="7">
        <v>40</v>
      </c>
      <c r="F362" t="s">
        <v>20</v>
      </c>
      <c r="G362" t="s">
        <v>21</v>
      </c>
      <c r="H362" t="str">
        <f>"PA2275"</f>
        <v>PA2275</v>
      </c>
      <c r="I362" t="str">
        <f>"AACOG"</f>
        <v>AACOG</v>
      </c>
    </row>
    <row r="363" spans="1:9" x14ac:dyDescent="0.25">
      <c r="A363" s="6">
        <v>43740</v>
      </c>
      <c r="B363" t="s">
        <v>26</v>
      </c>
      <c r="C363">
        <v>62172</v>
      </c>
      <c r="D363" t="s">
        <v>63</v>
      </c>
      <c r="E363" s="7">
        <v>68.81</v>
      </c>
      <c r="F363" t="s">
        <v>20</v>
      </c>
      <c r="G363" t="s">
        <v>21</v>
      </c>
      <c r="H363" t="str">
        <f>"8404313994"</f>
        <v>8404313994</v>
      </c>
      <c r="I363" t="str">
        <f>"CINTAS CORPORATION"</f>
        <v>CINTAS CORPORATION</v>
      </c>
    </row>
    <row r="364" spans="1:9" x14ac:dyDescent="0.25">
      <c r="A364" s="6">
        <v>43740</v>
      </c>
      <c r="B364" t="s">
        <v>26</v>
      </c>
      <c r="C364">
        <v>62173</v>
      </c>
      <c r="D364" t="s">
        <v>64</v>
      </c>
      <c r="E364" s="7">
        <v>4520</v>
      </c>
      <c r="F364" t="s">
        <v>20</v>
      </c>
      <c r="G364" t="s">
        <v>21</v>
      </c>
      <c r="H364" t="str">
        <f>"7945"</f>
        <v>7945</v>
      </c>
      <c r="I364" t="str">
        <f>"DREWA DESIGNS  INC."</f>
        <v>DREWA DESIGNS  INC.</v>
      </c>
    </row>
    <row r="365" spans="1:9" x14ac:dyDescent="0.25">
      <c r="E365" s="7"/>
      <c r="F365" t="s">
        <v>20</v>
      </c>
      <c r="G365" t="s">
        <v>21</v>
      </c>
      <c r="H365" t="str">
        <f>"909320"</f>
        <v>909320</v>
      </c>
      <c r="I365" t="str">
        <f>"DREWA DESIGNS  INC."</f>
        <v>DREWA DESIGNS  INC.</v>
      </c>
    </row>
    <row r="366" spans="1:9" x14ac:dyDescent="0.25">
      <c r="A366" s="6">
        <v>43740</v>
      </c>
      <c r="B366" t="s">
        <v>26</v>
      </c>
      <c r="C366">
        <v>62174</v>
      </c>
      <c r="D366" t="s">
        <v>117</v>
      </c>
      <c r="E366" s="7">
        <v>318.02999999999997</v>
      </c>
      <c r="F366" t="s">
        <v>20</v>
      </c>
      <c r="G366" t="s">
        <v>21</v>
      </c>
      <c r="H366" t="str">
        <f>"AUGUST 2019 MC"</f>
        <v>AUGUST 2019 MC</v>
      </c>
      <c r="I366" t="str">
        <f>"LINEBARGER GOGGAN BLAIR &amp; SAMP"</f>
        <v>LINEBARGER GOGGAN BLAIR &amp; SAMP</v>
      </c>
    </row>
    <row r="367" spans="1:9" x14ac:dyDescent="0.25">
      <c r="A367" s="6">
        <v>43740</v>
      </c>
      <c r="B367" t="s">
        <v>26</v>
      </c>
      <c r="C367">
        <v>62175</v>
      </c>
      <c r="D367" t="s">
        <v>66</v>
      </c>
      <c r="E367" s="7">
        <v>300</v>
      </c>
      <c r="F367" t="s">
        <v>20</v>
      </c>
      <c r="G367" t="s">
        <v>21</v>
      </c>
      <c r="H367" t="str">
        <f>"56477"</f>
        <v>56477</v>
      </c>
      <c r="I367" t="str">
        <f>"LOPEZ EXTERMINATING SERVICE  I"</f>
        <v>LOPEZ EXTERMINATING SERVICE  I</v>
      </c>
    </row>
    <row r="368" spans="1:9" x14ac:dyDescent="0.25">
      <c r="A368" s="6">
        <v>43740</v>
      </c>
      <c r="B368" t="s">
        <v>26</v>
      </c>
      <c r="C368">
        <v>62176</v>
      </c>
      <c r="D368" t="s">
        <v>118</v>
      </c>
      <c r="E368" s="7">
        <v>693.71</v>
      </c>
      <c r="F368" t="s">
        <v>20</v>
      </c>
      <c r="G368" t="s">
        <v>21</v>
      </c>
      <c r="H368" t="str">
        <f>"11593"</f>
        <v>11593</v>
      </c>
      <c r="I368" t="str">
        <f>"BRYAN AIR CONDITIONING &amp; HEATI"</f>
        <v>BRYAN AIR CONDITIONING &amp; HEATI</v>
      </c>
    </row>
    <row r="369" spans="1:9" x14ac:dyDescent="0.25">
      <c r="A369" s="6">
        <v>43740</v>
      </c>
      <c r="B369" t="s">
        <v>26</v>
      </c>
      <c r="C369">
        <v>62177</v>
      </c>
      <c r="D369" t="s">
        <v>469</v>
      </c>
      <c r="E369" s="7">
        <v>255.22</v>
      </c>
      <c r="F369" t="s">
        <v>20</v>
      </c>
      <c r="G369" t="s">
        <v>21</v>
      </c>
      <c r="H369" t="str">
        <f>"TML CONF. 2019"</f>
        <v>TML CONF. 2019</v>
      </c>
      <c r="I369" t="str">
        <f>"LORENZO HERRERA"</f>
        <v>LORENZO HERRERA</v>
      </c>
    </row>
    <row r="370" spans="1:9" x14ac:dyDescent="0.25">
      <c r="A370" s="6">
        <v>43740</v>
      </c>
      <c r="B370" t="s">
        <v>26</v>
      </c>
      <c r="C370">
        <v>62178</v>
      </c>
      <c r="D370" t="s">
        <v>419</v>
      </c>
      <c r="E370" s="7">
        <v>123.22</v>
      </c>
      <c r="F370" t="s">
        <v>20</v>
      </c>
      <c r="G370" t="s">
        <v>21</v>
      </c>
      <c r="H370" t="str">
        <f>"TML CONF. 2019"</f>
        <v>TML CONF. 2019</v>
      </c>
      <c r="I370" t="str">
        <f>"GEORGE ORTIZ"</f>
        <v>GEORGE ORTIZ</v>
      </c>
    </row>
    <row r="371" spans="1:9" x14ac:dyDescent="0.25">
      <c r="A371" s="6">
        <v>43740</v>
      </c>
      <c r="B371" t="s">
        <v>26</v>
      </c>
      <c r="C371">
        <v>62179</v>
      </c>
      <c r="D371" t="s">
        <v>71</v>
      </c>
      <c r="E371" s="7">
        <v>1455.48</v>
      </c>
      <c r="F371" t="s">
        <v>20</v>
      </c>
      <c r="G371" t="s">
        <v>21</v>
      </c>
      <c r="H371" t="str">
        <f>"4015998597"</f>
        <v>4015998597</v>
      </c>
      <c r="I371" t="str">
        <f t="shared" ref="I371:I384" si="3">"CINTAS CORPORATION #087"</f>
        <v>CINTAS CORPORATION #087</v>
      </c>
    </row>
    <row r="372" spans="1:9" x14ac:dyDescent="0.25">
      <c r="E372" s="7"/>
      <c r="F372" t="s">
        <v>20</v>
      </c>
      <c r="G372" t="s">
        <v>21</v>
      </c>
      <c r="H372" t="str">
        <f>"4017529760"</f>
        <v>4017529760</v>
      </c>
      <c r="I372" t="str">
        <f t="shared" si="3"/>
        <v>CINTAS CORPORATION #087</v>
      </c>
    </row>
    <row r="373" spans="1:9" x14ac:dyDescent="0.25">
      <c r="E373" s="7"/>
      <c r="F373" t="s">
        <v>20</v>
      </c>
      <c r="G373" t="s">
        <v>21</v>
      </c>
      <c r="H373" t="str">
        <f>"4018318875"</f>
        <v>4018318875</v>
      </c>
      <c r="I373" t="str">
        <f t="shared" si="3"/>
        <v>CINTAS CORPORATION #087</v>
      </c>
    </row>
    <row r="374" spans="1:9" x14ac:dyDescent="0.25">
      <c r="E374" s="7"/>
      <c r="F374" t="s">
        <v>20</v>
      </c>
      <c r="G374" t="s">
        <v>21</v>
      </c>
      <c r="H374" t="str">
        <f>"4020784396"</f>
        <v>4020784396</v>
      </c>
      <c r="I374" t="str">
        <f t="shared" si="3"/>
        <v>CINTAS CORPORATION #087</v>
      </c>
    </row>
    <row r="375" spans="1:9" x14ac:dyDescent="0.25">
      <c r="E375" s="7"/>
      <c r="F375" t="s">
        <v>20</v>
      </c>
      <c r="G375" t="s">
        <v>21</v>
      </c>
      <c r="H375" t="str">
        <f>"4021664203"</f>
        <v>4021664203</v>
      </c>
      <c r="I375" t="str">
        <f t="shared" si="3"/>
        <v>CINTAS CORPORATION #087</v>
      </c>
    </row>
    <row r="376" spans="1:9" x14ac:dyDescent="0.25">
      <c r="E376" s="7"/>
      <c r="F376" t="s">
        <v>20</v>
      </c>
      <c r="G376" t="s">
        <v>21</v>
      </c>
      <c r="H376" t="str">
        <f>"4023467333"</f>
        <v>4023467333</v>
      </c>
      <c r="I376" t="str">
        <f t="shared" si="3"/>
        <v>CINTAS CORPORATION #087</v>
      </c>
    </row>
    <row r="377" spans="1:9" x14ac:dyDescent="0.25">
      <c r="E377" s="7"/>
      <c r="F377" t="s">
        <v>20</v>
      </c>
      <c r="G377" t="s">
        <v>21</v>
      </c>
      <c r="H377" t="str">
        <f>"4025281381"</f>
        <v>4025281381</v>
      </c>
      <c r="I377" t="str">
        <f t="shared" si="3"/>
        <v>CINTAS CORPORATION #087</v>
      </c>
    </row>
    <row r="378" spans="1:9" x14ac:dyDescent="0.25">
      <c r="E378" s="7"/>
      <c r="F378" t="s">
        <v>20</v>
      </c>
      <c r="G378" t="s">
        <v>21</v>
      </c>
      <c r="H378" t="str">
        <f>"4026222563"</f>
        <v>4026222563</v>
      </c>
      <c r="I378" t="str">
        <f t="shared" si="3"/>
        <v>CINTAS CORPORATION #087</v>
      </c>
    </row>
    <row r="379" spans="1:9" x14ac:dyDescent="0.25">
      <c r="E379" s="7"/>
      <c r="F379" t="s">
        <v>20</v>
      </c>
      <c r="G379" t="s">
        <v>21</v>
      </c>
      <c r="H379" t="str">
        <f>"4027179260"</f>
        <v>4027179260</v>
      </c>
      <c r="I379" t="str">
        <f t="shared" si="3"/>
        <v>CINTAS CORPORATION #087</v>
      </c>
    </row>
    <row r="380" spans="1:9" x14ac:dyDescent="0.25">
      <c r="E380" s="7"/>
      <c r="F380" t="s">
        <v>20</v>
      </c>
      <c r="G380" t="s">
        <v>21</v>
      </c>
      <c r="H380" t="str">
        <f>"4031199394"</f>
        <v>4031199394</v>
      </c>
      <c r="I380" t="str">
        <f t="shared" si="3"/>
        <v>CINTAS CORPORATION #087</v>
      </c>
    </row>
    <row r="381" spans="1:9" x14ac:dyDescent="0.25">
      <c r="E381" s="7"/>
      <c r="F381" t="s">
        <v>20</v>
      </c>
      <c r="G381" t="s">
        <v>21</v>
      </c>
      <c r="H381" t="str">
        <f>"4031199461"</f>
        <v>4031199461</v>
      </c>
      <c r="I381" t="str">
        <f t="shared" si="3"/>
        <v>CINTAS CORPORATION #087</v>
      </c>
    </row>
    <row r="382" spans="1:9" x14ac:dyDescent="0.25">
      <c r="E382" s="7"/>
      <c r="F382" t="s">
        <v>20</v>
      </c>
      <c r="G382" t="s">
        <v>21</v>
      </c>
      <c r="H382" t="str">
        <f>"4031199462"</f>
        <v>4031199462</v>
      </c>
      <c r="I382" t="str">
        <f t="shared" si="3"/>
        <v>CINTAS CORPORATION #087</v>
      </c>
    </row>
    <row r="383" spans="1:9" x14ac:dyDescent="0.25">
      <c r="E383" s="7"/>
      <c r="F383" t="s">
        <v>20</v>
      </c>
      <c r="G383" t="s">
        <v>21</v>
      </c>
      <c r="H383" t="str">
        <f>"4031199569"</f>
        <v>4031199569</v>
      </c>
      <c r="I383" t="str">
        <f t="shared" si="3"/>
        <v>CINTAS CORPORATION #087</v>
      </c>
    </row>
    <row r="384" spans="1:9" x14ac:dyDescent="0.25">
      <c r="E384" s="7"/>
      <c r="F384" t="s">
        <v>20</v>
      </c>
      <c r="G384" t="s">
        <v>21</v>
      </c>
      <c r="H384" t="str">
        <f>"4031199711"</f>
        <v>4031199711</v>
      </c>
      <c r="I384" t="str">
        <f t="shared" si="3"/>
        <v>CINTAS CORPORATION #087</v>
      </c>
    </row>
    <row r="385" spans="1:9" x14ac:dyDescent="0.25">
      <c r="A385" s="6">
        <v>43740</v>
      </c>
      <c r="B385" t="s">
        <v>26</v>
      </c>
      <c r="C385">
        <v>62182</v>
      </c>
      <c r="D385" t="s">
        <v>122</v>
      </c>
      <c r="E385" s="7">
        <v>72</v>
      </c>
      <c r="F385" t="s">
        <v>20</v>
      </c>
      <c r="G385" t="s">
        <v>21</v>
      </c>
      <c r="H385" t="str">
        <f>"713119"</f>
        <v>713119</v>
      </c>
      <c r="I385" t="str">
        <f>"VILLA TIRES"</f>
        <v>VILLA TIRES</v>
      </c>
    </row>
    <row r="386" spans="1:9" x14ac:dyDescent="0.25">
      <c r="E386" s="7"/>
      <c r="F386" t="s">
        <v>20</v>
      </c>
      <c r="G386" t="s">
        <v>21</v>
      </c>
      <c r="H386" t="str">
        <f>"713122"</f>
        <v>713122</v>
      </c>
      <c r="I386" t="str">
        <f>"VILLA TIRES"</f>
        <v>VILLA TIRES</v>
      </c>
    </row>
    <row r="387" spans="1:9" x14ac:dyDescent="0.25">
      <c r="E387" s="7"/>
      <c r="F387" t="s">
        <v>20</v>
      </c>
      <c r="G387" t="s">
        <v>21</v>
      </c>
      <c r="H387" t="str">
        <f>"713144"</f>
        <v>713144</v>
      </c>
      <c r="I387" t="str">
        <f>"VILLA TIRES"</f>
        <v>VILLA TIRES</v>
      </c>
    </row>
    <row r="388" spans="1:9" x14ac:dyDescent="0.25">
      <c r="E388" s="7"/>
      <c r="F388" t="s">
        <v>20</v>
      </c>
      <c r="G388" t="s">
        <v>21</v>
      </c>
      <c r="H388" t="str">
        <f>"713318"</f>
        <v>713318</v>
      </c>
      <c r="I388" t="str">
        <f>"VILLA TIRES"</f>
        <v>VILLA TIRES</v>
      </c>
    </row>
    <row r="389" spans="1:9" x14ac:dyDescent="0.25">
      <c r="A389" s="6">
        <v>43740</v>
      </c>
      <c r="B389" t="s">
        <v>26</v>
      </c>
      <c r="C389">
        <v>62183</v>
      </c>
      <c r="D389" t="s">
        <v>304</v>
      </c>
      <c r="E389" s="7">
        <v>364.14</v>
      </c>
      <c r="F389" t="s">
        <v>20</v>
      </c>
      <c r="G389" t="s">
        <v>21</v>
      </c>
      <c r="H389" t="str">
        <f>"500721299 9/30/201"</f>
        <v>500721299 9/30/201</v>
      </c>
      <c r="I389" t="str">
        <f>"ASCAP"</f>
        <v>ASCAP</v>
      </c>
    </row>
    <row r="390" spans="1:9" x14ac:dyDescent="0.25">
      <c r="A390" s="6">
        <v>43740</v>
      </c>
      <c r="B390" t="s">
        <v>26</v>
      </c>
      <c r="C390">
        <v>62184</v>
      </c>
      <c r="D390" t="s">
        <v>123</v>
      </c>
      <c r="E390" s="7">
        <v>313.23</v>
      </c>
      <c r="F390" t="s">
        <v>20</v>
      </c>
      <c r="G390" t="s">
        <v>21</v>
      </c>
      <c r="H390" t="str">
        <f>"274902020001"</f>
        <v>274902020001</v>
      </c>
      <c r="I390" t="str">
        <f t="shared" ref="I390:I395" si="4">"OFFICE SUPPLIES"</f>
        <v>OFFICE SUPPLIES</v>
      </c>
    </row>
    <row r="391" spans="1:9" x14ac:dyDescent="0.25">
      <c r="E391" s="7"/>
      <c r="F391" t="s">
        <v>20</v>
      </c>
      <c r="G391" t="s">
        <v>21</v>
      </c>
      <c r="H391" t="str">
        <f>"374902267001"</f>
        <v>374902267001</v>
      </c>
      <c r="I391" t="str">
        <f t="shared" si="4"/>
        <v>OFFICE SUPPLIES</v>
      </c>
    </row>
    <row r="392" spans="1:9" x14ac:dyDescent="0.25">
      <c r="E392" s="7"/>
      <c r="F392" t="s">
        <v>20</v>
      </c>
      <c r="G392" t="s">
        <v>21</v>
      </c>
      <c r="H392" t="str">
        <f>"374902268001"</f>
        <v>374902268001</v>
      </c>
      <c r="I392" t="str">
        <f t="shared" si="4"/>
        <v>OFFICE SUPPLIES</v>
      </c>
    </row>
    <row r="393" spans="1:9" x14ac:dyDescent="0.25">
      <c r="E393" s="7"/>
      <c r="F393" t="s">
        <v>20</v>
      </c>
      <c r="G393" t="s">
        <v>21</v>
      </c>
      <c r="H393" t="str">
        <f>"374902269001"</f>
        <v>374902269001</v>
      </c>
      <c r="I393" t="str">
        <f t="shared" si="4"/>
        <v>OFFICE SUPPLIES</v>
      </c>
    </row>
    <row r="394" spans="1:9" x14ac:dyDescent="0.25">
      <c r="E394" s="7"/>
      <c r="F394" t="s">
        <v>20</v>
      </c>
      <c r="G394" t="s">
        <v>21</v>
      </c>
      <c r="H394" t="str">
        <f>"379685428001"</f>
        <v>379685428001</v>
      </c>
      <c r="I394" t="str">
        <f t="shared" si="4"/>
        <v>OFFICE SUPPLIES</v>
      </c>
    </row>
    <row r="395" spans="1:9" x14ac:dyDescent="0.25">
      <c r="E395" s="7"/>
      <c r="F395" t="s">
        <v>20</v>
      </c>
      <c r="G395" t="s">
        <v>21</v>
      </c>
      <c r="H395" t="str">
        <f>"379685890001"</f>
        <v>379685890001</v>
      </c>
      <c r="I395" t="str">
        <f t="shared" si="4"/>
        <v>OFFICE SUPPLIES</v>
      </c>
    </row>
    <row r="396" spans="1:9" x14ac:dyDescent="0.25">
      <c r="A396" s="6">
        <v>43740</v>
      </c>
      <c r="B396" t="s">
        <v>26</v>
      </c>
      <c r="C396">
        <v>62186</v>
      </c>
      <c r="D396" t="s">
        <v>44</v>
      </c>
      <c r="E396" s="7">
        <v>255.22</v>
      </c>
      <c r="F396" t="s">
        <v>20</v>
      </c>
      <c r="G396" t="s">
        <v>21</v>
      </c>
      <c r="H396" t="str">
        <f>"TML CONF. 2019"</f>
        <v>TML CONF. 2019</v>
      </c>
      <c r="I396" t="str">
        <f>"MONICA VELIZ"</f>
        <v>MONICA VELIZ</v>
      </c>
    </row>
    <row r="397" spans="1:9" x14ac:dyDescent="0.25">
      <c r="A397" s="6">
        <v>43740</v>
      </c>
      <c r="B397" t="s">
        <v>26</v>
      </c>
      <c r="C397">
        <v>62187</v>
      </c>
      <c r="D397" t="s">
        <v>76</v>
      </c>
      <c r="E397" s="7">
        <v>2393.2199999999998</v>
      </c>
      <c r="F397" t="s">
        <v>20</v>
      </c>
      <c r="G397" t="s">
        <v>21</v>
      </c>
      <c r="H397" t="str">
        <f>"1057 4TH QRT"</f>
        <v>1057 4TH QRT</v>
      </c>
      <c r="I397" t="str">
        <f>"WILSON COUNTY TAX COLLECTOR"</f>
        <v>WILSON COUNTY TAX COLLECTOR</v>
      </c>
    </row>
    <row r="398" spans="1:9" x14ac:dyDescent="0.25">
      <c r="A398" s="6">
        <v>43740</v>
      </c>
      <c r="B398" t="s">
        <v>26</v>
      </c>
      <c r="C398">
        <v>62188</v>
      </c>
      <c r="D398" t="s">
        <v>124</v>
      </c>
      <c r="E398" s="7">
        <v>26.17</v>
      </c>
      <c r="F398" t="s">
        <v>20</v>
      </c>
      <c r="G398" t="s">
        <v>21</v>
      </c>
      <c r="H398" t="str">
        <f>"11178024*"</f>
        <v>11178024*</v>
      </c>
      <c r="I398" t="str">
        <f>"MCCOY'S CORPORATION"</f>
        <v>MCCOY'S CORPORATION</v>
      </c>
    </row>
    <row r="399" spans="1:9" x14ac:dyDescent="0.25">
      <c r="A399" s="6">
        <v>43740</v>
      </c>
      <c r="B399" t="s">
        <v>26</v>
      </c>
      <c r="C399">
        <v>62189</v>
      </c>
      <c r="D399" t="s">
        <v>534</v>
      </c>
      <c r="E399" s="7">
        <v>107.17</v>
      </c>
      <c r="F399" t="s">
        <v>20</v>
      </c>
      <c r="G399" t="s">
        <v>21</v>
      </c>
      <c r="H399" t="str">
        <f>"8404327656"</f>
        <v>8404327656</v>
      </c>
      <c r="I399" t="str">
        <f>"CINTAS CORPORATION NO. 2"</f>
        <v>CINTAS CORPORATION NO. 2</v>
      </c>
    </row>
    <row r="400" spans="1:9" x14ac:dyDescent="0.25">
      <c r="A400" s="6">
        <v>43740</v>
      </c>
      <c r="B400" t="s">
        <v>26</v>
      </c>
      <c r="C400">
        <v>62190</v>
      </c>
      <c r="D400" t="s">
        <v>386</v>
      </c>
      <c r="E400" s="7">
        <v>255.22</v>
      </c>
      <c r="F400" t="s">
        <v>20</v>
      </c>
      <c r="G400" t="s">
        <v>21</v>
      </c>
      <c r="H400" t="str">
        <f>"TML CONF. 2019"</f>
        <v>TML CONF. 2019</v>
      </c>
      <c r="I400" t="str">
        <f>"HENRIETTA TURNER"</f>
        <v>HENRIETTA TURNER</v>
      </c>
    </row>
    <row r="401" spans="1:9" x14ac:dyDescent="0.25">
      <c r="A401" s="6">
        <v>43740</v>
      </c>
      <c r="B401" t="s">
        <v>26</v>
      </c>
      <c r="C401">
        <v>62191</v>
      </c>
      <c r="D401" t="s">
        <v>79</v>
      </c>
      <c r="E401" s="7">
        <v>12.35</v>
      </c>
      <c r="F401" t="s">
        <v>20</v>
      </c>
      <c r="G401" t="s">
        <v>21</v>
      </c>
      <c r="H401" t="str">
        <f>"6-749-27451"</f>
        <v>6-749-27451</v>
      </c>
      <c r="I401" t="str">
        <f>"FEDEX"</f>
        <v>FEDEX</v>
      </c>
    </row>
    <row r="402" spans="1:9" x14ac:dyDescent="0.25">
      <c r="A402" s="6">
        <v>43740</v>
      </c>
      <c r="B402" t="s">
        <v>26</v>
      </c>
      <c r="C402">
        <v>62192</v>
      </c>
      <c r="D402" t="s">
        <v>821</v>
      </c>
      <c r="E402" s="7">
        <v>1096</v>
      </c>
      <c r="F402" t="s">
        <v>20</v>
      </c>
      <c r="G402" t="s">
        <v>21</v>
      </c>
      <c r="H402" t="str">
        <f>"FR7705"</f>
        <v>FR7705</v>
      </c>
      <c r="I402" t="str">
        <f>"SUBMERSIBLE PUMP"</f>
        <v>SUBMERSIBLE PUMP</v>
      </c>
    </row>
    <row r="403" spans="1:9" x14ac:dyDescent="0.25">
      <c r="A403" s="6">
        <v>43740</v>
      </c>
      <c r="B403" t="s">
        <v>26</v>
      </c>
      <c r="C403">
        <v>62193</v>
      </c>
      <c r="D403" t="s">
        <v>84</v>
      </c>
      <c r="E403" s="7">
        <v>7778.98</v>
      </c>
      <c r="F403" t="s">
        <v>20</v>
      </c>
      <c r="G403" t="s">
        <v>21</v>
      </c>
      <c r="H403" t="str">
        <f>"1566065"</f>
        <v>1566065</v>
      </c>
      <c r="I403" t="str">
        <f>"STANTEC CONSULTING SERVICES IN"</f>
        <v>STANTEC CONSULTING SERVICES IN</v>
      </c>
    </row>
    <row r="404" spans="1:9" x14ac:dyDescent="0.25">
      <c r="E404" s="7"/>
      <c r="F404" t="s">
        <v>20</v>
      </c>
      <c r="G404" t="s">
        <v>21</v>
      </c>
      <c r="H404" t="str">
        <f>"1566066"</f>
        <v>1566066</v>
      </c>
      <c r="I404" t="str">
        <f>"STANTEC CONSULTING SERVICES IN"</f>
        <v>STANTEC CONSULTING SERVICES IN</v>
      </c>
    </row>
    <row r="405" spans="1:9" x14ac:dyDescent="0.25">
      <c r="E405" s="7"/>
      <c r="F405" t="s">
        <v>20</v>
      </c>
      <c r="G405" t="s">
        <v>21</v>
      </c>
      <c r="H405" t="str">
        <f>"1566069"</f>
        <v>1566069</v>
      </c>
      <c r="I405" t="str">
        <f>"STANTEC CONSULTING SERVICES IN"</f>
        <v>STANTEC CONSULTING SERVICES IN</v>
      </c>
    </row>
    <row r="406" spans="1:9" x14ac:dyDescent="0.25">
      <c r="A406" s="6">
        <v>43740</v>
      </c>
      <c r="B406" t="s">
        <v>26</v>
      </c>
      <c r="C406">
        <v>62194</v>
      </c>
      <c r="D406" t="s">
        <v>85</v>
      </c>
      <c r="E406" s="7">
        <v>1481.61</v>
      </c>
      <c r="F406" t="s">
        <v>20</v>
      </c>
      <c r="G406" t="s">
        <v>21</v>
      </c>
      <c r="H406" t="str">
        <f>"2162691 9/19"</f>
        <v>2162691 9/19</v>
      </c>
      <c r="I406" t="str">
        <f>"FRONTIER"</f>
        <v>FRONTIER</v>
      </c>
    </row>
    <row r="407" spans="1:9" x14ac:dyDescent="0.25">
      <c r="E407" s="7"/>
      <c r="F407" t="s">
        <v>20</v>
      </c>
      <c r="G407" t="s">
        <v>21</v>
      </c>
      <c r="H407" t="str">
        <f>"2162745 9/2019"</f>
        <v>2162745 9/2019</v>
      </c>
      <c r="I407" t="str">
        <f>"FRONTIER"</f>
        <v>FRONTIER</v>
      </c>
    </row>
    <row r="408" spans="1:9" x14ac:dyDescent="0.25">
      <c r="E408" s="7"/>
      <c r="F408" t="s">
        <v>20</v>
      </c>
      <c r="G408" t="s">
        <v>21</v>
      </c>
      <c r="H408" t="str">
        <f>"3933718 9/2019"</f>
        <v>3933718 9/2019</v>
      </c>
      <c r="I408" t="str">
        <f>"FRONTIER"</f>
        <v>FRONTIER</v>
      </c>
    </row>
    <row r="409" spans="1:9" x14ac:dyDescent="0.25">
      <c r="E409" s="7"/>
      <c r="F409" t="s">
        <v>20</v>
      </c>
      <c r="G409" t="s">
        <v>21</v>
      </c>
      <c r="H409" t="str">
        <f>"8301970024 9/19"</f>
        <v>8301970024 9/19</v>
      </c>
      <c r="I409" t="str">
        <f>"FRONTIER"</f>
        <v>FRONTIER</v>
      </c>
    </row>
    <row r="410" spans="1:9" x14ac:dyDescent="0.25">
      <c r="A410" s="6">
        <v>43740</v>
      </c>
      <c r="B410" t="s">
        <v>26</v>
      </c>
      <c r="C410">
        <v>62195</v>
      </c>
      <c r="D410" t="s">
        <v>36</v>
      </c>
      <c r="E410" s="7">
        <v>255.22</v>
      </c>
      <c r="F410" t="s">
        <v>20</v>
      </c>
      <c r="G410" t="s">
        <v>21</v>
      </c>
      <c r="H410" t="str">
        <f>"TML CONF. 2019"</f>
        <v>TML CONF. 2019</v>
      </c>
      <c r="I410" t="str">
        <f>"GLORIA M. CANTU"</f>
        <v>GLORIA M. CANTU</v>
      </c>
    </row>
    <row r="411" spans="1:9" x14ac:dyDescent="0.25">
      <c r="A411" s="6">
        <v>43740</v>
      </c>
      <c r="B411" t="s">
        <v>26</v>
      </c>
      <c r="C411">
        <v>62196</v>
      </c>
      <c r="D411" t="s">
        <v>37</v>
      </c>
      <c r="E411" s="7">
        <v>255.22</v>
      </c>
      <c r="F411" t="s">
        <v>20</v>
      </c>
      <c r="G411" t="s">
        <v>21</v>
      </c>
      <c r="H411" t="str">
        <f>"TML CONF. 2019"</f>
        <v>TML CONF. 2019</v>
      </c>
      <c r="I411" t="str">
        <f>"GERARD J. JIMENEZ"</f>
        <v>GERARD J. JIMENEZ</v>
      </c>
    </row>
    <row r="412" spans="1:9" x14ac:dyDescent="0.25">
      <c r="A412" s="6">
        <v>43740</v>
      </c>
      <c r="B412" t="s">
        <v>26</v>
      </c>
      <c r="C412">
        <v>62197</v>
      </c>
      <c r="D412" t="s">
        <v>555</v>
      </c>
      <c r="E412" s="7">
        <v>255.22</v>
      </c>
      <c r="F412" t="s">
        <v>20</v>
      </c>
      <c r="G412" t="s">
        <v>21</v>
      </c>
      <c r="H412" t="str">
        <f>"TML CONF. 2019"</f>
        <v>TML CONF. 2019</v>
      </c>
      <c r="I412" t="str">
        <f>"PERRY HYDEN"</f>
        <v>PERRY HYDEN</v>
      </c>
    </row>
    <row r="413" spans="1:9" x14ac:dyDescent="0.25">
      <c r="A413" s="6">
        <v>43740</v>
      </c>
      <c r="B413" t="s">
        <v>91</v>
      </c>
      <c r="C413">
        <v>62198</v>
      </c>
      <c r="D413" t="s">
        <v>38</v>
      </c>
      <c r="E413" s="7">
        <v>323.66000000000003</v>
      </c>
      <c r="F413" t="s">
        <v>20</v>
      </c>
      <c r="G413" t="s">
        <v>21</v>
      </c>
      <c r="H413" t="str">
        <f>"TML CONF. 2019"</f>
        <v>TML CONF. 2019</v>
      </c>
      <c r="I413" t="str">
        <f>"CECELIA GONZALEZ-DIPPEL"</f>
        <v>CECELIA GONZALEZ-DIPPEL</v>
      </c>
    </row>
    <row r="414" spans="1:9" x14ac:dyDescent="0.25">
      <c r="A414" s="6">
        <v>43740</v>
      </c>
      <c r="B414" t="s">
        <v>91</v>
      </c>
      <c r="C414">
        <v>62198</v>
      </c>
      <c r="D414" t="s">
        <v>38</v>
      </c>
      <c r="E414" s="7">
        <v>323.66000000000003</v>
      </c>
      <c r="F414" t="s">
        <v>20</v>
      </c>
      <c r="G414" t="s">
        <v>93</v>
      </c>
      <c r="H414" t="str">
        <f>"CHECK"</f>
        <v>CHECK</v>
      </c>
      <c r="I414" t="str">
        <f>""</f>
        <v/>
      </c>
    </row>
    <row r="415" spans="1:9" x14ac:dyDescent="0.25">
      <c r="A415" s="6">
        <v>43740</v>
      </c>
      <c r="B415" t="s">
        <v>26</v>
      </c>
      <c r="C415">
        <v>62199</v>
      </c>
      <c r="D415" t="s">
        <v>345</v>
      </c>
      <c r="E415" s="7">
        <v>319</v>
      </c>
      <c r="F415" t="s">
        <v>20</v>
      </c>
      <c r="G415" t="s">
        <v>21</v>
      </c>
      <c r="H415" t="str">
        <f>"9/30/2019"</f>
        <v>9/30/2019</v>
      </c>
      <c r="I415" t="str">
        <f>"MICHAEL ISAAC MARTINEZ"</f>
        <v>MICHAEL ISAAC MARTINEZ</v>
      </c>
    </row>
    <row r="416" spans="1:9" x14ac:dyDescent="0.25">
      <c r="A416" s="6">
        <v>43740</v>
      </c>
      <c r="B416" t="s">
        <v>26</v>
      </c>
      <c r="C416">
        <v>62200</v>
      </c>
      <c r="D416" t="s">
        <v>397</v>
      </c>
      <c r="E416" s="7">
        <v>161.1</v>
      </c>
      <c r="F416" t="s">
        <v>20</v>
      </c>
      <c r="G416" t="s">
        <v>21</v>
      </c>
      <c r="H416" t="str">
        <f>"1048"</f>
        <v>1048</v>
      </c>
      <c r="I416" t="str">
        <f>"ROGUE DESIGNS"</f>
        <v>ROGUE DESIGNS</v>
      </c>
    </row>
    <row r="417" spans="1:9" x14ac:dyDescent="0.25">
      <c r="A417" s="6">
        <v>43740</v>
      </c>
      <c r="B417" t="s">
        <v>26</v>
      </c>
      <c r="C417">
        <v>62201</v>
      </c>
      <c r="D417" t="s">
        <v>452</v>
      </c>
      <c r="E417" s="7">
        <v>70</v>
      </c>
      <c r="F417" t="s">
        <v>20</v>
      </c>
      <c r="G417" t="s">
        <v>21</v>
      </c>
      <c r="H417" t="str">
        <f>"9/30/2019"</f>
        <v>9/30/2019</v>
      </c>
      <c r="I417" t="str">
        <f>"DESIREE PEREZ"</f>
        <v>DESIREE PEREZ</v>
      </c>
    </row>
    <row r="418" spans="1:9" x14ac:dyDescent="0.25">
      <c r="A418" s="6">
        <v>43740</v>
      </c>
      <c r="B418" t="s">
        <v>26</v>
      </c>
      <c r="C418">
        <v>62202</v>
      </c>
      <c r="D418" t="s">
        <v>27</v>
      </c>
      <c r="E418" s="7">
        <v>236.44</v>
      </c>
      <c r="F418" t="s">
        <v>20</v>
      </c>
      <c r="G418" t="s">
        <v>21</v>
      </c>
      <c r="H418" t="str">
        <f>"TML CONF. 2019"</f>
        <v>TML CONF. 2019</v>
      </c>
      <c r="I418" t="str">
        <f>"RICARDO CARRASCO"</f>
        <v>RICARDO CARRASCO</v>
      </c>
    </row>
    <row r="419" spans="1:9" x14ac:dyDescent="0.25">
      <c r="A419" s="6">
        <v>43740</v>
      </c>
      <c r="B419" t="s">
        <v>26</v>
      </c>
      <c r="C419">
        <v>62203</v>
      </c>
      <c r="D419" t="s">
        <v>558</v>
      </c>
      <c r="E419" s="7">
        <v>255.22</v>
      </c>
      <c r="F419" t="s">
        <v>20</v>
      </c>
      <c r="G419" t="s">
        <v>21</v>
      </c>
      <c r="H419" t="str">
        <f>"TML CONF. 2019"</f>
        <v>TML CONF. 2019</v>
      </c>
      <c r="I419" t="str">
        <f>"MARISSA XIMENEZ"</f>
        <v>MARISSA XIMENEZ</v>
      </c>
    </row>
    <row r="420" spans="1:9" x14ac:dyDescent="0.25">
      <c r="A420" s="6">
        <v>43740</v>
      </c>
      <c r="B420" t="s">
        <v>26</v>
      </c>
      <c r="C420">
        <v>62204</v>
      </c>
      <c r="D420" t="s">
        <v>644</v>
      </c>
      <c r="E420" s="7">
        <v>758.72</v>
      </c>
      <c r="F420" t="s">
        <v>20</v>
      </c>
      <c r="G420" t="s">
        <v>21</v>
      </c>
      <c r="H420" t="str">
        <f>"8213367422"</f>
        <v>8213367422</v>
      </c>
      <c r="I420" t="str">
        <f t="shared" ref="I420:I427" si="5">"UNIFIRST CORPORATION"</f>
        <v>UNIFIRST CORPORATION</v>
      </c>
    </row>
    <row r="421" spans="1:9" x14ac:dyDescent="0.25">
      <c r="E421" s="7"/>
      <c r="F421" t="s">
        <v>20</v>
      </c>
      <c r="G421" t="s">
        <v>21</v>
      </c>
      <c r="H421" t="str">
        <f>"8213367423"</f>
        <v>8213367423</v>
      </c>
      <c r="I421" t="str">
        <f t="shared" si="5"/>
        <v>UNIFIRST CORPORATION</v>
      </c>
    </row>
    <row r="422" spans="1:9" x14ac:dyDescent="0.25">
      <c r="E422" s="7"/>
      <c r="F422" t="s">
        <v>20</v>
      </c>
      <c r="G422" t="s">
        <v>21</v>
      </c>
      <c r="H422" t="str">
        <f>"8213367424"</f>
        <v>8213367424</v>
      </c>
      <c r="I422" t="str">
        <f t="shared" si="5"/>
        <v>UNIFIRST CORPORATION</v>
      </c>
    </row>
    <row r="423" spans="1:9" x14ac:dyDescent="0.25">
      <c r="E423" s="7"/>
      <c r="F423" t="s">
        <v>20</v>
      </c>
      <c r="G423" t="s">
        <v>21</v>
      </c>
      <c r="H423" t="str">
        <f>"8213367425"</f>
        <v>8213367425</v>
      </c>
      <c r="I423" t="str">
        <f t="shared" si="5"/>
        <v>UNIFIRST CORPORATION</v>
      </c>
    </row>
    <row r="424" spans="1:9" x14ac:dyDescent="0.25">
      <c r="E424" s="7"/>
      <c r="F424" t="s">
        <v>20</v>
      </c>
      <c r="G424" t="s">
        <v>21</v>
      </c>
      <c r="H424" t="str">
        <f>"8213367426"</f>
        <v>8213367426</v>
      </c>
      <c r="I424" t="str">
        <f t="shared" si="5"/>
        <v>UNIFIRST CORPORATION</v>
      </c>
    </row>
    <row r="425" spans="1:9" x14ac:dyDescent="0.25">
      <c r="E425" s="7"/>
      <c r="F425" t="s">
        <v>20</v>
      </c>
      <c r="G425" t="s">
        <v>21</v>
      </c>
      <c r="H425" t="str">
        <f>"8213367427"</f>
        <v>8213367427</v>
      </c>
      <c r="I425" t="str">
        <f t="shared" si="5"/>
        <v>UNIFIRST CORPORATION</v>
      </c>
    </row>
    <row r="426" spans="1:9" x14ac:dyDescent="0.25">
      <c r="E426" s="7"/>
      <c r="F426" t="s">
        <v>20</v>
      </c>
      <c r="G426" t="s">
        <v>21</v>
      </c>
      <c r="H426" t="str">
        <f>"8213367428"</f>
        <v>8213367428</v>
      </c>
      <c r="I426" t="str">
        <f t="shared" si="5"/>
        <v>UNIFIRST CORPORATION</v>
      </c>
    </row>
    <row r="427" spans="1:9" x14ac:dyDescent="0.25">
      <c r="E427" s="7"/>
      <c r="F427" t="s">
        <v>20</v>
      </c>
      <c r="G427" t="s">
        <v>21</v>
      </c>
      <c r="H427" t="str">
        <f>"8213370264"</f>
        <v>8213370264</v>
      </c>
      <c r="I427" t="str">
        <f t="shared" si="5"/>
        <v>UNIFIRST CORPORATION</v>
      </c>
    </row>
    <row r="428" spans="1:9" x14ac:dyDescent="0.25">
      <c r="A428" s="6">
        <v>43740</v>
      </c>
      <c r="B428" t="s">
        <v>26</v>
      </c>
      <c r="C428">
        <v>62206</v>
      </c>
      <c r="D428" t="s">
        <v>647</v>
      </c>
      <c r="E428" s="7">
        <v>105.99</v>
      </c>
      <c r="F428" t="s">
        <v>20</v>
      </c>
      <c r="G428" t="s">
        <v>21</v>
      </c>
      <c r="H428" t="str">
        <f>"25505927"</f>
        <v>25505927</v>
      </c>
      <c r="I428" t="str">
        <f>"DOCUMATION  INC."</f>
        <v>DOCUMATION  INC.</v>
      </c>
    </row>
    <row r="429" spans="1:9" x14ac:dyDescent="0.25">
      <c r="A429" s="6">
        <v>43740</v>
      </c>
      <c r="B429" t="s">
        <v>26</v>
      </c>
      <c r="C429">
        <v>62207</v>
      </c>
      <c r="D429" t="s">
        <v>648</v>
      </c>
      <c r="E429" s="7">
        <v>2258.31</v>
      </c>
      <c r="F429" t="s">
        <v>20</v>
      </c>
      <c r="G429" t="s">
        <v>21</v>
      </c>
      <c r="H429" t="str">
        <f>"OVER DUE TAX 9/13"</f>
        <v>OVER DUE TAX 9/13</v>
      </c>
      <c r="I429" t="str">
        <f>"UNITED STATES TREASURY- IRS"</f>
        <v>UNITED STATES TREASURY- IRS</v>
      </c>
    </row>
    <row r="430" spans="1:9" x14ac:dyDescent="0.25">
      <c r="A430" s="6">
        <v>43740</v>
      </c>
      <c r="B430" t="s">
        <v>26</v>
      </c>
      <c r="C430">
        <v>62209</v>
      </c>
      <c r="D430" t="s">
        <v>685</v>
      </c>
      <c r="E430" s="7">
        <v>4608.5</v>
      </c>
      <c r="F430" t="s">
        <v>20</v>
      </c>
      <c r="G430" t="s">
        <v>21</v>
      </c>
      <c r="H430" t="str">
        <f>"9417B-5"</f>
        <v>9417B-5</v>
      </c>
      <c r="I430" t="str">
        <f>"PARKING LOT PROJECT"</f>
        <v>PARKING LOT PROJECT</v>
      </c>
    </row>
    <row r="431" spans="1:9" x14ac:dyDescent="0.25">
      <c r="E431" s="7"/>
      <c r="F431" t="s">
        <v>20</v>
      </c>
      <c r="G431" t="s">
        <v>21</v>
      </c>
      <c r="H431" t="str">
        <f>"9417C-5"</f>
        <v>9417C-5</v>
      </c>
      <c r="I431" t="str">
        <f>"PARKING LOT PROJECT"</f>
        <v>PARKING LOT PROJECT</v>
      </c>
    </row>
    <row r="432" spans="1:9" x14ac:dyDescent="0.25">
      <c r="A432" s="6">
        <v>43740</v>
      </c>
      <c r="B432" t="s">
        <v>26</v>
      </c>
      <c r="C432">
        <v>62210</v>
      </c>
      <c r="D432" t="s">
        <v>696</v>
      </c>
      <c r="E432" s="7">
        <v>190</v>
      </c>
      <c r="F432" t="s">
        <v>20</v>
      </c>
      <c r="G432" t="s">
        <v>21</v>
      </c>
      <c r="H432" t="str">
        <f>"9/30/2019"</f>
        <v>9/30/2019</v>
      </c>
      <c r="I432" t="str">
        <f>"ANGEL G. ROSAS"</f>
        <v>ANGEL G. ROSAS</v>
      </c>
    </row>
    <row r="433" spans="1:9" x14ac:dyDescent="0.25">
      <c r="A433" s="6">
        <v>43740</v>
      </c>
      <c r="B433" t="s">
        <v>26</v>
      </c>
      <c r="C433">
        <v>62211</v>
      </c>
      <c r="D433" t="s">
        <v>716</v>
      </c>
      <c r="E433" s="7">
        <v>340</v>
      </c>
      <c r="F433" t="s">
        <v>20</v>
      </c>
      <c r="G433" t="s">
        <v>21</v>
      </c>
      <c r="H433" t="str">
        <f>"9/30/2019"</f>
        <v>9/30/2019</v>
      </c>
      <c r="I433" t="str">
        <f>"ALFREDO SENDEJO"</f>
        <v>ALFREDO SENDEJO</v>
      </c>
    </row>
    <row r="434" spans="1:9" x14ac:dyDescent="0.25">
      <c r="A434" s="6">
        <v>43740</v>
      </c>
      <c r="B434" t="s">
        <v>26</v>
      </c>
      <c r="C434">
        <v>62212</v>
      </c>
      <c r="D434" t="s">
        <v>752</v>
      </c>
      <c r="E434" s="7">
        <v>220</v>
      </c>
      <c r="F434" t="s">
        <v>20</v>
      </c>
      <c r="G434" t="s">
        <v>21</v>
      </c>
      <c r="H434" t="str">
        <f>"9/30/2019"</f>
        <v>9/30/2019</v>
      </c>
      <c r="I434" t="str">
        <f>"BLANCA PEREZ"</f>
        <v>BLANCA PEREZ</v>
      </c>
    </row>
    <row r="435" spans="1:9" x14ac:dyDescent="0.25">
      <c r="A435" s="6">
        <v>43740</v>
      </c>
      <c r="B435" t="s">
        <v>26</v>
      </c>
      <c r="C435">
        <v>62213</v>
      </c>
      <c r="D435" t="s">
        <v>822</v>
      </c>
      <c r="E435" s="7">
        <v>2020.95</v>
      </c>
      <c r="F435" t="s">
        <v>20</v>
      </c>
      <c r="G435" t="s">
        <v>21</v>
      </c>
      <c r="H435" t="str">
        <f>"113907"</f>
        <v>113907</v>
      </c>
      <c r="I435" t="str">
        <f>"BIKES"</f>
        <v>BIKES</v>
      </c>
    </row>
    <row r="436" spans="1:9" x14ac:dyDescent="0.25">
      <c r="A436" s="6">
        <v>43740</v>
      </c>
      <c r="B436" t="s">
        <v>26</v>
      </c>
      <c r="C436">
        <v>62214</v>
      </c>
      <c r="D436" t="s">
        <v>814</v>
      </c>
      <c r="E436" s="7">
        <v>65</v>
      </c>
      <c r="F436" t="s">
        <v>20</v>
      </c>
      <c r="G436" t="s">
        <v>21</v>
      </c>
      <c r="H436" t="str">
        <f>"65.00"</f>
        <v>65.00</v>
      </c>
      <c r="I436" t="str">
        <f>"RACHEL GARCIA"</f>
        <v>RACHEL GARCIA</v>
      </c>
    </row>
    <row r="437" spans="1:9" x14ac:dyDescent="0.25">
      <c r="A437" s="6">
        <v>43740</v>
      </c>
      <c r="B437" t="s">
        <v>26</v>
      </c>
      <c r="C437">
        <v>62215</v>
      </c>
      <c r="D437" t="s">
        <v>823</v>
      </c>
      <c r="E437" s="7">
        <v>746.38</v>
      </c>
      <c r="F437" t="s">
        <v>20</v>
      </c>
      <c r="G437" t="s">
        <v>21</v>
      </c>
      <c r="H437" t="str">
        <f>"11294"</f>
        <v>11294</v>
      </c>
      <c r="I437" t="str">
        <f>"EMERGENCY PO WW"</f>
        <v>EMERGENCY PO WW</v>
      </c>
    </row>
    <row r="438" spans="1:9" x14ac:dyDescent="0.25">
      <c r="A438" s="6">
        <v>43741</v>
      </c>
      <c r="B438" t="s">
        <v>26</v>
      </c>
      <c r="C438">
        <v>62216</v>
      </c>
      <c r="D438" t="s">
        <v>146</v>
      </c>
      <c r="E438" s="7">
        <v>874.8</v>
      </c>
      <c r="F438" t="s">
        <v>20</v>
      </c>
      <c r="G438" t="s">
        <v>21</v>
      </c>
      <c r="H438" t="str">
        <f>"742371"</f>
        <v>742371</v>
      </c>
      <c r="I438" t="str">
        <f>"LARRY SRALLA ELECTRIC"</f>
        <v>LARRY SRALLA ELECTRIC</v>
      </c>
    </row>
    <row r="439" spans="1:9" x14ac:dyDescent="0.25">
      <c r="A439" s="6">
        <v>43741</v>
      </c>
      <c r="B439" t="s">
        <v>26</v>
      </c>
      <c r="C439">
        <v>62217</v>
      </c>
      <c r="D439" t="s">
        <v>147</v>
      </c>
      <c r="E439" s="7">
        <v>314.25</v>
      </c>
      <c r="F439" t="s">
        <v>20</v>
      </c>
      <c r="G439" t="s">
        <v>21</v>
      </c>
      <c r="H439" t="str">
        <f>"1316*"</f>
        <v>1316*</v>
      </c>
      <c r="I439" t="str">
        <f>"SRALLA ELECTRIC"</f>
        <v>SRALLA ELECTRIC</v>
      </c>
    </row>
    <row r="440" spans="1:9" x14ac:dyDescent="0.25">
      <c r="A440" s="6">
        <v>43741</v>
      </c>
      <c r="B440" t="s">
        <v>26</v>
      </c>
      <c r="C440">
        <v>62218</v>
      </c>
      <c r="D440" t="s">
        <v>824</v>
      </c>
      <c r="E440" s="7">
        <v>120</v>
      </c>
      <c r="F440" t="s">
        <v>20</v>
      </c>
      <c r="G440" t="s">
        <v>21</v>
      </c>
      <c r="H440" t="str">
        <f>"9/30/2019"</f>
        <v>9/30/2019</v>
      </c>
      <c r="I440" t="str">
        <f>"MALLORY NELSON"</f>
        <v>MALLORY NELSON</v>
      </c>
    </row>
    <row r="441" spans="1:9" x14ac:dyDescent="0.25">
      <c r="A441" s="6">
        <v>43741</v>
      </c>
      <c r="B441" t="s">
        <v>26</v>
      </c>
      <c r="C441">
        <v>62219</v>
      </c>
      <c r="D441" t="s">
        <v>825</v>
      </c>
      <c r="E441" s="7">
        <v>105</v>
      </c>
      <c r="F441" t="s">
        <v>20</v>
      </c>
      <c r="G441" t="s">
        <v>21</v>
      </c>
      <c r="H441" t="str">
        <f>"SECURITY 10/4/2019"</f>
        <v>SECURITY 10/4/2019</v>
      </c>
      <c r="I441" t="str">
        <f>"SAMUEL EMERSON"</f>
        <v>SAMUEL EMERSON</v>
      </c>
    </row>
    <row r="442" spans="1:9" x14ac:dyDescent="0.25">
      <c r="A442" s="6">
        <v>43741</v>
      </c>
      <c r="B442" t="s">
        <v>91</v>
      </c>
      <c r="C442">
        <v>62220</v>
      </c>
      <c r="D442" t="s">
        <v>90</v>
      </c>
      <c r="E442" s="7">
        <v>769.6</v>
      </c>
      <c r="F442" t="s">
        <v>20</v>
      </c>
      <c r="G442" t="s">
        <v>21</v>
      </c>
      <c r="H442" t="str">
        <f>"ACA201909248539"</f>
        <v>ACA201909248539</v>
      </c>
      <c r="I442" t="str">
        <f>"AFLAC INSURANCE"</f>
        <v>AFLAC INSURANCE</v>
      </c>
    </row>
    <row r="443" spans="1:9" x14ac:dyDescent="0.25">
      <c r="E443" s="7"/>
      <c r="F443" t="s">
        <v>20</v>
      </c>
      <c r="G443" t="s">
        <v>21</v>
      </c>
      <c r="H443" t="str">
        <f>"AD2201909248539"</f>
        <v>AD2201909248539</v>
      </c>
      <c r="I443" t="str">
        <f>"AFLAC INSURANCE"</f>
        <v>AFLAC INSURANCE</v>
      </c>
    </row>
    <row r="444" spans="1:9" x14ac:dyDescent="0.25">
      <c r="E444" s="7"/>
      <c r="F444" t="s">
        <v>20</v>
      </c>
      <c r="G444" t="s">
        <v>21</v>
      </c>
      <c r="H444" t="str">
        <f>"ADR201909248539"</f>
        <v>ADR201909248539</v>
      </c>
      <c r="I444" t="str">
        <f>"INSURANCE"</f>
        <v>INSURANCE</v>
      </c>
    </row>
    <row r="445" spans="1:9" x14ac:dyDescent="0.25">
      <c r="E445" s="7"/>
      <c r="F445" t="s">
        <v>20</v>
      </c>
      <c r="G445" t="s">
        <v>21</v>
      </c>
      <c r="H445" t="str">
        <f>"AF1201909248539"</f>
        <v>AF1201909248539</v>
      </c>
      <c r="I445" t="str">
        <f>"AFLAC INSURANCE"</f>
        <v>AFLAC INSURANCE</v>
      </c>
    </row>
    <row r="446" spans="1:9" x14ac:dyDescent="0.25">
      <c r="E446" s="7"/>
      <c r="F446" t="s">
        <v>20</v>
      </c>
      <c r="G446" t="s">
        <v>21</v>
      </c>
      <c r="H446" t="str">
        <f>"ASP201909248539"</f>
        <v>ASP201909248539</v>
      </c>
      <c r="I446" t="str">
        <f>"AFLAC INSURANCE"</f>
        <v>AFLAC INSURANCE</v>
      </c>
    </row>
    <row r="447" spans="1:9" x14ac:dyDescent="0.25">
      <c r="E447" s="7"/>
      <c r="F447" t="s">
        <v>20</v>
      </c>
      <c r="G447" t="s">
        <v>21</v>
      </c>
      <c r="H447" t="str">
        <f>"HCO201909248539"</f>
        <v>HCO201909248539</v>
      </c>
      <c r="I447" t="str">
        <f>"AFLAC INSURANCE"</f>
        <v>AFLAC INSURANCE</v>
      </c>
    </row>
    <row r="448" spans="1:9" x14ac:dyDescent="0.25">
      <c r="A448" s="6">
        <v>43741</v>
      </c>
      <c r="B448" t="s">
        <v>91</v>
      </c>
      <c r="C448">
        <v>62220</v>
      </c>
      <c r="D448" t="s">
        <v>90</v>
      </c>
      <c r="E448" s="7">
        <v>769.6</v>
      </c>
      <c r="F448" t="s">
        <v>20</v>
      </c>
      <c r="G448" t="s">
        <v>93</v>
      </c>
      <c r="H448" t="str">
        <f>"CHECK"</f>
        <v>CHECK</v>
      </c>
      <c r="I448" t="str">
        <f>""</f>
        <v/>
      </c>
    </row>
    <row r="449" spans="1:9" x14ac:dyDescent="0.25">
      <c r="A449" s="6">
        <v>43741</v>
      </c>
      <c r="B449" t="s">
        <v>91</v>
      </c>
      <c r="C449">
        <v>62222</v>
      </c>
      <c r="D449" t="s">
        <v>92</v>
      </c>
      <c r="E449" s="7">
        <v>19107.150000000001</v>
      </c>
      <c r="F449" t="s">
        <v>20</v>
      </c>
      <c r="G449" t="s">
        <v>21</v>
      </c>
      <c r="H449" t="str">
        <f>"RET201909248539"</f>
        <v>RET201909248539</v>
      </c>
      <c r="I449" t="str">
        <f>"TMRS CITY OF FLORESVILLE"</f>
        <v>TMRS CITY OF FLORESVILLE</v>
      </c>
    </row>
    <row r="450" spans="1:9" x14ac:dyDescent="0.25">
      <c r="A450" s="6">
        <v>43741</v>
      </c>
      <c r="B450" t="s">
        <v>91</v>
      </c>
      <c r="C450">
        <v>62222</v>
      </c>
      <c r="D450" t="s">
        <v>92</v>
      </c>
      <c r="E450" s="7">
        <v>19107.150000000001</v>
      </c>
      <c r="F450" t="s">
        <v>20</v>
      </c>
      <c r="G450" t="s">
        <v>93</v>
      </c>
      <c r="H450" t="str">
        <f>"CHECK"</f>
        <v>CHECK</v>
      </c>
      <c r="I450" t="str">
        <f>""</f>
        <v/>
      </c>
    </row>
    <row r="451" spans="1:9" x14ac:dyDescent="0.25">
      <c r="A451" s="6">
        <v>43741</v>
      </c>
      <c r="B451" t="s">
        <v>91</v>
      </c>
      <c r="C451">
        <v>62224</v>
      </c>
      <c r="D451" t="s">
        <v>95</v>
      </c>
      <c r="E451" s="7">
        <v>29.99</v>
      </c>
      <c r="F451" t="s">
        <v>20</v>
      </c>
      <c r="G451" t="s">
        <v>21</v>
      </c>
      <c r="H451" t="str">
        <f>"LEA201909248539"</f>
        <v>LEA201909248539</v>
      </c>
      <c r="I451" t="str">
        <f>"INSURANCE"</f>
        <v>INSURANCE</v>
      </c>
    </row>
    <row r="452" spans="1:9" x14ac:dyDescent="0.25">
      <c r="A452" s="6">
        <v>43741</v>
      </c>
      <c r="B452" t="s">
        <v>91</v>
      </c>
      <c r="C452">
        <v>62224</v>
      </c>
      <c r="D452" t="s">
        <v>95</v>
      </c>
      <c r="E452" s="7">
        <v>29.99</v>
      </c>
      <c r="F452" t="s">
        <v>20</v>
      </c>
      <c r="G452" t="s">
        <v>93</v>
      </c>
      <c r="H452" t="str">
        <f>"CHECK"</f>
        <v>CHECK</v>
      </c>
      <c r="I452" t="str">
        <f>""</f>
        <v/>
      </c>
    </row>
    <row r="453" spans="1:9" x14ac:dyDescent="0.25">
      <c r="A453" s="6">
        <v>43741</v>
      </c>
      <c r="B453" t="s">
        <v>91</v>
      </c>
      <c r="C453">
        <v>62225</v>
      </c>
      <c r="D453" t="s">
        <v>96</v>
      </c>
      <c r="E453" s="7">
        <v>102.96</v>
      </c>
      <c r="F453" t="s">
        <v>20</v>
      </c>
      <c r="G453" t="s">
        <v>21</v>
      </c>
      <c r="H453" t="str">
        <f>"PPL201909248539"</f>
        <v>PPL201909248539</v>
      </c>
      <c r="I453" t="str">
        <f>"INSURANCE"</f>
        <v>INSURANCE</v>
      </c>
    </row>
    <row r="454" spans="1:9" x14ac:dyDescent="0.25">
      <c r="A454" s="6">
        <v>43741</v>
      </c>
      <c r="B454" t="s">
        <v>91</v>
      </c>
      <c r="C454">
        <v>62225</v>
      </c>
      <c r="D454" t="s">
        <v>96</v>
      </c>
      <c r="E454" s="7">
        <v>102.96</v>
      </c>
      <c r="F454" t="s">
        <v>20</v>
      </c>
      <c r="G454" t="s">
        <v>93</v>
      </c>
      <c r="H454" t="str">
        <f>"CHECK"</f>
        <v>CHECK</v>
      </c>
      <c r="I454" t="str">
        <f>""</f>
        <v/>
      </c>
    </row>
    <row r="455" spans="1:9" x14ac:dyDescent="0.25">
      <c r="A455" s="6">
        <v>43741</v>
      </c>
      <c r="B455" t="s">
        <v>91</v>
      </c>
      <c r="C455">
        <v>62226</v>
      </c>
      <c r="D455" t="s">
        <v>97</v>
      </c>
      <c r="E455" s="7">
        <v>36038.65</v>
      </c>
      <c r="F455" t="s">
        <v>20</v>
      </c>
      <c r="G455" t="s">
        <v>21</v>
      </c>
      <c r="H455" t="str">
        <f>"DEN201909248539"</f>
        <v>DEN201909248539</v>
      </c>
      <c r="I455" t="str">
        <f>"DENTAL INSURANCE"</f>
        <v>DENTAL INSURANCE</v>
      </c>
    </row>
    <row r="456" spans="1:9" x14ac:dyDescent="0.25">
      <c r="E456" s="7"/>
      <c r="F456" t="s">
        <v>20</v>
      </c>
      <c r="G456" t="s">
        <v>21</v>
      </c>
      <c r="H456" t="str">
        <f>"MED201909248539"</f>
        <v>MED201909248539</v>
      </c>
      <c r="I456" t="str">
        <f>"HEALTH &amp; DENTAL INSURANCE"</f>
        <v>HEALTH &amp; DENTAL INSURANCE</v>
      </c>
    </row>
    <row r="457" spans="1:9" x14ac:dyDescent="0.25">
      <c r="A457" s="6">
        <v>43741</v>
      </c>
      <c r="B457" t="s">
        <v>91</v>
      </c>
      <c r="C457">
        <v>62226</v>
      </c>
      <c r="D457" t="s">
        <v>97</v>
      </c>
      <c r="E457" s="7">
        <v>36038.65</v>
      </c>
      <c r="F457" t="s">
        <v>20</v>
      </c>
      <c r="G457" t="s">
        <v>93</v>
      </c>
      <c r="H457" t="str">
        <f>"CHECK"</f>
        <v>CHECK</v>
      </c>
      <c r="I457" t="str">
        <f>""</f>
        <v/>
      </c>
    </row>
    <row r="458" spans="1:9" x14ac:dyDescent="0.25">
      <c r="A458" s="6">
        <v>43741</v>
      </c>
      <c r="B458" t="s">
        <v>91</v>
      </c>
      <c r="C458">
        <v>62228</v>
      </c>
      <c r="D458" t="s">
        <v>98</v>
      </c>
      <c r="E458" s="7">
        <v>1952.45</v>
      </c>
      <c r="F458" t="s">
        <v>20</v>
      </c>
      <c r="G458" t="s">
        <v>21</v>
      </c>
      <c r="H458" t="str">
        <f>"LIF201909248539"</f>
        <v>LIF201909248539</v>
      </c>
      <c r="I458" t="str">
        <f>"INSURANCE"</f>
        <v>INSURANCE</v>
      </c>
    </row>
    <row r="459" spans="1:9" x14ac:dyDescent="0.25">
      <c r="E459" s="7"/>
      <c r="F459" t="s">
        <v>20</v>
      </c>
      <c r="G459" t="s">
        <v>21</v>
      </c>
      <c r="H459" t="str">
        <f>"STD201909248539"</f>
        <v>STD201909248539</v>
      </c>
      <c r="I459" t="str">
        <f>"SHORT TERM DISABILITY"</f>
        <v>SHORT TERM DISABILITY</v>
      </c>
    </row>
    <row r="460" spans="1:9" x14ac:dyDescent="0.25">
      <c r="E460" s="7"/>
      <c r="F460" t="s">
        <v>20</v>
      </c>
      <c r="G460" t="s">
        <v>21</v>
      </c>
      <c r="H460" t="str">
        <f>"VIS201909248539"</f>
        <v>VIS201909248539</v>
      </c>
      <c r="I460" t="str">
        <f>"VISION INSURANCE"</f>
        <v>VISION INSURANCE</v>
      </c>
    </row>
    <row r="461" spans="1:9" x14ac:dyDescent="0.25">
      <c r="E461" s="7"/>
      <c r="F461" t="s">
        <v>20</v>
      </c>
      <c r="G461" t="s">
        <v>21</v>
      </c>
      <c r="H461" t="str">
        <f>"VLC201909248539"</f>
        <v>VLC201909248539</v>
      </c>
      <c r="I461" t="str">
        <f>"CHILD LIFE INSURANCE"</f>
        <v>CHILD LIFE INSURANCE</v>
      </c>
    </row>
    <row r="462" spans="1:9" x14ac:dyDescent="0.25">
      <c r="E462" s="7"/>
      <c r="F462" t="s">
        <v>20</v>
      </c>
      <c r="G462" t="s">
        <v>21</v>
      </c>
      <c r="H462" t="str">
        <f>"VLS201909248539"</f>
        <v>VLS201909248539</v>
      </c>
      <c r="I462" t="str">
        <f>"SPOUSE LIFE"</f>
        <v>SPOUSE LIFE</v>
      </c>
    </row>
    <row r="463" spans="1:9" x14ac:dyDescent="0.25">
      <c r="E463" s="7"/>
      <c r="F463" t="s">
        <v>20</v>
      </c>
      <c r="G463" t="s">
        <v>21</v>
      </c>
      <c r="H463" t="str">
        <f>"VOE201909248539"</f>
        <v>VOE201909248539</v>
      </c>
      <c r="I463" t="str">
        <f>"EMPLOYEE LIFE"</f>
        <v>EMPLOYEE LIFE</v>
      </c>
    </row>
    <row r="464" spans="1:9" x14ac:dyDescent="0.25">
      <c r="E464" s="7"/>
      <c r="F464" t="s">
        <v>20</v>
      </c>
      <c r="G464" t="s">
        <v>21</v>
      </c>
      <c r="H464" t="str">
        <f>"VOL201909248539"</f>
        <v>VOL201909248539</v>
      </c>
      <c r="I464" t="str">
        <f>"LIFE"</f>
        <v>LIFE</v>
      </c>
    </row>
    <row r="465" spans="1:9" x14ac:dyDescent="0.25">
      <c r="A465" s="6">
        <v>43741</v>
      </c>
      <c r="B465" t="s">
        <v>91</v>
      </c>
      <c r="C465">
        <v>62228</v>
      </c>
      <c r="D465" t="s">
        <v>98</v>
      </c>
      <c r="E465" s="7">
        <v>1952.45</v>
      </c>
      <c r="F465" t="s">
        <v>20</v>
      </c>
      <c r="G465" t="s">
        <v>93</v>
      </c>
      <c r="H465" t="str">
        <f>"CHECK"</f>
        <v>CHECK</v>
      </c>
      <c r="I465" t="str">
        <f>""</f>
        <v/>
      </c>
    </row>
    <row r="466" spans="1:9" x14ac:dyDescent="0.25">
      <c r="A466" s="6">
        <v>43741</v>
      </c>
      <c r="B466" t="s">
        <v>26</v>
      </c>
      <c r="C466">
        <v>62233</v>
      </c>
      <c r="D466" t="s">
        <v>83</v>
      </c>
      <c r="E466" s="7">
        <v>1044</v>
      </c>
      <c r="F466" t="s">
        <v>20</v>
      </c>
      <c r="G466" t="s">
        <v>21</v>
      </c>
      <c r="H466" t="str">
        <f>"909320"</f>
        <v>909320</v>
      </c>
      <c r="I466" t="str">
        <f>"APPRIVER"</f>
        <v>APPRIVER</v>
      </c>
    </row>
    <row r="467" spans="1:9" x14ac:dyDescent="0.25">
      <c r="A467" s="6">
        <v>43741</v>
      </c>
      <c r="B467" t="s">
        <v>26</v>
      </c>
      <c r="C467">
        <v>62234</v>
      </c>
      <c r="D467" t="s">
        <v>637</v>
      </c>
      <c r="E467" s="7">
        <v>75</v>
      </c>
      <c r="F467" t="s">
        <v>20</v>
      </c>
      <c r="G467" t="s">
        <v>21</v>
      </c>
      <c r="H467" t="str">
        <f t="shared" ref="H467:H472" si="6">"COUNCIL 10.3.2019"</f>
        <v>COUNCIL 10.3.2019</v>
      </c>
      <c r="I467" t="str">
        <f>"GLORIA MARTINEZ"</f>
        <v>GLORIA MARTINEZ</v>
      </c>
    </row>
    <row r="468" spans="1:9" x14ac:dyDescent="0.25">
      <c r="A468" s="6">
        <v>43741</v>
      </c>
      <c r="B468" t="s">
        <v>26</v>
      </c>
      <c r="C468">
        <v>62235</v>
      </c>
      <c r="D468" t="s">
        <v>223</v>
      </c>
      <c r="E468" s="7">
        <v>75</v>
      </c>
      <c r="F468" t="s">
        <v>20</v>
      </c>
      <c r="G468" t="s">
        <v>21</v>
      </c>
      <c r="H468" t="str">
        <f t="shared" si="6"/>
        <v>COUNCIL 10.3.2019</v>
      </c>
      <c r="I468" t="str">
        <f>"JUAN ORTIZ"</f>
        <v>JUAN ORTIZ</v>
      </c>
    </row>
    <row r="469" spans="1:9" x14ac:dyDescent="0.25">
      <c r="A469" s="6">
        <v>43741</v>
      </c>
      <c r="B469" t="s">
        <v>26</v>
      </c>
      <c r="C469">
        <v>62236</v>
      </c>
      <c r="D469" t="s">
        <v>36</v>
      </c>
      <c r="E469" s="7">
        <v>75</v>
      </c>
      <c r="F469" t="s">
        <v>20</v>
      </c>
      <c r="G469" t="s">
        <v>21</v>
      </c>
      <c r="H469" t="str">
        <f t="shared" si="6"/>
        <v>COUNCIL 10.3.2019</v>
      </c>
      <c r="I469" t="str">
        <f>"GLORIA M. CANTU"</f>
        <v>GLORIA M. CANTU</v>
      </c>
    </row>
    <row r="470" spans="1:9" x14ac:dyDescent="0.25">
      <c r="A470" s="6">
        <v>43741</v>
      </c>
      <c r="B470" t="s">
        <v>26</v>
      </c>
      <c r="C470">
        <v>62237</v>
      </c>
      <c r="D470" t="s">
        <v>37</v>
      </c>
      <c r="E470" s="7">
        <v>75</v>
      </c>
      <c r="F470" t="s">
        <v>20</v>
      </c>
      <c r="G470" t="s">
        <v>21</v>
      </c>
      <c r="H470" t="str">
        <f t="shared" si="6"/>
        <v>COUNCIL 10.3.2019</v>
      </c>
      <c r="I470" t="str">
        <f>"GERARD J. JIMENEZ"</f>
        <v>GERARD J. JIMENEZ</v>
      </c>
    </row>
    <row r="471" spans="1:9" x14ac:dyDescent="0.25">
      <c r="A471" s="6">
        <v>43741</v>
      </c>
      <c r="B471" t="s">
        <v>26</v>
      </c>
      <c r="C471">
        <v>62238</v>
      </c>
      <c r="D471" t="s">
        <v>38</v>
      </c>
      <c r="E471" s="7">
        <v>100</v>
      </c>
      <c r="F471" t="s">
        <v>20</v>
      </c>
      <c r="G471" t="s">
        <v>21</v>
      </c>
      <c r="H471" t="str">
        <f t="shared" si="6"/>
        <v>COUNCIL 10.3.2019</v>
      </c>
      <c r="I471" t="str">
        <f>"CECELIA GONZALEZ-DIPPEL"</f>
        <v>CECELIA GONZALEZ-DIPPEL</v>
      </c>
    </row>
    <row r="472" spans="1:9" x14ac:dyDescent="0.25">
      <c r="A472" s="6">
        <v>43741</v>
      </c>
      <c r="B472" t="s">
        <v>26</v>
      </c>
      <c r="C472">
        <v>62239</v>
      </c>
      <c r="D472" t="s">
        <v>558</v>
      </c>
      <c r="E472" s="7">
        <v>75</v>
      </c>
      <c r="F472" t="s">
        <v>20</v>
      </c>
      <c r="G472" t="s">
        <v>21</v>
      </c>
      <c r="H472" t="str">
        <f t="shared" si="6"/>
        <v>COUNCIL 10.3.2019</v>
      </c>
      <c r="I472" t="str">
        <f>"MARISSA XIMENEZ"</f>
        <v>MARISSA XIMENEZ</v>
      </c>
    </row>
    <row r="473" spans="1:9" x14ac:dyDescent="0.25">
      <c r="A473" s="6">
        <v>43742</v>
      </c>
      <c r="B473" t="s">
        <v>26</v>
      </c>
      <c r="C473">
        <v>62240</v>
      </c>
      <c r="D473" t="s">
        <v>38</v>
      </c>
      <c r="E473" s="7">
        <v>150.44</v>
      </c>
      <c r="F473" t="s">
        <v>20</v>
      </c>
      <c r="G473" t="s">
        <v>21</v>
      </c>
      <c r="H473" t="str">
        <f>"TML CONF. 2019*"</f>
        <v>TML CONF. 2019*</v>
      </c>
      <c r="I473" t="str">
        <f>"CECELIA GONZALEZ-DIPPEL"</f>
        <v>CECELIA GONZALEZ-DIPPEL</v>
      </c>
    </row>
    <row r="474" spans="1:9" x14ac:dyDescent="0.25">
      <c r="A474" s="6">
        <v>43747</v>
      </c>
      <c r="B474" t="s">
        <v>26</v>
      </c>
      <c r="C474">
        <v>62247</v>
      </c>
      <c r="D474" t="s">
        <v>51</v>
      </c>
      <c r="E474" s="7">
        <v>346.31</v>
      </c>
      <c r="F474" t="s">
        <v>20</v>
      </c>
      <c r="G474" t="s">
        <v>21</v>
      </c>
      <c r="H474" t="str">
        <f>"CLE201910078545"</f>
        <v>CLE201910078545</v>
      </c>
      <c r="I474" t="str">
        <f>"CLEAT ONLY DUES"</f>
        <v>CLEAT ONLY DUES</v>
      </c>
    </row>
    <row r="475" spans="1:9" x14ac:dyDescent="0.25">
      <c r="E475" s="7"/>
      <c r="F475" t="s">
        <v>20</v>
      </c>
      <c r="G475" t="s">
        <v>21</v>
      </c>
      <c r="H475" t="str">
        <f>"PDD201910078545"</f>
        <v>PDD201910078545</v>
      </c>
      <c r="I475" t="str">
        <f>"POLICE OFFICERS ASSOC DUES"</f>
        <v>POLICE OFFICERS ASSOC DUES</v>
      </c>
    </row>
    <row r="476" spans="1:9" x14ac:dyDescent="0.25">
      <c r="A476" s="6">
        <v>43747</v>
      </c>
      <c r="B476" t="s">
        <v>91</v>
      </c>
      <c r="C476">
        <v>62248</v>
      </c>
      <c r="D476" t="s">
        <v>90</v>
      </c>
      <c r="E476" s="7">
        <v>101.1</v>
      </c>
      <c r="F476" t="s">
        <v>20</v>
      </c>
      <c r="G476" t="s">
        <v>21</v>
      </c>
      <c r="H476" t="str">
        <f>"AFS201910078545"</f>
        <v>AFS201910078545</v>
      </c>
      <c r="I476" t="str">
        <f>"AFLAC STD"</f>
        <v>AFLAC STD</v>
      </c>
    </row>
    <row r="477" spans="1:9" x14ac:dyDescent="0.25">
      <c r="A477" s="6">
        <v>43747</v>
      </c>
      <c r="B477" t="s">
        <v>91</v>
      </c>
      <c r="C477">
        <v>62248</v>
      </c>
      <c r="D477" t="s">
        <v>90</v>
      </c>
      <c r="E477" s="7">
        <v>101.1</v>
      </c>
      <c r="F477" t="s">
        <v>20</v>
      </c>
      <c r="G477" t="s">
        <v>93</v>
      </c>
      <c r="H477" t="str">
        <f>"CHECK"</f>
        <v>CHECK</v>
      </c>
      <c r="I477" t="str">
        <f>""</f>
        <v/>
      </c>
    </row>
    <row r="478" spans="1:9" x14ac:dyDescent="0.25">
      <c r="A478" s="6">
        <v>43747</v>
      </c>
      <c r="B478" t="s">
        <v>26</v>
      </c>
      <c r="C478">
        <v>62249</v>
      </c>
      <c r="D478" t="s">
        <v>52</v>
      </c>
      <c r="E478" s="7">
        <v>750.52</v>
      </c>
      <c r="F478" t="s">
        <v>20</v>
      </c>
      <c r="G478" t="s">
        <v>21</v>
      </c>
      <c r="H478" t="str">
        <f>"CS 201910078545"</f>
        <v>CS 201910078545</v>
      </c>
      <c r="I478" t="str">
        <f>"CAUSE#98EM504113 PEGGY RIVAS"</f>
        <v>CAUSE#98EM504113 PEGGY RIVAS</v>
      </c>
    </row>
    <row r="479" spans="1:9" x14ac:dyDescent="0.25">
      <c r="E479" s="7"/>
      <c r="F479" t="s">
        <v>20</v>
      </c>
      <c r="G479" t="s">
        <v>21</v>
      </c>
      <c r="H479" t="str">
        <f>"CSJ201910078545"</f>
        <v>CSJ201910078545</v>
      </c>
      <c r="I479" t="str">
        <f>"CAUSE# 0010185272 MARIANN GUTI"</f>
        <v>CAUSE# 0010185272 MARIANN GUTI</v>
      </c>
    </row>
    <row r="480" spans="1:9" x14ac:dyDescent="0.25">
      <c r="A480" s="6">
        <v>43747</v>
      </c>
      <c r="B480" t="s">
        <v>91</v>
      </c>
      <c r="C480">
        <v>62250</v>
      </c>
      <c r="D480" t="s">
        <v>54</v>
      </c>
      <c r="E480" s="7">
        <v>1275.24</v>
      </c>
      <c r="F480" t="s">
        <v>20</v>
      </c>
      <c r="G480" t="s">
        <v>21</v>
      </c>
      <c r="H480" t="str">
        <f>"457201910078545"</f>
        <v>457201910078545</v>
      </c>
      <c r="I480" t="str">
        <f>"CASE # 180-60751 457B DEDUCT"</f>
        <v>CASE # 180-60751 457B DEDUCT</v>
      </c>
    </row>
    <row r="481" spans="1:9" x14ac:dyDescent="0.25">
      <c r="A481" s="6">
        <v>43747</v>
      </c>
      <c r="B481" t="s">
        <v>91</v>
      </c>
      <c r="C481">
        <v>62250</v>
      </c>
      <c r="D481" t="s">
        <v>54</v>
      </c>
      <c r="E481" s="7">
        <v>1275.24</v>
      </c>
      <c r="F481" t="s">
        <v>20</v>
      </c>
      <c r="G481" t="s">
        <v>93</v>
      </c>
      <c r="H481" t="str">
        <f>"CHECK"</f>
        <v>CHECK</v>
      </c>
      <c r="I481" t="str">
        <f>""</f>
        <v/>
      </c>
    </row>
    <row r="482" spans="1:9" x14ac:dyDescent="0.25">
      <c r="A482" s="6">
        <v>43746</v>
      </c>
      <c r="B482" t="s">
        <v>26</v>
      </c>
      <c r="C482">
        <v>62251</v>
      </c>
      <c r="D482" t="s">
        <v>104</v>
      </c>
      <c r="E482" s="7">
        <v>210.05</v>
      </c>
      <c r="F482" t="s">
        <v>20</v>
      </c>
      <c r="G482" t="s">
        <v>21</v>
      </c>
      <c r="H482" t="str">
        <f>"1397240911"</f>
        <v>1397240911</v>
      </c>
      <c r="I482" t="str">
        <f>"WILSON COUNTY NEWS"</f>
        <v>WILSON COUNTY NEWS</v>
      </c>
    </row>
    <row r="483" spans="1:9" x14ac:dyDescent="0.25">
      <c r="E483" s="7"/>
      <c r="F483" t="s">
        <v>20</v>
      </c>
      <c r="G483" t="s">
        <v>21</v>
      </c>
      <c r="H483" t="str">
        <f>"1398450925"</f>
        <v>1398450925</v>
      </c>
      <c r="I483" t="str">
        <f>"WILSON COUNTY NEWS"</f>
        <v>WILSON COUNTY NEWS</v>
      </c>
    </row>
    <row r="484" spans="1:9" x14ac:dyDescent="0.25">
      <c r="A484" s="6">
        <v>43746</v>
      </c>
      <c r="B484" t="s">
        <v>26</v>
      </c>
      <c r="C484">
        <v>62252</v>
      </c>
      <c r="D484" t="s">
        <v>205</v>
      </c>
      <c r="E484" s="7">
        <v>8273</v>
      </c>
      <c r="F484" t="s">
        <v>20</v>
      </c>
      <c r="G484" t="s">
        <v>21</v>
      </c>
      <c r="H484" t="str">
        <f>"PEANUT FEST 2019"</f>
        <v>PEANUT FEST 2019</v>
      </c>
      <c r="I484" t="str">
        <f>"SILVER EAGLE DISTRIBUTORS"</f>
        <v>SILVER EAGLE DISTRIBUTORS</v>
      </c>
    </row>
    <row r="485" spans="1:9" x14ac:dyDescent="0.25">
      <c r="A485" s="6">
        <v>43746</v>
      </c>
      <c r="B485" t="s">
        <v>26</v>
      </c>
      <c r="C485">
        <v>62253</v>
      </c>
      <c r="D485" t="s">
        <v>157</v>
      </c>
      <c r="E485" s="7">
        <v>3776</v>
      </c>
      <c r="F485" t="s">
        <v>20</v>
      </c>
      <c r="G485" t="s">
        <v>21</v>
      </c>
      <c r="H485" t="str">
        <f>"PEANUT FEST 2019"</f>
        <v>PEANUT FEST 2019</v>
      </c>
      <c r="I485" t="str">
        <f>"GLAZIERS"</f>
        <v>GLAZIERS</v>
      </c>
    </row>
    <row r="486" spans="1:9" x14ac:dyDescent="0.25">
      <c r="A486" s="6">
        <v>43746</v>
      </c>
      <c r="B486" t="s">
        <v>26</v>
      </c>
      <c r="C486">
        <v>62254</v>
      </c>
      <c r="D486" t="s">
        <v>81</v>
      </c>
      <c r="E486" s="7">
        <v>181.33</v>
      </c>
      <c r="F486" t="s">
        <v>20</v>
      </c>
      <c r="G486" t="s">
        <v>21</v>
      </c>
      <c r="H486" t="str">
        <f>"A.MARTINEZ 10/7/19"</f>
        <v>A.MARTINEZ 10/7/19</v>
      </c>
      <c r="I486" t="str">
        <f>"CITY OF FLORESVILLE -PETTY CAS"</f>
        <v>CITY OF FLORESVILLE -PETTY CAS</v>
      </c>
    </row>
    <row r="487" spans="1:9" x14ac:dyDescent="0.25">
      <c r="A487" s="6">
        <v>43746</v>
      </c>
      <c r="B487" t="s">
        <v>26</v>
      </c>
      <c r="C487">
        <v>62255</v>
      </c>
      <c r="D487" t="s">
        <v>345</v>
      </c>
      <c r="E487" s="7">
        <v>335.5</v>
      </c>
      <c r="F487" t="s">
        <v>20</v>
      </c>
      <c r="G487" t="s">
        <v>21</v>
      </c>
      <c r="H487" t="str">
        <f>"10/7/2019"</f>
        <v>10/7/2019</v>
      </c>
      <c r="I487" t="str">
        <f>"MICHAEL ISAAC MARTINEZ"</f>
        <v>MICHAEL ISAAC MARTINEZ</v>
      </c>
    </row>
    <row r="488" spans="1:9" x14ac:dyDescent="0.25">
      <c r="A488" s="6">
        <v>43746</v>
      </c>
      <c r="B488" t="s">
        <v>26</v>
      </c>
      <c r="C488">
        <v>62256</v>
      </c>
      <c r="D488" t="s">
        <v>199</v>
      </c>
      <c r="E488" s="7">
        <v>314.33</v>
      </c>
      <c r="F488" t="s">
        <v>20</v>
      </c>
      <c r="G488" t="s">
        <v>21</v>
      </c>
      <c r="H488" t="str">
        <f>"4358"</f>
        <v>4358</v>
      </c>
      <c r="I488" t="str">
        <f>"THE UPS STORE"</f>
        <v>THE UPS STORE</v>
      </c>
    </row>
    <row r="489" spans="1:9" x14ac:dyDescent="0.25">
      <c r="E489" s="7"/>
      <c r="F489" t="s">
        <v>20</v>
      </c>
      <c r="G489" t="s">
        <v>21</v>
      </c>
      <c r="H489" t="str">
        <f>"4425"</f>
        <v>4425</v>
      </c>
      <c r="I489" t="str">
        <f>"THE UPS STORE"</f>
        <v>THE UPS STORE</v>
      </c>
    </row>
    <row r="490" spans="1:9" x14ac:dyDescent="0.25">
      <c r="A490" s="6">
        <v>43746</v>
      </c>
      <c r="B490" t="s">
        <v>26</v>
      </c>
      <c r="C490">
        <v>62257</v>
      </c>
      <c r="D490" t="s">
        <v>716</v>
      </c>
      <c r="E490" s="7">
        <v>350</v>
      </c>
      <c r="F490" t="s">
        <v>20</v>
      </c>
      <c r="G490" t="s">
        <v>21</v>
      </c>
      <c r="H490" t="str">
        <f>"10/7/2019"</f>
        <v>10/7/2019</v>
      </c>
      <c r="I490" t="str">
        <f>"ALFREDO SENDEJO"</f>
        <v>ALFREDO SENDEJO</v>
      </c>
    </row>
    <row r="491" spans="1:9" x14ac:dyDescent="0.25">
      <c r="A491" s="6">
        <v>43746</v>
      </c>
      <c r="B491" t="s">
        <v>26</v>
      </c>
      <c r="C491">
        <v>62258</v>
      </c>
      <c r="D491" t="s">
        <v>452</v>
      </c>
      <c r="E491" s="7">
        <v>140</v>
      </c>
      <c r="F491" t="s">
        <v>20</v>
      </c>
      <c r="G491" t="s">
        <v>21</v>
      </c>
      <c r="H491" t="str">
        <f>"10/7/2019"</f>
        <v>10/7/2019</v>
      </c>
      <c r="I491" t="str">
        <f>"DESIREE PEREZ"</f>
        <v>DESIREE PEREZ</v>
      </c>
    </row>
    <row r="492" spans="1:9" x14ac:dyDescent="0.25">
      <c r="A492" s="6">
        <v>43746</v>
      </c>
      <c r="B492" t="s">
        <v>26</v>
      </c>
      <c r="C492">
        <v>62259</v>
      </c>
      <c r="D492" t="s">
        <v>696</v>
      </c>
      <c r="E492" s="7">
        <v>40</v>
      </c>
      <c r="F492" t="s">
        <v>20</v>
      </c>
      <c r="G492" t="s">
        <v>21</v>
      </c>
      <c r="H492" t="str">
        <f>"10/7/2019"</f>
        <v>10/7/2019</v>
      </c>
      <c r="I492" t="str">
        <f>"ANGEL G. ROSAS"</f>
        <v>ANGEL G. ROSAS</v>
      </c>
    </row>
    <row r="493" spans="1:9" x14ac:dyDescent="0.25">
      <c r="A493" s="6">
        <v>43746</v>
      </c>
      <c r="B493" t="s">
        <v>26</v>
      </c>
      <c r="C493">
        <v>62260</v>
      </c>
      <c r="D493" t="s">
        <v>752</v>
      </c>
      <c r="E493" s="7">
        <v>70</v>
      </c>
      <c r="F493" t="s">
        <v>20</v>
      </c>
      <c r="G493" t="s">
        <v>21</v>
      </c>
      <c r="H493" t="str">
        <f>"10/7/2019"</f>
        <v>10/7/2019</v>
      </c>
      <c r="I493" t="str">
        <f>"BLANCA PEREZ"</f>
        <v>BLANCA PEREZ</v>
      </c>
    </row>
    <row r="494" spans="1:9" x14ac:dyDescent="0.25">
      <c r="A494" s="6">
        <v>43746</v>
      </c>
      <c r="B494" t="s">
        <v>26</v>
      </c>
      <c r="C494">
        <v>62261</v>
      </c>
      <c r="D494" t="s">
        <v>824</v>
      </c>
      <c r="E494" s="7">
        <v>140</v>
      </c>
      <c r="F494" t="s">
        <v>20</v>
      </c>
      <c r="G494" t="s">
        <v>21</v>
      </c>
      <c r="H494" t="str">
        <f>"10/7/2019"</f>
        <v>10/7/2019</v>
      </c>
      <c r="I494" t="str">
        <f>"MALLORY R. NELSON"</f>
        <v>MALLORY R. NELSON</v>
      </c>
    </row>
    <row r="495" spans="1:9" x14ac:dyDescent="0.25">
      <c r="A495" s="6">
        <v>43754</v>
      </c>
      <c r="B495" t="s">
        <v>26</v>
      </c>
      <c r="C495">
        <v>62262</v>
      </c>
      <c r="D495" t="s">
        <v>57</v>
      </c>
      <c r="E495" s="7">
        <v>10599.16</v>
      </c>
      <c r="F495" t="s">
        <v>20</v>
      </c>
      <c r="G495" t="s">
        <v>21</v>
      </c>
      <c r="H495" t="str">
        <f>"OCT. 2019 26611"</f>
        <v>OCT. 2019 26611</v>
      </c>
      <c r="I495" t="str">
        <f>"F.E.L.P.S."</f>
        <v>F.E.L.P.S.</v>
      </c>
    </row>
    <row r="496" spans="1:9" x14ac:dyDescent="0.25">
      <c r="E496" s="7"/>
      <c r="F496" t="s">
        <v>20</v>
      </c>
      <c r="G496" t="s">
        <v>21</v>
      </c>
      <c r="H496" t="str">
        <f>"OCT. 2019 59223"</f>
        <v>OCT. 2019 59223</v>
      </c>
      <c r="I496" t="str">
        <f>"F.E.L.P.S."</f>
        <v>F.E.L.P.S.</v>
      </c>
    </row>
    <row r="497" spans="1:9" x14ac:dyDescent="0.25">
      <c r="E497" s="7"/>
      <c r="F497" t="s">
        <v>20</v>
      </c>
      <c r="G497" t="s">
        <v>21</v>
      </c>
      <c r="H497" t="str">
        <f>"OCT. 2019 59226"</f>
        <v>OCT. 2019 59226</v>
      </c>
      <c r="I497" t="str">
        <f>"F.E.L.P.S."</f>
        <v>F.E.L.P.S.</v>
      </c>
    </row>
    <row r="498" spans="1:9" x14ac:dyDescent="0.25">
      <c r="E498" s="7"/>
      <c r="F498" t="s">
        <v>20</v>
      </c>
      <c r="G498" t="s">
        <v>21</v>
      </c>
      <c r="H498" t="str">
        <f>"OCT.2019 25986"</f>
        <v>OCT.2019 25986</v>
      </c>
      <c r="I498" t="str">
        <f>"F.E.L.P.S."</f>
        <v>F.E.L.P.S.</v>
      </c>
    </row>
    <row r="499" spans="1:9" x14ac:dyDescent="0.25">
      <c r="E499" s="7"/>
      <c r="F499" t="s">
        <v>20</v>
      </c>
      <c r="G499" t="s">
        <v>21</v>
      </c>
      <c r="H499" t="str">
        <f>"OCT.2019 32260"</f>
        <v>OCT.2019 32260</v>
      </c>
      <c r="I499" t="str">
        <f>"F.E.L.P.S."</f>
        <v>F.E.L.P.S.</v>
      </c>
    </row>
    <row r="500" spans="1:9" x14ac:dyDescent="0.25">
      <c r="A500" s="6">
        <v>43754</v>
      </c>
      <c r="B500" t="s">
        <v>26</v>
      </c>
      <c r="C500">
        <v>62263</v>
      </c>
      <c r="D500" t="s">
        <v>576</v>
      </c>
      <c r="E500" s="7">
        <v>57</v>
      </c>
      <c r="F500" t="s">
        <v>20</v>
      </c>
      <c r="G500" t="s">
        <v>21</v>
      </c>
      <c r="H500" t="str">
        <f>"LI-5023"</f>
        <v>LI-5023</v>
      </c>
      <c r="I500" t="str">
        <f>"BEXAR COUNTY CLERK"</f>
        <v>BEXAR COUNTY CLERK</v>
      </c>
    </row>
    <row r="501" spans="1:9" x14ac:dyDescent="0.25">
      <c r="A501" s="6">
        <v>43754</v>
      </c>
      <c r="B501" t="s">
        <v>26</v>
      </c>
      <c r="C501">
        <v>62264</v>
      </c>
      <c r="D501" t="s">
        <v>58</v>
      </c>
      <c r="E501" s="7">
        <v>217.54</v>
      </c>
      <c r="F501" t="s">
        <v>20</v>
      </c>
      <c r="G501" t="s">
        <v>21</v>
      </c>
      <c r="H501" t="str">
        <f>"576952"</f>
        <v>576952</v>
      </c>
      <c r="I501" t="str">
        <f>"DEASON ANIMAL HOSPITAL"</f>
        <v>DEASON ANIMAL HOSPITAL</v>
      </c>
    </row>
    <row r="502" spans="1:9" x14ac:dyDescent="0.25">
      <c r="E502" s="7"/>
      <c r="F502" t="s">
        <v>20</v>
      </c>
      <c r="G502" t="s">
        <v>21</v>
      </c>
      <c r="H502" t="str">
        <f>"577346"</f>
        <v>577346</v>
      </c>
      <c r="I502" t="str">
        <f>"DEASON ANIMAL HOSPITAL"</f>
        <v>DEASON ANIMAL HOSPITAL</v>
      </c>
    </row>
    <row r="503" spans="1:9" x14ac:dyDescent="0.25">
      <c r="E503" s="7"/>
      <c r="F503" t="s">
        <v>20</v>
      </c>
      <c r="G503" t="s">
        <v>21</v>
      </c>
      <c r="H503" t="str">
        <f>"577516"</f>
        <v>577516</v>
      </c>
      <c r="I503" t="str">
        <f>"DEASON ANIMAL HOSPITAL"</f>
        <v>DEASON ANIMAL HOSPITAL</v>
      </c>
    </row>
    <row r="504" spans="1:9" x14ac:dyDescent="0.25">
      <c r="E504" s="7"/>
      <c r="F504" t="s">
        <v>20</v>
      </c>
      <c r="G504" t="s">
        <v>21</v>
      </c>
      <c r="H504" t="str">
        <f>"578676"</f>
        <v>578676</v>
      </c>
      <c r="I504" t="str">
        <f>"DEASON ANIMAL HOSPITAL"</f>
        <v>DEASON ANIMAL HOSPITAL</v>
      </c>
    </row>
    <row r="505" spans="1:9" x14ac:dyDescent="0.25">
      <c r="A505" s="6">
        <v>43754</v>
      </c>
      <c r="B505" t="s">
        <v>26</v>
      </c>
      <c r="C505">
        <v>62265</v>
      </c>
      <c r="D505" t="s">
        <v>104</v>
      </c>
      <c r="E505" s="7">
        <v>1528.35</v>
      </c>
      <c r="F505" t="s">
        <v>20</v>
      </c>
      <c r="G505" t="s">
        <v>21</v>
      </c>
      <c r="H505" t="str">
        <f>"1399561002"</f>
        <v>1399561002</v>
      </c>
      <c r="I505" t="str">
        <f t="shared" ref="I505:I510" si="7">"WILSON COUNTY NEWS"</f>
        <v>WILSON COUNTY NEWS</v>
      </c>
    </row>
    <row r="506" spans="1:9" x14ac:dyDescent="0.25">
      <c r="E506" s="7"/>
      <c r="F506" t="s">
        <v>20</v>
      </c>
      <c r="G506" t="s">
        <v>21</v>
      </c>
      <c r="H506" t="str">
        <f>"1399561009"</f>
        <v>1399561009</v>
      </c>
      <c r="I506" t="str">
        <f t="shared" si="7"/>
        <v>WILSON COUNTY NEWS</v>
      </c>
    </row>
    <row r="507" spans="1:9" x14ac:dyDescent="0.25">
      <c r="E507" s="7"/>
      <c r="F507" t="s">
        <v>20</v>
      </c>
      <c r="G507" t="s">
        <v>21</v>
      </c>
      <c r="H507" t="str">
        <f>"1399571002"</f>
        <v>1399571002</v>
      </c>
      <c r="I507" t="str">
        <f t="shared" si="7"/>
        <v>WILSON COUNTY NEWS</v>
      </c>
    </row>
    <row r="508" spans="1:9" x14ac:dyDescent="0.25">
      <c r="E508" s="7"/>
      <c r="F508" t="s">
        <v>20</v>
      </c>
      <c r="G508" t="s">
        <v>21</v>
      </c>
      <c r="H508" t="str">
        <f>"1399571009"</f>
        <v>1399571009</v>
      </c>
      <c r="I508" t="str">
        <f t="shared" si="7"/>
        <v>WILSON COUNTY NEWS</v>
      </c>
    </row>
    <row r="509" spans="1:9" x14ac:dyDescent="0.25">
      <c r="E509" s="7"/>
      <c r="F509" t="s">
        <v>20</v>
      </c>
      <c r="G509" t="s">
        <v>21</v>
      </c>
      <c r="H509" t="str">
        <f>"5026995699"</f>
        <v>5026995699</v>
      </c>
      <c r="I509" t="str">
        <f t="shared" si="7"/>
        <v>WILSON COUNTY NEWS</v>
      </c>
    </row>
    <row r="510" spans="1:9" x14ac:dyDescent="0.25">
      <c r="E510" s="7"/>
      <c r="F510" t="s">
        <v>20</v>
      </c>
      <c r="G510" t="s">
        <v>21</v>
      </c>
      <c r="H510" t="str">
        <f>"5026995700"</f>
        <v>5026995700</v>
      </c>
      <c r="I510" t="str">
        <f t="shared" si="7"/>
        <v>WILSON COUNTY NEWS</v>
      </c>
    </row>
    <row r="511" spans="1:9" x14ac:dyDescent="0.25">
      <c r="A511" s="6">
        <v>43754</v>
      </c>
      <c r="B511" t="s">
        <v>26</v>
      </c>
      <c r="C511">
        <v>62267</v>
      </c>
      <c r="D511" t="s">
        <v>472</v>
      </c>
      <c r="E511" s="7">
        <v>9</v>
      </c>
      <c r="F511" t="s">
        <v>20</v>
      </c>
      <c r="G511" t="s">
        <v>21</v>
      </c>
      <c r="H511" t="str">
        <f>"236468"</f>
        <v>236468</v>
      </c>
      <c r="I511" t="str">
        <f>"WILSON COUNTY CLERK  EVA S. MA"</f>
        <v>WILSON COUNTY CLERK  EVA S. MA</v>
      </c>
    </row>
    <row r="512" spans="1:9" x14ac:dyDescent="0.25">
      <c r="E512" s="7"/>
      <c r="F512" t="s">
        <v>20</v>
      </c>
      <c r="G512" t="s">
        <v>21</v>
      </c>
      <c r="H512" t="str">
        <f>"237067"</f>
        <v>237067</v>
      </c>
      <c r="I512" t="str">
        <f>"WILSON COUNTY CLERK  EVA S. MA"</f>
        <v>WILSON COUNTY CLERK  EVA S. MA</v>
      </c>
    </row>
    <row r="513" spans="1:9" x14ac:dyDescent="0.25">
      <c r="A513" s="6">
        <v>43754</v>
      </c>
      <c r="B513" t="s">
        <v>26</v>
      </c>
      <c r="C513">
        <v>62268</v>
      </c>
      <c r="D513" t="s">
        <v>366</v>
      </c>
      <c r="E513" s="7">
        <v>18890.509999999998</v>
      </c>
      <c r="F513" t="s">
        <v>20</v>
      </c>
      <c r="G513" t="s">
        <v>21</v>
      </c>
      <c r="H513" t="str">
        <f>"QRT END 9/30/19"</f>
        <v>QRT END 9/30/19</v>
      </c>
      <c r="I513" t="str">
        <f>"COMPTROLLER OF PUBLIC ACCOUNTS"</f>
        <v>COMPTROLLER OF PUBLIC ACCOUNTS</v>
      </c>
    </row>
    <row r="514" spans="1:9" x14ac:dyDescent="0.25">
      <c r="A514" s="6">
        <v>43754</v>
      </c>
      <c r="B514" t="s">
        <v>26</v>
      </c>
      <c r="C514">
        <v>62269</v>
      </c>
      <c r="D514" t="s">
        <v>166</v>
      </c>
      <c r="E514" s="7">
        <v>1411</v>
      </c>
      <c r="F514" t="s">
        <v>20</v>
      </c>
      <c r="G514" t="s">
        <v>21</v>
      </c>
      <c r="H514" t="str">
        <f>"9567 9/30/2019"</f>
        <v>9567 9/30/2019</v>
      </c>
      <c r="I514" t="str">
        <f>"PITNEY BOWES PURCHASE POWER"</f>
        <v>PITNEY BOWES PURCHASE POWER</v>
      </c>
    </row>
    <row r="515" spans="1:9" x14ac:dyDescent="0.25">
      <c r="A515" s="6">
        <v>43754</v>
      </c>
      <c r="B515" t="s">
        <v>26</v>
      </c>
      <c r="C515">
        <v>62270</v>
      </c>
      <c r="D515" t="s">
        <v>202</v>
      </c>
      <c r="E515" s="7">
        <v>22991.51</v>
      </c>
      <c r="F515" t="s">
        <v>20</v>
      </c>
      <c r="G515" t="s">
        <v>21</v>
      </c>
      <c r="H515" t="str">
        <f>"61984063"</f>
        <v>61984063</v>
      </c>
      <c r="I515" t="str">
        <f>"ASPHALT (HOT MIX)"</f>
        <v>ASPHALT (HOT MIX)</v>
      </c>
    </row>
    <row r="516" spans="1:9" x14ac:dyDescent="0.25">
      <c r="A516" s="6">
        <v>43754</v>
      </c>
      <c r="B516" t="s">
        <v>26</v>
      </c>
      <c r="C516">
        <v>62271</v>
      </c>
      <c r="D516" t="s">
        <v>90</v>
      </c>
      <c r="E516" s="7">
        <v>1884.6</v>
      </c>
      <c r="F516" t="s">
        <v>20</v>
      </c>
      <c r="G516" t="s">
        <v>21</v>
      </c>
      <c r="H516" t="str">
        <f>"SEPT 2019"</f>
        <v>SEPT 2019</v>
      </c>
      <c r="I516" t="str">
        <f>"AFLAC"</f>
        <v>AFLAC</v>
      </c>
    </row>
    <row r="517" spans="1:9" x14ac:dyDescent="0.25">
      <c r="A517" s="6">
        <v>43754</v>
      </c>
      <c r="B517" t="s">
        <v>26</v>
      </c>
      <c r="C517">
        <v>62272</v>
      </c>
      <c r="D517" t="s">
        <v>826</v>
      </c>
      <c r="E517" s="7">
        <v>50</v>
      </c>
      <c r="F517" t="s">
        <v>20</v>
      </c>
      <c r="G517" t="s">
        <v>21</v>
      </c>
      <c r="H517" t="str">
        <f>"DPST REFUND 10/12"</f>
        <v>DPST REFUND 10/12</v>
      </c>
      <c r="I517" t="str">
        <f>"REFUND"</f>
        <v>REFUND</v>
      </c>
    </row>
    <row r="518" spans="1:9" x14ac:dyDescent="0.25">
      <c r="A518" s="6">
        <v>43754</v>
      </c>
      <c r="B518" t="s">
        <v>26</v>
      </c>
      <c r="C518">
        <v>62273</v>
      </c>
      <c r="D518" t="s">
        <v>827</v>
      </c>
      <c r="E518" s="7">
        <v>50</v>
      </c>
      <c r="F518" t="s">
        <v>20</v>
      </c>
      <c r="G518" t="s">
        <v>21</v>
      </c>
      <c r="H518" t="str">
        <f>"DPST RFND 10/12"</f>
        <v>DPST RFND 10/12</v>
      </c>
      <c r="I518" t="str">
        <f>"REFUND"</f>
        <v>REFUND</v>
      </c>
    </row>
    <row r="519" spans="1:9" x14ac:dyDescent="0.25">
      <c r="A519" s="6">
        <v>43754</v>
      </c>
      <c r="B519" t="s">
        <v>26</v>
      </c>
      <c r="C519">
        <v>62274</v>
      </c>
      <c r="D519" t="s">
        <v>61</v>
      </c>
      <c r="E519" s="7">
        <v>753.3</v>
      </c>
      <c r="F519" t="s">
        <v>20</v>
      </c>
      <c r="G519" t="s">
        <v>21</v>
      </c>
      <c r="H519" t="str">
        <f>"025-273338"</f>
        <v>025-273338</v>
      </c>
      <c r="I519" t="str">
        <f>"TYLER TECHNOLOGIES  INC."</f>
        <v>TYLER TECHNOLOGIES  INC.</v>
      </c>
    </row>
    <row r="520" spans="1:9" x14ac:dyDescent="0.25">
      <c r="E520" s="7"/>
      <c r="F520" t="s">
        <v>20</v>
      </c>
      <c r="G520" t="s">
        <v>21</v>
      </c>
      <c r="H520" t="str">
        <f>"025-273823"</f>
        <v>025-273823</v>
      </c>
      <c r="I520" t="str">
        <f>"TYLER TECHNOLOGIES  INC."</f>
        <v>TYLER TECHNOLOGIES  INC.</v>
      </c>
    </row>
    <row r="521" spans="1:9" x14ac:dyDescent="0.25">
      <c r="E521" s="7"/>
      <c r="F521" t="s">
        <v>20</v>
      </c>
      <c r="G521" t="s">
        <v>21</v>
      </c>
      <c r="H521" t="str">
        <f>"025-274149"</f>
        <v>025-274149</v>
      </c>
      <c r="I521" t="str">
        <f>"TYLER TECHNOLOGIES  INC."</f>
        <v>TYLER TECHNOLOGIES  INC.</v>
      </c>
    </row>
    <row r="522" spans="1:9" x14ac:dyDescent="0.25">
      <c r="A522" s="6">
        <v>43754</v>
      </c>
      <c r="B522" t="s">
        <v>26</v>
      </c>
      <c r="C522">
        <v>62275</v>
      </c>
      <c r="D522" t="s">
        <v>184</v>
      </c>
      <c r="E522" s="7">
        <v>714</v>
      </c>
      <c r="F522" t="s">
        <v>20</v>
      </c>
      <c r="G522" t="s">
        <v>21</v>
      </c>
      <c r="H522" t="str">
        <f>"1056-082"</f>
        <v>1056-082</v>
      </c>
      <c r="I522" t="str">
        <f>"POLLUTION CONTROL SERVICES"</f>
        <v>POLLUTION CONTROL SERVICES</v>
      </c>
    </row>
    <row r="523" spans="1:9" x14ac:dyDescent="0.25">
      <c r="A523" s="6">
        <v>43754</v>
      </c>
      <c r="B523" t="s">
        <v>26</v>
      </c>
      <c r="C523">
        <v>62276</v>
      </c>
      <c r="D523" t="s">
        <v>62</v>
      </c>
      <c r="E523" s="7">
        <v>210</v>
      </c>
      <c r="F523" t="s">
        <v>20</v>
      </c>
      <c r="G523" t="s">
        <v>21</v>
      </c>
      <c r="H523" t="str">
        <f>"65447"</f>
        <v>65447</v>
      </c>
      <c r="I523" t="str">
        <f>"PROFICIENT BENEFIT SOLUTIONS"</f>
        <v>PROFICIENT BENEFIT SOLUTIONS</v>
      </c>
    </row>
    <row r="524" spans="1:9" x14ac:dyDescent="0.25">
      <c r="A524" s="6">
        <v>43754</v>
      </c>
      <c r="B524" t="s">
        <v>26</v>
      </c>
      <c r="C524">
        <v>62277</v>
      </c>
      <c r="D524" t="s">
        <v>63</v>
      </c>
      <c r="E524" s="7">
        <v>959.31</v>
      </c>
      <c r="F524" t="s">
        <v>20</v>
      </c>
      <c r="G524" t="s">
        <v>21</v>
      </c>
      <c r="H524" t="str">
        <f>"8404320806"</f>
        <v>8404320806</v>
      </c>
      <c r="I524" t="str">
        <f>"CINTAS CORPORATION"</f>
        <v>CINTAS CORPORATION</v>
      </c>
    </row>
    <row r="525" spans="1:9" x14ac:dyDescent="0.25">
      <c r="A525" s="6">
        <v>43754</v>
      </c>
      <c r="B525" t="s">
        <v>26</v>
      </c>
      <c r="C525">
        <v>62278</v>
      </c>
      <c r="D525" t="s">
        <v>117</v>
      </c>
      <c r="E525" s="7">
        <v>1098.6300000000001</v>
      </c>
      <c r="F525" t="s">
        <v>20</v>
      </c>
      <c r="G525" t="s">
        <v>21</v>
      </c>
      <c r="H525" t="str">
        <f>"SEPT. 2019"</f>
        <v>SEPT. 2019</v>
      </c>
      <c r="I525" t="str">
        <f>"LINEBARGER GOGGAN BLAIR &amp; SAMP"</f>
        <v>LINEBARGER GOGGAN BLAIR &amp; SAMP</v>
      </c>
    </row>
    <row r="526" spans="1:9" x14ac:dyDescent="0.25">
      <c r="A526" s="6">
        <v>43754</v>
      </c>
      <c r="B526" t="s">
        <v>26</v>
      </c>
      <c r="C526">
        <v>62279</v>
      </c>
      <c r="D526" t="s">
        <v>66</v>
      </c>
      <c r="E526" s="7">
        <v>4102.88</v>
      </c>
      <c r="F526" t="s">
        <v>20</v>
      </c>
      <c r="G526" t="s">
        <v>21</v>
      </c>
      <c r="H526" t="str">
        <f>"56491"</f>
        <v>56491</v>
      </c>
      <c r="I526" t="str">
        <f>"LOPEZ EXTERMINATING SERVICE  I"</f>
        <v>LOPEZ EXTERMINATING SERVICE  I</v>
      </c>
    </row>
    <row r="527" spans="1:9" x14ac:dyDescent="0.25">
      <c r="E527" s="7"/>
      <c r="F527" t="s">
        <v>20</v>
      </c>
      <c r="G527" t="s">
        <v>21</v>
      </c>
      <c r="H527" t="str">
        <f>"56508"</f>
        <v>56508</v>
      </c>
      <c r="I527" t="str">
        <f>"LOPEZ EXTERMINATING SERVICE  I"</f>
        <v>LOPEZ EXTERMINATING SERVICE  I</v>
      </c>
    </row>
    <row r="528" spans="1:9" x14ac:dyDescent="0.25">
      <c r="A528" s="6">
        <v>43754</v>
      </c>
      <c r="B528" t="s">
        <v>26</v>
      </c>
      <c r="C528">
        <v>62280</v>
      </c>
      <c r="D528" t="s">
        <v>301</v>
      </c>
      <c r="E528" s="7">
        <v>392.77</v>
      </c>
      <c r="F528" t="s">
        <v>20</v>
      </c>
      <c r="G528" t="s">
        <v>21</v>
      </c>
      <c r="H528" t="str">
        <f>"1783863"</f>
        <v>1783863</v>
      </c>
      <c r="I528" t="str">
        <f>"GRANDE TRUCK CENTER"</f>
        <v>GRANDE TRUCK CENTER</v>
      </c>
    </row>
    <row r="529" spans="1:9" x14ac:dyDescent="0.25">
      <c r="A529" s="6">
        <v>43754</v>
      </c>
      <c r="B529" t="s">
        <v>26</v>
      </c>
      <c r="C529">
        <v>62281</v>
      </c>
      <c r="D529" t="s">
        <v>95</v>
      </c>
      <c r="E529" s="7">
        <v>64.959999999999994</v>
      </c>
      <c r="F529" t="s">
        <v>20</v>
      </c>
      <c r="G529" t="s">
        <v>21</v>
      </c>
      <c r="H529" t="str">
        <f>"SEPT. 2019"</f>
        <v>SEPT. 2019</v>
      </c>
      <c r="I529" t="str">
        <f>"LEGAL PLANS"</f>
        <v>LEGAL PLANS</v>
      </c>
    </row>
    <row r="530" spans="1:9" x14ac:dyDescent="0.25">
      <c r="A530" s="6">
        <v>43754</v>
      </c>
      <c r="B530" t="s">
        <v>26</v>
      </c>
      <c r="C530">
        <v>62282</v>
      </c>
      <c r="D530" t="s">
        <v>146</v>
      </c>
      <c r="E530" s="7">
        <v>300</v>
      </c>
      <c r="F530" t="s">
        <v>20</v>
      </c>
      <c r="G530" t="s">
        <v>21</v>
      </c>
      <c r="H530" t="str">
        <f>"742395"</f>
        <v>742395</v>
      </c>
      <c r="I530" t="str">
        <f>"LARRY SRALLA ELECTRIC"</f>
        <v>LARRY SRALLA ELECTRIC</v>
      </c>
    </row>
    <row r="531" spans="1:9" x14ac:dyDescent="0.25">
      <c r="E531" s="7"/>
      <c r="F531" t="s">
        <v>20</v>
      </c>
      <c r="G531" t="s">
        <v>21</v>
      </c>
      <c r="H531" t="str">
        <f>"742396"</f>
        <v>742396</v>
      </c>
      <c r="I531" t="str">
        <f>"LARRY SRALLA ELECTRIC"</f>
        <v>LARRY SRALLA ELECTRIC</v>
      </c>
    </row>
    <row r="532" spans="1:9" x14ac:dyDescent="0.25">
      <c r="A532" s="6">
        <v>43754</v>
      </c>
      <c r="B532" t="s">
        <v>26</v>
      </c>
      <c r="C532">
        <v>62283</v>
      </c>
      <c r="D532" t="s">
        <v>29</v>
      </c>
      <c r="E532" s="7">
        <v>29443.95</v>
      </c>
      <c r="F532" t="s">
        <v>20</v>
      </c>
      <c r="G532" t="s">
        <v>21</v>
      </c>
      <c r="H532" t="str">
        <f>"39985"</f>
        <v>39985</v>
      </c>
      <c r="I532" t="str">
        <f>"M &amp; S ENGINEERING  LLC"</f>
        <v>M &amp; S ENGINEERING  LLC</v>
      </c>
    </row>
    <row r="533" spans="1:9" x14ac:dyDescent="0.25">
      <c r="E533" s="7"/>
      <c r="F533" t="s">
        <v>20</v>
      </c>
      <c r="G533" t="s">
        <v>21</v>
      </c>
      <c r="H533" t="str">
        <f>"39986"</f>
        <v>39986</v>
      </c>
      <c r="I533" t="str">
        <f>"M &amp; S ENGINEERING  LLC"</f>
        <v>M &amp; S ENGINEERING  LLC</v>
      </c>
    </row>
    <row r="534" spans="1:9" x14ac:dyDescent="0.25">
      <c r="E534" s="7"/>
      <c r="F534" t="s">
        <v>20</v>
      </c>
      <c r="G534" t="s">
        <v>21</v>
      </c>
      <c r="H534" t="str">
        <f>"39988"</f>
        <v>39988</v>
      </c>
      <c r="I534" t="str">
        <f>"M &amp; S ENGINEERING  LLC"</f>
        <v>M &amp; S ENGINEERING  LLC</v>
      </c>
    </row>
    <row r="535" spans="1:9" x14ac:dyDescent="0.25">
      <c r="E535" s="7"/>
      <c r="F535" t="s">
        <v>20</v>
      </c>
      <c r="G535" t="s">
        <v>21</v>
      </c>
      <c r="H535" t="str">
        <f>"40017"</f>
        <v>40017</v>
      </c>
      <c r="I535" t="str">
        <f>"M &amp; S ENGINEERING  LLC"</f>
        <v>M &amp; S ENGINEERING  LLC</v>
      </c>
    </row>
    <row r="536" spans="1:9" x14ac:dyDescent="0.25">
      <c r="E536" s="7"/>
      <c r="F536" t="s">
        <v>20</v>
      </c>
      <c r="G536" t="s">
        <v>21</v>
      </c>
      <c r="H536" t="str">
        <f>"40159"</f>
        <v>40159</v>
      </c>
      <c r="I536" t="str">
        <f>"M &amp; S ENGINEERING  LLC"</f>
        <v>M &amp; S ENGINEERING  LLC</v>
      </c>
    </row>
    <row r="537" spans="1:9" x14ac:dyDescent="0.25">
      <c r="A537" s="6">
        <v>43754</v>
      </c>
      <c r="B537" t="s">
        <v>26</v>
      </c>
      <c r="C537">
        <v>62284</v>
      </c>
      <c r="D537" t="s">
        <v>96</v>
      </c>
      <c r="E537" s="7">
        <v>326.75</v>
      </c>
      <c r="F537" t="s">
        <v>20</v>
      </c>
      <c r="G537" t="s">
        <v>21</v>
      </c>
      <c r="H537" t="str">
        <f>"SEPT. 2019"</f>
        <v>SEPT. 2019</v>
      </c>
      <c r="I537" t="str">
        <f>"LEGALSHIELD"</f>
        <v>LEGALSHIELD</v>
      </c>
    </row>
    <row r="538" spans="1:9" x14ac:dyDescent="0.25">
      <c r="A538" s="6">
        <v>43754</v>
      </c>
      <c r="B538" t="s">
        <v>26</v>
      </c>
      <c r="C538">
        <v>62285</v>
      </c>
      <c r="D538" t="s">
        <v>71</v>
      </c>
      <c r="E538" s="7">
        <v>2614.15</v>
      </c>
      <c r="F538" t="s">
        <v>20</v>
      </c>
      <c r="G538" t="s">
        <v>21</v>
      </c>
      <c r="H538" t="str">
        <f>"4030670151"</f>
        <v>4030670151</v>
      </c>
      <c r="I538" t="str">
        <f t="shared" ref="I538:I547" si="8">"CINTAS CORPORATION #087"</f>
        <v>CINTAS CORPORATION #087</v>
      </c>
    </row>
    <row r="539" spans="1:9" x14ac:dyDescent="0.25">
      <c r="E539" s="7"/>
      <c r="F539" t="s">
        <v>20</v>
      </c>
      <c r="G539" t="s">
        <v>21</v>
      </c>
      <c r="H539" t="str">
        <f>"4030670208"</f>
        <v>4030670208</v>
      </c>
      <c r="I539" t="str">
        <f t="shared" si="8"/>
        <v>CINTAS CORPORATION #087</v>
      </c>
    </row>
    <row r="540" spans="1:9" x14ac:dyDescent="0.25">
      <c r="E540" s="7"/>
      <c r="F540" t="s">
        <v>20</v>
      </c>
      <c r="G540" t="s">
        <v>21</v>
      </c>
      <c r="H540" t="str">
        <f>"4031755160"</f>
        <v>4031755160</v>
      </c>
      <c r="I540" t="str">
        <f t="shared" si="8"/>
        <v>CINTAS CORPORATION #087</v>
      </c>
    </row>
    <row r="541" spans="1:9" x14ac:dyDescent="0.25">
      <c r="E541" s="7"/>
      <c r="F541" t="s">
        <v>20</v>
      </c>
      <c r="G541" t="s">
        <v>21</v>
      </c>
      <c r="H541" t="str">
        <f>"4031755163"</f>
        <v>4031755163</v>
      </c>
      <c r="I541" t="str">
        <f t="shared" si="8"/>
        <v>CINTAS CORPORATION #087</v>
      </c>
    </row>
    <row r="542" spans="1:9" x14ac:dyDescent="0.25">
      <c r="E542" s="7"/>
      <c r="F542" t="s">
        <v>20</v>
      </c>
      <c r="G542" t="s">
        <v>21</v>
      </c>
      <c r="H542" t="str">
        <f>"4031755167"</f>
        <v>4031755167</v>
      </c>
      <c r="I542" t="str">
        <f t="shared" si="8"/>
        <v>CINTAS CORPORATION #087</v>
      </c>
    </row>
    <row r="543" spans="1:9" x14ac:dyDescent="0.25">
      <c r="E543" s="7"/>
      <c r="F543" t="s">
        <v>20</v>
      </c>
      <c r="G543" t="s">
        <v>21</v>
      </c>
      <c r="H543" t="str">
        <f>"4031755213"</f>
        <v>4031755213</v>
      </c>
      <c r="I543" t="str">
        <f t="shared" si="8"/>
        <v>CINTAS CORPORATION #087</v>
      </c>
    </row>
    <row r="544" spans="1:9" x14ac:dyDescent="0.25">
      <c r="E544" s="7"/>
      <c r="F544" t="s">
        <v>20</v>
      </c>
      <c r="G544" t="s">
        <v>21</v>
      </c>
      <c r="H544" t="str">
        <f>"4031755226"</f>
        <v>4031755226</v>
      </c>
      <c r="I544" t="str">
        <f t="shared" si="8"/>
        <v>CINTAS CORPORATION #087</v>
      </c>
    </row>
    <row r="545" spans="1:9" x14ac:dyDescent="0.25">
      <c r="E545" s="7"/>
      <c r="F545" t="s">
        <v>20</v>
      </c>
      <c r="G545" t="s">
        <v>21</v>
      </c>
      <c r="H545" t="str">
        <f>"40317755223"</f>
        <v>40317755223</v>
      </c>
      <c r="I545" t="str">
        <f t="shared" si="8"/>
        <v>CINTAS CORPORATION #087</v>
      </c>
    </row>
    <row r="546" spans="1:9" x14ac:dyDescent="0.25">
      <c r="E546" s="7"/>
      <c r="F546" t="s">
        <v>20</v>
      </c>
      <c r="G546" t="s">
        <v>21</v>
      </c>
      <c r="H546" t="str">
        <f>"4031893067"</f>
        <v>4031893067</v>
      </c>
      <c r="I546" t="str">
        <f t="shared" si="8"/>
        <v>CINTAS CORPORATION #087</v>
      </c>
    </row>
    <row r="547" spans="1:9" x14ac:dyDescent="0.25">
      <c r="E547" s="7"/>
      <c r="F547" t="s">
        <v>20</v>
      </c>
      <c r="G547" t="s">
        <v>21</v>
      </c>
      <c r="H547" t="str">
        <f>"4031893130"</f>
        <v>4031893130</v>
      </c>
      <c r="I547" t="str">
        <f t="shared" si="8"/>
        <v>CINTAS CORPORATION #087</v>
      </c>
    </row>
    <row r="548" spans="1:9" x14ac:dyDescent="0.25">
      <c r="A548" s="6">
        <v>43754</v>
      </c>
      <c r="B548" t="s">
        <v>26</v>
      </c>
      <c r="C548">
        <v>62287</v>
      </c>
      <c r="D548" t="s">
        <v>73</v>
      </c>
      <c r="E548" s="7">
        <v>41627.25</v>
      </c>
      <c r="F548" t="s">
        <v>20</v>
      </c>
      <c r="G548" t="s">
        <v>21</v>
      </c>
      <c r="H548" t="str">
        <f>"8027 10/05/19"</f>
        <v>8027 10/05/19</v>
      </c>
      <c r="I548" t="str">
        <f>"TML INTERGOVERNMENTAL RISK POO"</f>
        <v>TML INTERGOVERNMENTAL RISK POO</v>
      </c>
    </row>
    <row r="549" spans="1:9" x14ac:dyDescent="0.25">
      <c r="A549" s="6">
        <v>43754</v>
      </c>
      <c r="B549" t="s">
        <v>26</v>
      </c>
      <c r="C549">
        <v>62288</v>
      </c>
      <c r="D549" t="s">
        <v>282</v>
      </c>
      <c r="E549" s="7">
        <v>9020.83</v>
      </c>
      <c r="F549" t="s">
        <v>20</v>
      </c>
      <c r="G549" t="s">
        <v>21</v>
      </c>
      <c r="H549" t="str">
        <f>"3770"</f>
        <v>3770</v>
      </c>
      <c r="I549" t="str">
        <f>"LANGFORD COMMUNITY MANAGEMENT"</f>
        <v>LANGFORD COMMUNITY MANAGEMENT</v>
      </c>
    </row>
    <row r="550" spans="1:9" x14ac:dyDescent="0.25">
      <c r="E550" s="7"/>
      <c r="F550" t="s">
        <v>20</v>
      </c>
      <c r="G550" t="s">
        <v>21</v>
      </c>
      <c r="H550" t="str">
        <f>"3838"</f>
        <v>3838</v>
      </c>
      <c r="I550" t="str">
        <f>"LANGFORD COMMUNITY MANAGEMENT"</f>
        <v>LANGFORD COMMUNITY MANAGEMENT</v>
      </c>
    </row>
    <row r="551" spans="1:9" x14ac:dyDescent="0.25">
      <c r="E551" s="7"/>
      <c r="F551" t="s">
        <v>20</v>
      </c>
      <c r="G551" t="s">
        <v>21</v>
      </c>
      <c r="H551" t="str">
        <f>"3842"</f>
        <v>3842</v>
      </c>
      <c r="I551" t="str">
        <f>"LANGFORD COMMUNITY MANAGEMENT"</f>
        <v>LANGFORD COMMUNITY MANAGEMENT</v>
      </c>
    </row>
    <row r="552" spans="1:9" x14ac:dyDescent="0.25">
      <c r="A552" s="6">
        <v>43754</v>
      </c>
      <c r="B552" t="s">
        <v>26</v>
      </c>
      <c r="C552">
        <v>62289</v>
      </c>
      <c r="D552" t="s">
        <v>74</v>
      </c>
      <c r="E552" s="7">
        <v>4570.97</v>
      </c>
      <c r="F552" t="s">
        <v>20</v>
      </c>
      <c r="G552" t="s">
        <v>21</v>
      </c>
      <c r="H552" t="str">
        <f>"9838753471"</f>
        <v>9838753471</v>
      </c>
      <c r="I552" t="str">
        <f>"VERIZON WIRELESS"</f>
        <v>VERIZON WIRELESS</v>
      </c>
    </row>
    <row r="553" spans="1:9" x14ac:dyDescent="0.25">
      <c r="E553" s="7"/>
      <c r="F553" t="s">
        <v>20</v>
      </c>
      <c r="G553" t="s">
        <v>21</v>
      </c>
      <c r="H553" t="str">
        <f>"9838753472"</f>
        <v>9838753472</v>
      </c>
      <c r="I553" t="str">
        <f>"VERIZON WIRELESS"</f>
        <v>VERIZON WIRELESS</v>
      </c>
    </row>
    <row r="554" spans="1:9" x14ac:dyDescent="0.25">
      <c r="E554" s="7"/>
      <c r="F554" t="s">
        <v>20</v>
      </c>
      <c r="G554" t="s">
        <v>21</v>
      </c>
      <c r="H554" t="str">
        <f>"9838753473"</f>
        <v>9838753473</v>
      </c>
      <c r="I554" t="str">
        <f>"VERIZON WIRELESS"</f>
        <v>VERIZON WIRELESS</v>
      </c>
    </row>
    <row r="555" spans="1:9" x14ac:dyDescent="0.25">
      <c r="A555" s="6">
        <v>43754</v>
      </c>
      <c r="B555" t="s">
        <v>26</v>
      </c>
      <c r="C555">
        <v>62290</v>
      </c>
      <c r="D555" t="s">
        <v>283</v>
      </c>
      <c r="E555" s="7">
        <v>31500</v>
      </c>
      <c r="F555" t="s">
        <v>20</v>
      </c>
      <c r="G555" t="s">
        <v>21</v>
      </c>
      <c r="H555" t="str">
        <f>"10/1-9/30/2020"</f>
        <v>10/1-9/30/2020</v>
      </c>
      <c r="I555" t="str">
        <f>"WILSON COUNTY EMS"</f>
        <v>WILSON COUNTY EMS</v>
      </c>
    </row>
    <row r="556" spans="1:9" x14ac:dyDescent="0.25">
      <c r="A556" s="6">
        <v>43754</v>
      </c>
      <c r="B556" t="s">
        <v>26</v>
      </c>
      <c r="C556">
        <v>62291</v>
      </c>
      <c r="D556" t="s">
        <v>123</v>
      </c>
      <c r="E556" s="7">
        <v>294.94</v>
      </c>
      <c r="F556" t="s">
        <v>20</v>
      </c>
      <c r="G556" t="s">
        <v>21</v>
      </c>
      <c r="H556" t="str">
        <f>"382625442001"</f>
        <v>382625442001</v>
      </c>
      <c r="I556" t="str">
        <f>"OFFICE SUPPLIES"</f>
        <v>OFFICE SUPPLIES</v>
      </c>
    </row>
    <row r="557" spans="1:9" x14ac:dyDescent="0.25">
      <c r="E557" s="7"/>
      <c r="F557" t="s">
        <v>20</v>
      </c>
      <c r="G557" t="s">
        <v>21</v>
      </c>
      <c r="H557" t="str">
        <f>"382674207001"</f>
        <v>382674207001</v>
      </c>
      <c r="I557" t="str">
        <f>"OFFICE SUPPLIES"</f>
        <v>OFFICE SUPPLIES</v>
      </c>
    </row>
    <row r="558" spans="1:9" x14ac:dyDescent="0.25">
      <c r="E558" s="7"/>
      <c r="F558" t="s">
        <v>20</v>
      </c>
      <c r="G558" t="s">
        <v>21</v>
      </c>
      <c r="H558" t="str">
        <f>"384316323001"</f>
        <v>384316323001</v>
      </c>
      <c r="I558" t="str">
        <f>"ENVELOPES"</f>
        <v>ENVELOPES</v>
      </c>
    </row>
    <row r="559" spans="1:9" x14ac:dyDescent="0.25">
      <c r="A559" s="6">
        <v>43754</v>
      </c>
      <c r="B559" t="s">
        <v>26</v>
      </c>
      <c r="C559">
        <v>62292</v>
      </c>
      <c r="D559" t="s">
        <v>124</v>
      </c>
      <c r="E559" s="7">
        <v>82.3</v>
      </c>
      <c r="F559" t="s">
        <v>20</v>
      </c>
      <c r="G559" t="s">
        <v>21</v>
      </c>
      <c r="H559" t="str">
        <f>"11178351"</f>
        <v>11178351</v>
      </c>
      <c r="I559" t="str">
        <f>"RAKES"</f>
        <v>RAKES</v>
      </c>
    </row>
    <row r="560" spans="1:9" x14ac:dyDescent="0.25">
      <c r="A560" s="6">
        <v>43754</v>
      </c>
      <c r="B560" t="s">
        <v>26</v>
      </c>
      <c r="C560">
        <v>62293</v>
      </c>
      <c r="D560" t="s">
        <v>125</v>
      </c>
      <c r="E560" s="7">
        <v>780</v>
      </c>
      <c r="F560" t="s">
        <v>20</v>
      </c>
      <c r="G560" t="s">
        <v>21</v>
      </c>
      <c r="H560" t="str">
        <f>"16-0967 9/2019"</f>
        <v>16-0967 9/2019</v>
      </c>
      <c r="I560" t="str">
        <f>"INTREPID SURVEYING CORPORATION"</f>
        <v>INTREPID SURVEYING CORPORATION</v>
      </c>
    </row>
    <row r="561" spans="1:9" x14ac:dyDescent="0.25">
      <c r="E561" s="7"/>
      <c r="F561" t="s">
        <v>20</v>
      </c>
      <c r="G561" t="s">
        <v>21</v>
      </c>
      <c r="H561" t="str">
        <f>"19-0176 9/2019"</f>
        <v>19-0176 9/2019</v>
      </c>
      <c r="I561" t="str">
        <f>"INTREPID SURVEYING CORPORATION"</f>
        <v>INTREPID SURVEYING CORPORATION</v>
      </c>
    </row>
    <row r="562" spans="1:9" x14ac:dyDescent="0.25">
      <c r="A562" s="6">
        <v>43754</v>
      </c>
      <c r="B562" t="s">
        <v>26</v>
      </c>
      <c r="C562">
        <v>62294</v>
      </c>
      <c r="D562" t="s">
        <v>126</v>
      </c>
      <c r="E562" s="7">
        <v>1662.23</v>
      </c>
      <c r="F562" t="s">
        <v>20</v>
      </c>
      <c r="G562" t="s">
        <v>21</v>
      </c>
      <c r="H562" t="str">
        <f>"0859-002394235"</f>
        <v>0859-002394235</v>
      </c>
      <c r="I562" t="str">
        <f>"REPUBLIC SERVICES #859"</f>
        <v>REPUBLIC SERVICES #859</v>
      </c>
    </row>
    <row r="563" spans="1:9" x14ac:dyDescent="0.25">
      <c r="A563" s="6">
        <v>43754</v>
      </c>
      <c r="B563" t="s">
        <v>26</v>
      </c>
      <c r="C563">
        <v>62295</v>
      </c>
      <c r="D563" t="s">
        <v>80</v>
      </c>
      <c r="E563" s="7">
        <v>1500</v>
      </c>
      <c r="F563" t="s">
        <v>20</v>
      </c>
      <c r="G563" t="s">
        <v>21</v>
      </c>
      <c r="H563" t="str">
        <f>"1648-20191001-1"</f>
        <v>1648-20191001-1</v>
      </c>
      <c r="I563" t="str">
        <f>"LVWIFI.COM"</f>
        <v>LVWIFI.COM</v>
      </c>
    </row>
    <row r="564" spans="1:9" x14ac:dyDescent="0.25">
      <c r="E564" s="7"/>
      <c r="F564" t="s">
        <v>20</v>
      </c>
      <c r="G564" t="s">
        <v>21</v>
      </c>
      <c r="H564" t="str">
        <f>"2313-20191001-1"</f>
        <v>2313-20191001-1</v>
      </c>
      <c r="I564" t="str">
        <f>"LVWIFI.COM"</f>
        <v>LVWIFI.COM</v>
      </c>
    </row>
    <row r="565" spans="1:9" x14ac:dyDescent="0.25">
      <c r="A565" s="6">
        <v>43754</v>
      </c>
      <c r="B565" t="s">
        <v>26</v>
      </c>
      <c r="C565">
        <v>62296</v>
      </c>
      <c r="D565" t="s">
        <v>633</v>
      </c>
      <c r="E565" s="7">
        <v>2032.22</v>
      </c>
      <c r="F565" t="s">
        <v>20</v>
      </c>
      <c r="G565" t="s">
        <v>21</v>
      </c>
      <c r="H565" t="str">
        <f>"0096544416"</f>
        <v>0096544416</v>
      </c>
      <c r="I565" t="str">
        <f>"CINTAS FIRE 636525"</f>
        <v>CINTAS FIRE 636525</v>
      </c>
    </row>
    <row r="566" spans="1:9" x14ac:dyDescent="0.25">
      <c r="A566" s="6">
        <v>43754</v>
      </c>
      <c r="B566" t="s">
        <v>26</v>
      </c>
      <c r="C566">
        <v>62297</v>
      </c>
      <c r="D566" t="s">
        <v>139</v>
      </c>
      <c r="E566" s="7">
        <v>65</v>
      </c>
      <c r="F566" t="s">
        <v>20</v>
      </c>
      <c r="G566" t="s">
        <v>21</v>
      </c>
      <c r="H566" t="str">
        <f>"27496"</f>
        <v>27496</v>
      </c>
      <c r="I566" t="str">
        <f>"ANGEL FIRE &amp; SAFETY"</f>
        <v>ANGEL FIRE &amp; SAFETY</v>
      </c>
    </row>
    <row r="567" spans="1:9" x14ac:dyDescent="0.25">
      <c r="A567" s="6">
        <v>43754</v>
      </c>
      <c r="B567" t="s">
        <v>26</v>
      </c>
      <c r="C567">
        <v>62298</v>
      </c>
      <c r="D567" t="s">
        <v>191</v>
      </c>
      <c r="E567" s="7">
        <v>1582.12</v>
      </c>
      <c r="F567" t="s">
        <v>20</v>
      </c>
      <c r="G567" t="s">
        <v>21</v>
      </c>
      <c r="H567" t="str">
        <f>"INV06-007102"</f>
        <v>INV06-007102</v>
      </c>
      <c r="I567" t="str">
        <f>"MUNISERVICES  LLC"</f>
        <v>MUNISERVICES  LLC</v>
      </c>
    </row>
    <row r="568" spans="1:9" x14ac:dyDescent="0.25">
      <c r="A568" s="6">
        <v>43754</v>
      </c>
      <c r="B568" t="s">
        <v>26</v>
      </c>
      <c r="C568">
        <v>62299</v>
      </c>
      <c r="D568" t="s">
        <v>31</v>
      </c>
      <c r="E568" s="7">
        <v>4790</v>
      </c>
      <c r="F568" t="s">
        <v>20</v>
      </c>
      <c r="G568" t="s">
        <v>21</v>
      </c>
      <c r="H568" t="str">
        <f>"2019227"</f>
        <v>2019227</v>
      </c>
      <c r="I568" t="str">
        <f>"THE LAW OFFICE OF TOM CALDWELL"</f>
        <v>THE LAW OFFICE OF TOM CALDWELL</v>
      </c>
    </row>
    <row r="569" spans="1:9" x14ac:dyDescent="0.25">
      <c r="A569" s="6">
        <v>43754</v>
      </c>
      <c r="B569" t="s">
        <v>26</v>
      </c>
      <c r="C569">
        <v>62300</v>
      </c>
      <c r="D569" t="s">
        <v>98</v>
      </c>
      <c r="E569" s="7">
        <v>3534.5</v>
      </c>
      <c r="F569" t="s">
        <v>20</v>
      </c>
      <c r="G569" t="s">
        <v>21</v>
      </c>
      <c r="H569" t="str">
        <f>"SEPTEMBE 2019"</f>
        <v>SEPTEMBE 2019</v>
      </c>
      <c r="I569" t="str">
        <f>"DEARBORN LIFE INSURANCE COMPAN"</f>
        <v>DEARBORN LIFE INSURANCE COMPAN</v>
      </c>
    </row>
    <row r="570" spans="1:9" x14ac:dyDescent="0.25">
      <c r="A570" s="6">
        <v>43754</v>
      </c>
      <c r="B570" t="s">
        <v>26</v>
      </c>
      <c r="C570">
        <v>62301</v>
      </c>
      <c r="D570" t="s">
        <v>85</v>
      </c>
      <c r="E570" s="7">
        <v>878.69</v>
      </c>
      <c r="F570" t="s">
        <v>20</v>
      </c>
      <c r="G570" t="s">
        <v>21</v>
      </c>
      <c r="H570" t="str">
        <f>"8303937070 9/2019"</f>
        <v>8303937070 9/2019</v>
      </c>
      <c r="I570" t="str">
        <f>"FRONTIER"</f>
        <v>FRONTIER</v>
      </c>
    </row>
    <row r="571" spans="1:9" x14ac:dyDescent="0.25">
      <c r="E571" s="7"/>
      <c r="F571" t="s">
        <v>20</v>
      </c>
      <c r="G571" t="s">
        <v>21</v>
      </c>
      <c r="H571" t="str">
        <f>"OCT. 2019 3933108"</f>
        <v>OCT. 2019 3933108</v>
      </c>
      <c r="I571" t="str">
        <f>"FRONTIER"</f>
        <v>FRONTIER</v>
      </c>
    </row>
    <row r="572" spans="1:9" x14ac:dyDescent="0.25">
      <c r="E572" s="7"/>
      <c r="F572" t="s">
        <v>20</v>
      </c>
      <c r="G572" t="s">
        <v>21</v>
      </c>
      <c r="H572" t="str">
        <f>"OCT. 2019 9399791"</f>
        <v>OCT. 2019 9399791</v>
      </c>
      <c r="I572" t="str">
        <f>"FRONTIER"</f>
        <v>FRONTIER</v>
      </c>
    </row>
    <row r="573" spans="1:9" x14ac:dyDescent="0.25">
      <c r="E573" s="7"/>
      <c r="F573" t="s">
        <v>20</v>
      </c>
      <c r="G573" t="s">
        <v>21</v>
      </c>
      <c r="H573" t="str">
        <f>"OCT.2019 3930579"</f>
        <v>OCT.2019 3930579</v>
      </c>
      <c r="I573" t="str">
        <f>"FRONTIER"</f>
        <v>FRONTIER</v>
      </c>
    </row>
    <row r="574" spans="1:9" x14ac:dyDescent="0.25">
      <c r="A574" s="6">
        <v>43754</v>
      </c>
      <c r="B574" t="s">
        <v>26</v>
      </c>
      <c r="C574">
        <v>62302</v>
      </c>
      <c r="D574" t="s">
        <v>326</v>
      </c>
      <c r="E574" s="7">
        <v>35</v>
      </c>
      <c r="F574" t="s">
        <v>20</v>
      </c>
      <c r="G574" t="s">
        <v>21</v>
      </c>
      <c r="H574" t="str">
        <f>"20470403"</f>
        <v>20470403</v>
      </c>
      <c r="I574" t="str">
        <f>"MATHESON TRI-GAS INC"</f>
        <v>MATHESON TRI-GAS INC</v>
      </c>
    </row>
    <row r="575" spans="1:9" x14ac:dyDescent="0.25">
      <c r="A575" s="6">
        <v>43754</v>
      </c>
      <c r="B575" t="s">
        <v>26</v>
      </c>
      <c r="C575">
        <v>62303</v>
      </c>
      <c r="D575" t="s">
        <v>327</v>
      </c>
      <c r="E575" s="7">
        <v>278.27</v>
      </c>
      <c r="F575" t="s">
        <v>20</v>
      </c>
      <c r="G575" t="s">
        <v>21</v>
      </c>
      <c r="H575" t="str">
        <f>"1343"</f>
        <v>1343</v>
      </c>
      <c r="I575" t="str">
        <f>"MOY'S WATER WELL SERVICES"</f>
        <v>MOY'S WATER WELL SERVICES</v>
      </c>
    </row>
    <row r="576" spans="1:9" x14ac:dyDescent="0.25">
      <c r="E576" s="7"/>
      <c r="F576" t="s">
        <v>20</v>
      </c>
      <c r="G576" t="s">
        <v>21</v>
      </c>
      <c r="H576" t="str">
        <f>"1425"</f>
        <v>1425</v>
      </c>
      <c r="I576" t="str">
        <f>"MOY'S WATER WELL SERVICES"</f>
        <v>MOY'S WATER WELL SERVICES</v>
      </c>
    </row>
    <row r="577" spans="1:9" x14ac:dyDescent="0.25">
      <c r="A577" s="6">
        <v>43754</v>
      </c>
      <c r="B577" t="s">
        <v>26</v>
      </c>
      <c r="C577">
        <v>62304</v>
      </c>
      <c r="D577" t="s">
        <v>345</v>
      </c>
      <c r="E577" s="7">
        <v>308</v>
      </c>
      <c r="F577" t="s">
        <v>20</v>
      </c>
      <c r="G577" t="s">
        <v>21</v>
      </c>
      <c r="H577" t="str">
        <f>"10/14/19"</f>
        <v>10/14/19</v>
      </c>
      <c r="I577" t="str">
        <f>"MICHAEL ISAAC MARTINEZ"</f>
        <v>MICHAEL ISAAC MARTINEZ</v>
      </c>
    </row>
    <row r="578" spans="1:9" x14ac:dyDescent="0.25">
      <c r="A578" s="6">
        <v>43754</v>
      </c>
      <c r="B578" t="s">
        <v>26</v>
      </c>
      <c r="C578">
        <v>62305</v>
      </c>
      <c r="D578" t="s">
        <v>452</v>
      </c>
      <c r="E578" s="7">
        <v>80</v>
      </c>
      <c r="F578" t="s">
        <v>20</v>
      </c>
      <c r="G578" t="s">
        <v>21</v>
      </c>
      <c r="H578" t="str">
        <f>"10/14/2019"</f>
        <v>10/14/2019</v>
      </c>
      <c r="I578" t="str">
        <f>"DESIREE PEREZ"</f>
        <v>DESIREE PEREZ</v>
      </c>
    </row>
    <row r="579" spans="1:9" x14ac:dyDescent="0.25">
      <c r="A579" s="6">
        <v>43754</v>
      </c>
      <c r="B579" t="s">
        <v>26</v>
      </c>
      <c r="C579">
        <v>62306</v>
      </c>
      <c r="D579" t="s">
        <v>48</v>
      </c>
      <c r="E579" s="7">
        <v>2140.7399999999998</v>
      </c>
      <c r="F579" t="s">
        <v>20</v>
      </c>
      <c r="G579" t="s">
        <v>21</v>
      </c>
      <c r="H579" t="str">
        <f>"1736"</f>
        <v>1736</v>
      </c>
      <c r="I579" t="str">
        <f>"RANDY HOLLAR  LLC"</f>
        <v>RANDY HOLLAR  LLC</v>
      </c>
    </row>
    <row r="580" spans="1:9" x14ac:dyDescent="0.25">
      <c r="A580" s="6">
        <v>43754</v>
      </c>
      <c r="B580" t="s">
        <v>26</v>
      </c>
      <c r="C580">
        <v>62307</v>
      </c>
      <c r="D580" t="s">
        <v>398</v>
      </c>
      <c r="E580" s="7">
        <v>55</v>
      </c>
      <c r="F580" t="s">
        <v>20</v>
      </c>
      <c r="G580" t="s">
        <v>21</v>
      </c>
      <c r="H580" t="str">
        <f>"20191008"</f>
        <v>20191008</v>
      </c>
      <c r="I580" t="str">
        <f>"INTERCEPTOR TECHNOLOGY GROUP L"</f>
        <v>INTERCEPTOR TECHNOLOGY GROUP L</v>
      </c>
    </row>
    <row r="581" spans="1:9" x14ac:dyDescent="0.25">
      <c r="A581" s="6">
        <v>43754</v>
      </c>
      <c r="B581" t="s">
        <v>26</v>
      </c>
      <c r="C581">
        <v>62308</v>
      </c>
      <c r="D581" t="s">
        <v>443</v>
      </c>
      <c r="E581" s="7">
        <v>4116.67</v>
      </c>
      <c r="F581" t="s">
        <v>20</v>
      </c>
      <c r="G581" t="s">
        <v>21</v>
      </c>
      <c r="H581" t="str">
        <f>"10602"</f>
        <v>10602</v>
      </c>
      <c r="I581" t="str">
        <f>"RIOJAS TURF CARE  LLC"</f>
        <v>RIOJAS TURF CARE  LLC</v>
      </c>
    </row>
    <row r="582" spans="1:9" x14ac:dyDescent="0.25">
      <c r="A582" s="6">
        <v>43754</v>
      </c>
      <c r="B582" t="s">
        <v>26</v>
      </c>
      <c r="C582">
        <v>62309</v>
      </c>
      <c r="D582" t="s">
        <v>528</v>
      </c>
      <c r="E582" s="7">
        <v>123.66</v>
      </c>
      <c r="F582" t="s">
        <v>20</v>
      </c>
      <c r="G582" t="s">
        <v>21</v>
      </c>
      <c r="H582" t="str">
        <f>"10072102"</f>
        <v>10072102</v>
      </c>
      <c r="I582" t="str">
        <f>"PROSTAR SERVICES INC"</f>
        <v>PROSTAR SERVICES INC</v>
      </c>
    </row>
    <row r="583" spans="1:9" x14ac:dyDescent="0.25">
      <c r="A583" s="6">
        <v>43754</v>
      </c>
      <c r="B583" t="s">
        <v>26</v>
      </c>
      <c r="C583">
        <v>62310</v>
      </c>
      <c r="D583" t="s">
        <v>554</v>
      </c>
      <c r="E583" s="7">
        <v>74.95</v>
      </c>
      <c r="F583" t="s">
        <v>20</v>
      </c>
      <c r="G583" t="s">
        <v>21</v>
      </c>
      <c r="H583" t="str">
        <f>"AA48217"</f>
        <v>AA48217</v>
      </c>
      <c r="I583" t="str">
        <f>"TEXAS WIRED MUSIC"</f>
        <v>TEXAS WIRED MUSIC</v>
      </c>
    </row>
    <row r="584" spans="1:9" x14ac:dyDescent="0.25">
      <c r="A584" s="6">
        <v>43754</v>
      </c>
      <c r="B584" t="s">
        <v>26</v>
      </c>
      <c r="C584">
        <v>62311</v>
      </c>
      <c r="D584" t="s">
        <v>644</v>
      </c>
      <c r="E584" s="7">
        <v>592.44000000000005</v>
      </c>
      <c r="F584" t="s">
        <v>20</v>
      </c>
      <c r="G584" t="s">
        <v>21</v>
      </c>
      <c r="H584" t="str">
        <f>"8213370265"</f>
        <v>8213370265</v>
      </c>
      <c r="I584" t="str">
        <f t="shared" ref="I584:I590" si="9">"UNIFIRST CORPORATION"</f>
        <v>UNIFIRST CORPORATION</v>
      </c>
    </row>
    <row r="585" spans="1:9" x14ac:dyDescent="0.25">
      <c r="E585" s="7"/>
      <c r="F585" t="s">
        <v>20</v>
      </c>
      <c r="G585" t="s">
        <v>21</v>
      </c>
      <c r="H585" t="str">
        <f>"8213370266"</f>
        <v>8213370266</v>
      </c>
      <c r="I585" t="str">
        <f t="shared" si="9"/>
        <v>UNIFIRST CORPORATION</v>
      </c>
    </row>
    <row r="586" spans="1:9" x14ac:dyDescent="0.25">
      <c r="E586" s="7"/>
      <c r="F586" t="s">
        <v>20</v>
      </c>
      <c r="G586" t="s">
        <v>21</v>
      </c>
      <c r="H586" t="str">
        <f>"8213370267"</f>
        <v>8213370267</v>
      </c>
      <c r="I586" t="str">
        <f t="shared" si="9"/>
        <v>UNIFIRST CORPORATION</v>
      </c>
    </row>
    <row r="587" spans="1:9" x14ac:dyDescent="0.25">
      <c r="E587" s="7"/>
      <c r="F587" t="s">
        <v>20</v>
      </c>
      <c r="G587" t="s">
        <v>21</v>
      </c>
      <c r="H587" t="str">
        <f>"8213370268"</f>
        <v>8213370268</v>
      </c>
      <c r="I587" t="str">
        <f t="shared" si="9"/>
        <v>UNIFIRST CORPORATION</v>
      </c>
    </row>
    <row r="588" spans="1:9" x14ac:dyDescent="0.25">
      <c r="E588" s="7"/>
      <c r="F588" t="s">
        <v>20</v>
      </c>
      <c r="G588" t="s">
        <v>21</v>
      </c>
      <c r="H588" t="str">
        <f>"8213370269"</f>
        <v>8213370269</v>
      </c>
      <c r="I588" t="str">
        <f t="shared" si="9"/>
        <v>UNIFIRST CORPORATION</v>
      </c>
    </row>
    <row r="589" spans="1:9" x14ac:dyDescent="0.25">
      <c r="E589" s="7"/>
      <c r="F589" t="s">
        <v>20</v>
      </c>
      <c r="G589" t="s">
        <v>21</v>
      </c>
      <c r="H589" t="str">
        <f>"8213370270"</f>
        <v>8213370270</v>
      </c>
      <c r="I589" t="str">
        <f t="shared" si="9"/>
        <v>UNIFIRST CORPORATION</v>
      </c>
    </row>
    <row r="590" spans="1:9" x14ac:dyDescent="0.25">
      <c r="E590" s="7"/>
      <c r="F590" t="s">
        <v>20</v>
      </c>
      <c r="G590" t="s">
        <v>21</v>
      </c>
      <c r="H590" t="str">
        <f>"8213373039"</f>
        <v>8213373039</v>
      </c>
      <c r="I590" t="str">
        <f t="shared" si="9"/>
        <v>UNIFIRST CORPORATION</v>
      </c>
    </row>
    <row r="591" spans="1:9" x14ac:dyDescent="0.25">
      <c r="A591" s="6">
        <v>43754</v>
      </c>
      <c r="B591" t="s">
        <v>26</v>
      </c>
      <c r="C591">
        <v>62313</v>
      </c>
      <c r="D591" t="s">
        <v>716</v>
      </c>
      <c r="E591" s="7">
        <v>240</v>
      </c>
      <c r="F591" t="s">
        <v>20</v>
      </c>
      <c r="G591" t="s">
        <v>21</v>
      </c>
      <c r="H591" t="str">
        <f>"10/14/2019"</f>
        <v>10/14/2019</v>
      </c>
      <c r="I591" t="str">
        <f>"ALFREDO SENDEJO"</f>
        <v>ALFREDO SENDEJO</v>
      </c>
    </row>
    <row r="592" spans="1:9" x14ac:dyDescent="0.25">
      <c r="A592" s="6">
        <v>43754</v>
      </c>
      <c r="B592" t="s">
        <v>26</v>
      </c>
      <c r="C592">
        <v>62314</v>
      </c>
      <c r="D592" t="s">
        <v>752</v>
      </c>
      <c r="E592" s="7">
        <v>80</v>
      </c>
      <c r="F592" t="s">
        <v>20</v>
      </c>
      <c r="G592" t="s">
        <v>21</v>
      </c>
      <c r="H592" t="str">
        <f>"10/14/2019"</f>
        <v>10/14/2019</v>
      </c>
      <c r="I592" t="str">
        <f>"BLANCA PEREZ"</f>
        <v>BLANCA PEREZ</v>
      </c>
    </row>
    <row r="593" spans="1:9" x14ac:dyDescent="0.25">
      <c r="A593" s="6">
        <v>43754</v>
      </c>
      <c r="B593" t="s">
        <v>26</v>
      </c>
      <c r="C593">
        <v>62315</v>
      </c>
      <c r="D593" t="s">
        <v>828</v>
      </c>
      <c r="E593" s="7">
        <v>2324.16</v>
      </c>
      <c r="F593" t="s">
        <v>20</v>
      </c>
      <c r="G593" t="s">
        <v>21</v>
      </c>
      <c r="H593" t="str">
        <f>"1087797504"</f>
        <v>1087797504</v>
      </c>
      <c r="I593" t="str">
        <f>"ADOBE RENEWAL"</f>
        <v>ADOBE RENEWAL</v>
      </c>
    </row>
    <row r="594" spans="1:9" x14ac:dyDescent="0.25">
      <c r="A594" s="6">
        <v>43754</v>
      </c>
      <c r="B594" t="s">
        <v>26</v>
      </c>
      <c r="C594">
        <v>62316</v>
      </c>
      <c r="D594" t="s">
        <v>824</v>
      </c>
      <c r="E594" s="7">
        <v>80</v>
      </c>
      <c r="F594" t="s">
        <v>20</v>
      </c>
      <c r="G594" t="s">
        <v>21</v>
      </c>
      <c r="H594" t="str">
        <f>"10/14/2019"</f>
        <v>10/14/2019</v>
      </c>
      <c r="I594" t="str">
        <f>"MALLORY R. NELSON"</f>
        <v>MALLORY R. NELSON</v>
      </c>
    </row>
    <row r="595" spans="1:9" x14ac:dyDescent="0.25">
      <c r="A595" s="6">
        <v>43754</v>
      </c>
      <c r="B595" t="s">
        <v>26</v>
      </c>
      <c r="C595">
        <v>62317</v>
      </c>
      <c r="D595" t="s">
        <v>829</v>
      </c>
      <c r="E595" s="7">
        <v>105</v>
      </c>
      <c r="F595" t="s">
        <v>20</v>
      </c>
      <c r="G595" t="s">
        <v>21</v>
      </c>
      <c r="H595" t="str">
        <f>"SOFTBALL 10/18/19"</f>
        <v>SOFTBALL 10/18/19</v>
      </c>
      <c r="I595" t="str">
        <f>"MARCUS A OLIVO"</f>
        <v>MARCUS A OLIVO</v>
      </c>
    </row>
    <row r="596" spans="1:9" x14ac:dyDescent="0.25">
      <c r="A596" s="6">
        <v>43754</v>
      </c>
      <c r="B596" t="s">
        <v>26</v>
      </c>
      <c r="C596">
        <v>62318</v>
      </c>
      <c r="D596" t="s">
        <v>830</v>
      </c>
      <c r="E596" s="7">
        <v>235</v>
      </c>
      <c r="F596" t="s">
        <v>20</v>
      </c>
      <c r="G596" t="s">
        <v>21</v>
      </c>
      <c r="H596" t="str">
        <f>"308179 9/30 ZUNIGA"</f>
        <v>308179 9/30 ZUNIGA</v>
      </c>
      <c r="I596" t="str">
        <f>"CITY OF DENTON"</f>
        <v>CITY OF DENTON</v>
      </c>
    </row>
    <row r="597" spans="1:9" x14ac:dyDescent="0.25">
      <c r="A597" s="6">
        <v>43754</v>
      </c>
      <c r="B597" t="s">
        <v>26</v>
      </c>
      <c r="C597">
        <v>62319</v>
      </c>
      <c r="D597" t="s">
        <v>109</v>
      </c>
      <c r="E597" s="7">
        <v>1428</v>
      </c>
      <c r="F597" t="s">
        <v>20</v>
      </c>
      <c r="G597" t="s">
        <v>21</v>
      </c>
      <c r="H597" t="str">
        <f>"252663"</f>
        <v>252663</v>
      </c>
      <c r="I597" t="str">
        <f>"LEADSONLINE"</f>
        <v>LEADSONLINE</v>
      </c>
    </row>
    <row r="598" spans="1:9" x14ac:dyDescent="0.25">
      <c r="A598" s="6">
        <v>43754</v>
      </c>
      <c r="B598" t="s">
        <v>26</v>
      </c>
      <c r="C598">
        <v>62320</v>
      </c>
      <c r="D598" t="s">
        <v>92</v>
      </c>
      <c r="E598" s="7">
        <v>38420.94</v>
      </c>
      <c r="F598" t="s">
        <v>20</v>
      </c>
      <c r="G598" t="s">
        <v>21</v>
      </c>
      <c r="H598" t="str">
        <f>"SEPT. 2019"</f>
        <v>SEPT. 2019</v>
      </c>
      <c r="I598" t="str">
        <f>"TEXAS MUNICIPAL RETIREMENT SYS"</f>
        <v>TEXAS MUNICIPAL RETIREMENT SYS</v>
      </c>
    </row>
    <row r="599" spans="1:9" x14ac:dyDescent="0.25">
      <c r="A599" s="6">
        <v>43754</v>
      </c>
      <c r="B599" t="s">
        <v>26</v>
      </c>
      <c r="C599">
        <v>62321</v>
      </c>
      <c r="D599" t="s">
        <v>481</v>
      </c>
      <c r="E599" s="7">
        <v>269.97000000000003</v>
      </c>
      <c r="F599" t="s">
        <v>20</v>
      </c>
      <c r="G599" t="s">
        <v>21</v>
      </c>
      <c r="H599" t="str">
        <f>"100219124922443"</f>
        <v>100219124922443</v>
      </c>
      <c r="I599" t="str">
        <f>"BIKE SUPPLIES"</f>
        <v>BIKE SUPPLIES</v>
      </c>
    </row>
    <row r="600" spans="1:9" x14ac:dyDescent="0.25">
      <c r="A600" s="6">
        <v>43754</v>
      </c>
      <c r="B600" t="s">
        <v>26</v>
      </c>
      <c r="C600">
        <v>62322</v>
      </c>
      <c r="D600" t="s">
        <v>97</v>
      </c>
      <c r="E600" s="7">
        <v>37004.589999999997</v>
      </c>
      <c r="F600" t="s">
        <v>20</v>
      </c>
      <c r="G600" t="s">
        <v>21</v>
      </c>
      <c r="H600" t="str">
        <f>"OCT.  2019"</f>
        <v>OCT.  2019</v>
      </c>
      <c r="I600" t="str">
        <f>"HEALTH CARE SERVICE CORPORATIO"</f>
        <v>HEALTH CARE SERVICE CORPORATIO</v>
      </c>
    </row>
    <row r="601" spans="1:9" x14ac:dyDescent="0.25">
      <c r="A601" s="6">
        <v>43754</v>
      </c>
      <c r="B601" t="s">
        <v>26</v>
      </c>
      <c r="C601">
        <v>62323</v>
      </c>
      <c r="D601" t="s">
        <v>134</v>
      </c>
      <c r="E601" s="7">
        <v>2308.11</v>
      </c>
      <c r="F601" t="s">
        <v>20</v>
      </c>
      <c r="G601" t="s">
        <v>21</v>
      </c>
      <c r="H601" t="str">
        <f>"2017-118.16"</f>
        <v>2017-118.16</v>
      </c>
      <c r="I601" t="str">
        <f>"MOODY ENGINEERING GROUP INC."</f>
        <v>MOODY ENGINEERING GROUP INC.</v>
      </c>
    </row>
    <row r="602" spans="1:9" x14ac:dyDescent="0.25">
      <c r="E602" s="7"/>
      <c r="F602" t="s">
        <v>20</v>
      </c>
      <c r="G602" t="s">
        <v>21</v>
      </c>
      <c r="H602" t="str">
        <f>"2017-118.17"</f>
        <v>2017-118.17</v>
      </c>
      <c r="I602" t="str">
        <f>"MOODY ENGINEERING GROUP INC."</f>
        <v>MOODY ENGINEERING GROUP INC.</v>
      </c>
    </row>
    <row r="603" spans="1:9" x14ac:dyDescent="0.25">
      <c r="E603" s="7"/>
      <c r="F603" t="s">
        <v>20</v>
      </c>
      <c r="G603" t="s">
        <v>21</v>
      </c>
      <c r="H603" t="str">
        <f>"2017-118.19"</f>
        <v>2017-118.19</v>
      </c>
      <c r="I603" t="str">
        <f>"MOODY ENGINEERING GROUP INC."</f>
        <v>MOODY ENGINEERING GROUP INC.</v>
      </c>
    </row>
    <row r="604" spans="1:9" x14ac:dyDescent="0.25">
      <c r="E604" s="7"/>
      <c r="F604" t="s">
        <v>20</v>
      </c>
      <c r="G604" t="s">
        <v>21</v>
      </c>
      <c r="H604" t="str">
        <f>"2018-218.15"</f>
        <v>2018-218.15</v>
      </c>
      <c r="I604" t="str">
        <f>"MOODY ENGINEERING GROUP INC."</f>
        <v>MOODY ENGINEERING GROUP INC.</v>
      </c>
    </row>
    <row r="605" spans="1:9" x14ac:dyDescent="0.25">
      <c r="A605" s="6">
        <v>43761</v>
      </c>
      <c r="B605" t="s">
        <v>26</v>
      </c>
      <c r="C605">
        <v>62332</v>
      </c>
      <c r="D605" t="s">
        <v>51</v>
      </c>
      <c r="E605" s="7">
        <v>346.31</v>
      </c>
      <c r="F605" t="s">
        <v>20</v>
      </c>
      <c r="G605" t="s">
        <v>21</v>
      </c>
      <c r="H605" t="str">
        <f>"CLE201910228546"</f>
        <v>CLE201910228546</v>
      </c>
      <c r="I605" t="str">
        <f>"CLEAT ONLY DUES"</f>
        <v>CLEAT ONLY DUES</v>
      </c>
    </row>
    <row r="606" spans="1:9" x14ac:dyDescent="0.25">
      <c r="E606" s="7"/>
      <c r="F606" t="s">
        <v>20</v>
      </c>
      <c r="G606" t="s">
        <v>21</v>
      </c>
      <c r="H606" t="str">
        <f>"PDD201910228546"</f>
        <v>PDD201910228546</v>
      </c>
      <c r="I606" t="str">
        <f>"POLICE OFFICERS ASSOC DUES"</f>
        <v>POLICE OFFICERS ASSOC DUES</v>
      </c>
    </row>
    <row r="607" spans="1:9" x14ac:dyDescent="0.25">
      <c r="A607" s="6">
        <v>43761</v>
      </c>
      <c r="B607" t="s">
        <v>26</v>
      </c>
      <c r="C607">
        <v>62333</v>
      </c>
      <c r="D607" t="s">
        <v>90</v>
      </c>
      <c r="E607" s="7">
        <v>101.1</v>
      </c>
      <c r="F607" t="s">
        <v>20</v>
      </c>
      <c r="G607" t="s">
        <v>21</v>
      </c>
      <c r="H607" t="str">
        <f>"AFS201910228546"</f>
        <v>AFS201910228546</v>
      </c>
      <c r="I607" t="str">
        <f>"AFLAC STD"</f>
        <v>AFLAC STD</v>
      </c>
    </row>
    <row r="608" spans="1:9" x14ac:dyDescent="0.25">
      <c r="A608" s="6">
        <v>43761</v>
      </c>
      <c r="B608" t="s">
        <v>26</v>
      </c>
      <c r="C608">
        <v>62334</v>
      </c>
      <c r="D608" t="s">
        <v>52</v>
      </c>
      <c r="E608" s="7">
        <v>1056.98</v>
      </c>
      <c r="F608" t="s">
        <v>20</v>
      </c>
      <c r="G608" t="s">
        <v>21</v>
      </c>
      <c r="H608" t="str">
        <f>"CPS201910228546"</f>
        <v>CPS201910228546</v>
      </c>
      <c r="I608" t="str">
        <f>"G MENDOZA 00123012032010EM5054"</f>
        <v>G MENDOZA 00123012032010EM5054</v>
      </c>
    </row>
    <row r="609" spans="1:9" x14ac:dyDescent="0.25">
      <c r="E609" s="7"/>
      <c r="F609" t="s">
        <v>20</v>
      </c>
      <c r="G609" t="s">
        <v>21</v>
      </c>
      <c r="H609" t="str">
        <f>"CS 201910228546"</f>
        <v>CS 201910228546</v>
      </c>
      <c r="I609" t="str">
        <f>"CAUSE#98EM504113 PEGGY RIVAS"</f>
        <v>CAUSE#98EM504113 PEGGY RIVAS</v>
      </c>
    </row>
    <row r="610" spans="1:9" x14ac:dyDescent="0.25">
      <c r="E610" s="7"/>
      <c r="F610" t="s">
        <v>20</v>
      </c>
      <c r="G610" t="s">
        <v>21</v>
      </c>
      <c r="H610" t="str">
        <f>"CSJ201910228546"</f>
        <v>CSJ201910228546</v>
      </c>
      <c r="I610" t="str">
        <f>"CAUSE# 0010185272 MARIANN GUTI"</f>
        <v>CAUSE# 0010185272 MARIANN GUTI</v>
      </c>
    </row>
    <row r="611" spans="1:9" x14ac:dyDescent="0.25">
      <c r="A611" s="6">
        <v>43761</v>
      </c>
      <c r="B611" t="s">
        <v>26</v>
      </c>
      <c r="C611">
        <v>62335</v>
      </c>
      <c r="D611" t="s">
        <v>54</v>
      </c>
      <c r="E611" s="7">
        <v>1275.24</v>
      </c>
      <c r="F611" t="s">
        <v>20</v>
      </c>
      <c r="G611" t="s">
        <v>21</v>
      </c>
      <c r="H611" t="str">
        <f>"457201910228546"</f>
        <v>457201910228546</v>
      </c>
      <c r="I611" t="str">
        <f>"CASE # 180-60751 457B DEDUCT"</f>
        <v>CASE # 180-60751 457B DEDUCT</v>
      </c>
    </row>
    <row r="612" spans="1:9" x14ac:dyDescent="0.25">
      <c r="A612" s="6">
        <v>43761</v>
      </c>
      <c r="B612" t="s">
        <v>26</v>
      </c>
      <c r="C612">
        <v>62336</v>
      </c>
      <c r="D612" t="s">
        <v>102</v>
      </c>
      <c r="E612" s="7">
        <v>96.36</v>
      </c>
      <c r="F612" t="s">
        <v>20</v>
      </c>
      <c r="G612" t="s">
        <v>21</v>
      </c>
      <c r="H612" t="str">
        <f>"1120 D ST. OCT 201"</f>
        <v>1120 D ST. OCT 201</v>
      </c>
      <c r="I612" t="str">
        <f>"CENTERPOINT ENERGY ENTEX"</f>
        <v>CENTERPOINT ENERGY ENTEX</v>
      </c>
    </row>
    <row r="613" spans="1:9" x14ac:dyDescent="0.25">
      <c r="E613" s="7"/>
      <c r="F613" t="s">
        <v>20</v>
      </c>
      <c r="G613" t="s">
        <v>21</v>
      </c>
      <c r="H613" t="str">
        <f>"1200 1ST OCT 2019"</f>
        <v>1200 1ST OCT 2019</v>
      </c>
      <c r="I613" t="str">
        <f>"CENTERPOINT ENERGY ENTEX"</f>
        <v>CENTERPOINT ENERGY ENTEX</v>
      </c>
    </row>
    <row r="614" spans="1:9" x14ac:dyDescent="0.25">
      <c r="E614" s="7"/>
      <c r="F614" t="s">
        <v>20</v>
      </c>
      <c r="G614" t="s">
        <v>21</v>
      </c>
      <c r="H614" t="str">
        <f>"920 C. ST OCT 2019"</f>
        <v>920 C. ST OCT 2019</v>
      </c>
      <c r="I614" t="str">
        <f>"CENTERPOINT ENERGY ENTEX"</f>
        <v>CENTERPOINT ENERGY ENTEX</v>
      </c>
    </row>
    <row r="615" spans="1:9" x14ac:dyDescent="0.25">
      <c r="A615" s="6">
        <v>43761</v>
      </c>
      <c r="B615" t="s">
        <v>91</v>
      </c>
      <c r="C615">
        <v>62337</v>
      </c>
      <c r="D615" t="s">
        <v>57</v>
      </c>
      <c r="E615" s="7">
        <v>24741.56</v>
      </c>
      <c r="F615" t="s">
        <v>20</v>
      </c>
      <c r="G615" t="s">
        <v>21</v>
      </c>
      <c r="H615" t="str">
        <f>"11617 OCTOBER 2019"</f>
        <v>11617 OCTOBER 2019</v>
      </c>
      <c r="I615" t="str">
        <f>"F.E.L.P.S."</f>
        <v>F.E.L.P.S.</v>
      </c>
    </row>
    <row r="616" spans="1:9" x14ac:dyDescent="0.25">
      <c r="A616" s="6">
        <v>43761</v>
      </c>
      <c r="B616" t="s">
        <v>91</v>
      </c>
      <c r="C616">
        <v>62337</v>
      </c>
      <c r="D616" t="s">
        <v>57</v>
      </c>
      <c r="E616" s="7">
        <v>24741.56</v>
      </c>
      <c r="F616" t="s">
        <v>20</v>
      </c>
      <c r="G616" t="s">
        <v>93</v>
      </c>
      <c r="H616" t="str">
        <f>"CHECK"</f>
        <v>CHECK</v>
      </c>
      <c r="I616" t="str">
        <f>""</f>
        <v/>
      </c>
    </row>
    <row r="617" spans="1:9" x14ac:dyDescent="0.25">
      <c r="A617" s="6">
        <v>43761</v>
      </c>
      <c r="B617" t="s">
        <v>26</v>
      </c>
      <c r="C617">
        <v>62338</v>
      </c>
      <c r="D617" t="s">
        <v>106</v>
      </c>
      <c r="E617" s="7">
        <v>150</v>
      </c>
      <c r="F617" t="s">
        <v>20</v>
      </c>
      <c r="G617" t="s">
        <v>21</v>
      </c>
      <c r="H617" t="str">
        <f>"3RD QRT JULY-SEPT"</f>
        <v>3RD QRT JULY-SEPT</v>
      </c>
      <c r="I617" t="str">
        <f>"OMNIBASE SERVICES OF TEXAS"</f>
        <v>OMNIBASE SERVICES OF TEXAS</v>
      </c>
    </row>
    <row r="618" spans="1:9" x14ac:dyDescent="0.25">
      <c r="A618" s="6">
        <v>43761</v>
      </c>
      <c r="B618" t="s">
        <v>91</v>
      </c>
      <c r="C618">
        <v>62339</v>
      </c>
      <c r="D618" t="s">
        <v>90</v>
      </c>
      <c r="E618" s="7">
        <v>1714.4</v>
      </c>
      <c r="F618" t="s">
        <v>20</v>
      </c>
      <c r="G618" t="s">
        <v>21</v>
      </c>
      <c r="H618" t="str">
        <f>"ACA201910078545"</f>
        <v>ACA201910078545</v>
      </c>
      <c r="I618" t="str">
        <f>"AFLAC INSURANCE"</f>
        <v>AFLAC INSURANCE</v>
      </c>
    </row>
    <row r="619" spans="1:9" x14ac:dyDescent="0.25">
      <c r="E619" s="7"/>
      <c r="F619" t="s">
        <v>20</v>
      </c>
      <c r="G619" t="s">
        <v>21</v>
      </c>
      <c r="H619" t="str">
        <f>"ACA201910228546"</f>
        <v>ACA201910228546</v>
      </c>
      <c r="I619" t="str">
        <f>"AFLAC INSURANCE"</f>
        <v>AFLAC INSURANCE</v>
      </c>
    </row>
    <row r="620" spans="1:9" x14ac:dyDescent="0.25">
      <c r="E620" s="7"/>
      <c r="F620" t="s">
        <v>20</v>
      </c>
      <c r="G620" t="s">
        <v>21</v>
      </c>
      <c r="H620" t="str">
        <f>"AD2201910078545"</f>
        <v>AD2201910078545</v>
      </c>
      <c r="I620" t="str">
        <f>"AFLAC INSURANCE"</f>
        <v>AFLAC INSURANCE</v>
      </c>
    </row>
    <row r="621" spans="1:9" x14ac:dyDescent="0.25">
      <c r="E621" s="7"/>
      <c r="F621" t="s">
        <v>20</v>
      </c>
      <c r="G621" t="s">
        <v>21</v>
      </c>
      <c r="H621" t="str">
        <f>"AD2201910228546"</f>
        <v>AD2201910228546</v>
      </c>
      <c r="I621" t="str">
        <f>"AFLAC INSURANCE"</f>
        <v>AFLAC INSURANCE</v>
      </c>
    </row>
    <row r="622" spans="1:9" x14ac:dyDescent="0.25">
      <c r="E622" s="7"/>
      <c r="F622" t="s">
        <v>20</v>
      </c>
      <c r="G622" t="s">
        <v>21</v>
      </c>
      <c r="H622" t="str">
        <f>"ADR201910078545"</f>
        <v>ADR201910078545</v>
      </c>
      <c r="I622" t="str">
        <f>"INSURANCE"</f>
        <v>INSURANCE</v>
      </c>
    </row>
    <row r="623" spans="1:9" x14ac:dyDescent="0.25">
      <c r="E623" s="7"/>
      <c r="F623" t="s">
        <v>20</v>
      </c>
      <c r="G623" t="s">
        <v>21</v>
      </c>
      <c r="H623" t="str">
        <f>"ADR201910228546"</f>
        <v>ADR201910228546</v>
      </c>
      <c r="I623" t="str">
        <f>"INSURANCE"</f>
        <v>INSURANCE</v>
      </c>
    </row>
    <row r="624" spans="1:9" x14ac:dyDescent="0.25">
      <c r="E624" s="7"/>
      <c r="F624" t="s">
        <v>20</v>
      </c>
      <c r="G624" t="s">
        <v>21</v>
      </c>
      <c r="H624" t="str">
        <f>"AF1201910078545"</f>
        <v>AF1201910078545</v>
      </c>
      <c r="I624" t="str">
        <f t="shared" ref="I624:I629" si="10">"AFLAC INSURANCE"</f>
        <v>AFLAC INSURANCE</v>
      </c>
    </row>
    <row r="625" spans="1:9" x14ac:dyDescent="0.25">
      <c r="E625" s="7"/>
      <c r="F625" t="s">
        <v>20</v>
      </c>
      <c r="G625" t="s">
        <v>21</v>
      </c>
      <c r="H625" t="str">
        <f>"AF1201910228546"</f>
        <v>AF1201910228546</v>
      </c>
      <c r="I625" t="str">
        <f t="shared" si="10"/>
        <v>AFLAC INSURANCE</v>
      </c>
    </row>
    <row r="626" spans="1:9" x14ac:dyDescent="0.25">
      <c r="E626" s="7"/>
      <c r="F626" t="s">
        <v>20</v>
      </c>
      <c r="G626" t="s">
        <v>21</v>
      </c>
      <c r="H626" t="str">
        <f>"ASP201910078545"</f>
        <v>ASP201910078545</v>
      </c>
      <c r="I626" t="str">
        <f t="shared" si="10"/>
        <v>AFLAC INSURANCE</v>
      </c>
    </row>
    <row r="627" spans="1:9" x14ac:dyDescent="0.25">
      <c r="E627" s="7"/>
      <c r="F627" t="s">
        <v>20</v>
      </c>
      <c r="G627" t="s">
        <v>21</v>
      </c>
      <c r="H627" t="str">
        <f>"ASP201910228546"</f>
        <v>ASP201910228546</v>
      </c>
      <c r="I627" t="str">
        <f t="shared" si="10"/>
        <v>AFLAC INSURANCE</v>
      </c>
    </row>
    <row r="628" spans="1:9" x14ac:dyDescent="0.25">
      <c r="E628" s="7"/>
      <c r="F628" t="s">
        <v>20</v>
      </c>
      <c r="G628" t="s">
        <v>21</v>
      </c>
      <c r="H628" t="str">
        <f>"HCO201910078545"</f>
        <v>HCO201910078545</v>
      </c>
      <c r="I628" t="str">
        <f t="shared" si="10"/>
        <v>AFLAC INSURANCE</v>
      </c>
    </row>
    <row r="629" spans="1:9" x14ac:dyDescent="0.25">
      <c r="E629" s="7"/>
      <c r="F629" t="s">
        <v>20</v>
      </c>
      <c r="G629" t="s">
        <v>21</v>
      </c>
      <c r="H629" t="str">
        <f>"HCO201910228546"</f>
        <v>HCO201910228546</v>
      </c>
      <c r="I629" t="str">
        <f t="shared" si="10"/>
        <v>AFLAC INSURANCE</v>
      </c>
    </row>
    <row r="630" spans="1:9" x14ac:dyDescent="0.25">
      <c r="A630" s="6">
        <v>43761</v>
      </c>
      <c r="B630" t="s">
        <v>91</v>
      </c>
      <c r="C630">
        <v>62339</v>
      </c>
      <c r="D630" t="s">
        <v>90</v>
      </c>
      <c r="E630" s="7">
        <v>1714.4</v>
      </c>
      <c r="F630" t="s">
        <v>20</v>
      </c>
      <c r="G630" t="s">
        <v>93</v>
      </c>
      <c r="H630" t="str">
        <f>"CHECK"</f>
        <v>CHECK</v>
      </c>
      <c r="I630" t="str">
        <f>""</f>
        <v/>
      </c>
    </row>
    <row r="631" spans="1:9" x14ac:dyDescent="0.25">
      <c r="A631" s="6">
        <v>43761</v>
      </c>
      <c r="B631" t="s">
        <v>26</v>
      </c>
      <c r="C631">
        <v>62344</v>
      </c>
      <c r="D631" t="s">
        <v>273</v>
      </c>
      <c r="E631" s="7">
        <v>3921.87</v>
      </c>
      <c r="F631" t="s">
        <v>20</v>
      </c>
      <c r="G631" t="s">
        <v>21</v>
      </c>
      <c r="H631" t="str">
        <f>"5119-000090626"</f>
        <v>5119-000090626</v>
      </c>
      <c r="I631" t="str">
        <f>"REPUBLIC SERVICES TESSMAN ROAD"</f>
        <v>REPUBLIC SERVICES TESSMAN ROAD</v>
      </c>
    </row>
    <row r="632" spans="1:9" x14ac:dyDescent="0.25">
      <c r="A632" s="6">
        <v>43761</v>
      </c>
      <c r="B632" t="s">
        <v>91</v>
      </c>
      <c r="C632">
        <v>62345</v>
      </c>
      <c r="D632" t="s">
        <v>92</v>
      </c>
      <c r="E632" s="7">
        <v>41448.97</v>
      </c>
      <c r="F632" t="s">
        <v>20</v>
      </c>
      <c r="G632" t="s">
        <v>21</v>
      </c>
      <c r="H632" t="str">
        <f>"RET201910078545"</f>
        <v>RET201910078545</v>
      </c>
      <c r="I632" t="str">
        <f>"TMRS CITY OF FLORESVILLE"</f>
        <v>TMRS CITY OF FLORESVILLE</v>
      </c>
    </row>
    <row r="633" spans="1:9" x14ac:dyDescent="0.25">
      <c r="E633" s="7"/>
      <c r="F633" t="s">
        <v>20</v>
      </c>
      <c r="G633" t="s">
        <v>21</v>
      </c>
      <c r="H633" t="str">
        <f>"RET201910228546"</f>
        <v>RET201910228546</v>
      </c>
      <c r="I633" t="str">
        <f>"TMRS CITY OF FLORESVILLE"</f>
        <v>TMRS CITY OF FLORESVILLE</v>
      </c>
    </row>
    <row r="634" spans="1:9" x14ac:dyDescent="0.25">
      <c r="A634" s="6">
        <v>43761</v>
      </c>
      <c r="B634" t="s">
        <v>91</v>
      </c>
      <c r="C634">
        <v>62345</v>
      </c>
      <c r="D634" t="s">
        <v>92</v>
      </c>
      <c r="E634" s="7">
        <v>41448.97</v>
      </c>
      <c r="F634" t="s">
        <v>20</v>
      </c>
      <c r="G634" t="s">
        <v>93</v>
      </c>
      <c r="H634" t="str">
        <f>"CHECK"</f>
        <v>CHECK</v>
      </c>
      <c r="I634" t="str">
        <f>""</f>
        <v/>
      </c>
    </row>
    <row r="635" spans="1:9" x14ac:dyDescent="0.25">
      <c r="A635" s="6">
        <v>43761</v>
      </c>
      <c r="B635" t="s">
        <v>26</v>
      </c>
      <c r="C635">
        <v>62349</v>
      </c>
      <c r="D635" t="s">
        <v>63</v>
      </c>
      <c r="E635" s="7">
        <v>483.17</v>
      </c>
      <c r="F635" t="s">
        <v>20</v>
      </c>
      <c r="G635" t="s">
        <v>21</v>
      </c>
      <c r="H635" t="str">
        <f>"8404337764"</f>
        <v>8404337764</v>
      </c>
      <c r="I635" t="str">
        <f>"CINTAS CORPORATION"</f>
        <v>CINTAS CORPORATION</v>
      </c>
    </row>
    <row r="636" spans="1:9" x14ac:dyDescent="0.25">
      <c r="A636" s="6">
        <v>43761</v>
      </c>
      <c r="B636" t="s">
        <v>26</v>
      </c>
      <c r="C636">
        <v>62350</v>
      </c>
      <c r="D636" t="s">
        <v>368</v>
      </c>
      <c r="E636" s="7">
        <v>15000</v>
      </c>
      <c r="F636" t="s">
        <v>20</v>
      </c>
      <c r="G636" t="s">
        <v>21</v>
      </c>
      <c r="H636" t="str">
        <f>"1ST QRT FY 2020"</f>
        <v>1ST QRT FY 2020</v>
      </c>
      <c r="I636" t="str">
        <f>"FLORESVILLE FIRE DEPARTMENT"</f>
        <v>FLORESVILLE FIRE DEPARTMENT</v>
      </c>
    </row>
    <row r="637" spans="1:9" x14ac:dyDescent="0.25">
      <c r="A637" s="6">
        <v>43761</v>
      </c>
      <c r="B637" t="s">
        <v>91</v>
      </c>
      <c r="C637">
        <v>62351</v>
      </c>
      <c r="D637" t="s">
        <v>95</v>
      </c>
      <c r="E637" s="7">
        <v>59.98</v>
      </c>
      <c r="F637" t="s">
        <v>20</v>
      </c>
      <c r="G637" t="s">
        <v>21</v>
      </c>
      <c r="H637" t="str">
        <f>"LEA201910078545"</f>
        <v>LEA201910078545</v>
      </c>
      <c r="I637" t="str">
        <f>"INSURANCE"</f>
        <v>INSURANCE</v>
      </c>
    </row>
    <row r="638" spans="1:9" x14ac:dyDescent="0.25">
      <c r="E638" s="7"/>
      <c r="F638" t="s">
        <v>20</v>
      </c>
      <c r="G638" t="s">
        <v>21</v>
      </c>
      <c r="H638" t="str">
        <f>"LEA201910228546"</f>
        <v>LEA201910228546</v>
      </c>
      <c r="I638" t="str">
        <f>"INSURANCE"</f>
        <v>INSURANCE</v>
      </c>
    </row>
    <row r="639" spans="1:9" x14ac:dyDescent="0.25">
      <c r="A639" s="6">
        <v>43761</v>
      </c>
      <c r="B639" t="s">
        <v>91</v>
      </c>
      <c r="C639">
        <v>62351</v>
      </c>
      <c r="D639" t="s">
        <v>95</v>
      </c>
      <c r="E639" s="7">
        <v>59.98</v>
      </c>
      <c r="F639" t="s">
        <v>20</v>
      </c>
      <c r="G639" t="s">
        <v>93</v>
      </c>
      <c r="H639" t="str">
        <f>"CHECK"</f>
        <v>CHECK</v>
      </c>
      <c r="I639" t="str">
        <f>""</f>
        <v/>
      </c>
    </row>
    <row r="640" spans="1:9" x14ac:dyDescent="0.25">
      <c r="A640" s="6">
        <v>43761</v>
      </c>
      <c r="B640" t="s">
        <v>91</v>
      </c>
      <c r="C640">
        <v>62352</v>
      </c>
      <c r="D640" t="s">
        <v>96</v>
      </c>
      <c r="E640" s="7">
        <v>205.92</v>
      </c>
      <c r="F640" t="s">
        <v>20</v>
      </c>
      <c r="G640" t="s">
        <v>21</v>
      </c>
      <c r="H640" t="str">
        <f>"PPL201910078545"</f>
        <v>PPL201910078545</v>
      </c>
      <c r="I640" t="str">
        <f>"INSURANCE"</f>
        <v>INSURANCE</v>
      </c>
    </row>
    <row r="641" spans="1:9" x14ac:dyDescent="0.25">
      <c r="E641" s="7"/>
      <c r="F641" t="s">
        <v>20</v>
      </c>
      <c r="G641" t="s">
        <v>21</v>
      </c>
      <c r="H641" t="str">
        <f>"PPL201910228546"</f>
        <v>PPL201910228546</v>
      </c>
      <c r="I641" t="str">
        <f>"INSURANCE"</f>
        <v>INSURANCE</v>
      </c>
    </row>
    <row r="642" spans="1:9" x14ac:dyDescent="0.25">
      <c r="A642" s="6">
        <v>43761</v>
      </c>
      <c r="B642" t="s">
        <v>91</v>
      </c>
      <c r="C642">
        <v>62352</v>
      </c>
      <c r="D642" t="s">
        <v>96</v>
      </c>
      <c r="E642" s="7">
        <v>205.92</v>
      </c>
      <c r="F642" t="s">
        <v>20</v>
      </c>
      <c r="G642" t="s">
        <v>93</v>
      </c>
      <c r="H642" t="str">
        <f>"CHECK"</f>
        <v>CHECK</v>
      </c>
      <c r="I642" t="str">
        <f>""</f>
        <v/>
      </c>
    </row>
    <row r="643" spans="1:9" x14ac:dyDescent="0.25">
      <c r="A643" s="6">
        <v>43761</v>
      </c>
      <c r="B643" t="s">
        <v>26</v>
      </c>
      <c r="C643">
        <v>62353</v>
      </c>
      <c r="D643" t="s">
        <v>126</v>
      </c>
      <c r="E643" s="7">
        <v>84641.19</v>
      </c>
      <c r="F643" t="s">
        <v>20</v>
      </c>
      <c r="G643" t="s">
        <v>21</v>
      </c>
      <c r="H643" t="str">
        <f>"0859-002398678"</f>
        <v>0859-002398678</v>
      </c>
      <c r="I643" t="str">
        <f>"REPUBLIC SERVICES #859"</f>
        <v>REPUBLIC SERVICES #859</v>
      </c>
    </row>
    <row r="644" spans="1:9" x14ac:dyDescent="0.25">
      <c r="A644" s="6">
        <v>43761</v>
      </c>
      <c r="B644" t="s">
        <v>26</v>
      </c>
      <c r="C644">
        <v>62354</v>
      </c>
      <c r="D644" t="s">
        <v>81</v>
      </c>
      <c r="E644" s="7">
        <v>230.64</v>
      </c>
      <c r="F644" t="s">
        <v>20</v>
      </c>
      <c r="G644" t="s">
        <v>21</v>
      </c>
      <c r="H644" t="str">
        <f>"A.MONTOYA  10/2019"</f>
        <v>A.MONTOYA  10/2019</v>
      </c>
      <c r="I644" t="str">
        <f>"CITY OF FLORESVILLE -PETTY CAS"</f>
        <v>CITY OF FLORESVILLE -PETTY CAS</v>
      </c>
    </row>
    <row r="645" spans="1:9" x14ac:dyDescent="0.25">
      <c r="A645" s="6">
        <v>43761</v>
      </c>
      <c r="B645" t="s">
        <v>91</v>
      </c>
      <c r="C645">
        <v>62355</v>
      </c>
      <c r="D645" t="s">
        <v>97</v>
      </c>
      <c r="E645" s="7">
        <v>72077.3</v>
      </c>
      <c r="F645" t="s">
        <v>20</v>
      </c>
      <c r="G645" t="s">
        <v>21</v>
      </c>
      <c r="H645" t="str">
        <f>"DEN201910078545"</f>
        <v>DEN201910078545</v>
      </c>
      <c r="I645" t="str">
        <f>"DENTAL INSURANCE"</f>
        <v>DENTAL INSURANCE</v>
      </c>
    </row>
    <row r="646" spans="1:9" x14ac:dyDescent="0.25">
      <c r="E646" s="7"/>
      <c r="F646" t="s">
        <v>20</v>
      </c>
      <c r="G646" t="s">
        <v>21</v>
      </c>
      <c r="H646" t="str">
        <f>"DEN201910228546"</f>
        <v>DEN201910228546</v>
      </c>
      <c r="I646" t="str">
        <f>"DENTAL INSURANCE"</f>
        <v>DENTAL INSURANCE</v>
      </c>
    </row>
    <row r="647" spans="1:9" x14ac:dyDescent="0.25">
      <c r="E647" s="7"/>
      <c r="F647" t="s">
        <v>20</v>
      </c>
      <c r="G647" t="s">
        <v>21</v>
      </c>
      <c r="H647" t="str">
        <f>"MED201910078545"</f>
        <v>MED201910078545</v>
      </c>
      <c r="I647" t="str">
        <f>"HEALTH &amp; DENTAL INSURANCE"</f>
        <v>HEALTH &amp; DENTAL INSURANCE</v>
      </c>
    </row>
    <row r="648" spans="1:9" x14ac:dyDescent="0.25">
      <c r="E648" s="7"/>
      <c r="F648" t="s">
        <v>20</v>
      </c>
      <c r="G648" t="s">
        <v>21</v>
      </c>
      <c r="H648" t="str">
        <f>"MED201910228546"</f>
        <v>MED201910228546</v>
      </c>
      <c r="I648" t="str">
        <f>"HEALTH &amp; DENTAL INSURANCE"</f>
        <v>HEALTH &amp; DENTAL INSURANCE</v>
      </c>
    </row>
    <row r="649" spans="1:9" x14ac:dyDescent="0.25">
      <c r="A649" s="6">
        <v>43761</v>
      </c>
      <c r="B649" t="s">
        <v>91</v>
      </c>
      <c r="C649">
        <v>62355</v>
      </c>
      <c r="D649" t="s">
        <v>97</v>
      </c>
      <c r="E649" s="7">
        <v>72077.3</v>
      </c>
      <c r="F649" t="s">
        <v>20</v>
      </c>
      <c r="G649" t="s">
        <v>93</v>
      </c>
      <c r="H649" t="str">
        <f>"CHECK"</f>
        <v>CHECK</v>
      </c>
      <c r="I649" t="str">
        <f>""</f>
        <v/>
      </c>
    </row>
    <row r="650" spans="1:9" x14ac:dyDescent="0.25">
      <c r="A650" s="6">
        <v>43761</v>
      </c>
      <c r="B650" t="s">
        <v>91</v>
      </c>
      <c r="C650">
        <v>62359</v>
      </c>
      <c r="D650" t="s">
        <v>98</v>
      </c>
      <c r="E650" s="7">
        <v>3904.9</v>
      </c>
      <c r="F650" t="s">
        <v>20</v>
      </c>
      <c r="G650" t="s">
        <v>21</v>
      </c>
      <c r="H650" t="str">
        <f>"LIF201910078545"</f>
        <v>LIF201910078545</v>
      </c>
      <c r="I650" t="str">
        <f>"INSURANCE"</f>
        <v>INSURANCE</v>
      </c>
    </row>
    <row r="651" spans="1:9" x14ac:dyDescent="0.25">
      <c r="E651" s="7"/>
      <c r="F651" t="s">
        <v>20</v>
      </c>
      <c r="G651" t="s">
        <v>21</v>
      </c>
      <c r="H651" t="str">
        <f>"LIF201910228546"</f>
        <v>LIF201910228546</v>
      </c>
      <c r="I651" t="str">
        <f>"INSURANCE"</f>
        <v>INSURANCE</v>
      </c>
    </row>
    <row r="652" spans="1:9" x14ac:dyDescent="0.25">
      <c r="E652" s="7"/>
      <c r="F652" t="s">
        <v>20</v>
      </c>
      <c r="G652" t="s">
        <v>21</v>
      </c>
      <c r="H652" t="str">
        <f>"STD201910078545"</f>
        <v>STD201910078545</v>
      </c>
      <c r="I652" t="str">
        <f>"SHORT TERM DISABILITY"</f>
        <v>SHORT TERM DISABILITY</v>
      </c>
    </row>
    <row r="653" spans="1:9" x14ac:dyDescent="0.25">
      <c r="E653" s="7"/>
      <c r="F653" t="s">
        <v>20</v>
      </c>
      <c r="G653" t="s">
        <v>21</v>
      </c>
      <c r="H653" t="str">
        <f>"STD201910228546"</f>
        <v>STD201910228546</v>
      </c>
      <c r="I653" t="str">
        <f>"SHORT TERM DISABILITY"</f>
        <v>SHORT TERM DISABILITY</v>
      </c>
    </row>
    <row r="654" spans="1:9" x14ac:dyDescent="0.25">
      <c r="E654" s="7"/>
      <c r="F654" t="s">
        <v>20</v>
      </c>
      <c r="G654" t="s">
        <v>21</v>
      </c>
      <c r="H654" t="str">
        <f>"VIS201910078545"</f>
        <v>VIS201910078545</v>
      </c>
      <c r="I654" t="str">
        <f>"VISION INSURANCE"</f>
        <v>VISION INSURANCE</v>
      </c>
    </row>
    <row r="655" spans="1:9" x14ac:dyDescent="0.25">
      <c r="E655" s="7"/>
      <c r="F655" t="s">
        <v>20</v>
      </c>
      <c r="G655" t="s">
        <v>21</v>
      </c>
      <c r="H655" t="str">
        <f>"VIS201910228546"</f>
        <v>VIS201910228546</v>
      </c>
      <c r="I655" t="str">
        <f>"VISION INSURANCE"</f>
        <v>VISION INSURANCE</v>
      </c>
    </row>
    <row r="656" spans="1:9" x14ac:dyDescent="0.25">
      <c r="E656" s="7"/>
      <c r="F656" t="s">
        <v>20</v>
      </c>
      <c r="G656" t="s">
        <v>21</v>
      </c>
      <c r="H656" t="str">
        <f>"VLC201910078545"</f>
        <v>VLC201910078545</v>
      </c>
      <c r="I656" t="str">
        <f>"CHILD LIFE INSURANCE"</f>
        <v>CHILD LIFE INSURANCE</v>
      </c>
    </row>
    <row r="657" spans="1:9" x14ac:dyDescent="0.25">
      <c r="E657" s="7"/>
      <c r="F657" t="s">
        <v>20</v>
      </c>
      <c r="G657" t="s">
        <v>21</v>
      </c>
      <c r="H657" t="str">
        <f>"VLC201910228546"</f>
        <v>VLC201910228546</v>
      </c>
      <c r="I657" t="str">
        <f>"CHILD LIFE INSURANCE"</f>
        <v>CHILD LIFE INSURANCE</v>
      </c>
    </row>
    <row r="658" spans="1:9" x14ac:dyDescent="0.25">
      <c r="E658" s="7"/>
      <c r="F658" t="s">
        <v>20</v>
      </c>
      <c r="G658" t="s">
        <v>21</v>
      </c>
      <c r="H658" t="str">
        <f>"VLS201910078545"</f>
        <v>VLS201910078545</v>
      </c>
      <c r="I658" t="str">
        <f>"SPOUSE LIFE"</f>
        <v>SPOUSE LIFE</v>
      </c>
    </row>
    <row r="659" spans="1:9" x14ac:dyDescent="0.25">
      <c r="E659" s="7"/>
      <c r="F659" t="s">
        <v>20</v>
      </c>
      <c r="G659" t="s">
        <v>21</v>
      </c>
      <c r="H659" t="str">
        <f>"VLS201910228546"</f>
        <v>VLS201910228546</v>
      </c>
      <c r="I659" t="str">
        <f>"SPOUSE LIFE"</f>
        <v>SPOUSE LIFE</v>
      </c>
    </row>
    <row r="660" spans="1:9" x14ac:dyDescent="0.25">
      <c r="E660" s="7"/>
      <c r="F660" t="s">
        <v>20</v>
      </c>
      <c r="G660" t="s">
        <v>21</v>
      </c>
      <c r="H660" t="str">
        <f>"VOE201910078545"</f>
        <v>VOE201910078545</v>
      </c>
      <c r="I660" t="str">
        <f>"EMPLOYEE LIFE"</f>
        <v>EMPLOYEE LIFE</v>
      </c>
    </row>
    <row r="661" spans="1:9" x14ac:dyDescent="0.25">
      <c r="E661" s="7"/>
      <c r="F661" t="s">
        <v>20</v>
      </c>
      <c r="G661" t="s">
        <v>21</v>
      </c>
      <c r="H661" t="str">
        <f>"VOE201910228546"</f>
        <v>VOE201910228546</v>
      </c>
      <c r="I661" t="str">
        <f>"EMPLOYEE LIFE"</f>
        <v>EMPLOYEE LIFE</v>
      </c>
    </row>
    <row r="662" spans="1:9" x14ac:dyDescent="0.25">
      <c r="E662" s="7"/>
      <c r="F662" t="s">
        <v>20</v>
      </c>
      <c r="G662" t="s">
        <v>21</v>
      </c>
      <c r="H662" t="str">
        <f>"VOL201910078545"</f>
        <v>VOL201910078545</v>
      </c>
      <c r="I662" t="str">
        <f>"LIFE"</f>
        <v>LIFE</v>
      </c>
    </row>
    <row r="663" spans="1:9" x14ac:dyDescent="0.25">
      <c r="E663" s="7"/>
      <c r="F663" t="s">
        <v>20</v>
      </c>
      <c r="G663" t="s">
        <v>21</v>
      </c>
      <c r="H663" t="str">
        <f>"VOL201910228546"</f>
        <v>VOL201910228546</v>
      </c>
      <c r="I663" t="str">
        <f>"LIFE"</f>
        <v>LIFE</v>
      </c>
    </row>
    <row r="664" spans="1:9" x14ac:dyDescent="0.25">
      <c r="A664" s="6">
        <v>43761</v>
      </c>
      <c r="B664" t="s">
        <v>91</v>
      </c>
      <c r="C664">
        <v>62359</v>
      </c>
      <c r="D664" t="s">
        <v>98</v>
      </c>
      <c r="E664" s="7">
        <v>3904.9</v>
      </c>
      <c r="F664" t="s">
        <v>20</v>
      </c>
      <c r="G664" t="s">
        <v>93</v>
      </c>
      <c r="H664" t="str">
        <f>"CHECK"</f>
        <v>CHECK</v>
      </c>
      <c r="I664" t="str">
        <f>""</f>
        <v/>
      </c>
    </row>
    <row r="665" spans="1:9" x14ac:dyDescent="0.25">
      <c r="A665" s="6">
        <v>43761</v>
      </c>
      <c r="B665" t="s">
        <v>26</v>
      </c>
      <c r="C665">
        <v>62368</v>
      </c>
      <c r="D665" t="s">
        <v>231</v>
      </c>
      <c r="E665" s="7">
        <v>167.25</v>
      </c>
      <c r="F665" t="s">
        <v>20</v>
      </c>
      <c r="G665" t="s">
        <v>21</v>
      </c>
      <c r="H665" t="str">
        <f>"TRWA WTR CRSE"</f>
        <v>TRWA WTR CRSE</v>
      </c>
      <c r="I665" t="str">
        <f>"ROBERT BARRERA"</f>
        <v>ROBERT BARRERA</v>
      </c>
    </row>
    <row r="666" spans="1:9" x14ac:dyDescent="0.25">
      <c r="A666" s="6">
        <v>43761</v>
      </c>
      <c r="B666" t="s">
        <v>26</v>
      </c>
      <c r="C666">
        <v>62369</v>
      </c>
      <c r="D666" t="s">
        <v>345</v>
      </c>
      <c r="E666" s="7">
        <v>330</v>
      </c>
      <c r="F666" t="s">
        <v>20</v>
      </c>
      <c r="G666" t="s">
        <v>21</v>
      </c>
      <c r="H666" t="str">
        <f>"10/21/2019"</f>
        <v>10/21/2019</v>
      </c>
      <c r="I666" t="str">
        <f>"MICHAEL ISAAC MARTINEZ"</f>
        <v>MICHAEL ISAAC MARTINEZ</v>
      </c>
    </row>
    <row r="667" spans="1:9" x14ac:dyDescent="0.25">
      <c r="A667" s="6">
        <v>43761</v>
      </c>
      <c r="B667" t="s">
        <v>26</v>
      </c>
      <c r="C667">
        <v>62370</v>
      </c>
      <c r="D667" t="s">
        <v>452</v>
      </c>
      <c r="E667" s="7">
        <v>130</v>
      </c>
      <c r="F667" t="s">
        <v>20</v>
      </c>
      <c r="G667" t="s">
        <v>21</v>
      </c>
      <c r="H667" t="str">
        <f>"10/20/2019"</f>
        <v>10/20/2019</v>
      </c>
      <c r="I667" t="str">
        <f>"DESIREE PEREZ"</f>
        <v>DESIREE PEREZ</v>
      </c>
    </row>
    <row r="668" spans="1:9" x14ac:dyDescent="0.25">
      <c r="A668" s="6">
        <v>43761</v>
      </c>
      <c r="B668" t="s">
        <v>26</v>
      </c>
      <c r="C668">
        <v>62371</v>
      </c>
      <c r="D668" t="s">
        <v>644</v>
      </c>
      <c r="E668" s="7">
        <v>256.99</v>
      </c>
      <c r="F668" t="s">
        <v>20</v>
      </c>
      <c r="G668" t="s">
        <v>21</v>
      </c>
      <c r="H668" t="str">
        <f>"8213343454"</f>
        <v>8213343454</v>
      </c>
      <c r="I668" t="str">
        <f>"UNIFIRST CORPORATION"</f>
        <v>UNIFIRST CORPORATION</v>
      </c>
    </row>
    <row r="669" spans="1:9" x14ac:dyDescent="0.25">
      <c r="E669" s="7"/>
      <c r="F669" t="s">
        <v>20</v>
      </c>
      <c r="G669" t="s">
        <v>21</v>
      </c>
      <c r="H669" t="str">
        <f>"8213343455"</f>
        <v>8213343455</v>
      </c>
      <c r="I669" t="str">
        <f>"UNIFIRST CORPORATION"</f>
        <v>UNIFIRST CORPORATION</v>
      </c>
    </row>
    <row r="670" spans="1:9" x14ac:dyDescent="0.25">
      <c r="E670" s="7"/>
      <c r="F670" t="s">
        <v>20</v>
      </c>
      <c r="G670" t="s">
        <v>21</v>
      </c>
      <c r="H670" t="str">
        <f>"8213343456"</f>
        <v>8213343456</v>
      </c>
      <c r="I670" t="str">
        <f>"UNIFIRST CORPORATION"</f>
        <v>UNIFIRST CORPORATION</v>
      </c>
    </row>
    <row r="671" spans="1:9" x14ac:dyDescent="0.25">
      <c r="E671" s="7"/>
      <c r="F671" t="s">
        <v>20</v>
      </c>
      <c r="G671" t="s">
        <v>21</v>
      </c>
      <c r="H671" t="str">
        <f>"8213343457"</f>
        <v>8213343457</v>
      </c>
      <c r="I671" t="str">
        <f>"UNIFIRST CORPORATION"</f>
        <v>UNIFIRST CORPORATION</v>
      </c>
    </row>
    <row r="672" spans="1:9" x14ac:dyDescent="0.25">
      <c r="A672" s="6">
        <v>43761</v>
      </c>
      <c r="B672" t="s">
        <v>26</v>
      </c>
      <c r="C672">
        <v>62372</v>
      </c>
      <c r="D672" t="s">
        <v>696</v>
      </c>
      <c r="E672" s="7">
        <v>130</v>
      </c>
      <c r="F672" t="s">
        <v>20</v>
      </c>
      <c r="G672" t="s">
        <v>21</v>
      </c>
      <c r="H672" t="str">
        <f>"10/20/2019"</f>
        <v>10/20/2019</v>
      </c>
      <c r="I672" t="str">
        <f>"ANGEL G. ROSAS"</f>
        <v>ANGEL G. ROSAS</v>
      </c>
    </row>
    <row r="673" spans="1:9" x14ac:dyDescent="0.25">
      <c r="A673" s="6">
        <v>43761</v>
      </c>
      <c r="B673" t="s">
        <v>26</v>
      </c>
      <c r="C673">
        <v>62373</v>
      </c>
      <c r="D673" t="s">
        <v>752</v>
      </c>
      <c r="E673" s="7">
        <v>160</v>
      </c>
      <c r="F673" t="s">
        <v>20</v>
      </c>
      <c r="G673" t="s">
        <v>21</v>
      </c>
      <c r="H673" t="str">
        <f>"10/20/19"</f>
        <v>10/20/19</v>
      </c>
      <c r="I673" t="str">
        <f>"BLANCA PEREZ"</f>
        <v>BLANCA PEREZ</v>
      </c>
    </row>
    <row r="674" spans="1:9" x14ac:dyDescent="0.25">
      <c r="A674" s="6">
        <v>43761</v>
      </c>
      <c r="B674" t="s">
        <v>26</v>
      </c>
      <c r="C674">
        <v>62374</v>
      </c>
      <c r="D674" t="s">
        <v>831</v>
      </c>
      <c r="E674" s="7">
        <v>6962.8</v>
      </c>
      <c r="F674" t="s">
        <v>20</v>
      </c>
      <c r="G674" t="s">
        <v>21</v>
      </c>
      <c r="H674" t="str">
        <f>"0045199-IN"</f>
        <v>0045199-IN</v>
      </c>
      <c r="I674" t="str">
        <f>"CHEMICALS"</f>
        <v>CHEMICALS</v>
      </c>
    </row>
    <row r="675" spans="1:9" x14ac:dyDescent="0.25">
      <c r="A675" s="6">
        <v>43761</v>
      </c>
      <c r="B675" t="s">
        <v>26</v>
      </c>
      <c r="C675">
        <v>62375</v>
      </c>
      <c r="D675" t="s">
        <v>824</v>
      </c>
      <c r="E675" s="7">
        <v>130</v>
      </c>
      <c r="F675" t="s">
        <v>20</v>
      </c>
      <c r="G675" t="s">
        <v>21</v>
      </c>
      <c r="H675" t="str">
        <f>"10/20/2019"</f>
        <v>10/20/2019</v>
      </c>
      <c r="I675" t="str">
        <f>"MALLORY R. NELSON"</f>
        <v>MALLORY R. NELSON</v>
      </c>
    </row>
    <row r="676" spans="1:9" x14ac:dyDescent="0.25">
      <c r="A676" s="6">
        <v>43761</v>
      </c>
      <c r="B676" t="s">
        <v>26</v>
      </c>
      <c r="C676">
        <v>62376</v>
      </c>
      <c r="D676" t="s">
        <v>829</v>
      </c>
      <c r="E676" s="7">
        <v>105</v>
      </c>
      <c r="F676" t="s">
        <v>20</v>
      </c>
      <c r="G676" t="s">
        <v>21</v>
      </c>
      <c r="H676" t="str">
        <f>"10/25/2019 SOFTBAL"</f>
        <v>10/25/2019 SOFTBAL</v>
      </c>
      <c r="I676" t="str">
        <f>"MARCUS A OLIVO"</f>
        <v>MARCUS A OLIVO</v>
      </c>
    </row>
    <row r="677" spans="1:9" x14ac:dyDescent="0.25">
      <c r="A677" s="6">
        <v>43762</v>
      </c>
      <c r="B677" t="s">
        <v>91</v>
      </c>
      <c r="C677">
        <v>62377</v>
      </c>
      <c r="D677" t="s">
        <v>54</v>
      </c>
      <c r="E677" s="7">
        <v>1137.32</v>
      </c>
      <c r="F677" t="s">
        <v>20</v>
      </c>
      <c r="G677" t="s">
        <v>21</v>
      </c>
      <c r="H677" t="str">
        <f>"9/22-10/5 PYRL DED"</f>
        <v>9/22-10/5 PYRL DED</v>
      </c>
      <c r="I677" t="str">
        <f>"NATIONWIDE TRUST COMPANY  FSB"</f>
        <v>NATIONWIDE TRUST COMPANY  FSB</v>
      </c>
    </row>
    <row r="678" spans="1:9" x14ac:dyDescent="0.25">
      <c r="A678" s="6">
        <v>43762</v>
      </c>
      <c r="B678" t="s">
        <v>91</v>
      </c>
      <c r="C678">
        <v>62377</v>
      </c>
      <c r="D678" t="s">
        <v>54</v>
      </c>
      <c r="E678" s="7">
        <v>1137.32</v>
      </c>
      <c r="F678" t="s">
        <v>20</v>
      </c>
      <c r="G678" t="s">
        <v>93</v>
      </c>
      <c r="H678" t="str">
        <f>"CHECK"</f>
        <v>CHECK</v>
      </c>
      <c r="I678" t="str">
        <f>""</f>
        <v/>
      </c>
    </row>
    <row r="679" spans="1:9" x14ac:dyDescent="0.25">
      <c r="A679" s="6">
        <v>43762</v>
      </c>
      <c r="B679" t="s">
        <v>26</v>
      </c>
      <c r="C679">
        <v>62378</v>
      </c>
      <c r="D679" t="s">
        <v>54</v>
      </c>
      <c r="E679" s="7">
        <v>1137.32</v>
      </c>
      <c r="F679" t="s">
        <v>20</v>
      </c>
      <c r="G679" t="s">
        <v>21</v>
      </c>
      <c r="H679" t="str">
        <f>"DED 9/22-10/5"</f>
        <v>DED 9/22-10/5</v>
      </c>
      <c r="I679" t="str">
        <f>"NATIONWIDE TRUST COMPANY  FSB"</f>
        <v>NATIONWIDE TRUST COMPANY  FSB</v>
      </c>
    </row>
    <row r="680" spans="1:9" x14ac:dyDescent="0.25">
      <c r="A680" s="6">
        <v>43766</v>
      </c>
      <c r="B680" t="s">
        <v>91</v>
      </c>
      <c r="C680">
        <v>62379</v>
      </c>
      <c r="D680" t="s">
        <v>723</v>
      </c>
      <c r="E680" s="7">
        <v>550</v>
      </c>
      <c r="F680" t="s">
        <v>20</v>
      </c>
      <c r="G680" t="s">
        <v>21</v>
      </c>
      <c r="H680" t="str">
        <f>"10/28/19 COURSE"</f>
        <v>10/28/19 COURSE</v>
      </c>
      <c r="I680" t="str">
        <f>"TEXAS ACADEMY OF ANIMAL CONTRO"</f>
        <v>TEXAS ACADEMY OF ANIMAL CONTRO</v>
      </c>
    </row>
    <row r="681" spans="1:9" x14ac:dyDescent="0.25">
      <c r="A681" s="6">
        <v>43766</v>
      </c>
      <c r="B681" t="s">
        <v>91</v>
      </c>
      <c r="C681">
        <v>62379</v>
      </c>
      <c r="D681" t="s">
        <v>723</v>
      </c>
      <c r="E681" s="7">
        <v>550</v>
      </c>
      <c r="F681" t="s">
        <v>20</v>
      </c>
      <c r="G681" t="s">
        <v>93</v>
      </c>
      <c r="H681" t="str">
        <f>"CHECK"</f>
        <v>CHECK</v>
      </c>
      <c r="I681" t="str">
        <f>""</f>
        <v/>
      </c>
    </row>
    <row r="682" spans="1:9" x14ac:dyDescent="0.25">
      <c r="A682" s="6">
        <v>43766</v>
      </c>
      <c r="B682" t="s">
        <v>26</v>
      </c>
      <c r="C682">
        <v>62380</v>
      </c>
      <c r="D682" t="s">
        <v>723</v>
      </c>
      <c r="E682" s="7">
        <v>550</v>
      </c>
      <c r="F682" t="s">
        <v>20</v>
      </c>
      <c r="G682" t="s">
        <v>21</v>
      </c>
      <c r="H682" t="str">
        <f>"10/28/2019 COURSE"</f>
        <v>10/28/2019 COURSE</v>
      </c>
      <c r="I682" t="str">
        <f>"TEXAS ACADEMY OF ANIMAL CONTRO"</f>
        <v>TEXAS ACADEMY OF ANIMAL CONTRO</v>
      </c>
    </row>
    <row r="683" spans="1:9" x14ac:dyDescent="0.25">
      <c r="A683" s="6">
        <v>43768</v>
      </c>
      <c r="B683" t="s">
        <v>26</v>
      </c>
      <c r="C683">
        <v>62381</v>
      </c>
      <c r="D683" t="s">
        <v>57</v>
      </c>
      <c r="E683" s="7">
        <v>24641.56</v>
      </c>
      <c r="F683" t="s">
        <v>20</v>
      </c>
      <c r="G683" t="s">
        <v>21</v>
      </c>
      <c r="H683" t="str">
        <f>"OCT. 2019 11617"</f>
        <v>OCT. 2019 11617</v>
      </c>
      <c r="I683" t="str">
        <f>"F.E.L.P.S."</f>
        <v>F.E.L.P.S.</v>
      </c>
    </row>
    <row r="684" spans="1:9" x14ac:dyDescent="0.25">
      <c r="A684" s="6">
        <v>43768</v>
      </c>
      <c r="B684" t="s">
        <v>26</v>
      </c>
      <c r="C684">
        <v>62382</v>
      </c>
      <c r="D684" t="s">
        <v>103</v>
      </c>
      <c r="E684" s="7">
        <v>74635.3</v>
      </c>
      <c r="F684" t="s">
        <v>20</v>
      </c>
      <c r="G684" t="s">
        <v>21</v>
      </c>
      <c r="H684" t="str">
        <f>"OCT. SALES TAX"</f>
        <v>OCT. SALES TAX</v>
      </c>
      <c r="I684" t="str">
        <f>"F. E. D. C."</f>
        <v>F. E. D. C.</v>
      </c>
    </row>
    <row r="685" spans="1:9" x14ac:dyDescent="0.25">
      <c r="A685" s="6">
        <v>43768</v>
      </c>
      <c r="B685" t="s">
        <v>26</v>
      </c>
      <c r="C685">
        <v>62383</v>
      </c>
      <c r="D685" t="s">
        <v>107</v>
      </c>
      <c r="E685" s="7">
        <v>153.25</v>
      </c>
      <c r="F685" t="s">
        <v>20</v>
      </c>
      <c r="G685" t="s">
        <v>21</v>
      </c>
      <c r="H685" t="str">
        <f>"1166960-20190930"</f>
        <v>1166960-20190930</v>
      </c>
      <c r="I685" t="str">
        <f>"LEXISNEXIS RISK SOLUTIONS"</f>
        <v>LEXISNEXIS RISK SOLUTIONS</v>
      </c>
    </row>
    <row r="686" spans="1:9" x14ac:dyDescent="0.25">
      <c r="A686" s="6">
        <v>43768</v>
      </c>
      <c r="B686" t="s">
        <v>26</v>
      </c>
      <c r="C686">
        <v>62384</v>
      </c>
      <c r="D686" t="s">
        <v>108</v>
      </c>
      <c r="E686" s="7">
        <v>1485.2</v>
      </c>
      <c r="F686" t="s">
        <v>20</v>
      </c>
      <c r="G686" t="s">
        <v>21</v>
      </c>
      <c r="H686" t="str">
        <f>"041295635806"</f>
        <v>041295635806</v>
      </c>
      <c r="I686" t="str">
        <f>"POOLSURE"</f>
        <v>POOLSURE</v>
      </c>
    </row>
    <row r="687" spans="1:9" x14ac:dyDescent="0.25">
      <c r="A687" s="6">
        <v>43768</v>
      </c>
      <c r="B687" t="s">
        <v>26</v>
      </c>
      <c r="C687">
        <v>62385</v>
      </c>
      <c r="D687" t="s">
        <v>832</v>
      </c>
      <c r="E687" s="7">
        <v>50</v>
      </c>
      <c r="F687" t="s">
        <v>20</v>
      </c>
      <c r="G687" t="s">
        <v>21</v>
      </c>
      <c r="H687" t="str">
        <f>"DEPST REFND 10/26"</f>
        <v>DEPST REFND 10/26</v>
      </c>
      <c r="I687" t="str">
        <f>"REFUND"</f>
        <v>REFUND</v>
      </c>
    </row>
    <row r="688" spans="1:9" x14ac:dyDescent="0.25">
      <c r="A688" s="6">
        <v>43768</v>
      </c>
      <c r="B688" t="s">
        <v>26</v>
      </c>
      <c r="C688">
        <v>62386</v>
      </c>
      <c r="D688" t="s">
        <v>833</v>
      </c>
      <c r="E688" s="7">
        <v>50</v>
      </c>
      <c r="F688" t="s">
        <v>20</v>
      </c>
      <c r="G688" t="s">
        <v>21</v>
      </c>
      <c r="H688" t="str">
        <f>"REFUND 10/26/19"</f>
        <v>REFUND 10/26/19</v>
      </c>
      <c r="I688" t="str">
        <f>"REFUND"</f>
        <v>REFUND</v>
      </c>
    </row>
    <row r="689" spans="1:9" x14ac:dyDescent="0.25">
      <c r="A689" s="6">
        <v>43768</v>
      </c>
      <c r="B689" t="s">
        <v>26</v>
      </c>
      <c r="C689">
        <v>62387</v>
      </c>
      <c r="D689" t="s">
        <v>834</v>
      </c>
      <c r="E689" s="7">
        <v>600</v>
      </c>
      <c r="F689" t="s">
        <v>20</v>
      </c>
      <c r="G689" t="s">
        <v>21</v>
      </c>
      <c r="H689" t="str">
        <f>"REFUND 7/12/19"</f>
        <v>REFUND 7/12/19</v>
      </c>
      <c r="I689" t="str">
        <f>"REFUND"</f>
        <v>REFUND</v>
      </c>
    </row>
    <row r="690" spans="1:9" x14ac:dyDescent="0.25">
      <c r="A690" s="6">
        <v>43768</v>
      </c>
      <c r="B690" t="s">
        <v>26</v>
      </c>
      <c r="C690">
        <v>62388</v>
      </c>
      <c r="D690" t="s">
        <v>61</v>
      </c>
      <c r="E690" s="7">
        <v>188</v>
      </c>
      <c r="F690" t="s">
        <v>20</v>
      </c>
      <c r="G690" t="s">
        <v>21</v>
      </c>
      <c r="H690" t="str">
        <f>"025-276148"</f>
        <v>025-276148</v>
      </c>
      <c r="I690" t="str">
        <f>"TYLER TECHNOLOGIES  INC."</f>
        <v>TYLER TECHNOLOGIES  INC.</v>
      </c>
    </row>
    <row r="691" spans="1:9" x14ac:dyDescent="0.25">
      <c r="A691" s="6">
        <v>43768</v>
      </c>
      <c r="B691" t="s">
        <v>26</v>
      </c>
      <c r="C691">
        <v>62389</v>
      </c>
      <c r="D691" t="s">
        <v>0</v>
      </c>
      <c r="E691" s="7">
        <v>11223.97</v>
      </c>
      <c r="F691" t="s">
        <v>20</v>
      </c>
      <c r="G691" t="s">
        <v>21</v>
      </c>
      <c r="H691" t="str">
        <f>"01-0195-00 OCT.19"</f>
        <v>01-0195-00 OCT.19</v>
      </c>
      <c r="I691" t="str">
        <f>"CITY OF FLORESVILLE"</f>
        <v>CITY OF FLORESVILLE</v>
      </c>
    </row>
    <row r="692" spans="1:9" x14ac:dyDescent="0.25">
      <c r="A692" s="6">
        <v>43768</v>
      </c>
      <c r="B692" t="s">
        <v>26</v>
      </c>
      <c r="C692">
        <v>62390</v>
      </c>
      <c r="D692" t="s">
        <v>114</v>
      </c>
      <c r="E692" s="7">
        <v>100</v>
      </c>
      <c r="F692" t="s">
        <v>20</v>
      </c>
      <c r="G692" t="s">
        <v>21</v>
      </c>
      <c r="H692" t="str">
        <f>"ST OF TX CO-OP MEM"</f>
        <v>ST OF TX CO-OP MEM</v>
      </c>
      <c r="I692" t="str">
        <f>"STATE COMPTROLLER"</f>
        <v>STATE COMPTROLLER</v>
      </c>
    </row>
    <row r="693" spans="1:9" x14ac:dyDescent="0.25">
      <c r="A693" s="6">
        <v>43768</v>
      </c>
      <c r="B693" t="s">
        <v>26</v>
      </c>
      <c r="C693">
        <v>62391</v>
      </c>
      <c r="D693" t="s">
        <v>115</v>
      </c>
      <c r="E693" s="7">
        <v>280.98</v>
      </c>
      <c r="F693" t="s">
        <v>20</v>
      </c>
      <c r="G693" t="s">
        <v>21</v>
      </c>
      <c r="H693" t="str">
        <f>"3547529666"</f>
        <v>3547529666</v>
      </c>
      <c r="I693" t="str">
        <f>"BATTERY"</f>
        <v>BATTERY</v>
      </c>
    </row>
    <row r="694" spans="1:9" x14ac:dyDescent="0.25">
      <c r="E694" s="7"/>
      <c r="F694" t="s">
        <v>20</v>
      </c>
      <c r="G694" t="s">
        <v>21</v>
      </c>
      <c r="H694" t="str">
        <f>"3547539386"</f>
        <v>3547539386</v>
      </c>
      <c r="I694" t="str">
        <f>"2003 FORD ESCAPE REPAIR"</f>
        <v>2003 FORD ESCAPE REPAIR</v>
      </c>
    </row>
    <row r="695" spans="1:9" x14ac:dyDescent="0.25">
      <c r="A695" s="6">
        <v>43768</v>
      </c>
      <c r="B695" t="s">
        <v>26</v>
      </c>
      <c r="C695">
        <v>62392</v>
      </c>
      <c r="D695" t="s">
        <v>63</v>
      </c>
      <c r="E695" s="7">
        <v>117.58</v>
      </c>
      <c r="F695" t="s">
        <v>20</v>
      </c>
      <c r="G695" t="s">
        <v>21</v>
      </c>
      <c r="H695" t="str">
        <f>"8404346144"</f>
        <v>8404346144</v>
      </c>
      <c r="I695" t="str">
        <f>"CINTAS CORPORATION"</f>
        <v>CINTAS CORPORATION</v>
      </c>
    </row>
    <row r="696" spans="1:9" x14ac:dyDescent="0.25">
      <c r="A696" s="6">
        <v>43768</v>
      </c>
      <c r="B696" t="s">
        <v>26</v>
      </c>
      <c r="C696">
        <v>62393</v>
      </c>
      <c r="D696" t="s">
        <v>118</v>
      </c>
      <c r="E696" s="7">
        <v>1845.5</v>
      </c>
      <c r="F696" t="s">
        <v>20</v>
      </c>
      <c r="G696" t="s">
        <v>21</v>
      </c>
      <c r="H696" t="str">
        <f>"11628"</f>
        <v>11628</v>
      </c>
      <c r="I696" t="str">
        <f>"BRYAN AIR CONDITIONING &amp; HEATI"</f>
        <v>BRYAN AIR CONDITIONING &amp; HEATI</v>
      </c>
    </row>
    <row r="697" spans="1:9" x14ac:dyDescent="0.25">
      <c r="E697" s="7"/>
      <c r="F697" t="s">
        <v>20</v>
      </c>
      <c r="G697" t="s">
        <v>21</v>
      </c>
      <c r="H697" t="str">
        <f>"11629"</f>
        <v>11629</v>
      </c>
      <c r="I697" t="str">
        <f>"BRYAN AIR CONDITIONING &amp; HEATI"</f>
        <v>BRYAN AIR CONDITIONING &amp; HEATI</v>
      </c>
    </row>
    <row r="698" spans="1:9" x14ac:dyDescent="0.25">
      <c r="A698" s="6">
        <v>43768</v>
      </c>
      <c r="B698" t="s">
        <v>26</v>
      </c>
      <c r="C698">
        <v>62394</v>
      </c>
      <c r="D698" t="s">
        <v>254</v>
      </c>
      <c r="E698" s="7">
        <v>4189.42</v>
      </c>
      <c r="F698" t="s">
        <v>20</v>
      </c>
      <c r="G698" t="s">
        <v>21</v>
      </c>
      <c r="H698" t="str">
        <f>"3RD QRT"</f>
        <v>3RD QRT</v>
      </c>
      <c r="I698" t="str">
        <f>"TEXAS WORKFORCE COMMISSION"</f>
        <v>TEXAS WORKFORCE COMMISSION</v>
      </c>
    </row>
    <row r="699" spans="1:9" x14ac:dyDescent="0.25">
      <c r="A699" s="6">
        <v>43768</v>
      </c>
      <c r="B699" t="s">
        <v>26</v>
      </c>
      <c r="C699">
        <v>62395</v>
      </c>
      <c r="D699" t="s">
        <v>120</v>
      </c>
      <c r="E699" s="7">
        <v>1862.66</v>
      </c>
      <c r="F699" t="s">
        <v>20</v>
      </c>
      <c r="G699" t="s">
        <v>21</v>
      </c>
      <c r="H699" t="str">
        <f>"71254892"</f>
        <v>71254892</v>
      </c>
      <c r="I699" t="str">
        <f>"VERIZON BUSINESS"</f>
        <v>VERIZON BUSINESS</v>
      </c>
    </row>
    <row r="700" spans="1:9" x14ac:dyDescent="0.25">
      <c r="E700" s="7"/>
      <c r="F700" t="s">
        <v>20</v>
      </c>
      <c r="G700" t="s">
        <v>21</v>
      </c>
      <c r="H700" t="str">
        <f>"71254897"</f>
        <v>71254897</v>
      </c>
      <c r="I700" t="str">
        <f>"VERIZON BUSINESS"</f>
        <v>VERIZON BUSINESS</v>
      </c>
    </row>
    <row r="701" spans="1:9" x14ac:dyDescent="0.25">
      <c r="A701" s="6">
        <v>43768</v>
      </c>
      <c r="B701" t="s">
        <v>26</v>
      </c>
      <c r="C701">
        <v>62396</v>
      </c>
      <c r="D701" t="s">
        <v>281</v>
      </c>
      <c r="E701" s="7">
        <v>249.15</v>
      </c>
      <c r="F701" t="s">
        <v>20</v>
      </c>
      <c r="G701" t="s">
        <v>21</v>
      </c>
      <c r="H701" t="str">
        <f>"30226"</f>
        <v>30226</v>
      </c>
      <c r="I701" t="str">
        <f>"ALIGNMENT"</f>
        <v>ALIGNMENT</v>
      </c>
    </row>
    <row r="702" spans="1:9" x14ac:dyDescent="0.25">
      <c r="A702" s="6">
        <v>43768</v>
      </c>
      <c r="B702" t="s">
        <v>26</v>
      </c>
      <c r="C702">
        <v>62397</v>
      </c>
      <c r="D702" t="s">
        <v>29</v>
      </c>
      <c r="E702" s="7">
        <v>29191.51</v>
      </c>
      <c r="F702" t="s">
        <v>20</v>
      </c>
      <c r="G702" t="s">
        <v>21</v>
      </c>
      <c r="H702" t="str">
        <f>"35885"</f>
        <v>35885</v>
      </c>
      <c r="I702" t="str">
        <f t="shared" ref="I702:I708" si="11">"M &amp; S ENGINEERING  LLC"</f>
        <v>M &amp; S ENGINEERING  LLC</v>
      </c>
    </row>
    <row r="703" spans="1:9" x14ac:dyDescent="0.25">
      <c r="E703" s="7"/>
      <c r="F703" t="s">
        <v>20</v>
      </c>
      <c r="G703" t="s">
        <v>21</v>
      </c>
      <c r="H703" t="str">
        <f>"37433"</f>
        <v>37433</v>
      </c>
      <c r="I703" t="str">
        <f t="shared" si="11"/>
        <v>M &amp; S ENGINEERING  LLC</v>
      </c>
    </row>
    <row r="704" spans="1:9" x14ac:dyDescent="0.25">
      <c r="E704" s="7"/>
      <c r="F704" t="s">
        <v>20</v>
      </c>
      <c r="G704" t="s">
        <v>21</v>
      </c>
      <c r="H704" t="str">
        <f>"38122"</f>
        <v>38122</v>
      </c>
      <c r="I704" t="str">
        <f t="shared" si="11"/>
        <v>M &amp; S ENGINEERING  LLC</v>
      </c>
    </row>
    <row r="705" spans="1:9" x14ac:dyDescent="0.25">
      <c r="E705" s="7"/>
      <c r="F705" t="s">
        <v>20</v>
      </c>
      <c r="G705" t="s">
        <v>21</v>
      </c>
      <c r="H705" t="str">
        <f>"38270"</f>
        <v>38270</v>
      </c>
      <c r="I705" t="str">
        <f t="shared" si="11"/>
        <v>M &amp; S ENGINEERING  LLC</v>
      </c>
    </row>
    <row r="706" spans="1:9" x14ac:dyDescent="0.25">
      <c r="E706" s="7"/>
      <c r="F706" t="s">
        <v>20</v>
      </c>
      <c r="G706" t="s">
        <v>21</v>
      </c>
      <c r="H706" t="str">
        <f>"39564"</f>
        <v>39564</v>
      </c>
      <c r="I706" t="str">
        <f t="shared" si="11"/>
        <v>M &amp; S ENGINEERING  LLC</v>
      </c>
    </row>
    <row r="707" spans="1:9" x14ac:dyDescent="0.25">
      <c r="E707" s="7"/>
      <c r="F707" t="s">
        <v>20</v>
      </c>
      <c r="G707" t="s">
        <v>21</v>
      </c>
      <c r="H707" t="str">
        <f>"39784"</f>
        <v>39784</v>
      </c>
      <c r="I707" t="str">
        <f t="shared" si="11"/>
        <v>M &amp; S ENGINEERING  LLC</v>
      </c>
    </row>
    <row r="708" spans="1:9" x14ac:dyDescent="0.25">
      <c r="E708" s="7"/>
      <c r="F708" t="s">
        <v>20</v>
      </c>
      <c r="G708" t="s">
        <v>21</v>
      </c>
      <c r="H708" t="str">
        <f>"39793"</f>
        <v>39793</v>
      </c>
      <c r="I708" t="str">
        <f t="shared" si="11"/>
        <v>M &amp; S ENGINEERING  LLC</v>
      </c>
    </row>
    <row r="709" spans="1:9" x14ac:dyDescent="0.25">
      <c r="A709" s="6">
        <v>43768</v>
      </c>
      <c r="B709" t="s">
        <v>26</v>
      </c>
      <c r="C709">
        <v>62399</v>
      </c>
      <c r="D709" t="s">
        <v>71</v>
      </c>
      <c r="E709" s="7">
        <v>1566.43</v>
      </c>
      <c r="F709" t="s">
        <v>20</v>
      </c>
      <c r="G709" t="s">
        <v>21</v>
      </c>
      <c r="H709" t="str">
        <f>"4032835080"</f>
        <v>4032835080</v>
      </c>
      <c r="I709" t="str">
        <f t="shared" ref="I709:I718" si="12">"CINTAS CORPORATION #087"</f>
        <v>CINTAS CORPORATION #087</v>
      </c>
    </row>
    <row r="710" spans="1:9" x14ac:dyDescent="0.25">
      <c r="E710" s="7"/>
      <c r="F710" t="s">
        <v>20</v>
      </c>
      <c r="G710" t="s">
        <v>21</v>
      </c>
      <c r="H710" t="str">
        <f>"4032835098"</f>
        <v>4032835098</v>
      </c>
      <c r="I710" t="str">
        <f t="shared" si="12"/>
        <v>CINTAS CORPORATION #087</v>
      </c>
    </row>
    <row r="711" spans="1:9" x14ac:dyDescent="0.25">
      <c r="E711" s="7"/>
      <c r="F711" t="s">
        <v>20</v>
      </c>
      <c r="G711" t="s">
        <v>21</v>
      </c>
      <c r="H711" t="str">
        <f>"4032835148"</f>
        <v>4032835148</v>
      </c>
      <c r="I711" t="str">
        <f t="shared" si="12"/>
        <v>CINTAS CORPORATION #087</v>
      </c>
    </row>
    <row r="712" spans="1:9" x14ac:dyDescent="0.25">
      <c r="E712" s="7"/>
      <c r="F712" t="s">
        <v>20</v>
      </c>
      <c r="G712" t="s">
        <v>21</v>
      </c>
      <c r="H712" t="str">
        <f>"4032835176"</f>
        <v>4032835176</v>
      </c>
      <c r="I712" t="str">
        <f t="shared" si="12"/>
        <v>CINTAS CORPORATION #087</v>
      </c>
    </row>
    <row r="713" spans="1:9" x14ac:dyDescent="0.25">
      <c r="E713" s="7"/>
      <c r="F713" t="s">
        <v>20</v>
      </c>
      <c r="G713" t="s">
        <v>21</v>
      </c>
      <c r="H713" t="str">
        <f>"4032835177"</f>
        <v>4032835177</v>
      </c>
      <c r="I713" t="str">
        <f t="shared" si="12"/>
        <v>CINTAS CORPORATION #087</v>
      </c>
    </row>
    <row r="714" spans="1:9" x14ac:dyDescent="0.25">
      <c r="E714" s="7"/>
      <c r="F714" t="s">
        <v>20</v>
      </c>
      <c r="G714" t="s">
        <v>21</v>
      </c>
      <c r="H714" t="str">
        <f>"4033369105"</f>
        <v>4033369105</v>
      </c>
      <c r="I714" t="str">
        <f t="shared" si="12"/>
        <v>CINTAS CORPORATION #087</v>
      </c>
    </row>
    <row r="715" spans="1:9" x14ac:dyDescent="0.25">
      <c r="E715" s="7"/>
      <c r="F715" t="s">
        <v>20</v>
      </c>
      <c r="G715" t="s">
        <v>21</v>
      </c>
      <c r="H715" t="str">
        <f>"4033369137"</f>
        <v>4033369137</v>
      </c>
      <c r="I715" t="str">
        <f t="shared" si="12"/>
        <v>CINTAS CORPORATION #087</v>
      </c>
    </row>
    <row r="716" spans="1:9" x14ac:dyDescent="0.25">
      <c r="E716" s="7"/>
      <c r="F716" t="s">
        <v>20</v>
      </c>
      <c r="G716" t="s">
        <v>21</v>
      </c>
      <c r="H716" t="str">
        <f>"4033369185"</f>
        <v>4033369185</v>
      </c>
      <c r="I716" t="str">
        <f t="shared" si="12"/>
        <v>CINTAS CORPORATION #087</v>
      </c>
    </row>
    <row r="717" spans="1:9" x14ac:dyDescent="0.25">
      <c r="E717" s="7"/>
      <c r="F717" t="s">
        <v>20</v>
      </c>
      <c r="G717" t="s">
        <v>21</v>
      </c>
      <c r="H717" t="str">
        <f>"4033369195"</f>
        <v>4033369195</v>
      </c>
      <c r="I717" t="str">
        <f t="shared" si="12"/>
        <v>CINTAS CORPORATION #087</v>
      </c>
    </row>
    <row r="718" spans="1:9" x14ac:dyDescent="0.25">
      <c r="E718" s="7"/>
      <c r="F718" t="s">
        <v>20</v>
      </c>
      <c r="G718" t="s">
        <v>21</v>
      </c>
      <c r="H718" t="str">
        <f>"4033369207"</f>
        <v>4033369207</v>
      </c>
      <c r="I718" t="str">
        <f t="shared" si="12"/>
        <v>CINTAS CORPORATION #087</v>
      </c>
    </row>
    <row r="719" spans="1:9" x14ac:dyDescent="0.25">
      <c r="A719" s="6">
        <v>43768</v>
      </c>
      <c r="B719" t="s">
        <v>26</v>
      </c>
      <c r="C719">
        <v>62401</v>
      </c>
      <c r="D719" t="s">
        <v>122</v>
      </c>
      <c r="E719" s="7">
        <v>11</v>
      </c>
      <c r="F719" t="s">
        <v>20</v>
      </c>
      <c r="G719" t="s">
        <v>21</v>
      </c>
      <c r="H719" t="str">
        <f>"834833"</f>
        <v>834833</v>
      </c>
      <c r="I719" t="str">
        <f>"VILLA TIRES"</f>
        <v>VILLA TIRES</v>
      </c>
    </row>
    <row r="720" spans="1:9" x14ac:dyDescent="0.25">
      <c r="A720" s="6">
        <v>43768</v>
      </c>
      <c r="B720" t="s">
        <v>26</v>
      </c>
      <c r="C720">
        <v>62402</v>
      </c>
      <c r="D720" t="s">
        <v>215</v>
      </c>
      <c r="E720" s="7">
        <v>742.5</v>
      </c>
      <c r="F720" t="s">
        <v>20</v>
      </c>
      <c r="G720" t="s">
        <v>21</v>
      </c>
      <c r="H720" t="str">
        <f>"610124"</f>
        <v>610124</v>
      </c>
      <c r="I720" t="str">
        <f>"B STREET BOOSTER STATION"</f>
        <v>B STREET BOOSTER STATION</v>
      </c>
    </row>
    <row r="721" spans="1:9" x14ac:dyDescent="0.25">
      <c r="A721" s="6">
        <v>43768</v>
      </c>
      <c r="B721" t="s">
        <v>26</v>
      </c>
      <c r="C721">
        <v>62403</v>
      </c>
      <c r="D721" t="s">
        <v>137</v>
      </c>
      <c r="E721" s="7">
        <v>121.9</v>
      </c>
      <c r="F721" t="s">
        <v>20</v>
      </c>
      <c r="G721" t="s">
        <v>21</v>
      </c>
      <c r="H721" t="str">
        <f>"4576"</f>
        <v>4576</v>
      </c>
      <c r="I721" t="str">
        <f>"OMNIBUS-M  INC.D.B.A."</f>
        <v>OMNIBUS-M  INC.D.B.A.</v>
      </c>
    </row>
    <row r="722" spans="1:9" x14ac:dyDescent="0.25">
      <c r="E722" s="7"/>
      <c r="F722" t="s">
        <v>20</v>
      </c>
      <c r="G722" t="s">
        <v>21</v>
      </c>
      <c r="H722" t="str">
        <f>"4577"</f>
        <v>4577</v>
      </c>
      <c r="I722" t="str">
        <f>"OMNIBUS-M  INC.D.B.A."</f>
        <v>OMNIBUS-M  INC.D.B.A.</v>
      </c>
    </row>
    <row r="723" spans="1:9" x14ac:dyDescent="0.25">
      <c r="A723" s="6">
        <v>43768</v>
      </c>
      <c r="B723" t="s">
        <v>26</v>
      </c>
      <c r="C723">
        <v>62404</v>
      </c>
      <c r="D723" t="s">
        <v>77</v>
      </c>
      <c r="E723" s="7">
        <v>3538.48</v>
      </c>
      <c r="F723" t="s">
        <v>20</v>
      </c>
      <c r="G723" t="s">
        <v>21</v>
      </c>
      <c r="H723" t="str">
        <f>"857001993-19"</f>
        <v>857001993-19</v>
      </c>
      <c r="I723" t="str">
        <f>"CHLORINE"</f>
        <v>CHLORINE</v>
      </c>
    </row>
    <row r="724" spans="1:9" x14ac:dyDescent="0.25">
      <c r="E724" s="7"/>
      <c r="F724" t="s">
        <v>20</v>
      </c>
      <c r="G724" t="s">
        <v>21</v>
      </c>
      <c r="H724" t="str">
        <f>"857001994-19"</f>
        <v>857001994-19</v>
      </c>
      <c r="I724" t="str">
        <f>"CHLORINE"</f>
        <v>CHLORINE</v>
      </c>
    </row>
    <row r="725" spans="1:9" x14ac:dyDescent="0.25">
      <c r="E725" s="7"/>
      <c r="F725" t="s">
        <v>20</v>
      </c>
      <c r="G725" t="s">
        <v>21</v>
      </c>
      <c r="H725" t="str">
        <f>"857002035-19"</f>
        <v>857002035-19</v>
      </c>
      <c r="I725" t="str">
        <f>"CHLORINE- WW"</f>
        <v>CHLORINE- WW</v>
      </c>
    </row>
    <row r="726" spans="1:9" x14ac:dyDescent="0.25">
      <c r="E726" s="7"/>
      <c r="F726" t="s">
        <v>20</v>
      </c>
      <c r="G726" t="s">
        <v>21</v>
      </c>
      <c r="H726" t="str">
        <f>"857002107-19"</f>
        <v>857002107-19</v>
      </c>
      <c r="I726" t="str">
        <f>"CHLORINE"</f>
        <v>CHLORINE</v>
      </c>
    </row>
    <row r="727" spans="1:9" x14ac:dyDescent="0.25">
      <c r="E727" s="7"/>
      <c r="F727" t="s">
        <v>20</v>
      </c>
      <c r="G727" t="s">
        <v>21</v>
      </c>
      <c r="H727" t="str">
        <f>"DE85002122-19"</f>
        <v>DE85002122-19</v>
      </c>
      <c r="I727" t="str">
        <f>"DPC INDUSTRIES  INC."</f>
        <v>DPC INDUSTRIES  INC.</v>
      </c>
    </row>
    <row r="728" spans="1:9" x14ac:dyDescent="0.25">
      <c r="E728" s="7"/>
      <c r="F728" t="s">
        <v>20</v>
      </c>
      <c r="G728" t="s">
        <v>21</v>
      </c>
      <c r="H728" t="str">
        <f>"DE85002330-19"</f>
        <v>DE85002330-19</v>
      </c>
      <c r="I728" t="str">
        <f>"DPC INDUSTRIES  INC."</f>
        <v>DPC INDUSTRIES  INC.</v>
      </c>
    </row>
    <row r="729" spans="1:9" x14ac:dyDescent="0.25">
      <c r="A729" s="6">
        <v>43768</v>
      </c>
      <c r="B729" t="s">
        <v>26</v>
      </c>
      <c r="C729">
        <v>62405</v>
      </c>
      <c r="D729" t="s">
        <v>125</v>
      </c>
      <c r="E729" s="7">
        <v>6755</v>
      </c>
      <c r="F729" t="s">
        <v>20</v>
      </c>
      <c r="G729" t="s">
        <v>21</v>
      </c>
      <c r="H729" t="str">
        <f>"18-0202 5/2019"</f>
        <v>18-0202 5/2019</v>
      </c>
      <c r="I729" t="str">
        <f>"INTREPID SURVEYING CORPORATION"</f>
        <v>INTREPID SURVEYING CORPORATION</v>
      </c>
    </row>
    <row r="730" spans="1:9" x14ac:dyDescent="0.25">
      <c r="E730" s="7"/>
      <c r="F730" t="s">
        <v>20</v>
      </c>
      <c r="G730" t="s">
        <v>21</v>
      </c>
      <c r="H730" t="str">
        <f>"19-0017 4/2019"</f>
        <v>19-0017 4/2019</v>
      </c>
      <c r="I730" t="str">
        <f>"INTREPID SURVEYING CORPORATION"</f>
        <v>INTREPID SURVEYING CORPORATION</v>
      </c>
    </row>
    <row r="731" spans="1:9" x14ac:dyDescent="0.25">
      <c r="E731" s="7"/>
      <c r="F731" t="s">
        <v>20</v>
      </c>
      <c r="G731" t="s">
        <v>21</v>
      </c>
      <c r="H731" t="str">
        <f>"19-0149 5/2019"</f>
        <v>19-0149 5/2019</v>
      </c>
      <c r="I731" t="str">
        <f>"INTREPID SURVEYING CORPORATION"</f>
        <v>INTREPID SURVEYING CORPORATION</v>
      </c>
    </row>
    <row r="732" spans="1:9" x14ac:dyDescent="0.25">
      <c r="E732" s="7"/>
      <c r="F732" t="s">
        <v>20</v>
      </c>
      <c r="G732" t="s">
        <v>21</v>
      </c>
      <c r="H732" t="str">
        <f>"19-0176 5/2019"</f>
        <v>19-0176 5/2019</v>
      </c>
      <c r="I732" t="str">
        <f>"INTREPID SURVEYING CORPORATION"</f>
        <v>INTREPID SURVEYING CORPORATION</v>
      </c>
    </row>
    <row r="733" spans="1:9" x14ac:dyDescent="0.25">
      <c r="E733" s="7"/>
      <c r="F733" t="s">
        <v>20</v>
      </c>
      <c r="G733" t="s">
        <v>21</v>
      </c>
      <c r="H733" t="str">
        <f>"19-0359 5/2019"</f>
        <v>19-0359 5/2019</v>
      </c>
      <c r="I733" t="str">
        <f>"INTREPID SURVEYING CORPORATION"</f>
        <v>INTREPID SURVEYING CORPORATION</v>
      </c>
    </row>
    <row r="734" spans="1:9" x14ac:dyDescent="0.25">
      <c r="A734" s="6">
        <v>43768</v>
      </c>
      <c r="B734" t="s">
        <v>26</v>
      </c>
      <c r="C734">
        <v>62406</v>
      </c>
      <c r="D734" t="s">
        <v>79</v>
      </c>
      <c r="E734" s="7">
        <v>64.23</v>
      </c>
      <c r="F734" t="s">
        <v>20</v>
      </c>
      <c r="G734" t="s">
        <v>21</v>
      </c>
      <c r="H734" t="str">
        <f>"6-763-74420"</f>
        <v>6-763-74420</v>
      </c>
      <c r="I734" t="str">
        <f>"FEDEX"</f>
        <v>FEDEX</v>
      </c>
    </row>
    <row r="735" spans="1:9" x14ac:dyDescent="0.25">
      <c r="E735" s="7"/>
      <c r="F735" t="s">
        <v>20</v>
      </c>
      <c r="G735" t="s">
        <v>21</v>
      </c>
      <c r="H735" t="str">
        <f>"6-777-49237"</f>
        <v>6-777-49237</v>
      </c>
      <c r="I735" t="str">
        <f>"FEDEX"</f>
        <v>FEDEX</v>
      </c>
    </row>
    <row r="736" spans="1:9" x14ac:dyDescent="0.25">
      <c r="A736" s="6">
        <v>43768</v>
      </c>
      <c r="B736" t="s">
        <v>26</v>
      </c>
      <c r="C736">
        <v>62407</v>
      </c>
      <c r="D736" t="s">
        <v>633</v>
      </c>
      <c r="E736" s="7">
        <v>1469.11</v>
      </c>
      <c r="F736" t="s">
        <v>20</v>
      </c>
      <c r="G736" t="s">
        <v>21</v>
      </c>
      <c r="H736" t="str">
        <f>"0096544552"</f>
        <v>0096544552</v>
      </c>
      <c r="I736" t="str">
        <f>"CINTAS FIRE 636525"</f>
        <v>CINTAS FIRE 636525</v>
      </c>
    </row>
    <row r="737" spans="1:9" x14ac:dyDescent="0.25">
      <c r="A737" s="6">
        <v>43768</v>
      </c>
      <c r="B737" t="s">
        <v>26</v>
      </c>
      <c r="C737">
        <v>62408</v>
      </c>
      <c r="D737" t="s">
        <v>148</v>
      </c>
      <c r="E737" s="7">
        <v>7057.89</v>
      </c>
      <c r="F737" t="s">
        <v>20</v>
      </c>
      <c r="G737" t="s">
        <v>21</v>
      </c>
      <c r="H737" t="str">
        <f>"CWQ0059462"</f>
        <v>CWQ0059462</v>
      </c>
      <c r="I737" t="str">
        <f>"TEXAS COMMISSION ON ENVIRONMEN"</f>
        <v>TEXAS COMMISSION ON ENVIRONMEN</v>
      </c>
    </row>
    <row r="738" spans="1:9" x14ac:dyDescent="0.25">
      <c r="E738" s="7"/>
      <c r="F738" t="s">
        <v>20</v>
      </c>
      <c r="G738" t="s">
        <v>21</v>
      </c>
      <c r="H738" t="str">
        <f>"STX0044512"</f>
        <v>STX0044512</v>
      </c>
      <c r="I738" t="str">
        <f>"TEXAS COMMISSION ON ENVIRONMEN"</f>
        <v>TEXAS COMMISSION ON ENVIRONMEN</v>
      </c>
    </row>
    <row r="739" spans="1:9" x14ac:dyDescent="0.25">
      <c r="A739" s="6">
        <v>43768</v>
      </c>
      <c r="B739" t="s">
        <v>26</v>
      </c>
      <c r="C739">
        <v>62409</v>
      </c>
      <c r="D739" t="s">
        <v>128</v>
      </c>
      <c r="E739" s="7">
        <v>488.32</v>
      </c>
      <c r="F739" t="s">
        <v>20</v>
      </c>
      <c r="G739" t="s">
        <v>21</v>
      </c>
      <c r="H739" t="str">
        <f>"GFOAT CONF.NOV'19"</f>
        <v>GFOAT CONF.NOV'19</v>
      </c>
      <c r="I739" t="str">
        <f>"HELEN S. MARTINEZ"</f>
        <v>HELEN S. MARTINEZ</v>
      </c>
    </row>
    <row r="740" spans="1:9" x14ac:dyDescent="0.25">
      <c r="A740" s="6">
        <v>43768</v>
      </c>
      <c r="B740" t="s">
        <v>26</v>
      </c>
      <c r="C740">
        <v>62410</v>
      </c>
      <c r="D740" t="s">
        <v>81</v>
      </c>
      <c r="E740" s="7">
        <v>84.5</v>
      </c>
      <c r="F740" t="s">
        <v>20</v>
      </c>
      <c r="G740" t="s">
        <v>21</v>
      </c>
      <c r="H740" t="str">
        <f>"A.MARTINEZ10/28/19"</f>
        <v>A.MARTINEZ10/28/19</v>
      </c>
      <c r="I740" t="str">
        <f>"CITY OF FLORESVILLE -PETTY CAS"</f>
        <v>CITY OF FLORESVILLE -PETTY CAS</v>
      </c>
    </row>
    <row r="741" spans="1:9" x14ac:dyDescent="0.25">
      <c r="A741" s="6">
        <v>43768</v>
      </c>
      <c r="B741" t="s">
        <v>26</v>
      </c>
      <c r="C741">
        <v>62411</v>
      </c>
      <c r="D741" t="s">
        <v>83</v>
      </c>
      <c r="E741" s="7">
        <v>1044</v>
      </c>
      <c r="F741" t="s">
        <v>20</v>
      </c>
      <c r="G741" t="s">
        <v>21</v>
      </c>
      <c r="H741" t="str">
        <f>"941153"</f>
        <v>941153</v>
      </c>
      <c r="I741" t="str">
        <f>"APPRIVER"</f>
        <v>APPRIVER</v>
      </c>
    </row>
    <row r="742" spans="1:9" x14ac:dyDescent="0.25">
      <c r="A742" s="6">
        <v>43768</v>
      </c>
      <c r="B742" t="s">
        <v>26</v>
      </c>
      <c r="C742">
        <v>62412</v>
      </c>
      <c r="D742" t="s">
        <v>84</v>
      </c>
      <c r="E742" s="7">
        <v>2106.25</v>
      </c>
      <c r="F742" t="s">
        <v>20</v>
      </c>
      <c r="G742" t="s">
        <v>21</v>
      </c>
      <c r="H742" t="str">
        <f>"1579483"</f>
        <v>1579483</v>
      </c>
      <c r="I742" t="str">
        <f>"STANTEC CONSULTING SERVICES IN"</f>
        <v>STANTEC CONSULTING SERVICES IN</v>
      </c>
    </row>
    <row r="743" spans="1:9" x14ac:dyDescent="0.25">
      <c r="A743" s="6">
        <v>43768</v>
      </c>
      <c r="B743" t="s">
        <v>26</v>
      </c>
      <c r="C743">
        <v>62413</v>
      </c>
      <c r="D743" t="s">
        <v>85</v>
      </c>
      <c r="E743" s="7">
        <v>5277.47</v>
      </c>
      <c r="F743" t="s">
        <v>20</v>
      </c>
      <c r="G743" t="s">
        <v>21</v>
      </c>
      <c r="H743" t="str">
        <f>"OCT' 19 8301970046"</f>
        <v>OCT' 19 8301970046</v>
      </c>
      <c r="I743" t="str">
        <f t="shared" ref="I743:I759" si="13">"FRONTIER"</f>
        <v>FRONTIER</v>
      </c>
    </row>
    <row r="744" spans="1:9" x14ac:dyDescent="0.25">
      <c r="E744" s="7"/>
      <c r="F744" t="s">
        <v>20</v>
      </c>
      <c r="G744" t="s">
        <v>21</v>
      </c>
      <c r="H744" t="str">
        <f>"OCT. 2019 3932056"</f>
        <v>OCT. 2019 3932056</v>
      </c>
      <c r="I744" t="str">
        <f t="shared" si="13"/>
        <v>FRONTIER</v>
      </c>
    </row>
    <row r="745" spans="1:9" x14ac:dyDescent="0.25">
      <c r="E745" s="7"/>
      <c r="F745" t="s">
        <v>20</v>
      </c>
      <c r="G745" t="s">
        <v>21</v>
      </c>
      <c r="H745" t="str">
        <f>"OCT. 2019 3933105"</f>
        <v>OCT. 2019 3933105</v>
      </c>
      <c r="I745" t="str">
        <f t="shared" si="13"/>
        <v>FRONTIER</v>
      </c>
    </row>
    <row r="746" spans="1:9" x14ac:dyDescent="0.25">
      <c r="E746" s="7"/>
      <c r="F746" t="s">
        <v>20</v>
      </c>
      <c r="G746" t="s">
        <v>21</v>
      </c>
      <c r="H746" t="str">
        <f>"OCT. 2019 3933718"</f>
        <v>OCT. 2019 3933718</v>
      </c>
      <c r="I746" t="str">
        <f t="shared" si="13"/>
        <v>FRONTIER</v>
      </c>
    </row>
    <row r="747" spans="1:9" x14ac:dyDescent="0.25">
      <c r="E747" s="7"/>
      <c r="F747" t="s">
        <v>20</v>
      </c>
      <c r="G747" t="s">
        <v>21</v>
      </c>
      <c r="H747" t="str">
        <f>"OCT.19  8301970024"</f>
        <v>OCT.19  8301970024</v>
      </c>
      <c r="I747" t="str">
        <f t="shared" si="13"/>
        <v>FRONTIER</v>
      </c>
    </row>
    <row r="748" spans="1:9" x14ac:dyDescent="0.25">
      <c r="E748" s="7"/>
      <c r="F748" t="s">
        <v>20</v>
      </c>
      <c r="G748" t="s">
        <v>21</v>
      </c>
      <c r="H748" t="str">
        <f>"OCT.19 8302162691"</f>
        <v>OCT.19 8302162691</v>
      </c>
      <c r="I748" t="str">
        <f t="shared" si="13"/>
        <v>FRONTIER</v>
      </c>
    </row>
    <row r="749" spans="1:9" x14ac:dyDescent="0.25">
      <c r="E749" s="7"/>
      <c r="F749" t="s">
        <v>20</v>
      </c>
      <c r="G749" t="s">
        <v>21</v>
      </c>
      <c r="H749" t="str">
        <f>"OCT.19 98301970025"</f>
        <v>OCT.19 98301970025</v>
      </c>
      <c r="I749" t="str">
        <f t="shared" si="13"/>
        <v>FRONTIER</v>
      </c>
    </row>
    <row r="750" spans="1:9" x14ac:dyDescent="0.25">
      <c r="E750" s="7"/>
      <c r="F750" t="s">
        <v>20</v>
      </c>
      <c r="G750" t="s">
        <v>21</v>
      </c>
      <c r="H750" t="str">
        <f>"OCT.2019 2162733"</f>
        <v>OCT.2019 2162733</v>
      </c>
      <c r="I750" t="str">
        <f t="shared" si="13"/>
        <v>FRONTIER</v>
      </c>
    </row>
    <row r="751" spans="1:9" x14ac:dyDescent="0.25">
      <c r="E751" s="7"/>
      <c r="F751" t="s">
        <v>20</v>
      </c>
      <c r="G751" t="s">
        <v>21</v>
      </c>
      <c r="H751" t="str">
        <f>"OCT.2019 3932755"</f>
        <v>OCT.2019 3932755</v>
      </c>
      <c r="I751" t="str">
        <f t="shared" si="13"/>
        <v>FRONTIER</v>
      </c>
    </row>
    <row r="752" spans="1:9" x14ac:dyDescent="0.25">
      <c r="E752" s="7"/>
      <c r="F752" t="s">
        <v>20</v>
      </c>
      <c r="G752" t="s">
        <v>21</v>
      </c>
      <c r="H752" t="str">
        <f>"OCT.2019 3932804"</f>
        <v>OCT.2019 3932804</v>
      </c>
      <c r="I752" t="str">
        <f t="shared" si="13"/>
        <v>FRONTIER</v>
      </c>
    </row>
    <row r="753" spans="1:9" x14ac:dyDescent="0.25">
      <c r="E753" s="7"/>
      <c r="F753" t="s">
        <v>20</v>
      </c>
      <c r="G753" t="s">
        <v>21</v>
      </c>
      <c r="H753" t="str">
        <f>"OCT.2019 3933186"</f>
        <v>OCT.2019 3933186</v>
      </c>
      <c r="I753" t="str">
        <f t="shared" si="13"/>
        <v>FRONTIER</v>
      </c>
    </row>
    <row r="754" spans="1:9" x14ac:dyDescent="0.25">
      <c r="E754" s="7"/>
      <c r="F754" t="s">
        <v>20</v>
      </c>
      <c r="G754" t="s">
        <v>21</v>
      </c>
      <c r="H754" t="str">
        <f>"OCT.2019 3934055"</f>
        <v>OCT.2019 3934055</v>
      </c>
      <c r="I754" t="str">
        <f t="shared" si="13"/>
        <v>FRONTIER</v>
      </c>
    </row>
    <row r="755" spans="1:9" x14ac:dyDescent="0.25">
      <c r="E755" s="7"/>
      <c r="F755" t="s">
        <v>20</v>
      </c>
      <c r="G755" t="s">
        <v>21</v>
      </c>
      <c r="H755" t="str">
        <f>"OCT.2019 3936616"</f>
        <v>OCT.2019 3936616</v>
      </c>
      <c r="I755" t="str">
        <f t="shared" si="13"/>
        <v>FRONTIER</v>
      </c>
    </row>
    <row r="756" spans="1:9" x14ac:dyDescent="0.25">
      <c r="E756" s="7"/>
      <c r="F756" t="s">
        <v>20</v>
      </c>
      <c r="G756" t="s">
        <v>21</v>
      </c>
      <c r="H756" t="str">
        <f>"OCT.2019 3936794"</f>
        <v>OCT.2019 3936794</v>
      </c>
      <c r="I756" t="str">
        <f t="shared" si="13"/>
        <v>FRONTIER</v>
      </c>
    </row>
    <row r="757" spans="1:9" x14ac:dyDescent="0.25">
      <c r="E757" s="7"/>
      <c r="F757" t="s">
        <v>20</v>
      </c>
      <c r="G757" t="s">
        <v>21</v>
      </c>
      <c r="H757" t="str">
        <f>"OCT.2019 3938193"</f>
        <v>OCT.2019 3938193</v>
      </c>
      <c r="I757" t="str">
        <f t="shared" si="13"/>
        <v>FRONTIER</v>
      </c>
    </row>
    <row r="758" spans="1:9" x14ac:dyDescent="0.25">
      <c r="E758" s="7"/>
      <c r="F758" t="s">
        <v>20</v>
      </c>
      <c r="G758" t="s">
        <v>21</v>
      </c>
      <c r="H758" t="str">
        <f>"OCT.2019 3939456"</f>
        <v>OCT.2019 3939456</v>
      </c>
      <c r="I758" t="str">
        <f t="shared" si="13"/>
        <v>FRONTIER</v>
      </c>
    </row>
    <row r="759" spans="1:9" x14ac:dyDescent="0.25">
      <c r="E759" s="7"/>
      <c r="F759" t="s">
        <v>20</v>
      </c>
      <c r="G759" t="s">
        <v>21</v>
      </c>
      <c r="H759" t="str">
        <f>"OCT2019 9837110018"</f>
        <v>OCT2019 9837110018</v>
      </c>
      <c r="I759" t="str">
        <f t="shared" si="13"/>
        <v>FRONTIER</v>
      </c>
    </row>
    <row r="760" spans="1:9" x14ac:dyDescent="0.25">
      <c r="A760" s="6">
        <v>43768</v>
      </c>
      <c r="B760" t="s">
        <v>26</v>
      </c>
      <c r="C760">
        <v>62416</v>
      </c>
      <c r="D760" t="s">
        <v>132</v>
      </c>
      <c r="E760" s="7">
        <v>123.11</v>
      </c>
      <c r="F760" t="s">
        <v>20</v>
      </c>
      <c r="G760" t="s">
        <v>21</v>
      </c>
      <c r="H760" t="str">
        <f>"16992887 101019"</f>
        <v>16992887 101019</v>
      </c>
      <c r="I760" t="str">
        <f>"SPARKLETTS &amp; SIERRA SPRINGS"</f>
        <v>SPARKLETTS &amp; SIERRA SPRINGS</v>
      </c>
    </row>
    <row r="761" spans="1:9" x14ac:dyDescent="0.25">
      <c r="A761" s="6">
        <v>43768</v>
      </c>
      <c r="B761" t="s">
        <v>26</v>
      </c>
      <c r="C761">
        <v>62417</v>
      </c>
      <c r="D761" t="s">
        <v>345</v>
      </c>
      <c r="E761" s="7">
        <v>352</v>
      </c>
      <c r="F761" t="s">
        <v>20</v>
      </c>
      <c r="G761" t="s">
        <v>21</v>
      </c>
      <c r="H761" t="str">
        <f>"10/28/19"</f>
        <v>10/28/19</v>
      </c>
      <c r="I761" t="str">
        <f>"MICHAEL ISAAC MARTINEZ"</f>
        <v>MICHAEL ISAAC MARTINEZ</v>
      </c>
    </row>
    <row r="762" spans="1:9" x14ac:dyDescent="0.25">
      <c r="A762" s="6">
        <v>43768</v>
      </c>
      <c r="B762" t="s">
        <v>26</v>
      </c>
      <c r="C762">
        <v>62418</v>
      </c>
      <c r="D762" t="s">
        <v>218</v>
      </c>
      <c r="E762" s="7">
        <v>65</v>
      </c>
      <c r="F762" t="s">
        <v>20</v>
      </c>
      <c r="G762" t="s">
        <v>21</v>
      </c>
      <c r="H762" t="str">
        <f>"9329"</f>
        <v>9329</v>
      </c>
      <c r="I762" t="str">
        <f>"TOWING FOR FORD F-350 WW"</f>
        <v>TOWING FOR FORD F-350 WW</v>
      </c>
    </row>
    <row r="763" spans="1:9" x14ac:dyDescent="0.25">
      <c r="A763" s="6">
        <v>43768</v>
      </c>
      <c r="B763" t="s">
        <v>26</v>
      </c>
      <c r="C763">
        <v>62419</v>
      </c>
      <c r="D763" t="s">
        <v>452</v>
      </c>
      <c r="E763" s="7">
        <v>180</v>
      </c>
      <c r="F763" t="s">
        <v>20</v>
      </c>
      <c r="G763" t="s">
        <v>21</v>
      </c>
      <c r="H763" t="str">
        <f>"10/28/2019"</f>
        <v>10/28/2019</v>
      </c>
      <c r="I763" t="str">
        <f>"DESIREE PEREZ"</f>
        <v>DESIREE PEREZ</v>
      </c>
    </row>
    <row r="764" spans="1:9" x14ac:dyDescent="0.25">
      <c r="A764" s="6">
        <v>43768</v>
      </c>
      <c r="B764" t="s">
        <v>26</v>
      </c>
      <c r="C764">
        <v>62420</v>
      </c>
      <c r="D764" t="s">
        <v>48</v>
      </c>
      <c r="E764" s="7">
        <v>1092.5</v>
      </c>
      <c r="F764" t="s">
        <v>20</v>
      </c>
      <c r="G764" t="s">
        <v>21</v>
      </c>
      <c r="H764" t="str">
        <f>"1739"</f>
        <v>1739</v>
      </c>
      <c r="I764" t="str">
        <f>"RANDY HOLLAR  LLC"</f>
        <v>RANDY HOLLAR  LLC</v>
      </c>
    </row>
    <row r="765" spans="1:9" x14ac:dyDescent="0.25">
      <c r="A765" s="6">
        <v>43768</v>
      </c>
      <c r="B765" t="s">
        <v>26</v>
      </c>
      <c r="C765">
        <v>62421</v>
      </c>
      <c r="D765" t="s">
        <v>346</v>
      </c>
      <c r="E765" s="7">
        <v>13750</v>
      </c>
      <c r="F765" t="s">
        <v>20</v>
      </c>
      <c r="G765" t="s">
        <v>21</v>
      </c>
      <c r="H765" t="str">
        <f>"9/11-10/11/2019"</f>
        <v>9/11-10/11/2019</v>
      </c>
      <c r="I765" t="str">
        <f>"SYLVIA RODRIGUEZ"</f>
        <v>SYLVIA RODRIGUEZ</v>
      </c>
    </row>
    <row r="766" spans="1:9" x14ac:dyDescent="0.25">
      <c r="A766" s="6">
        <v>43768</v>
      </c>
      <c r="B766" t="s">
        <v>26</v>
      </c>
      <c r="C766">
        <v>62422</v>
      </c>
      <c r="D766" t="s">
        <v>398</v>
      </c>
      <c r="E766" s="7">
        <v>405</v>
      </c>
      <c r="F766" t="s">
        <v>20</v>
      </c>
      <c r="G766" t="s">
        <v>21</v>
      </c>
      <c r="H766" t="str">
        <f>"1396"</f>
        <v>1396</v>
      </c>
      <c r="I766" t="str">
        <f>"INTERCEPTOR TECHNOLOGY GROUP L"</f>
        <v>INTERCEPTOR TECHNOLOGY GROUP L</v>
      </c>
    </row>
    <row r="767" spans="1:9" x14ac:dyDescent="0.25">
      <c r="A767" s="6">
        <v>43768</v>
      </c>
      <c r="B767" t="s">
        <v>26</v>
      </c>
      <c r="C767">
        <v>62423</v>
      </c>
      <c r="D767" t="s">
        <v>559</v>
      </c>
      <c r="E767" s="7">
        <v>339.47</v>
      </c>
      <c r="F767" t="s">
        <v>20</v>
      </c>
      <c r="G767" t="s">
        <v>21</v>
      </c>
      <c r="H767" t="str">
        <f>"66785"</f>
        <v>66785</v>
      </c>
      <c r="I767" t="str">
        <f>"PAGE'S PRINTING"</f>
        <v>PAGE'S PRINTING</v>
      </c>
    </row>
    <row r="768" spans="1:9" x14ac:dyDescent="0.25">
      <c r="A768" s="6">
        <v>43768</v>
      </c>
      <c r="B768" t="s">
        <v>26</v>
      </c>
      <c r="C768">
        <v>62424</v>
      </c>
      <c r="D768" t="s">
        <v>568</v>
      </c>
      <c r="E768" s="7">
        <v>2200.75</v>
      </c>
      <c r="F768" t="s">
        <v>20</v>
      </c>
      <c r="G768" t="s">
        <v>21</v>
      </c>
      <c r="H768" t="str">
        <f>"10650266"</f>
        <v>10650266</v>
      </c>
      <c r="I768" t="str">
        <f>"WATER TRUCK UNIT#202"</f>
        <v>WATER TRUCK UNIT#202</v>
      </c>
    </row>
    <row r="769" spans="1:9" x14ac:dyDescent="0.25">
      <c r="E769" s="7"/>
      <c r="F769" t="s">
        <v>20</v>
      </c>
      <c r="G769" t="s">
        <v>21</v>
      </c>
      <c r="H769" t="str">
        <f>"8625447"</f>
        <v>8625447</v>
      </c>
      <c r="I769" t="str">
        <f>"TIRE HUB"</f>
        <v>TIRE HUB</v>
      </c>
    </row>
    <row r="770" spans="1:9" x14ac:dyDescent="0.25">
      <c r="E770" s="7"/>
      <c r="F770" t="s">
        <v>20</v>
      </c>
      <c r="G770" t="s">
        <v>21</v>
      </c>
      <c r="H770" t="str">
        <f>"8649567"</f>
        <v>8649567</v>
      </c>
      <c r="I770" t="str">
        <f>"TIRES FOR UNIT 107"</f>
        <v>TIRES FOR UNIT 107</v>
      </c>
    </row>
    <row r="771" spans="1:9" x14ac:dyDescent="0.25">
      <c r="E771" s="7"/>
      <c r="F771" t="s">
        <v>20</v>
      </c>
      <c r="G771" t="s">
        <v>21</v>
      </c>
      <c r="H771" t="str">
        <f>"9519328"</f>
        <v>9519328</v>
      </c>
      <c r="I771" t="str">
        <f>"TIRES FOR UNIT 603 WW"</f>
        <v>TIRES FOR UNIT 603 WW</v>
      </c>
    </row>
    <row r="772" spans="1:9" x14ac:dyDescent="0.25">
      <c r="E772" s="7"/>
      <c r="F772" t="s">
        <v>20</v>
      </c>
      <c r="G772" t="s">
        <v>21</v>
      </c>
      <c r="H772" t="str">
        <f>"9665132"</f>
        <v>9665132</v>
      </c>
      <c r="I772" t="str">
        <f>"TIRES FOR UNIT #328"</f>
        <v>TIRES FOR UNIT #328</v>
      </c>
    </row>
    <row r="773" spans="1:9" x14ac:dyDescent="0.25">
      <c r="A773" s="6">
        <v>43768</v>
      </c>
      <c r="B773" t="s">
        <v>26</v>
      </c>
      <c r="C773">
        <v>62425</v>
      </c>
      <c r="D773" t="s">
        <v>599</v>
      </c>
      <c r="E773" s="7">
        <v>59609.3</v>
      </c>
      <c r="F773" t="s">
        <v>20</v>
      </c>
      <c r="G773" t="s">
        <v>21</v>
      </c>
      <c r="H773" t="str">
        <f>"PAY APP #12"</f>
        <v>PAY APP #12</v>
      </c>
      <c r="I773" t="str">
        <f>"METER INSTALL GROUP  LLC."</f>
        <v>METER INSTALL GROUP  LLC.</v>
      </c>
    </row>
    <row r="774" spans="1:9" x14ac:dyDescent="0.25">
      <c r="A774" s="6">
        <v>43768</v>
      </c>
      <c r="B774" t="s">
        <v>26</v>
      </c>
      <c r="C774">
        <v>62426</v>
      </c>
      <c r="D774" t="s">
        <v>644</v>
      </c>
      <c r="E774" s="7">
        <v>2882.38</v>
      </c>
      <c r="F774" t="s">
        <v>20</v>
      </c>
      <c r="G774" t="s">
        <v>21</v>
      </c>
      <c r="H774" t="str">
        <f>"8213373040"</f>
        <v>8213373040</v>
      </c>
      <c r="I774" t="str">
        <f t="shared" ref="I774:I799" si="14">"UNIFIRST CORPORATION"</f>
        <v>UNIFIRST CORPORATION</v>
      </c>
    </row>
    <row r="775" spans="1:9" x14ac:dyDescent="0.25">
      <c r="E775" s="7"/>
      <c r="F775" t="s">
        <v>20</v>
      </c>
      <c r="G775" t="s">
        <v>21</v>
      </c>
      <c r="H775" t="str">
        <f>"8213373041"</f>
        <v>8213373041</v>
      </c>
      <c r="I775" t="str">
        <f t="shared" si="14"/>
        <v>UNIFIRST CORPORATION</v>
      </c>
    </row>
    <row r="776" spans="1:9" x14ac:dyDescent="0.25">
      <c r="E776" s="7"/>
      <c r="F776" t="s">
        <v>20</v>
      </c>
      <c r="G776" t="s">
        <v>21</v>
      </c>
      <c r="H776" t="str">
        <f>"8213373042"</f>
        <v>8213373042</v>
      </c>
      <c r="I776" t="str">
        <f t="shared" si="14"/>
        <v>UNIFIRST CORPORATION</v>
      </c>
    </row>
    <row r="777" spans="1:9" x14ac:dyDescent="0.25">
      <c r="E777" s="7"/>
      <c r="F777" t="s">
        <v>20</v>
      </c>
      <c r="G777" t="s">
        <v>21</v>
      </c>
      <c r="H777" t="str">
        <f>"8213373043"</f>
        <v>8213373043</v>
      </c>
      <c r="I777" t="str">
        <f t="shared" si="14"/>
        <v>UNIFIRST CORPORATION</v>
      </c>
    </row>
    <row r="778" spans="1:9" x14ac:dyDescent="0.25">
      <c r="E778" s="7"/>
      <c r="F778" t="s">
        <v>20</v>
      </c>
      <c r="G778" t="s">
        <v>21</v>
      </c>
      <c r="H778" t="str">
        <f>"8213373044"</f>
        <v>8213373044</v>
      </c>
      <c r="I778" t="str">
        <f t="shared" si="14"/>
        <v>UNIFIRST CORPORATION</v>
      </c>
    </row>
    <row r="779" spans="1:9" x14ac:dyDescent="0.25">
      <c r="E779" s="7"/>
      <c r="F779" t="s">
        <v>20</v>
      </c>
      <c r="G779" t="s">
        <v>21</v>
      </c>
      <c r="H779" t="str">
        <f>"8213373045"</f>
        <v>8213373045</v>
      </c>
      <c r="I779" t="str">
        <f t="shared" si="14"/>
        <v>UNIFIRST CORPORATION</v>
      </c>
    </row>
    <row r="780" spans="1:9" x14ac:dyDescent="0.25">
      <c r="E780" s="7"/>
      <c r="F780" t="s">
        <v>20</v>
      </c>
      <c r="G780" t="s">
        <v>21</v>
      </c>
      <c r="H780" t="str">
        <f>"8213375842"</f>
        <v>8213375842</v>
      </c>
      <c r="I780" t="str">
        <f t="shared" si="14"/>
        <v>UNIFIRST CORPORATION</v>
      </c>
    </row>
    <row r="781" spans="1:9" x14ac:dyDescent="0.25">
      <c r="E781" s="7"/>
      <c r="F781" t="s">
        <v>20</v>
      </c>
      <c r="G781" t="s">
        <v>21</v>
      </c>
      <c r="H781" t="str">
        <f>"8213375843"</f>
        <v>8213375843</v>
      </c>
      <c r="I781" t="str">
        <f t="shared" si="14"/>
        <v>UNIFIRST CORPORATION</v>
      </c>
    </row>
    <row r="782" spans="1:9" x14ac:dyDescent="0.25">
      <c r="E782" s="7"/>
      <c r="F782" t="s">
        <v>20</v>
      </c>
      <c r="G782" t="s">
        <v>21</v>
      </c>
      <c r="H782" t="str">
        <f>"8213375844"</f>
        <v>8213375844</v>
      </c>
      <c r="I782" t="str">
        <f t="shared" si="14"/>
        <v>UNIFIRST CORPORATION</v>
      </c>
    </row>
    <row r="783" spans="1:9" x14ac:dyDescent="0.25">
      <c r="E783" s="7"/>
      <c r="F783" t="s">
        <v>20</v>
      </c>
      <c r="G783" t="s">
        <v>21</v>
      </c>
      <c r="H783" t="str">
        <f>"8213375845"</f>
        <v>8213375845</v>
      </c>
      <c r="I783" t="str">
        <f t="shared" si="14"/>
        <v>UNIFIRST CORPORATION</v>
      </c>
    </row>
    <row r="784" spans="1:9" x14ac:dyDescent="0.25">
      <c r="E784" s="7"/>
      <c r="F784" t="s">
        <v>20</v>
      </c>
      <c r="G784" t="s">
        <v>21</v>
      </c>
      <c r="H784" t="str">
        <f>"8213375846"</f>
        <v>8213375846</v>
      </c>
      <c r="I784" t="str">
        <f t="shared" si="14"/>
        <v>UNIFIRST CORPORATION</v>
      </c>
    </row>
    <row r="785" spans="1:9" x14ac:dyDescent="0.25">
      <c r="E785" s="7"/>
      <c r="F785" t="s">
        <v>20</v>
      </c>
      <c r="G785" t="s">
        <v>21</v>
      </c>
      <c r="H785" t="str">
        <f>"8213375847"</f>
        <v>8213375847</v>
      </c>
      <c r="I785" t="str">
        <f t="shared" si="14"/>
        <v>UNIFIRST CORPORATION</v>
      </c>
    </row>
    <row r="786" spans="1:9" x14ac:dyDescent="0.25">
      <c r="E786" s="7"/>
      <c r="F786" t="s">
        <v>20</v>
      </c>
      <c r="G786" t="s">
        <v>21</v>
      </c>
      <c r="H786" t="str">
        <f>"8213375848"</f>
        <v>8213375848</v>
      </c>
      <c r="I786" t="str">
        <f t="shared" si="14"/>
        <v>UNIFIRST CORPORATION</v>
      </c>
    </row>
    <row r="787" spans="1:9" x14ac:dyDescent="0.25">
      <c r="E787" s="7"/>
      <c r="F787" t="s">
        <v>20</v>
      </c>
      <c r="G787" t="s">
        <v>21</v>
      </c>
      <c r="H787" t="str">
        <f>"8213378648"</f>
        <v>8213378648</v>
      </c>
      <c r="I787" t="str">
        <f t="shared" si="14"/>
        <v>UNIFIRST CORPORATION</v>
      </c>
    </row>
    <row r="788" spans="1:9" x14ac:dyDescent="0.25">
      <c r="E788" s="7"/>
      <c r="F788" t="s">
        <v>20</v>
      </c>
      <c r="G788" t="s">
        <v>21</v>
      </c>
      <c r="H788" t="str">
        <f>"8213378649"</f>
        <v>8213378649</v>
      </c>
      <c r="I788" t="str">
        <f t="shared" si="14"/>
        <v>UNIFIRST CORPORATION</v>
      </c>
    </row>
    <row r="789" spans="1:9" x14ac:dyDescent="0.25">
      <c r="E789" s="7"/>
      <c r="F789" t="s">
        <v>20</v>
      </c>
      <c r="G789" t="s">
        <v>21</v>
      </c>
      <c r="H789" t="str">
        <f>"8213378650"</f>
        <v>8213378650</v>
      </c>
      <c r="I789" t="str">
        <f t="shared" si="14"/>
        <v>UNIFIRST CORPORATION</v>
      </c>
    </row>
    <row r="790" spans="1:9" x14ac:dyDescent="0.25">
      <c r="E790" s="7"/>
      <c r="F790" t="s">
        <v>20</v>
      </c>
      <c r="G790" t="s">
        <v>21</v>
      </c>
      <c r="H790" t="str">
        <f>"8213378651"</f>
        <v>8213378651</v>
      </c>
      <c r="I790" t="str">
        <f t="shared" si="14"/>
        <v>UNIFIRST CORPORATION</v>
      </c>
    </row>
    <row r="791" spans="1:9" x14ac:dyDescent="0.25">
      <c r="E791" s="7"/>
      <c r="F791" t="s">
        <v>20</v>
      </c>
      <c r="G791" t="s">
        <v>21</v>
      </c>
      <c r="H791" t="str">
        <f>"8213378652"</f>
        <v>8213378652</v>
      </c>
      <c r="I791" t="str">
        <f t="shared" si="14"/>
        <v>UNIFIRST CORPORATION</v>
      </c>
    </row>
    <row r="792" spans="1:9" x14ac:dyDescent="0.25">
      <c r="E792" s="7"/>
      <c r="F792" t="s">
        <v>20</v>
      </c>
      <c r="G792" t="s">
        <v>21</v>
      </c>
      <c r="H792" t="str">
        <f>"8213378653"</f>
        <v>8213378653</v>
      </c>
      <c r="I792" t="str">
        <f t="shared" si="14"/>
        <v>UNIFIRST CORPORATION</v>
      </c>
    </row>
    <row r="793" spans="1:9" x14ac:dyDescent="0.25">
      <c r="E793" s="7"/>
      <c r="F793" t="s">
        <v>20</v>
      </c>
      <c r="G793" t="s">
        <v>21</v>
      </c>
      <c r="H793" t="str">
        <f>"8213381517"</f>
        <v>8213381517</v>
      </c>
      <c r="I793" t="str">
        <f t="shared" si="14"/>
        <v>UNIFIRST CORPORATION</v>
      </c>
    </row>
    <row r="794" spans="1:9" x14ac:dyDescent="0.25">
      <c r="E794" s="7"/>
      <c r="F794" t="s">
        <v>20</v>
      </c>
      <c r="G794" t="s">
        <v>21</v>
      </c>
      <c r="H794" t="str">
        <f>"8213381518"</f>
        <v>8213381518</v>
      </c>
      <c r="I794" t="str">
        <f t="shared" si="14"/>
        <v>UNIFIRST CORPORATION</v>
      </c>
    </row>
    <row r="795" spans="1:9" x14ac:dyDescent="0.25">
      <c r="E795" s="7"/>
      <c r="F795" t="s">
        <v>20</v>
      </c>
      <c r="G795" t="s">
        <v>21</v>
      </c>
      <c r="H795" t="str">
        <f>"8213381519"</f>
        <v>8213381519</v>
      </c>
      <c r="I795" t="str">
        <f t="shared" si="14"/>
        <v>UNIFIRST CORPORATION</v>
      </c>
    </row>
    <row r="796" spans="1:9" x14ac:dyDescent="0.25">
      <c r="E796" s="7"/>
      <c r="F796" t="s">
        <v>20</v>
      </c>
      <c r="G796" t="s">
        <v>21</v>
      </c>
      <c r="H796" t="str">
        <f>"8213381520"</f>
        <v>8213381520</v>
      </c>
      <c r="I796" t="str">
        <f t="shared" si="14"/>
        <v>UNIFIRST CORPORATION</v>
      </c>
    </row>
    <row r="797" spans="1:9" x14ac:dyDescent="0.25">
      <c r="E797" s="7"/>
      <c r="F797" t="s">
        <v>20</v>
      </c>
      <c r="G797" t="s">
        <v>21</v>
      </c>
      <c r="H797" t="str">
        <f>"8213381521"</f>
        <v>8213381521</v>
      </c>
      <c r="I797" t="str">
        <f t="shared" si="14"/>
        <v>UNIFIRST CORPORATION</v>
      </c>
    </row>
    <row r="798" spans="1:9" x14ac:dyDescent="0.25">
      <c r="E798" s="7"/>
      <c r="F798" t="s">
        <v>20</v>
      </c>
      <c r="G798" t="s">
        <v>21</v>
      </c>
      <c r="H798" t="str">
        <f>"8213381522"</f>
        <v>8213381522</v>
      </c>
      <c r="I798" t="str">
        <f t="shared" si="14"/>
        <v>UNIFIRST CORPORATION</v>
      </c>
    </row>
    <row r="799" spans="1:9" x14ac:dyDescent="0.25">
      <c r="E799" s="7"/>
      <c r="F799" t="s">
        <v>20</v>
      </c>
      <c r="G799" t="s">
        <v>21</v>
      </c>
      <c r="H799" t="str">
        <f>"8213381523"</f>
        <v>8213381523</v>
      </c>
      <c r="I799" t="str">
        <f t="shared" si="14"/>
        <v>UNIFIRST CORPORATION</v>
      </c>
    </row>
    <row r="800" spans="1:9" x14ac:dyDescent="0.25">
      <c r="A800" s="6">
        <v>43768</v>
      </c>
      <c r="B800" t="s">
        <v>26</v>
      </c>
      <c r="C800">
        <v>62431</v>
      </c>
      <c r="D800" t="s">
        <v>647</v>
      </c>
      <c r="E800" s="7">
        <v>2045.01</v>
      </c>
      <c r="F800" t="s">
        <v>20</v>
      </c>
      <c r="G800" t="s">
        <v>21</v>
      </c>
      <c r="H800" t="str">
        <f>"25690970"</f>
        <v>25690970</v>
      </c>
      <c r="I800" t="str">
        <f>"DOCUMATION  INC."</f>
        <v>DOCUMATION  INC.</v>
      </c>
    </row>
    <row r="801" spans="1:9" x14ac:dyDescent="0.25">
      <c r="A801" s="6">
        <v>43768</v>
      </c>
      <c r="B801" t="s">
        <v>26</v>
      </c>
      <c r="C801">
        <v>62432</v>
      </c>
      <c r="D801" t="s">
        <v>685</v>
      </c>
      <c r="E801" s="7">
        <v>2304.25</v>
      </c>
      <c r="F801" t="s">
        <v>20</v>
      </c>
      <c r="G801" t="s">
        <v>21</v>
      </c>
      <c r="H801" t="str">
        <f>"9417D-5"</f>
        <v>9417D-5</v>
      </c>
      <c r="I801" t="str">
        <f>"TEXAS STATE RENTALS; TEXAS STA"</f>
        <v>TEXAS STATE RENTALS; TEXAS STA</v>
      </c>
    </row>
    <row r="802" spans="1:9" x14ac:dyDescent="0.25">
      <c r="A802" s="6">
        <v>43768</v>
      </c>
      <c r="B802" t="s">
        <v>26</v>
      </c>
      <c r="C802">
        <v>62433</v>
      </c>
      <c r="D802" t="s">
        <v>680</v>
      </c>
      <c r="E802" s="7">
        <v>105</v>
      </c>
      <c r="F802" t="s">
        <v>20</v>
      </c>
      <c r="G802" t="s">
        <v>21</v>
      </c>
      <c r="H802" t="str">
        <f>"SOFTBALL 11/1/2019"</f>
        <v>SOFTBALL 11/1/2019</v>
      </c>
      <c r="I802" t="str">
        <f>"JOHN MUNOZ"</f>
        <v>JOHN MUNOZ</v>
      </c>
    </row>
    <row r="803" spans="1:9" x14ac:dyDescent="0.25">
      <c r="A803" s="6">
        <v>43768</v>
      </c>
      <c r="B803" t="s">
        <v>26</v>
      </c>
      <c r="C803">
        <v>62434</v>
      </c>
      <c r="D803" t="s">
        <v>696</v>
      </c>
      <c r="E803" s="7">
        <v>80</v>
      </c>
      <c r="F803" t="s">
        <v>20</v>
      </c>
      <c r="G803" t="s">
        <v>21</v>
      </c>
      <c r="H803" t="str">
        <f>"10/28/19"</f>
        <v>10/28/19</v>
      </c>
      <c r="I803" t="str">
        <f>"ANGEL G. ROSAS"</f>
        <v>ANGEL G. ROSAS</v>
      </c>
    </row>
    <row r="804" spans="1:9" x14ac:dyDescent="0.25">
      <c r="A804" s="6">
        <v>43768</v>
      </c>
      <c r="B804" t="s">
        <v>26</v>
      </c>
      <c r="C804">
        <v>62435</v>
      </c>
      <c r="D804" t="s">
        <v>752</v>
      </c>
      <c r="E804" s="7">
        <v>170</v>
      </c>
      <c r="F804" t="s">
        <v>20</v>
      </c>
      <c r="G804" t="s">
        <v>21</v>
      </c>
      <c r="H804" t="str">
        <f>"10/28/2019"</f>
        <v>10/28/2019</v>
      </c>
      <c r="I804" t="str">
        <f>"BLANCA PEREZ"</f>
        <v>BLANCA PEREZ</v>
      </c>
    </row>
    <row r="805" spans="1:9" x14ac:dyDescent="0.25">
      <c r="A805" s="6">
        <v>43768</v>
      </c>
      <c r="B805" t="s">
        <v>26</v>
      </c>
      <c r="C805">
        <v>62436</v>
      </c>
      <c r="D805" t="s">
        <v>814</v>
      </c>
      <c r="E805" s="7">
        <v>70</v>
      </c>
      <c r="F805" t="s">
        <v>20</v>
      </c>
      <c r="G805" t="s">
        <v>21</v>
      </c>
      <c r="H805" t="str">
        <f>"10/28/2019"</f>
        <v>10/28/2019</v>
      </c>
      <c r="I805" t="str">
        <f>"RACHEL GARCIA"</f>
        <v>RACHEL GARCIA</v>
      </c>
    </row>
    <row r="806" spans="1:9" x14ac:dyDescent="0.25">
      <c r="A806" s="6">
        <v>43768</v>
      </c>
      <c r="B806" t="s">
        <v>26</v>
      </c>
      <c r="C806">
        <v>62437</v>
      </c>
      <c r="D806" t="s">
        <v>824</v>
      </c>
      <c r="E806" s="7">
        <v>185</v>
      </c>
      <c r="F806" t="s">
        <v>20</v>
      </c>
      <c r="G806" t="s">
        <v>21</v>
      </c>
      <c r="H806" t="str">
        <f>"10/28/19"</f>
        <v>10/28/19</v>
      </c>
      <c r="I806" t="str">
        <f>"MALLORY R. NELSON"</f>
        <v>MALLORY R. NELSON</v>
      </c>
    </row>
    <row r="807" spans="1:9" x14ac:dyDescent="0.25">
      <c r="A807" s="6">
        <v>43768</v>
      </c>
      <c r="B807" t="s">
        <v>26</v>
      </c>
      <c r="C807">
        <v>62438</v>
      </c>
      <c r="D807" t="s">
        <v>835</v>
      </c>
      <c r="E807" s="7">
        <v>2681.25</v>
      </c>
      <c r="F807" t="s">
        <v>20</v>
      </c>
      <c r="G807" t="s">
        <v>21</v>
      </c>
      <c r="H807" t="str">
        <f>"50720"</f>
        <v>50720</v>
      </c>
      <c r="I807" t="str">
        <f>"NATIONAL POWER RODDING CORP."</f>
        <v>NATIONAL POWER RODDING CORP.</v>
      </c>
    </row>
    <row r="808" spans="1:9" x14ac:dyDescent="0.25">
      <c r="A808" s="6">
        <v>43768</v>
      </c>
      <c r="B808" t="s">
        <v>26</v>
      </c>
      <c r="C808">
        <v>62439</v>
      </c>
      <c r="D808" t="s">
        <v>836</v>
      </c>
      <c r="E808" s="7">
        <v>4240</v>
      </c>
      <c r="F808" t="s">
        <v>20</v>
      </c>
      <c r="G808" t="s">
        <v>21</v>
      </c>
      <c r="H808" t="str">
        <f>"57973"</f>
        <v>57973</v>
      </c>
      <c r="I808" t="str">
        <f>"BARCOM TECHNOLOGY SOLUTIONS  I"</f>
        <v>BARCOM TECHNOLOGY SOLUTIONS  I</v>
      </c>
    </row>
    <row r="809" spans="1:9" x14ac:dyDescent="0.25">
      <c r="A809" s="6">
        <v>43768</v>
      </c>
      <c r="B809" t="s">
        <v>26</v>
      </c>
      <c r="C809">
        <v>62440</v>
      </c>
      <c r="D809" t="s">
        <v>837</v>
      </c>
      <c r="E809" s="7">
        <v>1172</v>
      </c>
      <c r="F809" t="s">
        <v>20</v>
      </c>
      <c r="G809" t="s">
        <v>21</v>
      </c>
      <c r="H809" t="str">
        <f>"MEMBERSHIP 10/19"</f>
        <v>MEMBERSHIP 10/19</v>
      </c>
      <c r="I809" t="str">
        <f>"NATIONAL LEAGUE OF CITIES"</f>
        <v>NATIONAL LEAGUE OF CITIES</v>
      </c>
    </row>
    <row r="810" spans="1:9" x14ac:dyDescent="0.25">
      <c r="A810" s="6">
        <v>43768</v>
      </c>
      <c r="B810" t="s">
        <v>26</v>
      </c>
      <c r="C810">
        <v>62441</v>
      </c>
      <c r="D810" t="s">
        <v>646</v>
      </c>
      <c r="E810" s="7">
        <v>8250</v>
      </c>
      <c r="F810" t="s">
        <v>20</v>
      </c>
      <c r="G810" t="s">
        <v>21</v>
      </c>
      <c r="H810" t="str">
        <f>"0121817"</f>
        <v>0121817</v>
      </c>
      <c r="I810" t="str">
        <f>"JOHN D. BROWN"</f>
        <v>JOHN D. BROWN</v>
      </c>
    </row>
    <row r="811" spans="1:9" x14ac:dyDescent="0.25">
      <c r="A811" s="6">
        <v>43770</v>
      </c>
      <c r="B811" t="s">
        <v>26</v>
      </c>
      <c r="C811">
        <v>62442</v>
      </c>
      <c r="D811" t="s">
        <v>343</v>
      </c>
      <c r="E811" s="7">
        <v>30000</v>
      </c>
      <c r="F811" t="s">
        <v>20</v>
      </c>
      <c r="G811" t="s">
        <v>21</v>
      </c>
      <c r="H811" t="str">
        <f>"AGENDA ITEM C"</f>
        <v>AGENDA ITEM C</v>
      </c>
      <c r="I811" t="str">
        <f>"FLORESVILLE PEANUT FESTIVAL AS"</f>
        <v>FLORESVILLE PEANUT FESTIVAL AS</v>
      </c>
    </row>
    <row r="812" spans="1:9" x14ac:dyDescent="0.25">
      <c r="A812" s="6">
        <v>43770</v>
      </c>
      <c r="B812" t="s">
        <v>26</v>
      </c>
      <c r="C812">
        <v>62443</v>
      </c>
      <c r="D812" t="s">
        <v>710</v>
      </c>
      <c r="E812" s="7">
        <v>13000</v>
      </c>
      <c r="F812" t="s">
        <v>20</v>
      </c>
      <c r="G812" t="s">
        <v>21</v>
      </c>
      <c r="H812" t="str">
        <f>"AGENDA ITEM 3E"</f>
        <v>AGENDA ITEM 3E</v>
      </c>
      <c r="I812" t="str">
        <f>"RICK MORONES JR."</f>
        <v>RICK MORONES JR.</v>
      </c>
    </row>
    <row r="813" spans="1:9" x14ac:dyDescent="0.25">
      <c r="A813" s="6">
        <v>43770</v>
      </c>
      <c r="B813" t="s">
        <v>26</v>
      </c>
      <c r="C813">
        <v>62444</v>
      </c>
      <c r="D813" t="s">
        <v>838</v>
      </c>
      <c r="E813" s="7">
        <v>7000</v>
      </c>
      <c r="F813" t="s">
        <v>20</v>
      </c>
      <c r="G813" t="s">
        <v>21</v>
      </c>
      <c r="H813" t="str">
        <f>"AGENDA ITEM 3D"</f>
        <v>AGENDA ITEM 3D</v>
      </c>
      <c r="I813" t="str">
        <f>"MANUEL MENDEZ"</f>
        <v>MANUEL MENDEZ</v>
      </c>
    </row>
    <row r="814" spans="1:9" x14ac:dyDescent="0.25">
      <c r="A814" s="6">
        <v>43770</v>
      </c>
      <c r="B814" t="s">
        <v>26</v>
      </c>
      <c r="C814">
        <v>62445</v>
      </c>
      <c r="D814" t="s">
        <v>81</v>
      </c>
      <c r="E814" s="7">
        <v>1000</v>
      </c>
      <c r="F814" t="s">
        <v>20</v>
      </c>
      <c r="G814" t="s">
        <v>21</v>
      </c>
      <c r="H814" t="str">
        <f>"MMA PETTY CASH"</f>
        <v>MMA PETTY CASH</v>
      </c>
      <c r="I814" t="str">
        <f>"CITY OF FLORESVILLE -PETTY CAS"</f>
        <v>CITY OF FLORESVILLE -PETTY CAS</v>
      </c>
    </row>
    <row r="815" spans="1:9" x14ac:dyDescent="0.25">
      <c r="A815" s="6">
        <v>43774</v>
      </c>
      <c r="B815" t="s">
        <v>26</v>
      </c>
      <c r="C815">
        <v>62453</v>
      </c>
      <c r="D815" t="s">
        <v>51</v>
      </c>
      <c r="E815" s="7">
        <v>346.31</v>
      </c>
      <c r="F815" t="s">
        <v>20</v>
      </c>
      <c r="G815" t="s">
        <v>21</v>
      </c>
      <c r="H815" t="str">
        <f>"CLE201911058547"</f>
        <v>CLE201911058547</v>
      </c>
      <c r="I815" t="str">
        <f>"CLEAT ONLY DUES"</f>
        <v>CLEAT ONLY DUES</v>
      </c>
    </row>
    <row r="816" spans="1:9" x14ac:dyDescent="0.25">
      <c r="E816" s="7"/>
      <c r="F816" t="s">
        <v>20</v>
      </c>
      <c r="G816" t="s">
        <v>21</v>
      </c>
      <c r="H816" t="str">
        <f>"PDD201911058547"</f>
        <v>PDD201911058547</v>
      </c>
      <c r="I816" t="str">
        <f>"POLICE OFFICERS ASSOC DUES"</f>
        <v>POLICE OFFICERS ASSOC DUES</v>
      </c>
    </row>
    <row r="817" spans="1:9" x14ac:dyDescent="0.25">
      <c r="A817" s="6">
        <v>43774</v>
      </c>
      <c r="B817" t="s">
        <v>91</v>
      </c>
      <c r="C817">
        <v>62454</v>
      </c>
      <c r="D817" t="s">
        <v>90</v>
      </c>
      <c r="E817" s="7">
        <v>101.1</v>
      </c>
      <c r="F817" t="s">
        <v>20</v>
      </c>
      <c r="G817" t="s">
        <v>21</v>
      </c>
      <c r="H817" t="str">
        <f>"AFS201911058547"</f>
        <v>AFS201911058547</v>
      </c>
      <c r="I817" t="str">
        <f>"AFLAC STD"</f>
        <v>AFLAC STD</v>
      </c>
    </row>
    <row r="818" spans="1:9" x14ac:dyDescent="0.25">
      <c r="A818" s="6">
        <v>43774</v>
      </c>
      <c r="B818" t="s">
        <v>91</v>
      </c>
      <c r="C818">
        <v>62454</v>
      </c>
      <c r="D818" t="s">
        <v>90</v>
      </c>
      <c r="E818" s="7">
        <v>101.1</v>
      </c>
      <c r="F818" t="s">
        <v>20</v>
      </c>
      <c r="G818" t="s">
        <v>93</v>
      </c>
      <c r="H818" t="str">
        <f>"CHECK"</f>
        <v>CHECK</v>
      </c>
      <c r="I818" t="str">
        <f>""</f>
        <v/>
      </c>
    </row>
    <row r="819" spans="1:9" x14ac:dyDescent="0.25">
      <c r="A819" s="6">
        <v>43774</v>
      </c>
      <c r="B819" t="s">
        <v>26</v>
      </c>
      <c r="C819">
        <v>62455</v>
      </c>
      <c r="D819" t="s">
        <v>52</v>
      </c>
      <c r="E819" s="7">
        <v>1056.98</v>
      </c>
      <c r="F819" t="s">
        <v>20</v>
      </c>
      <c r="G819" t="s">
        <v>21</v>
      </c>
      <c r="H819" t="str">
        <f>"CPS201911058547"</f>
        <v>CPS201911058547</v>
      </c>
      <c r="I819" t="str">
        <f>"G MENDOZA 00123012032010EM5054"</f>
        <v>G MENDOZA 00123012032010EM5054</v>
      </c>
    </row>
    <row r="820" spans="1:9" x14ac:dyDescent="0.25">
      <c r="E820" s="7"/>
      <c r="F820" t="s">
        <v>20</v>
      </c>
      <c r="G820" t="s">
        <v>21</v>
      </c>
      <c r="H820" t="str">
        <f>"CS 201911058547"</f>
        <v>CS 201911058547</v>
      </c>
      <c r="I820" t="str">
        <f>"CAUSE#98EM504113 PEGGY RIVAS"</f>
        <v>CAUSE#98EM504113 PEGGY RIVAS</v>
      </c>
    </row>
    <row r="821" spans="1:9" x14ac:dyDescent="0.25">
      <c r="E821" s="7"/>
      <c r="F821" t="s">
        <v>20</v>
      </c>
      <c r="G821" t="s">
        <v>21</v>
      </c>
      <c r="H821" t="str">
        <f>"CSJ201911058547"</f>
        <v>CSJ201911058547</v>
      </c>
      <c r="I821" t="str">
        <f>"CAUSE# 0010185272 MARIANN GUTI"</f>
        <v>CAUSE# 0010185272 MARIANN GUTI</v>
      </c>
    </row>
    <row r="822" spans="1:9" x14ac:dyDescent="0.25">
      <c r="A822" s="6">
        <v>43774</v>
      </c>
      <c r="B822" t="s">
        <v>26</v>
      </c>
      <c r="C822">
        <v>62456</v>
      </c>
      <c r="D822" t="s">
        <v>54</v>
      </c>
      <c r="E822" s="7">
        <v>1275.24</v>
      </c>
      <c r="F822" t="s">
        <v>20</v>
      </c>
      <c r="G822" t="s">
        <v>21</v>
      </c>
      <c r="H822" t="str">
        <f>"457201911058547"</f>
        <v>457201911058547</v>
      </c>
      <c r="I822" t="str">
        <f>"CASE # 180-60751 457B DEDUCT"</f>
        <v>CASE # 180-60751 457B DEDUCT</v>
      </c>
    </row>
    <row r="823" spans="1:9" x14ac:dyDescent="0.25">
      <c r="A823" s="6">
        <v>43775</v>
      </c>
      <c r="B823" t="s">
        <v>91</v>
      </c>
      <c r="C823">
        <v>62457</v>
      </c>
      <c r="D823" t="s">
        <v>90</v>
      </c>
      <c r="E823" s="7">
        <v>840.88</v>
      </c>
      <c r="F823" t="s">
        <v>20</v>
      </c>
      <c r="G823" t="s">
        <v>21</v>
      </c>
      <c r="H823" t="str">
        <f>"ACA201911058547"</f>
        <v>ACA201911058547</v>
      </c>
      <c r="I823" t="str">
        <f>"AFLAC INSURANCE"</f>
        <v>AFLAC INSURANCE</v>
      </c>
    </row>
    <row r="824" spans="1:9" x14ac:dyDescent="0.25">
      <c r="E824" s="7"/>
      <c r="F824" t="s">
        <v>20</v>
      </c>
      <c r="G824" t="s">
        <v>21</v>
      </c>
      <c r="H824" t="str">
        <f>"AD2201911058547"</f>
        <v>AD2201911058547</v>
      </c>
      <c r="I824" t="str">
        <f>"AFLAC INSURANCE"</f>
        <v>AFLAC INSURANCE</v>
      </c>
    </row>
    <row r="825" spans="1:9" x14ac:dyDescent="0.25">
      <c r="E825" s="7"/>
      <c r="F825" t="s">
        <v>20</v>
      </c>
      <c r="G825" t="s">
        <v>21</v>
      </c>
      <c r="H825" t="str">
        <f>"ADR201911058547"</f>
        <v>ADR201911058547</v>
      </c>
      <c r="I825" t="str">
        <f>"INSURANCE"</f>
        <v>INSURANCE</v>
      </c>
    </row>
    <row r="826" spans="1:9" x14ac:dyDescent="0.25">
      <c r="E826" s="7"/>
      <c r="F826" t="s">
        <v>20</v>
      </c>
      <c r="G826" t="s">
        <v>21</v>
      </c>
      <c r="H826" t="str">
        <f>"AF1201911058547"</f>
        <v>AF1201911058547</v>
      </c>
      <c r="I826" t="str">
        <f>"AFLAC INSURANCE"</f>
        <v>AFLAC INSURANCE</v>
      </c>
    </row>
    <row r="827" spans="1:9" x14ac:dyDescent="0.25">
      <c r="E827" s="7"/>
      <c r="F827" t="s">
        <v>20</v>
      </c>
      <c r="G827" t="s">
        <v>21</v>
      </c>
      <c r="H827" t="str">
        <f>"ASP201911058547"</f>
        <v>ASP201911058547</v>
      </c>
      <c r="I827" t="str">
        <f>"AFLAC INSURANCE"</f>
        <v>AFLAC INSURANCE</v>
      </c>
    </row>
    <row r="828" spans="1:9" x14ac:dyDescent="0.25">
      <c r="E828" s="7"/>
      <c r="F828" t="s">
        <v>20</v>
      </c>
      <c r="G828" t="s">
        <v>21</v>
      </c>
      <c r="H828" t="str">
        <f>"HCO201911058547"</f>
        <v>HCO201911058547</v>
      </c>
      <c r="I828" t="str">
        <f>"AFLAC INSURANCE"</f>
        <v>AFLAC INSURANCE</v>
      </c>
    </row>
    <row r="829" spans="1:9" x14ac:dyDescent="0.25">
      <c r="A829" s="6">
        <v>43775</v>
      </c>
      <c r="B829" t="s">
        <v>91</v>
      </c>
      <c r="C829">
        <v>62457</v>
      </c>
      <c r="D829" t="s">
        <v>90</v>
      </c>
      <c r="E829" s="7">
        <v>840.88</v>
      </c>
      <c r="F829" t="s">
        <v>20</v>
      </c>
      <c r="G829" t="s">
        <v>93</v>
      </c>
      <c r="H829" t="str">
        <f>"CHECK"</f>
        <v>CHECK</v>
      </c>
      <c r="I829" t="str">
        <f>""</f>
        <v/>
      </c>
    </row>
    <row r="830" spans="1:9" x14ac:dyDescent="0.25">
      <c r="A830" s="6">
        <v>43775</v>
      </c>
      <c r="B830" t="s">
        <v>26</v>
      </c>
      <c r="C830">
        <v>62460</v>
      </c>
      <c r="D830" t="s">
        <v>637</v>
      </c>
      <c r="E830" s="7">
        <v>75</v>
      </c>
      <c r="F830" t="s">
        <v>20</v>
      </c>
      <c r="G830" t="s">
        <v>21</v>
      </c>
      <c r="H830" t="str">
        <f>"NOV. 2019"</f>
        <v>NOV. 2019</v>
      </c>
      <c r="I830" t="str">
        <f>"GLORIA MARTINEZ"</f>
        <v>GLORIA MARTINEZ</v>
      </c>
    </row>
    <row r="831" spans="1:9" x14ac:dyDescent="0.25">
      <c r="A831" s="6">
        <v>43775</v>
      </c>
      <c r="B831" t="s">
        <v>91</v>
      </c>
      <c r="C831">
        <v>62461</v>
      </c>
      <c r="D831" t="s">
        <v>92</v>
      </c>
      <c r="E831" s="7">
        <v>19882.939999999999</v>
      </c>
      <c r="F831" t="s">
        <v>20</v>
      </c>
      <c r="G831" t="s">
        <v>21</v>
      </c>
      <c r="H831" t="str">
        <f>"RET201911058547"</f>
        <v>RET201911058547</v>
      </c>
      <c r="I831" t="str">
        <f>"TMRS CITY OF FLORESVILLE"</f>
        <v>TMRS CITY OF FLORESVILLE</v>
      </c>
    </row>
    <row r="832" spans="1:9" x14ac:dyDescent="0.25">
      <c r="A832" s="6">
        <v>43775</v>
      </c>
      <c r="B832" t="s">
        <v>91</v>
      </c>
      <c r="C832">
        <v>62461</v>
      </c>
      <c r="D832" t="s">
        <v>92</v>
      </c>
      <c r="E832" s="7">
        <v>19882.939999999999</v>
      </c>
      <c r="F832" t="s">
        <v>20</v>
      </c>
      <c r="G832" t="s">
        <v>93</v>
      </c>
      <c r="H832" t="str">
        <f>"CHECK"</f>
        <v>CHECK</v>
      </c>
      <c r="I832" t="str">
        <f>""</f>
        <v/>
      </c>
    </row>
    <row r="833" spans="1:9" x14ac:dyDescent="0.25">
      <c r="A833" s="6">
        <v>43775</v>
      </c>
      <c r="B833" t="s">
        <v>91</v>
      </c>
      <c r="C833">
        <v>62463</v>
      </c>
      <c r="D833" t="s">
        <v>95</v>
      </c>
      <c r="E833" s="7">
        <v>29.99</v>
      </c>
      <c r="F833" t="s">
        <v>20</v>
      </c>
      <c r="G833" t="s">
        <v>21</v>
      </c>
      <c r="H833" t="str">
        <f>"LEA201911058547"</f>
        <v>LEA201911058547</v>
      </c>
      <c r="I833" t="str">
        <f>"INSURANCE"</f>
        <v>INSURANCE</v>
      </c>
    </row>
    <row r="834" spans="1:9" x14ac:dyDescent="0.25">
      <c r="A834" s="6">
        <v>43775</v>
      </c>
      <c r="B834" t="s">
        <v>91</v>
      </c>
      <c r="C834">
        <v>62463</v>
      </c>
      <c r="D834" t="s">
        <v>95</v>
      </c>
      <c r="E834" s="7">
        <v>29.99</v>
      </c>
      <c r="F834" t="s">
        <v>20</v>
      </c>
      <c r="G834" t="s">
        <v>93</v>
      </c>
      <c r="H834" t="str">
        <f>"CHECK"</f>
        <v>CHECK</v>
      </c>
      <c r="I834" t="str">
        <f>""</f>
        <v/>
      </c>
    </row>
    <row r="835" spans="1:9" x14ac:dyDescent="0.25">
      <c r="A835" s="6">
        <v>43775</v>
      </c>
      <c r="B835" t="s">
        <v>91</v>
      </c>
      <c r="C835">
        <v>62464</v>
      </c>
      <c r="D835" t="s">
        <v>96</v>
      </c>
      <c r="E835" s="7">
        <v>163.24</v>
      </c>
      <c r="F835" t="s">
        <v>20</v>
      </c>
      <c r="G835" t="s">
        <v>21</v>
      </c>
      <c r="H835" t="str">
        <f>"PPL201911058547"</f>
        <v>PPL201911058547</v>
      </c>
      <c r="I835" t="str">
        <f>"INSURANCE"</f>
        <v>INSURANCE</v>
      </c>
    </row>
    <row r="836" spans="1:9" x14ac:dyDescent="0.25">
      <c r="A836" s="6">
        <v>43775</v>
      </c>
      <c r="B836" t="s">
        <v>91</v>
      </c>
      <c r="C836">
        <v>62464</v>
      </c>
      <c r="D836" t="s">
        <v>96</v>
      </c>
      <c r="E836" s="7">
        <v>163.24</v>
      </c>
      <c r="F836" t="s">
        <v>20</v>
      </c>
      <c r="G836" t="s">
        <v>93</v>
      </c>
      <c r="H836" t="str">
        <f>"CHECK"</f>
        <v>CHECK</v>
      </c>
      <c r="I836" t="str">
        <f>""</f>
        <v/>
      </c>
    </row>
    <row r="837" spans="1:9" x14ac:dyDescent="0.25">
      <c r="A837" s="6">
        <v>43775</v>
      </c>
      <c r="B837" t="s">
        <v>26</v>
      </c>
      <c r="C837">
        <v>62465</v>
      </c>
      <c r="D837" t="s">
        <v>223</v>
      </c>
      <c r="E837" s="7">
        <v>75</v>
      </c>
      <c r="F837" t="s">
        <v>20</v>
      </c>
      <c r="G837" t="s">
        <v>21</v>
      </c>
      <c r="H837" t="str">
        <f>"NOV. 2019"</f>
        <v>NOV. 2019</v>
      </c>
      <c r="I837" t="str">
        <f>"JUAN ORTIZ"</f>
        <v>JUAN ORTIZ</v>
      </c>
    </row>
    <row r="838" spans="1:9" x14ac:dyDescent="0.25">
      <c r="A838" s="6">
        <v>43775</v>
      </c>
      <c r="B838" t="s">
        <v>91</v>
      </c>
      <c r="C838">
        <v>62466</v>
      </c>
      <c r="D838" t="s">
        <v>97</v>
      </c>
      <c r="E838" s="7">
        <v>35452.230000000003</v>
      </c>
      <c r="F838" t="s">
        <v>20</v>
      </c>
      <c r="G838" t="s">
        <v>21</v>
      </c>
      <c r="H838" t="str">
        <f>"DEN201911058547"</f>
        <v>DEN201911058547</v>
      </c>
      <c r="I838" t="str">
        <f>"DENTAL INSURANCE"</f>
        <v>DENTAL INSURANCE</v>
      </c>
    </row>
    <row r="839" spans="1:9" x14ac:dyDescent="0.25">
      <c r="E839" s="7"/>
      <c r="F839" t="s">
        <v>20</v>
      </c>
      <c r="G839" t="s">
        <v>21</v>
      </c>
      <c r="H839" t="str">
        <f>"MED201911058547"</f>
        <v>MED201911058547</v>
      </c>
      <c r="I839" t="str">
        <f>"HEALTH &amp; DENTAL INSURANCE"</f>
        <v>HEALTH &amp; DENTAL INSURANCE</v>
      </c>
    </row>
    <row r="840" spans="1:9" x14ac:dyDescent="0.25">
      <c r="A840" s="6">
        <v>43775</v>
      </c>
      <c r="B840" t="s">
        <v>91</v>
      </c>
      <c r="C840">
        <v>62466</v>
      </c>
      <c r="D840" t="s">
        <v>97</v>
      </c>
      <c r="E840" s="7">
        <v>35452.230000000003</v>
      </c>
      <c r="F840" t="s">
        <v>20</v>
      </c>
      <c r="G840" t="s">
        <v>93</v>
      </c>
      <c r="H840" t="str">
        <f>"CHECK"</f>
        <v>CHECK</v>
      </c>
      <c r="I840" t="str">
        <f>""</f>
        <v/>
      </c>
    </row>
    <row r="841" spans="1:9" x14ac:dyDescent="0.25">
      <c r="A841" s="6">
        <v>43775</v>
      </c>
      <c r="B841" t="s">
        <v>91</v>
      </c>
      <c r="C841">
        <v>62468</v>
      </c>
      <c r="D841" t="s">
        <v>98</v>
      </c>
      <c r="E841" s="7">
        <v>1919.92</v>
      </c>
      <c r="F841" t="s">
        <v>20</v>
      </c>
      <c r="G841" t="s">
        <v>21</v>
      </c>
      <c r="H841" t="str">
        <f>"LIF201911058547"</f>
        <v>LIF201911058547</v>
      </c>
      <c r="I841" t="str">
        <f>"INSURANCE"</f>
        <v>INSURANCE</v>
      </c>
    </row>
    <row r="842" spans="1:9" x14ac:dyDescent="0.25">
      <c r="E842" s="7"/>
      <c r="F842" t="s">
        <v>20</v>
      </c>
      <c r="G842" t="s">
        <v>21</v>
      </c>
      <c r="H842" t="str">
        <f>"STD201911058547"</f>
        <v>STD201911058547</v>
      </c>
      <c r="I842" t="str">
        <f>"SHORT TERM DISABILITY"</f>
        <v>SHORT TERM DISABILITY</v>
      </c>
    </row>
    <row r="843" spans="1:9" x14ac:dyDescent="0.25">
      <c r="E843" s="7"/>
      <c r="F843" t="s">
        <v>20</v>
      </c>
      <c r="G843" t="s">
        <v>21</v>
      </c>
      <c r="H843" t="str">
        <f>"VIS201911058547"</f>
        <v>VIS201911058547</v>
      </c>
      <c r="I843" t="str">
        <f>"VISION INSURANCE"</f>
        <v>VISION INSURANCE</v>
      </c>
    </row>
    <row r="844" spans="1:9" x14ac:dyDescent="0.25">
      <c r="E844" s="7"/>
      <c r="F844" t="s">
        <v>20</v>
      </c>
      <c r="G844" t="s">
        <v>21</v>
      </c>
      <c r="H844" t="str">
        <f>"VLC201911058547"</f>
        <v>VLC201911058547</v>
      </c>
      <c r="I844" t="str">
        <f>"CHILD LIFE INSURANCE"</f>
        <v>CHILD LIFE INSURANCE</v>
      </c>
    </row>
    <row r="845" spans="1:9" x14ac:dyDescent="0.25">
      <c r="E845" s="7"/>
      <c r="F845" t="s">
        <v>20</v>
      </c>
      <c r="G845" t="s">
        <v>21</v>
      </c>
      <c r="H845" t="str">
        <f>"VLS201911058547"</f>
        <v>VLS201911058547</v>
      </c>
      <c r="I845" t="str">
        <f>"SPOUSE LIFE"</f>
        <v>SPOUSE LIFE</v>
      </c>
    </row>
    <row r="846" spans="1:9" x14ac:dyDescent="0.25">
      <c r="E846" s="7"/>
      <c r="F846" t="s">
        <v>20</v>
      </c>
      <c r="G846" t="s">
        <v>21</v>
      </c>
      <c r="H846" t="str">
        <f>"VOE201911058547"</f>
        <v>VOE201911058547</v>
      </c>
      <c r="I846" t="str">
        <f>"EMPLOYEE LIFE"</f>
        <v>EMPLOYEE LIFE</v>
      </c>
    </row>
    <row r="847" spans="1:9" x14ac:dyDescent="0.25">
      <c r="E847" s="7"/>
      <c r="F847" t="s">
        <v>20</v>
      </c>
      <c r="G847" t="s">
        <v>21</v>
      </c>
      <c r="H847" t="str">
        <f>"VOL201911058547"</f>
        <v>VOL201911058547</v>
      </c>
      <c r="I847" t="str">
        <f>"LIFE"</f>
        <v>LIFE</v>
      </c>
    </row>
    <row r="848" spans="1:9" x14ac:dyDescent="0.25">
      <c r="A848" s="6">
        <v>43775</v>
      </c>
      <c r="B848" t="s">
        <v>91</v>
      </c>
      <c r="C848">
        <v>62468</v>
      </c>
      <c r="D848" t="s">
        <v>98</v>
      </c>
      <c r="E848" s="7">
        <v>1919.92</v>
      </c>
      <c r="F848" t="s">
        <v>20</v>
      </c>
      <c r="G848" t="s">
        <v>93</v>
      </c>
      <c r="H848" t="str">
        <f>"CHECK"</f>
        <v>CHECK</v>
      </c>
      <c r="I848" t="str">
        <f>""</f>
        <v/>
      </c>
    </row>
    <row r="849" spans="1:9" x14ac:dyDescent="0.25">
      <c r="A849" s="6">
        <v>43775</v>
      </c>
      <c r="B849" t="s">
        <v>26</v>
      </c>
      <c r="C849">
        <v>62473</v>
      </c>
      <c r="D849" t="s">
        <v>36</v>
      </c>
      <c r="E849" s="7">
        <v>75</v>
      </c>
      <c r="F849" t="s">
        <v>20</v>
      </c>
      <c r="G849" t="s">
        <v>21</v>
      </c>
      <c r="H849" t="str">
        <f>"NOV. 2019"</f>
        <v>NOV. 2019</v>
      </c>
      <c r="I849" t="str">
        <f>"GLORIA M. CANTU"</f>
        <v>GLORIA M. CANTU</v>
      </c>
    </row>
    <row r="850" spans="1:9" x14ac:dyDescent="0.25">
      <c r="A850" s="6">
        <v>43775</v>
      </c>
      <c r="B850" t="s">
        <v>26</v>
      </c>
      <c r="C850">
        <v>62474</v>
      </c>
      <c r="D850" t="s">
        <v>37</v>
      </c>
      <c r="E850" s="7">
        <v>75</v>
      </c>
      <c r="F850" t="s">
        <v>20</v>
      </c>
      <c r="G850" t="s">
        <v>21</v>
      </c>
      <c r="H850" t="str">
        <f>"NOV. 2019"</f>
        <v>NOV. 2019</v>
      </c>
      <c r="I850" t="str">
        <f>"GERARD J. JIMENEZ"</f>
        <v>GERARD J. JIMENEZ</v>
      </c>
    </row>
    <row r="851" spans="1:9" x14ac:dyDescent="0.25">
      <c r="A851" s="6">
        <v>43775</v>
      </c>
      <c r="B851" t="s">
        <v>26</v>
      </c>
      <c r="C851">
        <v>62475</v>
      </c>
      <c r="D851" t="s">
        <v>38</v>
      </c>
      <c r="E851" s="7">
        <v>100</v>
      </c>
      <c r="F851" t="s">
        <v>20</v>
      </c>
      <c r="G851" t="s">
        <v>21</v>
      </c>
      <c r="H851" t="str">
        <f>"NOV. 2019"</f>
        <v>NOV. 2019</v>
      </c>
      <c r="I851" t="str">
        <f>"CECELIA GONZALEZ-DIPPEL"</f>
        <v>CECELIA GONZALEZ-DIPPEL</v>
      </c>
    </row>
    <row r="852" spans="1:9" x14ac:dyDescent="0.25">
      <c r="A852" s="6">
        <v>43775</v>
      </c>
      <c r="B852" t="s">
        <v>26</v>
      </c>
      <c r="C852">
        <v>62476</v>
      </c>
      <c r="D852" t="s">
        <v>558</v>
      </c>
      <c r="E852" s="7">
        <v>75</v>
      </c>
      <c r="F852" t="s">
        <v>20</v>
      </c>
      <c r="G852" t="s">
        <v>21</v>
      </c>
      <c r="H852" t="str">
        <f>"NOV. 2019"</f>
        <v>NOV. 2019</v>
      </c>
      <c r="I852" t="str">
        <f>"MARISSA XIMENEZ"</f>
        <v>MARISSA XIMENEZ</v>
      </c>
    </row>
    <row r="853" spans="1:9" x14ac:dyDescent="0.25">
      <c r="A853" s="6">
        <v>43776</v>
      </c>
      <c r="B853" t="s">
        <v>91</v>
      </c>
      <c r="C853">
        <v>62477</v>
      </c>
      <c r="D853" t="s">
        <v>56</v>
      </c>
      <c r="E853" s="7">
        <v>45</v>
      </c>
      <c r="F853" t="s">
        <v>20</v>
      </c>
      <c r="G853" t="s">
        <v>21</v>
      </c>
      <c r="H853" t="str">
        <f>"178421"</f>
        <v>178421</v>
      </c>
      <c r="I853" t="str">
        <f>"100 LBS OF DOG FOOD"</f>
        <v>100 LBS OF DOG FOOD</v>
      </c>
    </row>
    <row r="854" spans="1:9" x14ac:dyDescent="0.25">
      <c r="A854" s="6">
        <v>43776</v>
      </c>
      <c r="B854" t="s">
        <v>91</v>
      </c>
      <c r="C854">
        <v>62477</v>
      </c>
      <c r="D854" t="s">
        <v>56</v>
      </c>
      <c r="E854" s="7">
        <v>45</v>
      </c>
      <c r="F854" t="s">
        <v>20</v>
      </c>
      <c r="G854" t="s">
        <v>93</v>
      </c>
      <c r="H854" t="str">
        <f>"CHECK"</f>
        <v>CHECK</v>
      </c>
      <c r="I854" t="str">
        <f>""</f>
        <v/>
      </c>
    </row>
    <row r="855" spans="1:9" x14ac:dyDescent="0.25">
      <c r="A855" s="6">
        <v>43776</v>
      </c>
      <c r="B855" t="s">
        <v>26</v>
      </c>
      <c r="C855">
        <v>62478</v>
      </c>
      <c r="D855" t="s">
        <v>339</v>
      </c>
      <c r="E855" s="7">
        <v>360</v>
      </c>
      <c r="F855" t="s">
        <v>20</v>
      </c>
      <c r="G855" t="s">
        <v>21</v>
      </c>
      <c r="H855" t="str">
        <f>"813036"</f>
        <v>813036</v>
      </c>
      <c r="I855" t="str">
        <f>"LABOR/REPROGRAMMING"</f>
        <v>LABOR/REPROGRAMMING</v>
      </c>
    </row>
    <row r="856" spans="1:9" x14ac:dyDescent="0.25">
      <c r="E856" s="7"/>
      <c r="F856" t="s">
        <v>20</v>
      </c>
      <c r="G856" t="s">
        <v>21</v>
      </c>
      <c r="H856" t="str">
        <f>"813195"</f>
        <v>813195</v>
      </c>
      <c r="I856" t="str">
        <f>"DASH CAM REPAIR UNIT330"</f>
        <v>DASH CAM REPAIR UNIT330</v>
      </c>
    </row>
    <row r="857" spans="1:9" x14ac:dyDescent="0.25">
      <c r="A857" s="6">
        <v>43776</v>
      </c>
      <c r="B857" t="s">
        <v>26</v>
      </c>
      <c r="C857">
        <v>62479</v>
      </c>
      <c r="D857" t="s">
        <v>202</v>
      </c>
      <c r="E857" s="7">
        <v>824.78</v>
      </c>
      <c r="F857" t="s">
        <v>20</v>
      </c>
      <c r="G857" t="s">
        <v>21</v>
      </c>
      <c r="H857" t="str">
        <f>"62000642"</f>
        <v>62000642</v>
      </c>
      <c r="I857" t="str">
        <f>"A-2 BASE"</f>
        <v>A-2 BASE</v>
      </c>
    </row>
    <row r="858" spans="1:9" x14ac:dyDescent="0.25">
      <c r="A858" s="6">
        <v>43776</v>
      </c>
      <c r="B858" t="s">
        <v>26</v>
      </c>
      <c r="C858">
        <v>62480</v>
      </c>
      <c r="D858" t="s">
        <v>90</v>
      </c>
      <c r="E858" s="7">
        <v>1997.82</v>
      </c>
      <c r="F858" t="s">
        <v>20</v>
      </c>
      <c r="G858" t="s">
        <v>21</v>
      </c>
      <c r="H858" t="str">
        <f>"773262"</f>
        <v>773262</v>
      </c>
      <c r="I858" t="str">
        <f>"AFLAC"</f>
        <v>AFLAC</v>
      </c>
    </row>
    <row r="859" spans="1:9" x14ac:dyDescent="0.25">
      <c r="A859" s="6">
        <v>43776</v>
      </c>
      <c r="B859" t="s">
        <v>26</v>
      </c>
      <c r="C859">
        <v>62481</v>
      </c>
      <c r="D859" t="s">
        <v>240</v>
      </c>
      <c r="E859" s="7">
        <v>850</v>
      </c>
      <c r="F859" t="s">
        <v>20</v>
      </c>
      <c r="G859" t="s">
        <v>21</v>
      </c>
      <c r="H859" t="str">
        <f>"0176867-IN"</f>
        <v>0176867-IN</v>
      </c>
      <c r="I859" t="str">
        <f>"NARDIS PUBLIC SAFETY"</f>
        <v>NARDIS PUBLIC SAFETY</v>
      </c>
    </row>
    <row r="860" spans="1:9" x14ac:dyDescent="0.25">
      <c r="A860" s="6">
        <v>43776</v>
      </c>
      <c r="B860" t="s">
        <v>26</v>
      </c>
      <c r="C860">
        <v>62482</v>
      </c>
      <c r="D860" t="s">
        <v>839</v>
      </c>
      <c r="E860" s="7">
        <v>50</v>
      </c>
      <c r="F860" t="s">
        <v>20</v>
      </c>
      <c r="G860" t="s">
        <v>21</v>
      </c>
      <c r="H860" t="str">
        <f>"DEPST RFND 11/8/19"</f>
        <v>DEPST RFND 11/8/19</v>
      </c>
      <c r="I860" t="str">
        <f>"REFUND"</f>
        <v>REFUND</v>
      </c>
    </row>
    <row r="861" spans="1:9" x14ac:dyDescent="0.25">
      <c r="A861" s="6">
        <v>43776</v>
      </c>
      <c r="B861" t="s">
        <v>91</v>
      </c>
      <c r="C861">
        <v>62483</v>
      </c>
      <c r="D861" t="s">
        <v>839</v>
      </c>
      <c r="E861" s="7">
        <v>50</v>
      </c>
      <c r="F861" t="s">
        <v>20</v>
      </c>
      <c r="G861" t="s">
        <v>21</v>
      </c>
      <c r="H861" t="str">
        <f>"DPST REFND 11/3/19"</f>
        <v>DPST REFND 11/3/19</v>
      </c>
      <c r="I861" t="str">
        <f>"REFUND"</f>
        <v>REFUND</v>
      </c>
    </row>
    <row r="862" spans="1:9" x14ac:dyDescent="0.25">
      <c r="A862" s="6">
        <v>43776</v>
      </c>
      <c r="B862" t="s">
        <v>91</v>
      </c>
      <c r="C862">
        <v>62483</v>
      </c>
      <c r="D862" t="s">
        <v>840</v>
      </c>
      <c r="E862" s="7">
        <v>50</v>
      </c>
      <c r="F862" t="s">
        <v>20</v>
      </c>
      <c r="G862" t="s">
        <v>93</v>
      </c>
      <c r="H862" t="str">
        <f>"CHECK"</f>
        <v>CHECK</v>
      </c>
      <c r="I862" t="str">
        <f>""</f>
        <v/>
      </c>
    </row>
    <row r="863" spans="1:9" x14ac:dyDescent="0.25">
      <c r="A863" s="6">
        <v>43776</v>
      </c>
      <c r="B863" t="s">
        <v>26</v>
      </c>
      <c r="C863">
        <v>62484</v>
      </c>
      <c r="D863" t="s">
        <v>168</v>
      </c>
      <c r="E863" s="7">
        <v>1220</v>
      </c>
      <c r="F863" t="s">
        <v>20</v>
      </c>
      <c r="G863" t="s">
        <v>21</v>
      </c>
      <c r="H863" t="str">
        <f>"LI-5727"</f>
        <v>LI-5727</v>
      </c>
      <c r="I863" t="str">
        <f t="shared" ref="I863:I871" si="15">"BEXAR COUNTY AUDITOR/ATTN:CRIM"</f>
        <v>BEXAR COUNTY AUDITOR/ATTN:CRIM</v>
      </c>
    </row>
    <row r="864" spans="1:9" x14ac:dyDescent="0.25">
      <c r="E864" s="7"/>
      <c r="F864" t="s">
        <v>20</v>
      </c>
      <c r="G864" t="s">
        <v>21</v>
      </c>
      <c r="H864" t="str">
        <f>"LI-6720"</f>
        <v>LI-6720</v>
      </c>
      <c r="I864" t="str">
        <f t="shared" si="15"/>
        <v>BEXAR COUNTY AUDITOR/ATTN:CRIM</v>
      </c>
    </row>
    <row r="865" spans="1:9" x14ac:dyDescent="0.25">
      <c r="E865" s="7"/>
      <c r="F865" t="s">
        <v>20</v>
      </c>
      <c r="G865" t="s">
        <v>21</v>
      </c>
      <c r="H865" t="str">
        <f>"LI-6721"</f>
        <v>LI-6721</v>
      </c>
      <c r="I865" t="str">
        <f t="shared" si="15"/>
        <v>BEXAR COUNTY AUDITOR/ATTN:CRIM</v>
      </c>
    </row>
    <row r="866" spans="1:9" x14ac:dyDescent="0.25">
      <c r="E866" s="7"/>
      <c r="F866" t="s">
        <v>20</v>
      </c>
      <c r="G866" t="s">
        <v>21</v>
      </c>
      <c r="H866" t="str">
        <f>"LI-6722"</f>
        <v>LI-6722</v>
      </c>
      <c r="I866" t="str">
        <f t="shared" si="15"/>
        <v>BEXAR COUNTY AUDITOR/ATTN:CRIM</v>
      </c>
    </row>
    <row r="867" spans="1:9" x14ac:dyDescent="0.25">
      <c r="E867" s="7"/>
      <c r="F867" t="s">
        <v>20</v>
      </c>
      <c r="G867" t="s">
        <v>21</v>
      </c>
      <c r="H867" t="str">
        <f>"LI-6723"</f>
        <v>LI-6723</v>
      </c>
      <c r="I867" t="str">
        <f t="shared" si="15"/>
        <v>BEXAR COUNTY AUDITOR/ATTN:CRIM</v>
      </c>
    </row>
    <row r="868" spans="1:9" x14ac:dyDescent="0.25">
      <c r="E868" s="7"/>
      <c r="F868" t="s">
        <v>20</v>
      </c>
      <c r="G868" t="s">
        <v>21</v>
      </c>
      <c r="H868" t="str">
        <f>"LI-6724"</f>
        <v>LI-6724</v>
      </c>
      <c r="I868" t="str">
        <f t="shared" si="15"/>
        <v>BEXAR COUNTY AUDITOR/ATTN:CRIM</v>
      </c>
    </row>
    <row r="869" spans="1:9" x14ac:dyDescent="0.25">
      <c r="E869" s="7"/>
      <c r="F869" t="s">
        <v>20</v>
      </c>
      <c r="G869" t="s">
        <v>21</v>
      </c>
      <c r="H869" t="str">
        <f>"LI-6725"</f>
        <v>LI-6725</v>
      </c>
      <c r="I869" t="str">
        <f t="shared" si="15"/>
        <v>BEXAR COUNTY AUDITOR/ATTN:CRIM</v>
      </c>
    </row>
    <row r="870" spans="1:9" x14ac:dyDescent="0.25">
      <c r="E870" s="7"/>
      <c r="F870" t="s">
        <v>20</v>
      </c>
      <c r="G870" t="s">
        <v>21</v>
      </c>
      <c r="H870" t="str">
        <f>"LI-6726"</f>
        <v>LI-6726</v>
      </c>
      <c r="I870" t="str">
        <f t="shared" si="15"/>
        <v>BEXAR COUNTY AUDITOR/ATTN:CRIM</v>
      </c>
    </row>
    <row r="871" spans="1:9" x14ac:dyDescent="0.25">
      <c r="E871" s="7"/>
      <c r="F871" t="s">
        <v>20</v>
      </c>
      <c r="G871" t="s">
        <v>21</v>
      </c>
      <c r="H871" t="str">
        <f>"LI-6728"</f>
        <v>LI-6728</v>
      </c>
      <c r="I871" t="str">
        <f t="shared" si="15"/>
        <v>BEXAR COUNTY AUDITOR/ATTN:CRIM</v>
      </c>
    </row>
    <row r="872" spans="1:9" x14ac:dyDescent="0.25">
      <c r="A872" s="6">
        <v>43776</v>
      </c>
      <c r="B872" t="s">
        <v>26</v>
      </c>
      <c r="C872">
        <v>62486</v>
      </c>
      <c r="D872" t="s">
        <v>42</v>
      </c>
      <c r="E872" s="7">
        <v>38.159999999999997</v>
      </c>
      <c r="F872" t="s">
        <v>20</v>
      </c>
      <c r="G872" t="s">
        <v>21</v>
      </c>
      <c r="H872" t="str">
        <f>"REIMBUSTMT 8.2019"</f>
        <v>REIMBUSTMT 8.2019</v>
      </c>
      <c r="I872" t="str">
        <f>"MARGARET TEJADA"</f>
        <v>MARGARET TEJADA</v>
      </c>
    </row>
    <row r="873" spans="1:9" x14ac:dyDescent="0.25">
      <c r="A873" s="6">
        <v>43776</v>
      </c>
      <c r="B873" t="s">
        <v>26</v>
      </c>
      <c r="C873">
        <v>62487</v>
      </c>
      <c r="D873" t="s">
        <v>841</v>
      </c>
      <c r="E873" s="7">
        <v>131.80000000000001</v>
      </c>
      <c r="F873" t="s">
        <v>20</v>
      </c>
      <c r="G873" t="s">
        <v>21</v>
      </c>
      <c r="H873" t="str">
        <f>"UI 460287"</f>
        <v>UI 460287</v>
      </c>
      <c r="I873" t="str">
        <f>"PRE WARRANT POST CARDS"</f>
        <v>PRE WARRANT POST CARDS</v>
      </c>
    </row>
    <row r="874" spans="1:9" x14ac:dyDescent="0.25">
      <c r="A874" s="6">
        <v>43776</v>
      </c>
      <c r="B874" t="s">
        <v>26</v>
      </c>
      <c r="C874">
        <v>62488</v>
      </c>
      <c r="D874" t="s">
        <v>95</v>
      </c>
      <c r="E874" s="7">
        <v>64.959999999999994</v>
      </c>
      <c r="F874" t="s">
        <v>20</v>
      </c>
      <c r="G874" t="s">
        <v>21</v>
      </c>
      <c r="H874" t="str">
        <f>"OCT.2019"</f>
        <v>OCT.2019</v>
      </c>
      <c r="I874" t="str">
        <f>"LEGAL PLANS"</f>
        <v>LEGAL PLANS</v>
      </c>
    </row>
    <row r="875" spans="1:9" x14ac:dyDescent="0.25">
      <c r="A875" s="6">
        <v>43776</v>
      </c>
      <c r="B875" t="s">
        <v>26</v>
      </c>
      <c r="C875">
        <v>62489</v>
      </c>
      <c r="D875" t="s">
        <v>96</v>
      </c>
      <c r="E875" s="7">
        <v>441.4</v>
      </c>
      <c r="F875" t="s">
        <v>20</v>
      </c>
      <c r="G875" t="s">
        <v>21</v>
      </c>
      <c r="H875" t="str">
        <f>"OCT.2019"</f>
        <v>OCT.2019</v>
      </c>
      <c r="I875" t="str">
        <f>"LEGALSHIELD"</f>
        <v>LEGALSHIELD</v>
      </c>
    </row>
    <row r="876" spans="1:9" x14ac:dyDescent="0.25">
      <c r="A876" s="6">
        <v>43776</v>
      </c>
      <c r="B876" t="s">
        <v>26</v>
      </c>
      <c r="C876">
        <v>62490</v>
      </c>
      <c r="D876" t="s">
        <v>71</v>
      </c>
      <c r="E876" s="7">
        <v>87.68</v>
      </c>
      <c r="F876" t="s">
        <v>20</v>
      </c>
      <c r="G876" t="s">
        <v>21</v>
      </c>
      <c r="H876" t="str">
        <f>"4031893019"</f>
        <v>4031893019</v>
      </c>
      <c r="I876" t="str">
        <f>"CINTAS CORPORATION #087"</f>
        <v>CINTAS CORPORATION #087</v>
      </c>
    </row>
    <row r="877" spans="1:9" x14ac:dyDescent="0.25">
      <c r="A877" s="6">
        <v>43776</v>
      </c>
      <c r="B877" t="s">
        <v>26</v>
      </c>
      <c r="C877">
        <v>62491</v>
      </c>
      <c r="D877" t="s">
        <v>74</v>
      </c>
      <c r="E877" s="7">
        <v>3962.28</v>
      </c>
      <c r="F877" t="s">
        <v>20</v>
      </c>
      <c r="G877" t="s">
        <v>21</v>
      </c>
      <c r="H877" t="str">
        <f>"9840786802"</f>
        <v>9840786802</v>
      </c>
      <c r="I877" t="str">
        <f>"VERIZON WIRELESS"</f>
        <v>VERIZON WIRELESS</v>
      </c>
    </row>
    <row r="878" spans="1:9" x14ac:dyDescent="0.25">
      <c r="E878" s="7"/>
      <c r="F878" t="s">
        <v>20</v>
      </c>
      <c r="G878" t="s">
        <v>21</v>
      </c>
      <c r="H878" t="str">
        <f>"9840786803"</f>
        <v>9840786803</v>
      </c>
      <c r="I878" t="str">
        <f>"VERIZON WIRELESS"</f>
        <v>VERIZON WIRELESS</v>
      </c>
    </row>
    <row r="879" spans="1:9" x14ac:dyDescent="0.25">
      <c r="A879" s="6">
        <v>43776</v>
      </c>
      <c r="B879" t="s">
        <v>26</v>
      </c>
      <c r="C879">
        <v>62493</v>
      </c>
      <c r="D879" t="s">
        <v>77</v>
      </c>
      <c r="E879" s="7">
        <v>672.65</v>
      </c>
      <c r="F879" t="s">
        <v>20</v>
      </c>
      <c r="G879" t="s">
        <v>21</v>
      </c>
      <c r="H879" t="str">
        <f>"857002122-19"</f>
        <v>857002122-19</v>
      </c>
      <c r="I879" t="str">
        <f>"DPC INDUSTRIES  INC."</f>
        <v>DPC INDUSTRIES  INC.</v>
      </c>
    </row>
    <row r="880" spans="1:9" x14ac:dyDescent="0.25">
      <c r="A880" s="6">
        <v>43776</v>
      </c>
      <c r="B880" t="s">
        <v>26</v>
      </c>
      <c r="C880">
        <v>62494</v>
      </c>
      <c r="D880" t="s">
        <v>80</v>
      </c>
      <c r="E880" s="7">
        <v>1500</v>
      </c>
      <c r="F880" t="s">
        <v>20</v>
      </c>
      <c r="G880" t="s">
        <v>21</v>
      </c>
      <c r="H880" t="str">
        <f>"1648-20191101-1"</f>
        <v>1648-20191101-1</v>
      </c>
      <c r="I880" t="str">
        <f>"LVWIFI.COM"</f>
        <v>LVWIFI.COM</v>
      </c>
    </row>
    <row r="881" spans="1:9" x14ac:dyDescent="0.25">
      <c r="E881" s="7"/>
      <c r="F881" t="s">
        <v>20</v>
      </c>
      <c r="G881" t="s">
        <v>21</v>
      </c>
      <c r="H881" t="str">
        <f>"2313-20191101-1"</f>
        <v>2313-20191101-1</v>
      </c>
      <c r="I881" t="str">
        <f>"LVWIFI.COM"</f>
        <v>LVWIFI.COM</v>
      </c>
    </row>
    <row r="882" spans="1:9" x14ac:dyDescent="0.25">
      <c r="A882" s="6">
        <v>43776</v>
      </c>
      <c r="B882" t="s">
        <v>26</v>
      </c>
      <c r="C882">
        <v>62495</v>
      </c>
      <c r="D882" t="s">
        <v>31</v>
      </c>
      <c r="E882" s="7">
        <v>2795</v>
      </c>
      <c r="F882" t="s">
        <v>20</v>
      </c>
      <c r="G882" t="s">
        <v>21</v>
      </c>
      <c r="H882" t="str">
        <f>"2019228"</f>
        <v>2019228</v>
      </c>
      <c r="I882" t="str">
        <f>"THE LAW OFFICE OF TOM CALDWELL"</f>
        <v>THE LAW OFFICE OF TOM CALDWELL</v>
      </c>
    </row>
    <row r="883" spans="1:9" x14ac:dyDescent="0.25">
      <c r="A883" s="6">
        <v>43776</v>
      </c>
      <c r="B883" t="s">
        <v>26</v>
      </c>
      <c r="C883">
        <v>62496</v>
      </c>
      <c r="D883" t="s">
        <v>97</v>
      </c>
      <c r="E883" s="7">
        <v>44687.59</v>
      </c>
      <c r="F883" t="s">
        <v>20</v>
      </c>
      <c r="G883" t="s">
        <v>21</v>
      </c>
      <c r="H883" t="str">
        <f>"OCT.2019"</f>
        <v>OCT.2019</v>
      </c>
      <c r="I883" t="str">
        <f>"HEALTH CARE SERVICE CORPORATIO"</f>
        <v>HEALTH CARE SERVICE CORPORATIO</v>
      </c>
    </row>
    <row r="884" spans="1:9" x14ac:dyDescent="0.25">
      <c r="A884" s="6">
        <v>43776</v>
      </c>
      <c r="B884" t="s">
        <v>26</v>
      </c>
      <c r="C884">
        <v>62497</v>
      </c>
      <c r="D884" t="s">
        <v>98</v>
      </c>
      <c r="E884" s="7">
        <v>4094.11</v>
      </c>
      <c r="F884" t="s">
        <v>20</v>
      </c>
      <c r="G884" t="s">
        <v>21</v>
      </c>
      <c r="H884" t="str">
        <f>"OCT.2019"</f>
        <v>OCT.2019</v>
      </c>
      <c r="I884" t="str">
        <f>"DEARBORN LIFE INSURANCE COMPAN"</f>
        <v>DEARBORN LIFE INSURANCE COMPAN</v>
      </c>
    </row>
    <row r="885" spans="1:9" x14ac:dyDescent="0.25">
      <c r="A885" s="6">
        <v>43776</v>
      </c>
      <c r="B885" t="s">
        <v>26</v>
      </c>
      <c r="C885">
        <v>62499</v>
      </c>
      <c r="D885" t="s">
        <v>85</v>
      </c>
      <c r="E885" s="7">
        <v>475.33</v>
      </c>
      <c r="F885" t="s">
        <v>20</v>
      </c>
      <c r="G885" t="s">
        <v>21</v>
      </c>
      <c r="H885" t="str">
        <f>"OCT.19  8303937070"</f>
        <v>OCT.19  8303937070</v>
      </c>
      <c r="I885" t="str">
        <f>"FRONTIER"</f>
        <v>FRONTIER</v>
      </c>
    </row>
    <row r="886" spans="1:9" x14ac:dyDescent="0.25">
      <c r="A886" s="6">
        <v>43776</v>
      </c>
      <c r="B886" t="s">
        <v>26</v>
      </c>
      <c r="C886">
        <v>62500</v>
      </c>
      <c r="D886" t="s">
        <v>345</v>
      </c>
      <c r="E886" s="7">
        <v>374</v>
      </c>
      <c r="F886" t="s">
        <v>20</v>
      </c>
      <c r="G886" t="s">
        <v>21</v>
      </c>
      <c r="H886" t="str">
        <f>"11/4/2019"</f>
        <v>11/4/2019</v>
      </c>
      <c r="I886" t="str">
        <f>"MICHAEL ISAAC MARTINEZ"</f>
        <v>MICHAEL ISAAC MARTINEZ</v>
      </c>
    </row>
    <row r="887" spans="1:9" x14ac:dyDescent="0.25">
      <c r="A887" s="6">
        <v>43776</v>
      </c>
      <c r="B887" t="s">
        <v>26</v>
      </c>
      <c r="C887">
        <v>62501</v>
      </c>
      <c r="D887" t="s">
        <v>452</v>
      </c>
      <c r="E887" s="7">
        <v>80</v>
      </c>
      <c r="F887" t="s">
        <v>20</v>
      </c>
      <c r="G887" t="s">
        <v>21</v>
      </c>
      <c r="H887" t="str">
        <f>"11/4/2019"</f>
        <v>11/4/2019</v>
      </c>
      <c r="I887" t="str">
        <f>"DESIREE PEREZ"</f>
        <v>DESIREE PEREZ</v>
      </c>
    </row>
    <row r="888" spans="1:9" x14ac:dyDescent="0.25">
      <c r="A888" s="6">
        <v>43776</v>
      </c>
      <c r="B888" t="s">
        <v>26</v>
      </c>
      <c r="C888">
        <v>62502</v>
      </c>
      <c r="D888" t="s">
        <v>49</v>
      </c>
      <c r="E888" s="7">
        <v>35.65</v>
      </c>
      <c r="F888" t="s">
        <v>20</v>
      </c>
      <c r="G888" t="s">
        <v>21</v>
      </c>
      <c r="H888" t="str">
        <f>"MILEAGE 10/30/19"</f>
        <v>MILEAGE 10/30/19</v>
      </c>
      <c r="I888" t="str">
        <f>"DORA LOPEZ"</f>
        <v>DORA LOPEZ</v>
      </c>
    </row>
    <row r="889" spans="1:9" x14ac:dyDescent="0.25">
      <c r="A889" s="6">
        <v>43776</v>
      </c>
      <c r="B889" t="s">
        <v>26</v>
      </c>
      <c r="C889">
        <v>62503</v>
      </c>
      <c r="D889" t="s">
        <v>398</v>
      </c>
      <c r="E889" s="7">
        <v>55</v>
      </c>
      <c r="F889" t="s">
        <v>20</v>
      </c>
      <c r="G889" t="s">
        <v>21</v>
      </c>
      <c r="H889" t="str">
        <f>"20191102"</f>
        <v>20191102</v>
      </c>
      <c r="I889" t="str">
        <f>"INTERCEPTOR TECHNOLOGY GROUP L"</f>
        <v>INTERCEPTOR TECHNOLOGY GROUP L</v>
      </c>
    </row>
    <row r="890" spans="1:9" x14ac:dyDescent="0.25">
      <c r="A890" s="6">
        <v>43776</v>
      </c>
      <c r="B890" t="s">
        <v>26</v>
      </c>
      <c r="C890">
        <v>62504</v>
      </c>
      <c r="D890" t="s">
        <v>554</v>
      </c>
      <c r="E890" s="7">
        <v>74.95</v>
      </c>
      <c r="F890" t="s">
        <v>20</v>
      </c>
      <c r="G890" t="s">
        <v>21</v>
      </c>
      <c r="H890" t="str">
        <f>"AA52453"</f>
        <v>AA52453</v>
      </c>
      <c r="I890" t="str">
        <f>"TEXAS WIRED MUSIC"</f>
        <v>TEXAS WIRED MUSIC</v>
      </c>
    </row>
    <row r="891" spans="1:9" x14ac:dyDescent="0.25">
      <c r="A891" s="6">
        <v>43776</v>
      </c>
      <c r="B891" t="s">
        <v>26</v>
      </c>
      <c r="C891">
        <v>62505</v>
      </c>
      <c r="D891" t="s">
        <v>559</v>
      </c>
      <c r="E891" s="7">
        <v>339.47</v>
      </c>
      <c r="F891" t="s">
        <v>20</v>
      </c>
      <c r="G891" t="s">
        <v>21</v>
      </c>
      <c r="H891" t="str">
        <f>"66980"</f>
        <v>66980</v>
      </c>
      <c r="I891" t="str">
        <f>"PAGE'S PRINTING"</f>
        <v>PAGE'S PRINTING</v>
      </c>
    </row>
    <row r="892" spans="1:9" x14ac:dyDescent="0.25">
      <c r="A892" s="6">
        <v>43776</v>
      </c>
      <c r="B892" t="s">
        <v>26</v>
      </c>
      <c r="C892">
        <v>62506</v>
      </c>
      <c r="D892" t="s">
        <v>696</v>
      </c>
      <c r="E892" s="7">
        <v>205</v>
      </c>
      <c r="F892" t="s">
        <v>20</v>
      </c>
      <c r="G892" t="s">
        <v>21</v>
      </c>
      <c r="H892" t="str">
        <f>"11/4/2019"</f>
        <v>11/4/2019</v>
      </c>
      <c r="I892" t="str">
        <f>"ANGEL G. ROSAS"</f>
        <v>ANGEL G. ROSAS</v>
      </c>
    </row>
    <row r="893" spans="1:9" x14ac:dyDescent="0.25">
      <c r="A893" s="6">
        <v>43776</v>
      </c>
      <c r="B893" t="s">
        <v>26</v>
      </c>
      <c r="C893">
        <v>62507</v>
      </c>
      <c r="D893" t="s">
        <v>698</v>
      </c>
      <c r="E893" s="7">
        <v>115</v>
      </c>
      <c r="F893" t="s">
        <v>20</v>
      </c>
      <c r="G893" t="s">
        <v>21</v>
      </c>
      <c r="H893" t="str">
        <f>"11/4/2019"</f>
        <v>11/4/2019</v>
      </c>
      <c r="I893" t="str">
        <f>"TRACY ORTIZ"</f>
        <v>TRACY ORTIZ</v>
      </c>
    </row>
    <row r="894" spans="1:9" x14ac:dyDescent="0.25">
      <c r="A894" s="6">
        <v>43776</v>
      </c>
      <c r="B894" t="s">
        <v>26</v>
      </c>
      <c r="C894">
        <v>62508</v>
      </c>
      <c r="D894" t="s">
        <v>739</v>
      </c>
      <c r="E894" s="7">
        <v>95.94</v>
      </c>
      <c r="F894" t="s">
        <v>20</v>
      </c>
      <c r="G894" t="s">
        <v>21</v>
      </c>
      <c r="H894" t="str">
        <f>"287291275286X10272"</f>
        <v>287291275286X10272</v>
      </c>
      <c r="I894" t="str">
        <f>"FIRSTNET/AT&amp;T MOBILITY LLC"</f>
        <v>FIRSTNET/AT&amp;T MOBILITY LLC</v>
      </c>
    </row>
    <row r="895" spans="1:9" x14ac:dyDescent="0.25">
      <c r="A895" s="6">
        <v>43776</v>
      </c>
      <c r="B895" t="s">
        <v>26</v>
      </c>
      <c r="C895">
        <v>62509</v>
      </c>
      <c r="D895" t="s">
        <v>814</v>
      </c>
      <c r="E895" s="7">
        <v>80</v>
      </c>
      <c r="F895" t="s">
        <v>20</v>
      </c>
      <c r="G895" t="s">
        <v>21</v>
      </c>
      <c r="H895" t="str">
        <f>"11/4/2019"</f>
        <v>11/4/2019</v>
      </c>
      <c r="I895" t="str">
        <f>"RACHEL GARCIA"</f>
        <v>RACHEL GARCIA</v>
      </c>
    </row>
    <row r="896" spans="1:9" x14ac:dyDescent="0.25">
      <c r="A896" s="6">
        <v>43776</v>
      </c>
      <c r="B896" t="s">
        <v>26</v>
      </c>
      <c r="C896">
        <v>62510</v>
      </c>
      <c r="D896" t="s">
        <v>824</v>
      </c>
      <c r="E896" s="7">
        <v>160</v>
      </c>
      <c r="F896" t="s">
        <v>20</v>
      </c>
      <c r="G896" t="s">
        <v>21</v>
      </c>
      <c r="H896" t="str">
        <f>"11/4/2019"</f>
        <v>11/4/2019</v>
      </c>
      <c r="I896" t="str">
        <f>"MALLORY R. NELSON"</f>
        <v>MALLORY R. NELSON</v>
      </c>
    </row>
    <row r="897" spans="1:9" x14ac:dyDescent="0.25">
      <c r="A897" s="6">
        <v>43776</v>
      </c>
      <c r="B897" t="s">
        <v>26</v>
      </c>
      <c r="C897">
        <v>62511</v>
      </c>
      <c r="D897" t="s">
        <v>829</v>
      </c>
      <c r="E897" s="7">
        <v>105</v>
      </c>
      <c r="F897" t="s">
        <v>20</v>
      </c>
      <c r="G897" t="s">
        <v>21</v>
      </c>
      <c r="H897" t="str">
        <f>"SOFTBALL 11/8/19"</f>
        <v>SOFTBALL 11/8/19</v>
      </c>
      <c r="I897" t="str">
        <f>"MARCUS A OLIVO"</f>
        <v>MARCUS A OLIVO</v>
      </c>
    </row>
    <row r="898" spans="1:9" x14ac:dyDescent="0.25">
      <c r="A898" s="6">
        <v>43776</v>
      </c>
      <c r="B898" t="s">
        <v>26</v>
      </c>
      <c r="C898">
        <v>62512</v>
      </c>
      <c r="D898" t="s">
        <v>836</v>
      </c>
      <c r="E898" s="7">
        <v>4240</v>
      </c>
      <c r="F898" t="s">
        <v>20</v>
      </c>
      <c r="G898" t="s">
        <v>21</v>
      </c>
      <c r="H898" t="str">
        <f>"58188"</f>
        <v>58188</v>
      </c>
      <c r="I898" t="str">
        <f>"BARCOM TECHNOLOGY SOLUTIONS  I"</f>
        <v>BARCOM TECHNOLOGY SOLUTIONS  I</v>
      </c>
    </row>
    <row r="899" spans="1:9" x14ac:dyDescent="0.25">
      <c r="A899" s="6">
        <v>43776</v>
      </c>
      <c r="B899" t="s">
        <v>26</v>
      </c>
      <c r="C899">
        <v>62513</v>
      </c>
      <c r="D899" t="s">
        <v>842</v>
      </c>
      <c r="E899" s="7">
        <v>4500</v>
      </c>
      <c r="F899" t="s">
        <v>20</v>
      </c>
      <c r="G899" t="s">
        <v>21</v>
      </c>
      <c r="H899" t="str">
        <f>"1241"</f>
        <v>1241</v>
      </c>
      <c r="I899" t="str">
        <f>"TAMMY FELUX EVENT DESIGN AND D"</f>
        <v>TAMMY FELUX EVENT DESIGN AND D</v>
      </c>
    </row>
    <row r="900" spans="1:9" x14ac:dyDescent="0.25">
      <c r="A900" s="6">
        <v>43776</v>
      </c>
      <c r="B900" t="s">
        <v>26</v>
      </c>
      <c r="C900">
        <v>62514</v>
      </c>
      <c r="D900" t="s">
        <v>752</v>
      </c>
      <c r="E900" s="7">
        <v>205</v>
      </c>
      <c r="F900" t="s">
        <v>20</v>
      </c>
      <c r="G900" t="s">
        <v>21</v>
      </c>
      <c r="H900" t="str">
        <f>"11/4/19"</f>
        <v>11/4/19</v>
      </c>
      <c r="I900" t="str">
        <f>"BLANCA PEREZ"</f>
        <v>BLANCA PEREZ</v>
      </c>
    </row>
    <row r="901" spans="1:9" x14ac:dyDescent="0.25">
      <c r="A901" s="6">
        <v>43781</v>
      </c>
      <c r="B901" t="s">
        <v>26</v>
      </c>
      <c r="C901">
        <v>62515</v>
      </c>
      <c r="D901" t="s">
        <v>843</v>
      </c>
      <c r="E901" s="7">
        <v>399.5</v>
      </c>
      <c r="F901" t="s">
        <v>20</v>
      </c>
      <c r="G901" t="s">
        <v>21</v>
      </c>
      <c r="H901" t="str">
        <f>"10/24/2019"</f>
        <v>10/24/2019</v>
      </c>
      <c r="I901" t="str">
        <f>"LEGACY IW DESIGNS"</f>
        <v>LEGACY IW DESIGNS</v>
      </c>
    </row>
    <row r="902" spans="1:9" x14ac:dyDescent="0.25">
      <c r="A902" s="6">
        <v>43782</v>
      </c>
      <c r="B902" t="s">
        <v>91</v>
      </c>
      <c r="C902">
        <v>62516</v>
      </c>
      <c r="D902" t="s">
        <v>56</v>
      </c>
      <c r="E902" s="7">
        <v>185</v>
      </c>
      <c r="F902" t="s">
        <v>20</v>
      </c>
      <c r="G902" t="s">
        <v>21</v>
      </c>
      <c r="H902" t="str">
        <f>"177339"</f>
        <v>177339</v>
      </c>
      <c r="I902" t="str">
        <f>"GERALD LUBIANSKI ENTERPRISES"</f>
        <v>GERALD LUBIANSKI ENTERPRISES</v>
      </c>
    </row>
    <row r="903" spans="1:9" x14ac:dyDescent="0.25">
      <c r="A903" s="6">
        <v>43782</v>
      </c>
      <c r="B903" t="s">
        <v>91</v>
      </c>
      <c r="C903">
        <v>62516</v>
      </c>
      <c r="D903" t="s">
        <v>56</v>
      </c>
      <c r="E903" s="7">
        <v>185</v>
      </c>
      <c r="F903" t="s">
        <v>20</v>
      </c>
      <c r="G903" t="s">
        <v>93</v>
      </c>
      <c r="H903" t="str">
        <f>"CHECK"</f>
        <v>CHECK</v>
      </c>
      <c r="I903" t="str">
        <f>""</f>
        <v/>
      </c>
    </row>
    <row r="904" spans="1:9" x14ac:dyDescent="0.25">
      <c r="A904" s="6">
        <v>43782</v>
      </c>
      <c r="B904" t="s">
        <v>26</v>
      </c>
      <c r="C904">
        <v>62517</v>
      </c>
      <c r="D904" t="s">
        <v>102</v>
      </c>
      <c r="E904" s="7">
        <v>148.4</v>
      </c>
      <c r="F904" t="s">
        <v>20</v>
      </c>
      <c r="G904" t="s">
        <v>21</v>
      </c>
      <c r="H904" t="str">
        <f>"1120 S. ST NOV2019"</f>
        <v>1120 S. ST NOV2019</v>
      </c>
      <c r="I904" t="str">
        <f>"CENTERPOINT ENERGY ENTEX"</f>
        <v>CENTERPOINT ENERGY ENTEX</v>
      </c>
    </row>
    <row r="905" spans="1:9" x14ac:dyDescent="0.25">
      <c r="E905" s="7"/>
      <c r="F905" t="s">
        <v>20</v>
      </c>
      <c r="G905" t="s">
        <v>21</v>
      </c>
      <c r="H905" t="str">
        <f>"1200 1ST NOV.2019"</f>
        <v>1200 1ST NOV.2019</v>
      </c>
      <c r="I905" t="str">
        <f>"CENTERPOINT ENERGY ENTEX"</f>
        <v>CENTERPOINT ENERGY ENTEX</v>
      </c>
    </row>
    <row r="906" spans="1:9" x14ac:dyDescent="0.25">
      <c r="E906" s="7"/>
      <c r="F906" t="s">
        <v>20</v>
      </c>
      <c r="G906" t="s">
        <v>21</v>
      </c>
      <c r="H906" t="str">
        <f>"920 C. ST NOV.2019"</f>
        <v>920 C. ST NOV.2019</v>
      </c>
      <c r="I906" t="str">
        <f>"CENTERPOINT ENERGY ENTEX"</f>
        <v>CENTERPOINT ENERGY ENTEX</v>
      </c>
    </row>
    <row r="907" spans="1:9" x14ac:dyDescent="0.25">
      <c r="A907" s="6">
        <v>43782</v>
      </c>
      <c r="B907" t="s">
        <v>26</v>
      </c>
      <c r="C907">
        <v>62518</v>
      </c>
      <c r="D907" t="s">
        <v>57</v>
      </c>
      <c r="E907" s="7">
        <v>10737.78</v>
      </c>
      <c r="F907" t="s">
        <v>20</v>
      </c>
      <c r="G907" t="s">
        <v>21</v>
      </c>
      <c r="H907" t="str">
        <f>"11617 OCT.2019"</f>
        <v>11617 OCT.2019</v>
      </c>
      <c r="I907" t="str">
        <f>"F.E.L.P.S."</f>
        <v>F.E.L.P.S.</v>
      </c>
    </row>
    <row r="908" spans="1:9" x14ac:dyDescent="0.25">
      <c r="E908" s="7"/>
      <c r="F908" t="s">
        <v>20</v>
      </c>
      <c r="G908" t="s">
        <v>21</v>
      </c>
      <c r="H908" t="str">
        <f>"33062 OCT.2019"</f>
        <v>33062 OCT.2019</v>
      </c>
      <c r="I908" t="str">
        <f>"F.E.L.P.S."</f>
        <v>F.E.L.P.S.</v>
      </c>
    </row>
    <row r="909" spans="1:9" x14ac:dyDescent="0.25">
      <c r="A909" s="6">
        <v>43782</v>
      </c>
      <c r="B909" t="s">
        <v>26</v>
      </c>
      <c r="C909">
        <v>62519</v>
      </c>
      <c r="D909" t="s">
        <v>201</v>
      </c>
      <c r="E909" s="7">
        <v>59.29</v>
      </c>
      <c r="F909" t="s">
        <v>20</v>
      </c>
      <c r="G909" t="s">
        <v>21</v>
      </c>
      <c r="H909" t="str">
        <f>"139382"</f>
        <v>139382</v>
      </c>
      <c r="I909" t="str">
        <f>"WILSON COUNTY HARDWARE"</f>
        <v>WILSON COUNTY HARDWARE</v>
      </c>
    </row>
    <row r="910" spans="1:9" x14ac:dyDescent="0.25">
      <c r="A910" s="6">
        <v>43782</v>
      </c>
      <c r="B910" t="s">
        <v>26</v>
      </c>
      <c r="C910">
        <v>62520</v>
      </c>
      <c r="D910" t="s">
        <v>103</v>
      </c>
      <c r="E910" s="7">
        <v>77413.84</v>
      </c>
      <c r="F910" t="s">
        <v>20</v>
      </c>
      <c r="G910" t="s">
        <v>21</v>
      </c>
      <c r="H910" t="str">
        <f>"NOV. 2019SALES TAX"</f>
        <v>NOV. 2019SALES TAX</v>
      </c>
      <c r="I910" t="str">
        <f>"F. E. D. C."</f>
        <v>F. E. D. C.</v>
      </c>
    </row>
    <row r="911" spans="1:9" x14ac:dyDescent="0.25">
      <c r="A911" s="6">
        <v>43782</v>
      </c>
      <c r="B911" t="s">
        <v>26</v>
      </c>
      <c r="C911">
        <v>62521</v>
      </c>
      <c r="D911" t="s">
        <v>59</v>
      </c>
      <c r="E911" s="7">
        <v>3797.45</v>
      </c>
      <c r="F911" t="s">
        <v>20</v>
      </c>
      <c r="G911" t="s">
        <v>21</v>
      </c>
      <c r="H911" t="str">
        <f>"1032554"</f>
        <v>1032554</v>
      </c>
      <c r="I911" t="str">
        <f>"WORK BOOTS"</f>
        <v>WORK BOOTS</v>
      </c>
    </row>
    <row r="912" spans="1:9" x14ac:dyDescent="0.25">
      <c r="E912" s="7"/>
      <c r="F912" t="s">
        <v>20</v>
      </c>
      <c r="G912" t="s">
        <v>21</v>
      </c>
      <c r="H912" t="str">
        <f>"1032891"</f>
        <v>1032891</v>
      </c>
      <c r="I912" t="str">
        <f>"PVC/PIPE"</f>
        <v>PVC/PIPE</v>
      </c>
    </row>
    <row r="913" spans="1:9" x14ac:dyDescent="0.25">
      <c r="E913" s="7"/>
      <c r="F913" t="s">
        <v>20</v>
      </c>
      <c r="G913" t="s">
        <v>21</v>
      </c>
      <c r="H913" t="str">
        <f>"1040073"</f>
        <v>1040073</v>
      </c>
      <c r="I913" t="str">
        <f>"WORK BOOTS"</f>
        <v>WORK BOOTS</v>
      </c>
    </row>
    <row r="914" spans="1:9" x14ac:dyDescent="0.25">
      <c r="A914" s="6">
        <v>43782</v>
      </c>
      <c r="B914" t="s">
        <v>26</v>
      </c>
      <c r="C914">
        <v>62524</v>
      </c>
      <c r="D914" t="s">
        <v>472</v>
      </c>
      <c r="E914" s="7">
        <v>538</v>
      </c>
      <c r="F914" t="s">
        <v>20</v>
      </c>
      <c r="G914" t="s">
        <v>21</v>
      </c>
      <c r="H914" t="str">
        <f>"237656"</f>
        <v>237656</v>
      </c>
      <c r="I914" t="str">
        <f>"WILSON COUNTY CLERK  EVA S. MA"</f>
        <v>WILSON COUNTY CLERK  EVA S. MA</v>
      </c>
    </row>
    <row r="915" spans="1:9" x14ac:dyDescent="0.25">
      <c r="E915" s="7"/>
      <c r="F915" t="s">
        <v>20</v>
      </c>
      <c r="G915" t="s">
        <v>21</v>
      </c>
      <c r="H915" t="str">
        <f>"237733"</f>
        <v>237733</v>
      </c>
      <c r="I915" t="str">
        <f>"WILSON COUNTY CLERK  EVA S. MA"</f>
        <v>WILSON COUNTY CLERK  EVA S. MA</v>
      </c>
    </row>
    <row r="916" spans="1:9" x14ac:dyDescent="0.25">
      <c r="E916" s="7"/>
      <c r="F916" t="s">
        <v>20</v>
      </c>
      <c r="G916" t="s">
        <v>21</v>
      </c>
      <c r="H916" t="str">
        <f>"238310"</f>
        <v>238310</v>
      </c>
      <c r="I916" t="str">
        <f>"WILSON COUNTY CLERK  EVA S. MA"</f>
        <v>WILSON COUNTY CLERK  EVA S. MA</v>
      </c>
    </row>
    <row r="917" spans="1:9" x14ac:dyDescent="0.25">
      <c r="A917" s="6">
        <v>43782</v>
      </c>
      <c r="B917" t="s">
        <v>26</v>
      </c>
      <c r="C917">
        <v>62525</v>
      </c>
      <c r="D917" t="s">
        <v>273</v>
      </c>
      <c r="E917" s="7">
        <v>5765.41</v>
      </c>
      <c r="F917" t="s">
        <v>20</v>
      </c>
      <c r="G917" t="s">
        <v>21</v>
      </c>
      <c r="H917" t="str">
        <f>"5119-000090806"</f>
        <v>5119-000090806</v>
      </c>
      <c r="I917" t="str">
        <f>"REPUBLIC SERVICES TESSMAN ROAD"</f>
        <v>REPUBLIC SERVICES TESSMAN ROAD</v>
      </c>
    </row>
    <row r="918" spans="1:9" x14ac:dyDescent="0.25">
      <c r="A918" s="6">
        <v>43782</v>
      </c>
      <c r="B918" t="s">
        <v>26</v>
      </c>
      <c r="C918">
        <v>62526</v>
      </c>
      <c r="D918" t="s">
        <v>240</v>
      </c>
      <c r="E918" s="7">
        <v>242.87</v>
      </c>
      <c r="F918" t="s">
        <v>20</v>
      </c>
      <c r="G918" t="s">
        <v>21</v>
      </c>
      <c r="H918" t="str">
        <f>"0179139-IN"</f>
        <v>0179139-IN</v>
      </c>
      <c r="I918" t="str">
        <f>"NEW COMPLIANCE OFFICER"</f>
        <v>NEW COMPLIANCE OFFICER</v>
      </c>
    </row>
    <row r="919" spans="1:9" x14ac:dyDescent="0.25">
      <c r="A919" s="6">
        <v>43782</v>
      </c>
      <c r="B919" t="s">
        <v>26</v>
      </c>
      <c r="C919">
        <v>62527</v>
      </c>
      <c r="D919" t="s">
        <v>110</v>
      </c>
      <c r="E919" s="7">
        <v>3733.08</v>
      </c>
      <c r="F919" t="s">
        <v>20</v>
      </c>
      <c r="G919" t="s">
        <v>21</v>
      </c>
      <c r="H919" t="str">
        <f>"1499261"</f>
        <v>1499261</v>
      </c>
      <c r="I919" t="str">
        <f t="shared" ref="I919:I934" si="16">"BUREAU VERITAS NORTH AMERICA"</f>
        <v>BUREAU VERITAS NORTH AMERICA</v>
      </c>
    </row>
    <row r="920" spans="1:9" x14ac:dyDescent="0.25">
      <c r="E920" s="7"/>
      <c r="F920" t="s">
        <v>20</v>
      </c>
      <c r="G920" t="s">
        <v>21</v>
      </c>
      <c r="H920" t="str">
        <f>"1499264"</f>
        <v>1499264</v>
      </c>
      <c r="I920" t="str">
        <f t="shared" si="16"/>
        <v>BUREAU VERITAS NORTH AMERICA</v>
      </c>
    </row>
    <row r="921" spans="1:9" x14ac:dyDescent="0.25">
      <c r="E921" s="7"/>
      <c r="F921" t="s">
        <v>20</v>
      </c>
      <c r="G921" t="s">
        <v>21</v>
      </c>
      <c r="H921" t="str">
        <f>"1499266"</f>
        <v>1499266</v>
      </c>
      <c r="I921" t="str">
        <f t="shared" si="16"/>
        <v>BUREAU VERITAS NORTH AMERICA</v>
      </c>
    </row>
    <row r="922" spans="1:9" x14ac:dyDescent="0.25">
      <c r="E922" s="7"/>
      <c r="F922" t="s">
        <v>20</v>
      </c>
      <c r="G922" t="s">
        <v>21</v>
      </c>
      <c r="H922" t="str">
        <f>"1499268"</f>
        <v>1499268</v>
      </c>
      <c r="I922" t="str">
        <f t="shared" si="16"/>
        <v>BUREAU VERITAS NORTH AMERICA</v>
      </c>
    </row>
    <row r="923" spans="1:9" x14ac:dyDescent="0.25">
      <c r="E923" s="7"/>
      <c r="F923" t="s">
        <v>20</v>
      </c>
      <c r="G923" t="s">
        <v>21</v>
      </c>
      <c r="H923" t="str">
        <f>"1499270"</f>
        <v>1499270</v>
      </c>
      <c r="I923" t="str">
        <f t="shared" si="16"/>
        <v>BUREAU VERITAS NORTH AMERICA</v>
      </c>
    </row>
    <row r="924" spans="1:9" x14ac:dyDescent="0.25">
      <c r="E924" s="7"/>
      <c r="F924" t="s">
        <v>20</v>
      </c>
      <c r="G924" t="s">
        <v>21</v>
      </c>
      <c r="H924" t="str">
        <f>"1499272"</f>
        <v>1499272</v>
      </c>
      <c r="I924" t="str">
        <f t="shared" si="16"/>
        <v>BUREAU VERITAS NORTH AMERICA</v>
      </c>
    </row>
    <row r="925" spans="1:9" x14ac:dyDescent="0.25">
      <c r="E925" s="7"/>
      <c r="F925" t="s">
        <v>20</v>
      </c>
      <c r="G925" t="s">
        <v>21</v>
      </c>
      <c r="H925" t="str">
        <f>"1499274"</f>
        <v>1499274</v>
      </c>
      <c r="I925" t="str">
        <f t="shared" si="16"/>
        <v>BUREAU VERITAS NORTH AMERICA</v>
      </c>
    </row>
    <row r="926" spans="1:9" x14ac:dyDescent="0.25">
      <c r="E926" s="7"/>
      <c r="F926" t="s">
        <v>20</v>
      </c>
      <c r="G926" t="s">
        <v>21</v>
      </c>
      <c r="H926" t="str">
        <f>"1499276"</f>
        <v>1499276</v>
      </c>
      <c r="I926" t="str">
        <f t="shared" si="16"/>
        <v>BUREAU VERITAS NORTH AMERICA</v>
      </c>
    </row>
    <row r="927" spans="1:9" x14ac:dyDescent="0.25">
      <c r="E927" s="7"/>
      <c r="F927" t="s">
        <v>20</v>
      </c>
      <c r="G927" t="s">
        <v>21</v>
      </c>
      <c r="H927" t="str">
        <f>"1499278"</f>
        <v>1499278</v>
      </c>
      <c r="I927" t="str">
        <f t="shared" si="16"/>
        <v>BUREAU VERITAS NORTH AMERICA</v>
      </c>
    </row>
    <row r="928" spans="1:9" x14ac:dyDescent="0.25">
      <c r="E928" s="7"/>
      <c r="F928" t="s">
        <v>20</v>
      </c>
      <c r="G928" t="s">
        <v>21</v>
      </c>
      <c r="H928" t="str">
        <f>"1499280"</f>
        <v>1499280</v>
      </c>
      <c r="I928" t="str">
        <f t="shared" si="16"/>
        <v>BUREAU VERITAS NORTH AMERICA</v>
      </c>
    </row>
    <row r="929" spans="1:9" x14ac:dyDescent="0.25">
      <c r="E929" s="7"/>
      <c r="F929" t="s">
        <v>20</v>
      </c>
      <c r="G929" t="s">
        <v>21</v>
      </c>
      <c r="H929" t="str">
        <f>"1499282"</f>
        <v>1499282</v>
      </c>
      <c r="I929" t="str">
        <f t="shared" si="16"/>
        <v>BUREAU VERITAS NORTH AMERICA</v>
      </c>
    </row>
    <row r="930" spans="1:9" x14ac:dyDescent="0.25">
      <c r="E930" s="7"/>
      <c r="F930" t="s">
        <v>20</v>
      </c>
      <c r="G930" t="s">
        <v>21</v>
      </c>
      <c r="H930" t="str">
        <f>"1499284"</f>
        <v>1499284</v>
      </c>
      <c r="I930" t="str">
        <f t="shared" si="16"/>
        <v>BUREAU VERITAS NORTH AMERICA</v>
      </c>
    </row>
    <row r="931" spans="1:9" x14ac:dyDescent="0.25">
      <c r="E931" s="7"/>
      <c r="F931" t="s">
        <v>20</v>
      </c>
      <c r="G931" t="s">
        <v>21</v>
      </c>
      <c r="H931" t="str">
        <f>"1499286"</f>
        <v>1499286</v>
      </c>
      <c r="I931" t="str">
        <f t="shared" si="16"/>
        <v>BUREAU VERITAS NORTH AMERICA</v>
      </c>
    </row>
    <row r="932" spans="1:9" x14ac:dyDescent="0.25">
      <c r="E932" s="7"/>
      <c r="F932" t="s">
        <v>20</v>
      </c>
      <c r="G932" t="s">
        <v>21</v>
      </c>
      <c r="H932" t="str">
        <f>"1499288"</f>
        <v>1499288</v>
      </c>
      <c r="I932" t="str">
        <f t="shared" si="16"/>
        <v>BUREAU VERITAS NORTH AMERICA</v>
      </c>
    </row>
    <row r="933" spans="1:9" x14ac:dyDescent="0.25">
      <c r="E933" s="7"/>
      <c r="F933" t="s">
        <v>20</v>
      </c>
      <c r="G933" t="s">
        <v>21</v>
      </c>
      <c r="H933" t="str">
        <f>"1499290"</f>
        <v>1499290</v>
      </c>
      <c r="I933" t="str">
        <f t="shared" si="16"/>
        <v>BUREAU VERITAS NORTH AMERICA</v>
      </c>
    </row>
    <row r="934" spans="1:9" x14ac:dyDescent="0.25">
      <c r="E934" s="7"/>
      <c r="F934" t="s">
        <v>20</v>
      </c>
      <c r="G934" t="s">
        <v>21</v>
      </c>
      <c r="H934" t="str">
        <f>"1499292"</f>
        <v>1499292</v>
      </c>
      <c r="I934" t="str">
        <f t="shared" si="16"/>
        <v>BUREAU VERITAS NORTH AMERICA</v>
      </c>
    </row>
    <row r="935" spans="1:9" x14ac:dyDescent="0.25">
      <c r="A935" s="6">
        <v>43782</v>
      </c>
      <c r="B935" t="s">
        <v>26</v>
      </c>
      <c r="C935">
        <v>62530</v>
      </c>
      <c r="D935" t="s">
        <v>844</v>
      </c>
      <c r="E935" s="7">
        <v>50</v>
      </c>
      <c r="F935" t="s">
        <v>20</v>
      </c>
      <c r="G935" t="s">
        <v>21</v>
      </c>
      <c r="H935" t="str">
        <f>"DEP RFND 10/19/19"</f>
        <v>DEP RFND 10/19/19</v>
      </c>
      <c r="I935" t="str">
        <f>"REFUND"</f>
        <v>REFUND</v>
      </c>
    </row>
    <row r="936" spans="1:9" x14ac:dyDescent="0.25">
      <c r="A936" s="6">
        <v>43782</v>
      </c>
      <c r="B936" t="s">
        <v>26</v>
      </c>
      <c r="C936">
        <v>62531</v>
      </c>
      <c r="D936" t="s">
        <v>845</v>
      </c>
      <c r="E936" s="7">
        <v>200</v>
      </c>
      <c r="F936" t="s">
        <v>20</v>
      </c>
      <c r="G936" t="s">
        <v>21</v>
      </c>
      <c r="H936" t="str">
        <f>"PERMIT REFND 11/19"</f>
        <v>PERMIT REFND 11/19</v>
      </c>
      <c r="I936" t="str">
        <f>"REFUND"</f>
        <v>REFUND</v>
      </c>
    </row>
    <row r="937" spans="1:9" x14ac:dyDescent="0.25">
      <c r="A937" s="6">
        <v>43782</v>
      </c>
      <c r="B937" t="s">
        <v>26</v>
      </c>
      <c r="C937">
        <v>62532</v>
      </c>
      <c r="D937" t="s">
        <v>92</v>
      </c>
      <c r="E937" s="7">
        <v>41449</v>
      </c>
      <c r="F937" t="s">
        <v>20</v>
      </c>
      <c r="G937" t="s">
        <v>21</v>
      </c>
      <c r="H937" t="str">
        <f>"OCT.2019"</f>
        <v>OCT.2019</v>
      </c>
      <c r="I937" t="str">
        <f>"TEXAS MUNICIPAL RETIREMENT SYS"</f>
        <v>TEXAS MUNICIPAL RETIREMENT SYS</v>
      </c>
    </row>
    <row r="938" spans="1:9" x14ac:dyDescent="0.25">
      <c r="A938" s="6">
        <v>43782</v>
      </c>
      <c r="B938" t="s">
        <v>26</v>
      </c>
      <c r="C938">
        <v>62533</v>
      </c>
      <c r="D938" t="s">
        <v>532</v>
      </c>
      <c r="E938" s="7">
        <v>80</v>
      </c>
      <c r="F938" t="s">
        <v>20</v>
      </c>
      <c r="G938" t="s">
        <v>21</v>
      </c>
      <c r="H938" t="str">
        <f>"MEMBSHP RENEWAL"</f>
        <v>MEMBSHP RENEWAL</v>
      </c>
      <c r="I938" t="str">
        <f>"GOVERNMENT FINANCE OFFICERS AS"</f>
        <v>GOVERNMENT FINANCE OFFICERS AS</v>
      </c>
    </row>
    <row r="939" spans="1:9" x14ac:dyDescent="0.25">
      <c r="A939" s="6">
        <v>43782</v>
      </c>
      <c r="B939" t="s">
        <v>26</v>
      </c>
      <c r="C939">
        <v>62534</v>
      </c>
      <c r="D939" t="s">
        <v>115</v>
      </c>
      <c r="E939" s="7">
        <v>34.770000000000003</v>
      </c>
      <c r="F939" t="s">
        <v>20</v>
      </c>
      <c r="G939" t="s">
        <v>21</v>
      </c>
      <c r="H939" t="str">
        <f>"3547543645"</f>
        <v>3547543645</v>
      </c>
      <c r="I939" t="str">
        <f>"PD UNIT 316 REPAIR"</f>
        <v>PD UNIT 316 REPAIR</v>
      </c>
    </row>
    <row r="940" spans="1:9" x14ac:dyDescent="0.25">
      <c r="E940" s="7"/>
      <c r="F940" t="s">
        <v>20</v>
      </c>
      <c r="G940" t="s">
        <v>21</v>
      </c>
      <c r="H940" t="str">
        <f>"3547543646"</f>
        <v>3547543646</v>
      </c>
      <c r="I940" t="str">
        <f>"TRUCK REPAIR UNIT 203"</f>
        <v>TRUCK REPAIR UNIT 203</v>
      </c>
    </row>
    <row r="941" spans="1:9" x14ac:dyDescent="0.25">
      <c r="A941" s="6">
        <v>43782</v>
      </c>
      <c r="B941" t="s">
        <v>26</v>
      </c>
      <c r="C941">
        <v>62535</v>
      </c>
      <c r="D941" t="s">
        <v>63</v>
      </c>
      <c r="E941" s="7">
        <v>866.86</v>
      </c>
      <c r="F941" t="s">
        <v>20</v>
      </c>
      <c r="G941" t="s">
        <v>21</v>
      </c>
      <c r="H941" t="str">
        <f>"8404358664"</f>
        <v>8404358664</v>
      </c>
      <c r="I941" t="str">
        <f>"CINTAS CORPORATION"</f>
        <v>CINTAS CORPORATION</v>
      </c>
    </row>
    <row r="942" spans="1:9" x14ac:dyDescent="0.25">
      <c r="A942" s="6">
        <v>43782</v>
      </c>
      <c r="B942" t="s">
        <v>26</v>
      </c>
      <c r="C942">
        <v>62536</v>
      </c>
      <c r="D942" t="s">
        <v>64</v>
      </c>
      <c r="E942" s="7">
        <v>4436</v>
      </c>
      <c r="F942" t="s">
        <v>20</v>
      </c>
      <c r="G942" t="s">
        <v>21</v>
      </c>
      <c r="H942" t="str">
        <f>"7976"</f>
        <v>7976</v>
      </c>
      <c r="I942" t="str">
        <f>"DREWA DESIGNS  INC."</f>
        <v>DREWA DESIGNS  INC.</v>
      </c>
    </row>
    <row r="943" spans="1:9" x14ac:dyDescent="0.25">
      <c r="A943" s="6">
        <v>43782</v>
      </c>
      <c r="B943" t="s">
        <v>26</v>
      </c>
      <c r="C943">
        <v>62537</v>
      </c>
      <c r="D943" t="s">
        <v>66</v>
      </c>
      <c r="E943" s="7">
        <v>50</v>
      </c>
      <c r="F943" t="s">
        <v>20</v>
      </c>
      <c r="G943" t="s">
        <v>21</v>
      </c>
      <c r="H943" t="str">
        <f>"56732"</f>
        <v>56732</v>
      </c>
      <c r="I943" t="str">
        <f>"LOPEZ EXTERMINATING SERVICE  I"</f>
        <v>LOPEZ EXTERMINATING SERVICE  I</v>
      </c>
    </row>
    <row r="944" spans="1:9" x14ac:dyDescent="0.25">
      <c r="A944" s="6">
        <v>43782</v>
      </c>
      <c r="B944" t="s">
        <v>26</v>
      </c>
      <c r="C944">
        <v>62538</v>
      </c>
      <c r="D944" t="s">
        <v>667</v>
      </c>
      <c r="E944" s="7">
        <v>220</v>
      </c>
      <c r="F944" t="s">
        <v>20</v>
      </c>
      <c r="G944" t="s">
        <v>21</v>
      </c>
      <c r="H944" t="str">
        <f>"SEX OFF. CLASS NOV"</f>
        <v>SEX OFF. CLASS NOV</v>
      </c>
      <c r="I944" t="str">
        <f>"JESSE GUTIERREZ"</f>
        <v>JESSE GUTIERREZ</v>
      </c>
    </row>
    <row r="945" spans="1:9" x14ac:dyDescent="0.25">
      <c r="A945" s="6">
        <v>43782</v>
      </c>
      <c r="B945" t="s">
        <v>26</v>
      </c>
      <c r="C945">
        <v>62539</v>
      </c>
      <c r="D945" t="s">
        <v>69</v>
      </c>
      <c r="E945" s="7">
        <v>1628</v>
      </c>
      <c r="F945" t="s">
        <v>20</v>
      </c>
      <c r="G945" t="s">
        <v>21</v>
      </c>
      <c r="H945" t="str">
        <f>"C01293"</f>
        <v>C01293</v>
      </c>
      <c r="I945" t="str">
        <f>"POST HOLE DIGGER"</f>
        <v>POST HOLE DIGGER</v>
      </c>
    </row>
    <row r="946" spans="1:9" x14ac:dyDescent="0.25">
      <c r="A946" s="6">
        <v>43782</v>
      </c>
      <c r="B946" t="s">
        <v>26</v>
      </c>
      <c r="C946">
        <v>62540</v>
      </c>
      <c r="D946" t="s">
        <v>71</v>
      </c>
      <c r="E946" s="7">
        <v>2284.66</v>
      </c>
      <c r="F946" t="s">
        <v>20</v>
      </c>
      <c r="G946" t="s">
        <v>21</v>
      </c>
      <c r="H946" t="str">
        <f>"4032835145"</f>
        <v>4032835145</v>
      </c>
      <c r="I946" t="str">
        <f t="shared" ref="I946:I956" si="17">"CINTAS CORPORATION #087"</f>
        <v>CINTAS CORPORATION #087</v>
      </c>
    </row>
    <row r="947" spans="1:9" x14ac:dyDescent="0.25">
      <c r="E947" s="7"/>
      <c r="F947" t="s">
        <v>20</v>
      </c>
      <c r="G947" t="s">
        <v>21</v>
      </c>
      <c r="H947" t="str">
        <f>"4033986818"</f>
        <v>4033986818</v>
      </c>
      <c r="I947" t="str">
        <f t="shared" si="17"/>
        <v>CINTAS CORPORATION #087</v>
      </c>
    </row>
    <row r="948" spans="1:9" x14ac:dyDescent="0.25">
      <c r="E948" s="7"/>
      <c r="F948" t="s">
        <v>20</v>
      </c>
      <c r="G948" t="s">
        <v>21</v>
      </c>
      <c r="H948" t="str">
        <f>"4033986819"</f>
        <v>4033986819</v>
      </c>
      <c r="I948" t="str">
        <f t="shared" si="17"/>
        <v>CINTAS CORPORATION #087</v>
      </c>
    </row>
    <row r="949" spans="1:9" x14ac:dyDescent="0.25">
      <c r="E949" s="7"/>
      <c r="F949" t="s">
        <v>20</v>
      </c>
      <c r="G949" t="s">
        <v>21</v>
      </c>
      <c r="H949" t="str">
        <f>"4033986848"</f>
        <v>4033986848</v>
      </c>
      <c r="I949" t="str">
        <f t="shared" si="17"/>
        <v>CINTAS CORPORATION #087</v>
      </c>
    </row>
    <row r="950" spans="1:9" x14ac:dyDescent="0.25">
      <c r="E950" s="7"/>
      <c r="F950" t="s">
        <v>20</v>
      </c>
      <c r="G950" t="s">
        <v>21</v>
      </c>
      <c r="H950" t="str">
        <f>"4033986849"</f>
        <v>4033986849</v>
      </c>
      <c r="I950" t="str">
        <f t="shared" si="17"/>
        <v>CINTAS CORPORATION #087</v>
      </c>
    </row>
    <row r="951" spans="1:9" x14ac:dyDescent="0.25">
      <c r="E951" s="7"/>
      <c r="F951" t="s">
        <v>20</v>
      </c>
      <c r="G951" t="s">
        <v>21</v>
      </c>
      <c r="H951" t="str">
        <f>"4033986861"</f>
        <v>4033986861</v>
      </c>
      <c r="I951" t="str">
        <f t="shared" si="17"/>
        <v>CINTAS CORPORATION #087</v>
      </c>
    </row>
    <row r="952" spans="1:9" x14ac:dyDescent="0.25">
      <c r="E952" s="7"/>
      <c r="F952" t="s">
        <v>20</v>
      </c>
      <c r="G952" t="s">
        <v>21</v>
      </c>
      <c r="H952" t="str">
        <f>"4033986865"</f>
        <v>4033986865</v>
      </c>
      <c r="I952" t="str">
        <f t="shared" si="17"/>
        <v>CINTAS CORPORATION #087</v>
      </c>
    </row>
    <row r="953" spans="1:9" x14ac:dyDescent="0.25">
      <c r="E953" s="7"/>
      <c r="F953" t="s">
        <v>20</v>
      </c>
      <c r="G953" t="s">
        <v>21</v>
      </c>
      <c r="H953" t="str">
        <f>"4034072601"</f>
        <v>4034072601</v>
      </c>
      <c r="I953" t="str">
        <f t="shared" si="17"/>
        <v>CINTAS CORPORATION #087</v>
      </c>
    </row>
    <row r="954" spans="1:9" x14ac:dyDescent="0.25">
      <c r="E954" s="7"/>
      <c r="F954" t="s">
        <v>20</v>
      </c>
      <c r="G954" t="s">
        <v>21</v>
      </c>
      <c r="H954" t="str">
        <f>"4034072630"</f>
        <v>4034072630</v>
      </c>
      <c r="I954" t="str">
        <f t="shared" si="17"/>
        <v>CINTAS CORPORATION #087</v>
      </c>
    </row>
    <row r="955" spans="1:9" x14ac:dyDescent="0.25">
      <c r="E955" s="7"/>
      <c r="F955" t="s">
        <v>20</v>
      </c>
      <c r="G955" t="s">
        <v>21</v>
      </c>
      <c r="H955" t="str">
        <f>"4034072641"</f>
        <v>4034072641</v>
      </c>
      <c r="I955" t="str">
        <f t="shared" si="17"/>
        <v>CINTAS CORPORATION #087</v>
      </c>
    </row>
    <row r="956" spans="1:9" x14ac:dyDescent="0.25">
      <c r="E956" s="7"/>
      <c r="F956" t="s">
        <v>20</v>
      </c>
      <c r="G956" t="s">
        <v>21</v>
      </c>
      <c r="H956" t="str">
        <f>"4034524548"</f>
        <v>4034524548</v>
      </c>
      <c r="I956" t="str">
        <f t="shared" si="17"/>
        <v>CINTAS CORPORATION #087</v>
      </c>
    </row>
    <row r="957" spans="1:9" x14ac:dyDescent="0.25">
      <c r="A957" s="6">
        <v>43782</v>
      </c>
      <c r="B957" t="s">
        <v>26</v>
      </c>
      <c r="C957">
        <v>62542</v>
      </c>
      <c r="D957" t="s">
        <v>123</v>
      </c>
      <c r="E957" s="7">
        <v>530.75</v>
      </c>
      <c r="F957" t="s">
        <v>20</v>
      </c>
      <c r="G957" t="s">
        <v>21</v>
      </c>
      <c r="H957" t="str">
        <f>"392067788001"</f>
        <v>392067788001</v>
      </c>
      <c r="I957" t="str">
        <f>"OFFICE/CLEANING SUPPLIES"</f>
        <v>OFFICE/CLEANING SUPPLIES</v>
      </c>
    </row>
    <row r="958" spans="1:9" x14ac:dyDescent="0.25">
      <c r="E958" s="7"/>
      <c r="F958" t="s">
        <v>20</v>
      </c>
      <c r="G958" t="s">
        <v>21</v>
      </c>
      <c r="H958" t="str">
        <f>"392089252001"</f>
        <v>392089252001</v>
      </c>
      <c r="I958" t="str">
        <f>"OFFICE/CLEANING SUPPLIES"</f>
        <v>OFFICE/CLEANING SUPPLIES</v>
      </c>
    </row>
    <row r="959" spans="1:9" x14ac:dyDescent="0.25">
      <c r="E959" s="7"/>
      <c r="F959" t="s">
        <v>20</v>
      </c>
      <c r="G959" t="s">
        <v>21</v>
      </c>
      <c r="H959" t="str">
        <f>"394918971001"</f>
        <v>394918971001</v>
      </c>
      <c r="I959" t="str">
        <f>"OFFICE DEPOT  INC."</f>
        <v>OFFICE DEPOT  INC.</v>
      </c>
    </row>
    <row r="960" spans="1:9" x14ac:dyDescent="0.25">
      <c r="E960" s="7"/>
      <c r="F960" t="s">
        <v>20</v>
      </c>
      <c r="G960" t="s">
        <v>21</v>
      </c>
      <c r="H960" t="str">
        <f>"395095931001"</f>
        <v>395095931001</v>
      </c>
      <c r="I960" t="str">
        <f>"OFFICE SUPPLIES"</f>
        <v>OFFICE SUPPLIES</v>
      </c>
    </row>
    <row r="961" spans="1:9" x14ac:dyDescent="0.25">
      <c r="E961" s="7"/>
      <c r="F961" t="s">
        <v>20</v>
      </c>
      <c r="G961" t="s">
        <v>21</v>
      </c>
      <c r="H961" t="str">
        <f>"395692867001"</f>
        <v>395692867001</v>
      </c>
      <c r="I961" t="str">
        <f>"OFFICE SUPPLIES"</f>
        <v>OFFICE SUPPLIES</v>
      </c>
    </row>
    <row r="962" spans="1:9" x14ac:dyDescent="0.25">
      <c r="E962" s="7"/>
      <c r="F962" t="s">
        <v>20</v>
      </c>
      <c r="G962" t="s">
        <v>21</v>
      </c>
      <c r="H962" t="str">
        <f>"396045840001"</f>
        <v>396045840001</v>
      </c>
      <c r="I962" t="str">
        <f>"OFFICE SUPPLIES"</f>
        <v>OFFICE SUPPLIES</v>
      </c>
    </row>
    <row r="963" spans="1:9" x14ac:dyDescent="0.25">
      <c r="E963" s="7"/>
      <c r="F963" t="s">
        <v>20</v>
      </c>
      <c r="G963" t="s">
        <v>21</v>
      </c>
      <c r="H963" t="str">
        <f>"396075712001"</f>
        <v>396075712001</v>
      </c>
      <c r="I963" t="str">
        <f>"OFFICE SUPPLIES"</f>
        <v>OFFICE SUPPLIES</v>
      </c>
    </row>
    <row r="964" spans="1:9" x14ac:dyDescent="0.25">
      <c r="A964" s="6">
        <v>43782</v>
      </c>
      <c r="B964" t="s">
        <v>26</v>
      </c>
      <c r="C964">
        <v>62544</v>
      </c>
      <c r="D964" t="s">
        <v>75</v>
      </c>
      <c r="E964" s="7">
        <v>217.89</v>
      </c>
      <c r="F964" t="s">
        <v>20</v>
      </c>
      <c r="G964" t="s">
        <v>21</v>
      </c>
      <c r="H964" t="str">
        <f>"8184 NOV.2019"</f>
        <v>8184 NOV.2019</v>
      </c>
      <c r="I964" t="str">
        <f>"TRACTOR SUPPLY CREDIT PLAN"</f>
        <v>TRACTOR SUPPLY CREDIT PLAN</v>
      </c>
    </row>
    <row r="965" spans="1:9" x14ac:dyDescent="0.25">
      <c r="A965" s="6">
        <v>43782</v>
      </c>
      <c r="B965" t="s">
        <v>26</v>
      </c>
      <c r="C965">
        <v>62545</v>
      </c>
      <c r="D965" t="s">
        <v>137</v>
      </c>
      <c r="E965" s="7">
        <v>51.95</v>
      </c>
      <c r="F965" t="s">
        <v>20</v>
      </c>
      <c r="G965" t="s">
        <v>21</v>
      </c>
      <c r="H965" t="str">
        <f>"1342"</f>
        <v>1342</v>
      </c>
      <c r="I965" t="str">
        <f>"OMNIBUS-M  INC.D.B.A."</f>
        <v>OMNIBUS-M  INC.D.B.A.</v>
      </c>
    </row>
    <row r="966" spans="1:9" x14ac:dyDescent="0.25">
      <c r="A966" s="6">
        <v>43782</v>
      </c>
      <c r="B966" t="s">
        <v>26</v>
      </c>
      <c r="C966">
        <v>62546</v>
      </c>
      <c r="D966" t="s">
        <v>77</v>
      </c>
      <c r="E966" s="7">
        <v>1244.2</v>
      </c>
      <c r="F966" t="s">
        <v>20</v>
      </c>
      <c r="G966" t="s">
        <v>21</v>
      </c>
      <c r="H966" t="str">
        <f>"857002176-19"</f>
        <v>857002176-19</v>
      </c>
      <c r="I966" t="str">
        <f>"8 CYLINDERS OF CHLORINE"</f>
        <v>8 CYLINDERS OF CHLORINE</v>
      </c>
    </row>
    <row r="967" spans="1:9" x14ac:dyDescent="0.25">
      <c r="E967" s="7"/>
      <c r="F967" t="s">
        <v>20</v>
      </c>
      <c r="G967" t="s">
        <v>21</v>
      </c>
      <c r="H967" t="str">
        <f>"DE85002387-19"</f>
        <v>DE85002387-19</v>
      </c>
      <c r="I967" t="str">
        <f>"DPC INDUSTRIES  INC."</f>
        <v>DPC INDUSTRIES  INC.</v>
      </c>
    </row>
    <row r="968" spans="1:9" x14ac:dyDescent="0.25">
      <c r="E968" s="7"/>
      <c r="F968" t="s">
        <v>20</v>
      </c>
      <c r="G968" t="s">
        <v>21</v>
      </c>
      <c r="H968" t="str">
        <f>"DE85002595-19"</f>
        <v>DE85002595-19</v>
      </c>
      <c r="I968" t="str">
        <f>"DPC INDUSTRIES  INC."</f>
        <v>DPC INDUSTRIES  INC.</v>
      </c>
    </row>
    <row r="969" spans="1:9" x14ac:dyDescent="0.25">
      <c r="A969" s="6">
        <v>43782</v>
      </c>
      <c r="B969" t="s">
        <v>26</v>
      </c>
      <c r="C969">
        <v>62547</v>
      </c>
      <c r="D969" t="s">
        <v>124</v>
      </c>
      <c r="E969" s="7">
        <v>146.74</v>
      </c>
      <c r="F969" t="s">
        <v>20</v>
      </c>
      <c r="G969" t="s">
        <v>21</v>
      </c>
      <c r="H969" t="str">
        <f>"11179554"</f>
        <v>11179554</v>
      </c>
      <c r="I969" t="str">
        <f>"SUPPLIES FOR FIELDS"</f>
        <v>SUPPLIES FOR FIELDS</v>
      </c>
    </row>
    <row r="970" spans="1:9" x14ac:dyDescent="0.25">
      <c r="E970" s="7"/>
      <c r="F970" t="s">
        <v>20</v>
      </c>
      <c r="G970" t="s">
        <v>21</v>
      </c>
      <c r="H970" t="str">
        <f>"11180215"</f>
        <v>11180215</v>
      </c>
      <c r="I970" t="str">
        <f>"WINTER RAISING PIPE"</f>
        <v>WINTER RAISING PIPE</v>
      </c>
    </row>
    <row r="971" spans="1:9" x14ac:dyDescent="0.25">
      <c r="A971" s="6">
        <v>43782</v>
      </c>
      <c r="B971" t="s">
        <v>26</v>
      </c>
      <c r="C971">
        <v>62548</v>
      </c>
      <c r="D971" t="s">
        <v>607</v>
      </c>
      <c r="E971" s="7">
        <v>75</v>
      </c>
      <c r="F971" t="s">
        <v>20</v>
      </c>
      <c r="G971" t="s">
        <v>21</v>
      </c>
      <c r="H971" t="str">
        <f>"MEMSHP RENEWAL"</f>
        <v>MEMSHP RENEWAL</v>
      </c>
      <c r="I971" t="str">
        <f>"TEXAS MUNICIPAL HUMAN RESOURCE"</f>
        <v>TEXAS MUNICIPAL HUMAN RESOURCE</v>
      </c>
    </row>
    <row r="972" spans="1:9" x14ac:dyDescent="0.25">
      <c r="A972" s="6">
        <v>43782</v>
      </c>
      <c r="B972" t="s">
        <v>26</v>
      </c>
      <c r="C972">
        <v>62549</v>
      </c>
      <c r="D972" t="s">
        <v>534</v>
      </c>
      <c r="E972" s="7">
        <v>107.17</v>
      </c>
      <c r="F972" t="s">
        <v>20</v>
      </c>
      <c r="G972" t="s">
        <v>21</v>
      </c>
      <c r="H972" t="str">
        <f>"8404368202"</f>
        <v>8404368202</v>
      </c>
      <c r="I972" t="str">
        <f>"CINTAS CORPORATION NO. 2"</f>
        <v>CINTAS CORPORATION NO. 2</v>
      </c>
    </row>
    <row r="973" spans="1:9" x14ac:dyDescent="0.25">
      <c r="A973" s="6">
        <v>43782</v>
      </c>
      <c r="B973" t="s">
        <v>26</v>
      </c>
      <c r="C973">
        <v>62550</v>
      </c>
      <c r="D973" t="s">
        <v>126</v>
      </c>
      <c r="E973" s="7">
        <v>2258.41</v>
      </c>
      <c r="F973" t="s">
        <v>20</v>
      </c>
      <c r="G973" t="s">
        <v>21</v>
      </c>
      <c r="H973" t="str">
        <f>"0859-002412929"</f>
        <v>0859-002412929</v>
      </c>
      <c r="I973" t="str">
        <f>"REPUBLIC SERVICES #859"</f>
        <v>REPUBLIC SERVICES #859</v>
      </c>
    </row>
    <row r="974" spans="1:9" x14ac:dyDescent="0.25">
      <c r="A974" s="6">
        <v>43782</v>
      </c>
      <c r="B974" t="s">
        <v>26</v>
      </c>
      <c r="C974">
        <v>62551</v>
      </c>
      <c r="D974" t="s">
        <v>79</v>
      </c>
      <c r="E974" s="7">
        <v>29.54</v>
      </c>
      <c r="F974" t="s">
        <v>20</v>
      </c>
      <c r="G974" t="s">
        <v>21</v>
      </c>
      <c r="H974" t="str">
        <f>"6-743-16059"</f>
        <v>6-743-16059</v>
      </c>
      <c r="I974" t="str">
        <f>"FEDEX"</f>
        <v>FEDEX</v>
      </c>
    </row>
    <row r="975" spans="1:9" x14ac:dyDescent="0.25">
      <c r="E975" s="7"/>
      <c r="F975" t="s">
        <v>20</v>
      </c>
      <c r="G975" t="s">
        <v>21</v>
      </c>
      <c r="H975" t="str">
        <f>"6-824-51950"</f>
        <v>6-824-51950</v>
      </c>
      <c r="I975" t="str">
        <f>"FEDEX"</f>
        <v>FEDEX</v>
      </c>
    </row>
    <row r="976" spans="1:9" x14ac:dyDescent="0.25">
      <c r="E976" s="7"/>
      <c r="F976" t="s">
        <v>20</v>
      </c>
      <c r="G976" t="s">
        <v>21</v>
      </c>
      <c r="H976" t="str">
        <f>"6-831-65945"</f>
        <v>6-831-65945</v>
      </c>
      <c r="I976" t="str">
        <f>"FEDEX"</f>
        <v>FEDEX</v>
      </c>
    </row>
    <row r="977" spans="1:9" x14ac:dyDescent="0.25">
      <c r="A977" s="6">
        <v>43782</v>
      </c>
      <c r="B977" t="s">
        <v>26</v>
      </c>
      <c r="C977">
        <v>62552</v>
      </c>
      <c r="D977" t="s">
        <v>139</v>
      </c>
      <c r="E977" s="7">
        <v>65</v>
      </c>
      <c r="F977" t="s">
        <v>20</v>
      </c>
      <c r="G977" t="s">
        <v>21</v>
      </c>
      <c r="H977" t="str">
        <f>"2776"</f>
        <v>2776</v>
      </c>
      <c r="I977" t="str">
        <f>"ANGEL FIRE &amp; SAFETY"</f>
        <v>ANGEL FIRE &amp; SAFETY</v>
      </c>
    </row>
    <row r="978" spans="1:9" x14ac:dyDescent="0.25">
      <c r="A978" s="6">
        <v>43782</v>
      </c>
      <c r="B978" t="s">
        <v>26</v>
      </c>
      <c r="C978">
        <v>62553</v>
      </c>
      <c r="D978" t="s">
        <v>518</v>
      </c>
      <c r="E978" s="7">
        <v>470</v>
      </c>
      <c r="F978" t="s">
        <v>20</v>
      </c>
      <c r="G978" t="s">
        <v>21</v>
      </c>
      <c r="H978" t="str">
        <f>"1605"</f>
        <v>1605</v>
      </c>
      <c r="I978" t="str">
        <f>"OZ MONUMENTS"</f>
        <v>OZ MONUMENTS</v>
      </c>
    </row>
    <row r="979" spans="1:9" x14ac:dyDescent="0.25">
      <c r="A979" s="6">
        <v>43782</v>
      </c>
      <c r="B979" t="s">
        <v>26</v>
      </c>
      <c r="C979">
        <v>62554</v>
      </c>
      <c r="D979" t="s">
        <v>130</v>
      </c>
      <c r="E979" s="7">
        <v>125</v>
      </c>
      <c r="F979" t="s">
        <v>20</v>
      </c>
      <c r="G979" t="s">
        <v>21</v>
      </c>
      <c r="H979" t="str">
        <f>"INV691226"</f>
        <v>INV691226</v>
      </c>
      <c r="I979" t="str">
        <f>"DOCUMATION"</f>
        <v>DOCUMATION</v>
      </c>
    </row>
    <row r="980" spans="1:9" x14ac:dyDescent="0.25">
      <c r="A980" s="6">
        <v>43782</v>
      </c>
      <c r="B980" t="s">
        <v>26</v>
      </c>
      <c r="C980">
        <v>62555</v>
      </c>
      <c r="D980" t="s">
        <v>153</v>
      </c>
      <c r="E980" s="7">
        <v>1500</v>
      </c>
      <c r="F980" t="s">
        <v>20</v>
      </c>
      <c r="G980" t="s">
        <v>21</v>
      </c>
      <c r="H980" t="s">
        <v>846</v>
      </c>
      <c r="I980" t="s">
        <v>847</v>
      </c>
    </row>
    <row r="981" spans="1:9" x14ac:dyDescent="0.25">
      <c r="A981" s="6">
        <v>43782</v>
      </c>
      <c r="B981" t="s">
        <v>26</v>
      </c>
      <c r="C981">
        <v>62556</v>
      </c>
      <c r="D981" t="s">
        <v>85</v>
      </c>
      <c r="E981" s="7">
        <v>382.37</v>
      </c>
      <c r="F981" t="s">
        <v>20</v>
      </c>
      <c r="G981" t="s">
        <v>21</v>
      </c>
      <c r="H981" t="str">
        <f>"3930579 NOV.2019"</f>
        <v>3930579 NOV.2019</v>
      </c>
      <c r="I981" t="str">
        <f>"FRONTIER"</f>
        <v>FRONTIER</v>
      </c>
    </row>
    <row r="982" spans="1:9" x14ac:dyDescent="0.25">
      <c r="E982" s="7"/>
      <c r="F982" t="s">
        <v>20</v>
      </c>
      <c r="G982" t="s">
        <v>21</v>
      </c>
      <c r="H982" t="str">
        <f>"3933108 NOV.2019"</f>
        <v>3933108 NOV.2019</v>
      </c>
      <c r="I982" t="str">
        <f>"FRONTIER"</f>
        <v>FRONTIER</v>
      </c>
    </row>
    <row r="983" spans="1:9" x14ac:dyDescent="0.25">
      <c r="E983" s="7"/>
      <c r="F983" t="s">
        <v>20</v>
      </c>
      <c r="G983" t="s">
        <v>21</v>
      </c>
      <c r="H983" t="str">
        <f>"3939791 NOV.2019"</f>
        <v>3939791 NOV.2019</v>
      </c>
      <c r="I983" t="str">
        <f>"FRONTIER"</f>
        <v>FRONTIER</v>
      </c>
    </row>
    <row r="984" spans="1:9" x14ac:dyDescent="0.25">
      <c r="A984" s="6">
        <v>43782</v>
      </c>
      <c r="B984" t="s">
        <v>26</v>
      </c>
      <c r="C984">
        <v>62557</v>
      </c>
      <c r="D984" t="s">
        <v>194</v>
      </c>
      <c r="E984" s="7">
        <v>470</v>
      </c>
      <c r="F984" t="s">
        <v>20</v>
      </c>
      <c r="G984" t="s">
        <v>21</v>
      </c>
      <c r="H984" t="str">
        <f>"BC0959313"</f>
        <v>BC0959313</v>
      </c>
      <c r="I984" t="str">
        <f>"GALLS  LLC-D.B.A. STERLING'S U"</f>
        <v>GALLS  LLC-D.B.A. STERLING'S U</v>
      </c>
    </row>
    <row r="985" spans="1:9" x14ac:dyDescent="0.25">
      <c r="A985" s="6">
        <v>43782</v>
      </c>
      <c r="B985" t="s">
        <v>26</v>
      </c>
      <c r="C985">
        <v>62558</v>
      </c>
      <c r="D985" t="s">
        <v>47</v>
      </c>
      <c r="E985" s="7">
        <v>133193.75</v>
      </c>
      <c r="F985" t="s">
        <v>20</v>
      </c>
      <c r="G985" t="s">
        <v>21</v>
      </c>
      <c r="H985" t="str">
        <f>"COFEP10282019"</f>
        <v>COFEP10282019</v>
      </c>
      <c r="I985" t="str">
        <f>"HEARTLAND PARK &amp; RECREATION  L"</f>
        <v>HEARTLAND PARK &amp; RECREATION  L</v>
      </c>
    </row>
    <row r="986" spans="1:9" x14ac:dyDescent="0.25">
      <c r="A986" s="6">
        <v>43782</v>
      </c>
      <c r="B986" t="s">
        <v>26</v>
      </c>
      <c r="C986">
        <v>62559</v>
      </c>
      <c r="D986" t="s">
        <v>326</v>
      </c>
      <c r="E986" s="7">
        <v>35</v>
      </c>
      <c r="F986" t="s">
        <v>20</v>
      </c>
      <c r="G986" t="s">
        <v>21</v>
      </c>
      <c r="H986" t="str">
        <f>"20649867"</f>
        <v>20649867</v>
      </c>
      <c r="I986" t="str">
        <f>"MATHESON TRI-GAS INC"</f>
        <v>MATHESON TRI-GAS INC</v>
      </c>
    </row>
    <row r="987" spans="1:9" x14ac:dyDescent="0.25">
      <c r="A987" s="6">
        <v>43782</v>
      </c>
      <c r="B987" t="s">
        <v>26</v>
      </c>
      <c r="C987">
        <v>62560</v>
      </c>
      <c r="D987" t="s">
        <v>345</v>
      </c>
      <c r="E987" s="7">
        <v>363</v>
      </c>
      <c r="F987" t="s">
        <v>20</v>
      </c>
      <c r="G987" t="s">
        <v>21</v>
      </c>
      <c r="H987" t="str">
        <f>"11/12/19"</f>
        <v>11/12/19</v>
      </c>
      <c r="I987" t="str">
        <f>"MICHAEL ISAAC MARTINEZ"</f>
        <v>MICHAEL ISAAC MARTINEZ</v>
      </c>
    </row>
    <row r="988" spans="1:9" x14ac:dyDescent="0.25">
      <c r="A988" s="6">
        <v>43782</v>
      </c>
      <c r="B988" t="s">
        <v>26</v>
      </c>
      <c r="C988">
        <v>62561</v>
      </c>
      <c r="D988" t="s">
        <v>452</v>
      </c>
      <c r="E988" s="7">
        <v>80</v>
      </c>
      <c r="F988" t="s">
        <v>20</v>
      </c>
      <c r="G988" t="s">
        <v>21</v>
      </c>
      <c r="H988" t="str">
        <f>"11/12/19"</f>
        <v>11/12/19</v>
      </c>
      <c r="I988" t="str">
        <f>"DESIREE PEREZ"</f>
        <v>DESIREE PEREZ</v>
      </c>
    </row>
    <row r="989" spans="1:9" x14ac:dyDescent="0.25">
      <c r="A989" s="6">
        <v>43782</v>
      </c>
      <c r="B989" t="s">
        <v>26</v>
      </c>
      <c r="C989">
        <v>62562</v>
      </c>
      <c r="D989" t="s">
        <v>443</v>
      </c>
      <c r="E989" s="7">
        <v>4116.67</v>
      </c>
      <c r="F989" t="s">
        <v>20</v>
      </c>
      <c r="G989" t="s">
        <v>21</v>
      </c>
      <c r="H989" t="str">
        <f>"10609"</f>
        <v>10609</v>
      </c>
      <c r="I989" t="str">
        <f>"RIOJAS TURF CARE  LLC"</f>
        <v>RIOJAS TURF CARE  LLC</v>
      </c>
    </row>
    <row r="990" spans="1:9" x14ac:dyDescent="0.25">
      <c r="A990" s="6">
        <v>43782</v>
      </c>
      <c r="B990" t="s">
        <v>26</v>
      </c>
      <c r="C990">
        <v>62563</v>
      </c>
      <c r="D990" t="s">
        <v>528</v>
      </c>
      <c r="E990" s="7">
        <v>178.35</v>
      </c>
      <c r="F990" t="s">
        <v>20</v>
      </c>
      <c r="G990" t="s">
        <v>21</v>
      </c>
      <c r="H990" t="str">
        <f>"10099396"</f>
        <v>10099396</v>
      </c>
      <c r="I990" t="str">
        <f>"PROSTAR SERVICES INC"</f>
        <v>PROSTAR SERVICES INC</v>
      </c>
    </row>
    <row r="991" spans="1:9" x14ac:dyDescent="0.25">
      <c r="A991" s="6">
        <v>43782</v>
      </c>
      <c r="B991" t="s">
        <v>26</v>
      </c>
      <c r="C991">
        <v>62564</v>
      </c>
      <c r="D991" t="s">
        <v>644</v>
      </c>
      <c r="E991" s="7">
        <v>256.06</v>
      </c>
      <c r="F991" t="s">
        <v>20</v>
      </c>
      <c r="G991" t="s">
        <v>21</v>
      </c>
      <c r="H991" t="str">
        <f>"8213378653*"</f>
        <v>8213378653*</v>
      </c>
      <c r="I991" t="str">
        <f>"UNIFIRST CORPORATION"</f>
        <v>UNIFIRST CORPORATION</v>
      </c>
    </row>
    <row r="992" spans="1:9" x14ac:dyDescent="0.25">
      <c r="E992" s="7"/>
      <c r="F992" t="s">
        <v>20</v>
      </c>
      <c r="G992" t="s">
        <v>21</v>
      </c>
      <c r="H992" t="str">
        <f>"8213384339"</f>
        <v>8213384339</v>
      </c>
      <c r="I992" t="str">
        <f>"UNIFIRST CORPORATION"</f>
        <v>UNIFIRST CORPORATION</v>
      </c>
    </row>
    <row r="993" spans="1:9" x14ac:dyDescent="0.25">
      <c r="A993" s="6">
        <v>43782</v>
      </c>
      <c r="B993" t="s">
        <v>26</v>
      </c>
      <c r="C993">
        <v>62565</v>
      </c>
      <c r="D993" t="s">
        <v>696</v>
      </c>
      <c r="E993" s="7">
        <v>80</v>
      </c>
      <c r="F993" t="s">
        <v>20</v>
      </c>
      <c r="G993" t="s">
        <v>21</v>
      </c>
      <c r="H993" t="str">
        <f>"11/12/19"</f>
        <v>11/12/19</v>
      </c>
      <c r="I993" t="str">
        <f>"ANGEL G. ROSAS"</f>
        <v>ANGEL G. ROSAS</v>
      </c>
    </row>
    <row r="994" spans="1:9" x14ac:dyDescent="0.25">
      <c r="A994" s="6">
        <v>43782</v>
      </c>
      <c r="B994" t="s">
        <v>26</v>
      </c>
      <c r="C994">
        <v>62566</v>
      </c>
      <c r="D994" t="s">
        <v>752</v>
      </c>
      <c r="E994" s="7">
        <v>80</v>
      </c>
      <c r="F994" t="s">
        <v>20</v>
      </c>
      <c r="G994" t="s">
        <v>21</v>
      </c>
      <c r="H994" t="str">
        <f>"11/12/19"</f>
        <v>11/12/19</v>
      </c>
      <c r="I994" t="str">
        <f>"BLANCA PEREZ"</f>
        <v>BLANCA PEREZ</v>
      </c>
    </row>
    <row r="995" spans="1:9" x14ac:dyDescent="0.25">
      <c r="A995" s="6">
        <v>43782</v>
      </c>
      <c r="B995" t="s">
        <v>26</v>
      </c>
      <c r="C995">
        <v>62567</v>
      </c>
      <c r="D995" t="s">
        <v>848</v>
      </c>
      <c r="E995" s="7">
        <v>440</v>
      </c>
      <c r="F995" t="s">
        <v>20</v>
      </c>
      <c r="G995" t="s">
        <v>21</v>
      </c>
      <c r="H995" t="str">
        <f>"WATER DEPT.TRANG"</f>
        <v>WATER DEPT.TRANG</v>
      </c>
      <c r="I995" t="str">
        <f>"HOT WELLS WATER DISTRICT"</f>
        <v>HOT WELLS WATER DISTRICT</v>
      </c>
    </row>
    <row r="996" spans="1:9" x14ac:dyDescent="0.25">
      <c r="A996" s="6">
        <v>43782</v>
      </c>
      <c r="B996" t="s">
        <v>26</v>
      </c>
      <c r="C996">
        <v>62568</v>
      </c>
      <c r="D996" t="s">
        <v>824</v>
      </c>
      <c r="E996" s="7">
        <v>80</v>
      </c>
      <c r="F996" t="s">
        <v>20</v>
      </c>
      <c r="G996" t="s">
        <v>21</v>
      </c>
      <c r="H996" t="str">
        <f>"11/12/19"</f>
        <v>11/12/19</v>
      </c>
      <c r="I996" t="str">
        <f>"MALLORY R. NELSON"</f>
        <v>MALLORY R. NELSON</v>
      </c>
    </row>
    <row r="997" spans="1:9" x14ac:dyDescent="0.25">
      <c r="A997" s="6">
        <v>43783</v>
      </c>
      <c r="B997" t="s">
        <v>26</v>
      </c>
      <c r="C997">
        <v>62569</v>
      </c>
      <c r="D997" t="s">
        <v>29</v>
      </c>
      <c r="E997" s="7">
        <v>8286.6200000000008</v>
      </c>
      <c r="F997" t="s">
        <v>20</v>
      </c>
      <c r="G997" t="s">
        <v>21</v>
      </c>
      <c r="H997" t="str">
        <f>"40340"</f>
        <v>40340</v>
      </c>
      <c r="I997" t="str">
        <f>"M &amp; S ENGINEERING  LLC"</f>
        <v>M &amp; S ENGINEERING  LLC</v>
      </c>
    </row>
    <row r="998" spans="1:9" x14ac:dyDescent="0.25">
      <c r="E998" s="7"/>
      <c r="F998" t="s">
        <v>20</v>
      </c>
      <c r="G998" t="s">
        <v>21</v>
      </c>
      <c r="H998" t="str">
        <f>"40711"</f>
        <v>40711</v>
      </c>
      <c r="I998" t="str">
        <f>"M &amp; S ENGINEERING  LLC"</f>
        <v>M &amp; S ENGINEERING  LLC</v>
      </c>
    </row>
    <row r="999" spans="1:9" x14ac:dyDescent="0.25">
      <c r="E999" s="7"/>
      <c r="F999" t="s">
        <v>20</v>
      </c>
      <c r="G999" t="s">
        <v>21</v>
      </c>
      <c r="H999" t="str">
        <f>"40715"</f>
        <v>40715</v>
      </c>
      <c r="I999" t="str">
        <f>"M &amp; S ENGINEERING  LLC"</f>
        <v>M &amp; S ENGINEERING  LLC</v>
      </c>
    </row>
    <row r="1000" spans="1:9" x14ac:dyDescent="0.25">
      <c r="E1000" s="7"/>
      <c r="F1000" t="s">
        <v>20</v>
      </c>
      <c r="G1000" t="s">
        <v>21</v>
      </c>
      <c r="H1000" t="str">
        <f>"40716"</f>
        <v>40716</v>
      </c>
      <c r="I1000" t="str">
        <f>"M &amp; S ENGINEERING  LLC"</f>
        <v>M &amp; S ENGINEERING  LLC</v>
      </c>
    </row>
    <row r="1001" spans="1:9" x14ac:dyDescent="0.25">
      <c r="E1001" s="7"/>
      <c r="F1001" t="s">
        <v>20</v>
      </c>
      <c r="G1001" t="s">
        <v>21</v>
      </c>
      <c r="H1001" t="str">
        <f>"40719"</f>
        <v>40719</v>
      </c>
      <c r="I1001" t="str">
        <f>"M &amp; S ENGINEERING  LLC"</f>
        <v>M &amp; S ENGINEERING  LLC</v>
      </c>
    </row>
    <row r="1002" spans="1:9" x14ac:dyDescent="0.25">
      <c r="A1002" s="6">
        <v>43788</v>
      </c>
      <c r="B1002" t="s">
        <v>26</v>
      </c>
      <c r="C1002">
        <v>62578</v>
      </c>
      <c r="D1002" t="s">
        <v>51</v>
      </c>
      <c r="E1002" s="7">
        <v>346.31</v>
      </c>
      <c r="F1002" t="s">
        <v>20</v>
      </c>
      <c r="G1002" t="s">
        <v>21</v>
      </c>
      <c r="H1002" t="str">
        <f>"CLE201911198551"</f>
        <v>CLE201911198551</v>
      </c>
      <c r="I1002" t="str">
        <f>"CLEAT ONLY DUES"</f>
        <v>CLEAT ONLY DUES</v>
      </c>
    </row>
    <row r="1003" spans="1:9" x14ac:dyDescent="0.25">
      <c r="E1003" s="7"/>
      <c r="F1003" t="s">
        <v>20</v>
      </c>
      <c r="G1003" t="s">
        <v>21</v>
      </c>
      <c r="H1003" t="str">
        <f>"PDD201911198551"</f>
        <v>PDD201911198551</v>
      </c>
      <c r="I1003" t="str">
        <f>"POLICE OFFICERS ASSOC DUES"</f>
        <v>POLICE OFFICERS ASSOC DUES</v>
      </c>
    </row>
    <row r="1004" spans="1:9" x14ac:dyDescent="0.25">
      <c r="A1004" s="6">
        <v>43788</v>
      </c>
      <c r="B1004" t="s">
        <v>91</v>
      </c>
      <c r="C1004">
        <v>62579</v>
      </c>
      <c r="D1004" t="s">
        <v>90</v>
      </c>
      <c r="E1004" s="7">
        <v>101.1</v>
      </c>
      <c r="F1004" t="s">
        <v>20</v>
      </c>
      <c r="G1004" t="s">
        <v>21</v>
      </c>
      <c r="H1004" t="str">
        <f>"AFS201911198551"</f>
        <v>AFS201911198551</v>
      </c>
      <c r="I1004" t="str">
        <f>"AFLAC STD"</f>
        <v>AFLAC STD</v>
      </c>
    </row>
    <row r="1005" spans="1:9" x14ac:dyDescent="0.25">
      <c r="A1005" s="6">
        <v>43788</v>
      </c>
      <c r="B1005" t="s">
        <v>91</v>
      </c>
      <c r="C1005">
        <v>62579</v>
      </c>
      <c r="D1005" t="s">
        <v>90</v>
      </c>
      <c r="E1005" s="7">
        <v>101.1</v>
      </c>
      <c r="F1005" t="s">
        <v>20</v>
      </c>
      <c r="G1005" t="s">
        <v>93</v>
      </c>
      <c r="H1005" t="str">
        <f>"CHECK"</f>
        <v>CHECK</v>
      </c>
      <c r="I1005" t="str">
        <f>""</f>
        <v/>
      </c>
    </row>
    <row r="1006" spans="1:9" x14ac:dyDescent="0.25">
      <c r="A1006" s="6">
        <v>43788</v>
      </c>
      <c r="B1006" t="s">
        <v>26</v>
      </c>
      <c r="C1006">
        <v>62580</v>
      </c>
      <c r="D1006" t="s">
        <v>52</v>
      </c>
      <c r="E1006" s="7">
        <v>1056.98</v>
      </c>
      <c r="F1006" t="s">
        <v>20</v>
      </c>
      <c r="G1006" t="s">
        <v>21</v>
      </c>
      <c r="H1006" t="str">
        <f>"CPS201911198551"</f>
        <v>CPS201911198551</v>
      </c>
      <c r="I1006" t="str">
        <f>"G MENDOZA 00123012032010EM5054"</f>
        <v>G MENDOZA 00123012032010EM5054</v>
      </c>
    </row>
    <row r="1007" spans="1:9" x14ac:dyDescent="0.25">
      <c r="E1007" s="7"/>
      <c r="F1007" t="s">
        <v>20</v>
      </c>
      <c r="G1007" t="s">
        <v>21</v>
      </c>
      <c r="H1007" t="str">
        <f>"CS 201911198551"</f>
        <v>CS 201911198551</v>
      </c>
      <c r="I1007" t="str">
        <f>"CAUSE#98EM504113 PEGGY RIVAS"</f>
        <v>CAUSE#98EM504113 PEGGY RIVAS</v>
      </c>
    </row>
    <row r="1008" spans="1:9" x14ac:dyDescent="0.25">
      <c r="E1008" s="7"/>
      <c r="F1008" t="s">
        <v>20</v>
      </c>
      <c r="G1008" t="s">
        <v>21</v>
      </c>
      <c r="H1008" t="str">
        <f>"CSJ201911198551"</f>
        <v>CSJ201911198551</v>
      </c>
      <c r="I1008" t="str">
        <f>"CAUSE# 0010185272 MARIANN GUTI"</f>
        <v>CAUSE# 0010185272 MARIANN GUTI</v>
      </c>
    </row>
    <row r="1009" spans="1:9" x14ac:dyDescent="0.25">
      <c r="A1009" s="6">
        <v>43788</v>
      </c>
      <c r="B1009" t="s">
        <v>91</v>
      </c>
      <c r="C1009">
        <v>62581</v>
      </c>
      <c r="D1009" t="s">
        <v>54</v>
      </c>
      <c r="E1009" s="7">
        <v>1200.24</v>
      </c>
      <c r="F1009" t="s">
        <v>20</v>
      </c>
      <c r="G1009" t="s">
        <v>21</v>
      </c>
      <c r="H1009" t="str">
        <f>"457201911198551"</f>
        <v>457201911198551</v>
      </c>
      <c r="I1009" t="str">
        <f>"CASE # 180-60751 457B DEDUCT"</f>
        <v>CASE # 180-60751 457B DEDUCT</v>
      </c>
    </row>
    <row r="1010" spans="1:9" x14ac:dyDescent="0.25">
      <c r="A1010" s="6">
        <v>43788</v>
      </c>
      <c r="B1010" t="s">
        <v>91</v>
      </c>
      <c r="C1010">
        <v>62581</v>
      </c>
      <c r="D1010" t="s">
        <v>54</v>
      </c>
      <c r="E1010" s="7">
        <v>1200.24</v>
      </c>
      <c r="F1010" t="s">
        <v>20</v>
      </c>
      <c r="G1010" t="s">
        <v>93</v>
      </c>
      <c r="H1010" t="str">
        <f>"CHECK"</f>
        <v>CHECK</v>
      </c>
      <c r="I1010" t="str">
        <f>""</f>
        <v/>
      </c>
    </row>
    <row r="1011" spans="1:9" x14ac:dyDescent="0.25">
      <c r="A1011" s="6">
        <v>43788</v>
      </c>
      <c r="B1011" t="s">
        <v>26</v>
      </c>
      <c r="C1011">
        <v>62582</v>
      </c>
      <c r="D1011" t="s">
        <v>386</v>
      </c>
      <c r="E1011" s="7">
        <v>154.36000000000001</v>
      </c>
      <c r="F1011" t="s">
        <v>20</v>
      </c>
      <c r="G1011" t="s">
        <v>21</v>
      </c>
      <c r="H1011" t="str">
        <f>"NLC SUMMIT 11/2019"</f>
        <v>NLC SUMMIT 11/2019</v>
      </c>
      <c r="I1011" t="str">
        <f>"HENRIETTA TURNER"</f>
        <v>HENRIETTA TURNER</v>
      </c>
    </row>
    <row r="1012" spans="1:9" x14ac:dyDescent="0.25">
      <c r="A1012" s="6">
        <v>43788</v>
      </c>
      <c r="B1012" t="s">
        <v>91</v>
      </c>
      <c r="C1012">
        <v>62583</v>
      </c>
      <c r="D1012" t="s">
        <v>558</v>
      </c>
      <c r="E1012" s="7">
        <v>154.36000000000001</v>
      </c>
      <c r="F1012" t="s">
        <v>20</v>
      </c>
      <c r="G1012" t="s">
        <v>21</v>
      </c>
      <c r="H1012" t="str">
        <f>"NLC SUMMIT NOV 201"</f>
        <v>NLC SUMMIT NOV 201</v>
      </c>
      <c r="I1012" t="str">
        <f>"MARISSA XIMENEZ"</f>
        <v>MARISSA XIMENEZ</v>
      </c>
    </row>
    <row r="1013" spans="1:9" x14ac:dyDescent="0.25">
      <c r="A1013" s="6">
        <v>43788</v>
      </c>
      <c r="B1013" t="s">
        <v>91</v>
      </c>
      <c r="C1013">
        <v>62583</v>
      </c>
      <c r="D1013" t="s">
        <v>558</v>
      </c>
      <c r="E1013" s="7">
        <v>154.36000000000001</v>
      </c>
      <c r="F1013" t="s">
        <v>20</v>
      </c>
      <c r="G1013" t="s">
        <v>93</v>
      </c>
      <c r="H1013" t="str">
        <f>"CHECK"</f>
        <v>CHECK</v>
      </c>
      <c r="I1013" t="str">
        <f>""</f>
        <v/>
      </c>
    </row>
    <row r="1014" spans="1:9" x14ac:dyDescent="0.25">
      <c r="A1014" s="6">
        <v>43789</v>
      </c>
      <c r="B1014" t="s">
        <v>26</v>
      </c>
      <c r="C1014">
        <v>62584</v>
      </c>
      <c r="D1014" t="s">
        <v>104</v>
      </c>
      <c r="E1014" s="7">
        <v>1424.69</v>
      </c>
      <c r="F1014" t="s">
        <v>20</v>
      </c>
      <c r="G1014" t="s">
        <v>21</v>
      </c>
      <c r="H1014" t="str">
        <f>"1399871002"</f>
        <v>1399871002</v>
      </c>
      <c r="I1014" t="str">
        <f>"WILSON COUNTY NEWS"</f>
        <v>WILSON COUNTY NEWS</v>
      </c>
    </row>
    <row r="1015" spans="1:9" x14ac:dyDescent="0.25">
      <c r="E1015" s="7"/>
      <c r="F1015" t="s">
        <v>20</v>
      </c>
      <c r="G1015" t="s">
        <v>21</v>
      </c>
      <c r="H1015" t="str">
        <f>"1399871009"</f>
        <v>1399871009</v>
      </c>
      <c r="I1015" t="str">
        <f>"WILSON COUNTY NEWS"</f>
        <v>WILSON COUNTY NEWS</v>
      </c>
    </row>
    <row r="1016" spans="1:9" x14ac:dyDescent="0.25">
      <c r="E1016" s="7"/>
      <c r="F1016" t="s">
        <v>20</v>
      </c>
      <c r="G1016" t="s">
        <v>21</v>
      </c>
      <c r="H1016" t="str">
        <f>"1403791030"</f>
        <v>1403791030</v>
      </c>
      <c r="I1016" t="str">
        <f>"WILSON COUNTY NEWS"</f>
        <v>WILSON COUNTY NEWS</v>
      </c>
    </row>
    <row r="1017" spans="1:9" x14ac:dyDescent="0.25">
      <c r="E1017" s="7"/>
      <c r="F1017" t="s">
        <v>20</v>
      </c>
      <c r="G1017" t="s">
        <v>21</v>
      </c>
      <c r="H1017" t="str">
        <f>"1403801030"</f>
        <v>1403801030</v>
      </c>
      <c r="I1017" t="str">
        <f>"WILSON COUNTY NEWS"</f>
        <v>WILSON COUNTY NEWS</v>
      </c>
    </row>
    <row r="1018" spans="1:9" x14ac:dyDescent="0.25">
      <c r="E1018" s="7"/>
      <c r="F1018" t="s">
        <v>20</v>
      </c>
      <c r="G1018" t="s">
        <v>21</v>
      </c>
      <c r="H1018" t="str">
        <f>"5026997692"</f>
        <v>5026997692</v>
      </c>
      <c r="I1018" t="str">
        <f>"WILSON COUNTY NEWS"</f>
        <v>WILSON COUNTY NEWS</v>
      </c>
    </row>
    <row r="1019" spans="1:9" x14ac:dyDescent="0.25">
      <c r="A1019" s="6">
        <v>43789</v>
      </c>
      <c r="B1019" t="s">
        <v>26</v>
      </c>
      <c r="C1019">
        <v>62585</v>
      </c>
      <c r="D1019" t="s">
        <v>181</v>
      </c>
      <c r="E1019" s="7">
        <v>44.98</v>
      </c>
      <c r="F1019" t="s">
        <v>20</v>
      </c>
      <c r="G1019" t="s">
        <v>21</v>
      </c>
      <c r="H1019" t="str">
        <f>"OCT. 2019 3933186"</f>
        <v>OCT. 2019 3933186</v>
      </c>
      <c r="I1019" t="str">
        <f>"AT&amp;T"</f>
        <v>AT&amp;T</v>
      </c>
    </row>
    <row r="1020" spans="1:9" x14ac:dyDescent="0.25">
      <c r="A1020" s="6">
        <v>43789</v>
      </c>
      <c r="B1020" t="s">
        <v>26</v>
      </c>
      <c r="C1020">
        <v>62586</v>
      </c>
      <c r="D1020" t="s">
        <v>849</v>
      </c>
      <c r="E1020" s="7">
        <v>250</v>
      </c>
      <c r="F1020" t="s">
        <v>20</v>
      </c>
      <c r="G1020" t="s">
        <v>21</v>
      </c>
      <c r="H1020" t="str">
        <f>"DPST REFUND"</f>
        <v>DPST REFUND</v>
      </c>
      <c r="I1020" t="str">
        <f>"REFUND"</f>
        <v>REFUND</v>
      </c>
    </row>
    <row r="1021" spans="1:9" x14ac:dyDescent="0.25">
      <c r="A1021" s="6">
        <v>43789</v>
      </c>
      <c r="B1021" t="s">
        <v>26</v>
      </c>
      <c r="C1021">
        <v>62587</v>
      </c>
      <c r="D1021" t="s">
        <v>850</v>
      </c>
      <c r="E1021" s="7">
        <v>50</v>
      </c>
      <c r="F1021" t="s">
        <v>20</v>
      </c>
      <c r="G1021" t="s">
        <v>21</v>
      </c>
      <c r="H1021" t="str">
        <f>"DPST RFND 11/16/20"</f>
        <v>DPST RFND 11/16/20</v>
      </c>
      <c r="I1021" t="str">
        <f>"REFUND"</f>
        <v>REFUND</v>
      </c>
    </row>
    <row r="1022" spans="1:9" x14ac:dyDescent="0.25">
      <c r="A1022" s="6">
        <v>43789</v>
      </c>
      <c r="B1022" t="s">
        <v>26</v>
      </c>
      <c r="C1022">
        <v>62588</v>
      </c>
      <c r="D1022" t="s">
        <v>851</v>
      </c>
      <c r="E1022" s="7">
        <v>125</v>
      </c>
      <c r="F1022" t="s">
        <v>20</v>
      </c>
      <c r="G1022" t="s">
        <v>21</v>
      </c>
      <c r="H1022" t="str">
        <f>"REFUND 11/12/19"</f>
        <v>REFUND 11/12/19</v>
      </c>
      <c r="I1022" t="str">
        <f>"REFUND"</f>
        <v>REFUND</v>
      </c>
    </row>
    <row r="1023" spans="1:9" x14ac:dyDescent="0.25">
      <c r="A1023" s="6">
        <v>43789</v>
      </c>
      <c r="B1023" t="s">
        <v>26</v>
      </c>
      <c r="C1023">
        <v>62589</v>
      </c>
      <c r="D1023" t="s">
        <v>62</v>
      </c>
      <c r="E1023" s="7">
        <v>2210</v>
      </c>
      <c r="F1023" t="s">
        <v>20</v>
      </c>
      <c r="G1023" t="s">
        <v>21</v>
      </c>
      <c r="H1023" t="str">
        <f>"65826"</f>
        <v>65826</v>
      </c>
      <c r="I1023" t="str">
        <f>"PROFICIENT BENEFIT SOLUTIONS"</f>
        <v>PROFICIENT BENEFIT SOLUTIONS</v>
      </c>
    </row>
    <row r="1024" spans="1:9" x14ac:dyDescent="0.25">
      <c r="E1024" s="7"/>
      <c r="F1024" t="s">
        <v>20</v>
      </c>
      <c r="G1024" t="s">
        <v>21</v>
      </c>
      <c r="H1024" t="str">
        <f>"ETORRES 11/19/19"</f>
        <v>ETORRES 11/19/19</v>
      </c>
      <c r="I1024" t="str">
        <f>"PROFICIENT BENEFIT SOLUTIONS"</f>
        <v>PROFICIENT BENEFIT SOLUTIONS</v>
      </c>
    </row>
    <row r="1025" spans="1:9" x14ac:dyDescent="0.25">
      <c r="A1025" s="6">
        <v>43789</v>
      </c>
      <c r="B1025" t="s">
        <v>26</v>
      </c>
      <c r="C1025">
        <v>62590</v>
      </c>
      <c r="D1025" t="s">
        <v>169</v>
      </c>
      <c r="E1025" s="7">
        <v>17.55</v>
      </c>
      <c r="F1025" t="s">
        <v>20</v>
      </c>
      <c r="G1025" t="s">
        <v>21</v>
      </c>
      <c r="H1025" t="str">
        <f>"126636"</f>
        <v>126636</v>
      </c>
      <c r="I1025" t="str">
        <f>"THE POLICE AND SHERIFFS PRESS"</f>
        <v>THE POLICE AND SHERIFFS PRESS</v>
      </c>
    </row>
    <row r="1026" spans="1:9" x14ac:dyDescent="0.25">
      <c r="A1026" s="6">
        <v>43789</v>
      </c>
      <c r="B1026" t="s">
        <v>26</v>
      </c>
      <c r="C1026">
        <v>62591</v>
      </c>
      <c r="D1026" t="s">
        <v>115</v>
      </c>
      <c r="E1026" s="7">
        <v>1951.1</v>
      </c>
      <c r="F1026" t="s">
        <v>20</v>
      </c>
      <c r="G1026" t="s">
        <v>21</v>
      </c>
      <c r="H1026" t="str">
        <f>"3547096783"</f>
        <v>3547096783</v>
      </c>
      <c r="I1026" t="str">
        <f t="shared" ref="I1026:I1034" si="18">"AUTOZONE"</f>
        <v>AUTOZONE</v>
      </c>
    </row>
    <row r="1027" spans="1:9" x14ac:dyDescent="0.25">
      <c r="E1027" s="7"/>
      <c r="F1027" t="s">
        <v>20</v>
      </c>
      <c r="G1027" t="s">
        <v>21</v>
      </c>
      <c r="H1027" t="str">
        <f>"3547178104"</f>
        <v>3547178104</v>
      </c>
      <c r="I1027" t="str">
        <f t="shared" si="18"/>
        <v>AUTOZONE</v>
      </c>
    </row>
    <row r="1028" spans="1:9" x14ac:dyDescent="0.25">
      <c r="E1028" s="7"/>
      <c r="F1028" t="s">
        <v>20</v>
      </c>
      <c r="G1028" t="s">
        <v>21</v>
      </c>
      <c r="H1028" t="str">
        <f>"3547178946"</f>
        <v>3547178946</v>
      </c>
      <c r="I1028" t="str">
        <f t="shared" si="18"/>
        <v>AUTOZONE</v>
      </c>
    </row>
    <row r="1029" spans="1:9" x14ac:dyDescent="0.25">
      <c r="E1029" s="7"/>
      <c r="F1029" t="s">
        <v>20</v>
      </c>
      <c r="G1029" t="s">
        <v>21</v>
      </c>
      <c r="H1029" t="str">
        <f>"3547179495"</f>
        <v>3547179495</v>
      </c>
      <c r="I1029" t="str">
        <f t="shared" si="18"/>
        <v>AUTOZONE</v>
      </c>
    </row>
    <row r="1030" spans="1:9" x14ac:dyDescent="0.25">
      <c r="E1030" s="7"/>
      <c r="F1030" t="s">
        <v>20</v>
      </c>
      <c r="G1030" t="s">
        <v>21</v>
      </c>
      <c r="H1030" t="str">
        <f>"3547180324"</f>
        <v>3547180324</v>
      </c>
      <c r="I1030" t="str">
        <f t="shared" si="18"/>
        <v>AUTOZONE</v>
      </c>
    </row>
    <row r="1031" spans="1:9" x14ac:dyDescent="0.25">
      <c r="E1031" s="7"/>
      <c r="F1031" t="s">
        <v>20</v>
      </c>
      <c r="G1031" t="s">
        <v>21</v>
      </c>
      <c r="H1031" t="str">
        <f>"3547180602"</f>
        <v>3547180602</v>
      </c>
      <c r="I1031" t="str">
        <f t="shared" si="18"/>
        <v>AUTOZONE</v>
      </c>
    </row>
    <row r="1032" spans="1:9" x14ac:dyDescent="0.25">
      <c r="E1032" s="7"/>
      <c r="F1032" t="s">
        <v>20</v>
      </c>
      <c r="G1032" t="s">
        <v>21</v>
      </c>
      <c r="H1032" t="str">
        <f>"3547202530"</f>
        <v>3547202530</v>
      </c>
      <c r="I1032" t="str">
        <f t="shared" si="18"/>
        <v>AUTOZONE</v>
      </c>
    </row>
    <row r="1033" spans="1:9" x14ac:dyDescent="0.25">
      <c r="E1033" s="7"/>
      <c r="F1033" t="s">
        <v>20</v>
      </c>
      <c r="G1033" t="s">
        <v>21</v>
      </c>
      <c r="H1033" t="str">
        <f>"3547323999"</f>
        <v>3547323999</v>
      </c>
      <c r="I1033" t="str">
        <f t="shared" si="18"/>
        <v>AUTOZONE</v>
      </c>
    </row>
    <row r="1034" spans="1:9" x14ac:dyDescent="0.25">
      <c r="E1034" s="7"/>
      <c r="F1034" t="s">
        <v>20</v>
      </c>
      <c r="G1034" t="s">
        <v>21</v>
      </c>
      <c r="H1034" t="str">
        <f>"3547434332"</f>
        <v>3547434332</v>
      </c>
      <c r="I1034" t="str">
        <f t="shared" si="18"/>
        <v>AUTOZONE</v>
      </c>
    </row>
    <row r="1035" spans="1:9" x14ac:dyDescent="0.25">
      <c r="E1035" s="7"/>
      <c r="F1035" t="s">
        <v>20</v>
      </c>
      <c r="G1035" t="s">
        <v>21</v>
      </c>
      <c r="H1035" t="str">
        <f>"3547532324"</f>
        <v>3547532324</v>
      </c>
      <c r="I1035" t="str">
        <f>"BATTERIES FOR UNIT #504"</f>
        <v>BATTERIES FOR UNIT #504</v>
      </c>
    </row>
    <row r="1036" spans="1:9" x14ac:dyDescent="0.25">
      <c r="E1036" s="7"/>
      <c r="F1036" t="s">
        <v>20</v>
      </c>
      <c r="G1036" t="s">
        <v>21</v>
      </c>
      <c r="H1036" t="str">
        <f>"3547548744"</f>
        <v>3547548744</v>
      </c>
      <c r="I1036" t="str">
        <f>"LAWN MOWER PARKS"</f>
        <v>LAWN MOWER PARKS</v>
      </c>
    </row>
    <row r="1037" spans="1:9" x14ac:dyDescent="0.25">
      <c r="E1037" s="7"/>
      <c r="F1037" t="s">
        <v>20</v>
      </c>
      <c r="G1037" t="s">
        <v>21</v>
      </c>
      <c r="H1037" t="str">
        <f>"3547548748"</f>
        <v>3547548748</v>
      </c>
      <c r="I1037" t="str">
        <f>"PD UNIT 302"</f>
        <v>PD UNIT 302</v>
      </c>
    </row>
    <row r="1038" spans="1:9" x14ac:dyDescent="0.25">
      <c r="E1038" s="7"/>
      <c r="F1038" t="s">
        <v>20</v>
      </c>
      <c r="G1038" t="s">
        <v>21</v>
      </c>
      <c r="H1038" t="str">
        <f>"3547548749"</f>
        <v>3547548749</v>
      </c>
      <c r="I1038" t="str">
        <f>"PD SUBERBAN"</f>
        <v>PD SUBERBAN</v>
      </c>
    </row>
    <row r="1039" spans="1:9" x14ac:dyDescent="0.25">
      <c r="E1039" s="7"/>
      <c r="F1039" t="s">
        <v>20</v>
      </c>
      <c r="G1039" t="s">
        <v>21</v>
      </c>
      <c r="H1039" t="str">
        <f>"3547548750"</f>
        <v>3547548750</v>
      </c>
      <c r="I1039" t="str">
        <f>"PD UNIT 322"</f>
        <v>PD UNIT 322</v>
      </c>
    </row>
    <row r="1040" spans="1:9" x14ac:dyDescent="0.25">
      <c r="E1040" s="7"/>
      <c r="F1040" t="s">
        <v>20</v>
      </c>
      <c r="G1040" t="s">
        <v>21</v>
      </c>
      <c r="H1040" t="str">
        <f>"3547548751"</f>
        <v>3547548751</v>
      </c>
      <c r="I1040" t="str">
        <f>"STREETS- F150 UNIT 420"</f>
        <v>STREETS- F150 UNIT 420</v>
      </c>
    </row>
    <row r="1041" spans="1:9" x14ac:dyDescent="0.25">
      <c r="A1041" s="6">
        <v>43789</v>
      </c>
      <c r="B1041" t="s">
        <v>26</v>
      </c>
      <c r="C1041">
        <v>62594</v>
      </c>
      <c r="D1041" t="s">
        <v>792</v>
      </c>
      <c r="E1041" s="7">
        <v>340</v>
      </c>
      <c r="F1041" t="s">
        <v>20</v>
      </c>
      <c r="G1041" t="s">
        <v>21</v>
      </c>
      <c r="H1041" t="str">
        <f>"133046"</f>
        <v>133046</v>
      </c>
      <c r="I1041" t="str">
        <f>"TEXAS TRAFFIC TICKETS"</f>
        <v>TEXAS TRAFFIC TICKETS</v>
      </c>
    </row>
    <row r="1042" spans="1:9" x14ac:dyDescent="0.25">
      <c r="A1042" s="6">
        <v>43789</v>
      </c>
      <c r="B1042" t="s">
        <v>26</v>
      </c>
      <c r="C1042">
        <v>62595</v>
      </c>
      <c r="D1042" t="s">
        <v>116</v>
      </c>
      <c r="E1042" s="7">
        <v>932.91</v>
      </c>
      <c r="F1042" t="s">
        <v>20</v>
      </c>
      <c r="G1042" t="s">
        <v>21</v>
      </c>
      <c r="H1042" t="str">
        <f>"INV839610*"</f>
        <v>INV839610*</v>
      </c>
      <c r="I1042" t="str">
        <f>"THE LIFEGUARD STORE"</f>
        <v>THE LIFEGUARD STORE</v>
      </c>
    </row>
    <row r="1043" spans="1:9" x14ac:dyDescent="0.25">
      <c r="A1043" s="6">
        <v>43789</v>
      </c>
      <c r="B1043" t="s">
        <v>26</v>
      </c>
      <c r="C1043">
        <v>62596</v>
      </c>
      <c r="D1043" t="s">
        <v>117</v>
      </c>
      <c r="E1043" s="7">
        <v>2093.37</v>
      </c>
      <c r="F1043" t="s">
        <v>20</v>
      </c>
      <c r="G1043" t="s">
        <v>21</v>
      </c>
      <c r="H1043" t="str">
        <f>"OCTOBER 2019"</f>
        <v>OCTOBER 2019</v>
      </c>
      <c r="I1043" t="str">
        <f>"LINEBARGER GOGGAN BLAIR &amp; SAMP"</f>
        <v>LINEBARGER GOGGAN BLAIR &amp; SAMP</v>
      </c>
    </row>
    <row r="1044" spans="1:9" x14ac:dyDescent="0.25">
      <c r="A1044" s="6">
        <v>43789</v>
      </c>
      <c r="B1044" t="s">
        <v>26</v>
      </c>
      <c r="C1044">
        <v>62597</v>
      </c>
      <c r="D1044" t="s">
        <v>426</v>
      </c>
      <c r="E1044" s="7">
        <v>820.73</v>
      </c>
      <c r="F1044" t="s">
        <v>20</v>
      </c>
      <c r="G1044" t="s">
        <v>21</v>
      </c>
      <c r="H1044" t="str">
        <f>"INV0734743"</f>
        <v>INV0734743</v>
      </c>
      <c r="I1044" t="str">
        <f>"GT DISTRIBUTORS  INC."</f>
        <v>GT DISTRIBUTORS  INC.</v>
      </c>
    </row>
    <row r="1045" spans="1:9" x14ac:dyDescent="0.25">
      <c r="A1045" s="6">
        <v>43789</v>
      </c>
      <c r="B1045" t="s">
        <v>26</v>
      </c>
      <c r="C1045">
        <v>62598</v>
      </c>
      <c r="D1045" t="s">
        <v>81</v>
      </c>
      <c r="E1045" s="7">
        <v>188.21</v>
      </c>
      <c r="F1045" t="s">
        <v>20</v>
      </c>
      <c r="G1045" t="s">
        <v>21</v>
      </c>
      <c r="H1045" t="str">
        <f>"A.MARTINEZ11/19/19"</f>
        <v>A.MARTINEZ11/19/19</v>
      </c>
      <c r="I1045" t="str">
        <f>"CITY OF FLORESVILLE -PETTY CAS"</f>
        <v>CITY OF FLORESVILLE -PETTY CAS</v>
      </c>
    </row>
    <row r="1046" spans="1:9" x14ac:dyDescent="0.25">
      <c r="A1046" s="6">
        <v>43789</v>
      </c>
      <c r="B1046" t="s">
        <v>26</v>
      </c>
      <c r="C1046">
        <v>62599</v>
      </c>
      <c r="D1046" t="s">
        <v>85</v>
      </c>
      <c r="E1046" s="7">
        <v>2060.81</v>
      </c>
      <c r="F1046" t="s">
        <v>20</v>
      </c>
      <c r="G1046" t="s">
        <v>21</v>
      </c>
      <c r="H1046" t="str">
        <f>"NOV. 2019 3934055"</f>
        <v>NOV. 2019 3934055</v>
      </c>
      <c r="I1046" t="str">
        <f>"FRONTIER"</f>
        <v>FRONTIER</v>
      </c>
    </row>
    <row r="1047" spans="1:9" x14ac:dyDescent="0.25">
      <c r="E1047" s="7"/>
      <c r="F1047" t="s">
        <v>20</v>
      </c>
      <c r="G1047" t="s">
        <v>21</v>
      </c>
      <c r="H1047" t="str">
        <f>"NOV2019 8301970025"</f>
        <v>NOV2019 8301970025</v>
      </c>
      <c r="I1047" t="str">
        <f>"FRONTIER"</f>
        <v>FRONTIER</v>
      </c>
    </row>
    <row r="1048" spans="1:9" x14ac:dyDescent="0.25">
      <c r="A1048" s="6">
        <v>43789</v>
      </c>
      <c r="B1048" t="s">
        <v>26</v>
      </c>
      <c r="C1048">
        <v>62600</v>
      </c>
      <c r="D1048" t="s">
        <v>345</v>
      </c>
      <c r="E1048" s="7">
        <v>297</v>
      </c>
      <c r="F1048" t="s">
        <v>20</v>
      </c>
      <c r="G1048" t="s">
        <v>21</v>
      </c>
      <c r="H1048" t="str">
        <f>"11/18/2019"</f>
        <v>11/18/2019</v>
      </c>
      <c r="I1048" t="str">
        <f>"MICHAEL ISAAC MARTINEZ"</f>
        <v>MICHAEL ISAAC MARTINEZ</v>
      </c>
    </row>
    <row r="1049" spans="1:9" x14ac:dyDescent="0.25">
      <c r="A1049" s="6">
        <v>43789</v>
      </c>
      <c r="B1049" t="s">
        <v>26</v>
      </c>
      <c r="C1049">
        <v>62601</v>
      </c>
      <c r="D1049" t="s">
        <v>452</v>
      </c>
      <c r="E1049" s="7">
        <v>180</v>
      </c>
      <c r="F1049" t="s">
        <v>20</v>
      </c>
      <c r="G1049" t="s">
        <v>21</v>
      </c>
      <c r="H1049" t="str">
        <f>"11/17/2019"</f>
        <v>11/17/2019</v>
      </c>
      <c r="I1049" t="str">
        <f>"DESIREE PEREZ"</f>
        <v>DESIREE PEREZ</v>
      </c>
    </row>
    <row r="1050" spans="1:9" x14ac:dyDescent="0.25">
      <c r="A1050" s="6">
        <v>43789</v>
      </c>
      <c r="B1050" t="s">
        <v>26</v>
      </c>
      <c r="C1050">
        <v>62602</v>
      </c>
      <c r="D1050" t="s">
        <v>164</v>
      </c>
      <c r="E1050" s="7">
        <v>490</v>
      </c>
      <c r="F1050" t="s">
        <v>20</v>
      </c>
      <c r="G1050" t="s">
        <v>21</v>
      </c>
      <c r="H1050" t="str">
        <f>"601885"</f>
        <v>601885</v>
      </c>
      <c r="I1050" t="str">
        <f>"A-Z COMMUNICATIONS"</f>
        <v>A-Z COMMUNICATIONS</v>
      </c>
    </row>
    <row r="1051" spans="1:9" x14ac:dyDescent="0.25">
      <c r="A1051" s="6">
        <v>43789</v>
      </c>
      <c r="B1051" t="s">
        <v>26</v>
      </c>
      <c r="C1051">
        <v>62603</v>
      </c>
      <c r="D1051" t="s">
        <v>696</v>
      </c>
      <c r="E1051" s="7">
        <v>135</v>
      </c>
      <c r="F1051" t="s">
        <v>20</v>
      </c>
      <c r="G1051" t="s">
        <v>21</v>
      </c>
      <c r="H1051" t="str">
        <f>"11/17/2019"</f>
        <v>11/17/2019</v>
      </c>
      <c r="I1051" t="str">
        <f>"ANGEL G. ROSAS"</f>
        <v>ANGEL G. ROSAS</v>
      </c>
    </row>
    <row r="1052" spans="1:9" x14ac:dyDescent="0.25">
      <c r="A1052" s="6">
        <v>43789</v>
      </c>
      <c r="B1052" t="s">
        <v>26</v>
      </c>
      <c r="C1052">
        <v>62604</v>
      </c>
      <c r="D1052" t="s">
        <v>752</v>
      </c>
      <c r="E1052" s="7">
        <v>135</v>
      </c>
      <c r="F1052" t="s">
        <v>20</v>
      </c>
      <c r="G1052" t="s">
        <v>21</v>
      </c>
      <c r="H1052" t="str">
        <f>"11/17/2019"</f>
        <v>11/17/2019</v>
      </c>
      <c r="I1052" t="str">
        <f>"BLANCA PEREZ"</f>
        <v>BLANCA PEREZ</v>
      </c>
    </row>
    <row r="1053" spans="1:9" x14ac:dyDescent="0.25">
      <c r="A1053" s="6">
        <v>43789</v>
      </c>
      <c r="B1053" t="s">
        <v>26</v>
      </c>
      <c r="C1053">
        <v>62605</v>
      </c>
      <c r="D1053" t="s">
        <v>814</v>
      </c>
      <c r="E1053" s="7">
        <v>80</v>
      </c>
      <c r="F1053" t="s">
        <v>20</v>
      </c>
      <c r="G1053" t="s">
        <v>21</v>
      </c>
      <c r="H1053" t="str">
        <f>"11/15/2019"</f>
        <v>11/15/2019</v>
      </c>
      <c r="I1053" t="str">
        <f>"RACHEL GARCIA"</f>
        <v>RACHEL GARCIA</v>
      </c>
    </row>
    <row r="1054" spans="1:9" x14ac:dyDescent="0.25">
      <c r="A1054" s="6">
        <v>43789</v>
      </c>
      <c r="B1054" t="s">
        <v>26</v>
      </c>
      <c r="C1054">
        <v>62606</v>
      </c>
      <c r="D1054" t="s">
        <v>824</v>
      </c>
      <c r="E1054" s="7">
        <v>135</v>
      </c>
      <c r="F1054" t="s">
        <v>20</v>
      </c>
      <c r="G1054" t="s">
        <v>21</v>
      </c>
      <c r="H1054" t="str">
        <f>"11/17/2019"</f>
        <v>11/17/2019</v>
      </c>
      <c r="I1054" t="str">
        <f>"MALLORY R. NELSON"</f>
        <v>MALLORY R. NELSON</v>
      </c>
    </row>
    <row r="1055" spans="1:9" x14ac:dyDescent="0.25">
      <c r="A1055" s="6">
        <v>43789</v>
      </c>
      <c r="B1055" t="s">
        <v>26</v>
      </c>
      <c r="C1055">
        <v>62607</v>
      </c>
      <c r="D1055" t="s">
        <v>852</v>
      </c>
      <c r="E1055" s="7">
        <v>98.76</v>
      </c>
      <c r="F1055" t="s">
        <v>20</v>
      </c>
      <c r="G1055" t="s">
        <v>21</v>
      </c>
      <c r="H1055" t="str">
        <f>"21903103"</f>
        <v>21903103</v>
      </c>
      <c r="I1055" t="str">
        <f>"TRAINING TARGETS"</f>
        <v>TRAINING TARGETS</v>
      </c>
    </row>
    <row r="1056" spans="1:9" x14ac:dyDescent="0.25">
      <c r="A1056" s="6">
        <v>43795</v>
      </c>
      <c r="B1056" t="s">
        <v>26</v>
      </c>
      <c r="C1056">
        <v>62608</v>
      </c>
      <c r="D1056" t="s">
        <v>59</v>
      </c>
      <c r="E1056" s="7">
        <v>3725.16</v>
      </c>
      <c r="F1056" t="s">
        <v>20</v>
      </c>
      <c r="G1056" t="s">
        <v>21</v>
      </c>
      <c r="H1056" t="str">
        <f>"1040073-1"</f>
        <v>1040073-1</v>
      </c>
      <c r="I1056" t="str">
        <f>"WORK BOOTS"</f>
        <v>WORK BOOTS</v>
      </c>
    </row>
    <row r="1057" spans="1:9" x14ac:dyDescent="0.25">
      <c r="E1057" s="7"/>
      <c r="F1057" t="s">
        <v>20</v>
      </c>
      <c r="G1057" t="s">
        <v>21</v>
      </c>
      <c r="H1057" t="str">
        <f>"1041129"</f>
        <v>1041129</v>
      </c>
      <c r="I1057" t="str">
        <f>"EMERGENCY WORK"</f>
        <v>EMERGENCY WORK</v>
      </c>
    </row>
    <row r="1058" spans="1:9" x14ac:dyDescent="0.25">
      <c r="E1058" s="7"/>
      <c r="F1058" t="s">
        <v>20</v>
      </c>
      <c r="G1058" t="s">
        <v>21</v>
      </c>
      <c r="H1058" t="str">
        <f>"1041130"</f>
        <v>1041130</v>
      </c>
      <c r="I1058" t="str">
        <f>"EMERGENCY WORK"</f>
        <v>EMERGENCY WORK</v>
      </c>
    </row>
    <row r="1059" spans="1:9" x14ac:dyDescent="0.25">
      <c r="E1059" s="7"/>
      <c r="F1059" t="s">
        <v>20</v>
      </c>
      <c r="G1059" t="s">
        <v>21</v>
      </c>
      <c r="H1059" t="str">
        <f>"1041252"</f>
        <v>1041252</v>
      </c>
      <c r="I1059" t="str">
        <f>"FERGUSON WATERWORKS - MUNICIPA"</f>
        <v>FERGUSON WATERWORKS - MUNICIPA</v>
      </c>
    </row>
    <row r="1060" spans="1:9" x14ac:dyDescent="0.25">
      <c r="E1060" s="7"/>
      <c r="F1060" t="s">
        <v>20</v>
      </c>
      <c r="G1060" t="s">
        <v>21</v>
      </c>
      <c r="H1060" t="str">
        <f>"1041252-1"</f>
        <v>1041252-1</v>
      </c>
      <c r="I1060" t="str">
        <f>"FERGUSON WATERWORKS - MUNICIPA"</f>
        <v>FERGUSON WATERWORKS - MUNICIPA</v>
      </c>
    </row>
    <row r="1061" spans="1:9" x14ac:dyDescent="0.25">
      <c r="A1061" s="6">
        <v>43795</v>
      </c>
      <c r="B1061" t="s">
        <v>26</v>
      </c>
      <c r="C1061">
        <v>62609</v>
      </c>
      <c r="D1061" t="s">
        <v>202</v>
      </c>
      <c r="E1061" s="7">
        <v>823.58</v>
      </c>
      <c r="F1061" t="s">
        <v>20</v>
      </c>
      <c r="G1061" t="s">
        <v>21</v>
      </c>
      <c r="H1061" t="str">
        <f>"62007036"</f>
        <v>62007036</v>
      </c>
      <c r="I1061" t="str">
        <f>"VULCAN CONSTRUCTION MATERIALS"</f>
        <v>VULCAN CONSTRUCTION MATERIALS</v>
      </c>
    </row>
    <row r="1062" spans="1:9" x14ac:dyDescent="0.25">
      <c r="A1062" s="6">
        <v>43795</v>
      </c>
      <c r="B1062" t="s">
        <v>91</v>
      </c>
      <c r="C1062">
        <v>62610</v>
      </c>
      <c r="D1062" t="s">
        <v>90</v>
      </c>
      <c r="E1062" s="7">
        <v>840.88</v>
      </c>
      <c r="F1062" t="s">
        <v>20</v>
      </c>
      <c r="G1062" t="s">
        <v>21</v>
      </c>
      <c r="H1062" t="str">
        <f>"ACA201911198551"</f>
        <v>ACA201911198551</v>
      </c>
      <c r="I1062" t="str">
        <f>"AFLAC INSURANCE"</f>
        <v>AFLAC INSURANCE</v>
      </c>
    </row>
    <row r="1063" spans="1:9" x14ac:dyDescent="0.25">
      <c r="E1063" s="7"/>
      <c r="F1063" t="s">
        <v>20</v>
      </c>
      <c r="G1063" t="s">
        <v>21</v>
      </c>
      <c r="H1063" t="str">
        <f>"AD2201911198551"</f>
        <v>AD2201911198551</v>
      </c>
      <c r="I1063" t="str">
        <f>"AFLAC INSURANCE"</f>
        <v>AFLAC INSURANCE</v>
      </c>
    </row>
    <row r="1064" spans="1:9" x14ac:dyDescent="0.25">
      <c r="E1064" s="7"/>
      <c r="F1064" t="s">
        <v>20</v>
      </c>
      <c r="G1064" t="s">
        <v>21</v>
      </c>
      <c r="H1064" t="str">
        <f>"ADR201911198551"</f>
        <v>ADR201911198551</v>
      </c>
      <c r="I1064" t="str">
        <f>"INSURANCE"</f>
        <v>INSURANCE</v>
      </c>
    </row>
    <row r="1065" spans="1:9" x14ac:dyDescent="0.25">
      <c r="E1065" s="7"/>
      <c r="F1065" t="s">
        <v>20</v>
      </c>
      <c r="G1065" t="s">
        <v>21</v>
      </c>
      <c r="H1065" t="str">
        <f>"AF1201911198551"</f>
        <v>AF1201911198551</v>
      </c>
      <c r="I1065" t="str">
        <f>"AFLAC INSURANCE"</f>
        <v>AFLAC INSURANCE</v>
      </c>
    </row>
    <row r="1066" spans="1:9" x14ac:dyDescent="0.25">
      <c r="E1066" s="7"/>
      <c r="F1066" t="s">
        <v>20</v>
      </c>
      <c r="G1066" t="s">
        <v>21</v>
      </c>
      <c r="H1066" t="str">
        <f>"ASP201911198551"</f>
        <v>ASP201911198551</v>
      </c>
      <c r="I1066" t="str">
        <f>"AFLAC INSURANCE"</f>
        <v>AFLAC INSURANCE</v>
      </c>
    </row>
    <row r="1067" spans="1:9" x14ac:dyDescent="0.25">
      <c r="E1067" s="7"/>
      <c r="F1067" t="s">
        <v>20</v>
      </c>
      <c r="G1067" t="s">
        <v>21</v>
      </c>
      <c r="H1067" t="str">
        <f>"HCO201911198551"</f>
        <v>HCO201911198551</v>
      </c>
      <c r="I1067" t="str">
        <f>"AFLAC INSURANCE"</f>
        <v>AFLAC INSURANCE</v>
      </c>
    </row>
    <row r="1068" spans="1:9" x14ac:dyDescent="0.25">
      <c r="A1068" s="6">
        <v>43795</v>
      </c>
      <c r="B1068" t="s">
        <v>91</v>
      </c>
      <c r="C1068">
        <v>62610</v>
      </c>
      <c r="D1068" t="s">
        <v>90</v>
      </c>
      <c r="E1068" s="7">
        <v>840.88</v>
      </c>
      <c r="F1068" t="s">
        <v>20</v>
      </c>
      <c r="G1068" t="s">
        <v>93</v>
      </c>
      <c r="H1068" t="str">
        <f>"CHECK"</f>
        <v>CHECK</v>
      </c>
      <c r="I1068" t="str">
        <f>""</f>
        <v/>
      </c>
    </row>
    <row r="1069" spans="1:9" x14ac:dyDescent="0.25">
      <c r="A1069" s="6">
        <v>43795</v>
      </c>
      <c r="B1069" t="s">
        <v>26</v>
      </c>
      <c r="C1069">
        <v>62613</v>
      </c>
      <c r="D1069" t="s">
        <v>179</v>
      </c>
      <c r="E1069" s="7">
        <v>35.869999999999997</v>
      </c>
      <c r="F1069" t="s">
        <v>20</v>
      </c>
      <c r="G1069" t="s">
        <v>21</v>
      </c>
      <c r="H1069" t="str">
        <f>"58929"</f>
        <v>58929</v>
      </c>
      <c r="I1069" t="str">
        <f>"REAR TAIL LIGHT UNIT 407"</f>
        <v>REAR TAIL LIGHT UNIT 407</v>
      </c>
    </row>
    <row r="1070" spans="1:9" x14ac:dyDescent="0.25">
      <c r="A1070" s="6">
        <v>43795</v>
      </c>
      <c r="B1070" t="s">
        <v>26</v>
      </c>
      <c r="C1070">
        <v>62614</v>
      </c>
      <c r="D1070" t="s">
        <v>273</v>
      </c>
      <c r="E1070" s="7">
        <v>1749.95</v>
      </c>
      <c r="F1070" t="s">
        <v>20</v>
      </c>
      <c r="G1070" t="s">
        <v>21</v>
      </c>
      <c r="H1070" t="str">
        <f>"5119-000091023"</f>
        <v>5119-000091023</v>
      </c>
      <c r="I1070" t="str">
        <f>"REPUBLIC SERVICES TESSMAN ROAD"</f>
        <v>REPUBLIC SERVICES TESSMAN ROAD</v>
      </c>
    </row>
    <row r="1071" spans="1:9" x14ac:dyDescent="0.25">
      <c r="A1071" s="6">
        <v>43795</v>
      </c>
      <c r="B1071" t="s">
        <v>26</v>
      </c>
      <c r="C1071">
        <v>62615</v>
      </c>
      <c r="D1071" t="s">
        <v>108</v>
      </c>
      <c r="E1071" s="7">
        <v>1485.2</v>
      </c>
      <c r="F1071" t="s">
        <v>20</v>
      </c>
      <c r="G1071" t="s">
        <v>21</v>
      </c>
      <c r="H1071" t="str">
        <f>"041295637880"</f>
        <v>041295637880</v>
      </c>
      <c r="I1071" t="str">
        <f>"POOLSURE"</f>
        <v>POOLSURE</v>
      </c>
    </row>
    <row r="1072" spans="1:9" x14ac:dyDescent="0.25">
      <c r="A1072" s="6">
        <v>43795</v>
      </c>
      <c r="B1072" t="s">
        <v>26</v>
      </c>
      <c r="C1072">
        <v>62616</v>
      </c>
      <c r="D1072" t="s">
        <v>240</v>
      </c>
      <c r="E1072" s="7">
        <v>630.54</v>
      </c>
      <c r="F1072" t="s">
        <v>20</v>
      </c>
      <c r="G1072" t="s">
        <v>21</v>
      </c>
      <c r="H1072" t="str">
        <f>"0179353-IN"</f>
        <v>0179353-IN</v>
      </c>
      <c r="I1072" t="str">
        <f>"UNIFORM OFFICER BARRERA"</f>
        <v>UNIFORM OFFICER BARRERA</v>
      </c>
    </row>
    <row r="1073" spans="1:9" x14ac:dyDescent="0.25">
      <c r="E1073" s="7"/>
      <c r="F1073" t="s">
        <v>20</v>
      </c>
      <c r="G1073" t="s">
        <v>21</v>
      </c>
      <c r="H1073" t="str">
        <f>"0179405-IN"</f>
        <v>0179405-IN</v>
      </c>
      <c r="I1073" t="str">
        <f>"UNIFORMS OFFICER ANDERSON"</f>
        <v>UNIFORMS OFFICER ANDERSON</v>
      </c>
    </row>
    <row r="1074" spans="1:9" x14ac:dyDescent="0.25">
      <c r="A1074" s="6">
        <v>43795</v>
      </c>
      <c r="B1074" t="s">
        <v>26</v>
      </c>
      <c r="C1074">
        <v>62617</v>
      </c>
      <c r="D1074" t="s">
        <v>181</v>
      </c>
      <c r="E1074" s="7">
        <v>44.98</v>
      </c>
      <c r="F1074" t="s">
        <v>20</v>
      </c>
      <c r="G1074" t="s">
        <v>21</v>
      </c>
      <c r="H1074" t="str">
        <f>"8303938186 NOV.201"</f>
        <v>8303938186 NOV.201</v>
      </c>
      <c r="I1074" t="str">
        <f>"AT&amp;T"</f>
        <v>AT&amp;T</v>
      </c>
    </row>
    <row r="1075" spans="1:9" x14ac:dyDescent="0.25">
      <c r="A1075" s="6">
        <v>43795</v>
      </c>
      <c r="B1075" t="s">
        <v>26</v>
      </c>
      <c r="C1075">
        <v>62618</v>
      </c>
      <c r="D1075" t="s">
        <v>61</v>
      </c>
      <c r="E1075" s="7">
        <v>188</v>
      </c>
      <c r="F1075" t="s">
        <v>20</v>
      </c>
      <c r="G1075" t="s">
        <v>21</v>
      </c>
      <c r="H1075" t="str">
        <f>"025-279234"</f>
        <v>025-279234</v>
      </c>
      <c r="I1075" t="str">
        <f>"TYLER TECHNOLOGIES  INC."</f>
        <v>TYLER TECHNOLOGIES  INC.</v>
      </c>
    </row>
    <row r="1076" spans="1:9" x14ac:dyDescent="0.25">
      <c r="A1076" s="6">
        <v>43795</v>
      </c>
      <c r="B1076" t="s">
        <v>91</v>
      </c>
      <c r="C1076">
        <v>62619</v>
      </c>
      <c r="D1076" t="s">
        <v>92</v>
      </c>
      <c r="E1076" s="7">
        <v>20459.07</v>
      </c>
      <c r="F1076" t="s">
        <v>20</v>
      </c>
      <c r="G1076" t="s">
        <v>21</v>
      </c>
      <c r="H1076" t="str">
        <f>"RET201911198551"</f>
        <v>RET201911198551</v>
      </c>
      <c r="I1076" t="str">
        <f>"TMRS CITY OF FLORESVILLE"</f>
        <v>TMRS CITY OF FLORESVILLE</v>
      </c>
    </row>
    <row r="1077" spans="1:9" x14ac:dyDescent="0.25">
      <c r="A1077" s="6">
        <v>43795</v>
      </c>
      <c r="B1077" t="s">
        <v>91</v>
      </c>
      <c r="C1077">
        <v>62619</v>
      </c>
      <c r="D1077" t="s">
        <v>92</v>
      </c>
      <c r="E1077" s="7">
        <v>20459.07</v>
      </c>
      <c r="F1077" t="s">
        <v>20</v>
      </c>
      <c r="G1077" t="s">
        <v>93</v>
      </c>
      <c r="H1077" t="str">
        <f>"CHECK"</f>
        <v>CHECK</v>
      </c>
      <c r="I1077" t="str">
        <f>""</f>
        <v/>
      </c>
    </row>
    <row r="1078" spans="1:9" x14ac:dyDescent="0.25">
      <c r="A1078" s="6">
        <v>43795</v>
      </c>
      <c r="B1078" t="s">
        <v>26</v>
      </c>
      <c r="C1078">
        <v>62621</v>
      </c>
      <c r="D1078" t="s">
        <v>184</v>
      </c>
      <c r="E1078" s="7">
        <v>1112</v>
      </c>
      <c r="F1078" t="s">
        <v>20</v>
      </c>
      <c r="G1078" t="s">
        <v>21</v>
      </c>
      <c r="H1078" t="str">
        <f>"1056-489"</f>
        <v>1056-489</v>
      </c>
      <c r="I1078" t="str">
        <f>"POLLUTION CONTROL SERVICES"</f>
        <v>POLLUTION CONTROL SERVICES</v>
      </c>
    </row>
    <row r="1079" spans="1:9" x14ac:dyDescent="0.25">
      <c r="E1079" s="7"/>
      <c r="F1079" t="s">
        <v>20</v>
      </c>
      <c r="G1079" t="s">
        <v>21</v>
      </c>
      <c r="H1079" t="str">
        <f>"1056-490"</f>
        <v>1056-490</v>
      </c>
      <c r="I1079" t="str">
        <f>"POLLUTION CONTROL SERVICES"</f>
        <v>POLLUTION CONTROL SERVICES</v>
      </c>
    </row>
    <row r="1080" spans="1:9" x14ac:dyDescent="0.25">
      <c r="A1080" s="6">
        <v>43795</v>
      </c>
      <c r="B1080" t="s">
        <v>26</v>
      </c>
      <c r="C1080">
        <v>62622</v>
      </c>
      <c r="D1080" t="s">
        <v>414</v>
      </c>
      <c r="E1080" s="7">
        <v>80</v>
      </c>
      <c r="F1080" t="s">
        <v>20</v>
      </c>
      <c r="G1080" t="s">
        <v>21</v>
      </c>
      <c r="H1080" t="str">
        <f>"2019001087"</f>
        <v>2019001087</v>
      </c>
      <c r="I1080" t="str">
        <f>"AHC PHYSICIANS INC."</f>
        <v>AHC PHYSICIANS INC.</v>
      </c>
    </row>
    <row r="1081" spans="1:9" x14ac:dyDescent="0.25">
      <c r="A1081" s="6">
        <v>43795</v>
      </c>
      <c r="B1081" t="s">
        <v>26</v>
      </c>
      <c r="C1081">
        <v>62623</v>
      </c>
      <c r="D1081" t="s">
        <v>168</v>
      </c>
      <c r="E1081" s="7">
        <v>733</v>
      </c>
      <c r="F1081" t="s">
        <v>20</v>
      </c>
      <c r="G1081" t="s">
        <v>21</v>
      </c>
      <c r="H1081" t="str">
        <f>"LI-67777"</f>
        <v>LI-67777</v>
      </c>
      <c r="I1081" t="str">
        <f>"BEXAR COUNTY AUDITOR/ATTN:CRIM"</f>
        <v>BEXAR COUNTY AUDITOR/ATTN:CRIM</v>
      </c>
    </row>
    <row r="1082" spans="1:9" x14ac:dyDescent="0.25">
      <c r="A1082" s="6">
        <v>43795</v>
      </c>
      <c r="B1082" t="s">
        <v>26</v>
      </c>
      <c r="C1082">
        <v>62624</v>
      </c>
      <c r="D1082" t="s">
        <v>115</v>
      </c>
      <c r="E1082" s="7">
        <v>162.76</v>
      </c>
      <c r="F1082" t="s">
        <v>20</v>
      </c>
      <c r="G1082" t="s">
        <v>21</v>
      </c>
      <c r="H1082" t="str">
        <f>"3547223649"</f>
        <v>3547223649</v>
      </c>
      <c r="I1082" t="str">
        <f>"AUTOZONE"</f>
        <v>AUTOZONE</v>
      </c>
    </row>
    <row r="1083" spans="1:9" x14ac:dyDescent="0.25">
      <c r="E1083" s="7"/>
      <c r="F1083" t="s">
        <v>20</v>
      </c>
      <c r="G1083" t="s">
        <v>21</v>
      </c>
      <c r="H1083" t="str">
        <f>"3547554046"</f>
        <v>3547554046</v>
      </c>
      <c r="I1083" t="str">
        <f>"PARKS UNIT 501 REPAIR"</f>
        <v>PARKS UNIT 501 REPAIR</v>
      </c>
    </row>
    <row r="1084" spans="1:9" x14ac:dyDescent="0.25">
      <c r="A1084" s="6">
        <v>43795</v>
      </c>
      <c r="B1084" t="s">
        <v>26</v>
      </c>
      <c r="C1084">
        <v>62625</v>
      </c>
      <c r="D1084" t="s">
        <v>63</v>
      </c>
      <c r="E1084" s="7">
        <v>579.26</v>
      </c>
      <c r="F1084" t="s">
        <v>20</v>
      </c>
      <c r="G1084" t="s">
        <v>21</v>
      </c>
      <c r="H1084" t="str">
        <f>"8404383865"</f>
        <v>8404383865</v>
      </c>
      <c r="I1084" t="str">
        <f>"CINTAS CORPORATION"</f>
        <v>CINTAS CORPORATION</v>
      </c>
    </row>
    <row r="1085" spans="1:9" x14ac:dyDescent="0.25">
      <c r="E1085" s="7"/>
      <c r="F1085" t="s">
        <v>20</v>
      </c>
      <c r="G1085" t="s">
        <v>21</v>
      </c>
      <c r="H1085" t="str">
        <f>"8404383866"</f>
        <v>8404383866</v>
      </c>
      <c r="I1085" t="str">
        <f>"CINTAS CORPORATION"</f>
        <v>CINTAS CORPORATION</v>
      </c>
    </row>
    <row r="1086" spans="1:9" x14ac:dyDescent="0.25">
      <c r="A1086" s="6">
        <v>43795</v>
      </c>
      <c r="B1086" t="s">
        <v>26</v>
      </c>
      <c r="C1086">
        <v>62626</v>
      </c>
      <c r="D1086" t="s">
        <v>117</v>
      </c>
      <c r="E1086" s="7">
        <v>1056.72</v>
      </c>
      <c r="F1086" t="s">
        <v>20</v>
      </c>
      <c r="G1086" t="s">
        <v>21</v>
      </c>
      <c r="H1086" t="str">
        <f>"SEPT.20196 FEED"</f>
        <v>SEPT.20196 FEED</v>
      </c>
      <c r="I1086" t="str">
        <f>"LINEBARGER GOGGAN BLAIR &amp; SAMP"</f>
        <v>LINEBARGER GOGGAN BLAIR &amp; SAMP</v>
      </c>
    </row>
    <row r="1087" spans="1:9" x14ac:dyDescent="0.25">
      <c r="A1087" s="6">
        <v>43795</v>
      </c>
      <c r="B1087" t="s">
        <v>26</v>
      </c>
      <c r="C1087">
        <v>62627</v>
      </c>
      <c r="D1087" t="s">
        <v>186</v>
      </c>
      <c r="E1087" s="7">
        <v>7612.42</v>
      </c>
      <c r="F1087" t="s">
        <v>20</v>
      </c>
      <c r="G1087" t="s">
        <v>21</v>
      </c>
      <c r="H1087" t="str">
        <f>"5191 1ST QRT"</f>
        <v>5191 1ST QRT</v>
      </c>
      <c r="I1087" t="str">
        <f>"WILSON COUNTY APPRAISAL DISTRI"</f>
        <v>WILSON COUNTY APPRAISAL DISTRI</v>
      </c>
    </row>
    <row r="1088" spans="1:9" x14ac:dyDescent="0.25">
      <c r="A1088" s="6">
        <v>43795</v>
      </c>
      <c r="B1088" t="s">
        <v>26</v>
      </c>
      <c r="C1088">
        <v>62628</v>
      </c>
      <c r="D1088" t="s">
        <v>660</v>
      </c>
      <c r="E1088" s="7">
        <v>200</v>
      </c>
      <c r="F1088" t="s">
        <v>20</v>
      </c>
      <c r="G1088" t="s">
        <v>21</v>
      </c>
      <c r="H1088" t="str">
        <f>"467193"</f>
        <v>467193</v>
      </c>
      <c r="I1088" t="str">
        <f>"STEVE GUERRERO"</f>
        <v>STEVE GUERRERO</v>
      </c>
    </row>
    <row r="1089" spans="1:9" x14ac:dyDescent="0.25">
      <c r="A1089" s="6">
        <v>43795</v>
      </c>
      <c r="B1089" t="s">
        <v>26</v>
      </c>
      <c r="C1089">
        <v>62629</v>
      </c>
      <c r="D1089" t="s">
        <v>226</v>
      </c>
      <c r="E1089" s="7">
        <v>1282.5</v>
      </c>
      <c r="F1089" t="s">
        <v>20</v>
      </c>
      <c r="G1089" t="s">
        <v>21</v>
      </c>
      <c r="H1089" t="str">
        <f>"5191"</f>
        <v>5191</v>
      </c>
      <c r="I1089" t="str">
        <f>"WIATREK'S SERVICES"</f>
        <v>WIATREK'S SERVICES</v>
      </c>
    </row>
    <row r="1090" spans="1:9" x14ac:dyDescent="0.25">
      <c r="A1090" s="6">
        <v>43795</v>
      </c>
      <c r="B1090" t="s">
        <v>91</v>
      </c>
      <c r="C1090">
        <v>62630</v>
      </c>
      <c r="D1090" t="s">
        <v>95</v>
      </c>
      <c r="E1090" s="7">
        <v>29.99</v>
      </c>
      <c r="F1090" t="s">
        <v>20</v>
      </c>
      <c r="G1090" t="s">
        <v>21</v>
      </c>
      <c r="H1090" t="str">
        <f>"LEA201911198551"</f>
        <v>LEA201911198551</v>
      </c>
      <c r="I1090" t="str">
        <f>"INSURANCE"</f>
        <v>INSURANCE</v>
      </c>
    </row>
    <row r="1091" spans="1:9" x14ac:dyDescent="0.25">
      <c r="A1091" s="6">
        <v>43795</v>
      </c>
      <c r="B1091" t="s">
        <v>91</v>
      </c>
      <c r="C1091">
        <v>62630</v>
      </c>
      <c r="D1091" t="s">
        <v>95</v>
      </c>
      <c r="E1091" s="7">
        <v>29.99</v>
      </c>
      <c r="F1091" t="s">
        <v>20</v>
      </c>
      <c r="G1091" t="s">
        <v>93</v>
      </c>
      <c r="H1091" t="str">
        <f>"CHECK"</f>
        <v>CHECK</v>
      </c>
      <c r="I1091" t="str">
        <f>""</f>
        <v/>
      </c>
    </row>
    <row r="1092" spans="1:9" x14ac:dyDescent="0.25">
      <c r="A1092" s="6">
        <v>43795</v>
      </c>
      <c r="B1092" t="s">
        <v>26</v>
      </c>
      <c r="C1092">
        <v>62631</v>
      </c>
      <c r="D1092" t="s">
        <v>119</v>
      </c>
      <c r="E1092" s="7">
        <v>126.75</v>
      </c>
      <c r="F1092" t="s">
        <v>20</v>
      </c>
      <c r="G1092" t="s">
        <v>21</v>
      </c>
      <c r="H1092" t="str">
        <f>"58737"</f>
        <v>58737</v>
      </c>
      <c r="I1092" t="str">
        <f>"TIRE FOR TRACTOR-PARKS"</f>
        <v>TIRE FOR TRACTOR-PARKS</v>
      </c>
    </row>
    <row r="1093" spans="1:9" x14ac:dyDescent="0.25">
      <c r="A1093" s="6">
        <v>43795</v>
      </c>
      <c r="B1093" t="s">
        <v>26</v>
      </c>
      <c r="C1093">
        <v>62632</v>
      </c>
      <c r="D1093" t="s">
        <v>120</v>
      </c>
      <c r="E1093" s="7">
        <v>1862.66</v>
      </c>
      <c r="F1093" t="s">
        <v>20</v>
      </c>
      <c r="G1093" t="s">
        <v>21</v>
      </c>
      <c r="H1093" t="str">
        <f>"71276005"</f>
        <v>71276005</v>
      </c>
      <c r="I1093" t="str">
        <f>"VERIZON BUSINESS"</f>
        <v>VERIZON BUSINESS</v>
      </c>
    </row>
    <row r="1094" spans="1:9" x14ac:dyDescent="0.25">
      <c r="E1094" s="7"/>
      <c r="F1094" t="s">
        <v>20</v>
      </c>
      <c r="G1094" t="s">
        <v>21</v>
      </c>
      <c r="H1094" t="str">
        <f>"71276006"</f>
        <v>71276006</v>
      </c>
      <c r="I1094" t="str">
        <f>"VERIZON BUSINESS"</f>
        <v>VERIZON BUSINESS</v>
      </c>
    </row>
    <row r="1095" spans="1:9" x14ac:dyDescent="0.25">
      <c r="A1095" s="6">
        <v>43795</v>
      </c>
      <c r="B1095" t="s">
        <v>26</v>
      </c>
      <c r="C1095">
        <v>62633</v>
      </c>
      <c r="D1095" t="s">
        <v>807</v>
      </c>
      <c r="E1095" s="7">
        <v>800</v>
      </c>
      <c r="F1095" t="s">
        <v>20</v>
      </c>
      <c r="G1095" t="s">
        <v>21</v>
      </c>
      <c r="H1095" t="str">
        <f>"AH0031931855 HERNA"</f>
        <v>AH0031931855 HERNA</v>
      </c>
      <c r="I1095" t="str">
        <f>"CHRISTUS SANTA ROSA HEALTH CAR"</f>
        <v>CHRISTUS SANTA ROSA HEALTH CAR</v>
      </c>
    </row>
    <row r="1096" spans="1:9" x14ac:dyDescent="0.25">
      <c r="A1096" s="6">
        <v>43795</v>
      </c>
      <c r="B1096" t="s">
        <v>26</v>
      </c>
      <c r="C1096">
        <v>62634</v>
      </c>
      <c r="D1096" t="s">
        <v>189</v>
      </c>
      <c r="E1096" s="7">
        <v>2410.5</v>
      </c>
      <c r="F1096" t="s">
        <v>20</v>
      </c>
      <c r="G1096" t="s">
        <v>21</v>
      </c>
      <c r="H1096" t="str">
        <f>"PSO119530-1"</f>
        <v>PSO119530-1</v>
      </c>
      <c r="I1096" t="str">
        <f>"SHAFT DRIVE-LOADER"</f>
        <v>SHAFT DRIVE-LOADER</v>
      </c>
    </row>
    <row r="1097" spans="1:9" x14ac:dyDescent="0.25">
      <c r="A1097" s="6">
        <v>43795</v>
      </c>
      <c r="B1097" t="s">
        <v>26</v>
      </c>
      <c r="C1097">
        <v>62635</v>
      </c>
      <c r="D1097" t="s">
        <v>248</v>
      </c>
      <c r="E1097" s="7">
        <v>279</v>
      </c>
      <c r="F1097" t="s">
        <v>20</v>
      </c>
      <c r="G1097" t="s">
        <v>21</v>
      </c>
      <c r="H1097" t="str">
        <f>"1013150160"</f>
        <v>1013150160</v>
      </c>
      <c r="I1097" t="str">
        <f>"PITNEY BOWES"</f>
        <v>PITNEY BOWES</v>
      </c>
    </row>
    <row r="1098" spans="1:9" x14ac:dyDescent="0.25">
      <c r="E1098" s="7"/>
      <c r="F1098" t="s">
        <v>20</v>
      </c>
      <c r="G1098" t="s">
        <v>21</v>
      </c>
      <c r="H1098" t="str">
        <f>"1013788947"</f>
        <v>1013788947</v>
      </c>
      <c r="I1098" t="str">
        <f>"PITNEY BOWES"</f>
        <v>PITNEY BOWES</v>
      </c>
    </row>
    <row r="1099" spans="1:9" x14ac:dyDescent="0.25">
      <c r="A1099" s="6">
        <v>43795</v>
      </c>
      <c r="B1099" t="s">
        <v>91</v>
      </c>
      <c r="C1099">
        <v>62636</v>
      </c>
      <c r="D1099" t="s">
        <v>96</v>
      </c>
      <c r="E1099" s="7">
        <v>163.24</v>
      </c>
      <c r="F1099" t="s">
        <v>20</v>
      </c>
      <c r="G1099" t="s">
        <v>21</v>
      </c>
      <c r="H1099" t="str">
        <f>"PPL201911198551"</f>
        <v>PPL201911198551</v>
      </c>
      <c r="I1099" t="str">
        <f>"INSURANCE"</f>
        <v>INSURANCE</v>
      </c>
    </row>
    <row r="1100" spans="1:9" x14ac:dyDescent="0.25">
      <c r="A1100" s="6">
        <v>43795</v>
      </c>
      <c r="B1100" t="s">
        <v>91</v>
      </c>
      <c r="C1100">
        <v>62636</v>
      </c>
      <c r="D1100" t="s">
        <v>96</v>
      </c>
      <c r="E1100" s="7">
        <v>163.24</v>
      </c>
      <c r="F1100" t="s">
        <v>20</v>
      </c>
      <c r="G1100" t="s">
        <v>93</v>
      </c>
      <c r="H1100" t="str">
        <f>"CHECK"</f>
        <v>CHECK</v>
      </c>
      <c r="I1100" t="str">
        <f>""</f>
        <v/>
      </c>
    </row>
    <row r="1101" spans="1:9" x14ac:dyDescent="0.25">
      <c r="A1101" s="6">
        <v>43795</v>
      </c>
      <c r="B1101" t="s">
        <v>26</v>
      </c>
      <c r="C1101">
        <v>62637</v>
      </c>
      <c r="D1101" t="s">
        <v>71</v>
      </c>
      <c r="E1101" s="7">
        <v>690.34</v>
      </c>
      <c r="F1101" t="s">
        <v>20</v>
      </c>
      <c r="G1101" t="s">
        <v>21</v>
      </c>
      <c r="H1101" t="str">
        <f>"4034524536"</f>
        <v>4034524536</v>
      </c>
      <c r="I1101" t="str">
        <f t="shared" ref="I1101:I1106" si="19">"CINTAS CORPORATION #087"</f>
        <v>CINTAS CORPORATION #087</v>
      </c>
    </row>
    <row r="1102" spans="1:9" x14ac:dyDescent="0.25">
      <c r="E1102" s="7"/>
      <c r="F1102" t="s">
        <v>20</v>
      </c>
      <c r="G1102" t="s">
        <v>21</v>
      </c>
      <c r="H1102" t="str">
        <f>"4034524546"</f>
        <v>4034524546</v>
      </c>
      <c r="I1102" t="str">
        <f t="shared" si="19"/>
        <v>CINTAS CORPORATION #087</v>
      </c>
    </row>
    <row r="1103" spans="1:9" x14ac:dyDescent="0.25">
      <c r="E1103" s="7"/>
      <c r="F1103" t="s">
        <v>20</v>
      </c>
      <c r="G1103" t="s">
        <v>21</v>
      </c>
      <c r="H1103" t="str">
        <f>"4034524563"</f>
        <v>4034524563</v>
      </c>
      <c r="I1103" t="str">
        <f t="shared" si="19"/>
        <v>CINTAS CORPORATION #087</v>
      </c>
    </row>
    <row r="1104" spans="1:9" x14ac:dyDescent="0.25">
      <c r="E1104" s="7"/>
      <c r="F1104" t="s">
        <v>20</v>
      </c>
      <c r="G1104" t="s">
        <v>21</v>
      </c>
      <c r="H1104" t="str">
        <f>"4034524610"</f>
        <v>4034524610</v>
      </c>
      <c r="I1104" t="str">
        <f t="shared" si="19"/>
        <v>CINTAS CORPORATION #087</v>
      </c>
    </row>
    <row r="1105" spans="1:9" x14ac:dyDescent="0.25">
      <c r="E1105" s="7"/>
      <c r="F1105" t="s">
        <v>20</v>
      </c>
      <c r="G1105" t="s">
        <v>21</v>
      </c>
      <c r="H1105" t="str">
        <f>"4035085662"</f>
        <v>4035085662</v>
      </c>
      <c r="I1105" t="str">
        <f t="shared" si="19"/>
        <v>CINTAS CORPORATION #087</v>
      </c>
    </row>
    <row r="1106" spans="1:9" x14ac:dyDescent="0.25">
      <c r="E1106" s="7"/>
      <c r="F1106" t="s">
        <v>20</v>
      </c>
      <c r="G1106" t="s">
        <v>21</v>
      </c>
      <c r="H1106" t="str">
        <f>"4035711256"</f>
        <v>4035711256</v>
      </c>
      <c r="I1106" t="str">
        <f t="shared" si="19"/>
        <v>CINTAS CORPORATION #087</v>
      </c>
    </row>
    <row r="1107" spans="1:9" x14ac:dyDescent="0.25">
      <c r="A1107" s="6">
        <v>43795</v>
      </c>
      <c r="B1107" t="s">
        <v>26</v>
      </c>
      <c r="C1107">
        <v>62638</v>
      </c>
      <c r="D1107" t="s">
        <v>123</v>
      </c>
      <c r="E1107" s="7">
        <v>897.34</v>
      </c>
      <c r="F1107" t="s">
        <v>20</v>
      </c>
      <c r="G1107" t="s">
        <v>21</v>
      </c>
      <c r="H1107" t="str">
        <f>"397639209001"</f>
        <v>397639209001</v>
      </c>
      <c r="I1107" t="str">
        <f>"SUPPLY ORDER"</f>
        <v>SUPPLY ORDER</v>
      </c>
    </row>
    <row r="1108" spans="1:9" x14ac:dyDescent="0.25">
      <c r="E1108" s="7"/>
      <c r="F1108" t="s">
        <v>20</v>
      </c>
      <c r="G1108" t="s">
        <v>21</v>
      </c>
      <c r="H1108" t="str">
        <f>"398647396001"</f>
        <v>398647396001</v>
      </c>
      <c r="I1108" t="str">
        <f>"TRASH BAGS  SPRAY BOTTLES"</f>
        <v>TRASH BAGS  SPRAY BOTTLES</v>
      </c>
    </row>
    <row r="1109" spans="1:9" x14ac:dyDescent="0.25">
      <c r="E1109" s="7"/>
      <c r="F1109" t="s">
        <v>20</v>
      </c>
      <c r="G1109" t="s">
        <v>21</v>
      </c>
      <c r="H1109" t="str">
        <f>"398660837001"</f>
        <v>398660837001</v>
      </c>
      <c r="I1109" t="str">
        <f>"TRASH BAGS  SPRAY BOTTLES"</f>
        <v>TRASH BAGS  SPRAY BOTTLES</v>
      </c>
    </row>
    <row r="1110" spans="1:9" x14ac:dyDescent="0.25">
      <c r="E1110" s="7"/>
      <c r="F1110" t="s">
        <v>20</v>
      </c>
      <c r="G1110" t="s">
        <v>21</v>
      </c>
      <c r="H1110" t="str">
        <f>"400211925001"</f>
        <v>400211925001</v>
      </c>
      <c r="I1110" t="str">
        <f>"OFFICE SUPPLIES"</f>
        <v>OFFICE SUPPLIES</v>
      </c>
    </row>
    <row r="1111" spans="1:9" x14ac:dyDescent="0.25">
      <c r="E1111" s="7"/>
      <c r="F1111" t="s">
        <v>20</v>
      </c>
      <c r="G1111" t="s">
        <v>21</v>
      </c>
      <c r="H1111" t="str">
        <f>"403361933001"</f>
        <v>403361933001</v>
      </c>
      <c r="I1111" t="str">
        <f>"OFFICE SUPPLIES"</f>
        <v>OFFICE SUPPLIES</v>
      </c>
    </row>
    <row r="1112" spans="1:9" x14ac:dyDescent="0.25">
      <c r="E1112" s="7"/>
      <c r="F1112" t="s">
        <v>20</v>
      </c>
      <c r="G1112" t="s">
        <v>21</v>
      </c>
      <c r="H1112" t="str">
        <f>"403371903001"</f>
        <v>403371903001</v>
      </c>
      <c r="I1112" t="str">
        <f>"OFFICE SUPPLIES"</f>
        <v>OFFICE SUPPLIES</v>
      </c>
    </row>
    <row r="1113" spans="1:9" x14ac:dyDescent="0.25">
      <c r="E1113" s="7"/>
      <c r="F1113" t="s">
        <v>20</v>
      </c>
      <c r="G1113" t="s">
        <v>21</v>
      </c>
      <c r="H1113" t="str">
        <f>"403559058001"</f>
        <v>403559058001</v>
      </c>
      <c r="I1113" t="str">
        <f>"OFFICE SUPPLY ORDER"</f>
        <v>OFFICE SUPPLY ORDER</v>
      </c>
    </row>
    <row r="1114" spans="1:9" x14ac:dyDescent="0.25">
      <c r="E1114" s="7"/>
      <c r="F1114" t="s">
        <v>20</v>
      </c>
      <c r="G1114" t="s">
        <v>21</v>
      </c>
      <c r="H1114" t="str">
        <f>"403560043001"</f>
        <v>403560043001</v>
      </c>
      <c r="I1114" t="str">
        <f>"OFFICE SUPPLY ORDER"</f>
        <v>OFFICE SUPPLY ORDER</v>
      </c>
    </row>
    <row r="1115" spans="1:9" x14ac:dyDescent="0.25">
      <c r="E1115" s="7"/>
      <c r="F1115" t="s">
        <v>20</v>
      </c>
      <c r="G1115" t="s">
        <v>21</v>
      </c>
      <c r="H1115" t="str">
        <f>"403560044001"</f>
        <v>403560044001</v>
      </c>
      <c r="I1115" t="str">
        <f>"OFFICE SUPPLY ORDER"</f>
        <v>OFFICE SUPPLY ORDER</v>
      </c>
    </row>
    <row r="1116" spans="1:9" x14ac:dyDescent="0.25">
      <c r="A1116" s="6">
        <v>43795</v>
      </c>
      <c r="B1116" t="s">
        <v>26</v>
      </c>
      <c r="C1116">
        <v>62642</v>
      </c>
      <c r="D1116" t="s">
        <v>76</v>
      </c>
      <c r="E1116" s="7">
        <v>2393.2199999999998</v>
      </c>
      <c r="F1116" t="s">
        <v>20</v>
      </c>
      <c r="G1116" t="s">
        <v>21</v>
      </c>
      <c r="H1116" t="str">
        <f>"1075 1ST.QRT"</f>
        <v>1075 1ST.QRT</v>
      </c>
      <c r="I1116" t="str">
        <f>"WILSON COUNTY TAX COLLECTOR"</f>
        <v>WILSON COUNTY TAX COLLECTOR</v>
      </c>
    </row>
    <row r="1117" spans="1:9" x14ac:dyDescent="0.25">
      <c r="A1117" s="6">
        <v>43795</v>
      </c>
      <c r="B1117" t="s">
        <v>26</v>
      </c>
      <c r="C1117">
        <v>62643</v>
      </c>
      <c r="D1117" t="s">
        <v>137</v>
      </c>
      <c r="E1117" s="7">
        <v>121.9</v>
      </c>
      <c r="F1117" t="s">
        <v>20</v>
      </c>
      <c r="G1117" t="s">
        <v>21</v>
      </c>
      <c r="H1117" t="str">
        <f>"5713"</f>
        <v>5713</v>
      </c>
      <c r="I1117" t="str">
        <f>"OMNIBUS-M  INC.D.B.A."</f>
        <v>OMNIBUS-M  INC.D.B.A.</v>
      </c>
    </row>
    <row r="1118" spans="1:9" x14ac:dyDescent="0.25">
      <c r="E1118" s="7"/>
      <c r="F1118" t="s">
        <v>20</v>
      </c>
      <c r="G1118" t="s">
        <v>21</v>
      </c>
      <c r="H1118" t="str">
        <f>"5714"</f>
        <v>5714</v>
      </c>
      <c r="I1118" t="str">
        <f>"OMNIBUS-M  INC.D.B.A."</f>
        <v>OMNIBUS-M  INC.D.B.A.</v>
      </c>
    </row>
    <row r="1119" spans="1:9" x14ac:dyDescent="0.25">
      <c r="A1119" s="6">
        <v>43795</v>
      </c>
      <c r="B1119" t="s">
        <v>26</v>
      </c>
      <c r="C1119">
        <v>62644</v>
      </c>
      <c r="D1119" t="s">
        <v>77</v>
      </c>
      <c r="E1119" s="7">
        <v>894.2</v>
      </c>
      <c r="F1119" t="s">
        <v>20</v>
      </c>
      <c r="G1119" t="s">
        <v>21</v>
      </c>
      <c r="H1119" t="str">
        <f>"857002266-19"</f>
        <v>857002266-19</v>
      </c>
      <c r="I1119" t="str">
        <f>"CHLORINE"</f>
        <v>CHLORINE</v>
      </c>
    </row>
    <row r="1120" spans="1:9" x14ac:dyDescent="0.25">
      <c r="A1120" s="6">
        <v>43795</v>
      </c>
      <c r="B1120" t="s">
        <v>26</v>
      </c>
      <c r="C1120">
        <v>62645</v>
      </c>
      <c r="D1120" t="s">
        <v>190</v>
      </c>
      <c r="E1120" s="7">
        <v>39</v>
      </c>
      <c r="F1120" t="s">
        <v>20</v>
      </c>
      <c r="G1120" t="s">
        <v>21</v>
      </c>
      <c r="H1120" t="str">
        <f>"16787"</f>
        <v>16787</v>
      </c>
      <c r="I1120" t="str">
        <f>"NASASP"</f>
        <v>NASASP</v>
      </c>
    </row>
    <row r="1121" spans="1:9" x14ac:dyDescent="0.25">
      <c r="A1121" s="6">
        <v>43795</v>
      </c>
      <c r="B1121" t="s">
        <v>26</v>
      </c>
      <c r="C1121">
        <v>62646</v>
      </c>
      <c r="D1121" t="s">
        <v>160</v>
      </c>
      <c r="E1121" s="7">
        <v>219.76</v>
      </c>
      <c r="F1121" t="s">
        <v>20</v>
      </c>
      <c r="G1121" t="s">
        <v>21</v>
      </c>
      <c r="H1121" t="str">
        <f>"NEW CLERK SEMINAR"</f>
        <v>NEW CLERK SEMINAR</v>
      </c>
      <c r="I1121" t="str">
        <f>"MONICA CORDOVA"</f>
        <v>MONICA CORDOVA</v>
      </c>
    </row>
    <row r="1122" spans="1:9" x14ac:dyDescent="0.25">
      <c r="A1122" s="6">
        <v>43795</v>
      </c>
      <c r="B1122" t="s">
        <v>26</v>
      </c>
      <c r="C1122">
        <v>62647</v>
      </c>
      <c r="D1122" t="s">
        <v>126</v>
      </c>
      <c r="E1122" s="7">
        <v>89148.15</v>
      </c>
      <c r="F1122" t="s">
        <v>20</v>
      </c>
      <c r="G1122" t="s">
        <v>21</v>
      </c>
      <c r="H1122" t="str">
        <f>"0859-002419154"</f>
        <v>0859-002419154</v>
      </c>
      <c r="I1122" t="str">
        <f>"REPUBLIC SERVICES #859"</f>
        <v>REPUBLIC SERVICES #859</v>
      </c>
    </row>
    <row r="1123" spans="1:9" x14ac:dyDescent="0.25">
      <c r="A1123" s="6">
        <v>43795</v>
      </c>
      <c r="B1123" t="s">
        <v>26</v>
      </c>
      <c r="C1123">
        <v>62648</v>
      </c>
      <c r="D1123" t="s">
        <v>633</v>
      </c>
      <c r="E1123" s="7">
        <v>8680.58</v>
      </c>
      <c r="F1123" t="s">
        <v>20</v>
      </c>
      <c r="G1123" t="s">
        <v>21</v>
      </c>
      <c r="H1123" t="str">
        <f>"0096544479"</f>
        <v>0096544479</v>
      </c>
      <c r="I1123" t="str">
        <f>"CINTAS FIRE 636525"</f>
        <v>CINTAS FIRE 636525</v>
      </c>
    </row>
    <row r="1124" spans="1:9" x14ac:dyDescent="0.25">
      <c r="E1124" s="7"/>
      <c r="F1124" t="s">
        <v>20</v>
      </c>
      <c r="G1124" t="s">
        <v>21</v>
      </c>
      <c r="H1124" t="str">
        <f>"0096544486"</f>
        <v>0096544486</v>
      </c>
      <c r="I1124" t="str">
        <f>"CINTAS FIRE 636525"</f>
        <v>CINTAS FIRE 636525</v>
      </c>
    </row>
    <row r="1125" spans="1:9" x14ac:dyDescent="0.25">
      <c r="E1125" s="7"/>
      <c r="F1125" t="s">
        <v>20</v>
      </c>
      <c r="G1125" t="s">
        <v>21</v>
      </c>
      <c r="H1125" t="str">
        <f>"0096544553"</f>
        <v>0096544553</v>
      </c>
      <c r="I1125" t="str">
        <f>"CINTAS FIRE 636525"</f>
        <v>CINTAS FIRE 636525</v>
      </c>
    </row>
    <row r="1126" spans="1:9" x14ac:dyDescent="0.25">
      <c r="E1126" s="7"/>
      <c r="F1126" t="s">
        <v>20</v>
      </c>
      <c r="G1126" t="s">
        <v>21</v>
      </c>
      <c r="H1126" t="str">
        <f>"0096544737"</f>
        <v>0096544737</v>
      </c>
      <c r="I1126" t="str">
        <f>"CINTAS FIRE 636525"</f>
        <v>CINTAS FIRE 636525</v>
      </c>
    </row>
    <row r="1127" spans="1:9" x14ac:dyDescent="0.25">
      <c r="E1127" s="7"/>
      <c r="F1127" t="s">
        <v>20</v>
      </c>
      <c r="G1127" t="s">
        <v>21</v>
      </c>
      <c r="H1127" t="str">
        <f>"0096545374"</f>
        <v>0096545374</v>
      </c>
      <c r="I1127" t="str">
        <f>"CINTAS FIRE 636525"</f>
        <v>CINTAS FIRE 636525</v>
      </c>
    </row>
    <row r="1128" spans="1:9" x14ac:dyDescent="0.25">
      <c r="A1128" s="6">
        <v>43795</v>
      </c>
      <c r="B1128" t="s">
        <v>26</v>
      </c>
      <c r="C1128">
        <v>62649</v>
      </c>
      <c r="D1128" t="s">
        <v>148</v>
      </c>
      <c r="E1128" s="7">
        <v>6534.15</v>
      </c>
      <c r="F1128" t="s">
        <v>20</v>
      </c>
      <c r="G1128" t="s">
        <v>21</v>
      </c>
      <c r="H1128" t="str">
        <f>"PHS0191863"</f>
        <v>PHS0191863</v>
      </c>
      <c r="I1128" t="str">
        <f>"TEXAS COMMISSION ON ENVIRONMEN"</f>
        <v>TEXAS COMMISSION ON ENVIRONMEN</v>
      </c>
    </row>
    <row r="1129" spans="1:9" x14ac:dyDescent="0.25">
      <c r="A1129" s="6">
        <v>43795</v>
      </c>
      <c r="B1129" t="s">
        <v>26</v>
      </c>
      <c r="C1129">
        <v>62650</v>
      </c>
      <c r="D1129" t="s">
        <v>130</v>
      </c>
      <c r="E1129" s="7">
        <v>4238.2</v>
      </c>
      <c r="F1129" t="s">
        <v>20</v>
      </c>
      <c r="G1129" t="s">
        <v>21</v>
      </c>
      <c r="H1129" t="str">
        <f>"INV691632"</f>
        <v>INV691632</v>
      </c>
      <c r="I1129" t="str">
        <f>"DOCUMATION"</f>
        <v>DOCUMATION</v>
      </c>
    </row>
    <row r="1130" spans="1:9" x14ac:dyDescent="0.25">
      <c r="E1130" s="7"/>
      <c r="F1130" t="s">
        <v>20</v>
      </c>
      <c r="G1130" t="s">
        <v>21</v>
      </c>
      <c r="H1130" t="str">
        <f>"INV694074"</f>
        <v>INV694074</v>
      </c>
      <c r="I1130" t="str">
        <f>"DOCUMATION"</f>
        <v>DOCUMATION</v>
      </c>
    </row>
    <row r="1131" spans="1:9" x14ac:dyDescent="0.25">
      <c r="A1131" s="6">
        <v>43795</v>
      </c>
      <c r="B1131" t="s">
        <v>91</v>
      </c>
      <c r="C1131">
        <v>62651</v>
      </c>
      <c r="D1131" t="s">
        <v>97</v>
      </c>
      <c r="E1131" s="7">
        <v>35452.230000000003</v>
      </c>
      <c r="F1131" t="s">
        <v>20</v>
      </c>
      <c r="G1131" t="s">
        <v>21</v>
      </c>
      <c r="H1131" t="str">
        <f>"DEN201911198551"</f>
        <v>DEN201911198551</v>
      </c>
      <c r="I1131" t="str">
        <f>"DENTAL INSURANCE"</f>
        <v>DENTAL INSURANCE</v>
      </c>
    </row>
    <row r="1132" spans="1:9" x14ac:dyDescent="0.25">
      <c r="E1132" s="7"/>
      <c r="F1132" t="s">
        <v>20</v>
      </c>
      <c r="G1132" t="s">
        <v>21</v>
      </c>
      <c r="H1132" t="str">
        <f>"MED201911198551"</f>
        <v>MED201911198551</v>
      </c>
      <c r="I1132" t="str">
        <f>"HEALTH &amp; DENTAL INSURANCE"</f>
        <v>HEALTH &amp; DENTAL INSURANCE</v>
      </c>
    </row>
    <row r="1133" spans="1:9" x14ac:dyDescent="0.25">
      <c r="A1133" s="6">
        <v>43795</v>
      </c>
      <c r="B1133" t="s">
        <v>91</v>
      </c>
      <c r="C1133">
        <v>62651</v>
      </c>
      <c r="D1133" t="s">
        <v>97</v>
      </c>
      <c r="E1133" s="7">
        <v>35452.230000000003</v>
      </c>
      <c r="F1133" t="s">
        <v>20</v>
      </c>
      <c r="G1133" t="s">
        <v>93</v>
      </c>
      <c r="H1133" t="str">
        <f>"CHECK"</f>
        <v>CHECK</v>
      </c>
      <c r="I1133" t="str">
        <f>""</f>
        <v/>
      </c>
    </row>
    <row r="1134" spans="1:9" x14ac:dyDescent="0.25">
      <c r="A1134" s="6">
        <v>43795</v>
      </c>
      <c r="B1134" t="s">
        <v>91</v>
      </c>
      <c r="C1134">
        <v>62653</v>
      </c>
      <c r="D1134" t="s">
        <v>98</v>
      </c>
      <c r="E1134" s="7">
        <v>1919.92</v>
      </c>
      <c r="F1134" t="s">
        <v>20</v>
      </c>
      <c r="G1134" t="s">
        <v>21</v>
      </c>
      <c r="H1134" t="str">
        <f>"LIF201911198551"</f>
        <v>LIF201911198551</v>
      </c>
      <c r="I1134" t="str">
        <f>"INSURANCE"</f>
        <v>INSURANCE</v>
      </c>
    </row>
    <row r="1135" spans="1:9" x14ac:dyDescent="0.25">
      <c r="E1135" s="7"/>
      <c r="F1135" t="s">
        <v>20</v>
      </c>
      <c r="G1135" t="s">
        <v>21</v>
      </c>
      <c r="H1135" t="str">
        <f>"STD201911198551"</f>
        <v>STD201911198551</v>
      </c>
      <c r="I1135" t="str">
        <f>"SHORT TERM DISABILITY"</f>
        <v>SHORT TERM DISABILITY</v>
      </c>
    </row>
    <row r="1136" spans="1:9" x14ac:dyDescent="0.25">
      <c r="E1136" s="7"/>
      <c r="F1136" t="s">
        <v>20</v>
      </c>
      <c r="G1136" t="s">
        <v>21</v>
      </c>
      <c r="H1136" t="str">
        <f>"VIS201911198551"</f>
        <v>VIS201911198551</v>
      </c>
      <c r="I1136" t="str">
        <f>"VISION INSURANCE"</f>
        <v>VISION INSURANCE</v>
      </c>
    </row>
    <row r="1137" spans="1:9" x14ac:dyDescent="0.25">
      <c r="E1137" s="7"/>
      <c r="F1137" t="s">
        <v>20</v>
      </c>
      <c r="G1137" t="s">
        <v>21</v>
      </c>
      <c r="H1137" t="str">
        <f>"VLC201911198551"</f>
        <v>VLC201911198551</v>
      </c>
      <c r="I1137" t="str">
        <f>"CHILD LIFE INSURANCE"</f>
        <v>CHILD LIFE INSURANCE</v>
      </c>
    </row>
    <row r="1138" spans="1:9" x14ac:dyDescent="0.25">
      <c r="E1138" s="7"/>
      <c r="F1138" t="s">
        <v>20</v>
      </c>
      <c r="G1138" t="s">
        <v>21</v>
      </c>
      <c r="H1138" t="str">
        <f>"VLS201911198551"</f>
        <v>VLS201911198551</v>
      </c>
      <c r="I1138" t="str">
        <f>"SPOUSE LIFE"</f>
        <v>SPOUSE LIFE</v>
      </c>
    </row>
    <row r="1139" spans="1:9" x14ac:dyDescent="0.25">
      <c r="E1139" s="7"/>
      <c r="F1139" t="s">
        <v>20</v>
      </c>
      <c r="G1139" t="s">
        <v>21</v>
      </c>
      <c r="H1139" t="str">
        <f>"VOE201911198551"</f>
        <v>VOE201911198551</v>
      </c>
      <c r="I1139" t="str">
        <f>"EMPLOYEE LIFE"</f>
        <v>EMPLOYEE LIFE</v>
      </c>
    </row>
    <row r="1140" spans="1:9" x14ac:dyDescent="0.25">
      <c r="E1140" s="7"/>
      <c r="F1140" t="s">
        <v>20</v>
      </c>
      <c r="G1140" t="s">
        <v>21</v>
      </c>
      <c r="H1140" t="str">
        <f>"VOL201911198551"</f>
        <v>VOL201911198551</v>
      </c>
      <c r="I1140" t="str">
        <f>"LIFE"</f>
        <v>LIFE</v>
      </c>
    </row>
    <row r="1141" spans="1:9" x14ac:dyDescent="0.25">
      <c r="A1141" s="6">
        <v>43795</v>
      </c>
      <c r="B1141" t="s">
        <v>91</v>
      </c>
      <c r="C1141">
        <v>62653</v>
      </c>
      <c r="D1141" t="s">
        <v>98</v>
      </c>
      <c r="E1141" s="7">
        <v>1919.92</v>
      </c>
      <c r="F1141" t="s">
        <v>20</v>
      </c>
      <c r="G1141" t="s">
        <v>93</v>
      </c>
      <c r="H1141" t="str">
        <f>"CHECK"</f>
        <v>CHECK</v>
      </c>
      <c r="I1141" t="str">
        <f>""</f>
        <v/>
      </c>
    </row>
    <row r="1142" spans="1:9" x14ac:dyDescent="0.25">
      <c r="A1142" s="6">
        <v>43795</v>
      </c>
      <c r="B1142" t="s">
        <v>26</v>
      </c>
      <c r="C1142">
        <v>62658</v>
      </c>
      <c r="D1142" t="s">
        <v>131</v>
      </c>
      <c r="E1142" s="7">
        <v>9.99</v>
      </c>
      <c r="F1142" t="s">
        <v>20</v>
      </c>
      <c r="G1142" t="s">
        <v>21</v>
      </c>
      <c r="H1142" t="str">
        <f>"045334"</f>
        <v>045334</v>
      </c>
      <c r="I1142" t="str">
        <f>"STREETS"</f>
        <v>STREETS</v>
      </c>
    </row>
    <row r="1143" spans="1:9" x14ac:dyDescent="0.25">
      <c r="A1143" s="6">
        <v>43795</v>
      </c>
      <c r="B1143" t="s">
        <v>26</v>
      </c>
      <c r="C1143">
        <v>62659</v>
      </c>
      <c r="D1143" t="s">
        <v>84</v>
      </c>
      <c r="E1143" s="7">
        <v>5440.37</v>
      </c>
      <c r="F1143" t="s">
        <v>20</v>
      </c>
      <c r="G1143" t="s">
        <v>21</v>
      </c>
      <c r="H1143" t="str">
        <f>"1586777"</f>
        <v>1586777</v>
      </c>
      <c r="I1143" t="str">
        <f>"STANTEC CONSULTING SERVICES IN"</f>
        <v>STANTEC CONSULTING SERVICES IN</v>
      </c>
    </row>
    <row r="1144" spans="1:9" x14ac:dyDescent="0.25">
      <c r="E1144" s="7"/>
      <c r="F1144" t="s">
        <v>20</v>
      </c>
      <c r="G1144" t="s">
        <v>21</v>
      </c>
      <c r="H1144" t="str">
        <f>"1588157"</f>
        <v>1588157</v>
      </c>
      <c r="I1144" t="str">
        <f>"STANTEC CONSULTING SERVICES IN"</f>
        <v>STANTEC CONSULTING SERVICES IN</v>
      </c>
    </row>
    <row r="1145" spans="1:9" x14ac:dyDescent="0.25">
      <c r="E1145" s="7"/>
      <c r="F1145" t="s">
        <v>20</v>
      </c>
      <c r="G1145" t="s">
        <v>21</v>
      </c>
      <c r="H1145" t="str">
        <f>"1588158"</f>
        <v>1588158</v>
      </c>
      <c r="I1145" t="str">
        <f>"STANTEC CONSULTING SERVICES IN"</f>
        <v>STANTEC CONSULTING SERVICES IN</v>
      </c>
    </row>
    <row r="1146" spans="1:9" x14ac:dyDescent="0.25">
      <c r="E1146" s="7"/>
      <c r="F1146" t="s">
        <v>20</v>
      </c>
      <c r="G1146" t="s">
        <v>21</v>
      </c>
      <c r="H1146" t="str">
        <f>"1589026"</f>
        <v>1589026</v>
      </c>
      <c r="I1146" t="str">
        <f>"STANTEC CONSULTING SERVICES IN"</f>
        <v>STANTEC CONSULTING SERVICES IN</v>
      </c>
    </row>
    <row r="1147" spans="1:9" x14ac:dyDescent="0.25">
      <c r="E1147" s="7"/>
      <c r="F1147" t="s">
        <v>20</v>
      </c>
      <c r="G1147" t="s">
        <v>21</v>
      </c>
      <c r="H1147" t="str">
        <f>"1589027"</f>
        <v>1589027</v>
      </c>
      <c r="I1147" t="str">
        <f>"STANTEC CONSULTING SERVICES IN"</f>
        <v>STANTEC CONSULTING SERVICES IN</v>
      </c>
    </row>
    <row r="1148" spans="1:9" x14ac:dyDescent="0.25">
      <c r="A1148" s="6">
        <v>43795</v>
      </c>
      <c r="B1148" t="s">
        <v>26</v>
      </c>
      <c r="C1148">
        <v>62660</v>
      </c>
      <c r="D1148" t="s">
        <v>85</v>
      </c>
      <c r="E1148" s="7">
        <v>1214.79</v>
      </c>
      <c r="F1148" t="s">
        <v>20</v>
      </c>
      <c r="G1148" t="s">
        <v>21</v>
      </c>
      <c r="H1148" t="str">
        <f>"NO. 2162733"</f>
        <v>NO. 2162733</v>
      </c>
      <c r="I1148" t="str">
        <f t="shared" ref="I1148:I1153" si="20">"FRONTIER"</f>
        <v>FRONTIER</v>
      </c>
    </row>
    <row r="1149" spans="1:9" x14ac:dyDescent="0.25">
      <c r="E1149" s="7"/>
      <c r="F1149" t="s">
        <v>20</v>
      </c>
      <c r="G1149" t="s">
        <v>21</v>
      </c>
      <c r="H1149" t="str">
        <f>"NOV. 3932804"</f>
        <v>NOV. 3932804</v>
      </c>
      <c r="I1149" t="str">
        <f t="shared" si="20"/>
        <v>FRONTIER</v>
      </c>
    </row>
    <row r="1150" spans="1:9" x14ac:dyDescent="0.25">
      <c r="E1150" s="7"/>
      <c r="F1150" t="s">
        <v>20</v>
      </c>
      <c r="G1150" t="s">
        <v>21</v>
      </c>
      <c r="H1150" t="str">
        <f>"NOV. 3933105"</f>
        <v>NOV. 3933105</v>
      </c>
      <c r="I1150" t="str">
        <f t="shared" si="20"/>
        <v>FRONTIER</v>
      </c>
    </row>
    <row r="1151" spans="1:9" x14ac:dyDescent="0.25">
      <c r="E1151" s="7"/>
      <c r="F1151" t="s">
        <v>20</v>
      </c>
      <c r="G1151" t="s">
        <v>21</v>
      </c>
      <c r="H1151" t="str">
        <f>"NOV. 3936794"</f>
        <v>NOV. 3936794</v>
      </c>
      <c r="I1151" t="str">
        <f t="shared" si="20"/>
        <v>FRONTIER</v>
      </c>
    </row>
    <row r="1152" spans="1:9" x14ac:dyDescent="0.25">
      <c r="E1152" s="7"/>
      <c r="F1152" t="s">
        <v>20</v>
      </c>
      <c r="G1152" t="s">
        <v>21</v>
      </c>
      <c r="H1152" t="str">
        <f>"NOV. 3938193"</f>
        <v>NOV. 3938193</v>
      </c>
      <c r="I1152" t="str">
        <f t="shared" si="20"/>
        <v>FRONTIER</v>
      </c>
    </row>
    <row r="1153" spans="1:9" x14ac:dyDescent="0.25">
      <c r="E1153" s="7"/>
      <c r="F1153" t="s">
        <v>20</v>
      </c>
      <c r="G1153" t="s">
        <v>21</v>
      </c>
      <c r="H1153" t="str">
        <f>"NOV.2162755"</f>
        <v>NOV.2162755</v>
      </c>
      <c r="I1153" t="str">
        <f t="shared" si="20"/>
        <v>FRONTIER</v>
      </c>
    </row>
    <row r="1154" spans="1:9" x14ac:dyDescent="0.25">
      <c r="A1154" s="6">
        <v>43795</v>
      </c>
      <c r="B1154" t="s">
        <v>26</v>
      </c>
      <c r="C1154">
        <v>62661</v>
      </c>
      <c r="D1154" t="s">
        <v>194</v>
      </c>
      <c r="E1154" s="7">
        <v>587.59</v>
      </c>
      <c r="F1154" t="s">
        <v>20</v>
      </c>
      <c r="G1154" t="s">
        <v>21</v>
      </c>
      <c r="H1154" t="str">
        <f>"014197210"</f>
        <v>014197210</v>
      </c>
      <c r="I1154" t="str">
        <f>"UNIFORMS OFFICER OLIVO"</f>
        <v>UNIFORMS OFFICER OLIVO</v>
      </c>
    </row>
    <row r="1155" spans="1:9" x14ac:dyDescent="0.25">
      <c r="A1155" s="6">
        <v>43795</v>
      </c>
      <c r="B1155" t="s">
        <v>26</v>
      </c>
      <c r="C1155">
        <v>62662</v>
      </c>
      <c r="D1155" t="s">
        <v>132</v>
      </c>
      <c r="E1155" s="7">
        <v>103.07</v>
      </c>
      <c r="F1155" t="s">
        <v>20</v>
      </c>
      <c r="G1155" t="s">
        <v>21</v>
      </c>
      <c r="H1155" t="str">
        <f>"2887 NOV. 2019"</f>
        <v>2887 NOV. 2019</v>
      </c>
      <c r="I1155" t="str">
        <f>"SPARKLETTS &amp; SIERRA SPRINGS"</f>
        <v>SPARKLETTS &amp; SIERRA SPRINGS</v>
      </c>
    </row>
    <row r="1156" spans="1:9" x14ac:dyDescent="0.25">
      <c r="A1156" s="6">
        <v>43795</v>
      </c>
      <c r="B1156" t="s">
        <v>26</v>
      </c>
      <c r="C1156">
        <v>62663</v>
      </c>
      <c r="D1156" t="s">
        <v>195</v>
      </c>
      <c r="E1156" s="7">
        <v>1642.3</v>
      </c>
      <c r="F1156" t="s">
        <v>20</v>
      </c>
      <c r="G1156" t="s">
        <v>21</v>
      </c>
      <c r="H1156" t="str">
        <f>"1565201911"</f>
        <v>1565201911</v>
      </c>
      <c r="I1156" t="str">
        <f>"ARISTA INFORMATION SYSTEMS  IN"</f>
        <v>ARISTA INFORMATION SYSTEMS  IN</v>
      </c>
    </row>
    <row r="1157" spans="1:9" x14ac:dyDescent="0.25">
      <c r="E1157" s="7"/>
      <c r="F1157" t="s">
        <v>20</v>
      </c>
      <c r="G1157" t="s">
        <v>21</v>
      </c>
      <c r="H1157" t="str">
        <f>"28595"</f>
        <v>28595</v>
      </c>
      <c r="I1157" t="str">
        <f>"ARISTA INFORMATION SYSTEMS  IN"</f>
        <v>ARISTA INFORMATION SYSTEMS  IN</v>
      </c>
    </row>
    <row r="1158" spans="1:9" x14ac:dyDescent="0.25">
      <c r="A1158" s="6">
        <v>43795</v>
      </c>
      <c r="B1158" t="s">
        <v>26</v>
      </c>
      <c r="C1158">
        <v>62664</v>
      </c>
      <c r="D1158" t="s">
        <v>536</v>
      </c>
      <c r="E1158" s="7">
        <v>255.96</v>
      </c>
      <c r="F1158" t="s">
        <v>20</v>
      </c>
      <c r="G1158" t="s">
        <v>21</v>
      </c>
      <c r="H1158" t="str">
        <f>"8118203519"</f>
        <v>8118203519</v>
      </c>
      <c r="I1158" t="str">
        <f>"COCA-COLA SOUTHWEST BEVERAGES"</f>
        <v>COCA-COLA SOUTHWEST BEVERAGES</v>
      </c>
    </row>
    <row r="1159" spans="1:9" x14ac:dyDescent="0.25">
      <c r="A1159" s="6">
        <v>43795</v>
      </c>
      <c r="B1159" t="s">
        <v>26</v>
      </c>
      <c r="C1159">
        <v>62665</v>
      </c>
      <c r="D1159" t="s">
        <v>642</v>
      </c>
      <c r="E1159" s="7">
        <v>215.16</v>
      </c>
      <c r="F1159" t="s">
        <v>20</v>
      </c>
      <c r="G1159" t="s">
        <v>21</v>
      </c>
      <c r="H1159" t="str">
        <f>"5333420268"</f>
        <v>5333420268</v>
      </c>
      <c r="I1159" t="str">
        <f>"KARCHER NORTH AMERICA"</f>
        <v>KARCHER NORTH AMERICA</v>
      </c>
    </row>
    <row r="1160" spans="1:9" x14ac:dyDescent="0.25">
      <c r="A1160" s="6">
        <v>43795</v>
      </c>
      <c r="B1160" t="s">
        <v>91</v>
      </c>
      <c r="C1160">
        <v>62666</v>
      </c>
      <c r="D1160" t="s">
        <v>345</v>
      </c>
      <c r="E1160" s="7">
        <v>319</v>
      </c>
      <c r="F1160" t="s">
        <v>20</v>
      </c>
      <c r="G1160" t="s">
        <v>21</v>
      </c>
      <c r="H1160" t="str">
        <f>"11/25/19"</f>
        <v>11/25/19</v>
      </c>
      <c r="I1160" t="str">
        <f>"MICHAEL ISAAC MARTINEZ"</f>
        <v>MICHAEL ISAAC MARTINEZ</v>
      </c>
    </row>
    <row r="1161" spans="1:9" x14ac:dyDescent="0.25">
      <c r="A1161" s="6">
        <v>43795</v>
      </c>
      <c r="B1161" t="s">
        <v>91</v>
      </c>
      <c r="C1161">
        <v>62666</v>
      </c>
      <c r="D1161" t="s">
        <v>345</v>
      </c>
      <c r="E1161" s="7">
        <v>319</v>
      </c>
      <c r="F1161" t="s">
        <v>20</v>
      </c>
      <c r="G1161" t="s">
        <v>93</v>
      </c>
      <c r="H1161" t="str">
        <f>"CHECK"</f>
        <v>CHECK</v>
      </c>
      <c r="I1161" t="str">
        <f>""</f>
        <v/>
      </c>
    </row>
    <row r="1162" spans="1:9" x14ac:dyDescent="0.25">
      <c r="A1162" s="6">
        <v>43795</v>
      </c>
      <c r="B1162" t="s">
        <v>91</v>
      </c>
      <c r="C1162">
        <v>62667</v>
      </c>
      <c r="D1162" t="s">
        <v>452</v>
      </c>
      <c r="E1162" s="7">
        <v>150</v>
      </c>
      <c r="F1162" t="s">
        <v>20</v>
      </c>
      <c r="G1162" t="s">
        <v>21</v>
      </c>
      <c r="H1162" t="str">
        <f>"11/23/2019"</f>
        <v>11/23/2019</v>
      </c>
      <c r="I1162" t="str">
        <f>"DESIREE PEREZ"</f>
        <v>DESIREE PEREZ</v>
      </c>
    </row>
    <row r="1163" spans="1:9" x14ac:dyDescent="0.25">
      <c r="A1163" s="6">
        <v>43795</v>
      </c>
      <c r="B1163" t="s">
        <v>91</v>
      </c>
      <c r="C1163">
        <v>62667</v>
      </c>
      <c r="D1163" t="s">
        <v>452</v>
      </c>
      <c r="E1163" s="7">
        <v>150</v>
      </c>
      <c r="F1163" t="s">
        <v>20</v>
      </c>
      <c r="G1163" t="s">
        <v>93</v>
      </c>
      <c r="H1163" t="str">
        <f>"CHECK"</f>
        <v>CHECK</v>
      </c>
      <c r="I1163" t="str">
        <f>""</f>
        <v/>
      </c>
    </row>
    <row r="1164" spans="1:9" x14ac:dyDescent="0.25">
      <c r="A1164" s="6">
        <v>43795</v>
      </c>
      <c r="B1164" t="s">
        <v>26</v>
      </c>
      <c r="C1164">
        <v>62668</v>
      </c>
      <c r="D1164" t="s">
        <v>315</v>
      </c>
      <c r="E1164" s="7">
        <v>354.99</v>
      </c>
      <c r="F1164" t="s">
        <v>20</v>
      </c>
      <c r="G1164" t="s">
        <v>21</v>
      </c>
      <c r="H1164" t="str">
        <f>"FHS SPONSOR 11/19"</f>
        <v>FHS SPONSOR 11/19</v>
      </c>
      <c r="I1164" t="str">
        <f>"PRIME TIME ADVERTISING"</f>
        <v>PRIME TIME ADVERTISING</v>
      </c>
    </row>
    <row r="1165" spans="1:9" x14ac:dyDescent="0.25">
      <c r="A1165" s="6">
        <v>43795</v>
      </c>
      <c r="B1165" t="s">
        <v>26</v>
      </c>
      <c r="C1165">
        <v>62669</v>
      </c>
      <c r="D1165" t="s">
        <v>328</v>
      </c>
      <c r="E1165" s="7">
        <v>125.25</v>
      </c>
      <c r="F1165" t="s">
        <v>20</v>
      </c>
      <c r="G1165" t="s">
        <v>21</v>
      </c>
      <c r="H1165" t="str">
        <f>"7018592"</f>
        <v>7018592</v>
      </c>
      <c r="I1165" t="str">
        <f>"RESERVE LICENSE"</f>
        <v>RESERVE LICENSE</v>
      </c>
    </row>
    <row r="1166" spans="1:9" x14ac:dyDescent="0.25">
      <c r="A1166" s="6">
        <v>43795</v>
      </c>
      <c r="B1166" t="s">
        <v>26</v>
      </c>
      <c r="C1166">
        <v>62670</v>
      </c>
      <c r="D1166" t="s">
        <v>398</v>
      </c>
      <c r="E1166" s="7">
        <v>559.98</v>
      </c>
      <c r="F1166" t="s">
        <v>20</v>
      </c>
      <c r="G1166" t="s">
        <v>21</v>
      </c>
      <c r="H1166" t="str">
        <f>"1433"</f>
        <v>1433</v>
      </c>
      <c r="I1166" t="str">
        <f>"INTERCEPTOR TECHNOLOGY GROUP L"</f>
        <v>INTERCEPTOR TECHNOLOGY GROUP L</v>
      </c>
    </row>
    <row r="1167" spans="1:9" x14ac:dyDescent="0.25">
      <c r="A1167" s="6">
        <v>43795</v>
      </c>
      <c r="B1167" t="s">
        <v>26</v>
      </c>
      <c r="C1167">
        <v>62671</v>
      </c>
      <c r="D1167" t="s">
        <v>568</v>
      </c>
      <c r="E1167" s="7">
        <v>239</v>
      </c>
      <c r="F1167" t="s">
        <v>20</v>
      </c>
      <c r="G1167" t="s">
        <v>21</v>
      </c>
      <c r="H1167" t="str">
        <f>"10978821"</f>
        <v>10978821</v>
      </c>
      <c r="I1167" t="str">
        <f>"STREETS UNIT 420- TIRES"</f>
        <v>STREETS UNIT 420- TIRES</v>
      </c>
    </row>
    <row r="1168" spans="1:9" x14ac:dyDescent="0.25">
      <c r="A1168" s="6">
        <v>43795</v>
      </c>
      <c r="B1168" t="s">
        <v>26</v>
      </c>
      <c r="C1168">
        <v>62672</v>
      </c>
      <c r="D1168" t="s">
        <v>599</v>
      </c>
      <c r="E1168" s="7">
        <v>58906.34</v>
      </c>
      <c r="F1168" t="s">
        <v>20</v>
      </c>
      <c r="G1168" t="s">
        <v>21</v>
      </c>
      <c r="H1168" t="str">
        <f>"PAY APP #13"</f>
        <v>PAY APP #13</v>
      </c>
      <c r="I1168" t="str">
        <f>"METER INSTALL GROUP  LLC."</f>
        <v>METER INSTALL GROUP  LLC.</v>
      </c>
    </row>
    <row r="1169" spans="1:9" x14ac:dyDescent="0.25">
      <c r="A1169" s="6">
        <v>43795</v>
      </c>
      <c r="B1169" t="s">
        <v>26</v>
      </c>
      <c r="C1169">
        <v>62673</v>
      </c>
      <c r="D1169" t="s">
        <v>630</v>
      </c>
      <c r="E1169" s="7">
        <v>1595.01</v>
      </c>
      <c r="F1169" t="s">
        <v>20</v>
      </c>
      <c r="G1169" t="s">
        <v>21</v>
      </c>
      <c r="H1169" t="str">
        <f>"25803"</f>
        <v>25803</v>
      </c>
      <c r="I1169" t="str">
        <f>"EQUIPMENT FOR WATER METER"</f>
        <v>EQUIPMENT FOR WATER METER</v>
      </c>
    </row>
    <row r="1170" spans="1:9" x14ac:dyDescent="0.25">
      <c r="A1170" s="6">
        <v>43795</v>
      </c>
      <c r="B1170" t="s">
        <v>26</v>
      </c>
      <c r="C1170">
        <v>62674</v>
      </c>
      <c r="D1170" t="s">
        <v>644</v>
      </c>
      <c r="E1170" s="7">
        <v>1561.94</v>
      </c>
      <c r="F1170" t="s">
        <v>20</v>
      </c>
      <c r="G1170" t="s">
        <v>21</v>
      </c>
      <c r="H1170" t="str">
        <f>"8213384340"</f>
        <v>8213384340</v>
      </c>
      <c r="I1170" t="str">
        <f t="shared" ref="I1170:I1183" si="21">"UNIFIRST CORPORATION"</f>
        <v>UNIFIRST CORPORATION</v>
      </c>
    </row>
    <row r="1171" spans="1:9" x14ac:dyDescent="0.25">
      <c r="E1171" s="7"/>
      <c r="F1171" t="s">
        <v>20</v>
      </c>
      <c r="G1171" t="s">
        <v>21</v>
      </c>
      <c r="H1171" t="str">
        <f>"8213384341"</f>
        <v>8213384341</v>
      </c>
      <c r="I1171" t="str">
        <f t="shared" si="21"/>
        <v>UNIFIRST CORPORATION</v>
      </c>
    </row>
    <row r="1172" spans="1:9" x14ac:dyDescent="0.25">
      <c r="E1172" s="7"/>
      <c r="F1172" t="s">
        <v>20</v>
      </c>
      <c r="G1172" t="s">
        <v>21</v>
      </c>
      <c r="H1172" t="str">
        <f>"8213384342"</f>
        <v>8213384342</v>
      </c>
      <c r="I1172" t="str">
        <f t="shared" si="21"/>
        <v>UNIFIRST CORPORATION</v>
      </c>
    </row>
    <row r="1173" spans="1:9" x14ac:dyDescent="0.25">
      <c r="E1173" s="7"/>
      <c r="F1173" t="s">
        <v>20</v>
      </c>
      <c r="G1173" t="s">
        <v>21</v>
      </c>
      <c r="H1173" t="str">
        <f>"8213384343"</f>
        <v>8213384343</v>
      </c>
      <c r="I1173" t="str">
        <f t="shared" si="21"/>
        <v>UNIFIRST CORPORATION</v>
      </c>
    </row>
    <row r="1174" spans="1:9" x14ac:dyDescent="0.25">
      <c r="E1174" s="7"/>
      <c r="F1174" t="s">
        <v>20</v>
      </c>
      <c r="G1174" t="s">
        <v>21</v>
      </c>
      <c r="H1174" t="str">
        <f>"8213384344"</f>
        <v>8213384344</v>
      </c>
      <c r="I1174" t="str">
        <f t="shared" si="21"/>
        <v>UNIFIRST CORPORATION</v>
      </c>
    </row>
    <row r="1175" spans="1:9" x14ac:dyDescent="0.25">
      <c r="E1175" s="7"/>
      <c r="F1175" t="s">
        <v>20</v>
      </c>
      <c r="G1175" t="s">
        <v>21</v>
      </c>
      <c r="H1175" t="str">
        <f>"8213384345"</f>
        <v>8213384345</v>
      </c>
      <c r="I1175" t="str">
        <f t="shared" si="21"/>
        <v>UNIFIRST CORPORATION</v>
      </c>
    </row>
    <row r="1176" spans="1:9" x14ac:dyDescent="0.25">
      <c r="E1176" s="7"/>
      <c r="F1176" t="s">
        <v>20</v>
      </c>
      <c r="G1176" t="s">
        <v>21</v>
      </c>
      <c r="H1176" t="str">
        <f>"8213387244"</f>
        <v>8213387244</v>
      </c>
      <c r="I1176" t="str">
        <f t="shared" si="21"/>
        <v>UNIFIRST CORPORATION</v>
      </c>
    </row>
    <row r="1177" spans="1:9" x14ac:dyDescent="0.25">
      <c r="E1177" s="7"/>
      <c r="F1177" t="s">
        <v>20</v>
      </c>
      <c r="G1177" t="s">
        <v>21</v>
      </c>
      <c r="H1177" t="str">
        <f>"8213387246"</f>
        <v>8213387246</v>
      </c>
      <c r="I1177" t="str">
        <f t="shared" si="21"/>
        <v>UNIFIRST CORPORATION</v>
      </c>
    </row>
    <row r="1178" spans="1:9" x14ac:dyDescent="0.25">
      <c r="E1178" s="7"/>
      <c r="F1178" t="s">
        <v>20</v>
      </c>
      <c r="G1178" t="s">
        <v>21</v>
      </c>
      <c r="H1178" t="str">
        <f>"8213387247"</f>
        <v>8213387247</v>
      </c>
      <c r="I1178" t="str">
        <f t="shared" si="21"/>
        <v>UNIFIRST CORPORATION</v>
      </c>
    </row>
    <row r="1179" spans="1:9" x14ac:dyDescent="0.25">
      <c r="E1179" s="7"/>
      <c r="F1179" t="s">
        <v>20</v>
      </c>
      <c r="G1179" t="s">
        <v>21</v>
      </c>
      <c r="H1179" t="str">
        <f>"8213387248"</f>
        <v>8213387248</v>
      </c>
      <c r="I1179" t="str">
        <f t="shared" si="21"/>
        <v>UNIFIRST CORPORATION</v>
      </c>
    </row>
    <row r="1180" spans="1:9" x14ac:dyDescent="0.25">
      <c r="E1180" s="7"/>
      <c r="F1180" t="s">
        <v>20</v>
      </c>
      <c r="G1180" t="s">
        <v>21</v>
      </c>
      <c r="H1180" t="str">
        <f>"8213387249"</f>
        <v>8213387249</v>
      </c>
      <c r="I1180" t="str">
        <f t="shared" si="21"/>
        <v>UNIFIRST CORPORATION</v>
      </c>
    </row>
    <row r="1181" spans="1:9" x14ac:dyDescent="0.25">
      <c r="E1181" s="7"/>
      <c r="F1181" t="s">
        <v>20</v>
      </c>
      <c r="G1181" t="s">
        <v>21</v>
      </c>
      <c r="H1181" t="str">
        <f>"8213387250"</f>
        <v>8213387250</v>
      </c>
      <c r="I1181" t="str">
        <f t="shared" si="21"/>
        <v>UNIFIRST CORPORATION</v>
      </c>
    </row>
    <row r="1182" spans="1:9" x14ac:dyDescent="0.25">
      <c r="E1182" s="7"/>
      <c r="F1182" t="s">
        <v>20</v>
      </c>
      <c r="G1182" t="s">
        <v>21</v>
      </c>
      <c r="H1182" t="str">
        <f>"8213390112"</f>
        <v>8213390112</v>
      </c>
      <c r="I1182" t="str">
        <f t="shared" si="21"/>
        <v>UNIFIRST CORPORATION</v>
      </c>
    </row>
    <row r="1183" spans="1:9" x14ac:dyDescent="0.25">
      <c r="E1183" s="7"/>
      <c r="F1183" t="s">
        <v>20</v>
      </c>
      <c r="G1183" t="s">
        <v>21</v>
      </c>
      <c r="H1183" t="str">
        <f>"8213393226"</f>
        <v>8213393226</v>
      </c>
      <c r="I1183" t="str">
        <f t="shared" si="21"/>
        <v>UNIFIRST CORPORATION</v>
      </c>
    </row>
    <row r="1184" spans="1:9" x14ac:dyDescent="0.25">
      <c r="A1184" s="6">
        <v>43795</v>
      </c>
      <c r="B1184" t="s">
        <v>26</v>
      </c>
      <c r="C1184">
        <v>62677</v>
      </c>
      <c r="D1184" t="s">
        <v>647</v>
      </c>
      <c r="E1184" s="7">
        <v>4116</v>
      </c>
      <c r="F1184" t="s">
        <v>20</v>
      </c>
      <c r="G1184" t="s">
        <v>21</v>
      </c>
      <c r="H1184" t="str">
        <f>"25505927*"</f>
        <v>25505927*</v>
      </c>
      <c r="I1184" t="str">
        <f>"DOCUMATION  INC."</f>
        <v>DOCUMATION  INC.</v>
      </c>
    </row>
    <row r="1185" spans="1:9" x14ac:dyDescent="0.25">
      <c r="E1185" s="7"/>
      <c r="F1185" t="s">
        <v>20</v>
      </c>
      <c r="G1185" t="s">
        <v>21</v>
      </c>
      <c r="H1185" t="str">
        <f>"25879001"</f>
        <v>25879001</v>
      </c>
      <c r="I1185" t="str">
        <f>"DOCUMATION  INC."</f>
        <v>DOCUMATION  INC.</v>
      </c>
    </row>
    <row r="1186" spans="1:9" x14ac:dyDescent="0.25">
      <c r="A1186" s="6">
        <v>43795</v>
      </c>
      <c r="B1186" t="s">
        <v>26</v>
      </c>
      <c r="C1186">
        <v>62679</v>
      </c>
      <c r="D1186" t="s">
        <v>685</v>
      </c>
      <c r="E1186" s="7">
        <v>1518.71</v>
      </c>
      <c r="F1186" t="s">
        <v>20</v>
      </c>
      <c r="G1186" t="s">
        <v>21</v>
      </c>
      <c r="H1186" t="str">
        <f>"9417E-5"</f>
        <v>9417E-5</v>
      </c>
      <c r="I1186" t="str">
        <f>"TEXAS STATE RENTALS; TEXAS STA"</f>
        <v>TEXAS STATE RENTALS; TEXAS STA</v>
      </c>
    </row>
    <row r="1187" spans="1:9" x14ac:dyDescent="0.25">
      <c r="A1187" s="6">
        <v>43795</v>
      </c>
      <c r="B1187" t="s">
        <v>26</v>
      </c>
      <c r="C1187">
        <v>62680</v>
      </c>
      <c r="D1187" t="s">
        <v>752</v>
      </c>
      <c r="E1187" s="7">
        <v>70</v>
      </c>
      <c r="F1187" t="s">
        <v>20</v>
      </c>
      <c r="G1187" t="s">
        <v>21</v>
      </c>
      <c r="H1187" t="str">
        <f>"11/23/19"</f>
        <v>11/23/19</v>
      </c>
      <c r="I1187" t="str">
        <f>"BLANCA PEREZ"</f>
        <v>BLANCA PEREZ</v>
      </c>
    </row>
    <row r="1188" spans="1:9" x14ac:dyDescent="0.25">
      <c r="A1188" s="6">
        <v>43795</v>
      </c>
      <c r="B1188" t="s">
        <v>91</v>
      </c>
      <c r="C1188">
        <v>62681</v>
      </c>
      <c r="D1188" t="s">
        <v>814</v>
      </c>
      <c r="E1188" s="7">
        <v>81.5</v>
      </c>
      <c r="F1188" t="s">
        <v>20</v>
      </c>
      <c r="G1188" t="s">
        <v>21</v>
      </c>
      <c r="H1188" t="str">
        <f>"11/23/2019"</f>
        <v>11/23/2019</v>
      </c>
      <c r="I1188" t="str">
        <f>"RACHEL GARCIA"</f>
        <v>RACHEL GARCIA</v>
      </c>
    </row>
    <row r="1189" spans="1:9" x14ac:dyDescent="0.25">
      <c r="A1189" s="6">
        <v>43795</v>
      </c>
      <c r="B1189" t="s">
        <v>91</v>
      </c>
      <c r="C1189">
        <v>62681</v>
      </c>
      <c r="D1189" t="s">
        <v>814</v>
      </c>
      <c r="E1189" s="7">
        <v>81.5</v>
      </c>
      <c r="F1189" t="s">
        <v>20</v>
      </c>
      <c r="G1189" t="s">
        <v>93</v>
      </c>
      <c r="H1189" t="str">
        <f>"CHECK"</f>
        <v>CHECK</v>
      </c>
      <c r="I1189" t="str">
        <f>""</f>
        <v/>
      </c>
    </row>
    <row r="1190" spans="1:9" x14ac:dyDescent="0.25">
      <c r="A1190" s="6">
        <v>43795</v>
      </c>
      <c r="B1190" t="s">
        <v>26</v>
      </c>
      <c r="C1190">
        <v>62682</v>
      </c>
      <c r="D1190" t="s">
        <v>824</v>
      </c>
      <c r="E1190" s="7">
        <v>150</v>
      </c>
      <c r="F1190" t="s">
        <v>20</v>
      </c>
      <c r="G1190" t="s">
        <v>21</v>
      </c>
      <c r="H1190" t="str">
        <f>"11/25/19"</f>
        <v>11/25/19</v>
      </c>
      <c r="I1190" t="str">
        <f>"MALLORY R. NELSON"</f>
        <v>MALLORY R. NELSON</v>
      </c>
    </row>
    <row r="1191" spans="1:9" x14ac:dyDescent="0.25">
      <c r="A1191" s="6">
        <v>43795</v>
      </c>
      <c r="B1191" t="s">
        <v>26</v>
      </c>
      <c r="C1191">
        <v>62683</v>
      </c>
      <c r="D1191" t="s">
        <v>836</v>
      </c>
      <c r="E1191" s="7">
        <v>319.99</v>
      </c>
      <c r="F1191" t="s">
        <v>20</v>
      </c>
      <c r="G1191" t="s">
        <v>21</v>
      </c>
      <c r="H1191" t="str">
        <f>"58919"</f>
        <v>58919</v>
      </c>
      <c r="I1191" t="str">
        <f>"OLGA'S COMPUTER"</f>
        <v>OLGA'S COMPUTER</v>
      </c>
    </row>
    <row r="1192" spans="1:9" x14ac:dyDescent="0.25">
      <c r="A1192" s="6">
        <v>43795</v>
      </c>
      <c r="B1192" t="s">
        <v>26</v>
      </c>
      <c r="C1192">
        <v>62684</v>
      </c>
      <c r="D1192" t="s">
        <v>807</v>
      </c>
      <c r="E1192" s="7">
        <v>983</v>
      </c>
      <c r="F1192" t="s">
        <v>20</v>
      </c>
      <c r="G1192" t="s">
        <v>21</v>
      </c>
      <c r="H1192" t="str">
        <f>"AH0032014263 PARED"</f>
        <v>AH0032014263 PARED</v>
      </c>
      <c r="I1192" t="str">
        <f>"CHRISTUS SANTA ROSA HEALTH CAR"</f>
        <v>CHRISTUS SANTA ROSA HEALTH CAR</v>
      </c>
    </row>
    <row r="1193" spans="1:9" x14ac:dyDescent="0.25">
      <c r="A1193" s="6">
        <v>43795</v>
      </c>
      <c r="B1193" t="s">
        <v>26</v>
      </c>
      <c r="C1193">
        <v>62685</v>
      </c>
      <c r="D1193" t="s">
        <v>54</v>
      </c>
      <c r="E1193" s="7">
        <v>1275.24</v>
      </c>
      <c r="F1193" t="s">
        <v>20</v>
      </c>
      <c r="G1193" t="s">
        <v>21</v>
      </c>
      <c r="H1193" t="str">
        <f>"PE 11/16/2019"</f>
        <v>PE 11/16/2019</v>
      </c>
      <c r="I1193" t="str">
        <f>"NATIONWIDE TRUST COMPANY  FSB"</f>
        <v>NATIONWIDE TRUST COMPANY  FSB</v>
      </c>
    </row>
    <row r="1194" spans="1:9" x14ac:dyDescent="0.25">
      <c r="A1194" s="6">
        <v>43802</v>
      </c>
      <c r="B1194" t="s">
        <v>26</v>
      </c>
      <c r="C1194">
        <v>62686</v>
      </c>
      <c r="D1194" t="s">
        <v>345</v>
      </c>
      <c r="E1194" s="7">
        <v>343</v>
      </c>
      <c r="F1194" t="s">
        <v>20</v>
      </c>
      <c r="G1194" t="s">
        <v>21</v>
      </c>
      <c r="H1194" t="str">
        <f>"12/3/19 REISSUE"</f>
        <v>12/3/19 REISSUE</v>
      </c>
      <c r="I1194" t="str">
        <f>"MICHAEL ISAAC MARTINEZ"</f>
        <v>MICHAEL ISAAC MARTINEZ</v>
      </c>
    </row>
    <row r="1195" spans="1:9" x14ac:dyDescent="0.25">
      <c r="A1195" s="6">
        <v>43802</v>
      </c>
      <c r="B1195" t="s">
        <v>26</v>
      </c>
      <c r="C1195">
        <v>62687</v>
      </c>
      <c r="D1195" t="s">
        <v>452</v>
      </c>
      <c r="E1195" s="7">
        <v>174</v>
      </c>
      <c r="F1195" t="s">
        <v>20</v>
      </c>
      <c r="G1195" t="s">
        <v>21</v>
      </c>
      <c r="H1195" t="str">
        <f>"12/3/19 REISSUE"</f>
        <v>12/3/19 REISSUE</v>
      </c>
      <c r="I1195" t="str">
        <f>"DESIREE PEREZ"</f>
        <v>DESIREE PEREZ</v>
      </c>
    </row>
    <row r="1196" spans="1:9" x14ac:dyDescent="0.25">
      <c r="A1196" s="6">
        <v>43802</v>
      </c>
      <c r="B1196" t="s">
        <v>26</v>
      </c>
      <c r="C1196">
        <v>62688</v>
      </c>
      <c r="D1196" t="s">
        <v>814</v>
      </c>
      <c r="E1196" s="7">
        <v>105.5</v>
      </c>
      <c r="F1196" t="s">
        <v>20</v>
      </c>
      <c r="G1196" t="s">
        <v>21</v>
      </c>
      <c r="H1196" t="str">
        <f>"12/3/19 REISSUE"</f>
        <v>12/3/19 REISSUE</v>
      </c>
      <c r="I1196" t="str">
        <f>"RACHEL GARCIA"</f>
        <v>RACHEL GARCIA</v>
      </c>
    </row>
    <row r="1197" spans="1:9" x14ac:dyDescent="0.25">
      <c r="A1197" s="6">
        <v>43802</v>
      </c>
      <c r="B1197" t="s">
        <v>26</v>
      </c>
      <c r="C1197">
        <v>62696</v>
      </c>
      <c r="D1197" t="s">
        <v>51</v>
      </c>
      <c r="E1197" s="7">
        <v>346.31</v>
      </c>
      <c r="F1197" t="s">
        <v>20</v>
      </c>
      <c r="G1197" t="s">
        <v>21</v>
      </c>
      <c r="H1197" t="str">
        <f>"CLE201912038552"</f>
        <v>CLE201912038552</v>
      </c>
      <c r="I1197" t="str">
        <f>"CLEAT ONLY DUES"</f>
        <v>CLEAT ONLY DUES</v>
      </c>
    </row>
    <row r="1198" spans="1:9" x14ac:dyDescent="0.25">
      <c r="E1198" s="7"/>
      <c r="F1198" t="s">
        <v>20</v>
      </c>
      <c r="G1198" t="s">
        <v>21</v>
      </c>
      <c r="H1198" t="str">
        <f>"PDD201912038552"</f>
        <v>PDD201912038552</v>
      </c>
      <c r="I1198" t="str">
        <f>"POLICE OFFICERS ASSOC DUES"</f>
        <v>POLICE OFFICERS ASSOC DUES</v>
      </c>
    </row>
    <row r="1199" spans="1:9" x14ac:dyDescent="0.25">
      <c r="A1199" s="6">
        <v>43802</v>
      </c>
      <c r="B1199" t="s">
        <v>91</v>
      </c>
      <c r="C1199">
        <v>62697</v>
      </c>
      <c r="D1199" t="s">
        <v>90</v>
      </c>
      <c r="E1199" s="7">
        <v>101.1</v>
      </c>
      <c r="F1199" t="s">
        <v>20</v>
      </c>
      <c r="G1199" t="s">
        <v>21</v>
      </c>
      <c r="H1199" t="str">
        <f>"AFS201912038552"</f>
        <v>AFS201912038552</v>
      </c>
      <c r="I1199" t="str">
        <f>"AFLAC STD"</f>
        <v>AFLAC STD</v>
      </c>
    </row>
    <row r="1200" spans="1:9" x14ac:dyDescent="0.25">
      <c r="A1200" s="6">
        <v>43802</v>
      </c>
      <c r="B1200" t="s">
        <v>91</v>
      </c>
      <c r="C1200">
        <v>62697</v>
      </c>
      <c r="D1200" t="s">
        <v>90</v>
      </c>
      <c r="E1200" s="7">
        <v>101.1</v>
      </c>
      <c r="F1200" t="s">
        <v>20</v>
      </c>
      <c r="G1200" t="s">
        <v>93</v>
      </c>
      <c r="H1200" t="str">
        <f>"CHECK"</f>
        <v>CHECK</v>
      </c>
      <c r="I1200" t="str">
        <f>""</f>
        <v/>
      </c>
    </row>
    <row r="1201" spans="1:9" x14ac:dyDescent="0.25">
      <c r="A1201" s="6">
        <v>43802</v>
      </c>
      <c r="B1201" t="s">
        <v>26</v>
      </c>
      <c r="C1201">
        <v>62698</v>
      </c>
      <c r="D1201" t="s">
        <v>52</v>
      </c>
      <c r="E1201" s="7">
        <v>600.91999999999996</v>
      </c>
      <c r="F1201" t="s">
        <v>20</v>
      </c>
      <c r="G1201" t="s">
        <v>21</v>
      </c>
      <c r="H1201" t="str">
        <f>"CPS201912038552"</f>
        <v>CPS201912038552</v>
      </c>
      <c r="I1201" t="str">
        <f>"G MENDOZA 00123012032010EM5054"</f>
        <v>G MENDOZA 00123012032010EM5054</v>
      </c>
    </row>
    <row r="1202" spans="1:9" x14ac:dyDescent="0.25">
      <c r="E1202" s="7"/>
      <c r="F1202" t="s">
        <v>20</v>
      </c>
      <c r="G1202" t="s">
        <v>21</v>
      </c>
      <c r="H1202" t="str">
        <f>"CS 201912038552"</f>
        <v>CS 201912038552</v>
      </c>
      <c r="I1202" t="str">
        <f>"CAUSE#98EM504113 PEGGY RIVAS"</f>
        <v>CAUSE#98EM504113 PEGGY RIVAS</v>
      </c>
    </row>
    <row r="1203" spans="1:9" x14ac:dyDescent="0.25">
      <c r="A1203" s="6">
        <v>43802</v>
      </c>
      <c r="B1203" t="s">
        <v>26</v>
      </c>
      <c r="C1203">
        <v>62699</v>
      </c>
      <c r="D1203" t="s">
        <v>54</v>
      </c>
      <c r="E1203" s="7">
        <v>1200.24</v>
      </c>
      <c r="F1203" t="s">
        <v>20</v>
      </c>
      <c r="G1203" t="s">
        <v>21</v>
      </c>
      <c r="H1203" t="str">
        <f>"457201912038552"</f>
        <v>457201912038552</v>
      </c>
      <c r="I1203" t="str">
        <f>"CASE # 180-60751 457B DEDUCT"</f>
        <v>CASE # 180-60751 457B DEDUCT</v>
      </c>
    </row>
    <row r="1204" spans="1:9" x14ac:dyDescent="0.25">
      <c r="A1204" s="6">
        <v>43803</v>
      </c>
      <c r="B1204" t="s">
        <v>26</v>
      </c>
      <c r="C1204">
        <v>62700</v>
      </c>
      <c r="D1204" t="s">
        <v>57</v>
      </c>
      <c r="E1204" s="7">
        <v>25103.439999999999</v>
      </c>
      <c r="F1204" t="s">
        <v>20</v>
      </c>
      <c r="G1204" t="s">
        <v>21</v>
      </c>
      <c r="H1204" t="str">
        <f>"11617 NOV.2019"</f>
        <v>11617 NOV.2019</v>
      </c>
      <c r="I1204" t="str">
        <f>"F.E.L.P.S."</f>
        <v>F.E.L.P.S.</v>
      </c>
    </row>
    <row r="1205" spans="1:9" x14ac:dyDescent="0.25">
      <c r="A1205" s="6">
        <v>43803</v>
      </c>
      <c r="B1205" t="s">
        <v>26</v>
      </c>
      <c r="C1205">
        <v>62701</v>
      </c>
      <c r="D1205" t="s">
        <v>90</v>
      </c>
      <c r="E1205" s="7">
        <v>1997.82</v>
      </c>
      <c r="F1205" t="s">
        <v>20</v>
      </c>
      <c r="G1205" t="s">
        <v>21</v>
      </c>
      <c r="H1205" t="str">
        <f>"773262 NOV 2019"</f>
        <v>773262 NOV 2019</v>
      </c>
      <c r="I1205" t="str">
        <f>"AFLAC"</f>
        <v>AFLAC</v>
      </c>
    </row>
    <row r="1206" spans="1:9" x14ac:dyDescent="0.25">
      <c r="A1206" s="6">
        <v>43803</v>
      </c>
      <c r="B1206" t="s">
        <v>26</v>
      </c>
      <c r="C1206">
        <v>62702</v>
      </c>
      <c r="D1206" t="s">
        <v>107</v>
      </c>
      <c r="E1206" s="7">
        <v>153.32</v>
      </c>
      <c r="F1206" t="s">
        <v>20</v>
      </c>
      <c r="G1206" t="s">
        <v>21</v>
      </c>
      <c r="H1206" t="str">
        <f>"1166960-20191031"</f>
        <v>1166960-20191031</v>
      </c>
      <c r="I1206" t="str">
        <f>"LEXISNEXIS RISK SOLUTIONS"</f>
        <v>LEXISNEXIS RISK SOLUTIONS</v>
      </c>
    </row>
    <row r="1207" spans="1:9" x14ac:dyDescent="0.25">
      <c r="A1207" s="6">
        <v>43803</v>
      </c>
      <c r="B1207" t="s">
        <v>26</v>
      </c>
      <c r="C1207">
        <v>62703</v>
      </c>
      <c r="D1207" t="s">
        <v>853</v>
      </c>
      <c r="E1207" s="7">
        <v>50</v>
      </c>
      <c r="F1207" t="s">
        <v>20</v>
      </c>
      <c r="G1207" t="s">
        <v>21</v>
      </c>
      <c r="H1207" t="str">
        <f>"DEP.RFND 9/6/19"</f>
        <v>DEP.RFND 9/6/19</v>
      </c>
      <c r="I1207" t="str">
        <f>"REFUND"</f>
        <v>REFUND</v>
      </c>
    </row>
    <row r="1208" spans="1:9" x14ac:dyDescent="0.25">
      <c r="A1208" s="6">
        <v>43803</v>
      </c>
      <c r="B1208" t="s">
        <v>26</v>
      </c>
      <c r="C1208">
        <v>62704</v>
      </c>
      <c r="D1208" t="s">
        <v>0</v>
      </c>
      <c r="E1208" s="7">
        <v>3593.35</v>
      </c>
      <c r="F1208" t="s">
        <v>20</v>
      </c>
      <c r="G1208" t="s">
        <v>21</v>
      </c>
      <c r="H1208" t="str">
        <f>"01-0195-00 NOV.19"</f>
        <v>01-0195-00 NOV.19</v>
      </c>
      <c r="I1208" t="str">
        <f>"CITY OF FLORESVILLE"</f>
        <v>CITY OF FLORESVILLE</v>
      </c>
    </row>
    <row r="1209" spans="1:9" x14ac:dyDescent="0.25">
      <c r="A1209" s="6">
        <v>43803</v>
      </c>
      <c r="B1209" t="s">
        <v>26</v>
      </c>
      <c r="C1209">
        <v>62705</v>
      </c>
      <c r="D1209" t="s">
        <v>95</v>
      </c>
      <c r="E1209" s="7">
        <v>64.959999999999994</v>
      </c>
      <c r="F1209" t="s">
        <v>20</v>
      </c>
      <c r="G1209" t="s">
        <v>21</v>
      </c>
      <c r="H1209" t="str">
        <f>"NOV.2019"</f>
        <v>NOV.2019</v>
      </c>
      <c r="I1209" t="str">
        <f>"LEGAL PLANS"</f>
        <v>LEGAL PLANS</v>
      </c>
    </row>
    <row r="1210" spans="1:9" x14ac:dyDescent="0.25">
      <c r="A1210" s="6">
        <v>43803</v>
      </c>
      <c r="B1210" t="s">
        <v>26</v>
      </c>
      <c r="C1210">
        <v>62706</v>
      </c>
      <c r="D1210" t="s">
        <v>96</v>
      </c>
      <c r="E1210" s="7">
        <v>525.1</v>
      </c>
      <c r="F1210" t="s">
        <v>20</v>
      </c>
      <c r="G1210" t="s">
        <v>21</v>
      </c>
      <c r="H1210" t="str">
        <f>"NOV. 2019"</f>
        <v>NOV. 2019</v>
      </c>
      <c r="I1210" t="str">
        <f>"LEGALSHIELD"</f>
        <v>LEGALSHIELD</v>
      </c>
    </row>
    <row r="1211" spans="1:9" x14ac:dyDescent="0.25">
      <c r="A1211" s="6">
        <v>43803</v>
      </c>
      <c r="B1211" t="s">
        <v>26</v>
      </c>
      <c r="C1211">
        <v>62708</v>
      </c>
      <c r="D1211" t="s">
        <v>97</v>
      </c>
      <c r="E1211" s="7">
        <v>40669.760000000002</v>
      </c>
      <c r="F1211" t="s">
        <v>20</v>
      </c>
      <c r="G1211" t="s">
        <v>21</v>
      </c>
      <c r="H1211" t="str">
        <f>"NOV. 2019"</f>
        <v>NOV. 2019</v>
      </c>
      <c r="I1211" t="str">
        <f>"HEALTH CARE SERVICE CORPORATIO"</f>
        <v>HEALTH CARE SERVICE CORPORATIO</v>
      </c>
    </row>
    <row r="1212" spans="1:9" x14ac:dyDescent="0.25">
      <c r="A1212" s="6">
        <v>43803</v>
      </c>
      <c r="B1212" t="s">
        <v>26</v>
      </c>
      <c r="C1212">
        <v>62709</v>
      </c>
      <c r="D1212" t="s">
        <v>98</v>
      </c>
      <c r="E1212" s="7">
        <v>3605.64</v>
      </c>
      <c r="F1212" t="s">
        <v>20</v>
      </c>
      <c r="G1212" t="s">
        <v>21</v>
      </c>
      <c r="H1212" t="str">
        <f>"NOV. 2019"</f>
        <v>NOV. 2019</v>
      </c>
      <c r="I1212" t="str">
        <f>"DEARBORN LIFE INSURANCE COMPAN"</f>
        <v>DEARBORN LIFE INSURANCE COMPAN</v>
      </c>
    </row>
    <row r="1213" spans="1:9" x14ac:dyDescent="0.25">
      <c r="A1213" s="6">
        <v>43803</v>
      </c>
      <c r="B1213" t="s">
        <v>26</v>
      </c>
      <c r="C1213">
        <v>62711</v>
      </c>
      <c r="D1213" t="s">
        <v>85</v>
      </c>
      <c r="E1213" s="7">
        <v>776.82</v>
      </c>
      <c r="F1213" t="s">
        <v>20</v>
      </c>
      <c r="G1213" t="s">
        <v>21</v>
      </c>
      <c r="H1213" t="str">
        <f>"NOV 2019 2162691"</f>
        <v>NOV 2019 2162691</v>
      </c>
      <c r="I1213" t="str">
        <f t="shared" ref="I1213:I1218" si="22">"FRONTIER"</f>
        <v>FRONTIER</v>
      </c>
    </row>
    <row r="1214" spans="1:9" x14ac:dyDescent="0.25">
      <c r="E1214" s="7"/>
      <c r="F1214" t="s">
        <v>20</v>
      </c>
      <c r="G1214" t="s">
        <v>21</v>
      </c>
      <c r="H1214" t="str">
        <f>"NOV 2019 3932056"</f>
        <v>NOV 2019 3932056</v>
      </c>
      <c r="I1214" t="str">
        <f t="shared" si="22"/>
        <v>FRONTIER</v>
      </c>
    </row>
    <row r="1215" spans="1:9" x14ac:dyDescent="0.25">
      <c r="E1215" s="7"/>
      <c r="F1215" t="s">
        <v>20</v>
      </c>
      <c r="G1215" t="s">
        <v>21</v>
      </c>
      <c r="H1215" t="str">
        <f>"NOV 2019 3933186"</f>
        <v>NOV 2019 3933186</v>
      </c>
      <c r="I1215" t="str">
        <f t="shared" si="22"/>
        <v>FRONTIER</v>
      </c>
    </row>
    <row r="1216" spans="1:9" x14ac:dyDescent="0.25">
      <c r="E1216" s="7"/>
      <c r="F1216" t="s">
        <v>20</v>
      </c>
      <c r="G1216" t="s">
        <v>21</v>
      </c>
      <c r="H1216" t="str">
        <f>"NOV 2019 3936616"</f>
        <v>NOV 2019 3936616</v>
      </c>
      <c r="I1216" t="str">
        <f t="shared" si="22"/>
        <v>FRONTIER</v>
      </c>
    </row>
    <row r="1217" spans="1:9" x14ac:dyDescent="0.25">
      <c r="E1217" s="7"/>
      <c r="F1217" t="s">
        <v>20</v>
      </c>
      <c r="G1217" t="s">
        <v>21</v>
      </c>
      <c r="H1217" t="str">
        <f>"NOV 2019 3939456"</f>
        <v>NOV 2019 3939456</v>
      </c>
      <c r="I1217" t="str">
        <f t="shared" si="22"/>
        <v>FRONTIER</v>
      </c>
    </row>
    <row r="1218" spans="1:9" x14ac:dyDescent="0.25">
      <c r="E1218" s="7"/>
      <c r="F1218" t="s">
        <v>20</v>
      </c>
      <c r="G1218" t="s">
        <v>21</v>
      </c>
      <c r="H1218" t="str">
        <f>"NOV2019 8301970046"</f>
        <v>NOV2019 8301970046</v>
      </c>
      <c r="I1218" t="str">
        <f t="shared" si="22"/>
        <v>FRONTIER</v>
      </c>
    </row>
    <row r="1219" spans="1:9" x14ac:dyDescent="0.25">
      <c r="A1219" s="6">
        <v>43803</v>
      </c>
      <c r="B1219" t="s">
        <v>26</v>
      </c>
      <c r="C1219">
        <v>62712</v>
      </c>
      <c r="D1219" t="s">
        <v>345</v>
      </c>
      <c r="E1219" s="7">
        <v>275</v>
      </c>
      <c r="F1219" t="s">
        <v>20</v>
      </c>
      <c r="G1219" t="s">
        <v>21</v>
      </c>
      <c r="H1219" t="str">
        <f>"11/30/2019"</f>
        <v>11/30/2019</v>
      </c>
      <c r="I1219" t="str">
        <f>"MICHAEL ISAAC MARTINEZ"</f>
        <v>MICHAEL ISAAC MARTINEZ</v>
      </c>
    </row>
    <row r="1220" spans="1:9" x14ac:dyDescent="0.25">
      <c r="A1220" s="6">
        <v>43803</v>
      </c>
      <c r="B1220" t="s">
        <v>26</v>
      </c>
      <c r="C1220">
        <v>62713</v>
      </c>
      <c r="D1220" t="s">
        <v>452</v>
      </c>
      <c r="E1220" s="7">
        <v>70</v>
      </c>
      <c r="F1220" t="s">
        <v>20</v>
      </c>
      <c r="G1220" t="s">
        <v>21</v>
      </c>
      <c r="H1220" t="str">
        <f>"11/30/2019"</f>
        <v>11/30/2019</v>
      </c>
      <c r="I1220" t="str">
        <f>"DESIREE PEREZ"</f>
        <v>DESIREE PEREZ</v>
      </c>
    </row>
    <row r="1221" spans="1:9" x14ac:dyDescent="0.25">
      <c r="A1221" s="6">
        <v>43803</v>
      </c>
      <c r="B1221" t="s">
        <v>26</v>
      </c>
      <c r="C1221">
        <v>62714</v>
      </c>
      <c r="D1221" t="s">
        <v>346</v>
      </c>
      <c r="E1221" s="7">
        <v>13750</v>
      </c>
      <c r="F1221" t="s">
        <v>20</v>
      </c>
      <c r="G1221" t="s">
        <v>21</v>
      </c>
      <c r="H1221" t="str">
        <f>"10/11-11/11/2019"</f>
        <v>10/11-11/11/2019</v>
      </c>
      <c r="I1221" t="str">
        <f>"SYLVIA RODRIGUEZ"</f>
        <v>SYLVIA RODRIGUEZ</v>
      </c>
    </row>
    <row r="1222" spans="1:9" x14ac:dyDescent="0.25">
      <c r="A1222" s="6">
        <v>43803</v>
      </c>
      <c r="B1222" t="s">
        <v>26</v>
      </c>
      <c r="C1222">
        <v>62715</v>
      </c>
      <c r="D1222" t="s">
        <v>559</v>
      </c>
      <c r="E1222" s="7">
        <v>363.76</v>
      </c>
      <c r="F1222" t="s">
        <v>20</v>
      </c>
      <c r="G1222" t="s">
        <v>21</v>
      </c>
      <c r="H1222" t="str">
        <f>"67276 HOLD. EXTRV"</f>
        <v>67276 HOLD. EXTRV</v>
      </c>
      <c r="I1222" t="str">
        <f>"PAGE'S PRINTING"</f>
        <v>PAGE'S PRINTING</v>
      </c>
    </row>
    <row r="1223" spans="1:9" x14ac:dyDescent="0.25">
      <c r="A1223" s="6">
        <v>43803</v>
      </c>
      <c r="B1223" t="s">
        <v>26</v>
      </c>
      <c r="C1223">
        <v>62716</v>
      </c>
      <c r="D1223" t="s">
        <v>630</v>
      </c>
      <c r="E1223" s="7">
        <v>1459.34</v>
      </c>
      <c r="F1223" t="s">
        <v>20</v>
      </c>
      <c r="G1223" t="s">
        <v>21</v>
      </c>
      <c r="H1223" t="str">
        <f>"25846"</f>
        <v>25846</v>
      </c>
      <c r="I1223" t="str">
        <f>"EQUIPMENT FOR WATER METER"</f>
        <v>EQUIPMENT FOR WATER METER</v>
      </c>
    </row>
    <row r="1224" spans="1:9" x14ac:dyDescent="0.25">
      <c r="A1224" s="6">
        <v>43803</v>
      </c>
      <c r="B1224" t="s">
        <v>26</v>
      </c>
      <c r="C1224">
        <v>62717</v>
      </c>
      <c r="D1224" t="s">
        <v>696</v>
      </c>
      <c r="E1224" s="7">
        <v>70</v>
      </c>
      <c r="F1224" t="s">
        <v>20</v>
      </c>
      <c r="G1224" t="s">
        <v>21</v>
      </c>
      <c r="H1224" t="str">
        <f>"11/30/2019"</f>
        <v>11/30/2019</v>
      </c>
      <c r="I1224" t="str">
        <f>"ANGEL G. ROSAS"</f>
        <v>ANGEL G. ROSAS</v>
      </c>
    </row>
    <row r="1225" spans="1:9" x14ac:dyDescent="0.25">
      <c r="A1225" s="6">
        <v>43803</v>
      </c>
      <c r="B1225" t="s">
        <v>26</v>
      </c>
      <c r="C1225">
        <v>62718</v>
      </c>
      <c r="D1225" t="s">
        <v>752</v>
      </c>
      <c r="E1225" s="7">
        <v>70</v>
      </c>
      <c r="F1225" t="s">
        <v>20</v>
      </c>
      <c r="G1225" t="s">
        <v>21</v>
      </c>
      <c r="H1225" t="str">
        <f>"11/30/2019"</f>
        <v>11/30/2019</v>
      </c>
      <c r="I1225" t="str">
        <f>"BLANCA PEREZ"</f>
        <v>BLANCA PEREZ</v>
      </c>
    </row>
    <row r="1226" spans="1:9" x14ac:dyDescent="0.25">
      <c r="A1226" s="6">
        <v>43803</v>
      </c>
      <c r="B1226" t="s">
        <v>91</v>
      </c>
      <c r="C1226">
        <v>62719</v>
      </c>
      <c r="D1226" t="s">
        <v>90</v>
      </c>
      <c r="E1226" s="7">
        <v>840.88</v>
      </c>
      <c r="F1226" t="s">
        <v>20</v>
      </c>
      <c r="G1226" t="s">
        <v>21</v>
      </c>
      <c r="H1226" t="str">
        <f>"ACA201912038552"</f>
        <v>ACA201912038552</v>
      </c>
      <c r="I1226" t="str">
        <f>"AFLAC INSURANCE"</f>
        <v>AFLAC INSURANCE</v>
      </c>
    </row>
    <row r="1227" spans="1:9" x14ac:dyDescent="0.25">
      <c r="E1227" s="7"/>
      <c r="F1227" t="s">
        <v>20</v>
      </c>
      <c r="G1227" t="s">
        <v>21</v>
      </c>
      <c r="H1227" t="str">
        <f>"AD2201912038552"</f>
        <v>AD2201912038552</v>
      </c>
      <c r="I1227" t="str">
        <f>"AFLAC INSURANCE"</f>
        <v>AFLAC INSURANCE</v>
      </c>
    </row>
    <row r="1228" spans="1:9" x14ac:dyDescent="0.25">
      <c r="E1228" s="7"/>
      <c r="F1228" t="s">
        <v>20</v>
      </c>
      <c r="G1228" t="s">
        <v>21</v>
      </c>
      <c r="H1228" t="str">
        <f>"ADR201912038552"</f>
        <v>ADR201912038552</v>
      </c>
      <c r="I1228" t="str">
        <f>"INSURANCE"</f>
        <v>INSURANCE</v>
      </c>
    </row>
    <row r="1229" spans="1:9" x14ac:dyDescent="0.25">
      <c r="E1229" s="7"/>
      <c r="F1229" t="s">
        <v>20</v>
      </c>
      <c r="G1229" t="s">
        <v>21</v>
      </c>
      <c r="H1229" t="str">
        <f>"AF1201912038552"</f>
        <v>AF1201912038552</v>
      </c>
      <c r="I1229" t="str">
        <f>"AFLAC INSURANCE"</f>
        <v>AFLAC INSURANCE</v>
      </c>
    </row>
    <row r="1230" spans="1:9" x14ac:dyDescent="0.25">
      <c r="E1230" s="7"/>
      <c r="F1230" t="s">
        <v>20</v>
      </c>
      <c r="G1230" t="s">
        <v>21</v>
      </c>
      <c r="H1230" t="str">
        <f>"ASP201912038552"</f>
        <v>ASP201912038552</v>
      </c>
      <c r="I1230" t="str">
        <f>"AFLAC INSURANCE"</f>
        <v>AFLAC INSURANCE</v>
      </c>
    </row>
    <row r="1231" spans="1:9" x14ac:dyDescent="0.25">
      <c r="E1231" s="7"/>
      <c r="F1231" t="s">
        <v>20</v>
      </c>
      <c r="G1231" t="s">
        <v>21</v>
      </c>
      <c r="H1231" t="str">
        <f>"HCO201912038552"</f>
        <v>HCO201912038552</v>
      </c>
      <c r="I1231" t="str">
        <f>"AFLAC INSURANCE"</f>
        <v>AFLAC INSURANCE</v>
      </c>
    </row>
    <row r="1232" spans="1:9" x14ac:dyDescent="0.25">
      <c r="A1232" s="6">
        <v>43803</v>
      </c>
      <c r="B1232" t="s">
        <v>91</v>
      </c>
      <c r="C1232">
        <v>62719</v>
      </c>
      <c r="D1232" t="s">
        <v>90</v>
      </c>
      <c r="E1232" s="7">
        <v>840.88</v>
      </c>
      <c r="F1232" t="s">
        <v>20</v>
      </c>
      <c r="G1232" t="s">
        <v>93</v>
      </c>
      <c r="H1232" t="str">
        <f>"CHECK"</f>
        <v>CHECK</v>
      </c>
      <c r="I1232" t="str">
        <f>""</f>
        <v/>
      </c>
    </row>
    <row r="1233" spans="1:9" x14ac:dyDescent="0.25">
      <c r="A1233" s="6">
        <v>43803</v>
      </c>
      <c r="B1233" t="s">
        <v>26</v>
      </c>
      <c r="C1233">
        <v>62722</v>
      </c>
      <c r="D1233" t="s">
        <v>637</v>
      </c>
      <c r="E1233" s="7">
        <v>75</v>
      </c>
      <c r="F1233" t="s">
        <v>20</v>
      </c>
      <c r="G1233" t="s">
        <v>21</v>
      </c>
      <c r="H1233" t="str">
        <f>"DEC 2019-DEC.2019"</f>
        <v>DEC 2019-DEC.2019</v>
      </c>
      <c r="I1233" t="str">
        <f>""</f>
        <v/>
      </c>
    </row>
    <row r="1234" spans="1:9" x14ac:dyDescent="0.25">
      <c r="A1234" s="6">
        <v>43803</v>
      </c>
      <c r="B1234" t="s">
        <v>91</v>
      </c>
      <c r="C1234">
        <v>62723</v>
      </c>
      <c r="D1234" t="s">
        <v>92</v>
      </c>
      <c r="E1234" s="7">
        <v>21488.11</v>
      </c>
      <c r="F1234" t="s">
        <v>20</v>
      </c>
      <c r="G1234" t="s">
        <v>21</v>
      </c>
      <c r="H1234" t="str">
        <f>"RET201912038552"</f>
        <v>RET201912038552</v>
      </c>
      <c r="I1234" t="str">
        <f>"TMRS CITY OF FLORESVILLE"</f>
        <v>TMRS CITY OF FLORESVILLE</v>
      </c>
    </row>
    <row r="1235" spans="1:9" x14ac:dyDescent="0.25">
      <c r="A1235" s="6">
        <v>43803</v>
      </c>
      <c r="B1235" t="s">
        <v>91</v>
      </c>
      <c r="C1235">
        <v>62723</v>
      </c>
      <c r="D1235" t="s">
        <v>92</v>
      </c>
      <c r="E1235" s="7">
        <v>21488.11</v>
      </c>
      <c r="F1235" t="s">
        <v>20</v>
      </c>
      <c r="G1235" t="s">
        <v>93</v>
      </c>
      <c r="H1235" t="str">
        <f>"CHECK"</f>
        <v>CHECK</v>
      </c>
      <c r="I1235" t="str">
        <f>""</f>
        <v/>
      </c>
    </row>
    <row r="1236" spans="1:9" x14ac:dyDescent="0.25">
      <c r="A1236" s="6">
        <v>43803</v>
      </c>
      <c r="B1236" t="s">
        <v>91</v>
      </c>
      <c r="C1236">
        <v>62725</v>
      </c>
      <c r="D1236" t="s">
        <v>95</v>
      </c>
      <c r="E1236" s="7">
        <v>29.99</v>
      </c>
      <c r="F1236" t="s">
        <v>20</v>
      </c>
      <c r="G1236" t="s">
        <v>21</v>
      </c>
      <c r="H1236" t="str">
        <f>"LEA201912038552"</f>
        <v>LEA201912038552</v>
      </c>
      <c r="I1236" t="str">
        <f>"INSURANCE"</f>
        <v>INSURANCE</v>
      </c>
    </row>
    <row r="1237" spans="1:9" x14ac:dyDescent="0.25">
      <c r="A1237" s="6">
        <v>43803</v>
      </c>
      <c r="B1237" t="s">
        <v>91</v>
      </c>
      <c r="C1237">
        <v>62725</v>
      </c>
      <c r="D1237" t="s">
        <v>95</v>
      </c>
      <c r="E1237" s="7">
        <v>29.99</v>
      </c>
      <c r="F1237" t="s">
        <v>20</v>
      </c>
      <c r="G1237" t="s">
        <v>93</v>
      </c>
      <c r="H1237" t="str">
        <f>"CHECK"</f>
        <v>CHECK</v>
      </c>
      <c r="I1237" t="str">
        <f>""</f>
        <v/>
      </c>
    </row>
    <row r="1238" spans="1:9" x14ac:dyDescent="0.25">
      <c r="A1238" s="6">
        <v>43803</v>
      </c>
      <c r="B1238" t="s">
        <v>91</v>
      </c>
      <c r="C1238">
        <v>62726</v>
      </c>
      <c r="D1238" t="s">
        <v>96</v>
      </c>
      <c r="E1238" s="7">
        <v>163.24</v>
      </c>
      <c r="F1238" t="s">
        <v>20</v>
      </c>
      <c r="G1238" t="s">
        <v>21</v>
      </c>
      <c r="H1238" t="str">
        <f>"PPL201912038552"</f>
        <v>PPL201912038552</v>
      </c>
      <c r="I1238" t="str">
        <f>"INSURANCE"</f>
        <v>INSURANCE</v>
      </c>
    </row>
    <row r="1239" spans="1:9" x14ac:dyDescent="0.25">
      <c r="A1239" s="6">
        <v>43803</v>
      </c>
      <c r="B1239" t="s">
        <v>91</v>
      </c>
      <c r="C1239">
        <v>62726</v>
      </c>
      <c r="D1239" t="s">
        <v>96</v>
      </c>
      <c r="E1239" s="7">
        <v>163.24</v>
      </c>
      <c r="F1239" t="s">
        <v>20</v>
      </c>
      <c r="G1239" t="s">
        <v>93</v>
      </c>
      <c r="H1239" t="str">
        <f>"CHECK"</f>
        <v>CHECK</v>
      </c>
      <c r="I1239" t="str">
        <f>""</f>
        <v/>
      </c>
    </row>
    <row r="1240" spans="1:9" x14ac:dyDescent="0.25">
      <c r="A1240" s="6">
        <v>43803</v>
      </c>
      <c r="B1240" t="s">
        <v>26</v>
      </c>
      <c r="C1240">
        <v>62727</v>
      </c>
      <c r="D1240" t="s">
        <v>223</v>
      </c>
      <c r="E1240" s="7">
        <v>75</v>
      </c>
      <c r="F1240" t="s">
        <v>20</v>
      </c>
      <c r="G1240" t="s">
        <v>21</v>
      </c>
      <c r="H1240" t="str">
        <f>"DEC 2019-DEC. 2019"</f>
        <v>DEC 2019-DEC. 2019</v>
      </c>
      <c r="I1240" t="str">
        <f>""</f>
        <v/>
      </c>
    </row>
    <row r="1241" spans="1:9" x14ac:dyDescent="0.25">
      <c r="A1241" s="6">
        <v>43803</v>
      </c>
      <c r="B1241" t="s">
        <v>91</v>
      </c>
      <c r="C1241">
        <v>62728</v>
      </c>
      <c r="D1241" t="s">
        <v>97</v>
      </c>
      <c r="E1241" s="7">
        <v>35452.230000000003</v>
      </c>
      <c r="F1241" t="s">
        <v>20</v>
      </c>
      <c r="G1241" t="s">
        <v>21</v>
      </c>
      <c r="H1241" t="str">
        <f>"DEN201912038552"</f>
        <v>DEN201912038552</v>
      </c>
      <c r="I1241" t="str">
        <f>"DENTAL INSURANCE"</f>
        <v>DENTAL INSURANCE</v>
      </c>
    </row>
    <row r="1242" spans="1:9" x14ac:dyDescent="0.25">
      <c r="E1242" s="7"/>
      <c r="F1242" t="s">
        <v>20</v>
      </c>
      <c r="G1242" t="s">
        <v>21</v>
      </c>
      <c r="H1242" t="str">
        <f>"MED201912038552"</f>
        <v>MED201912038552</v>
      </c>
      <c r="I1242" t="str">
        <f>"HEALTH &amp; DENTAL INSURANCE"</f>
        <v>HEALTH &amp; DENTAL INSURANCE</v>
      </c>
    </row>
    <row r="1243" spans="1:9" x14ac:dyDescent="0.25">
      <c r="A1243" s="6">
        <v>43803</v>
      </c>
      <c r="B1243" t="s">
        <v>91</v>
      </c>
      <c r="C1243">
        <v>62728</v>
      </c>
      <c r="D1243" t="s">
        <v>97</v>
      </c>
      <c r="E1243" s="7">
        <v>35452.230000000003</v>
      </c>
      <c r="F1243" t="s">
        <v>20</v>
      </c>
      <c r="G1243" t="s">
        <v>93</v>
      </c>
      <c r="H1243" t="str">
        <f>"CHECK"</f>
        <v>CHECK</v>
      </c>
      <c r="I1243" t="str">
        <f>""</f>
        <v/>
      </c>
    </row>
    <row r="1244" spans="1:9" x14ac:dyDescent="0.25">
      <c r="A1244" s="6">
        <v>43803</v>
      </c>
      <c r="B1244" t="s">
        <v>91</v>
      </c>
      <c r="C1244">
        <v>62730</v>
      </c>
      <c r="D1244" t="s">
        <v>98</v>
      </c>
      <c r="E1244" s="7">
        <v>1922.94</v>
      </c>
      <c r="F1244" t="s">
        <v>20</v>
      </c>
      <c r="G1244" t="s">
        <v>21</v>
      </c>
      <c r="H1244" t="str">
        <f>"LIF201912038552"</f>
        <v>LIF201912038552</v>
      </c>
      <c r="I1244" t="str">
        <f>"INSURANCE"</f>
        <v>INSURANCE</v>
      </c>
    </row>
    <row r="1245" spans="1:9" x14ac:dyDescent="0.25">
      <c r="E1245" s="7"/>
      <c r="F1245" t="s">
        <v>20</v>
      </c>
      <c r="G1245" t="s">
        <v>21</v>
      </c>
      <c r="H1245" t="str">
        <f>"STD201912038552"</f>
        <v>STD201912038552</v>
      </c>
      <c r="I1245" t="str">
        <f>"SHORT TERM DISABILITY"</f>
        <v>SHORT TERM DISABILITY</v>
      </c>
    </row>
    <row r="1246" spans="1:9" x14ac:dyDescent="0.25">
      <c r="E1246" s="7"/>
      <c r="F1246" t="s">
        <v>20</v>
      </c>
      <c r="G1246" t="s">
        <v>21</v>
      </c>
      <c r="H1246" t="str">
        <f>"VIS201912038552"</f>
        <v>VIS201912038552</v>
      </c>
      <c r="I1246" t="str">
        <f>"VISION INSURANCE"</f>
        <v>VISION INSURANCE</v>
      </c>
    </row>
    <row r="1247" spans="1:9" x14ac:dyDescent="0.25">
      <c r="E1247" s="7"/>
      <c r="F1247" t="s">
        <v>20</v>
      </c>
      <c r="G1247" t="s">
        <v>21</v>
      </c>
      <c r="H1247" t="str">
        <f>"VLC201912038552"</f>
        <v>VLC201912038552</v>
      </c>
      <c r="I1247" t="str">
        <f>"CHILD LIFE INSURANCE"</f>
        <v>CHILD LIFE INSURANCE</v>
      </c>
    </row>
    <row r="1248" spans="1:9" x14ac:dyDescent="0.25">
      <c r="E1248" s="7"/>
      <c r="F1248" t="s">
        <v>20</v>
      </c>
      <c r="G1248" t="s">
        <v>21</v>
      </c>
      <c r="H1248" t="str">
        <f>"VLS201912038552"</f>
        <v>VLS201912038552</v>
      </c>
      <c r="I1248" t="str">
        <f>"SPOUSE LIFE"</f>
        <v>SPOUSE LIFE</v>
      </c>
    </row>
    <row r="1249" spans="1:9" x14ac:dyDescent="0.25">
      <c r="E1249" s="7"/>
      <c r="F1249" t="s">
        <v>20</v>
      </c>
      <c r="G1249" t="s">
        <v>21</v>
      </c>
      <c r="H1249" t="str">
        <f>"VOE201912038552"</f>
        <v>VOE201912038552</v>
      </c>
      <c r="I1249" t="str">
        <f>"EMPLOYEE LIFE"</f>
        <v>EMPLOYEE LIFE</v>
      </c>
    </row>
    <row r="1250" spans="1:9" x14ac:dyDescent="0.25">
      <c r="E1250" s="7"/>
      <c r="F1250" t="s">
        <v>20</v>
      </c>
      <c r="G1250" t="s">
        <v>21</v>
      </c>
      <c r="H1250" t="str">
        <f>"VOL201912038552"</f>
        <v>VOL201912038552</v>
      </c>
      <c r="I1250" t="str">
        <f>"LIFE"</f>
        <v>LIFE</v>
      </c>
    </row>
    <row r="1251" spans="1:9" x14ac:dyDescent="0.25">
      <c r="A1251" s="6">
        <v>43803</v>
      </c>
      <c r="B1251" t="s">
        <v>91</v>
      </c>
      <c r="C1251">
        <v>62730</v>
      </c>
      <c r="D1251" t="s">
        <v>98</v>
      </c>
      <c r="E1251" s="7">
        <v>1922.94</v>
      </c>
      <c r="F1251" t="s">
        <v>20</v>
      </c>
      <c r="G1251" t="s">
        <v>93</v>
      </c>
      <c r="H1251" t="str">
        <f>"CHECK"</f>
        <v>CHECK</v>
      </c>
      <c r="I1251" t="str">
        <f>""</f>
        <v/>
      </c>
    </row>
    <row r="1252" spans="1:9" x14ac:dyDescent="0.25">
      <c r="A1252" s="6">
        <v>43803</v>
      </c>
      <c r="B1252" t="s">
        <v>26</v>
      </c>
      <c r="C1252">
        <v>62735</v>
      </c>
      <c r="D1252" t="s">
        <v>36</v>
      </c>
      <c r="E1252" s="7">
        <v>75</v>
      </c>
      <c r="F1252" t="s">
        <v>20</v>
      </c>
      <c r="G1252" t="s">
        <v>21</v>
      </c>
      <c r="H1252" t="str">
        <f>"122019-DEC. 2019"</f>
        <v>122019-DEC. 2019</v>
      </c>
      <c r="I1252" t="str">
        <f>""</f>
        <v/>
      </c>
    </row>
    <row r="1253" spans="1:9" x14ac:dyDescent="0.25">
      <c r="A1253" s="6">
        <v>43803</v>
      </c>
      <c r="B1253" t="s">
        <v>26</v>
      </c>
      <c r="C1253">
        <v>62736</v>
      </c>
      <c r="D1253" t="s">
        <v>37</v>
      </c>
      <c r="E1253" s="7">
        <v>150</v>
      </c>
      <c r="F1253" t="s">
        <v>20</v>
      </c>
      <c r="G1253" t="s">
        <v>21</v>
      </c>
      <c r="H1253" t="str">
        <f>"122019-DEC. 2019"</f>
        <v>122019-DEC. 2019</v>
      </c>
      <c r="I1253" t="str">
        <f>""</f>
        <v/>
      </c>
    </row>
    <row r="1254" spans="1:9" x14ac:dyDescent="0.25">
      <c r="E1254" s="7"/>
      <c r="F1254" t="s">
        <v>20</v>
      </c>
      <c r="G1254" t="s">
        <v>21</v>
      </c>
      <c r="H1254" t="str">
        <f>"122019-REISSUE"</f>
        <v>122019-REISSUE</v>
      </c>
      <c r="I1254" t="str">
        <f>"REISSUE AUG. 2019"</f>
        <v>REISSUE AUG. 2019</v>
      </c>
    </row>
    <row r="1255" spans="1:9" x14ac:dyDescent="0.25">
      <c r="A1255" s="6">
        <v>43803</v>
      </c>
      <c r="B1255" t="s">
        <v>26</v>
      </c>
      <c r="C1255">
        <v>62737</v>
      </c>
      <c r="D1255" t="s">
        <v>38</v>
      </c>
      <c r="E1255" s="7">
        <v>100</v>
      </c>
      <c r="F1255" t="s">
        <v>20</v>
      </c>
      <c r="G1255" t="s">
        <v>21</v>
      </c>
      <c r="H1255" t="str">
        <f>"122019-DEC.2019"</f>
        <v>122019-DEC.2019</v>
      </c>
      <c r="I1255" t="str">
        <f>""</f>
        <v/>
      </c>
    </row>
    <row r="1256" spans="1:9" x14ac:dyDescent="0.25">
      <c r="A1256" s="6">
        <v>43803</v>
      </c>
      <c r="B1256" t="s">
        <v>26</v>
      </c>
      <c r="C1256">
        <v>62738</v>
      </c>
      <c r="D1256" t="s">
        <v>558</v>
      </c>
      <c r="E1256" s="7">
        <v>75</v>
      </c>
      <c r="F1256" t="s">
        <v>20</v>
      </c>
      <c r="G1256" t="s">
        <v>21</v>
      </c>
      <c r="H1256" t="str">
        <f>"DEC 2019-DEC. 2019"</f>
        <v>DEC 2019-DEC. 2019</v>
      </c>
      <c r="I1256" t="str">
        <f>""</f>
        <v/>
      </c>
    </row>
    <row r="1257" spans="1:9" x14ac:dyDescent="0.25">
      <c r="A1257" s="6">
        <v>43803</v>
      </c>
      <c r="B1257" t="s">
        <v>91</v>
      </c>
      <c r="C1257">
        <v>62739</v>
      </c>
      <c r="D1257" t="s">
        <v>637</v>
      </c>
      <c r="E1257" s="7">
        <v>75</v>
      </c>
      <c r="F1257" t="s">
        <v>20</v>
      </c>
      <c r="G1257" t="s">
        <v>21</v>
      </c>
      <c r="H1257" t="str">
        <f>"122019-DEC.2019"</f>
        <v>122019-DEC.2019</v>
      </c>
      <c r="I1257" t="str">
        <f>""</f>
        <v/>
      </c>
    </row>
    <row r="1258" spans="1:9" x14ac:dyDescent="0.25">
      <c r="A1258" s="6">
        <v>43803</v>
      </c>
      <c r="B1258" t="s">
        <v>91</v>
      </c>
      <c r="C1258">
        <v>62739</v>
      </c>
      <c r="D1258" t="s">
        <v>637</v>
      </c>
      <c r="E1258" s="7">
        <v>75</v>
      </c>
      <c r="F1258" t="s">
        <v>20</v>
      </c>
      <c r="G1258" t="s">
        <v>93</v>
      </c>
      <c r="H1258" t="str">
        <f>"CHECK"</f>
        <v>CHECK</v>
      </c>
      <c r="I1258" t="str">
        <f>""</f>
        <v/>
      </c>
    </row>
    <row r="1259" spans="1:9" x14ac:dyDescent="0.25">
      <c r="A1259" s="6">
        <v>43803</v>
      </c>
      <c r="B1259" t="s">
        <v>91</v>
      </c>
      <c r="C1259">
        <v>62740</v>
      </c>
      <c r="D1259" t="s">
        <v>223</v>
      </c>
      <c r="E1259" s="7">
        <v>75</v>
      </c>
      <c r="F1259" t="s">
        <v>20</v>
      </c>
      <c r="G1259" t="s">
        <v>21</v>
      </c>
      <c r="H1259" t="str">
        <f>"122019-DEC. 2019"</f>
        <v>122019-DEC. 2019</v>
      </c>
      <c r="I1259" t="str">
        <f>""</f>
        <v/>
      </c>
    </row>
    <row r="1260" spans="1:9" x14ac:dyDescent="0.25">
      <c r="A1260" s="6">
        <v>43803</v>
      </c>
      <c r="B1260" t="s">
        <v>91</v>
      </c>
      <c r="C1260">
        <v>62740</v>
      </c>
      <c r="D1260" t="s">
        <v>223</v>
      </c>
      <c r="E1260" s="7">
        <v>75</v>
      </c>
      <c r="F1260" t="s">
        <v>20</v>
      </c>
      <c r="G1260" t="s">
        <v>93</v>
      </c>
      <c r="H1260" t="str">
        <f>"CHECK"</f>
        <v>CHECK</v>
      </c>
      <c r="I1260" t="str">
        <f>""</f>
        <v/>
      </c>
    </row>
    <row r="1261" spans="1:9" x14ac:dyDescent="0.25">
      <c r="A1261" s="6">
        <v>43803</v>
      </c>
      <c r="B1261" t="s">
        <v>91</v>
      </c>
      <c r="C1261">
        <v>62741</v>
      </c>
      <c r="D1261" t="s">
        <v>36</v>
      </c>
      <c r="E1261" s="7">
        <v>75</v>
      </c>
      <c r="F1261" t="s">
        <v>20</v>
      </c>
      <c r="G1261" t="s">
        <v>21</v>
      </c>
      <c r="H1261" t="str">
        <f>"DEC 2019-DEC. 2019"</f>
        <v>DEC 2019-DEC. 2019</v>
      </c>
      <c r="I1261" t="str">
        <f>""</f>
        <v/>
      </c>
    </row>
    <row r="1262" spans="1:9" x14ac:dyDescent="0.25">
      <c r="A1262" s="6">
        <v>43803</v>
      </c>
      <c r="B1262" t="s">
        <v>91</v>
      </c>
      <c r="C1262">
        <v>62741</v>
      </c>
      <c r="D1262" t="s">
        <v>36</v>
      </c>
      <c r="E1262" s="7">
        <v>75</v>
      </c>
      <c r="F1262" t="s">
        <v>20</v>
      </c>
      <c r="G1262" t="s">
        <v>93</v>
      </c>
      <c r="H1262" t="str">
        <f>"CHECK"</f>
        <v>CHECK</v>
      </c>
      <c r="I1262" t="str">
        <f>""</f>
        <v/>
      </c>
    </row>
    <row r="1263" spans="1:9" x14ac:dyDescent="0.25">
      <c r="A1263" s="6">
        <v>43803</v>
      </c>
      <c r="B1263" t="s">
        <v>91</v>
      </c>
      <c r="C1263">
        <v>62742</v>
      </c>
      <c r="D1263" t="s">
        <v>37</v>
      </c>
      <c r="E1263" s="7">
        <v>150</v>
      </c>
      <c r="F1263" t="s">
        <v>20</v>
      </c>
      <c r="G1263" t="s">
        <v>21</v>
      </c>
      <c r="H1263" t="str">
        <f>"DEC 2019-DEC. 2019"</f>
        <v>DEC 2019-DEC. 2019</v>
      </c>
      <c r="I1263" t="str">
        <f>""</f>
        <v/>
      </c>
    </row>
    <row r="1264" spans="1:9" x14ac:dyDescent="0.25">
      <c r="E1264" s="7"/>
      <c r="F1264" t="s">
        <v>20</v>
      </c>
      <c r="G1264" t="s">
        <v>21</v>
      </c>
      <c r="H1264" t="str">
        <f>"DEC 2019-REISSUE"</f>
        <v>DEC 2019-REISSUE</v>
      </c>
      <c r="I1264" t="str">
        <f>"REISSUE AUG. 2019"</f>
        <v>REISSUE AUG. 2019</v>
      </c>
    </row>
    <row r="1265" spans="1:9" x14ac:dyDescent="0.25">
      <c r="A1265" s="6">
        <v>43803</v>
      </c>
      <c r="B1265" t="s">
        <v>91</v>
      </c>
      <c r="C1265">
        <v>62742</v>
      </c>
      <c r="D1265" t="s">
        <v>37</v>
      </c>
      <c r="E1265" s="7">
        <v>150</v>
      </c>
      <c r="F1265" t="s">
        <v>20</v>
      </c>
      <c r="G1265" t="s">
        <v>93</v>
      </c>
      <c r="H1265" t="str">
        <f>"CHECK"</f>
        <v>CHECK</v>
      </c>
      <c r="I1265" t="str">
        <f>""</f>
        <v/>
      </c>
    </row>
    <row r="1266" spans="1:9" x14ac:dyDescent="0.25">
      <c r="A1266" s="6">
        <v>43803</v>
      </c>
      <c r="B1266" t="s">
        <v>26</v>
      </c>
      <c r="C1266">
        <v>62743</v>
      </c>
      <c r="D1266" t="s">
        <v>436</v>
      </c>
      <c r="E1266" s="7">
        <v>2780</v>
      </c>
      <c r="F1266" t="s">
        <v>20</v>
      </c>
      <c r="G1266" t="s">
        <v>21</v>
      </c>
      <c r="H1266" t="str">
        <f>"HOL. EXT. DEC2019"</f>
        <v>HOL. EXT. DEC2019</v>
      </c>
      <c r="I1266" t="str">
        <f>"UNIVISION RECEIVABLES CO LLC"</f>
        <v>UNIVISION RECEIVABLES CO LLC</v>
      </c>
    </row>
    <row r="1267" spans="1:9" x14ac:dyDescent="0.25">
      <c r="A1267" s="6">
        <v>43803</v>
      </c>
      <c r="B1267" t="s">
        <v>91</v>
      </c>
      <c r="C1267">
        <v>62744</v>
      </c>
      <c r="D1267" t="s">
        <v>38</v>
      </c>
      <c r="E1267" s="7">
        <v>100</v>
      </c>
      <c r="F1267" t="s">
        <v>20</v>
      </c>
      <c r="G1267" t="s">
        <v>21</v>
      </c>
      <c r="H1267" t="str">
        <f>"DEC 2019-DEC.2019"</f>
        <v>DEC 2019-DEC.2019</v>
      </c>
      <c r="I1267" t="str">
        <f>""</f>
        <v/>
      </c>
    </row>
    <row r="1268" spans="1:9" x14ac:dyDescent="0.25">
      <c r="A1268" s="6">
        <v>43803</v>
      </c>
      <c r="B1268" t="s">
        <v>91</v>
      </c>
      <c r="C1268">
        <v>62744</v>
      </c>
      <c r="D1268" t="s">
        <v>38</v>
      </c>
      <c r="E1268" s="7">
        <v>100</v>
      </c>
      <c r="F1268" t="s">
        <v>20</v>
      </c>
      <c r="G1268" t="s">
        <v>93</v>
      </c>
      <c r="H1268" t="str">
        <f>"CHECK"</f>
        <v>CHECK</v>
      </c>
      <c r="I1268" t="str">
        <f>""</f>
        <v/>
      </c>
    </row>
    <row r="1269" spans="1:9" x14ac:dyDescent="0.25">
      <c r="A1269" s="6">
        <v>43803</v>
      </c>
      <c r="B1269" t="s">
        <v>91</v>
      </c>
      <c r="C1269">
        <v>62745</v>
      </c>
      <c r="D1269" t="s">
        <v>558</v>
      </c>
      <c r="E1269" s="7">
        <v>75</v>
      </c>
      <c r="F1269" t="s">
        <v>20</v>
      </c>
      <c r="G1269" t="s">
        <v>21</v>
      </c>
      <c r="H1269" t="str">
        <f>"122019-DEC. 2019"</f>
        <v>122019-DEC. 2019</v>
      </c>
      <c r="I1269" t="str">
        <f>""</f>
        <v/>
      </c>
    </row>
    <row r="1270" spans="1:9" x14ac:dyDescent="0.25">
      <c r="A1270" s="6">
        <v>43803</v>
      </c>
      <c r="B1270" t="s">
        <v>91</v>
      </c>
      <c r="C1270">
        <v>62745</v>
      </c>
      <c r="D1270" t="s">
        <v>558</v>
      </c>
      <c r="E1270" s="7">
        <v>75</v>
      </c>
      <c r="F1270" t="s">
        <v>20</v>
      </c>
      <c r="G1270" t="s">
        <v>93</v>
      </c>
      <c r="H1270" t="str">
        <f>"CHECK"</f>
        <v>CHECK</v>
      </c>
      <c r="I1270" t="str">
        <f>""</f>
        <v/>
      </c>
    </row>
    <row r="1271" spans="1:9" x14ac:dyDescent="0.25">
      <c r="A1271" s="6">
        <v>43803</v>
      </c>
      <c r="B1271" t="s">
        <v>26</v>
      </c>
      <c r="C1271">
        <v>62746</v>
      </c>
      <c r="D1271" t="s">
        <v>854</v>
      </c>
      <c r="E1271" s="7">
        <v>303789.48</v>
      </c>
      <c r="F1271" t="s">
        <v>20</v>
      </c>
      <c r="G1271" t="s">
        <v>21</v>
      </c>
      <c r="H1271" t="str">
        <f>"18-1003-11"</f>
        <v>18-1003-11</v>
      </c>
      <c r="I1271" t="str">
        <f>"ALL IN CONSTRUCTION LLC"</f>
        <v>ALL IN CONSTRUCTION LLC</v>
      </c>
    </row>
    <row r="1272" spans="1:9" x14ac:dyDescent="0.25">
      <c r="A1272" s="6">
        <v>43804</v>
      </c>
      <c r="B1272" t="s">
        <v>26</v>
      </c>
      <c r="C1272">
        <v>62747</v>
      </c>
      <c r="D1272" t="s">
        <v>558</v>
      </c>
      <c r="E1272" s="7">
        <v>61.46</v>
      </c>
      <c r="F1272" t="s">
        <v>20</v>
      </c>
      <c r="G1272" t="s">
        <v>21</v>
      </c>
      <c r="H1272" t="str">
        <f>"REISSUE NLC SUMIT"</f>
        <v>REISSUE NLC SUMIT</v>
      </c>
      <c r="I1272" t="str">
        <f>"MARISSA XIMENEZ"</f>
        <v>MARISSA XIMENEZ</v>
      </c>
    </row>
    <row r="1273" spans="1:9" x14ac:dyDescent="0.25">
      <c r="A1273" s="6">
        <v>43810</v>
      </c>
      <c r="B1273" t="s">
        <v>26</v>
      </c>
      <c r="C1273">
        <v>62748</v>
      </c>
      <c r="D1273" t="s">
        <v>855</v>
      </c>
      <c r="E1273" s="7">
        <v>125</v>
      </c>
      <c r="F1273" t="s">
        <v>20</v>
      </c>
      <c r="G1273" t="s">
        <v>21</v>
      </c>
      <c r="H1273" t="str">
        <f>"000201912108553"</f>
        <v>000201912108553</v>
      </c>
      <c r="I1273" t="str">
        <f>"BP REFUND"</f>
        <v>BP REFUND</v>
      </c>
    </row>
    <row r="1274" spans="1:9" x14ac:dyDescent="0.25">
      <c r="A1274" s="6">
        <v>43810</v>
      </c>
      <c r="B1274" t="s">
        <v>26</v>
      </c>
      <c r="C1274">
        <v>62749</v>
      </c>
      <c r="D1274" t="s">
        <v>856</v>
      </c>
      <c r="E1274" s="7">
        <v>125</v>
      </c>
      <c r="F1274" t="s">
        <v>20</v>
      </c>
      <c r="G1274" t="s">
        <v>21</v>
      </c>
      <c r="H1274" t="str">
        <f>"000201912108554"</f>
        <v>000201912108554</v>
      </c>
      <c r="I1274" t="str">
        <f>"BP REFUND"</f>
        <v>BP REFUND</v>
      </c>
    </row>
    <row r="1275" spans="1:9" x14ac:dyDescent="0.25">
      <c r="A1275" s="6">
        <v>43810</v>
      </c>
      <c r="B1275" t="s">
        <v>26</v>
      </c>
      <c r="C1275">
        <v>62750</v>
      </c>
      <c r="D1275" t="s">
        <v>856</v>
      </c>
      <c r="E1275" s="7">
        <v>125</v>
      </c>
      <c r="F1275" t="s">
        <v>20</v>
      </c>
      <c r="G1275" t="s">
        <v>21</v>
      </c>
      <c r="H1275" t="str">
        <f>"000201912108555"</f>
        <v>000201912108555</v>
      </c>
      <c r="I1275" t="str">
        <f>"BP REFUND"</f>
        <v>BP REFUND</v>
      </c>
    </row>
    <row r="1276" spans="1:9" x14ac:dyDescent="0.25">
      <c r="A1276" s="6">
        <v>43810</v>
      </c>
      <c r="B1276" t="s">
        <v>26</v>
      </c>
      <c r="C1276">
        <v>62751</v>
      </c>
      <c r="D1276" t="s">
        <v>856</v>
      </c>
      <c r="E1276" s="7">
        <v>125</v>
      </c>
      <c r="F1276" t="s">
        <v>20</v>
      </c>
      <c r="G1276" t="s">
        <v>21</v>
      </c>
      <c r="H1276" t="str">
        <f>"000201912108556"</f>
        <v>000201912108556</v>
      </c>
      <c r="I1276" t="str">
        <f>"BP REFUND"</f>
        <v>BP REFUND</v>
      </c>
    </row>
    <row r="1277" spans="1:9" x14ac:dyDescent="0.25">
      <c r="A1277" s="6">
        <v>43810</v>
      </c>
      <c r="B1277" t="s">
        <v>26</v>
      </c>
      <c r="C1277">
        <v>62752</v>
      </c>
      <c r="D1277" t="s">
        <v>857</v>
      </c>
      <c r="E1277" s="7">
        <v>125</v>
      </c>
      <c r="F1277" t="s">
        <v>20</v>
      </c>
      <c r="G1277" t="s">
        <v>21</v>
      </c>
      <c r="H1277" t="str">
        <f>"000201912108557"</f>
        <v>000201912108557</v>
      </c>
      <c r="I1277" t="str">
        <f>"BP REFUND"</f>
        <v>BP REFUND</v>
      </c>
    </row>
    <row r="1278" spans="1:9" x14ac:dyDescent="0.25">
      <c r="A1278" s="6">
        <v>43810</v>
      </c>
      <c r="B1278" t="s">
        <v>26</v>
      </c>
      <c r="C1278">
        <v>62753</v>
      </c>
      <c r="D1278" t="s">
        <v>57</v>
      </c>
      <c r="E1278" s="7">
        <v>8412.82</v>
      </c>
      <c r="F1278" t="s">
        <v>20</v>
      </c>
      <c r="G1278" t="s">
        <v>21</v>
      </c>
      <c r="H1278" t="str">
        <f>"11617 DEC 2019"</f>
        <v>11617 DEC 2019</v>
      </c>
      <c r="I1278" t="str">
        <f>"F.E.L.P.S."</f>
        <v>F.E.L.P.S.</v>
      </c>
    </row>
    <row r="1279" spans="1:9" x14ac:dyDescent="0.25">
      <c r="E1279" s="7"/>
      <c r="F1279" t="s">
        <v>20</v>
      </c>
      <c r="G1279" t="s">
        <v>21</v>
      </c>
      <c r="H1279" t="str">
        <f>"33062 DEC 2019"</f>
        <v>33062 DEC 2019</v>
      </c>
      <c r="I1279" t="str">
        <f>"F.E.L.P.S."</f>
        <v>F.E.L.P.S.</v>
      </c>
    </row>
    <row r="1280" spans="1:9" x14ac:dyDescent="0.25">
      <c r="A1280" s="6">
        <v>43810</v>
      </c>
      <c r="B1280" t="s">
        <v>26</v>
      </c>
      <c r="C1280">
        <v>62754</v>
      </c>
      <c r="D1280" t="s">
        <v>58</v>
      </c>
      <c r="E1280" s="7">
        <v>112.54</v>
      </c>
      <c r="F1280" t="s">
        <v>20</v>
      </c>
      <c r="G1280" t="s">
        <v>21</v>
      </c>
      <c r="H1280" t="str">
        <f>"581949"</f>
        <v>581949</v>
      </c>
      <c r="I1280" t="str">
        <f>"DEASON ANIMAL HOSPITAL"</f>
        <v>DEASON ANIMAL HOSPITAL</v>
      </c>
    </row>
    <row r="1281" spans="1:9" x14ac:dyDescent="0.25">
      <c r="E1281" s="7"/>
      <c r="F1281" t="s">
        <v>20</v>
      </c>
      <c r="G1281" t="s">
        <v>21</v>
      </c>
      <c r="H1281" t="str">
        <f>"582985"</f>
        <v>582985</v>
      </c>
      <c r="I1281" t="str">
        <f>"DEASON ANIMAL HOSPITAL"</f>
        <v>DEASON ANIMAL HOSPITAL</v>
      </c>
    </row>
    <row r="1282" spans="1:9" x14ac:dyDescent="0.25">
      <c r="A1282" s="6">
        <v>43810</v>
      </c>
      <c r="B1282" t="s">
        <v>26</v>
      </c>
      <c r="C1282">
        <v>62755</v>
      </c>
      <c r="D1282" t="s">
        <v>104</v>
      </c>
      <c r="E1282" s="7">
        <v>468.24</v>
      </c>
      <c r="F1282" t="s">
        <v>20</v>
      </c>
      <c r="G1282" t="s">
        <v>21</v>
      </c>
      <c r="H1282" t="str">
        <f>"137921009"</f>
        <v>137921009</v>
      </c>
      <c r="I1282" t="str">
        <f>"WILSON COUNTY NEWS"</f>
        <v>WILSON COUNTY NEWS</v>
      </c>
    </row>
    <row r="1283" spans="1:9" x14ac:dyDescent="0.25">
      <c r="E1283" s="7"/>
      <c r="F1283" t="s">
        <v>20</v>
      </c>
      <c r="G1283" t="s">
        <v>21</v>
      </c>
      <c r="H1283" t="str">
        <f>"1402671106"</f>
        <v>1402671106</v>
      </c>
      <c r="I1283" t="str">
        <f>"WILSON COUNTY NEWS"</f>
        <v>WILSON COUNTY NEWS</v>
      </c>
    </row>
    <row r="1284" spans="1:9" x14ac:dyDescent="0.25">
      <c r="E1284" s="7"/>
      <c r="F1284" t="s">
        <v>20</v>
      </c>
      <c r="G1284" t="s">
        <v>21</v>
      </c>
      <c r="H1284" t="str">
        <f>"1404801106"</f>
        <v>1404801106</v>
      </c>
      <c r="I1284" t="str">
        <f>"WILSON COUNTY NEWS"</f>
        <v>WILSON COUNTY NEWS</v>
      </c>
    </row>
    <row r="1285" spans="1:9" x14ac:dyDescent="0.25">
      <c r="E1285" s="7"/>
      <c r="F1285" t="s">
        <v>20</v>
      </c>
      <c r="G1285" t="s">
        <v>21</v>
      </c>
      <c r="H1285" t="str">
        <f>"1406341127"</f>
        <v>1406341127</v>
      </c>
      <c r="I1285" t="str">
        <f>"WILSON COUNTY NEWS"</f>
        <v>WILSON COUNTY NEWS</v>
      </c>
    </row>
    <row r="1286" spans="1:9" x14ac:dyDescent="0.25">
      <c r="A1286" s="6">
        <v>43810</v>
      </c>
      <c r="B1286" t="s">
        <v>26</v>
      </c>
      <c r="C1286">
        <v>62756</v>
      </c>
      <c r="D1286" t="s">
        <v>59</v>
      </c>
      <c r="E1286" s="7">
        <v>1291.73</v>
      </c>
      <c r="F1286" t="s">
        <v>20</v>
      </c>
      <c r="G1286" t="s">
        <v>21</v>
      </c>
      <c r="H1286" t="str">
        <f>"1041642"</f>
        <v>1041642</v>
      </c>
      <c r="I1286" t="str">
        <f>"SAFETY JACKETS"</f>
        <v>SAFETY JACKETS</v>
      </c>
    </row>
    <row r="1287" spans="1:9" x14ac:dyDescent="0.25">
      <c r="E1287" s="7"/>
      <c r="F1287" t="s">
        <v>20</v>
      </c>
      <c r="G1287" t="s">
        <v>21</v>
      </c>
      <c r="H1287" t="str">
        <f>"1042891"</f>
        <v>1042891</v>
      </c>
      <c r="I1287" t="str">
        <f>"EMERGENCY PO"</f>
        <v>EMERGENCY PO</v>
      </c>
    </row>
    <row r="1288" spans="1:9" x14ac:dyDescent="0.25">
      <c r="E1288" s="7"/>
      <c r="F1288" t="s">
        <v>20</v>
      </c>
      <c r="G1288" t="s">
        <v>21</v>
      </c>
      <c r="H1288" t="str">
        <f>"1043581"</f>
        <v>1043581</v>
      </c>
      <c r="I1288" t="str">
        <f>"MISC STOCK"</f>
        <v>MISC STOCK</v>
      </c>
    </row>
    <row r="1289" spans="1:9" x14ac:dyDescent="0.25">
      <c r="A1289" s="6">
        <v>43810</v>
      </c>
      <c r="B1289" t="s">
        <v>26</v>
      </c>
      <c r="C1289">
        <v>62757</v>
      </c>
      <c r="D1289" t="s">
        <v>691</v>
      </c>
      <c r="E1289" s="7">
        <v>60</v>
      </c>
      <c r="F1289" t="s">
        <v>20</v>
      </c>
      <c r="G1289" t="s">
        <v>21</v>
      </c>
      <c r="H1289" t="str">
        <f>"MEMSHIP RENEWAL"</f>
        <v>MEMSHIP RENEWAL</v>
      </c>
      <c r="I1289" t="str">
        <f>"TEXAS WATER UTILITIES ASSOCIAT"</f>
        <v>TEXAS WATER UTILITIES ASSOCIAT</v>
      </c>
    </row>
    <row r="1290" spans="1:9" x14ac:dyDescent="0.25">
      <c r="A1290" s="6">
        <v>43810</v>
      </c>
      <c r="B1290" t="s">
        <v>26</v>
      </c>
      <c r="C1290">
        <v>62758</v>
      </c>
      <c r="D1290" t="s">
        <v>619</v>
      </c>
      <c r="E1290" s="7">
        <v>2175.63</v>
      </c>
      <c r="F1290" t="s">
        <v>20</v>
      </c>
      <c r="G1290" t="s">
        <v>21</v>
      </c>
      <c r="H1290" t="str">
        <f>"299310"</f>
        <v>299310</v>
      </c>
      <c r="I1290" t="str">
        <f>"DE LA GARZA FENCE CO.  INC"</f>
        <v>DE LA GARZA FENCE CO.  INC</v>
      </c>
    </row>
    <row r="1291" spans="1:9" x14ac:dyDescent="0.25">
      <c r="A1291" s="6">
        <v>43810</v>
      </c>
      <c r="B1291" t="s">
        <v>26</v>
      </c>
      <c r="C1291">
        <v>62759</v>
      </c>
      <c r="D1291" t="s">
        <v>250</v>
      </c>
      <c r="E1291" s="7">
        <v>167.14</v>
      </c>
      <c r="F1291" t="s">
        <v>20</v>
      </c>
      <c r="G1291" t="s">
        <v>21</v>
      </c>
      <c r="H1291" t="str">
        <f>"C132256"</f>
        <v>C132256</v>
      </c>
      <c r="I1291" t="str">
        <f>"CLEANING SUPPLIES"</f>
        <v>CLEANING SUPPLIES</v>
      </c>
    </row>
    <row r="1292" spans="1:9" x14ac:dyDescent="0.25">
      <c r="A1292" s="6">
        <v>43810</v>
      </c>
      <c r="B1292" t="s">
        <v>26</v>
      </c>
      <c r="C1292">
        <v>62760</v>
      </c>
      <c r="D1292" t="s">
        <v>202</v>
      </c>
      <c r="E1292" s="7">
        <v>2724.73</v>
      </c>
      <c r="F1292" t="s">
        <v>20</v>
      </c>
      <c r="G1292" t="s">
        <v>21</v>
      </c>
      <c r="H1292" t="str">
        <f>"62015239"</f>
        <v>62015239</v>
      </c>
      <c r="I1292" t="str">
        <f>"HOT MIX - PARKING LOT"</f>
        <v>HOT MIX - PARKING LOT</v>
      </c>
    </row>
    <row r="1293" spans="1:9" x14ac:dyDescent="0.25">
      <c r="E1293" s="7"/>
      <c r="F1293" t="s">
        <v>20</v>
      </c>
      <c r="G1293" t="s">
        <v>21</v>
      </c>
      <c r="H1293" t="str">
        <f>"62015240"</f>
        <v>62015240</v>
      </c>
      <c r="I1293" t="str">
        <f>"3 TRUCKS OF A-2 BASE"</f>
        <v>3 TRUCKS OF A-2 BASE</v>
      </c>
    </row>
    <row r="1294" spans="1:9" x14ac:dyDescent="0.25">
      <c r="A1294" s="6">
        <v>43810</v>
      </c>
      <c r="B1294" t="s">
        <v>26</v>
      </c>
      <c r="C1294">
        <v>62761</v>
      </c>
      <c r="D1294" t="s">
        <v>179</v>
      </c>
      <c r="E1294" s="7">
        <v>89.77</v>
      </c>
      <c r="F1294" t="s">
        <v>20</v>
      </c>
      <c r="G1294" t="s">
        <v>21</v>
      </c>
      <c r="H1294" t="str">
        <f>"59004"</f>
        <v>59004</v>
      </c>
      <c r="I1294" t="str">
        <f>"PARKS UNIT 502 REPAIR"</f>
        <v>PARKS UNIT 502 REPAIR</v>
      </c>
    </row>
    <row r="1295" spans="1:9" x14ac:dyDescent="0.25">
      <c r="A1295" s="6">
        <v>43810</v>
      </c>
      <c r="B1295" t="s">
        <v>26</v>
      </c>
      <c r="C1295">
        <v>62762</v>
      </c>
      <c r="D1295" t="s">
        <v>110</v>
      </c>
      <c r="E1295" s="7">
        <v>8628.24</v>
      </c>
      <c r="F1295" t="s">
        <v>20</v>
      </c>
      <c r="G1295" t="s">
        <v>21</v>
      </c>
      <c r="H1295" t="str">
        <f>"1504129"</f>
        <v>1504129</v>
      </c>
      <c r="I1295" t="str">
        <f t="shared" ref="I1295:I1303" si="23">"BUREAU VERITAS NORTH AMERICA"</f>
        <v>BUREAU VERITAS NORTH AMERICA</v>
      </c>
    </row>
    <row r="1296" spans="1:9" x14ac:dyDescent="0.25">
      <c r="E1296" s="7"/>
      <c r="F1296" t="s">
        <v>20</v>
      </c>
      <c r="G1296" t="s">
        <v>21</v>
      </c>
      <c r="H1296" t="str">
        <f>"1504131"</f>
        <v>1504131</v>
      </c>
      <c r="I1296" t="str">
        <f t="shared" si="23"/>
        <v>BUREAU VERITAS NORTH AMERICA</v>
      </c>
    </row>
    <row r="1297" spans="1:9" x14ac:dyDescent="0.25">
      <c r="E1297" s="7"/>
      <c r="F1297" t="s">
        <v>20</v>
      </c>
      <c r="G1297" t="s">
        <v>21</v>
      </c>
      <c r="H1297" t="str">
        <f>"1504133"</f>
        <v>1504133</v>
      </c>
      <c r="I1297" t="str">
        <f t="shared" si="23"/>
        <v>BUREAU VERITAS NORTH AMERICA</v>
      </c>
    </row>
    <row r="1298" spans="1:9" x14ac:dyDescent="0.25">
      <c r="E1298" s="7"/>
      <c r="F1298" t="s">
        <v>20</v>
      </c>
      <c r="G1298" t="s">
        <v>21</v>
      </c>
      <c r="H1298" t="str">
        <f>"1504135"</f>
        <v>1504135</v>
      </c>
      <c r="I1298" t="str">
        <f t="shared" si="23"/>
        <v>BUREAU VERITAS NORTH AMERICA</v>
      </c>
    </row>
    <row r="1299" spans="1:9" x14ac:dyDescent="0.25">
      <c r="E1299" s="7"/>
      <c r="F1299" t="s">
        <v>20</v>
      </c>
      <c r="G1299" t="s">
        <v>21</v>
      </c>
      <c r="H1299" t="str">
        <f>"1504137"</f>
        <v>1504137</v>
      </c>
      <c r="I1299" t="str">
        <f t="shared" si="23"/>
        <v>BUREAU VERITAS NORTH AMERICA</v>
      </c>
    </row>
    <row r="1300" spans="1:9" x14ac:dyDescent="0.25">
      <c r="E1300" s="7"/>
      <c r="F1300" t="s">
        <v>20</v>
      </c>
      <c r="G1300" t="s">
        <v>21</v>
      </c>
      <c r="H1300" t="str">
        <f>"1504139"</f>
        <v>1504139</v>
      </c>
      <c r="I1300" t="str">
        <f t="shared" si="23"/>
        <v>BUREAU VERITAS NORTH AMERICA</v>
      </c>
    </row>
    <row r="1301" spans="1:9" x14ac:dyDescent="0.25">
      <c r="E1301" s="7"/>
      <c r="F1301" t="s">
        <v>20</v>
      </c>
      <c r="G1301" t="s">
        <v>21</v>
      </c>
      <c r="H1301" t="str">
        <f>"1504140"</f>
        <v>1504140</v>
      </c>
      <c r="I1301" t="str">
        <f t="shared" si="23"/>
        <v>BUREAU VERITAS NORTH AMERICA</v>
      </c>
    </row>
    <row r="1302" spans="1:9" x14ac:dyDescent="0.25">
      <c r="E1302" s="7"/>
      <c r="F1302" t="s">
        <v>20</v>
      </c>
      <c r="G1302" t="s">
        <v>21</v>
      </c>
      <c r="H1302" t="str">
        <f>"1504871"</f>
        <v>1504871</v>
      </c>
      <c r="I1302" t="str">
        <f t="shared" si="23"/>
        <v>BUREAU VERITAS NORTH AMERICA</v>
      </c>
    </row>
    <row r="1303" spans="1:9" x14ac:dyDescent="0.25">
      <c r="E1303" s="7"/>
      <c r="F1303" t="s">
        <v>20</v>
      </c>
      <c r="G1303" t="s">
        <v>21</v>
      </c>
      <c r="H1303" t="str">
        <f>"1504872"</f>
        <v>1504872</v>
      </c>
      <c r="I1303" t="str">
        <f t="shared" si="23"/>
        <v>BUREAU VERITAS NORTH AMERICA</v>
      </c>
    </row>
    <row r="1304" spans="1:9" x14ac:dyDescent="0.25">
      <c r="A1304" s="6">
        <v>43810</v>
      </c>
      <c r="B1304" t="s">
        <v>26</v>
      </c>
      <c r="C1304">
        <v>62764</v>
      </c>
      <c r="D1304" t="s">
        <v>604</v>
      </c>
      <c r="E1304" s="7">
        <v>50</v>
      </c>
      <c r="F1304" t="s">
        <v>20</v>
      </c>
      <c r="G1304" t="s">
        <v>21</v>
      </c>
      <c r="H1304" t="str">
        <f>"DPST RFND 12/6/19"</f>
        <v>DPST RFND 12/6/19</v>
      </c>
      <c r="I1304" t="str">
        <f>"REFUND"</f>
        <v>REFUND</v>
      </c>
    </row>
    <row r="1305" spans="1:9" x14ac:dyDescent="0.25">
      <c r="A1305" s="6">
        <v>43810</v>
      </c>
      <c r="B1305" t="s">
        <v>26</v>
      </c>
      <c r="C1305">
        <v>62765</v>
      </c>
      <c r="D1305" t="s">
        <v>184</v>
      </c>
      <c r="E1305" s="7">
        <v>1102</v>
      </c>
      <c r="F1305" t="s">
        <v>20</v>
      </c>
      <c r="G1305" t="s">
        <v>21</v>
      </c>
      <c r="H1305" t="str">
        <f>"1056-814"</f>
        <v>1056-814</v>
      </c>
      <c r="I1305" t="str">
        <f>"POLLUTION CONTROL SERVICES"</f>
        <v>POLLUTION CONTROL SERVICES</v>
      </c>
    </row>
    <row r="1306" spans="1:9" x14ac:dyDescent="0.25">
      <c r="E1306" s="7"/>
      <c r="F1306" t="s">
        <v>20</v>
      </c>
      <c r="G1306" t="s">
        <v>21</v>
      </c>
      <c r="H1306" t="str">
        <f>"1056-815"</f>
        <v>1056-815</v>
      </c>
      <c r="I1306" t="str">
        <f>"POLLUTION CONTROL SERVICES"</f>
        <v>POLLUTION CONTROL SERVICES</v>
      </c>
    </row>
    <row r="1307" spans="1:9" x14ac:dyDescent="0.25">
      <c r="A1307" s="6">
        <v>43810</v>
      </c>
      <c r="B1307" t="s">
        <v>26</v>
      </c>
      <c r="C1307">
        <v>62766</v>
      </c>
      <c r="D1307" t="s">
        <v>62</v>
      </c>
      <c r="E1307" s="7">
        <v>210</v>
      </c>
      <c r="F1307" t="s">
        <v>20</v>
      </c>
      <c r="G1307" t="s">
        <v>21</v>
      </c>
      <c r="H1307" t="str">
        <f>"66227"</f>
        <v>66227</v>
      </c>
      <c r="I1307" t="str">
        <f>"PROFICIENT BENEFIT SOLUTIONS"</f>
        <v>PROFICIENT BENEFIT SOLUTIONS</v>
      </c>
    </row>
    <row r="1308" spans="1:9" x14ac:dyDescent="0.25">
      <c r="A1308" s="6">
        <v>43810</v>
      </c>
      <c r="B1308" t="s">
        <v>26</v>
      </c>
      <c r="C1308">
        <v>62767</v>
      </c>
      <c r="D1308" t="s">
        <v>115</v>
      </c>
      <c r="E1308" s="7">
        <v>483.94</v>
      </c>
      <c r="F1308" t="s">
        <v>20</v>
      </c>
      <c r="G1308" t="s">
        <v>21</v>
      </c>
      <c r="H1308" t="str">
        <f>"3547558438"</f>
        <v>3547558438</v>
      </c>
      <c r="I1308" t="str">
        <f>"PD UNIT 332 REPAIR"</f>
        <v>PD UNIT 332 REPAIR</v>
      </c>
    </row>
    <row r="1309" spans="1:9" x14ac:dyDescent="0.25">
      <c r="E1309" s="7"/>
      <c r="F1309" t="s">
        <v>20</v>
      </c>
      <c r="G1309" t="s">
        <v>21</v>
      </c>
      <c r="H1309" t="str">
        <f>"3547560640"</f>
        <v>3547560640</v>
      </c>
      <c r="I1309" t="str">
        <f>"GREASE GUN"</f>
        <v>GREASE GUN</v>
      </c>
    </row>
    <row r="1310" spans="1:9" x14ac:dyDescent="0.25">
      <c r="E1310" s="7"/>
      <c r="F1310" t="s">
        <v>20</v>
      </c>
      <c r="G1310" t="s">
        <v>21</v>
      </c>
      <c r="H1310" t="str">
        <f>"3547565545"</f>
        <v>3547565545</v>
      </c>
      <c r="I1310" t="str">
        <f>"BATTERY"</f>
        <v>BATTERY</v>
      </c>
    </row>
    <row r="1311" spans="1:9" x14ac:dyDescent="0.25">
      <c r="E1311" s="7"/>
      <c r="F1311" t="s">
        <v>20</v>
      </c>
      <c r="G1311" t="s">
        <v>21</v>
      </c>
      <c r="H1311" t="str">
        <f>"3547566663"</f>
        <v>3547566663</v>
      </c>
      <c r="I1311" t="str">
        <f>"PD 2005 DODGE/RAM TRUCK"</f>
        <v>PD 2005 DODGE/RAM TRUCK</v>
      </c>
    </row>
    <row r="1312" spans="1:9" x14ac:dyDescent="0.25">
      <c r="E1312" s="7"/>
      <c r="F1312" t="s">
        <v>20</v>
      </c>
      <c r="G1312" t="s">
        <v>21</v>
      </c>
      <c r="H1312" t="str">
        <f>"3547566664"</f>
        <v>3547566664</v>
      </c>
      <c r="I1312" t="str">
        <f>"FUEL FILTERS"</f>
        <v>FUEL FILTERS</v>
      </c>
    </row>
    <row r="1313" spans="1:9" x14ac:dyDescent="0.25">
      <c r="E1313" s="7"/>
      <c r="F1313" t="s">
        <v>20</v>
      </c>
      <c r="G1313" t="s">
        <v>21</v>
      </c>
      <c r="H1313" t="str">
        <f>"3547567332"</f>
        <v>3547567332</v>
      </c>
      <c r="I1313" t="str">
        <f>"BRAKES"</f>
        <v>BRAKES</v>
      </c>
    </row>
    <row r="1314" spans="1:9" x14ac:dyDescent="0.25">
      <c r="A1314" s="6">
        <v>43810</v>
      </c>
      <c r="B1314" t="s">
        <v>26</v>
      </c>
      <c r="C1314">
        <v>62769</v>
      </c>
      <c r="D1314" t="s">
        <v>63</v>
      </c>
      <c r="E1314" s="7">
        <v>742.83</v>
      </c>
      <c r="F1314" t="s">
        <v>20</v>
      </c>
      <c r="G1314" t="s">
        <v>21</v>
      </c>
      <c r="H1314" t="str">
        <f>"8404400765"</f>
        <v>8404400765</v>
      </c>
      <c r="I1314" t="str">
        <f>"CINTAS CORPORATION"</f>
        <v>CINTAS CORPORATION</v>
      </c>
    </row>
    <row r="1315" spans="1:9" x14ac:dyDescent="0.25">
      <c r="A1315" s="6">
        <v>43810</v>
      </c>
      <c r="B1315" t="s">
        <v>26</v>
      </c>
      <c r="C1315">
        <v>62770</v>
      </c>
      <c r="D1315" t="s">
        <v>64</v>
      </c>
      <c r="E1315" s="7">
        <v>1738</v>
      </c>
      <c r="F1315" t="s">
        <v>20</v>
      </c>
      <c r="G1315" t="s">
        <v>21</v>
      </c>
      <c r="H1315" t="str">
        <f>"8001"</f>
        <v>8001</v>
      </c>
      <c r="I1315" t="str">
        <f>"DREWA DESIGNS  INC."</f>
        <v>DREWA DESIGNS  INC.</v>
      </c>
    </row>
    <row r="1316" spans="1:9" x14ac:dyDescent="0.25">
      <c r="A1316" s="6">
        <v>43810</v>
      </c>
      <c r="B1316" t="s">
        <v>26</v>
      </c>
      <c r="C1316">
        <v>62771</v>
      </c>
      <c r="D1316" t="s">
        <v>117</v>
      </c>
      <c r="E1316" s="7">
        <v>1876.13</v>
      </c>
      <c r="F1316" t="s">
        <v>20</v>
      </c>
      <c r="G1316" t="s">
        <v>21</v>
      </c>
      <c r="H1316" t="str">
        <f>"19-1274"</f>
        <v>19-1274</v>
      </c>
      <c r="I1316" t="str">
        <f>"LINEBARGER GOGGAN BLAIR &amp; SAMP"</f>
        <v>LINEBARGER GOGGAN BLAIR &amp; SAMP</v>
      </c>
    </row>
    <row r="1317" spans="1:9" x14ac:dyDescent="0.25">
      <c r="E1317" s="7"/>
      <c r="F1317" t="s">
        <v>20</v>
      </c>
      <c r="G1317" t="s">
        <v>21</v>
      </c>
      <c r="H1317" t="str">
        <f>"JULY 2019"</f>
        <v>JULY 2019</v>
      </c>
      <c r="I1317" t="str">
        <f>"LINEBARGER GOGGAN BLAIR &amp; SAMP"</f>
        <v>LINEBARGER GOGGAN BLAIR &amp; SAMP</v>
      </c>
    </row>
    <row r="1318" spans="1:9" x14ac:dyDescent="0.25">
      <c r="A1318" s="6">
        <v>43810</v>
      </c>
      <c r="B1318" t="s">
        <v>26</v>
      </c>
      <c r="C1318">
        <v>62772</v>
      </c>
      <c r="D1318" t="s">
        <v>65</v>
      </c>
      <c r="E1318" s="7">
        <v>141.77000000000001</v>
      </c>
      <c r="F1318" t="s">
        <v>20</v>
      </c>
      <c r="G1318" t="s">
        <v>21</v>
      </c>
      <c r="H1318" t="str">
        <f>"7449 DEC. 2019"</f>
        <v>7449 DEC. 2019</v>
      </c>
      <c r="I1318" t="str">
        <f>"SAM'S CLUB/SYNCHRONY BANK"</f>
        <v>SAM'S CLUB/SYNCHRONY BANK</v>
      </c>
    </row>
    <row r="1319" spans="1:9" x14ac:dyDescent="0.25">
      <c r="A1319" s="6">
        <v>43810</v>
      </c>
      <c r="B1319" t="s">
        <v>26</v>
      </c>
      <c r="C1319">
        <v>62773</v>
      </c>
      <c r="D1319" t="s">
        <v>66</v>
      </c>
      <c r="E1319" s="7">
        <v>340</v>
      </c>
      <c r="F1319" t="s">
        <v>20</v>
      </c>
      <c r="G1319" t="s">
        <v>21</v>
      </c>
      <c r="H1319" t="str">
        <f>"56895"</f>
        <v>56895</v>
      </c>
      <c r="I1319" t="str">
        <f>"LOPEZ EXTERMINATING SERVICE  I"</f>
        <v>LOPEZ EXTERMINATING SERVICE  I</v>
      </c>
    </row>
    <row r="1320" spans="1:9" x14ac:dyDescent="0.25">
      <c r="A1320" s="6">
        <v>43810</v>
      </c>
      <c r="B1320" t="s">
        <v>26</v>
      </c>
      <c r="C1320">
        <v>62774</v>
      </c>
      <c r="D1320" t="s">
        <v>118</v>
      </c>
      <c r="E1320" s="7">
        <v>693.71</v>
      </c>
      <c r="F1320" t="s">
        <v>20</v>
      </c>
      <c r="G1320" t="s">
        <v>21</v>
      </c>
      <c r="H1320" t="str">
        <f>"11666"</f>
        <v>11666</v>
      </c>
      <c r="I1320" t="str">
        <f>"BRYAN AIR CONDITIONING &amp; HEATI"</f>
        <v>BRYAN AIR CONDITIONING &amp; HEATI</v>
      </c>
    </row>
    <row r="1321" spans="1:9" x14ac:dyDescent="0.25">
      <c r="A1321" s="6">
        <v>43810</v>
      </c>
      <c r="B1321" t="s">
        <v>26</v>
      </c>
      <c r="C1321">
        <v>62775</v>
      </c>
      <c r="D1321" t="s">
        <v>119</v>
      </c>
      <c r="E1321" s="7">
        <v>131.5</v>
      </c>
      <c r="F1321" t="s">
        <v>20</v>
      </c>
      <c r="G1321" t="s">
        <v>21</v>
      </c>
      <c r="H1321" t="str">
        <f>"59382"</f>
        <v>59382</v>
      </c>
      <c r="I1321" t="str">
        <f>"BACKHOE TIRE- WATER DEPT"</f>
        <v>BACKHOE TIRE- WATER DEPT</v>
      </c>
    </row>
    <row r="1322" spans="1:9" x14ac:dyDescent="0.25">
      <c r="A1322" s="6">
        <v>43810</v>
      </c>
      <c r="B1322" t="s">
        <v>26</v>
      </c>
      <c r="C1322">
        <v>62776</v>
      </c>
      <c r="D1322" t="s">
        <v>419</v>
      </c>
      <c r="E1322" s="7">
        <v>92</v>
      </c>
      <c r="F1322" t="s">
        <v>20</v>
      </c>
      <c r="G1322" t="s">
        <v>21</v>
      </c>
      <c r="H1322" t="str">
        <f>"SURV. OP#2028"</f>
        <v>SURV. OP#2028</v>
      </c>
      <c r="I1322" t="str">
        <f>"GEORGE ORTIZ"</f>
        <v>GEORGE ORTIZ</v>
      </c>
    </row>
    <row r="1323" spans="1:9" x14ac:dyDescent="0.25">
      <c r="A1323" s="6">
        <v>43810</v>
      </c>
      <c r="B1323" t="s">
        <v>26</v>
      </c>
      <c r="C1323">
        <v>62777</v>
      </c>
      <c r="D1323" t="s">
        <v>69</v>
      </c>
      <c r="E1323" s="7">
        <v>94.97</v>
      </c>
      <c r="F1323" t="s">
        <v>20</v>
      </c>
      <c r="G1323" t="s">
        <v>21</v>
      </c>
      <c r="H1323" t="str">
        <f>"3302628"</f>
        <v>3302628</v>
      </c>
      <c r="I1323" t="str">
        <f>"PARKS ROD END"</f>
        <v>PARKS ROD END</v>
      </c>
    </row>
    <row r="1324" spans="1:9" x14ac:dyDescent="0.25">
      <c r="E1324" s="7"/>
      <c r="F1324" t="s">
        <v>20</v>
      </c>
      <c r="G1324" t="s">
        <v>21</v>
      </c>
      <c r="H1324" t="str">
        <f>"3302839"</f>
        <v>3302839</v>
      </c>
      <c r="I1324" t="str">
        <f>"BLADE-MOWER"</f>
        <v>BLADE-MOWER</v>
      </c>
    </row>
    <row r="1325" spans="1:9" x14ac:dyDescent="0.25">
      <c r="A1325" s="6">
        <v>43810</v>
      </c>
      <c r="B1325" t="s">
        <v>91</v>
      </c>
      <c r="C1325">
        <v>62778</v>
      </c>
      <c r="D1325" t="s">
        <v>858</v>
      </c>
      <c r="E1325" s="7">
        <v>450</v>
      </c>
      <c r="F1325" t="s">
        <v>20</v>
      </c>
      <c r="G1325" t="s">
        <v>21</v>
      </c>
      <c r="H1325" t="str">
        <f>"2372"</f>
        <v>2372</v>
      </c>
      <c r="I1325" t="str">
        <f>"FREDDY ORTIZ"</f>
        <v>FREDDY ORTIZ</v>
      </c>
    </row>
    <row r="1326" spans="1:9" x14ac:dyDescent="0.25">
      <c r="A1326" s="6">
        <v>43810</v>
      </c>
      <c r="B1326" t="s">
        <v>91</v>
      </c>
      <c r="C1326">
        <v>62778</v>
      </c>
      <c r="D1326" t="s">
        <v>858</v>
      </c>
      <c r="E1326" s="7">
        <v>450</v>
      </c>
      <c r="F1326" t="s">
        <v>20</v>
      </c>
      <c r="G1326" t="s">
        <v>93</v>
      </c>
      <c r="H1326" t="str">
        <f>"CHECK"</f>
        <v>CHECK</v>
      </c>
      <c r="I1326" t="str">
        <f>""</f>
        <v/>
      </c>
    </row>
    <row r="1327" spans="1:9" x14ac:dyDescent="0.25">
      <c r="A1327" s="6">
        <v>43810</v>
      </c>
      <c r="B1327" t="s">
        <v>26</v>
      </c>
      <c r="C1327">
        <v>62779</v>
      </c>
      <c r="D1327" t="s">
        <v>71</v>
      </c>
      <c r="E1327" s="7">
        <v>1193.3499999999999</v>
      </c>
      <c r="F1327" t="s">
        <v>20</v>
      </c>
      <c r="G1327" t="s">
        <v>21</v>
      </c>
      <c r="H1327" t="str">
        <f>"4035711060"</f>
        <v>4035711060</v>
      </c>
      <c r="I1327" t="str">
        <f t="shared" ref="I1327:I1338" si="24">"CINTAS CORPORATION #087"</f>
        <v>CINTAS CORPORATION #087</v>
      </c>
    </row>
    <row r="1328" spans="1:9" x14ac:dyDescent="0.25">
      <c r="E1328" s="7"/>
      <c r="F1328" t="s">
        <v>20</v>
      </c>
      <c r="G1328" t="s">
        <v>21</v>
      </c>
      <c r="H1328" t="str">
        <f>"4035711118"</f>
        <v>4035711118</v>
      </c>
      <c r="I1328" t="str">
        <f t="shared" si="24"/>
        <v>CINTAS CORPORATION #087</v>
      </c>
    </row>
    <row r="1329" spans="1:9" x14ac:dyDescent="0.25">
      <c r="E1329" s="7"/>
      <c r="F1329" t="s">
        <v>20</v>
      </c>
      <c r="G1329" t="s">
        <v>21</v>
      </c>
      <c r="H1329" t="str">
        <f>"4035711211"</f>
        <v>4035711211</v>
      </c>
      <c r="I1329" t="str">
        <f t="shared" si="24"/>
        <v>CINTAS CORPORATION #087</v>
      </c>
    </row>
    <row r="1330" spans="1:9" x14ac:dyDescent="0.25">
      <c r="E1330" s="7"/>
      <c r="F1330" t="s">
        <v>20</v>
      </c>
      <c r="G1330" t="s">
        <v>21</v>
      </c>
      <c r="H1330" t="str">
        <f>"4035711293"</f>
        <v>4035711293</v>
      </c>
      <c r="I1330" t="str">
        <f t="shared" si="24"/>
        <v>CINTAS CORPORATION #087</v>
      </c>
    </row>
    <row r="1331" spans="1:9" x14ac:dyDescent="0.25">
      <c r="E1331" s="7"/>
      <c r="F1331" t="s">
        <v>20</v>
      </c>
      <c r="G1331" t="s">
        <v>21</v>
      </c>
      <c r="H1331" t="str">
        <f>"4036358317"</f>
        <v>4036358317</v>
      </c>
      <c r="I1331" t="str">
        <f t="shared" si="24"/>
        <v>CINTAS CORPORATION #087</v>
      </c>
    </row>
    <row r="1332" spans="1:9" x14ac:dyDescent="0.25">
      <c r="E1332" s="7"/>
      <c r="F1332" t="s">
        <v>20</v>
      </c>
      <c r="G1332" t="s">
        <v>21</v>
      </c>
      <c r="H1332" t="str">
        <f>"4036358349"</f>
        <v>4036358349</v>
      </c>
      <c r="I1332" t="str">
        <f t="shared" si="24"/>
        <v>CINTAS CORPORATION #087</v>
      </c>
    </row>
    <row r="1333" spans="1:9" x14ac:dyDescent="0.25">
      <c r="E1333" s="7"/>
      <c r="F1333" t="s">
        <v>20</v>
      </c>
      <c r="G1333" t="s">
        <v>21</v>
      </c>
      <c r="H1333" t="str">
        <f>"4036358358"</f>
        <v>4036358358</v>
      </c>
      <c r="I1333" t="str">
        <f t="shared" si="24"/>
        <v>CINTAS CORPORATION #087</v>
      </c>
    </row>
    <row r="1334" spans="1:9" x14ac:dyDescent="0.25">
      <c r="E1334" s="7"/>
      <c r="F1334" t="s">
        <v>20</v>
      </c>
      <c r="G1334" t="s">
        <v>21</v>
      </c>
      <c r="H1334" t="str">
        <f>"4036789360"</f>
        <v>4036789360</v>
      </c>
      <c r="I1334" t="str">
        <f t="shared" si="24"/>
        <v>CINTAS CORPORATION #087</v>
      </c>
    </row>
    <row r="1335" spans="1:9" x14ac:dyDescent="0.25">
      <c r="E1335" s="7"/>
      <c r="F1335" t="s">
        <v>20</v>
      </c>
      <c r="G1335" t="s">
        <v>21</v>
      </c>
      <c r="H1335" t="str">
        <f>"4036789385"</f>
        <v>4036789385</v>
      </c>
      <c r="I1335" t="str">
        <f t="shared" si="24"/>
        <v>CINTAS CORPORATION #087</v>
      </c>
    </row>
    <row r="1336" spans="1:9" x14ac:dyDescent="0.25">
      <c r="E1336" s="7"/>
      <c r="F1336" t="s">
        <v>20</v>
      </c>
      <c r="G1336" t="s">
        <v>21</v>
      </c>
      <c r="H1336" t="str">
        <f>"4036789393"</f>
        <v>4036789393</v>
      </c>
      <c r="I1336" t="str">
        <f t="shared" si="24"/>
        <v>CINTAS CORPORATION #087</v>
      </c>
    </row>
    <row r="1337" spans="1:9" x14ac:dyDescent="0.25">
      <c r="E1337" s="7"/>
      <c r="F1337" t="s">
        <v>20</v>
      </c>
      <c r="G1337" t="s">
        <v>21</v>
      </c>
      <c r="H1337" t="str">
        <f>"4036789453"</f>
        <v>4036789453</v>
      </c>
      <c r="I1337" t="str">
        <f t="shared" si="24"/>
        <v>CINTAS CORPORATION #087</v>
      </c>
    </row>
    <row r="1338" spans="1:9" x14ac:dyDescent="0.25">
      <c r="E1338" s="7"/>
      <c r="F1338" t="s">
        <v>20</v>
      </c>
      <c r="G1338" t="s">
        <v>21</v>
      </c>
      <c r="H1338" t="str">
        <f>"4036789455"</f>
        <v>4036789455</v>
      </c>
      <c r="I1338" t="str">
        <f t="shared" si="24"/>
        <v>CINTAS CORPORATION #087</v>
      </c>
    </row>
    <row r="1339" spans="1:9" x14ac:dyDescent="0.25">
      <c r="A1339" s="6">
        <v>43810</v>
      </c>
      <c r="B1339" t="s">
        <v>26</v>
      </c>
      <c r="C1339">
        <v>62781</v>
      </c>
      <c r="D1339" t="s">
        <v>122</v>
      </c>
      <c r="E1339" s="7">
        <v>130</v>
      </c>
      <c r="F1339" t="s">
        <v>20</v>
      </c>
      <c r="G1339" t="s">
        <v>21</v>
      </c>
      <c r="H1339" t="str">
        <f>"138915"</f>
        <v>138915</v>
      </c>
      <c r="I1339" t="str">
        <f t="shared" ref="I1339:I1344" si="25">"VILLA TIRES"</f>
        <v>VILLA TIRES</v>
      </c>
    </row>
    <row r="1340" spans="1:9" x14ac:dyDescent="0.25">
      <c r="E1340" s="7"/>
      <c r="F1340" t="s">
        <v>20</v>
      </c>
      <c r="G1340" t="s">
        <v>21</v>
      </c>
      <c r="H1340" t="str">
        <f>"138918"</f>
        <v>138918</v>
      </c>
      <c r="I1340" t="str">
        <f t="shared" si="25"/>
        <v>VILLA TIRES</v>
      </c>
    </row>
    <row r="1341" spans="1:9" x14ac:dyDescent="0.25">
      <c r="E1341" s="7"/>
      <c r="F1341" t="s">
        <v>20</v>
      </c>
      <c r="G1341" t="s">
        <v>21</v>
      </c>
      <c r="H1341" t="str">
        <f>"834815"</f>
        <v>834815</v>
      </c>
      <c r="I1341" t="str">
        <f t="shared" si="25"/>
        <v>VILLA TIRES</v>
      </c>
    </row>
    <row r="1342" spans="1:9" x14ac:dyDescent="0.25">
      <c r="E1342" s="7"/>
      <c r="F1342" t="s">
        <v>20</v>
      </c>
      <c r="G1342" t="s">
        <v>21</v>
      </c>
      <c r="H1342" t="str">
        <f>"834825"</f>
        <v>834825</v>
      </c>
      <c r="I1342" t="str">
        <f t="shared" si="25"/>
        <v>VILLA TIRES</v>
      </c>
    </row>
    <row r="1343" spans="1:9" x14ac:dyDescent="0.25">
      <c r="E1343" s="7"/>
      <c r="F1343" t="s">
        <v>20</v>
      </c>
      <c r="G1343" t="s">
        <v>21</v>
      </c>
      <c r="H1343" t="str">
        <f>"834838"</f>
        <v>834838</v>
      </c>
      <c r="I1343" t="str">
        <f t="shared" si="25"/>
        <v>VILLA TIRES</v>
      </c>
    </row>
    <row r="1344" spans="1:9" x14ac:dyDescent="0.25">
      <c r="E1344" s="7"/>
      <c r="F1344" t="s">
        <v>20</v>
      </c>
      <c r="G1344" t="s">
        <v>21</v>
      </c>
      <c r="H1344" t="str">
        <f>"834847"</f>
        <v>834847</v>
      </c>
      <c r="I1344" t="str">
        <f t="shared" si="25"/>
        <v>VILLA TIRES</v>
      </c>
    </row>
    <row r="1345" spans="1:9" x14ac:dyDescent="0.25">
      <c r="A1345" s="6">
        <v>43810</v>
      </c>
      <c r="B1345" t="s">
        <v>26</v>
      </c>
      <c r="C1345">
        <v>62782</v>
      </c>
      <c r="D1345" t="s">
        <v>74</v>
      </c>
      <c r="E1345" s="7">
        <v>4471.21</v>
      </c>
      <c r="F1345" t="s">
        <v>20</v>
      </c>
      <c r="G1345" t="s">
        <v>21</v>
      </c>
      <c r="H1345" t="str">
        <f>"9842839595"</f>
        <v>9842839595</v>
      </c>
      <c r="I1345" t="str">
        <f>"VERIZON WIRELESS"</f>
        <v>VERIZON WIRELESS</v>
      </c>
    </row>
    <row r="1346" spans="1:9" x14ac:dyDescent="0.25">
      <c r="E1346" s="7"/>
      <c r="F1346" t="s">
        <v>20</v>
      </c>
      <c r="G1346" t="s">
        <v>21</v>
      </c>
      <c r="H1346" t="str">
        <f>"9842839596"</f>
        <v>9842839596</v>
      </c>
      <c r="I1346" t="str">
        <f>"VERIZON WIRELESS"</f>
        <v>VERIZON WIRELESS</v>
      </c>
    </row>
    <row r="1347" spans="1:9" x14ac:dyDescent="0.25">
      <c r="A1347" s="6">
        <v>43810</v>
      </c>
      <c r="B1347" t="s">
        <v>26</v>
      </c>
      <c r="C1347">
        <v>62784</v>
      </c>
      <c r="D1347" t="s">
        <v>215</v>
      </c>
      <c r="E1347" s="7">
        <v>64.64</v>
      </c>
      <c r="F1347" t="s">
        <v>20</v>
      </c>
      <c r="G1347" t="s">
        <v>21</v>
      </c>
      <c r="H1347" t="str">
        <f>"615167"</f>
        <v>615167</v>
      </c>
      <c r="I1347" t="str">
        <f>"HOUR METER"</f>
        <v>HOUR METER</v>
      </c>
    </row>
    <row r="1348" spans="1:9" x14ac:dyDescent="0.25">
      <c r="A1348" s="6">
        <v>43810</v>
      </c>
      <c r="B1348" t="s">
        <v>26</v>
      </c>
      <c r="C1348">
        <v>62785</v>
      </c>
      <c r="D1348" t="s">
        <v>123</v>
      </c>
      <c r="E1348" s="7">
        <v>442.2</v>
      </c>
      <c r="F1348" t="s">
        <v>20</v>
      </c>
      <c r="G1348" t="s">
        <v>21</v>
      </c>
      <c r="H1348" t="str">
        <f>"403361933002"</f>
        <v>403361933002</v>
      </c>
      <c r="I1348" t="str">
        <f>"OFFICE SUPPLIES"</f>
        <v>OFFICE SUPPLIES</v>
      </c>
    </row>
    <row r="1349" spans="1:9" x14ac:dyDescent="0.25">
      <c r="E1349" s="7"/>
      <c r="F1349" t="s">
        <v>20</v>
      </c>
      <c r="G1349" t="s">
        <v>21</v>
      </c>
      <c r="H1349" t="str">
        <f>"403560045001"</f>
        <v>403560045001</v>
      </c>
      <c r="I1349" t="str">
        <f>"OFFICE SUPPLY ORDER"</f>
        <v>OFFICE SUPPLY ORDER</v>
      </c>
    </row>
    <row r="1350" spans="1:9" x14ac:dyDescent="0.25">
      <c r="E1350" s="7"/>
      <c r="F1350" t="s">
        <v>20</v>
      </c>
      <c r="G1350" t="s">
        <v>21</v>
      </c>
      <c r="H1350" t="str">
        <f>"403927591001"</f>
        <v>403927591001</v>
      </c>
      <c r="I1350" t="str">
        <f>"OFFICE SUPPLIES"</f>
        <v>OFFICE SUPPLIES</v>
      </c>
    </row>
    <row r="1351" spans="1:9" x14ac:dyDescent="0.25">
      <c r="E1351" s="7"/>
      <c r="F1351" t="s">
        <v>20</v>
      </c>
      <c r="G1351" t="s">
        <v>21</v>
      </c>
      <c r="H1351" t="str">
        <f>"405438526001"</f>
        <v>405438526001</v>
      </c>
      <c r="I1351" t="str">
        <f>"OFFICE SUPPLIES-CALENDAR"</f>
        <v>OFFICE SUPPLIES-CALENDAR</v>
      </c>
    </row>
    <row r="1352" spans="1:9" x14ac:dyDescent="0.25">
      <c r="E1352" s="7"/>
      <c r="F1352" t="s">
        <v>20</v>
      </c>
      <c r="G1352" t="s">
        <v>21</v>
      </c>
      <c r="H1352" t="str">
        <f>"408685465001"</f>
        <v>408685465001</v>
      </c>
      <c r="I1352" t="str">
        <f>"BUSINESS CARDS/TISSUE"</f>
        <v>BUSINESS CARDS/TISSUE</v>
      </c>
    </row>
    <row r="1353" spans="1:9" x14ac:dyDescent="0.25">
      <c r="A1353" s="6">
        <v>43810</v>
      </c>
      <c r="B1353" t="s">
        <v>26</v>
      </c>
      <c r="C1353">
        <v>62787</v>
      </c>
      <c r="D1353" t="s">
        <v>75</v>
      </c>
      <c r="E1353" s="7">
        <v>190.92</v>
      </c>
      <c r="F1353" t="s">
        <v>20</v>
      </c>
      <c r="G1353" t="s">
        <v>21</v>
      </c>
      <c r="H1353" t="str">
        <f>"68184 12/2019"</f>
        <v>68184 12/2019</v>
      </c>
      <c r="I1353" t="str">
        <f>"TRACTOR SUPPLY CREDIT PLAN"</f>
        <v>TRACTOR SUPPLY CREDIT PLAN</v>
      </c>
    </row>
    <row r="1354" spans="1:9" x14ac:dyDescent="0.25">
      <c r="A1354" s="6">
        <v>43810</v>
      </c>
      <c r="B1354" t="s">
        <v>26</v>
      </c>
      <c r="C1354">
        <v>62788</v>
      </c>
      <c r="D1354" t="s">
        <v>859</v>
      </c>
      <c r="E1354" s="7">
        <v>600</v>
      </c>
      <c r="F1354" t="s">
        <v>20</v>
      </c>
      <c r="G1354" t="s">
        <v>21</v>
      </c>
      <c r="H1354" t="str">
        <f>"HOLIDAY EXT. 2019"</f>
        <v>HOLIDAY EXT. 2019</v>
      </c>
      <c r="I1354" t="str">
        <f>"MARIO ORTIZ"</f>
        <v>MARIO ORTIZ</v>
      </c>
    </row>
    <row r="1355" spans="1:9" x14ac:dyDescent="0.25">
      <c r="A1355" s="6">
        <v>43810</v>
      </c>
      <c r="B1355" t="s">
        <v>26</v>
      </c>
      <c r="C1355">
        <v>62789</v>
      </c>
      <c r="D1355" t="s">
        <v>534</v>
      </c>
      <c r="E1355" s="7">
        <v>340.73</v>
      </c>
      <c r="F1355" t="s">
        <v>20</v>
      </c>
      <c r="G1355" t="s">
        <v>21</v>
      </c>
      <c r="H1355" t="str">
        <f>"4036265637"</f>
        <v>4036265637</v>
      </c>
      <c r="I1355" t="str">
        <f>"CINTAS CORPORATION NO. 2"</f>
        <v>CINTAS CORPORATION NO. 2</v>
      </c>
    </row>
    <row r="1356" spans="1:9" x14ac:dyDescent="0.25">
      <c r="E1356" s="7"/>
      <c r="F1356" t="s">
        <v>20</v>
      </c>
      <c r="G1356" t="s">
        <v>21</v>
      </c>
      <c r="H1356" t="str">
        <f>"8404413739"</f>
        <v>8404413739</v>
      </c>
      <c r="I1356" t="str">
        <f>"CINTAS CORPORATION NO. 2"</f>
        <v>CINTAS CORPORATION NO. 2</v>
      </c>
    </row>
    <row r="1357" spans="1:9" x14ac:dyDescent="0.25">
      <c r="A1357" s="6">
        <v>43810</v>
      </c>
      <c r="B1357" t="s">
        <v>26</v>
      </c>
      <c r="C1357">
        <v>62790</v>
      </c>
      <c r="D1357" t="s">
        <v>125</v>
      </c>
      <c r="E1357" s="7">
        <v>250</v>
      </c>
      <c r="F1357" t="s">
        <v>20</v>
      </c>
      <c r="G1357" t="s">
        <v>21</v>
      </c>
      <c r="H1357" t="str">
        <f>"19-1274"</f>
        <v>19-1274</v>
      </c>
      <c r="I1357" t="str">
        <f>"INTREPID SURVEYING CORPORATION"</f>
        <v>INTREPID SURVEYING CORPORATION</v>
      </c>
    </row>
    <row r="1358" spans="1:9" x14ac:dyDescent="0.25">
      <c r="A1358" s="6">
        <v>43810</v>
      </c>
      <c r="B1358" t="s">
        <v>26</v>
      </c>
      <c r="C1358">
        <v>62791</v>
      </c>
      <c r="D1358" t="s">
        <v>126</v>
      </c>
      <c r="E1358" s="7">
        <v>759.18</v>
      </c>
      <c r="F1358" t="s">
        <v>20</v>
      </c>
      <c r="G1358" t="s">
        <v>21</v>
      </c>
      <c r="H1358" t="str">
        <f>"0859-002433089"</f>
        <v>0859-002433089</v>
      </c>
      <c r="I1358" t="str">
        <f>"REPUBLIC SERVICES #859"</f>
        <v>REPUBLIC SERVICES #859</v>
      </c>
    </row>
    <row r="1359" spans="1:9" x14ac:dyDescent="0.25">
      <c r="A1359" s="6">
        <v>43810</v>
      </c>
      <c r="B1359" t="s">
        <v>26</v>
      </c>
      <c r="C1359">
        <v>62792</v>
      </c>
      <c r="D1359" t="s">
        <v>147</v>
      </c>
      <c r="E1359" s="7">
        <v>263.3</v>
      </c>
      <c r="F1359" t="s">
        <v>20</v>
      </c>
      <c r="G1359" t="s">
        <v>21</v>
      </c>
      <c r="H1359" t="str">
        <f>"1415"</f>
        <v>1415</v>
      </c>
      <c r="I1359" t="str">
        <f>"SRALLA ELECTRIC"</f>
        <v>SRALLA ELECTRIC</v>
      </c>
    </row>
    <row r="1360" spans="1:9" x14ac:dyDescent="0.25">
      <c r="E1360" s="7"/>
      <c r="F1360" t="s">
        <v>20</v>
      </c>
      <c r="G1360" t="s">
        <v>21</v>
      </c>
      <c r="H1360" t="str">
        <f>"1426"</f>
        <v>1426</v>
      </c>
      <c r="I1360" t="str">
        <f>"SRALLA ELECTRIC"</f>
        <v>SRALLA ELECTRIC</v>
      </c>
    </row>
    <row r="1361" spans="1:9" x14ac:dyDescent="0.25">
      <c r="A1361" s="6">
        <v>43810</v>
      </c>
      <c r="B1361" t="s">
        <v>26</v>
      </c>
      <c r="C1361">
        <v>62793</v>
      </c>
      <c r="D1361" t="s">
        <v>79</v>
      </c>
      <c r="E1361" s="7">
        <v>45.42</v>
      </c>
      <c r="F1361" t="s">
        <v>20</v>
      </c>
      <c r="G1361" t="s">
        <v>21</v>
      </c>
      <c r="H1361" t="str">
        <f>"6-845-30858"</f>
        <v>6-845-30858</v>
      </c>
      <c r="I1361" t="str">
        <f>"FEDEX"</f>
        <v>FEDEX</v>
      </c>
    </row>
    <row r="1362" spans="1:9" x14ac:dyDescent="0.25">
      <c r="E1362" s="7"/>
      <c r="F1362" t="s">
        <v>20</v>
      </c>
      <c r="G1362" t="s">
        <v>21</v>
      </c>
      <c r="H1362" t="str">
        <f>"6-852-09626"</f>
        <v>6-852-09626</v>
      </c>
      <c r="I1362" t="str">
        <f>"FEDEX"</f>
        <v>FEDEX</v>
      </c>
    </row>
    <row r="1363" spans="1:9" x14ac:dyDescent="0.25">
      <c r="E1363" s="7"/>
      <c r="F1363" t="s">
        <v>20</v>
      </c>
      <c r="G1363" t="s">
        <v>21</v>
      </c>
      <c r="H1363" t="str">
        <f>"6-859-21500"</f>
        <v>6-859-21500</v>
      </c>
      <c r="I1363" t="str">
        <f>"FEDEX"</f>
        <v>FEDEX</v>
      </c>
    </row>
    <row r="1364" spans="1:9" x14ac:dyDescent="0.25">
      <c r="A1364" s="6">
        <v>43810</v>
      </c>
      <c r="B1364" t="s">
        <v>26</v>
      </c>
      <c r="C1364">
        <v>62794</v>
      </c>
      <c r="D1364" t="s">
        <v>80</v>
      </c>
      <c r="E1364" s="7">
        <v>1500</v>
      </c>
      <c r="F1364" t="s">
        <v>20</v>
      </c>
      <c r="G1364" t="s">
        <v>21</v>
      </c>
      <c r="H1364" t="str">
        <f>"1648-20191201-1"</f>
        <v>1648-20191201-1</v>
      </c>
      <c r="I1364" t="str">
        <f>"LVWIFI.COM"</f>
        <v>LVWIFI.COM</v>
      </c>
    </row>
    <row r="1365" spans="1:9" x14ac:dyDescent="0.25">
      <c r="E1365" s="7"/>
      <c r="F1365" t="s">
        <v>20</v>
      </c>
      <c r="G1365" t="s">
        <v>21</v>
      </c>
      <c r="H1365" t="str">
        <f>"2313-20191201-1"</f>
        <v>2313-20191201-1</v>
      </c>
      <c r="I1365" t="str">
        <f>"LVWIFI.COM"</f>
        <v>LVWIFI.COM</v>
      </c>
    </row>
    <row r="1366" spans="1:9" x14ac:dyDescent="0.25">
      <c r="A1366" s="6">
        <v>43810</v>
      </c>
      <c r="B1366" t="s">
        <v>26</v>
      </c>
      <c r="C1366">
        <v>62795</v>
      </c>
      <c r="D1366" t="s">
        <v>139</v>
      </c>
      <c r="E1366" s="7">
        <v>65</v>
      </c>
      <c r="F1366" t="s">
        <v>20</v>
      </c>
      <c r="G1366" t="s">
        <v>21</v>
      </c>
      <c r="H1366" t="str">
        <f>"27938"</f>
        <v>27938</v>
      </c>
      <c r="I1366" t="str">
        <f>"ANGEL FIRE &amp; SAFETY"</f>
        <v>ANGEL FIRE &amp; SAFETY</v>
      </c>
    </row>
    <row r="1367" spans="1:9" x14ac:dyDescent="0.25">
      <c r="A1367" s="6">
        <v>43810</v>
      </c>
      <c r="B1367" t="s">
        <v>26</v>
      </c>
      <c r="C1367">
        <v>62796</v>
      </c>
      <c r="D1367" t="s">
        <v>31</v>
      </c>
      <c r="E1367" s="7">
        <v>2000</v>
      </c>
      <c r="F1367" t="s">
        <v>20</v>
      </c>
      <c r="G1367" t="s">
        <v>21</v>
      </c>
      <c r="H1367" t="str">
        <f>"2019229"</f>
        <v>2019229</v>
      </c>
      <c r="I1367" t="str">
        <f>"THE LAW OFFICE OF TOM CALDWELL"</f>
        <v>THE LAW OFFICE OF TOM CALDWELL</v>
      </c>
    </row>
    <row r="1368" spans="1:9" x14ac:dyDescent="0.25">
      <c r="A1368" s="6">
        <v>43810</v>
      </c>
      <c r="B1368" t="s">
        <v>26</v>
      </c>
      <c r="C1368">
        <v>62797</v>
      </c>
      <c r="D1368" t="s">
        <v>81</v>
      </c>
      <c r="E1368" s="7">
        <v>6800</v>
      </c>
      <c r="F1368" t="s">
        <v>20</v>
      </c>
      <c r="G1368" t="s">
        <v>21</v>
      </c>
      <c r="H1368" t="str">
        <f>"HOLIDAY EXT. 2019"</f>
        <v>HOLIDAY EXT. 2019</v>
      </c>
      <c r="I1368" t="str">
        <f>"CITY OF FLORESVILLE -PETTY CAS"</f>
        <v>CITY OF FLORESVILLE -PETTY CAS</v>
      </c>
    </row>
    <row r="1369" spans="1:9" x14ac:dyDescent="0.25">
      <c r="A1369" s="6">
        <v>43810</v>
      </c>
      <c r="B1369" t="s">
        <v>26</v>
      </c>
      <c r="C1369">
        <v>62798</v>
      </c>
      <c r="D1369" t="s">
        <v>821</v>
      </c>
      <c r="E1369" s="7">
        <v>1718.9</v>
      </c>
      <c r="F1369" t="s">
        <v>20</v>
      </c>
      <c r="G1369" t="s">
        <v>21</v>
      </c>
      <c r="H1369" t="str">
        <f>"FRI7469"</f>
        <v>FRI7469</v>
      </c>
      <c r="I1369" t="str">
        <f>"MAIN PLANT BAR SCREEN AUG"</f>
        <v>MAIN PLANT BAR SCREEN AUG</v>
      </c>
    </row>
    <row r="1370" spans="1:9" x14ac:dyDescent="0.25">
      <c r="E1370" s="7"/>
      <c r="F1370" t="s">
        <v>20</v>
      </c>
      <c r="G1370" t="s">
        <v>21</v>
      </c>
      <c r="H1370" t="str">
        <f>"FRI7472"</f>
        <v>FRI7472</v>
      </c>
      <c r="I1370" t="str">
        <f>"PAJARITO LIFT STATION"</f>
        <v>PAJARITO LIFT STATION</v>
      </c>
    </row>
    <row r="1371" spans="1:9" x14ac:dyDescent="0.25">
      <c r="E1371" s="7"/>
      <c r="F1371" t="s">
        <v>20</v>
      </c>
      <c r="G1371" t="s">
        <v>21</v>
      </c>
      <c r="H1371" t="str">
        <f>"FRI7482"</f>
        <v>FRI7482</v>
      </c>
      <c r="I1371" t="str">
        <f>"RIVER PARK LIFT STATION"</f>
        <v>RIVER PARK LIFT STATION</v>
      </c>
    </row>
    <row r="1372" spans="1:9" x14ac:dyDescent="0.25">
      <c r="A1372" s="6">
        <v>43810</v>
      </c>
      <c r="B1372" t="s">
        <v>26</v>
      </c>
      <c r="C1372">
        <v>62799</v>
      </c>
      <c r="D1372" t="s">
        <v>131</v>
      </c>
      <c r="E1372" s="7">
        <v>18.440000000000001</v>
      </c>
      <c r="F1372" t="s">
        <v>20</v>
      </c>
      <c r="G1372" t="s">
        <v>21</v>
      </c>
      <c r="H1372" t="str">
        <f>"045827"</f>
        <v>045827</v>
      </c>
      <c r="I1372" t="str">
        <f>"FRONT END LOADER- STREETS"</f>
        <v>FRONT END LOADER- STREETS</v>
      </c>
    </row>
    <row r="1373" spans="1:9" x14ac:dyDescent="0.25">
      <c r="A1373" s="6">
        <v>43810</v>
      </c>
      <c r="B1373" t="s">
        <v>26</v>
      </c>
      <c r="C1373">
        <v>62800</v>
      </c>
      <c r="D1373" t="s">
        <v>84</v>
      </c>
      <c r="E1373" s="7">
        <v>274</v>
      </c>
      <c r="F1373" t="s">
        <v>20</v>
      </c>
      <c r="G1373" t="s">
        <v>21</v>
      </c>
      <c r="H1373" t="str">
        <f>"1595917"</f>
        <v>1595917</v>
      </c>
      <c r="I1373" t="str">
        <f>"STANTEC CONSULTING SERVICES IN"</f>
        <v>STANTEC CONSULTING SERVICES IN</v>
      </c>
    </row>
    <row r="1374" spans="1:9" x14ac:dyDescent="0.25">
      <c r="A1374" s="6">
        <v>43810</v>
      </c>
      <c r="B1374" t="s">
        <v>26</v>
      </c>
      <c r="C1374">
        <v>62801</v>
      </c>
      <c r="D1374" t="s">
        <v>85</v>
      </c>
      <c r="E1374" s="7">
        <v>721</v>
      </c>
      <c r="F1374" t="s">
        <v>20</v>
      </c>
      <c r="G1374" t="s">
        <v>21</v>
      </c>
      <c r="H1374" t="str">
        <f>"DEC 2019 3930579"</f>
        <v>DEC 2019 3930579</v>
      </c>
      <c r="I1374" t="str">
        <f>"FRONTIER"</f>
        <v>FRONTIER</v>
      </c>
    </row>
    <row r="1375" spans="1:9" x14ac:dyDescent="0.25">
      <c r="E1375" s="7"/>
      <c r="F1375" t="s">
        <v>20</v>
      </c>
      <c r="G1375" t="s">
        <v>21</v>
      </c>
      <c r="H1375" t="str">
        <f>"DEC 2019 3933108"</f>
        <v>DEC 2019 3933108</v>
      </c>
      <c r="I1375" t="str">
        <f>"FRONTIER"</f>
        <v>FRONTIER</v>
      </c>
    </row>
    <row r="1376" spans="1:9" x14ac:dyDescent="0.25">
      <c r="E1376" s="7"/>
      <c r="F1376" t="s">
        <v>20</v>
      </c>
      <c r="G1376" t="s">
        <v>21</v>
      </c>
      <c r="H1376" t="str">
        <f>"DEC 2019 3939791"</f>
        <v>DEC 2019 3939791</v>
      </c>
      <c r="I1376" t="str">
        <f>"FRONTIER"</f>
        <v>FRONTIER</v>
      </c>
    </row>
    <row r="1377" spans="1:9" x14ac:dyDescent="0.25">
      <c r="E1377" s="7"/>
      <c r="F1377" t="s">
        <v>20</v>
      </c>
      <c r="G1377" t="s">
        <v>21</v>
      </c>
      <c r="H1377" t="str">
        <f>"NOV 2019 3933718"</f>
        <v>NOV 2019 3933718</v>
      </c>
      <c r="I1377" t="str">
        <f>"FRONTIER"</f>
        <v>FRONTIER</v>
      </c>
    </row>
    <row r="1378" spans="1:9" x14ac:dyDescent="0.25">
      <c r="E1378" s="7"/>
      <c r="F1378" t="s">
        <v>20</v>
      </c>
      <c r="G1378" t="s">
        <v>21</v>
      </c>
      <c r="H1378" t="str">
        <f>"NOV 2019 3937070"</f>
        <v>NOV 2019 3937070</v>
      </c>
      <c r="I1378" t="str">
        <f>"FRONTIER"</f>
        <v>FRONTIER</v>
      </c>
    </row>
    <row r="1379" spans="1:9" x14ac:dyDescent="0.25">
      <c r="A1379" s="6">
        <v>43810</v>
      </c>
      <c r="B1379" t="s">
        <v>26</v>
      </c>
      <c r="C1379">
        <v>62802</v>
      </c>
      <c r="D1379" t="s">
        <v>326</v>
      </c>
      <c r="E1379" s="7">
        <v>35</v>
      </c>
      <c r="F1379" t="s">
        <v>20</v>
      </c>
      <c r="G1379" t="s">
        <v>21</v>
      </c>
      <c r="H1379" t="str">
        <f>"20806236"</f>
        <v>20806236</v>
      </c>
      <c r="I1379" t="str">
        <f>"MATHESON TRI-GAS INC"</f>
        <v>MATHESON TRI-GAS INC</v>
      </c>
    </row>
    <row r="1380" spans="1:9" x14ac:dyDescent="0.25">
      <c r="A1380" s="6">
        <v>43810</v>
      </c>
      <c r="B1380" t="s">
        <v>26</v>
      </c>
      <c r="C1380">
        <v>62803</v>
      </c>
      <c r="D1380" t="s">
        <v>345</v>
      </c>
      <c r="E1380" s="7">
        <v>319</v>
      </c>
      <c r="F1380" t="s">
        <v>20</v>
      </c>
      <c r="G1380" t="s">
        <v>21</v>
      </c>
      <c r="H1380" t="str">
        <f>"12/09/19"</f>
        <v>12/09/19</v>
      </c>
      <c r="I1380" t="str">
        <f>"MICHAEL ISAAC MARTINEZ"</f>
        <v>MICHAEL ISAAC MARTINEZ</v>
      </c>
    </row>
    <row r="1381" spans="1:9" x14ac:dyDescent="0.25">
      <c r="A1381" s="6">
        <v>43810</v>
      </c>
      <c r="B1381" t="s">
        <v>26</v>
      </c>
      <c r="C1381">
        <v>62804</v>
      </c>
      <c r="D1381" t="s">
        <v>398</v>
      </c>
      <c r="E1381" s="7">
        <v>55</v>
      </c>
      <c r="F1381" t="s">
        <v>20</v>
      </c>
      <c r="G1381" t="s">
        <v>21</v>
      </c>
      <c r="H1381" t="str">
        <f>"20191202"</f>
        <v>20191202</v>
      </c>
      <c r="I1381" t="str">
        <f>"INTERCEPTOR TECHNOLOGY GROUP L"</f>
        <v>INTERCEPTOR TECHNOLOGY GROUP L</v>
      </c>
    </row>
    <row r="1382" spans="1:9" x14ac:dyDescent="0.25">
      <c r="A1382" s="6">
        <v>43810</v>
      </c>
      <c r="B1382" t="s">
        <v>26</v>
      </c>
      <c r="C1382">
        <v>62805</v>
      </c>
      <c r="D1382" t="s">
        <v>443</v>
      </c>
      <c r="E1382" s="7">
        <v>4116.67</v>
      </c>
      <c r="F1382" t="s">
        <v>20</v>
      </c>
      <c r="G1382" t="s">
        <v>21</v>
      </c>
      <c r="H1382" t="str">
        <f>"10616"</f>
        <v>10616</v>
      </c>
      <c r="I1382" t="str">
        <f>"RIOJAS TURF CARE  LLC"</f>
        <v>RIOJAS TURF CARE  LLC</v>
      </c>
    </row>
    <row r="1383" spans="1:9" x14ac:dyDescent="0.25">
      <c r="A1383" s="6">
        <v>43810</v>
      </c>
      <c r="B1383" t="s">
        <v>26</v>
      </c>
      <c r="C1383">
        <v>62806</v>
      </c>
      <c r="D1383" t="s">
        <v>447</v>
      </c>
      <c r="E1383" s="7">
        <v>92</v>
      </c>
      <c r="F1383" t="s">
        <v>20</v>
      </c>
      <c r="G1383" t="s">
        <v>21</v>
      </c>
      <c r="H1383" t="str">
        <f>"SUR. OP#2028"</f>
        <v>SUR. OP#2028</v>
      </c>
      <c r="I1383" t="str">
        <f>"VICTOR FAVELLA"</f>
        <v>VICTOR FAVELLA</v>
      </c>
    </row>
    <row r="1384" spans="1:9" x14ac:dyDescent="0.25">
      <c r="A1384" s="6">
        <v>43810</v>
      </c>
      <c r="B1384" t="s">
        <v>26</v>
      </c>
      <c r="C1384">
        <v>62807</v>
      </c>
      <c r="D1384" t="s">
        <v>528</v>
      </c>
      <c r="E1384" s="7">
        <v>231.34</v>
      </c>
      <c r="F1384" t="s">
        <v>20</v>
      </c>
      <c r="G1384" t="s">
        <v>21</v>
      </c>
      <c r="H1384" t="str">
        <f>"10125071"</f>
        <v>10125071</v>
      </c>
      <c r="I1384" t="str">
        <f>"PROSTAR SERVICES INC"</f>
        <v>PROSTAR SERVICES INC</v>
      </c>
    </row>
    <row r="1385" spans="1:9" x14ac:dyDescent="0.25">
      <c r="A1385" s="6">
        <v>43810</v>
      </c>
      <c r="B1385" t="s">
        <v>26</v>
      </c>
      <c r="C1385">
        <v>62808</v>
      </c>
      <c r="D1385" t="s">
        <v>554</v>
      </c>
      <c r="E1385" s="7">
        <v>74.95</v>
      </c>
      <c r="F1385" t="s">
        <v>20</v>
      </c>
      <c r="G1385" t="s">
        <v>21</v>
      </c>
      <c r="H1385" t="str">
        <f>"AA56595"</f>
        <v>AA56595</v>
      </c>
      <c r="I1385" t="str">
        <f>"TEXAS WIRED MUSIC"</f>
        <v>TEXAS WIRED MUSIC</v>
      </c>
    </row>
    <row r="1386" spans="1:9" x14ac:dyDescent="0.25">
      <c r="A1386" s="6">
        <v>43810</v>
      </c>
      <c r="B1386" t="s">
        <v>26</v>
      </c>
      <c r="C1386">
        <v>62809</v>
      </c>
      <c r="D1386" t="s">
        <v>644</v>
      </c>
      <c r="E1386" s="7">
        <v>1128.56</v>
      </c>
      <c r="F1386" t="s">
        <v>20</v>
      </c>
      <c r="G1386" t="s">
        <v>21</v>
      </c>
      <c r="H1386" t="str">
        <f>"8213393227"</f>
        <v>8213393227</v>
      </c>
      <c r="I1386" t="str">
        <f t="shared" ref="I1386:I1398" si="26">"UNIFIRST CORPORATION"</f>
        <v>UNIFIRST CORPORATION</v>
      </c>
    </row>
    <row r="1387" spans="1:9" x14ac:dyDescent="0.25">
      <c r="E1387" s="7"/>
      <c r="F1387" t="s">
        <v>20</v>
      </c>
      <c r="G1387" t="s">
        <v>21</v>
      </c>
      <c r="H1387" t="str">
        <f>"8213393228"</f>
        <v>8213393228</v>
      </c>
      <c r="I1387" t="str">
        <f t="shared" si="26"/>
        <v>UNIFIRST CORPORATION</v>
      </c>
    </row>
    <row r="1388" spans="1:9" x14ac:dyDescent="0.25">
      <c r="E1388" s="7"/>
      <c r="F1388" t="s">
        <v>20</v>
      </c>
      <c r="G1388" t="s">
        <v>21</v>
      </c>
      <c r="H1388" t="str">
        <f>"8213393229"</f>
        <v>8213393229</v>
      </c>
      <c r="I1388" t="str">
        <f t="shared" si="26"/>
        <v>UNIFIRST CORPORATION</v>
      </c>
    </row>
    <row r="1389" spans="1:9" x14ac:dyDescent="0.25">
      <c r="E1389" s="7"/>
      <c r="F1389" t="s">
        <v>20</v>
      </c>
      <c r="G1389" t="s">
        <v>21</v>
      </c>
      <c r="H1389" t="str">
        <f>"8213393230"</f>
        <v>8213393230</v>
      </c>
      <c r="I1389" t="str">
        <f t="shared" si="26"/>
        <v>UNIFIRST CORPORATION</v>
      </c>
    </row>
    <row r="1390" spans="1:9" x14ac:dyDescent="0.25">
      <c r="E1390" s="7"/>
      <c r="F1390" t="s">
        <v>20</v>
      </c>
      <c r="G1390" t="s">
        <v>21</v>
      </c>
      <c r="H1390" t="str">
        <f>"8213393231"</f>
        <v>8213393231</v>
      </c>
      <c r="I1390" t="str">
        <f t="shared" si="26"/>
        <v>UNIFIRST CORPORATION</v>
      </c>
    </row>
    <row r="1391" spans="1:9" x14ac:dyDescent="0.25">
      <c r="E1391" s="7"/>
      <c r="F1391" t="s">
        <v>20</v>
      </c>
      <c r="G1391" t="s">
        <v>21</v>
      </c>
      <c r="H1391" t="str">
        <f>"8213393232"</f>
        <v>8213393232</v>
      </c>
      <c r="I1391" t="str">
        <f t="shared" si="26"/>
        <v>UNIFIRST CORPORATION</v>
      </c>
    </row>
    <row r="1392" spans="1:9" x14ac:dyDescent="0.25">
      <c r="E1392" s="7"/>
      <c r="F1392" t="s">
        <v>20</v>
      </c>
      <c r="G1392" t="s">
        <v>21</v>
      </c>
      <c r="H1392" t="str">
        <f>"8213396141"</f>
        <v>8213396141</v>
      </c>
      <c r="I1392" t="str">
        <f t="shared" si="26"/>
        <v>UNIFIRST CORPORATION</v>
      </c>
    </row>
    <row r="1393" spans="1:9" x14ac:dyDescent="0.25">
      <c r="E1393" s="7"/>
      <c r="F1393" t="s">
        <v>20</v>
      </c>
      <c r="G1393" t="s">
        <v>21</v>
      </c>
      <c r="H1393" t="str">
        <f>"8213396143"</f>
        <v>8213396143</v>
      </c>
      <c r="I1393" t="str">
        <f t="shared" si="26"/>
        <v>UNIFIRST CORPORATION</v>
      </c>
    </row>
    <row r="1394" spans="1:9" x14ac:dyDescent="0.25">
      <c r="E1394" s="7"/>
      <c r="F1394" t="s">
        <v>20</v>
      </c>
      <c r="G1394" t="s">
        <v>21</v>
      </c>
      <c r="H1394" t="str">
        <f>"8213396144"</f>
        <v>8213396144</v>
      </c>
      <c r="I1394" t="str">
        <f t="shared" si="26"/>
        <v>UNIFIRST CORPORATION</v>
      </c>
    </row>
    <row r="1395" spans="1:9" x14ac:dyDescent="0.25">
      <c r="E1395" s="7"/>
      <c r="F1395" t="s">
        <v>20</v>
      </c>
      <c r="G1395" t="s">
        <v>21</v>
      </c>
      <c r="H1395" t="str">
        <f>"8213396145"</f>
        <v>8213396145</v>
      </c>
      <c r="I1395" t="str">
        <f t="shared" si="26"/>
        <v>UNIFIRST CORPORATION</v>
      </c>
    </row>
    <row r="1396" spans="1:9" x14ac:dyDescent="0.25">
      <c r="E1396" s="7"/>
      <c r="F1396" t="s">
        <v>20</v>
      </c>
      <c r="G1396" t="s">
        <v>21</v>
      </c>
      <c r="H1396" t="str">
        <f>"8213396146"</f>
        <v>8213396146</v>
      </c>
      <c r="I1396" t="str">
        <f t="shared" si="26"/>
        <v>UNIFIRST CORPORATION</v>
      </c>
    </row>
    <row r="1397" spans="1:9" x14ac:dyDescent="0.25">
      <c r="E1397" s="7"/>
      <c r="F1397" t="s">
        <v>20</v>
      </c>
      <c r="G1397" t="s">
        <v>21</v>
      </c>
      <c r="H1397" t="str">
        <f>"8213396147"</f>
        <v>8213396147</v>
      </c>
      <c r="I1397" t="str">
        <f t="shared" si="26"/>
        <v>UNIFIRST CORPORATION</v>
      </c>
    </row>
    <row r="1398" spans="1:9" x14ac:dyDescent="0.25">
      <c r="E1398" s="7"/>
      <c r="F1398" t="s">
        <v>20</v>
      </c>
      <c r="G1398" t="s">
        <v>21</v>
      </c>
      <c r="H1398" t="str">
        <f>"8213396412"</f>
        <v>8213396412</v>
      </c>
      <c r="I1398" t="str">
        <f t="shared" si="26"/>
        <v>UNIFIRST CORPORATION</v>
      </c>
    </row>
    <row r="1399" spans="1:9" x14ac:dyDescent="0.25">
      <c r="A1399" s="6">
        <v>43810</v>
      </c>
      <c r="B1399" t="s">
        <v>26</v>
      </c>
      <c r="C1399">
        <v>62812</v>
      </c>
      <c r="D1399" t="s">
        <v>696</v>
      </c>
      <c r="E1399" s="7">
        <v>75</v>
      </c>
      <c r="F1399" t="s">
        <v>20</v>
      </c>
      <c r="G1399" t="s">
        <v>21</v>
      </c>
      <c r="H1399" t="str">
        <f>"12/7/19"</f>
        <v>12/7/19</v>
      </c>
      <c r="I1399" t="str">
        <f>"ANGEL G. ROSAS"</f>
        <v>ANGEL G. ROSAS</v>
      </c>
    </row>
    <row r="1400" spans="1:9" x14ac:dyDescent="0.25">
      <c r="A1400" s="6">
        <v>43810</v>
      </c>
      <c r="B1400" t="s">
        <v>91</v>
      </c>
      <c r="C1400">
        <v>62813</v>
      </c>
      <c r="D1400" t="s">
        <v>739</v>
      </c>
      <c r="E1400" s="7">
        <v>95.94</v>
      </c>
      <c r="F1400" t="s">
        <v>20</v>
      </c>
      <c r="G1400" t="s">
        <v>21</v>
      </c>
      <c r="H1400" t="str">
        <f>"287291275286X11272"</f>
        <v>287291275286X11272</v>
      </c>
      <c r="I1400" t="str">
        <f>"FIRSTNET/AT&amp;T MOBILITY LLC"</f>
        <v>FIRSTNET/AT&amp;T MOBILITY LLC</v>
      </c>
    </row>
    <row r="1401" spans="1:9" x14ac:dyDescent="0.25">
      <c r="A1401" s="6">
        <v>43810</v>
      </c>
      <c r="B1401" t="s">
        <v>91</v>
      </c>
      <c r="C1401">
        <v>62813</v>
      </c>
      <c r="D1401" t="s">
        <v>739</v>
      </c>
      <c r="E1401" s="7">
        <v>95.94</v>
      </c>
      <c r="F1401" t="s">
        <v>20</v>
      </c>
      <c r="G1401" t="s">
        <v>93</v>
      </c>
      <c r="H1401" t="str">
        <f>"CHECK"</f>
        <v>CHECK</v>
      </c>
      <c r="I1401" t="str">
        <f>""</f>
        <v/>
      </c>
    </row>
    <row r="1402" spans="1:9" x14ac:dyDescent="0.25">
      <c r="A1402" s="6">
        <v>43810</v>
      </c>
      <c r="B1402" t="s">
        <v>26</v>
      </c>
      <c r="C1402">
        <v>62814</v>
      </c>
      <c r="D1402" t="s">
        <v>752</v>
      </c>
      <c r="E1402" s="7">
        <v>75</v>
      </c>
      <c r="F1402" t="s">
        <v>20</v>
      </c>
      <c r="G1402" t="s">
        <v>21</v>
      </c>
      <c r="H1402" t="str">
        <f>"12/7/19"</f>
        <v>12/7/19</v>
      </c>
      <c r="I1402" t="str">
        <f>"BLANCA PEREZ"</f>
        <v>BLANCA PEREZ</v>
      </c>
    </row>
    <row r="1403" spans="1:9" x14ac:dyDescent="0.25">
      <c r="A1403" s="6">
        <v>43810</v>
      </c>
      <c r="B1403" t="s">
        <v>26</v>
      </c>
      <c r="C1403">
        <v>62815</v>
      </c>
      <c r="D1403" t="s">
        <v>848</v>
      </c>
      <c r="E1403" s="7">
        <v>855</v>
      </c>
      <c r="F1403" t="s">
        <v>20</v>
      </c>
      <c r="G1403" t="s">
        <v>21</v>
      </c>
      <c r="H1403" t="str">
        <f>"CITY EMP. EVT 2019"</f>
        <v>CITY EMP. EVT 2019</v>
      </c>
      <c r="I1403" t="str">
        <f>"FLUFF'S WHITE HOUSE CAFE"</f>
        <v>FLUFF'S WHITE HOUSE CAFE</v>
      </c>
    </row>
    <row r="1404" spans="1:9" x14ac:dyDescent="0.25">
      <c r="A1404" s="6">
        <v>43810</v>
      </c>
      <c r="B1404" t="s">
        <v>26</v>
      </c>
      <c r="C1404">
        <v>62816</v>
      </c>
      <c r="D1404" t="s">
        <v>814</v>
      </c>
      <c r="E1404" s="7">
        <v>75</v>
      </c>
      <c r="F1404" t="s">
        <v>20</v>
      </c>
      <c r="G1404" t="s">
        <v>21</v>
      </c>
      <c r="H1404" t="str">
        <f>"12/7/19"</f>
        <v>12/7/19</v>
      </c>
      <c r="I1404" t="str">
        <f>"RACHEL GARCIA"</f>
        <v>RACHEL GARCIA</v>
      </c>
    </row>
    <row r="1405" spans="1:9" x14ac:dyDescent="0.25">
      <c r="A1405" s="6">
        <v>43810</v>
      </c>
      <c r="B1405" t="s">
        <v>26</v>
      </c>
      <c r="C1405">
        <v>62817</v>
      </c>
      <c r="D1405" t="s">
        <v>836</v>
      </c>
      <c r="E1405" s="7">
        <v>5547.2</v>
      </c>
      <c r="F1405" t="s">
        <v>20</v>
      </c>
      <c r="G1405" t="s">
        <v>21</v>
      </c>
      <c r="H1405" t="str">
        <f>"59071"</f>
        <v>59071</v>
      </c>
      <c r="I1405" t="str">
        <f>"BARCOM TECHNOLOGY SOLUTIONS  I"</f>
        <v>BARCOM TECHNOLOGY SOLUTIONS  I</v>
      </c>
    </row>
    <row r="1406" spans="1:9" x14ac:dyDescent="0.25">
      <c r="E1406" s="7"/>
      <c r="F1406" t="s">
        <v>20</v>
      </c>
      <c r="G1406" t="s">
        <v>21</v>
      </c>
      <c r="H1406" t="str">
        <f>"59072"</f>
        <v>59072</v>
      </c>
      <c r="I1406" t="str">
        <f>"BARCOM TECHNOLOGY SOLUTIONS  I"</f>
        <v>BARCOM TECHNOLOGY SOLUTIONS  I</v>
      </c>
    </row>
    <row r="1407" spans="1:9" x14ac:dyDescent="0.25">
      <c r="E1407" s="7"/>
      <c r="F1407" t="s">
        <v>20</v>
      </c>
      <c r="G1407" t="s">
        <v>21</v>
      </c>
      <c r="H1407" t="str">
        <f>"59073"</f>
        <v>59073</v>
      </c>
      <c r="I1407" t="str">
        <f>"BARCOM TECHNOLOGY SOLUTIONS  I"</f>
        <v>BARCOM TECHNOLOGY SOLUTIONS  I</v>
      </c>
    </row>
    <row r="1408" spans="1:9" x14ac:dyDescent="0.25">
      <c r="E1408" s="7"/>
      <c r="F1408" t="s">
        <v>20</v>
      </c>
      <c r="G1408" t="s">
        <v>21</v>
      </c>
      <c r="H1408" t="str">
        <f>"59074"</f>
        <v>59074</v>
      </c>
      <c r="I1408" t="str">
        <f>"BARCOM TECHNOLOGY SOLUTIONS  I"</f>
        <v>BARCOM TECHNOLOGY SOLUTIONS  I</v>
      </c>
    </row>
    <row r="1409" spans="1:9" x14ac:dyDescent="0.25">
      <c r="A1409" s="6">
        <v>43810</v>
      </c>
      <c r="B1409" t="s">
        <v>91</v>
      </c>
      <c r="C1409">
        <v>62819</v>
      </c>
      <c r="D1409" t="s">
        <v>858</v>
      </c>
      <c r="E1409" s="7">
        <v>550</v>
      </c>
      <c r="F1409" t="s">
        <v>20</v>
      </c>
      <c r="G1409" t="s">
        <v>21</v>
      </c>
      <c r="H1409" t="str">
        <f>"2377 REISSUE"</f>
        <v>2377 REISSUE</v>
      </c>
      <c r="I1409" t="str">
        <f>"FREDDY ORTIZ"</f>
        <v>FREDDY ORTIZ</v>
      </c>
    </row>
    <row r="1410" spans="1:9" x14ac:dyDescent="0.25">
      <c r="A1410" s="6">
        <v>43810</v>
      </c>
      <c r="B1410" t="s">
        <v>91</v>
      </c>
      <c r="C1410">
        <v>62819</v>
      </c>
      <c r="D1410" t="s">
        <v>858</v>
      </c>
      <c r="E1410" s="7">
        <v>550</v>
      </c>
      <c r="F1410" t="s">
        <v>20</v>
      </c>
      <c r="G1410" t="s">
        <v>93</v>
      </c>
      <c r="H1410" t="str">
        <f>"CHECK"</f>
        <v>CHECK</v>
      </c>
      <c r="I1410" t="str">
        <f>""</f>
        <v/>
      </c>
    </row>
    <row r="1411" spans="1:9" x14ac:dyDescent="0.25">
      <c r="A1411" s="6">
        <v>43810</v>
      </c>
      <c r="B1411" t="s">
        <v>26</v>
      </c>
      <c r="C1411">
        <v>62820</v>
      </c>
      <c r="D1411" t="s">
        <v>81</v>
      </c>
      <c r="E1411" s="7">
        <v>51.85</v>
      </c>
      <c r="F1411" t="s">
        <v>20</v>
      </c>
      <c r="G1411" t="s">
        <v>21</v>
      </c>
      <c r="H1411" t="str">
        <f>"A.MARTINEZ 12/19"</f>
        <v>A.MARTINEZ 12/19</v>
      </c>
      <c r="I1411" t="str">
        <f>"CITY OF FLORESVILLE -PETTY CAS"</f>
        <v>CITY OF FLORESVILLE -PETTY CAS</v>
      </c>
    </row>
    <row r="1412" spans="1:9" x14ac:dyDescent="0.25">
      <c r="A1412" s="6">
        <v>43819</v>
      </c>
      <c r="B1412" t="s">
        <v>26</v>
      </c>
      <c r="C1412">
        <v>62827</v>
      </c>
      <c r="D1412" t="s">
        <v>51</v>
      </c>
      <c r="E1412" s="7">
        <v>346.31</v>
      </c>
      <c r="F1412" t="s">
        <v>20</v>
      </c>
      <c r="G1412" t="s">
        <v>21</v>
      </c>
      <c r="H1412" t="str">
        <f>"CLE201912188558"</f>
        <v>CLE201912188558</v>
      </c>
      <c r="I1412" t="str">
        <f>"CLEAT ONLY DUES"</f>
        <v>CLEAT ONLY DUES</v>
      </c>
    </row>
    <row r="1413" spans="1:9" x14ac:dyDescent="0.25">
      <c r="E1413" s="7"/>
      <c r="F1413" t="s">
        <v>20</v>
      </c>
      <c r="G1413" t="s">
        <v>21</v>
      </c>
      <c r="H1413" t="str">
        <f>"PDD201912188558"</f>
        <v>PDD201912188558</v>
      </c>
      <c r="I1413" t="str">
        <f>"POLICE OFFICERS ASSOC DUES"</f>
        <v>POLICE OFFICERS ASSOC DUES</v>
      </c>
    </row>
    <row r="1414" spans="1:9" x14ac:dyDescent="0.25">
      <c r="A1414" s="6">
        <v>43819</v>
      </c>
      <c r="B1414" t="s">
        <v>26</v>
      </c>
      <c r="C1414">
        <v>62828</v>
      </c>
      <c r="D1414" t="s">
        <v>52</v>
      </c>
      <c r="E1414" s="7">
        <v>600.91999999999996</v>
      </c>
      <c r="F1414" t="s">
        <v>20</v>
      </c>
      <c r="G1414" t="s">
        <v>21</v>
      </c>
      <c r="H1414" t="str">
        <f>"CPS201912188558"</f>
        <v>CPS201912188558</v>
      </c>
      <c r="I1414" t="str">
        <f>"G MENDOZA 00123012032010EM5054"</f>
        <v>G MENDOZA 00123012032010EM5054</v>
      </c>
    </row>
    <row r="1415" spans="1:9" x14ac:dyDescent="0.25">
      <c r="E1415" s="7"/>
      <c r="F1415" t="s">
        <v>20</v>
      </c>
      <c r="G1415" t="s">
        <v>21</v>
      </c>
      <c r="H1415" t="str">
        <f>"CS 201912188558"</f>
        <v>CS 201912188558</v>
      </c>
      <c r="I1415" t="str">
        <f>"CAUSE#98EM504113 PEGGY RIVAS"</f>
        <v>CAUSE#98EM504113 PEGGY RIVAS</v>
      </c>
    </row>
    <row r="1416" spans="1:9" x14ac:dyDescent="0.25">
      <c r="A1416" s="6">
        <v>43819</v>
      </c>
      <c r="B1416" t="s">
        <v>26</v>
      </c>
      <c r="C1416">
        <v>62829</v>
      </c>
      <c r="D1416" t="s">
        <v>54</v>
      </c>
      <c r="E1416" s="7">
        <v>1200.24</v>
      </c>
      <c r="F1416" t="s">
        <v>20</v>
      </c>
      <c r="G1416" t="s">
        <v>21</v>
      </c>
      <c r="H1416" t="str">
        <f>"457201912188558"</f>
        <v>457201912188558</v>
      </c>
      <c r="I1416" t="str">
        <f>"CASE # 180-60751 457B DEDUCT"</f>
        <v>CASE # 180-60751 457B DEDUCT</v>
      </c>
    </row>
    <row r="1417" spans="1:9" x14ac:dyDescent="0.25">
      <c r="A1417" s="6">
        <v>43818</v>
      </c>
      <c r="B1417" t="s">
        <v>26</v>
      </c>
      <c r="C1417">
        <v>62830</v>
      </c>
      <c r="D1417" t="s">
        <v>102</v>
      </c>
      <c r="E1417" s="7">
        <v>270.58</v>
      </c>
      <c r="F1417" t="s">
        <v>20</v>
      </c>
      <c r="G1417" t="s">
        <v>21</v>
      </c>
      <c r="H1417" t="str">
        <f>"1120 D. ST. DEC"</f>
        <v>1120 D. ST. DEC</v>
      </c>
      <c r="I1417" t="str">
        <f>"CENTERPOINT ENERGY ENTEX"</f>
        <v>CENTERPOINT ENERGY ENTEX</v>
      </c>
    </row>
    <row r="1418" spans="1:9" x14ac:dyDescent="0.25">
      <c r="E1418" s="7"/>
      <c r="F1418" t="s">
        <v>20</v>
      </c>
      <c r="G1418" t="s">
        <v>21</v>
      </c>
      <c r="H1418" t="str">
        <f>"1200 1ST. DEC."</f>
        <v>1200 1ST. DEC.</v>
      </c>
      <c r="I1418" t="str">
        <f>"CENTERPOINT ENERGY ENTEX"</f>
        <v>CENTERPOINT ENERGY ENTEX</v>
      </c>
    </row>
    <row r="1419" spans="1:9" x14ac:dyDescent="0.25">
      <c r="E1419" s="7"/>
      <c r="F1419" t="s">
        <v>20</v>
      </c>
      <c r="G1419" t="s">
        <v>21</v>
      </c>
      <c r="H1419" t="str">
        <f>"920 C.ST DEC."</f>
        <v>920 C.ST DEC.</v>
      </c>
      <c r="I1419" t="str">
        <f>"CENTERPOINT ENERGY ENTEX"</f>
        <v>CENTERPOINT ENERGY ENTEX</v>
      </c>
    </row>
    <row r="1420" spans="1:9" x14ac:dyDescent="0.25">
      <c r="A1420" s="6">
        <v>43818</v>
      </c>
      <c r="B1420" t="s">
        <v>26</v>
      </c>
      <c r="C1420">
        <v>62831</v>
      </c>
      <c r="D1420" t="s">
        <v>240</v>
      </c>
      <c r="E1420" s="7">
        <v>676.59</v>
      </c>
      <c r="F1420" t="s">
        <v>20</v>
      </c>
      <c r="G1420" t="s">
        <v>21</v>
      </c>
      <c r="H1420" t="str">
        <f>"0179700-IN"</f>
        <v>0179700-IN</v>
      </c>
      <c r="I1420" t="str">
        <f>"NARDIS PUBLIC SAFETY"</f>
        <v>NARDIS PUBLIC SAFETY</v>
      </c>
    </row>
    <row r="1421" spans="1:9" x14ac:dyDescent="0.25">
      <c r="E1421" s="7"/>
      <c r="F1421" t="s">
        <v>20</v>
      </c>
      <c r="G1421" t="s">
        <v>21</v>
      </c>
      <c r="H1421" t="str">
        <f>"0180006-IN"</f>
        <v>0180006-IN</v>
      </c>
      <c r="I1421" t="str">
        <f>"NARDIS PUBLIC SAFETY"</f>
        <v>NARDIS PUBLIC SAFETY</v>
      </c>
    </row>
    <row r="1422" spans="1:9" x14ac:dyDescent="0.25">
      <c r="E1422" s="7"/>
      <c r="F1422" t="s">
        <v>20</v>
      </c>
      <c r="G1422" t="s">
        <v>21</v>
      </c>
      <c r="H1422" t="str">
        <f>"0181552-IN"</f>
        <v>0181552-IN</v>
      </c>
      <c r="I1422" t="str">
        <f>"NARDIS PUBLIC SAFETY"</f>
        <v>NARDIS PUBLIC SAFETY</v>
      </c>
    </row>
    <row r="1423" spans="1:9" x14ac:dyDescent="0.25">
      <c r="A1423" s="6">
        <v>43818</v>
      </c>
      <c r="B1423" t="s">
        <v>26</v>
      </c>
      <c r="C1423">
        <v>62832</v>
      </c>
      <c r="D1423" t="s">
        <v>63</v>
      </c>
      <c r="E1423" s="7">
        <v>995.12</v>
      </c>
      <c r="F1423" t="s">
        <v>20</v>
      </c>
      <c r="G1423" t="s">
        <v>21</v>
      </c>
      <c r="H1423" t="str">
        <f>"8404424331"</f>
        <v>8404424331</v>
      </c>
      <c r="I1423" t="str">
        <f>"CINTAS CORPORATION"</f>
        <v>CINTAS CORPORATION</v>
      </c>
    </row>
    <row r="1424" spans="1:9" x14ac:dyDescent="0.25">
      <c r="A1424" s="6">
        <v>43818</v>
      </c>
      <c r="B1424" t="s">
        <v>26</v>
      </c>
      <c r="C1424">
        <v>62833</v>
      </c>
      <c r="D1424" t="s">
        <v>117</v>
      </c>
      <c r="E1424" s="7">
        <v>1996.19</v>
      </c>
      <c r="F1424" t="s">
        <v>20</v>
      </c>
      <c r="G1424" t="s">
        <v>21</v>
      </c>
      <c r="H1424" t="str">
        <f>"NOV.2019 FEES"</f>
        <v>NOV.2019 FEES</v>
      </c>
      <c r="I1424" t="str">
        <f>"LINEBARGER GOGGAN BLAIR &amp; SAMP"</f>
        <v>LINEBARGER GOGGAN BLAIR &amp; SAMP</v>
      </c>
    </row>
    <row r="1425" spans="1:9" x14ac:dyDescent="0.25">
      <c r="E1425" s="7"/>
      <c r="F1425" t="s">
        <v>20</v>
      </c>
      <c r="G1425" t="s">
        <v>21</v>
      </c>
      <c r="H1425" t="str">
        <f>"SEPT 2019"</f>
        <v>SEPT 2019</v>
      </c>
      <c r="I1425" t="str">
        <f>"LINEBARGER GOGGAN BLAIR &amp; SAMP"</f>
        <v>LINEBARGER GOGGAN BLAIR &amp; SAMP</v>
      </c>
    </row>
    <row r="1426" spans="1:9" x14ac:dyDescent="0.25">
      <c r="A1426" s="6">
        <v>43818</v>
      </c>
      <c r="B1426" t="s">
        <v>26</v>
      </c>
      <c r="C1426">
        <v>62834</v>
      </c>
      <c r="D1426" t="s">
        <v>229</v>
      </c>
      <c r="E1426" s="7">
        <v>119.16</v>
      </c>
      <c r="F1426" t="s">
        <v>20</v>
      </c>
      <c r="G1426" t="s">
        <v>21</v>
      </c>
      <c r="H1426" t="str">
        <f>"REGIONAL CLERK TRN"</f>
        <v>REGIONAL CLERK TRN</v>
      </c>
      <c r="I1426" t="str">
        <f>"JOE XIMENEZ"</f>
        <v>JOE XIMENEZ</v>
      </c>
    </row>
    <row r="1427" spans="1:9" x14ac:dyDescent="0.25">
      <c r="A1427" s="6">
        <v>43818</v>
      </c>
      <c r="B1427" t="s">
        <v>26</v>
      </c>
      <c r="C1427">
        <v>62835</v>
      </c>
      <c r="D1427" t="s">
        <v>71</v>
      </c>
      <c r="E1427" s="7">
        <v>156.26</v>
      </c>
      <c r="F1427" t="s">
        <v>20</v>
      </c>
      <c r="G1427" t="s">
        <v>21</v>
      </c>
      <c r="H1427" t="str">
        <f>"4037395733"</f>
        <v>4037395733</v>
      </c>
      <c r="I1427" t="str">
        <f>"CINTAS CORPORATION #087"</f>
        <v>CINTAS CORPORATION #087</v>
      </c>
    </row>
    <row r="1428" spans="1:9" x14ac:dyDescent="0.25">
      <c r="A1428" s="6">
        <v>43818</v>
      </c>
      <c r="B1428" t="s">
        <v>26</v>
      </c>
      <c r="C1428">
        <v>62836</v>
      </c>
      <c r="D1428" t="s">
        <v>157</v>
      </c>
      <c r="E1428" s="7">
        <v>865.08</v>
      </c>
      <c r="F1428" t="s">
        <v>20</v>
      </c>
      <c r="G1428" t="s">
        <v>21</v>
      </c>
      <c r="H1428" t="str">
        <f>"HOL. EXTRAV.2019"</f>
        <v>HOL. EXTRAV.2019</v>
      </c>
      <c r="I1428" t="str">
        <f>"GLAZIERS"</f>
        <v>GLAZIERS</v>
      </c>
    </row>
    <row r="1429" spans="1:9" x14ac:dyDescent="0.25">
      <c r="A1429" s="6">
        <v>43818</v>
      </c>
      <c r="B1429" t="s">
        <v>26</v>
      </c>
      <c r="C1429">
        <v>62837</v>
      </c>
      <c r="D1429" t="s">
        <v>126</v>
      </c>
      <c r="E1429" s="7">
        <v>92596.64</v>
      </c>
      <c r="F1429" t="s">
        <v>20</v>
      </c>
      <c r="G1429" t="s">
        <v>21</v>
      </c>
      <c r="H1429" t="str">
        <f>"0859-002437271"</f>
        <v>0859-002437271</v>
      </c>
      <c r="I1429" t="str">
        <f>"REPUBLIC SERVICES #859"</f>
        <v>REPUBLIC SERVICES #859</v>
      </c>
    </row>
    <row r="1430" spans="1:9" x14ac:dyDescent="0.25">
      <c r="A1430" s="6">
        <v>43818</v>
      </c>
      <c r="B1430" t="s">
        <v>26</v>
      </c>
      <c r="C1430">
        <v>62838</v>
      </c>
      <c r="D1430" t="s">
        <v>81</v>
      </c>
      <c r="E1430" s="7">
        <v>246.95</v>
      </c>
      <c r="F1430" t="s">
        <v>20</v>
      </c>
      <c r="G1430" t="s">
        <v>21</v>
      </c>
      <c r="H1430" t="str">
        <f>"A.MONTOYA 12/2019"</f>
        <v>A.MONTOYA 12/2019</v>
      </c>
      <c r="I1430" t="str">
        <f>"CITY OF FLORESVILLE -PETTY CAS"</f>
        <v>CITY OF FLORESVILLE -PETTY CAS</v>
      </c>
    </row>
    <row r="1431" spans="1:9" x14ac:dyDescent="0.25">
      <c r="A1431" s="6">
        <v>43818</v>
      </c>
      <c r="B1431" t="s">
        <v>26</v>
      </c>
      <c r="C1431">
        <v>62839</v>
      </c>
      <c r="D1431" t="s">
        <v>85</v>
      </c>
      <c r="E1431" s="7">
        <v>88.49</v>
      </c>
      <c r="F1431" t="s">
        <v>20</v>
      </c>
      <c r="G1431" t="s">
        <v>21</v>
      </c>
      <c r="H1431" t="str">
        <f>"DEC2019 3938193"</f>
        <v>DEC2019 3938193</v>
      </c>
      <c r="I1431" t="str">
        <f>"FRONTIER"</f>
        <v>FRONTIER</v>
      </c>
    </row>
    <row r="1432" spans="1:9" x14ac:dyDescent="0.25">
      <c r="A1432" s="6">
        <v>43818</v>
      </c>
      <c r="B1432" t="s">
        <v>26</v>
      </c>
      <c r="C1432">
        <v>62840</v>
      </c>
      <c r="D1432" t="s">
        <v>194</v>
      </c>
      <c r="E1432" s="7">
        <v>538.26</v>
      </c>
      <c r="F1432" t="s">
        <v>20</v>
      </c>
      <c r="G1432" t="s">
        <v>21</v>
      </c>
      <c r="H1432" t="str">
        <f>"014302603"</f>
        <v>014302603</v>
      </c>
      <c r="I1432" t="str">
        <f>"GALLS  LLC-D.B.A. STERLING'S U"</f>
        <v>GALLS  LLC-D.B.A. STERLING'S U</v>
      </c>
    </row>
    <row r="1433" spans="1:9" x14ac:dyDescent="0.25">
      <c r="E1433" s="7"/>
      <c r="F1433" t="s">
        <v>20</v>
      </c>
      <c r="G1433" t="s">
        <v>21</v>
      </c>
      <c r="H1433" t="str">
        <f>"BC0983371"</f>
        <v>BC0983371</v>
      </c>
      <c r="I1433" t="str">
        <f>"GALLS  LLC-D.B.A. STERLING'S U"</f>
        <v>GALLS  LLC-D.B.A. STERLING'S U</v>
      </c>
    </row>
    <row r="1434" spans="1:9" x14ac:dyDescent="0.25">
      <c r="A1434" s="6">
        <v>43818</v>
      </c>
      <c r="B1434" t="s">
        <v>26</v>
      </c>
      <c r="C1434">
        <v>62841</v>
      </c>
      <c r="D1434" t="s">
        <v>230</v>
      </c>
      <c r="E1434" s="7">
        <v>119.16</v>
      </c>
      <c r="F1434" t="s">
        <v>20</v>
      </c>
      <c r="G1434" t="s">
        <v>21</v>
      </c>
      <c r="H1434" t="str">
        <f>"REGIONAL CLERK TRN"</f>
        <v>REGIONAL CLERK TRN</v>
      </c>
      <c r="I1434" t="str">
        <f>"ELODIA RAMOS"</f>
        <v>ELODIA RAMOS</v>
      </c>
    </row>
    <row r="1435" spans="1:9" x14ac:dyDescent="0.25">
      <c r="A1435" s="6">
        <v>43818</v>
      </c>
      <c r="B1435" t="s">
        <v>26</v>
      </c>
      <c r="C1435">
        <v>62842</v>
      </c>
      <c r="D1435" t="s">
        <v>132</v>
      </c>
      <c r="E1435" s="7">
        <v>221.94</v>
      </c>
      <c r="F1435" t="s">
        <v>20</v>
      </c>
      <c r="G1435" t="s">
        <v>21</v>
      </c>
      <c r="H1435" t="str">
        <f>"2887-DEC.2019"</f>
        <v>2887-DEC.2019</v>
      </c>
      <c r="I1435" t="str">
        <f>"SPARKLETTS &amp; SIERRA SPRINGS"</f>
        <v>SPARKLETTS &amp; SIERRA SPRINGS</v>
      </c>
    </row>
    <row r="1436" spans="1:9" x14ac:dyDescent="0.25">
      <c r="A1436" s="6">
        <v>43818</v>
      </c>
      <c r="B1436" t="s">
        <v>26</v>
      </c>
      <c r="C1436">
        <v>62843</v>
      </c>
      <c r="D1436" t="s">
        <v>345</v>
      </c>
      <c r="E1436" s="7">
        <v>308</v>
      </c>
      <c r="F1436" t="s">
        <v>20</v>
      </c>
      <c r="G1436" t="s">
        <v>21</v>
      </c>
      <c r="H1436" t="str">
        <f>"12//16/2019"</f>
        <v>12//16/2019</v>
      </c>
      <c r="I1436" t="str">
        <f>"MICHAEL ISAAC MARTINEZ"</f>
        <v>MICHAEL ISAAC MARTINEZ</v>
      </c>
    </row>
    <row r="1437" spans="1:9" x14ac:dyDescent="0.25">
      <c r="A1437" s="6">
        <v>43818</v>
      </c>
      <c r="B1437" t="s">
        <v>26</v>
      </c>
      <c r="C1437">
        <v>62844</v>
      </c>
      <c r="D1437" t="s">
        <v>450</v>
      </c>
      <c r="E1437" s="7">
        <v>600</v>
      </c>
      <c r="F1437" t="s">
        <v>20</v>
      </c>
      <c r="G1437" t="s">
        <v>21</v>
      </c>
      <c r="H1437" t="str">
        <f>"0000584"</f>
        <v>0000584</v>
      </c>
      <c r="I1437" t="str">
        <f>"FOUR STAR ENTERTAINMENT"</f>
        <v>FOUR STAR ENTERTAINMENT</v>
      </c>
    </row>
    <row r="1438" spans="1:9" x14ac:dyDescent="0.25">
      <c r="A1438" s="6">
        <v>43818</v>
      </c>
      <c r="B1438" t="s">
        <v>26</v>
      </c>
      <c r="C1438">
        <v>62845</v>
      </c>
      <c r="D1438" t="s">
        <v>696</v>
      </c>
      <c r="E1438" s="7">
        <v>70</v>
      </c>
      <c r="F1438" t="s">
        <v>20</v>
      </c>
      <c r="G1438" t="s">
        <v>21</v>
      </c>
      <c r="H1438" t="str">
        <f>"12/16/19"</f>
        <v>12/16/19</v>
      </c>
      <c r="I1438" t="str">
        <f>"ANGEL G. ROSAS"</f>
        <v>ANGEL G. ROSAS</v>
      </c>
    </row>
    <row r="1439" spans="1:9" x14ac:dyDescent="0.25">
      <c r="A1439" s="6">
        <v>43818</v>
      </c>
      <c r="B1439" t="s">
        <v>26</v>
      </c>
      <c r="C1439">
        <v>62846</v>
      </c>
      <c r="D1439" t="s">
        <v>739</v>
      </c>
      <c r="E1439" s="7">
        <v>95.94</v>
      </c>
      <c r="F1439" t="s">
        <v>20</v>
      </c>
      <c r="G1439" t="s">
        <v>21</v>
      </c>
      <c r="H1439" t="str">
        <f>"287291275286X NOV"</f>
        <v>287291275286X NOV</v>
      </c>
      <c r="I1439" t="str">
        <f>"FIRSTNET/AT&amp;T MOBILITY LLC"</f>
        <v>FIRSTNET/AT&amp;T MOBILITY LLC</v>
      </c>
    </row>
    <row r="1440" spans="1:9" x14ac:dyDescent="0.25">
      <c r="A1440" s="6">
        <v>43818</v>
      </c>
      <c r="B1440" t="s">
        <v>26</v>
      </c>
      <c r="C1440">
        <v>62847</v>
      </c>
      <c r="D1440" t="s">
        <v>752</v>
      </c>
      <c r="E1440" s="7">
        <v>70</v>
      </c>
      <c r="F1440" t="s">
        <v>20</v>
      </c>
      <c r="G1440" t="s">
        <v>21</v>
      </c>
      <c r="H1440" t="str">
        <f>"12/16/19"</f>
        <v>12/16/19</v>
      </c>
      <c r="I1440" t="str">
        <f>"BLANCA PEREZ"</f>
        <v>BLANCA PEREZ</v>
      </c>
    </row>
    <row r="1441" spans="1:9" x14ac:dyDescent="0.25">
      <c r="A1441" s="6">
        <v>43818</v>
      </c>
      <c r="B1441" t="s">
        <v>26</v>
      </c>
      <c r="C1441">
        <v>62848</v>
      </c>
      <c r="D1441" t="s">
        <v>782</v>
      </c>
      <c r="E1441" s="7">
        <v>35</v>
      </c>
      <c r="F1441" t="s">
        <v>20</v>
      </c>
      <c r="G1441" t="s">
        <v>21</v>
      </c>
      <c r="H1441" t="str">
        <f>"REISSUE CK#61651"</f>
        <v>REISSUE CK#61651</v>
      </c>
      <c r="I1441" t="str">
        <f>"ALBERTO MALDONADO SAENZ III"</f>
        <v>ALBERTO MALDONADO SAENZ III</v>
      </c>
    </row>
    <row r="1442" spans="1:9" x14ac:dyDescent="0.25">
      <c r="A1442" s="6">
        <v>43818</v>
      </c>
      <c r="B1442" t="s">
        <v>26</v>
      </c>
      <c r="C1442">
        <v>62849</v>
      </c>
      <c r="D1442" t="s">
        <v>814</v>
      </c>
      <c r="E1442" s="7">
        <v>70</v>
      </c>
      <c r="F1442" t="s">
        <v>20</v>
      </c>
      <c r="G1442" t="s">
        <v>21</v>
      </c>
      <c r="H1442" t="str">
        <f>"12/16/19"</f>
        <v>12/16/19</v>
      </c>
      <c r="I1442" t="str">
        <f>"RACHEL GARCIA"</f>
        <v>RACHEL GARCIA</v>
      </c>
    </row>
    <row r="1443" spans="1:9" x14ac:dyDescent="0.25">
      <c r="A1443" s="6">
        <v>43818</v>
      </c>
      <c r="B1443" t="s">
        <v>26</v>
      </c>
      <c r="C1443">
        <v>62850</v>
      </c>
      <c r="D1443" t="s">
        <v>816</v>
      </c>
      <c r="E1443" s="7">
        <v>105</v>
      </c>
      <c r="F1443" t="s">
        <v>20</v>
      </c>
      <c r="G1443" t="s">
        <v>21</v>
      </c>
      <c r="H1443" t="str">
        <f>"SOFTBALL SEC.12/6"</f>
        <v>SOFTBALL SEC.12/6</v>
      </c>
      <c r="I1443" t="str">
        <f>"MEGAN K ANDERSON"</f>
        <v>MEGAN K ANDERSON</v>
      </c>
    </row>
    <row r="1444" spans="1:9" x14ac:dyDescent="0.25">
      <c r="A1444" s="6">
        <v>43818</v>
      </c>
      <c r="B1444" t="s">
        <v>26</v>
      </c>
      <c r="C1444">
        <v>62851</v>
      </c>
      <c r="D1444" t="s">
        <v>824</v>
      </c>
      <c r="E1444" s="7">
        <v>70</v>
      </c>
      <c r="F1444" t="s">
        <v>20</v>
      </c>
      <c r="G1444" t="s">
        <v>21</v>
      </c>
      <c r="H1444" t="str">
        <f>"12/16/2019"</f>
        <v>12/16/2019</v>
      </c>
      <c r="I1444" t="str">
        <f>"MALLORY R. NELSON"</f>
        <v>MALLORY R. NELSON</v>
      </c>
    </row>
    <row r="1445" spans="1:9" x14ac:dyDescent="0.25">
      <c r="A1445" s="6">
        <v>43818</v>
      </c>
      <c r="B1445" t="s">
        <v>26</v>
      </c>
      <c r="C1445">
        <v>62852</v>
      </c>
      <c r="D1445" t="s">
        <v>836</v>
      </c>
      <c r="E1445" s="7">
        <v>11450</v>
      </c>
      <c r="F1445" t="s">
        <v>20</v>
      </c>
      <c r="G1445" t="s">
        <v>21</v>
      </c>
      <c r="H1445" t="str">
        <f>"58187"</f>
        <v>58187</v>
      </c>
      <c r="I1445" t="str">
        <f>"BARCOM TECHNOLOGY SOLUTIONS  I"</f>
        <v>BARCOM TECHNOLOGY SOLUTIONS  I</v>
      </c>
    </row>
    <row r="1446" spans="1:9" x14ac:dyDescent="0.25">
      <c r="E1446" s="7"/>
      <c r="F1446" t="s">
        <v>20</v>
      </c>
      <c r="G1446" t="s">
        <v>21</v>
      </c>
      <c r="H1446" t="str">
        <f>"58709"</f>
        <v>58709</v>
      </c>
      <c r="I1446" t="str">
        <f>"BARCOM TECHNOLOGY SOLUTIONS  I"</f>
        <v>BARCOM TECHNOLOGY SOLUTIONS  I</v>
      </c>
    </row>
    <row r="1447" spans="1:9" x14ac:dyDescent="0.25">
      <c r="A1447" s="6">
        <v>43818</v>
      </c>
      <c r="B1447" t="s">
        <v>26</v>
      </c>
      <c r="C1447">
        <v>62854</v>
      </c>
      <c r="D1447" t="s">
        <v>860</v>
      </c>
      <c r="E1447" s="7">
        <v>600</v>
      </c>
      <c r="F1447" t="s">
        <v>20</v>
      </c>
      <c r="G1447" t="s">
        <v>21</v>
      </c>
      <c r="H1447" t="str">
        <f>"HOL. EXTRAV.2019"</f>
        <v>HOL. EXTRAV.2019</v>
      </c>
      <c r="I1447" t="str">
        <f>"VICKY CORTEZ"</f>
        <v>VICKY CORTEZ</v>
      </c>
    </row>
    <row r="1448" spans="1:9" x14ac:dyDescent="0.25">
      <c r="A1448" s="6">
        <v>43818</v>
      </c>
      <c r="B1448" t="s">
        <v>26</v>
      </c>
      <c r="C1448">
        <v>62855</v>
      </c>
      <c r="D1448" t="s">
        <v>59</v>
      </c>
      <c r="E1448" s="7">
        <v>4714.6400000000003</v>
      </c>
      <c r="F1448" t="s">
        <v>20</v>
      </c>
      <c r="G1448" t="s">
        <v>21</v>
      </c>
      <c r="H1448" t="str">
        <f>"1044317"</f>
        <v>1044317</v>
      </c>
      <c r="I1448" t="str">
        <f>"BLOWOFF P FLUSHING HYD"</f>
        <v>BLOWOFF P FLUSHING HYD</v>
      </c>
    </row>
    <row r="1449" spans="1:9" x14ac:dyDescent="0.25">
      <c r="E1449" s="7"/>
      <c r="F1449" t="s">
        <v>20</v>
      </c>
      <c r="G1449" t="s">
        <v>21</v>
      </c>
      <c r="H1449" t="str">
        <f>"1044864"</f>
        <v>1044864</v>
      </c>
      <c r="I1449" t="str">
        <f>"MISC STOCK"</f>
        <v>MISC STOCK</v>
      </c>
    </row>
    <row r="1450" spans="1:9" x14ac:dyDescent="0.25">
      <c r="A1450" s="6">
        <v>43818</v>
      </c>
      <c r="B1450" t="s">
        <v>26</v>
      </c>
      <c r="C1450">
        <v>62857</v>
      </c>
      <c r="D1450" t="s">
        <v>240</v>
      </c>
      <c r="E1450" s="7">
        <v>1943.54</v>
      </c>
      <c r="F1450" t="s">
        <v>20</v>
      </c>
      <c r="G1450" t="s">
        <v>21</v>
      </c>
      <c r="H1450" t="str">
        <f>"0180854-IN"</f>
        <v>0180854-IN</v>
      </c>
      <c r="I1450" t="str">
        <f>"UNIFORM OFFICER ZUNIGA"</f>
        <v>UNIFORM OFFICER ZUNIGA</v>
      </c>
    </row>
    <row r="1451" spans="1:9" x14ac:dyDescent="0.25">
      <c r="E1451" s="7"/>
      <c r="F1451" t="s">
        <v>20</v>
      </c>
      <c r="G1451" t="s">
        <v>21</v>
      </c>
      <c r="H1451" t="str">
        <f>"0180855-IN"</f>
        <v>0180855-IN</v>
      </c>
      <c r="I1451" t="str">
        <f>"UNIFORMS OFFICER ROMERO"</f>
        <v>UNIFORMS OFFICER ROMERO</v>
      </c>
    </row>
    <row r="1452" spans="1:9" x14ac:dyDescent="0.25">
      <c r="E1452" s="7"/>
      <c r="F1452" t="s">
        <v>20</v>
      </c>
      <c r="G1452" t="s">
        <v>21</v>
      </c>
      <c r="H1452" t="str">
        <f>"0181059-IN"</f>
        <v>0181059-IN</v>
      </c>
      <c r="I1452" t="str">
        <f>"UNIFORM OFFICER GUTIERREZ"</f>
        <v>UNIFORM OFFICER GUTIERREZ</v>
      </c>
    </row>
    <row r="1453" spans="1:9" x14ac:dyDescent="0.25">
      <c r="E1453" s="7"/>
      <c r="F1453" t="s">
        <v>20</v>
      </c>
      <c r="G1453" t="s">
        <v>21</v>
      </c>
      <c r="H1453" t="str">
        <f>"0181613-IN"</f>
        <v>0181613-IN</v>
      </c>
      <c r="I1453" t="str">
        <f>"UNIFORMS OFFICER CASILLAS"</f>
        <v>UNIFORMS OFFICER CASILLAS</v>
      </c>
    </row>
    <row r="1454" spans="1:9" x14ac:dyDescent="0.25">
      <c r="E1454" s="7"/>
      <c r="F1454" t="s">
        <v>20</v>
      </c>
      <c r="G1454" t="s">
        <v>21</v>
      </c>
      <c r="H1454" t="str">
        <f>"0181723-IN"</f>
        <v>0181723-IN</v>
      </c>
      <c r="I1454" t="str">
        <f>"UNIFORM OFFICER R. GARCIA"</f>
        <v>UNIFORM OFFICER R. GARCIA</v>
      </c>
    </row>
    <row r="1455" spans="1:9" x14ac:dyDescent="0.25">
      <c r="A1455" s="6">
        <v>43818</v>
      </c>
      <c r="B1455" t="s">
        <v>26</v>
      </c>
      <c r="C1455">
        <v>62858</v>
      </c>
      <c r="D1455" t="s">
        <v>194</v>
      </c>
      <c r="E1455" s="7">
        <v>703.88</v>
      </c>
      <c r="F1455" t="s">
        <v>20</v>
      </c>
      <c r="G1455" t="s">
        <v>21</v>
      </c>
      <c r="H1455" t="str">
        <f>"014261268"</f>
        <v>014261268</v>
      </c>
      <c r="I1455" t="str">
        <f>"UNIFORMS FOR SGT. KEEN"</f>
        <v>UNIFORMS FOR SGT. KEEN</v>
      </c>
    </row>
    <row r="1456" spans="1:9" x14ac:dyDescent="0.25">
      <c r="E1456" s="7"/>
      <c r="F1456" t="s">
        <v>20</v>
      </c>
      <c r="G1456" t="s">
        <v>21</v>
      </c>
      <c r="H1456" t="str">
        <f>"014261271"</f>
        <v>014261271</v>
      </c>
      <c r="I1456" t="str">
        <f>"UNIFORM OFFICER CASILLAS"</f>
        <v>UNIFORM OFFICER CASILLAS</v>
      </c>
    </row>
    <row r="1457" spans="1:9" x14ac:dyDescent="0.25">
      <c r="E1457" s="7"/>
      <c r="F1457" t="s">
        <v>20</v>
      </c>
      <c r="G1457" t="s">
        <v>21</v>
      </c>
      <c r="H1457" t="str">
        <f>"BC0987298"</f>
        <v>BC0987298</v>
      </c>
      <c r="I1457" t="str">
        <f>"FIREARMS"</f>
        <v>FIREARMS</v>
      </c>
    </row>
    <row r="1458" spans="1:9" x14ac:dyDescent="0.25">
      <c r="A1458" s="6">
        <v>43818</v>
      </c>
      <c r="B1458" t="s">
        <v>26</v>
      </c>
      <c r="C1458">
        <v>62859</v>
      </c>
      <c r="D1458" t="s">
        <v>568</v>
      </c>
      <c r="E1458" s="7">
        <v>436.8</v>
      </c>
      <c r="F1458" t="s">
        <v>20</v>
      </c>
      <c r="G1458" t="s">
        <v>21</v>
      </c>
      <c r="H1458" t="str">
        <f>"11703870"</f>
        <v>11703870</v>
      </c>
      <c r="I1458" t="str">
        <f>"TIRES FOR STREETS UNIT504"</f>
        <v>TIRES FOR STREETS UNIT504</v>
      </c>
    </row>
    <row r="1459" spans="1:9" x14ac:dyDescent="0.25">
      <c r="A1459" s="6">
        <v>43818</v>
      </c>
      <c r="B1459" t="s">
        <v>26</v>
      </c>
      <c r="C1459">
        <v>62860</v>
      </c>
      <c r="D1459" t="s">
        <v>205</v>
      </c>
      <c r="E1459" s="7">
        <v>615.69000000000005</v>
      </c>
      <c r="F1459" t="s">
        <v>20</v>
      </c>
      <c r="G1459" t="s">
        <v>21</v>
      </c>
      <c r="H1459" t="str">
        <f>"HOLIDAY EXTR. 2019"</f>
        <v>HOLIDAY EXTR. 2019</v>
      </c>
      <c r="I1459" t="str">
        <f>"SILVER EAGLE DISTRIBUTORS"</f>
        <v>SILVER EAGLE DISTRIBUTORS</v>
      </c>
    </row>
    <row r="1460" spans="1:9" x14ac:dyDescent="0.25">
      <c r="A1460" s="6">
        <v>43819</v>
      </c>
      <c r="B1460" t="s">
        <v>26</v>
      </c>
      <c r="C1460">
        <v>62861</v>
      </c>
      <c r="D1460" t="s">
        <v>861</v>
      </c>
      <c r="E1460" s="7">
        <v>2500</v>
      </c>
      <c r="F1460" t="s">
        <v>20</v>
      </c>
      <c r="G1460" t="s">
        <v>21</v>
      </c>
      <c r="H1460" t="str">
        <f>"HOLIDAY EXT. 2019"</f>
        <v>HOLIDAY EXT. 2019</v>
      </c>
      <c r="I1460" t="str">
        <f>"SWANSON SOUND &amp; LIGHT"</f>
        <v>SWANSON SOUND &amp; LIGHT</v>
      </c>
    </row>
    <row r="1461" spans="1:9" x14ac:dyDescent="0.25">
      <c r="A1461" s="6">
        <v>43822</v>
      </c>
      <c r="B1461" t="s">
        <v>91</v>
      </c>
      <c r="C1461">
        <v>62862</v>
      </c>
      <c r="D1461" t="s">
        <v>90</v>
      </c>
      <c r="E1461" s="7">
        <v>840.88</v>
      </c>
      <c r="F1461" t="s">
        <v>20</v>
      </c>
      <c r="G1461" t="s">
        <v>21</v>
      </c>
      <c r="H1461" t="str">
        <f>"ACA201912188558"</f>
        <v>ACA201912188558</v>
      </c>
      <c r="I1461" t="str">
        <f>"AFLAC INSURANCE"</f>
        <v>AFLAC INSURANCE</v>
      </c>
    </row>
    <row r="1462" spans="1:9" x14ac:dyDescent="0.25">
      <c r="E1462" s="7"/>
      <c r="F1462" t="s">
        <v>20</v>
      </c>
      <c r="G1462" t="s">
        <v>21</v>
      </c>
      <c r="H1462" t="str">
        <f>"AD2201912188558"</f>
        <v>AD2201912188558</v>
      </c>
      <c r="I1462" t="str">
        <f>"AFLAC INSURANCE"</f>
        <v>AFLAC INSURANCE</v>
      </c>
    </row>
    <row r="1463" spans="1:9" x14ac:dyDescent="0.25">
      <c r="E1463" s="7"/>
      <c r="F1463" t="s">
        <v>20</v>
      </c>
      <c r="G1463" t="s">
        <v>21</v>
      </c>
      <c r="H1463" t="str">
        <f>"ADR201912188558"</f>
        <v>ADR201912188558</v>
      </c>
      <c r="I1463" t="str">
        <f>"INSURANCE"</f>
        <v>INSURANCE</v>
      </c>
    </row>
    <row r="1464" spans="1:9" x14ac:dyDescent="0.25">
      <c r="E1464" s="7"/>
      <c r="F1464" t="s">
        <v>20</v>
      </c>
      <c r="G1464" t="s">
        <v>21</v>
      </c>
      <c r="H1464" t="str">
        <f>"AF1201912188558"</f>
        <v>AF1201912188558</v>
      </c>
      <c r="I1464" t="str">
        <f>"AFLAC INSURANCE"</f>
        <v>AFLAC INSURANCE</v>
      </c>
    </row>
    <row r="1465" spans="1:9" x14ac:dyDescent="0.25">
      <c r="E1465" s="7"/>
      <c r="F1465" t="s">
        <v>20</v>
      </c>
      <c r="G1465" t="s">
        <v>21</v>
      </c>
      <c r="H1465" t="str">
        <f>"ASP201912188558"</f>
        <v>ASP201912188558</v>
      </c>
      <c r="I1465" t="str">
        <f>"AFLAC INSURANCE"</f>
        <v>AFLAC INSURANCE</v>
      </c>
    </row>
    <row r="1466" spans="1:9" x14ac:dyDescent="0.25">
      <c r="E1466" s="7"/>
      <c r="F1466" t="s">
        <v>20</v>
      </c>
      <c r="G1466" t="s">
        <v>21</v>
      </c>
      <c r="H1466" t="str">
        <f>"HCO201912188558"</f>
        <v>HCO201912188558</v>
      </c>
      <c r="I1466" t="str">
        <f>"AFLAC INSURANCE"</f>
        <v>AFLAC INSURANCE</v>
      </c>
    </row>
    <row r="1467" spans="1:9" x14ac:dyDescent="0.25">
      <c r="A1467" s="6">
        <v>43822</v>
      </c>
      <c r="B1467" t="s">
        <v>91</v>
      </c>
      <c r="C1467">
        <v>62862</v>
      </c>
      <c r="D1467" t="s">
        <v>90</v>
      </c>
      <c r="E1467" s="7">
        <v>840.88</v>
      </c>
      <c r="F1467" t="s">
        <v>20</v>
      </c>
      <c r="G1467" t="s">
        <v>93</v>
      </c>
      <c r="H1467" t="str">
        <f>"CHECK"</f>
        <v>CHECK</v>
      </c>
      <c r="I1467" t="str">
        <f>""</f>
        <v/>
      </c>
    </row>
    <row r="1468" spans="1:9" x14ac:dyDescent="0.25">
      <c r="A1468" s="6">
        <v>43822</v>
      </c>
      <c r="B1468" t="s">
        <v>91</v>
      </c>
      <c r="C1468">
        <v>62865</v>
      </c>
      <c r="D1468" t="s">
        <v>862</v>
      </c>
      <c r="E1468" s="7">
        <v>7500</v>
      </c>
      <c r="F1468" t="s">
        <v>20</v>
      </c>
      <c r="G1468" t="s">
        <v>21</v>
      </c>
      <c r="H1468" t="str">
        <f>"FACADE GRANT"</f>
        <v>FACADE GRANT</v>
      </c>
      <c r="I1468" t="str">
        <f>"H &amp; H PAWN / TRENDY TREASURES"</f>
        <v>H &amp; H PAWN / TRENDY TREASURES</v>
      </c>
    </row>
    <row r="1469" spans="1:9" x14ac:dyDescent="0.25">
      <c r="A1469" s="6">
        <v>43822</v>
      </c>
      <c r="B1469" t="s">
        <v>91</v>
      </c>
      <c r="C1469">
        <v>62865</v>
      </c>
      <c r="D1469" t="s">
        <v>862</v>
      </c>
      <c r="E1469" s="7">
        <v>7500</v>
      </c>
      <c r="F1469" t="s">
        <v>20</v>
      </c>
      <c r="G1469" t="s">
        <v>93</v>
      </c>
      <c r="H1469" t="str">
        <f>"CHECK"</f>
        <v>CHECK</v>
      </c>
      <c r="I1469" t="str">
        <f>""</f>
        <v/>
      </c>
    </row>
    <row r="1470" spans="1:9" x14ac:dyDescent="0.25">
      <c r="A1470" s="6">
        <v>43822</v>
      </c>
      <c r="B1470" t="s">
        <v>91</v>
      </c>
      <c r="C1470">
        <v>62866</v>
      </c>
      <c r="D1470" t="s">
        <v>92</v>
      </c>
      <c r="E1470" s="7">
        <v>20468.73</v>
      </c>
      <c r="F1470" t="s">
        <v>20</v>
      </c>
      <c r="G1470" t="s">
        <v>21</v>
      </c>
      <c r="H1470" t="str">
        <f>"RET201912188558"</f>
        <v>RET201912188558</v>
      </c>
      <c r="I1470" t="str">
        <f>"TMRS CITY OF FLORESVILLE"</f>
        <v>TMRS CITY OF FLORESVILLE</v>
      </c>
    </row>
    <row r="1471" spans="1:9" x14ac:dyDescent="0.25">
      <c r="A1471" s="6">
        <v>43822</v>
      </c>
      <c r="B1471" t="s">
        <v>91</v>
      </c>
      <c r="C1471">
        <v>62866</v>
      </c>
      <c r="D1471" t="s">
        <v>92</v>
      </c>
      <c r="E1471" s="7">
        <v>20468.73</v>
      </c>
      <c r="F1471" t="s">
        <v>20</v>
      </c>
      <c r="G1471" t="s">
        <v>93</v>
      </c>
      <c r="H1471" t="str">
        <f>"CHECK"</f>
        <v>CHECK</v>
      </c>
      <c r="I1471" t="str">
        <f>""</f>
        <v/>
      </c>
    </row>
    <row r="1472" spans="1:9" x14ac:dyDescent="0.25">
      <c r="A1472" s="6">
        <v>43822</v>
      </c>
      <c r="B1472" t="s">
        <v>91</v>
      </c>
      <c r="C1472">
        <v>62868</v>
      </c>
      <c r="D1472" t="s">
        <v>95</v>
      </c>
      <c r="E1472" s="7">
        <v>29.99</v>
      </c>
      <c r="F1472" t="s">
        <v>20</v>
      </c>
      <c r="G1472" t="s">
        <v>21</v>
      </c>
      <c r="H1472" t="str">
        <f>"LEA201912188558"</f>
        <v>LEA201912188558</v>
      </c>
      <c r="I1472" t="str">
        <f>"INSURANCE"</f>
        <v>INSURANCE</v>
      </c>
    </row>
    <row r="1473" spans="1:9" x14ac:dyDescent="0.25">
      <c r="A1473" s="6">
        <v>43822</v>
      </c>
      <c r="B1473" t="s">
        <v>91</v>
      </c>
      <c r="C1473">
        <v>62868</v>
      </c>
      <c r="D1473" t="s">
        <v>95</v>
      </c>
      <c r="E1473" s="7">
        <v>29.99</v>
      </c>
      <c r="F1473" t="s">
        <v>20</v>
      </c>
      <c r="G1473" t="s">
        <v>93</v>
      </c>
      <c r="H1473" t="str">
        <f>"CHECK"</f>
        <v>CHECK</v>
      </c>
      <c r="I1473" t="str">
        <f>""</f>
        <v/>
      </c>
    </row>
    <row r="1474" spans="1:9" x14ac:dyDescent="0.25">
      <c r="A1474" s="6">
        <v>43822</v>
      </c>
      <c r="B1474" t="s">
        <v>91</v>
      </c>
      <c r="C1474">
        <v>62869</v>
      </c>
      <c r="D1474" t="s">
        <v>96</v>
      </c>
      <c r="E1474" s="7">
        <v>163.24</v>
      </c>
      <c r="F1474" t="s">
        <v>20</v>
      </c>
      <c r="G1474" t="s">
        <v>21</v>
      </c>
      <c r="H1474" t="str">
        <f>"PPL201912188558"</f>
        <v>PPL201912188558</v>
      </c>
      <c r="I1474" t="str">
        <f>"INSURANCE"</f>
        <v>INSURANCE</v>
      </c>
    </row>
    <row r="1475" spans="1:9" x14ac:dyDescent="0.25">
      <c r="A1475" s="6">
        <v>43822</v>
      </c>
      <c r="B1475" t="s">
        <v>91</v>
      </c>
      <c r="C1475">
        <v>62869</v>
      </c>
      <c r="D1475" t="s">
        <v>96</v>
      </c>
      <c r="E1475" s="7">
        <v>163.24</v>
      </c>
      <c r="F1475" t="s">
        <v>20</v>
      </c>
      <c r="G1475" t="s">
        <v>93</v>
      </c>
      <c r="H1475" t="str">
        <f>"CHECK"</f>
        <v>CHECK</v>
      </c>
      <c r="I1475" t="str">
        <f>""</f>
        <v/>
      </c>
    </row>
    <row r="1476" spans="1:9" x14ac:dyDescent="0.25">
      <c r="A1476" s="6">
        <v>43822</v>
      </c>
      <c r="B1476" t="s">
        <v>91</v>
      </c>
      <c r="C1476">
        <v>62870</v>
      </c>
      <c r="D1476" t="s">
        <v>97</v>
      </c>
      <c r="E1476" s="7">
        <v>36738.01</v>
      </c>
      <c r="F1476" t="s">
        <v>20</v>
      </c>
      <c r="G1476" t="s">
        <v>21</v>
      </c>
      <c r="H1476" t="str">
        <f>"DEN201912188558"</f>
        <v>DEN201912188558</v>
      </c>
      <c r="I1476" t="str">
        <f>"DENTAL INSURANCE"</f>
        <v>DENTAL INSURANCE</v>
      </c>
    </row>
    <row r="1477" spans="1:9" x14ac:dyDescent="0.25">
      <c r="E1477" s="7"/>
      <c r="F1477" t="s">
        <v>20</v>
      </c>
      <c r="G1477" t="s">
        <v>21</v>
      </c>
      <c r="H1477" t="str">
        <f>"MED201912188558"</f>
        <v>MED201912188558</v>
      </c>
      <c r="I1477" t="str">
        <f>"HEALTH &amp; DENTAL INSURANCE"</f>
        <v>HEALTH &amp; DENTAL INSURANCE</v>
      </c>
    </row>
    <row r="1478" spans="1:9" x14ac:dyDescent="0.25">
      <c r="A1478" s="6">
        <v>43822</v>
      </c>
      <c r="B1478" t="s">
        <v>91</v>
      </c>
      <c r="C1478">
        <v>62870</v>
      </c>
      <c r="D1478" t="s">
        <v>97</v>
      </c>
      <c r="E1478" s="7">
        <v>36738.01</v>
      </c>
      <c r="F1478" t="s">
        <v>20</v>
      </c>
      <c r="G1478" t="s">
        <v>93</v>
      </c>
      <c r="H1478" t="str">
        <f>"CHECK"</f>
        <v>CHECK</v>
      </c>
      <c r="I1478" t="str">
        <f>""</f>
        <v/>
      </c>
    </row>
    <row r="1479" spans="1:9" x14ac:dyDescent="0.25">
      <c r="A1479" s="6">
        <v>43822</v>
      </c>
      <c r="B1479" t="s">
        <v>91</v>
      </c>
      <c r="C1479">
        <v>62872</v>
      </c>
      <c r="D1479" t="s">
        <v>98</v>
      </c>
      <c r="E1479" s="7">
        <v>1938.89</v>
      </c>
      <c r="F1479" t="s">
        <v>20</v>
      </c>
      <c r="G1479" t="s">
        <v>21</v>
      </c>
      <c r="H1479" t="str">
        <f>"LIF201912188558"</f>
        <v>LIF201912188558</v>
      </c>
      <c r="I1479" t="str">
        <f>"INSURANCE"</f>
        <v>INSURANCE</v>
      </c>
    </row>
    <row r="1480" spans="1:9" x14ac:dyDescent="0.25">
      <c r="E1480" s="7"/>
      <c r="F1480" t="s">
        <v>20</v>
      </c>
      <c r="G1480" t="s">
        <v>21</v>
      </c>
      <c r="H1480" t="str">
        <f>"STD201912188558"</f>
        <v>STD201912188558</v>
      </c>
      <c r="I1480" t="str">
        <f>"SHORT TERM DISABILITY"</f>
        <v>SHORT TERM DISABILITY</v>
      </c>
    </row>
    <row r="1481" spans="1:9" x14ac:dyDescent="0.25">
      <c r="E1481" s="7"/>
      <c r="F1481" t="s">
        <v>20</v>
      </c>
      <c r="G1481" t="s">
        <v>21</v>
      </c>
      <c r="H1481" t="str">
        <f>"VIS201912188558"</f>
        <v>VIS201912188558</v>
      </c>
      <c r="I1481" t="str">
        <f>"VISION INSURANCE"</f>
        <v>VISION INSURANCE</v>
      </c>
    </row>
    <row r="1482" spans="1:9" x14ac:dyDescent="0.25">
      <c r="E1482" s="7"/>
      <c r="F1482" t="s">
        <v>20</v>
      </c>
      <c r="G1482" t="s">
        <v>21</v>
      </c>
      <c r="H1482" t="str">
        <f>"VLC201912188558"</f>
        <v>VLC201912188558</v>
      </c>
      <c r="I1482" t="str">
        <f>"CHILD LIFE INSURANCE"</f>
        <v>CHILD LIFE INSURANCE</v>
      </c>
    </row>
    <row r="1483" spans="1:9" x14ac:dyDescent="0.25">
      <c r="E1483" s="7"/>
      <c r="F1483" t="s">
        <v>20</v>
      </c>
      <c r="G1483" t="s">
        <v>21</v>
      </c>
      <c r="H1483" t="str">
        <f>"VLS201912188558"</f>
        <v>VLS201912188558</v>
      </c>
      <c r="I1483" t="str">
        <f>"SPOUSE LIFE"</f>
        <v>SPOUSE LIFE</v>
      </c>
    </row>
    <row r="1484" spans="1:9" x14ac:dyDescent="0.25">
      <c r="E1484" s="7"/>
      <c r="F1484" t="s">
        <v>20</v>
      </c>
      <c r="G1484" t="s">
        <v>21</v>
      </c>
      <c r="H1484" t="str">
        <f>"VOE201912188558"</f>
        <v>VOE201912188558</v>
      </c>
      <c r="I1484" t="str">
        <f>"EMPLOYEE LIFE"</f>
        <v>EMPLOYEE LIFE</v>
      </c>
    </row>
    <row r="1485" spans="1:9" x14ac:dyDescent="0.25">
      <c r="E1485" s="7"/>
      <c r="F1485" t="s">
        <v>20</v>
      </c>
      <c r="G1485" t="s">
        <v>21</v>
      </c>
      <c r="H1485" t="str">
        <f>"VOL201912188558"</f>
        <v>VOL201912188558</v>
      </c>
      <c r="I1485" t="str">
        <f>"LIFE"</f>
        <v>LIFE</v>
      </c>
    </row>
    <row r="1486" spans="1:9" x14ac:dyDescent="0.25">
      <c r="A1486" s="6">
        <v>43822</v>
      </c>
      <c r="B1486" t="s">
        <v>91</v>
      </c>
      <c r="C1486">
        <v>62872</v>
      </c>
      <c r="D1486" t="s">
        <v>98</v>
      </c>
      <c r="E1486" s="7">
        <v>1938.89</v>
      </c>
      <c r="F1486" t="s">
        <v>20</v>
      </c>
      <c r="G1486" t="s">
        <v>93</v>
      </c>
      <c r="H1486" t="str">
        <f>"CHECK"</f>
        <v>CHECK</v>
      </c>
      <c r="I1486" t="str">
        <f>""</f>
        <v/>
      </c>
    </row>
    <row r="1487" spans="1:9" x14ac:dyDescent="0.25">
      <c r="A1487" s="6">
        <v>43822</v>
      </c>
      <c r="B1487" t="s">
        <v>26</v>
      </c>
      <c r="C1487">
        <v>62877</v>
      </c>
      <c r="D1487" t="s">
        <v>346</v>
      </c>
      <c r="E1487" s="7">
        <v>13750</v>
      </c>
      <c r="F1487" t="s">
        <v>20</v>
      </c>
      <c r="G1487" t="s">
        <v>21</v>
      </c>
      <c r="H1487" t="str">
        <f>"11/11-12/11/2019"</f>
        <v>11/11-12/11/2019</v>
      </c>
      <c r="I1487" t="str">
        <f>"SYLVIA RODRIGUEZ"</f>
        <v>SYLVIA RODRIGUEZ</v>
      </c>
    </row>
    <row r="1488" spans="1:9" x14ac:dyDescent="0.25">
      <c r="A1488" s="6">
        <v>43822</v>
      </c>
      <c r="B1488" t="s">
        <v>26</v>
      </c>
      <c r="C1488">
        <v>62878</v>
      </c>
      <c r="D1488" t="s">
        <v>863</v>
      </c>
      <c r="E1488" s="7">
        <v>175</v>
      </c>
      <c r="F1488" t="s">
        <v>20</v>
      </c>
      <c r="G1488" t="s">
        <v>21</v>
      </c>
      <c r="H1488" t="str">
        <f>"HOLD. EXT DEC2019"</f>
        <v>HOLD. EXT DEC2019</v>
      </c>
      <c r="I1488" t="str">
        <f>"KELLY LEE TREVINO"</f>
        <v>KELLY LEE TREVINO</v>
      </c>
    </row>
    <row r="1489" spans="1:9" x14ac:dyDescent="0.25">
      <c r="A1489" s="6">
        <v>43822</v>
      </c>
      <c r="B1489" t="s">
        <v>26</v>
      </c>
      <c r="C1489">
        <v>62879</v>
      </c>
      <c r="D1489" t="s">
        <v>864</v>
      </c>
      <c r="E1489" s="7">
        <v>245</v>
      </c>
      <c r="F1489" t="s">
        <v>20</v>
      </c>
      <c r="G1489" t="s">
        <v>21</v>
      </c>
      <c r="H1489" t="str">
        <f>"HOLIDAY EXTDEC2019"</f>
        <v>HOLIDAY EXTDEC2019</v>
      </c>
      <c r="I1489" t="str">
        <f>"HAROLD RIOS"</f>
        <v>HAROLD RIOS</v>
      </c>
    </row>
    <row r="1490" spans="1:9" x14ac:dyDescent="0.25">
      <c r="A1490" s="6">
        <v>43822</v>
      </c>
      <c r="B1490" t="s">
        <v>26</v>
      </c>
      <c r="C1490">
        <v>62880</v>
      </c>
      <c r="D1490" t="s">
        <v>865</v>
      </c>
      <c r="E1490" s="7">
        <v>175</v>
      </c>
      <c r="F1490" t="s">
        <v>20</v>
      </c>
      <c r="G1490" t="s">
        <v>21</v>
      </c>
      <c r="H1490" t="str">
        <f>"HOLIDAY EXT DEC'19"</f>
        <v>HOLIDAY EXT DEC'19</v>
      </c>
      <c r="I1490" t="str">
        <f>"RANDAL KEITH DAVIS"</f>
        <v>RANDAL KEITH DAVIS</v>
      </c>
    </row>
    <row r="1491" spans="1:9" x14ac:dyDescent="0.25">
      <c r="A1491" s="6">
        <v>43822</v>
      </c>
      <c r="B1491" t="s">
        <v>26</v>
      </c>
      <c r="C1491">
        <v>62881</v>
      </c>
      <c r="D1491" t="s">
        <v>866</v>
      </c>
      <c r="E1491" s="7">
        <v>245</v>
      </c>
      <c r="F1491" t="s">
        <v>20</v>
      </c>
      <c r="G1491" t="s">
        <v>21</v>
      </c>
      <c r="H1491" t="str">
        <f>"HOLD. EXT DEC2019"</f>
        <v>HOLD. EXT DEC2019</v>
      </c>
      <c r="I1491" t="str">
        <f>"EUGENE RODRIGUEZ"</f>
        <v>EUGENE RODRIGUEZ</v>
      </c>
    </row>
    <row r="1492" spans="1:9" x14ac:dyDescent="0.25">
      <c r="A1492" s="6">
        <v>43822</v>
      </c>
      <c r="B1492" t="s">
        <v>26</v>
      </c>
      <c r="C1492">
        <v>62927</v>
      </c>
      <c r="D1492" t="s">
        <v>103</v>
      </c>
      <c r="E1492" s="7">
        <v>75485.45</v>
      </c>
      <c r="F1492" t="s">
        <v>20</v>
      </c>
      <c r="G1492" t="s">
        <v>21</v>
      </c>
      <c r="H1492" t="str">
        <f>"DEC 2019 SALES TAX"</f>
        <v>DEC 2019 SALES TAX</v>
      </c>
      <c r="I1492" t="str">
        <f>"F. E. D. C."</f>
        <v>F. E. D. C.</v>
      </c>
    </row>
    <row r="1493" spans="1:9" x14ac:dyDescent="0.25">
      <c r="A1493" s="6">
        <v>43822</v>
      </c>
      <c r="B1493" t="s">
        <v>26</v>
      </c>
      <c r="C1493">
        <v>62928</v>
      </c>
      <c r="D1493" t="s">
        <v>166</v>
      </c>
      <c r="E1493" s="7">
        <v>601</v>
      </c>
      <c r="F1493" t="s">
        <v>20</v>
      </c>
      <c r="G1493" t="s">
        <v>21</v>
      </c>
      <c r="H1493" t="str">
        <f>"9567-DEC 2019"</f>
        <v>9567-DEC 2019</v>
      </c>
      <c r="I1493" t="str">
        <f>"PITNEY BOWES PURCHASE POWER"</f>
        <v>PITNEY BOWES PURCHASE POWER</v>
      </c>
    </row>
    <row r="1494" spans="1:9" x14ac:dyDescent="0.25">
      <c r="A1494" s="6">
        <v>43822</v>
      </c>
      <c r="B1494" t="s">
        <v>26</v>
      </c>
      <c r="C1494">
        <v>62929</v>
      </c>
      <c r="D1494" t="s">
        <v>202</v>
      </c>
      <c r="E1494" s="7">
        <v>460</v>
      </c>
      <c r="F1494" t="s">
        <v>20</v>
      </c>
      <c r="G1494" t="s">
        <v>21</v>
      </c>
      <c r="H1494" t="str">
        <f>"62021641"</f>
        <v>62021641</v>
      </c>
      <c r="I1494" t="str">
        <f>"A-2 BASE"</f>
        <v>A-2 BASE</v>
      </c>
    </row>
    <row r="1495" spans="1:9" x14ac:dyDescent="0.25">
      <c r="A1495" s="6">
        <v>43822</v>
      </c>
      <c r="B1495" t="s">
        <v>26</v>
      </c>
      <c r="C1495">
        <v>62930</v>
      </c>
      <c r="D1495" t="s">
        <v>273</v>
      </c>
      <c r="E1495" s="7">
        <v>2504.67</v>
      </c>
      <c r="F1495" t="s">
        <v>20</v>
      </c>
      <c r="G1495" t="s">
        <v>21</v>
      </c>
      <c r="H1495" t="str">
        <f>"5119-000091188"</f>
        <v>5119-000091188</v>
      </c>
      <c r="I1495" t="str">
        <f>"REPUBLIC SERVICES TESSMAN ROAD"</f>
        <v>REPUBLIC SERVICES TESSMAN ROAD</v>
      </c>
    </row>
    <row r="1496" spans="1:9" x14ac:dyDescent="0.25">
      <c r="A1496" s="6">
        <v>43822</v>
      </c>
      <c r="B1496" t="s">
        <v>26</v>
      </c>
      <c r="C1496">
        <v>62931</v>
      </c>
      <c r="D1496" t="s">
        <v>180</v>
      </c>
      <c r="E1496" s="7">
        <v>51.89</v>
      </c>
      <c r="F1496" t="s">
        <v>20</v>
      </c>
      <c r="G1496" t="s">
        <v>21</v>
      </c>
      <c r="H1496" t="str">
        <f>"30139146"</f>
        <v>30139146</v>
      </c>
      <c r="I1496" t="str">
        <f>"4 CORNERS FLOOD LIGHT"</f>
        <v>4 CORNERS FLOOD LIGHT</v>
      </c>
    </row>
    <row r="1497" spans="1:9" x14ac:dyDescent="0.25">
      <c r="E1497" s="7"/>
      <c r="F1497" t="s">
        <v>20</v>
      </c>
      <c r="G1497" t="s">
        <v>21</v>
      </c>
      <c r="H1497" t="str">
        <f>"30139157"</f>
        <v>30139157</v>
      </c>
      <c r="I1497" t="str">
        <f>"CONCRETE BAGS"</f>
        <v>CONCRETE BAGS</v>
      </c>
    </row>
    <row r="1498" spans="1:9" x14ac:dyDescent="0.25">
      <c r="A1498" s="6">
        <v>43822</v>
      </c>
      <c r="B1498" t="s">
        <v>26</v>
      </c>
      <c r="C1498">
        <v>62932</v>
      </c>
      <c r="D1498" t="s">
        <v>203</v>
      </c>
      <c r="E1498" s="7">
        <v>1053.83</v>
      </c>
      <c r="F1498" t="s">
        <v>20</v>
      </c>
      <c r="G1498" t="s">
        <v>21</v>
      </c>
      <c r="H1498" t="str">
        <f>"089612"</f>
        <v>089612</v>
      </c>
      <c r="I1498" t="str">
        <f>"TOOLS AND MAINTANCE"</f>
        <v>TOOLS AND MAINTANCE</v>
      </c>
    </row>
    <row r="1499" spans="1:9" x14ac:dyDescent="0.25">
      <c r="A1499" s="6">
        <v>43822</v>
      </c>
      <c r="B1499" t="s">
        <v>26</v>
      </c>
      <c r="C1499">
        <v>62933</v>
      </c>
      <c r="D1499" t="s">
        <v>61</v>
      </c>
      <c r="E1499" s="7">
        <v>2745.62</v>
      </c>
      <c r="F1499" t="s">
        <v>20</v>
      </c>
      <c r="G1499" t="s">
        <v>21</v>
      </c>
      <c r="H1499" t="str">
        <f>"025-278171"</f>
        <v>025-278171</v>
      </c>
      <c r="I1499" t="str">
        <f>"TYLER TECHNOLOGIES  INC."</f>
        <v>TYLER TECHNOLOGIES  INC.</v>
      </c>
    </row>
    <row r="1500" spans="1:9" x14ac:dyDescent="0.25">
      <c r="A1500" s="6">
        <v>43822</v>
      </c>
      <c r="B1500" t="s">
        <v>26</v>
      </c>
      <c r="C1500">
        <v>62934</v>
      </c>
      <c r="D1500" t="s">
        <v>92</v>
      </c>
      <c r="E1500" s="7">
        <v>40342.01</v>
      </c>
      <c r="F1500" t="s">
        <v>20</v>
      </c>
      <c r="G1500" t="s">
        <v>21</v>
      </c>
      <c r="H1500" t="str">
        <f>"NOV.2019"</f>
        <v>NOV.2019</v>
      </c>
      <c r="I1500" t="str">
        <f>"TEXAS MUNICIPAL RETIREMENT SYS"</f>
        <v>TEXAS MUNICIPAL RETIREMENT SYS</v>
      </c>
    </row>
    <row r="1501" spans="1:9" x14ac:dyDescent="0.25">
      <c r="A1501" s="6">
        <v>43822</v>
      </c>
      <c r="B1501" t="s">
        <v>91</v>
      </c>
      <c r="C1501">
        <v>62935</v>
      </c>
      <c r="D1501" t="s">
        <v>167</v>
      </c>
      <c r="E1501" s="7">
        <v>465.15</v>
      </c>
      <c r="F1501" t="s">
        <v>20</v>
      </c>
      <c r="G1501" t="s">
        <v>21</v>
      </c>
      <c r="H1501" t="str">
        <f>"33208"</f>
        <v>33208</v>
      </c>
      <c r="I1501" t="str">
        <f>"CHECKS- DIRECT DEP &amp; FEDC"</f>
        <v>CHECKS- DIRECT DEP &amp; FEDC</v>
      </c>
    </row>
    <row r="1502" spans="1:9" x14ac:dyDescent="0.25">
      <c r="A1502" s="6">
        <v>43822</v>
      </c>
      <c r="B1502" t="s">
        <v>91</v>
      </c>
      <c r="C1502">
        <v>62935</v>
      </c>
      <c r="D1502" t="s">
        <v>167</v>
      </c>
      <c r="E1502" s="7">
        <v>465.15</v>
      </c>
      <c r="F1502" t="s">
        <v>20</v>
      </c>
      <c r="G1502" t="s">
        <v>93</v>
      </c>
      <c r="H1502" t="str">
        <f>"CHECK"</f>
        <v>CHECK</v>
      </c>
      <c r="I1502" t="str">
        <f>""</f>
        <v/>
      </c>
    </row>
    <row r="1503" spans="1:9" x14ac:dyDescent="0.25">
      <c r="A1503" s="6">
        <v>43822</v>
      </c>
      <c r="B1503" t="s">
        <v>26</v>
      </c>
      <c r="C1503">
        <v>62936</v>
      </c>
      <c r="D1503" t="s">
        <v>115</v>
      </c>
      <c r="E1503" s="7">
        <v>148.93</v>
      </c>
      <c r="F1503" t="s">
        <v>20</v>
      </c>
      <c r="G1503" t="s">
        <v>21</v>
      </c>
      <c r="H1503" t="str">
        <f>"3547569764"</f>
        <v>3547569764</v>
      </c>
      <c r="I1503" t="str">
        <f>"WATER DEPT- UNIT 203"</f>
        <v>WATER DEPT- UNIT 203</v>
      </c>
    </row>
    <row r="1504" spans="1:9" x14ac:dyDescent="0.25">
      <c r="E1504" s="7"/>
      <c r="F1504" t="s">
        <v>20</v>
      </c>
      <c r="G1504" t="s">
        <v>21</v>
      </c>
      <c r="H1504" t="str">
        <f>"3547570129"</f>
        <v>3547570129</v>
      </c>
      <c r="I1504" t="str">
        <f>"STREETS VEHICLE SUPPLIES"</f>
        <v>STREETS VEHICLE SUPPLIES</v>
      </c>
    </row>
    <row r="1505" spans="1:9" x14ac:dyDescent="0.25">
      <c r="A1505" s="6">
        <v>43822</v>
      </c>
      <c r="B1505" t="s">
        <v>26</v>
      </c>
      <c r="C1505">
        <v>62937</v>
      </c>
      <c r="D1505" t="s">
        <v>684</v>
      </c>
      <c r="E1505" s="7">
        <v>1417.97</v>
      </c>
      <c r="F1505" t="s">
        <v>20</v>
      </c>
      <c r="G1505" t="s">
        <v>21</v>
      </c>
      <c r="H1505" t="str">
        <f>"0055518"</f>
        <v>0055518</v>
      </c>
      <c r="I1505" t="str">
        <f>"STREET SWEEPER REPAIR"</f>
        <v>STREET SWEEPER REPAIR</v>
      </c>
    </row>
    <row r="1506" spans="1:9" x14ac:dyDescent="0.25">
      <c r="A1506" s="6">
        <v>43822</v>
      </c>
      <c r="B1506" t="s">
        <v>26</v>
      </c>
      <c r="C1506">
        <v>62938</v>
      </c>
      <c r="D1506" t="s">
        <v>290</v>
      </c>
      <c r="E1506" s="7">
        <v>2320</v>
      </c>
      <c r="F1506" t="s">
        <v>20</v>
      </c>
      <c r="G1506" t="s">
        <v>21</v>
      </c>
      <c r="H1506" t="str">
        <f>"200015807"</f>
        <v>200015807</v>
      </c>
      <c r="I1506" t="str">
        <f>"TEXAS RURAL WATER ASSOCIATION"</f>
        <v>TEXAS RURAL WATER ASSOCIATION</v>
      </c>
    </row>
    <row r="1507" spans="1:9" x14ac:dyDescent="0.25">
      <c r="A1507" s="6">
        <v>43822</v>
      </c>
      <c r="B1507" t="s">
        <v>26</v>
      </c>
      <c r="C1507">
        <v>62939</v>
      </c>
      <c r="D1507" t="s">
        <v>120</v>
      </c>
      <c r="E1507" s="7">
        <v>1862.66</v>
      </c>
      <c r="F1507" t="s">
        <v>20</v>
      </c>
      <c r="G1507" t="s">
        <v>21</v>
      </c>
      <c r="H1507" t="str">
        <f>"71302089"</f>
        <v>71302089</v>
      </c>
      <c r="I1507" t="str">
        <f>"VERIZON BUSINESS"</f>
        <v>VERIZON BUSINESS</v>
      </c>
    </row>
    <row r="1508" spans="1:9" x14ac:dyDescent="0.25">
      <c r="E1508" s="7"/>
      <c r="F1508" t="s">
        <v>20</v>
      </c>
      <c r="G1508" t="s">
        <v>21</v>
      </c>
      <c r="H1508" t="str">
        <f>"71307467"</f>
        <v>71307467</v>
      </c>
      <c r="I1508" t="str">
        <f>"VERIZON BUSINESS"</f>
        <v>VERIZON BUSINESS</v>
      </c>
    </row>
    <row r="1509" spans="1:9" x14ac:dyDescent="0.25">
      <c r="A1509" s="6">
        <v>43822</v>
      </c>
      <c r="B1509" t="s">
        <v>26</v>
      </c>
      <c r="C1509">
        <v>62940</v>
      </c>
      <c r="D1509" t="s">
        <v>302</v>
      </c>
      <c r="E1509" s="7">
        <v>47.86</v>
      </c>
      <c r="F1509" t="s">
        <v>20</v>
      </c>
      <c r="G1509" t="s">
        <v>21</v>
      </c>
      <c r="H1509" t="str">
        <f>"9378010962"</f>
        <v>9378010962</v>
      </c>
      <c r="I1509" t="str">
        <f>"RESERVED SIGN"</f>
        <v>RESERVED SIGN</v>
      </c>
    </row>
    <row r="1510" spans="1:9" x14ac:dyDescent="0.25">
      <c r="A1510" s="6">
        <v>43822</v>
      </c>
      <c r="B1510" t="s">
        <v>26</v>
      </c>
      <c r="C1510">
        <v>62941</v>
      </c>
      <c r="D1510" t="s">
        <v>248</v>
      </c>
      <c r="E1510" s="7">
        <v>180</v>
      </c>
      <c r="F1510" t="s">
        <v>20</v>
      </c>
      <c r="G1510" t="s">
        <v>21</v>
      </c>
      <c r="H1510" t="str">
        <f>"1014514105"</f>
        <v>1014514105</v>
      </c>
      <c r="I1510" t="str">
        <f>"PITNEY BOWES"</f>
        <v>PITNEY BOWES</v>
      </c>
    </row>
    <row r="1511" spans="1:9" x14ac:dyDescent="0.25">
      <c r="A1511" s="6">
        <v>43822</v>
      </c>
      <c r="B1511" t="s">
        <v>26</v>
      </c>
      <c r="C1511">
        <v>62942</v>
      </c>
      <c r="D1511" t="s">
        <v>146</v>
      </c>
      <c r="E1511" s="7">
        <v>445</v>
      </c>
      <c r="F1511" t="s">
        <v>20</v>
      </c>
      <c r="G1511" t="s">
        <v>21</v>
      </c>
      <c r="H1511" t="str">
        <f>"742478"</f>
        <v>742478</v>
      </c>
      <c r="I1511" t="str">
        <f>"LARRY SRALLA ELECTRIC"</f>
        <v>LARRY SRALLA ELECTRIC</v>
      </c>
    </row>
    <row r="1512" spans="1:9" x14ac:dyDescent="0.25">
      <c r="A1512" s="6">
        <v>43822</v>
      </c>
      <c r="B1512" t="s">
        <v>26</v>
      </c>
      <c r="C1512">
        <v>62943</v>
      </c>
      <c r="D1512" t="s">
        <v>693</v>
      </c>
      <c r="E1512" s="7">
        <v>111</v>
      </c>
      <c r="F1512" t="s">
        <v>20</v>
      </c>
      <c r="G1512" t="s">
        <v>21</v>
      </c>
      <c r="H1512" t="str">
        <f>"PD RECORDS MANG."</f>
        <v>PD RECORDS MANG.</v>
      </c>
      <c r="I1512" t="str">
        <f>"TRAINING FOR OLGA"</f>
        <v>TRAINING FOR OLGA</v>
      </c>
    </row>
    <row r="1513" spans="1:9" x14ac:dyDescent="0.25">
      <c r="A1513" s="6">
        <v>43822</v>
      </c>
      <c r="B1513" t="s">
        <v>26</v>
      </c>
      <c r="C1513">
        <v>62944</v>
      </c>
      <c r="D1513" t="s">
        <v>282</v>
      </c>
      <c r="E1513" s="7">
        <v>5000</v>
      </c>
      <c r="F1513" t="s">
        <v>20</v>
      </c>
      <c r="G1513" t="s">
        <v>21</v>
      </c>
      <c r="H1513" t="str">
        <f>"3876"</f>
        <v>3876</v>
      </c>
      <c r="I1513" t="str">
        <f>"LANGFORD COMMUNITY MANAGEMENT"</f>
        <v>LANGFORD COMMUNITY MANAGEMENT</v>
      </c>
    </row>
    <row r="1514" spans="1:9" x14ac:dyDescent="0.25">
      <c r="A1514" s="6">
        <v>43822</v>
      </c>
      <c r="B1514" t="s">
        <v>26</v>
      </c>
      <c r="C1514">
        <v>62945</v>
      </c>
      <c r="D1514" t="s">
        <v>803</v>
      </c>
      <c r="E1514" s="7">
        <v>65</v>
      </c>
      <c r="F1514" t="s">
        <v>20</v>
      </c>
      <c r="G1514" t="s">
        <v>21</v>
      </c>
      <c r="H1514" t="str">
        <f>"11/27/19"</f>
        <v>11/27/19</v>
      </c>
      <c r="I1514" t="str">
        <f>"EAGLE WRECKER SERVICE"</f>
        <v>EAGLE WRECKER SERVICE</v>
      </c>
    </row>
    <row r="1515" spans="1:9" x14ac:dyDescent="0.25">
      <c r="A1515" s="6">
        <v>43822</v>
      </c>
      <c r="B1515" t="s">
        <v>26</v>
      </c>
      <c r="C1515">
        <v>62946</v>
      </c>
      <c r="D1515" t="s">
        <v>137</v>
      </c>
      <c r="E1515" s="7">
        <v>121.9</v>
      </c>
      <c r="F1515" t="s">
        <v>20</v>
      </c>
      <c r="G1515" t="s">
        <v>21</v>
      </c>
      <c r="H1515" t="str">
        <f>"6805"</f>
        <v>6805</v>
      </c>
      <c r="I1515" t="str">
        <f>"OMNIBUS-M  INC.D.B.A."</f>
        <v>OMNIBUS-M  INC.D.B.A.</v>
      </c>
    </row>
    <row r="1516" spans="1:9" x14ac:dyDescent="0.25">
      <c r="E1516" s="7"/>
      <c r="F1516" t="s">
        <v>20</v>
      </c>
      <c r="G1516" t="s">
        <v>21</v>
      </c>
      <c r="H1516" t="str">
        <f>"6806"</f>
        <v>6806</v>
      </c>
      <c r="I1516" t="str">
        <f>"OMNIBUS-M  INC.D.B.A."</f>
        <v>OMNIBUS-M  INC.D.B.A.</v>
      </c>
    </row>
    <row r="1517" spans="1:9" x14ac:dyDescent="0.25">
      <c r="A1517" s="6">
        <v>43822</v>
      </c>
      <c r="B1517" t="s">
        <v>26</v>
      </c>
      <c r="C1517">
        <v>62947</v>
      </c>
      <c r="D1517" t="s">
        <v>77</v>
      </c>
      <c r="E1517" s="7">
        <v>1145.43</v>
      </c>
      <c r="F1517" t="s">
        <v>20</v>
      </c>
      <c r="G1517" t="s">
        <v>21</v>
      </c>
      <c r="H1517" t="str">
        <f>"857002411-19"</f>
        <v>857002411-19</v>
      </c>
      <c r="I1517" t="str">
        <f>"6 CHLORINE BOTTLES"</f>
        <v>6 CHLORINE BOTTLES</v>
      </c>
    </row>
    <row r="1518" spans="1:9" x14ac:dyDescent="0.25">
      <c r="E1518" s="7"/>
      <c r="F1518" t="s">
        <v>20</v>
      </c>
      <c r="G1518" t="s">
        <v>21</v>
      </c>
      <c r="H1518" t="str">
        <f>"DE85002652-19"</f>
        <v>DE85002652-19</v>
      </c>
      <c r="I1518" t="str">
        <f>"DPC INDUSTRIES  INC."</f>
        <v>DPC INDUSTRIES  INC.</v>
      </c>
    </row>
    <row r="1519" spans="1:9" x14ac:dyDescent="0.25">
      <c r="E1519" s="7"/>
      <c r="F1519" t="s">
        <v>20</v>
      </c>
      <c r="G1519" t="s">
        <v>21</v>
      </c>
      <c r="H1519" t="str">
        <f>"DE85002860-19"</f>
        <v>DE85002860-19</v>
      </c>
      <c r="I1519" t="str">
        <f>"DPC INDUSTRIES  INC."</f>
        <v>DPC INDUSTRIES  INC.</v>
      </c>
    </row>
    <row r="1520" spans="1:9" x14ac:dyDescent="0.25">
      <c r="A1520" s="6">
        <v>43822</v>
      </c>
      <c r="B1520" t="s">
        <v>26</v>
      </c>
      <c r="C1520">
        <v>62948</v>
      </c>
      <c r="D1520" t="s">
        <v>124</v>
      </c>
      <c r="E1520" s="7">
        <v>157.08000000000001</v>
      </c>
      <c r="F1520" t="s">
        <v>20</v>
      </c>
      <c r="G1520" t="s">
        <v>21</v>
      </c>
      <c r="H1520" t="str">
        <f>"11181104"</f>
        <v>11181104</v>
      </c>
      <c r="I1520" t="str">
        <f>"MATERIAL FOR WW"</f>
        <v>MATERIAL FOR WW</v>
      </c>
    </row>
    <row r="1521" spans="1:9" x14ac:dyDescent="0.25">
      <c r="E1521" s="7"/>
      <c r="F1521" t="s">
        <v>20</v>
      </c>
      <c r="G1521" t="s">
        <v>21</v>
      </c>
      <c r="H1521" t="str">
        <f>"11181424"</f>
        <v>11181424</v>
      </c>
      <c r="I1521" t="str">
        <f>"WW SUPPLIES"</f>
        <v>WW SUPPLIES</v>
      </c>
    </row>
    <row r="1522" spans="1:9" x14ac:dyDescent="0.25">
      <c r="A1522" s="6">
        <v>43822</v>
      </c>
      <c r="B1522" t="s">
        <v>26</v>
      </c>
      <c r="C1522">
        <v>62950</v>
      </c>
      <c r="D1522" t="s">
        <v>79</v>
      </c>
      <c r="E1522" s="7">
        <v>48.38</v>
      </c>
      <c r="F1522" t="s">
        <v>20</v>
      </c>
      <c r="G1522" t="s">
        <v>21</v>
      </c>
      <c r="H1522" t="str">
        <f>"6-866-24735"</f>
        <v>6-866-24735</v>
      </c>
      <c r="I1522" t="str">
        <f>"FEDEX"</f>
        <v>FEDEX</v>
      </c>
    </row>
    <row r="1523" spans="1:9" x14ac:dyDescent="0.25">
      <c r="A1523" s="6">
        <v>43822</v>
      </c>
      <c r="B1523" t="s">
        <v>26</v>
      </c>
      <c r="C1523">
        <v>62951</v>
      </c>
      <c r="D1523" t="s">
        <v>148</v>
      </c>
      <c r="E1523" s="7">
        <v>144</v>
      </c>
      <c r="F1523" t="s">
        <v>20</v>
      </c>
      <c r="G1523" t="s">
        <v>21</v>
      </c>
      <c r="H1523" t="str">
        <f>"CASE#58451 FEES"</f>
        <v>CASE#58451 FEES</v>
      </c>
      <c r="I1523" t="str">
        <f>"TEXAS COMMISSION ON ENVIRONMEN"</f>
        <v>TEXAS COMMISSION ON ENVIRONMEN</v>
      </c>
    </row>
    <row r="1524" spans="1:9" x14ac:dyDescent="0.25">
      <c r="A1524" s="6">
        <v>43822</v>
      </c>
      <c r="B1524" t="s">
        <v>26</v>
      </c>
      <c r="C1524">
        <v>62952</v>
      </c>
      <c r="D1524" t="s">
        <v>81</v>
      </c>
      <c r="E1524" s="7">
        <v>79.72</v>
      </c>
      <c r="F1524" t="s">
        <v>20</v>
      </c>
      <c r="G1524" t="s">
        <v>21</v>
      </c>
      <c r="H1524" t="str">
        <f>"A.MONTOYA 12/23/19"</f>
        <v>A.MONTOYA 12/23/19</v>
      </c>
      <c r="I1524" t="str">
        <f>"CITY OF FLORESVILLE -PETTY CAS"</f>
        <v>CITY OF FLORESVILLE -PETTY CAS</v>
      </c>
    </row>
    <row r="1525" spans="1:9" x14ac:dyDescent="0.25">
      <c r="A1525" s="6">
        <v>43822</v>
      </c>
      <c r="B1525" t="s">
        <v>26</v>
      </c>
      <c r="C1525">
        <v>62953</v>
      </c>
      <c r="D1525" t="s">
        <v>130</v>
      </c>
      <c r="E1525" s="7">
        <v>8330</v>
      </c>
      <c r="F1525" t="s">
        <v>20</v>
      </c>
      <c r="G1525" t="s">
        <v>21</v>
      </c>
      <c r="H1525" t="str">
        <f>"INV684315"</f>
        <v>INV684315</v>
      </c>
      <c r="I1525" t="str">
        <f>"DOCUMATION"</f>
        <v>DOCUMATION</v>
      </c>
    </row>
    <row r="1526" spans="1:9" x14ac:dyDescent="0.25">
      <c r="E1526" s="7"/>
      <c r="F1526" t="s">
        <v>20</v>
      </c>
      <c r="G1526" t="s">
        <v>21</v>
      </c>
      <c r="H1526" t="str">
        <f>"INV698894"</f>
        <v>INV698894</v>
      </c>
      <c r="I1526" t="str">
        <f>"DOCUMATION"</f>
        <v>DOCUMATION</v>
      </c>
    </row>
    <row r="1527" spans="1:9" x14ac:dyDescent="0.25">
      <c r="A1527" s="6">
        <v>43822</v>
      </c>
      <c r="B1527" t="s">
        <v>26</v>
      </c>
      <c r="C1527">
        <v>62955</v>
      </c>
      <c r="D1527" t="s">
        <v>83</v>
      </c>
      <c r="E1527" s="7">
        <v>1044</v>
      </c>
      <c r="F1527" t="s">
        <v>20</v>
      </c>
      <c r="G1527" t="s">
        <v>21</v>
      </c>
      <c r="H1527" t="str">
        <f>"974415"</f>
        <v>974415</v>
      </c>
      <c r="I1527" t="str">
        <f>"APPRIVER"</f>
        <v>APPRIVER</v>
      </c>
    </row>
    <row r="1528" spans="1:9" x14ac:dyDescent="0.25">
      <c r="A1528" s="6">
        <v>43822</v>
      </c>
      <c r="B1528" t="s">
        <v>26</v>
      </c>
      <c r="C1528">
        <v>62956</v>
      </c>
      <c r="D1528" t="s">
        <v>85</v>
      </c>
      <c r="E1528" s="7">
        <v>231.01</v>
      </c>
      <c r="F1528" t="s">
        <v>20</v>
      </c>
      <c r="G1528" t="s">
        <v>21</v>
      </c>
      <c r="H1528" t="str">
        <f>"DEC 2019 2162755"</f>
        <v>DEC 2019 2162755</v>
      </c>
      <c r="I1528" t="str">
        <f>"FRONTIER"</f>
        <v>FRONTIER</v>
      </c>
    </row>
    <row r="1529" spans="1:9" x14ac:dyDescent="0.25">
      <c r="E1529" s="7"/>
      <c r="F1529" t="s">
        <v>20</v>
      </c>
      <c r="G1529" t="s">
        <v>21</v>
      </c>
      <c r="H1529" t="str">
        <f>"DEC 2019 3932733"</f>
        <v>DEC 2019 3932733</v>
      </c>
      <c r="I1529" t="str">
        <f>"FRONTIER"</f>
        <v>FRONTIER</v>
      </c>
    </row>
    <row r="1530" spans="1:9" x14ac:dyDescent="0.25">
      <c r="E1530" s="7"/>
      <c r="F1530" t="s">
        <v>20</v>
      </c>
      <c r="G1530" t="s">
        <v>21</v>
      </c>
      <c r="H1530" t="str">
        <f>"DEC 2019 3932804"</f>
        <v>DEC 2019 3932804</v>
      </c>
      <c r="I1530" t="str">
        <f>"FRONTIER"</f>
        <v>FRONTIER</v>
      </c>
    </row>
    <row r="1531" spans="1:9" x14ac:dyDescent="0.25">
      <c r="E1531" s="7"/>
      <c r="F1531" t="s">
        <v>20</v>
      </c>
      <c r="G1531" t="s">
        <v>21</v>
      </c>
      <c r="H1531" t="str">
        <f>"DEC 2019 3936794"</f>
        <v>DEC 2019 3936794</v>
      </c>
      <c r="I1531" t="str">
        <f>"FRONTIER"</f>
        <v>FRONTIER</v>
      </c>
    </row>
    <row r="1532" spans="1:9" x14ac:dyDescent="0.25">
      <c r="A1532" s="6">
        <v>43822</v>
      </c>
      <c r="B1532" t="s">
        <v>26</v>
      </c>
      <c r="C1532">
        <v>62957</v>
      </c>
      <c r="D1532" t="s">
        <v>326</v>
      </c>
      <c r="E1532" s="7">
        <v>52.32</v>
      </c>
      <c r="F1532" t="s">
        <v>20</v>
      </c>
      <c r="G1532" t="s">
        <v>21</v>
      </c>
      <c r="H1532" t="str">
        <f>"20845832"</f>
        <v>20845832</v>
      </c>
      <c r="I1532" t="str">
        <f>"CHOP SAW BLADE"</f>
        <v>CHOP SAW BLADE</v>
      </c>
    </row>
    <row r="1533" spans="1:9" x14ac:dyDescent="0.25">
      <c r="A1533" s="6">
        <v>43822</v>
      </c>
      <c r="B1533" t="s">
        <v>26</v>
      </c>
      <c r="C1533">
        <v>62958</v>
      </c>
      <c r="D1533" t="s">
        <v>345</v>
      </c>
      <c r="E1533" s="7">
        <v>385</v>
      </c>
      <c r="F1533" t="s">
        <v>20</v>
      </c>
      <c r="G1533" t="s">
        <v>21</v>
      </c>
      <c r="H1533" t="str">
        <f>"12/21/19"</f>
        <v>12/21/19</v>
      </c>
      <c r="I1533" t="str">
        <f>"MICHAEL ISAAC MARTINEZ"</f>
        <v>MICHAEL ISAAC MARTINEZ</v>
      </c>
    </row>
    <row r="1534" spans="1:9" x14ac:dyDescent="0.25">
      <c r="A1534" s="6">
        <v>43822</v>
      </c>
      <c r="B1534" t="s">
        <v>26</v>
      </c>
      <c r="C1534">
        <v>62959</v>
      </c>
      <c r="D1534" t="s">
        <v>197</v>
      </c>
      <c r="E1534" s="7">
        <v>2700</v>
      </c>
      <c r="F1534" t="s">
        <v>20</v>
      </c>
      <c r="G1534" t="s">
        <v>21</v>
      </c>
      <c r="H1534" t="str">
        <f>"194620"</f>
        <v>194620</v>
      </c>
      <c r="I1534" t="str">
        <f>"TREATMENT CHEMICALS-WW"</f>
        <v>TREATMENT CHEMICALS-WW</v>
      </c>
    </row>
    <row r="1535" spans="1:9" x14ac:dyDescent="0.25">
      <c r="A1535" s="6">
        <v>43822</v>
      </c>
      <c r="B1535" t="s">
        <v>26</v>
      </c>
      <c r="C1535">
        <v>62960</v>
      </c>
      <c r="D1535" t="s">
        <v>584</v>
      </c>
      <c r="E1535" s="7">
        <v>100</v>
      </c>
      <c r="F1535" t="s">
        <v>20</v>
      </c>
      <c r="G1535" t="s">
        <v>21</v>
      </c>
      <c r="H1535" t="str">
        <f>"12/21/19"</f>
        <v>12/21/19</v>
      </c>
      <c r="I1535" t="str">
        <f>"AMANDA SENDEJO"</f>
        <v>AMANDA SENDEJO</v>
      </c>
    </row>
    <row r="1536" spans="1:9" x14ac:dyDescent="0.25">
      <c r="A1536" s="6">
        <v>43822</v>
      </c>
      <c r="B1536" t="s">
        <v>26</v>
      </c>
      <c r="C1536">
        <v>62961</v>
      </c>
      <c r="D1536" t="s">
        <v>48</v>
      </c>
      <c r="E1536" s="7">
        <v>1995</v>
      </c>
      <c r="F1536" t="s">
        <v>20</v>
      </c>
      <c r="G1536" t="s">
        <v>21</v>
      </c>
      <c r="H1536" t="str">
        <f>"1759"</f>
        <v>1759</v>
      </c>
      <c r="I1536" t="str">
        <f>"RANDY HOLLAR  LLC"</f>
        <v>RANDY HOLLAR  LLC</v>
      </c>
    </row>
    <row r="1537" spans="1:9" x14ac:dyDescent="0.25">
      <c r="A1537" s="6">
        <v>43822</v>
      </c>
      <c r="B1537" t="s">
        <v>26</v>
      </c>
      <c r="C1537">
        <v>62962</v>
      </c>
      <c r="D1537" t="s">
        <v>398</v>
      </c>
      <c r="E1537" s="7">
        <v>125</v>
      </c>
      <c r="F1537" t="s">
        <v>20</v>
      </c>
      <c r="G1537" t="s">
        <v>21</v>
      </c>
      <c r="H1537" t="str">
        <f>"1476"</f>
        <v>1476</v>
      </c>
      <c r="I1537" t="str">
        <f>"INTERCEPTOR TECHNOLOGY GROUP L"</f>
        <v>INTERCEPTOR TECHNOLOGY GROUP L</v>
      </c>
    </row>
    <row r="1538" spans="1:9" x14ac:dyDescent="0.25">
      <c r="A1538" s="6">
        <v>43822</v>
      </c>
      <c r="B1538" t="s">
        <v>26</v>
      </c>
      <c r="C1538">
        <v>62963</v>
      </c>
      <c r="D1538" t="s">
        <v>470</v>
      </c>
      <c r="E1538" s="7">
        <v>85</v>
      </c>
      <c r="F1538" t="s">
        <v>20</v>
      </c>
      <c r="G1538" t="s">
        <v>21</v>
      </c>
      <c r="H1538" t="str">
        <f>"12/21/19"</f>
        <v>12/21/19</v>
      </c>
      <c r="I1538" t="str">
        <f>"ALYSSA MONTOYA"</f>
        <v>ALYSSA MONTOYA</v>
      </c>
    </row>
    <row r="1539" spans="1:9" x14ac:dyDescent="0.25">
      <c r="A1539" s="6">
        <v>43822</v>
      </c>
      <c r="B1539" t="s">
        <v>26</v>
      </c>
      <c r="C1539">
        <v>62964</v>
      </c>
      <c r="D1539" t="s">
        <v>609</v>
      </c>
      <c r="E1539" s="7">
        <v>1118.56</v>
      </c>
      <c r="F1539" t="s">
        <v>20</v>
      </c>
      <c r="G1539" t="s">
        <v>21</v>
      </c>
      <c r="H1539" t="str">
        <f>"31881782"</f>
        <v>31881782</v>
      </c>
      <c r="I1539" t="str">
        <f>"OIL FOR DIESAL TRUCKS"</f>
        <v>OIL FOR DIESAL TRUCKS</v>
      </c>
    </row>
    <row r="1540" spans="1:9" x14ac:dyDescent="0.25">
      <c r="E1540" s="7"/>
      <c r="F1540" t="s">
        <v>20</v>
      </c>
      <c r="G1540" t="s">
        <v>21</v>
      </c>
      <c r="H1540" t="str">
        <f>"31981779"</f>
        <v>31981779</v>
      </c>
      <c r="I1540" t="str">
        <f>"BARREL OF OIL &amp; GREASE"</f>
        <v>BARREL OF OIL &amp; GREASE</v>
      </c>
    </row>
    <row r="1541" spans="1:9" x14ac:dyDescent="0.25">
      <c r="A1541" s="6">
        <v>43822</v>
      </c>
      <c r="B1541" t="s">
        <v>26</v>
      </c>
      <c r="C1541">
        <v>62965</v>
      </c>
      <c r="D1541" t="s">
        <v>596</v>
      </c>
      <c r="E1541" s="7">
        <v>80</v>
      </c>
      <c r="F1541" t="s">
        <v>20</v>
      </c>
      <c r="G1541" t="s">
        <v>21</v>
      </c>
      <c r="H1541" t="str">
        <f>"12/21/19"</f>
        <v>12/21/19</v>
      </c>
      <c r="I1541" t="str">
        <f>"GRACE PIERCE"</f>
        <v>GRACE PIERCE</v>
      </c>
    </row>
    <row r="1542" spans="1:9" x14ac:dyDescent="0.25">
      <c r="A1542" s="6">
        <v>43822</v>
      </c>
      <c r="B1542" t="s">
        <v>26</v>
      </c>
      <c r="C1542">
        <v>62966</v>
      </c>
      <c r="D1542" t="s">
        <v>640</v>
      </c>
      <c r="E1542" s="7">
        <v>1540</v>
      </c>
      <c r="F1542" t="s">
        <v>20</v>
      </c>
      <c r="G1542" t="s">
        <v>21</v>
      </c>
      <c r="H1542" t="str">
        <f>"61601"</f>
        <v>61601</v>
      </c>
      <c r="I1542" t="str">
        <f>"TEXAS WEDDINGS  LTD"</f>
        <v>TEXAS WEDDINGS  LTD</v>
      </c>
    </row>
    <row r="1543" spans="1:9" x14ac:dyDescent="0.25">
      <c r="A1543" s="6">
        <v>43822</v>
      </c>
      <c r="B1543" t="s">
        <v>26</v>
      </c>
      <c r="C1543">
        <v>62967</v>
      </c>
      <c r="D1543" t="s">
        <v>696</v>
      </c>
      <c r="E1543" s="7">
        <v>100</v>
      </c>
      <c r="F1543" t="s">
        <v>20</v>
      </c>
      <c r="G1543" t="s">
        <v>21</v>
      </c>
      <c r="H1543" t="str">
        <f>"12/21/19"</f>
        <v>12/21/19</v>
      </c>
      <c r="I1543" t="str">
        <f>"ANGEL G. ROSAS"</f>
        <v>ANGEL G. ROSAS</v>
      </c>
    </row>
    <row r="1544" spans="1:9" x14ac:dyDescent="0.25">
      <c r="A1544" s="6">
        <v>43822</v>
      </c>
      <c r="B1544" t="s">
        <v>26</v>
      </c>
      <c r="C1544">
        <v>62968</v>
      </c>
      <c r="D1544" t="s">
        <v>698</v>
      </c>
      <c r="E1544" s="7">
        <v>80</v>
      </c>
      <c r="F1544" t="s">
        <v>20</v>
      </c>
      <c r="G1544" t="s">
        <v>21</v>
      </c>
      <c r="H1544" t="str">
        <f>"12/21/19"</f>
        <v>12/21/19</v>
      </c>
      <c r="I1544" t="str">
        <f>"TRACY ORTIZ"</f>
        <v>TRACY ORTIZ</v>
      </c>
    </row>
    <row r="1545" spans="1:9" x14ac:dyDescent="0.25">
      <c r="A1545" s="6">
        <v>43822</v>
      </c>
      <c r="B1545" t="s">
        <v>26</v>
      </c>
      <c r="C1545">
        <v>62969</v>
      </c>
      <c r="D1545" t="s">
        <v>867</v>
      </c>
      <c r="E1545" s="7">
        <v>551.64</v>
      </c>
      <c r="F1545" t="s">
        <v>20</v>
      </c>
      <c r="G1545" t="s">
        <v>21</v>
      </c>
      <c r="H1545" t="str">
        <f>"13-24709"</f>
        <v>13-24709</v>
      </c>
      <c r="I1545" t="str">
        <f>"SAFETY-GLOVES SHIRTS"</f>
        <v>SAFETY-GLOVES SHIRTS</v>
      </c>
    </row>
    <row r="1546" spans="1:9" x14ac:dyDescent="0.25">
      <c r="A1546" s="6">
        <v>43822</v>
      </c>
      <c r="B1546" t="s">
        <v>26</v>
      </c>
      <c r="C1546">
        <v>62970</v>
      </c>
      <c r="D1546" t="s">
        <v>752</v>
      </c>
      <c r="E1546" s="7">
        <v>100</v>
      </c>
      <c r="F1546" t="s">
        <v>20</v>
      </c>
      <c r="G1546" t="s">
        <v>21</v>
      </c>
      <c r="H1546" t="str">
        <f>"12/21/19"</f>
        <v>12/21/19</v>
      </c>
      <c r="I1546" t="str">
        <f>"BLANCA PEREZ"</f>
        <v>BLANCA PEREZ</v>
      </c>
    </row>
    <row r="1547" spans="1:9" x14ac:dyDescent="0.25">
      <c r="A1547" s="6">
        <v>43822</v>
      </c>
      <c r="B1547" t="s">
        <v>26</v>
      </c>
      <c r="C1547">
        <v>62971</v>
      </c>
      <c r="D1547" t="s">
        <v>814</v>
      </c>
      <c r="E1547" s="7">
        <v>80</v>
      </c>
      <c r="F1547" t="s">
        <v>20</v>
      </c>
      <c r="G1547" t="s">
        <v>21</v>
      </c>
      <c r="H1547" t="str">
        <f>"12/21/19"</f>
        <v>12/21/19</v>
      </c>
      <c r="I1547" t="str">
        <f>"RACHEL GARCIA"</f>
        <v>RACHEL GARCIA</v>
      </c>
    </row>
    <row r="1548" spans="1:9" x14ac:dyDescent="0.25">
      <c r="A1548" s="6">
        <v>43822</v>
      </c>
      <c r="B1548" t="s">
        <v>26</v>
      </c>
      <c r="C1548">
        <v>62972</v>
      </c>
      <c r="D1548" t="s">
        <v>868</v>
      </c>
      <c r="E1548" s="7">
        <v>1372.5</v>
      </c>
      <c r="F1548" t="s">
        <v>20</v>
      </c>
      <c r="G1548" t="s">
        <v>21</v>
      </c>
      <c r="H1548" t="str">
        <f>"CC19037-1"</f>
        <v>CC19037-1</v>
      </c>
      <c r="I1548" t="str">
        <f>"GONZALEZ-DE LA GARZA &amp; ASSOCIA"</f>
        <v>GONZALEZ-DE LA GARZA &amp; ASSOCIA</v>
      </c>
    </row>
    <row r="1549" spans="1:9" x14ac:dyDescent="0.25">
      <c r="A1549" s="6">
        <v>43822</v>
      </c>
      <c r="B1549" t="s">
        <v>91</v>
      </c>
      <c r="C1549">
        <v>62973</v>
      </c>
      <c r="D1549" t="s">
        <v>869</v>
      </c>
      <c r="E1549" s="7">
        <v>85</v>
      </c>
      <c r="F1549" t="s">
        <v>20</v>
      </c>
      <c r="G1549" t="s">
        <v>21</v>
      </c>
      <c r="H1549" t="str">
        <f>"12/21/19"</f>
        <v>12/21/19</v>
      </c>
      <c r="I1549" t="str">
        <f>"MIA ELISSE GARCIA"</f>
        <v>MIA ELISSE GARCIA</v>
      </c>
    </row>
    <row r="1550" spans="1:9" x14ac:dyDescent="0.25">
      <c r="A1550" s="6">
        <v>43822</v>
      </c>
      <c r="B1550" t="s">
        <v>91</v>
      </c>
      <c r="C1550">
        <v>62973</v>
      </c>
      <c r="D1550" t="s">
        <v>869</v>
      </c>
      <c r="E1550" s="7">
        <v>85</v>
      </c>
      <c r="F1550" t="s">
        <v>20</v>
      </c>
      <c r="G1550" t="s">
        <v>93</v>
      </c>
      <c r="H1550" t="str">
        <f>"CHECK"</f>
        <v>CHECK</v>
      </c>
      <c r="I1550" t="str">
        <f>""</f>
        <v/>
      </c>
    </row>
    <row r="1551" spans="1:9" x14ac:dyDescent="0.25">
      <c r="A1551" s="6">
        <v>43822</v>
      </c>
      <c r="B1551" t="s">
        <v>26</v>
      </c>
      <c r="C1551">
        <v>62974</v>
      </c>
      <c r="D1551" t="s">
        <v>870</v>
      </c>
      <c r="E1551" s="7">
        <v>80</v>
      </c>
      <c r="F1551" t="s">
        <v>20</v>
      </c>
      <c r="G1551" t="s">
        <v>21</v>
      </c>
      <c r="H1551" t="str">
        <f>"12/21/19"</f>
        <v>12/21/19</v>
      </c>
      <c r="I1551" t="str">
        <f>"ALEXIS GOGGANS"</f>
        <v>ALEXIS GOGGANS</v>
      </c>
    </row>
    <row r="1552" spans="1:9" x14ac:dyDescent="0.25">
      <c r="A1552" s="6">
        <v>43826</v>
      </c>
      <c r="B1552" t="s">
        <v>26</v>
      </c>
      <c r="C1552">
        <v>62975</v>
      </c>
      <c r="D1552" t="s">
        <v>863</v>
      </c>
      <c r="E1552" s="7">
        <v>175</v>
      </c>
      <c r="F1552" t="s">
        <v>20</v>
      </c>
      <c r="G1552" t="s">
        <v>21</v>
      </c>
      <c r="H1552" t="str">
        <f>"HOLIDAY EXTR 2019"</f>
        <v>HOLIDAY EXTR 2019</v>
      </c>
      <c r="I1552" t="str">
        <f>"KELLY LEE TREVINO"</f>
        <v>KELLY LEE TREVINO</v>
      </c>
    </row>
    <row r="1553" spans="1:9" x14ac:dyDescent="0.25">
      <c r="A1553" s="6">
        <v>43826</v>
      </c>
      <c r="B1553" t="s">
        <v>26</v>
      </c>
      <c r="C1553">
        <v>62976</v>
      </c>
      <c r="D1553" t="s">
        <v>863</v>
      </c>
      <c r="E1553" s="7">
        <v>199</v>
      </c>
      <c r="F1553" t="s">
        <v>20</v>
      </c>
      <c r="G1553" t="s">
        <v>21</v>
      </c>
      <c r="H1553" t="str">
        <f>"HOLIDAY EXT 2019*"</f>
        <v>HOLIDAY EXT 2019*</v>
      </c>
      <c r="I1553" t="str">
        <f>"KELLY LEE TREVINO"</f>
        <v>KELLY LEE TREVINO</v>
      </c>
    </row>
    <row r="1554" spans="1:9" x14ac:dyDescent="0.25">
      <c r="A1554" s="6">
        <v>43828</v>
      </c>
      <c r="B1554" t="s">
        <v>26</v>
      </c>
      <c r="C1554">
        <v>62983</v>
      </c>
      <c r="D1554" t="s">
        <v>51</v>
      </c>
      <c r="E1554" s="7">
        <v>346.31</v>
      </c>
      <c r="F1554" t="s">
        <v>20</v>
      </c>
      <c r="G1554" t="s">
        <v>21</v>
      </c>
      <c r="H1554" t="str">
        <f>"CLE201912298559"</f>
        <v>CLE201912298559</v>
      </c>
      <c r="I1554" t="str">
        <f>"CLEAT ONLY DUES"</f>
        <v>CLEAT ONLY DUES</v>
      </c>
    </row>
    <row r="1555" spans="1:9" x14ac:dyDescent="0.25">
      <c r="E1555" s="7"/>
      <c r="F1555" t="s">
        <v>20</v>
      </c>
      <c r="G1555" t="s">
        <v>21</v>
      </c>
      <c r="H1555" t="str">
        <f>"PDD201912298559"</f>
        <v>PDD201912298559</v>
      </c>
      <c r="I1555" t="str">
        <f>"POLICE OFFICERS ASSOC DUES"</f>
        <v>POLICE OFFICERS ASSOC DUES</v>
      </c>
    </row>
    <row r="1556" spans="1:9" x14ac:dyDescent="0.25">
      <c r="A1556" s="6">
        <v>43828</v>
      </c>
      <c r="B1556" t="s">
        <v>91</v>
      </c>
      <c r="C1556">
        <v>62984</v>
      </c>
      <c r="D1556" t="s">
        <v>90</v>
      </c>
      <c r="E1556" s="7">
        <v>101.1</v>
      </c>
      <c r="F1556" t="s">
        <v>20</v>
      </c>
      <c r="G1556" t="s">
        <v>21</v>
      </c>
      <c r="H1556" t="str">
        <f>"AFS201912298559"</f>
        <v>AFS201912298559</v>
      </c>
      <c r="I1556" t="str">
        <f>"AFLAC STD"</f>
        <v>AFLAC STD</v>
      </c>
    </row>
    <row r="1557" spans="1:9" x14ac:dyDescent="0.25">
      <c r="A1557" s="6">
        <v>43828</v>
      </c>
      <c r="B1557" t="s">
        <v>91</v>
      </c>
      <c r="C1557">
        <v>62984</v>
      </c>
      <c r="D1557" t="s">
        <v>90</v>
      </c>
      <c r="E1557" s="7">
        <v>101.1</v>
      </c>
      <c r="F1557" t="s">
        <v>20</v>
      </c>
      <c r="G1557" t="s">
        <v>93</v>
      </c>
      <c r="H1557" t="str">
        <f>"CHECK"</f>
        <v>CHECK</v>
      </c>
      <c r="I1557" t="str">
        <f>""</f>
        <v/>
      </c>
    </row>
    <row r="1558" spans="1:9" x14ac:dyDescent="0.25">
      <c r="A1558" s="6">
        <v>43828</v>
      </c>
      <c r="B1558" t="s">
        <v>26</v>
      </c>
      <c r="C1558">
        <v>62985</v>
      </c>
      <c r="D1558" t="s">
        <v>52</v>
      </c>
      <c r="E1558" s="7">
        <v>600.91999999999996</v>
      </c>
      <c r="F1558" t="s">
        <v>20</v>
      </c>
      <c r="G1558" t="s">
        <v>21</v>
      </c>
      <c r="H1558" t="str">
        <f>"CPS201912298559"</f>
        <v>CPS201912298559</v>
      </c>
      <c r="I1558" t="str">
        <f>"G MENDOZA 00123012032010EM5054"</f>
        <v>G MENDOZA 00123012032010EM5054</v>
      </c>
    </row>
    <row r="1559" spans="1:9" x14ac:dyDescent="0.25">
      <c r="E1559" s="7"/>
      <c r="F1559" t="s">
        <v>20</v>
      </c>
      <c r="G1559" t="s">
        <v>21</v>
      </c>
      <c r="H1559" t="str">
        <f>"CS 201912298559"</f>
        <v>CS 201912298559</v>
      </c>
      <c r="I1559" t="str">
        <f>"CAUSE#98EM504113 PEGGY RIVAS"</f>
        <v>CAUSE#98EM504113 PEGGY RIVAS</v>
      </c>
    </row>
    <row r="1560" spans="1:9" x14ac:dyDescent="0.25">
      <c r="A1560" s="6">
        <v>43828</v>
      </c>
      <c r="B1560" t="s">
        <v>26</v>
      </c>
      <c r="C1560">
        <v>62986</v>
      </c>
      <c r="D1560" t="s">
        <v>54</v>
      </c>
      <c r="E1560" s="7">
        <v>1200.24</v>
      </c>
      <c r="F1560" t="s">
        <v>20</v>
      </c>
      <c r="G1560" t="s">
        <v>21</v>
      </c>
      <c r="H1560" t="str">
        <f>"457201912298559"</f>
        <v>457201912298559</v>
      </c>
      <c r="I1560" t="str">
        <f>"CASE # 180-60751 457B DEDUCT"</f>
        <v>CASE # 180-60751 457B DEDUCT</v>
      </c>
    </row>
    <row r="1561" spans="1:9" x14ac:dyDescent="0.25">
      <c r="A1561" s="6">
        <v>43829</v>
      </c>
      <c r="B1561" t="s">
        <v>26</v>
      </c>
      <c r="C1561">
        <v>62987</v>
      </c>
      <c r="D1561" t="s">
        <v>345</v>
      </c>
      <c r="E1561" s="7">
        <v>242</v>
      </c>
      <c r="F1561" t="s">
        <v>20</v>
      </c>
      <c r="G1561" t="s">
        <v>21</v>
      </c>
      <c r="H1561" t="str">
        <f>"12/30/2019"</f>
        <v>12/30/2019</v>
      </c>
      <c r="I1561" t="str">
        <f>"MICHAEL ISAAC MARTINEZ"</f>
        <v>MICHAEL ISAAC MARTINEZ</v>
      </c>
    </row>
    <row r="1562" spans="1:9" x14ac:dyDescent="0.25">
      <c r="A1562" s="6">
        <v>43833</v>
      </c>
      <c r="B1562" t="s">
        <v>26</v>
      </c>
      <c r="C1562">
        <v>62988</v>
      </c>
      <c r="D1562" t="s">
        <v>555</v>
      </c>
      <c r="E1562" s="7">
        <v>111</v>
      </c>
      <c r="F1562" t="s">
        <v>20</v>
      </c>
      <c r="G1562" t="s">
        <v>21</v>
      </c>
      <c r="H1562" t="str">
        <f>"PD RECORDS MANAGEM"</f>
        <v>PD RECORDS MANAGEM</v>
      </c>
      <c r="I1562" t="str">
        <f>"PERRY HYDEN"</f>
        <v>PERRY HYDEN</v>
      </c>
    </row>
    <row r="1563" spans="1:9" x14ac:dyDescent="0.25">
      <c r="A1563" s="6">
        <v>43833</v>
      </c>
      <c r="B1563" t="s">
        <v>26</v>
      </c>
      <c r="C1563">
        <v>62989</v>
      </c>
      <c r="D1563" t="s">
        <v>345</v>
      </c>
      <c r="E1563" s="7">
        <v>242</v>
      </c>
      <c r="F1563" t="s">
        <v>20</v>
      </c>
      <c r="G1563" t="s">
        <v>21</v>
      </c>
      <c r="H1563" t="str">
        <f>"12/30/2019*"</f>
        <v>12/30/2019*</v>
      </c>
      <c r="I1563" t="str">
        <f>"MICHAEL ISAAC MARTINEZ"</f>
        <v>MICHAEL ISAAC MARTINEZ</v>
      </c>
    </row>
    <row r="1564" spans="1:9" x14ac:dyDescent="0.25">
      <c r="A1564" s="6">
        <v>43833</v>
      </c>
      <c r="B1564" t="s">
        <v>26</v>
      </c>
      <c r="C1564">
        <v>62990</v>
      </c>
      <c r="D1564" t="s">
        <v>871</v>
      </c>
      <c r="E1564" s="7">
        <v>790</v>
      </c>
      <c r="F1564" t="s">
        <v>20</v>
      </c>
      <c r="G1564" t="s">
        <v>21</v>
      </c>
      <c r="H1564" t="str">
        <f>"7640"</f>
        <v>7640</v>
      </c>
      <c r="I1564" t="str">
        <f>"PRI MANAGEMENT GROUP"</f>
        <v>PRI MANAGEMENT GROUP</v>
      </c>
    </row>
    <row r="1565" spans="1:9" x14ac:dyDescent="0.25">
      <c r="A1565" s="6">
        <v>43836</v>
      </c>
      <c r="B1565" t="s">
        <v>26</v>
      </c>
      <c r="C1565">
        <v>62991</v>
      </c>
      <c r="D1565" t="s">
        <v>345</v>
      </c>
      <c r="E1565" s="7">
        <v>75</v>
      </c>
      <c r="F1565" t="s">
        <v>20</v>
      </c>
      <c r="G1565" t="s">
        <v>21</v>
      </c>
      <c r="H1565" t="str">
        <f>"return fee"</f>
        <v>return fee</v>
      </c>
      <c r="I1565" t="str">
        <f>"MICHAEL ISAAC MARTINEZ"</f>
        <v>MICHAEL ISAAC MARTINEZ</v>
      </c>
    </row>
    <row r="1566" spans="1:9" x14ac:dyDescent="0.25">
      <c r="A1566" s="6">
        <v>43838</v>
      </c>
      <c r="B1566" t="s">
        <v>26</v>
      </c>
      <c r="C1566">
        <v>62992</v>
      </c>
      <c r="D1566" t="s">
        <v>57</v>
      </c>
      <c r="E1566" s="7">
        <v>25045.86</v>
      </c>
      <c r="F1566" t="s">
        <v>20</v>
      </c>
      <c r="G1566" t="s">
        <v>21</v>
      </c>
      <c r="H1566" t="str">
        <f>"11617 DEC2019"</f>
        <v>11617 DEC2019</v>
      </c>
      <c r="I1566" t="str">
        <f>"F.E.L.P.S."</f>
        <v>F.E.L.P.S.</v>
      </c>
    </row>
    <row r="1567" spans="1:9" x14ac:dyDescent="0.25">
      <c r="A1567" s="6">
        <v>43838</v>
      </c>
      <c r="B1567" t="s">
        <v>26</v>
      </c>
      <c r="C1567">
        <v>62993</v>
      </c>
      <c r="D1567" t="s">
        <v>58</v>
      </c>
      <c r="E1567" s="7">
        <v>399.27</v>
      </c>
      <c r="F1567" t="s">
        <v>20</v>
      </c>
      <c r="G1567" t="s">
        <v>21</v>
      </c>
      <c r="H1567" t="str">
        <f>"584418"</f>
        <v>584418</v>
      </c>
      <c r="I1567" t="str">
        <f>"DEASON ANIMAL HOSPITAL"</f>
        <v>DEASON ANIMAL HOSPITAL</v>
      </c>
    </row>
    <row r="1568" spans="1:9" x14ac:dyDescent="0.25">
      <c r="E1568" s="7"/>
      <c r="F1568" t="s">
        <v>20</v>
      </c>
      <c r="G1568" t="s">
        <v>21</v>
      </c>
      <c r="H1568" t="str">
        <f>"585646"</f>
        <v>585646</v>
      </c>
      <c r="I1568" t="str">
        <f>"DEASON ANIMAL HOSPITAL"</f>
        <v>DEASON ANIMAL HOSPITAL</v>
      </c>
    </row>
    <row r="1569" spans="1:9" x14ac:dyDescent="0.25">
      <c r="A1569" s="6">
        <v>43838</v>
      </c>
      <c r="B1569" t="s">
        <v>26</v>
      </c>
      <c r="C1569">
        <v>62994</v>
      </c>
      <c r="D1569" t="s">
        <v>59</v>
      </c>
      <c r="E1569" s="7">
        <v>1186.78</v>
      </c>
      <c r="F1569" t="s">
        <v>20</v>
      </c>
      <c r="G1569" t="s">
        <v>21</v>
      </c>
      <c r="H1569" t="str">
        <f>"1040421"</f>
        <v>1040421</v>
      </c>
      <c r="I1569" t="str">
        <f>"WORK BOOTS"</f>
        <v>WORK BOOTS</v>
      </c>
    </row>
    <row r="1570" spans="1:9" x14ac:dyDescent="0.25">
      <c r="E1570" s="7"/>
      <c r="F1570" t="s">
        <v>20</v>
      </c>
      <c r="G1570" t="s">
        <v>21</v>
      </c>
      <c r="H1570" t="str">
        <f>"1043558"</f>
        <v>1043558</v>
      </c>
      <c r="I1570" t="str">
        <f>"FERGUSON WATERWORKS - MUNICIPA"</f>
        <v>FERGUSON WATERWORKS - MUNICIPA</v>
      </c>
    </row>
    <row r="1571" spans="1:9" x14ac:dyDescent="0.25">
      <c r="E1571" s="7"/>
      <c r="F1571" t="s">
        <v>20</v>
      </c>
      <c r="G1571" t="s">
        <v>21</v>
      </c>
      <c r="H1571" t="str">
        <f>"1044864-1"</f>
        <v>1044864-1</v>
      </c>
      <c r="I1571" t="str">
        <f>"MISC STOCK"</f>
        <v>MISC STOCK</v>
      </c>
    </row>
    <row r="1572" spans="1:9" x14ac:dyDescent="0.25">
      <c r="A1572" s="6">
        <v>43838</v>
      </c>
      <c r="B1572" t="s">
        <v>26</v>
      </c>
      <c r="C1572">
        <v>62995</v>
      </c>
      <c r="D1572" t="s">
        <v>90</v>
      </c>
      <c r="E1572" s="7">
        <v>1997.82</v>
      </c>
      <c r="F1572" t="s">
        <v>20</v>
      </c>
      <c r="G1572" t="s">
        <v>21</v>
      </c>
      <c r="H1572" t="str">
        <f>"613863"</f>
        <v>613863</v>
      </c>
      <c r="I1572" t="str">
        <f>"AFLAC"</f>
        <v>AFLAC</v>
      </c>
    </row>
    <row r="1573" spans="1:9" x14ac:dyDescent="0.25">
      <c r="A1573" s="6">
        <v>43838</v>
      </c>
      <c r="B1573" t="s">
        <v>26</v>
      </c>
      <c r="C1573">
        <v>62996</v>
      </c>
      <c r="D1573" t="s">
        <v>273</v>
      </c>
      <c r="E1573" s="7">
        <v>1529.14</v>
      </c>
      <c r="F1573" t="s">
        <v>20</v>
      </c>
      <c r="G1573" t="s">
        <v>21</v>
      </c>
      <c r="H1573" t="str">
        <f>"5119-000091376"</f>
        <v>5119-000091376</v>
      </c>
      <c r="I1573" t="str">
        <f>"REPUBLIC SERVICES TESSMAN ROAD"</f>
        <v>REPUBLIC SERVICES TESSMAN ROAD</v>
      </c>
    </row>
    <row r="1574" spans="1:9" x14ac:dyDescent="0.25">
      <c r="A1574" s="6">
        <v>43838</v>
      </c>
      <c r="B1574" t="s">
        <v>26</v>
      </c>
      <c r="C1574">
        <v>62997</v>
      </c>
      <c r="D1574" t="s">
        <v>637</v>
      </c>
      <c r="E1574" s="7">
        <v>75</v>
      </c>
      <c r="F1574" t="s">
        <v>20</v>
      </c>
      <c r="G1574" t="s">
        <v>21</v>
      </c>
      <c r="H1574" t="str">
        <f>"JAN. 2020"</f>
        <v>JAN. 2020</v>
      </c>
      <c r="I1574" t="str">
        <f>"GLORIA MARTINEZ"</f>
        <v>GLORIA MARTINEZ</v>
      </c>
    </row>
    <row r="1575" spans="1:9" x14ac:dyDescent="0.25">
      <c r="A1575" s="6">
        <v>43838</v>
      </c>
      <c r="B1575" t="s">
        <v>26</v>
      </c>
      <c r="C1575">
        <v>62998</v>
      </c>
      <c r="D1575" t="s">
        <v>107</v>
      </c>
      <c r="E1575" s="7">
        <v>164.23</v>
      </c>
      <c r="F1575" t="s">
        <v>20</v>
      </c>
      <c r="G1575" t="s">
        <v>21</v>
      </c>
      <c r="H1575" t="str">
        <f>"1166960-20191130"</f>
        <v>1166960-20191130</v>
      </c>
      <c r="I1575" t="str">
        <f>"LEXISNEXIS RISK SOLUTIONS"</f>
        <v>LEXISNEXIS RISK SOLUTIONS</v>
      </c>
    </row>
    <row r="1576" spans="1:9" x14ac:dyDescent="0.25">
      <c r="A1576" s="6">
        <v>43838</v>
      </c>
      <c r="B1576" t="s">
        <v>26</v>
      </c>
      <c r="C1576">
        <v>62999</v>
      </c>
      <c r="D1576" t="s">
        <v>180</v>
      </c>
      <c r="E1576" s="7">
        <v>35.479999999999997</v>
      </c>
      <c r="F1576" t="s">
        <v>20</v>
      </c>
      <c r="G1576" t="s">
        <v>21</v>
      </c>
      <c r="H1576" t="str">
        <f>"30139376"</f>
        <v>30139376</v>
      </c>
      <c r="I1576" t="str">
        <f>"DITTMAR LUMBER CO."</f>
        <v>DITTMAR LUMBER CO.</v>
      </c>
    </row>
    <row r="1577" spans="1:9" x14ac:dyDescent="0.25">
      <c r="A1577" s="6">
        <v>43838</v>
      </c>
      <c r="B1577" t="s">
        <v>26</v>
      </c>
      <c r="C1577">
        <v>63000</v>
      </c>
      <c r="D1577" t="s">
        <v>108</v>
      </c>
      <c r="E1577" s="7">
        <v>1485.2</v>
      </c>
      <c r="F1577" t="s">
        <v>20</v>
      </c>
      <c r="G1577" t="s">
        <v>21</v>
      </c>
      <c r="H1577" t="str">
        <f>"041295640002"</f>
        <v>041295640002</v>
      </c>
      <c r="I1577" t="str">
        <f>"POOLSURE"</f>
        <v>POOLSURE</v>
      </c>
    </row>
    <row r="1578" spans="1:9" x14ac:dyDescent="0.25">
      <c r="A1578" s="6">
        <v>43838</v>
      </c>
      <c r="B1578" t="s">
        <v>26</v>
      </c>
      <c r="C1578">
        <v>63001</v>
      </c>
      <c r="D1578" t="s">
        <v>203</v>
      </c>
      <c r="E1578" s="7">
        <v>128.78</v>
      </c>
      <c r="F1578" t="s">
        <v>20</v>
      </c>
      <c r="G1578" t="s">
        <v>21</v>
      </c>
      <c r="H1578" t="str">
        <f>"097697"</f>
        <v>097697</v>
      </c>
      <c r="I1578" t="str">
        <f>"SUPPLIES"</f>
        <v>SUPPLIES</v>
      </c>
    </row>
    <row r="1579" spans="1:9" x14ac:dyDescent="0.25">
      <c r="A1579" s="6">
        <v>43838</v>
      </c>
      <c r="B1579" t="s">
        <v>26</v>
      </c>
      <c r="C1579">
        <v>63002</v>
      </c>
      <c r="D1579" t="s">
        <v>240</v>
      </c>
      <c r="E1579" s="7">
        <v>498.19</v>
      </c>
      <c r="F1579" t="s">
        <v>20</v>
      </c>
      <c r="G1579" t="s">
        <v>21</v>
      </c>
      <c r="H1579" t="str">
        <f>"0182640-IN"</f>
        <v>0182640-IN</v>
      </c>
      <c r="I1579" t="str">
        <f>"UNIFORM- HYDEN"</f>
        <v>UNIFORM- HYDEN</v>
      </c>
    </row>
    <row r="1580" spans="1:9" x14ac:dyDescent="0.25">
      <c r="E1580" s="7"/>
      <c r="F1580" t="s">
        <v>20</v>
      </c>
      <c r="G1580" t="s">
        <v>21</v>
      </c>
      <c r="H1580" t="str">
        <f>"0182751-IN"</f>
        <v>0182751-IN</v>
      </c>
      <c r="I1580" t="str">
        <f>"NARDIS PUBLIC SAFETY"</f>
        <v>NARDIS PUBLIC SAFETY</v>
      </c>
    </row>
    <row r="1581" spans="1:9" x14ac:dyDescent="0.25">
      <c r="E1581" s="7"/>
      <c r="F1581" t="s">
        <v>20</v>
      </c>
      <c r="G1581" t="s">
        <v>21</v>
      </c>
      <c r="H1581" t="str">
        <f>"0182752-IN"</f>
        <v>0182752-IN</v>
      </c>
      <c r="I1581" t="str">
        <f>"NARDIS PUBLIC SAFETY"</f>
        <v>NARDIS PUBLIC SAFETY</v>
      </c>
    </row>
    <row r="1582" spans="1:9" x14ac:dyDescent="0.25">
      <c r="A1582" s="6">
        <v>43838</v>
      </c>
      <c r="B1582" t="s">
        <v>26</v>
      </c>
      <c r="C1582">
        <v>63003</v>
      </c>
      <c r="D1582" t="s">
        <v>110</v>
      </c>
      <c r="E1582" s="7">
        <v>2487.12</v>
      </c>
      <c r="F1582" t="s">
        <v>20</v>
      </c>
      <c r="G1582" t="s">
        <v>21</v>
      </c>
      <c r="H1582" t="str">
        <f>"1507960"</f>
        <v>1507960</v>
      </c>
      <c r="I1582" t="str">
        <f t="shared" ref="I1582:I1593" si="27">"BUREAU VERITAS NORTH AMERICA"</f>
        <v>BUREAU VERITAS NORTH AMERICA</v>
      </c>
    </row>
    <row r="1583" spans="1:9" x14ac:dyDescent="0.25">
      <c r="E1583" s="7"/>
      <c r="F1583" t="s">
        <v>20</v>
      </c>
      <c r="G1583" t="s">
        <v>21</v>
      </c>
      <c r="H1583" t="str">
        <f>"1507962"</f>
        <v>1507962</v>
      </c>
      <c r="I1583" t="str">
        <f t="shared" si="27"/>
        <v>BUREAU VERITAS NORTH AMERICA</v>
      </c>
    </row>
    <row r="1584" spans="1:9" x14ac:dyDescent="0.25">
      <c r="E1584" s="7"/>
      <c r="F1584" t="s">
        <v>20</v>
      </c>
      <c r="G1584" t="s">
        <v>21</v>
      </c>
      <c r="H1584" t="str">
        <f>"1507964"</f>
        <v>1507964</v>
      </c>
      <c r="I1584" t="str">
        <f t="shared" si="27"/>
        <v>BUREAU VERITAS NORTH AMERICA</v>
      </c>
    </row>
    <row r="1585" spans="1:9" x14ac:dyDescent="0.25">
      <c r="E1585" s="7"/>
      <c r="F1585" t="s">
        <v>20</v>
      </c>
      <c r="G1585" t="s">
        <v>21</v>
      </c>
      <c r="H1585" t="str">
        <f>"1507966"</f>
        <v>1507966</v>
      </c>
      <c r="I1585" t="str">
        <f t="shared" si="27"/>
        <v>BUREAU VERITAS NORTH AMERICA</v>
      </c>
    </row>
    <row r="1586" spans="1:9" x14ac:dyDescent="0.25">
      <c r="E1586" s="7"/>
      <c r="F1586" t="s">
        <v>20</v>
      </c>
      <c r="G1586" t="s">
        <v>21</v>
      </c>
      <c r="H1586" t="str">
        <f>"1507968"</f>
        <v>1507968</v>
      </c>
      <c r="I1586" t="str">
        <f t="shared" si="27"/>
        <v>BUREAU VERITAS NORTH AMERICA</v>
      </c>
    </row>
    <row r="1587" spans="1:9" x14ac:dyDescent="0.25">
      <c r="E1587" s="7"/>
      <c r="F1587" t="s">
        <v>20</v>
      </c>
      <c r="G1587" t="s">
        <v>21</v>
      </c>
      <c r="H1587" t="str">
        <f>"1507970"</f>
        <v>1507970</v>
      </c>
      <c r="I1587" t="str">
        <f t="shared" si="27"/>
        <v>BUREAU VERITAS NORTH AMERICA</v>
      </c>
    </row>
    <row r="1588" spans="1:9" x14ac:dyDescent="0.25">
      <c r="E1588" s="7"/>
      <c r="F1588" t="s">
        <v>20</v>
      </c>
      <c r="G1588" t="s">
        <v>21</v>
      </c>
      <c r="H1588" t="str">
        <f>"1507972"</f>
        <v>1507972</v>
      </c>
      <c r="I1588" t="str">
        <f t="shared" si="27"/>
        <v>BUREAU VERITAS NORTH AMERICA</v>
      </c>
    </row>
    <row r="1589" spans="1:9" x14ac:dyDescent="0.25">
      <c r="E1589" s="7"/>
      <c r="F1589" t="s">
        <v>20</v>
      </c>
      <c r="G1589" t="s">
        <v>21</v>
      </c>
      <c r="H1589" t="str">
        <f>"1507974"</f>
        <v>1507974</v>
      </c>
      <c r="I1589" t="str">
        <f t="shared" si="27"/>
        <v>BUREAU VERITAS NORTH AMERICA</v>
      </c>
    </row>
    <row r="1590" spans="1:9" x14ac:dyDescent="0.25">
      <c r="E1590" s="7"/>
      <c r="F1590" t="s">
        <v>20</v>
      </c>
      <c r="G1590" t="s">
        <v>21</v>
      </c>
      <c r="H1590" t="str">
        <f>"1507976"</f>
        <v>1507976</v>
      </c>
      <c r="I1590" t="str">
        <f t="shared" si="27"/>
        <v>BUREAU VERITAS NORTH AMERICA</v>
      </c>
    </row>
    <row r="1591" spans="1:9" x14ac:dyDescent="0.25">
      <c r="E1591" s="7"/>
      <c r="F1591" t="s">
        <v>20</v>
      </c>
      <c r="G1591" t="s">
        <v>21</v>
      </c>
      <c r="H1591" t="str">
        <f>"1507978"</f>
        <v>1507978</v>
      </c>
      <c r="I1591" t="str">
        <f t="shared" si="27"/>
        <v>BUREAU VERITAS NORTH AMERICA</v>
      </c>
    </row>
    <row r="1592" spans="1:9" x14ac:dyDescent="0.25">
      <c r="E1592" s="7"/>
      <c r="F1592" t="s">
        <v>20</v>
      </c>
      <c r="G1592" t="s">
        <v>21</v>
      </c>
      <c r="H1592" t="str">
        <f>"1507980"</f>
        <v>1507980</v>
      </c>
      <c r="I1592" t="str">
        <f t="shared" si="27"/>
        <v>BUREAU VERITAS NORTH AMERICA</v>
      </c>
    </row>
    <row r="1593" spans="1:9" x14ac:dyDescent="0.25">
      <c r="E1593" s="7"/>
      <c r="F1593" t="s">
        <v>20</v>
      </c>
      <c r="G1593" t="s">
        <v>21</v>
      </c>
      <c r="H1593" t="str">
        <f>"1507982"</f>
        <v>1507982</v>
      </c>
      <c r="I1593" t="str">
        <f t="shared" si="27"/>
        <v>BUREAU VERITAS NORTH AMERICA</v>
      </c>
    </row>
    <row r="1594" spans="1:9" x14ac:dyDescent="0.25">
      <c r="A1594" s="6">
        <v>43838</v>
      </c>
      <c r="B1594" t="s">
        <v>26</v>
      </c>
      <c r="C1594">
        <v>63005</v>
      </c>
      <c r="D1594" t="s">
        <v>181</v>
      </c>
      <c r="E1594" s="7">
        <v>44.98</v>
      </c>
      <c r="F1594" t="s">
        <v>20</v>
      </c>
      <c r="G1594" t="s">
        <v>21</v>
      </c>
      <c r="H1594" t="str">
        <f>"3933186 DEC.2019"</f>
        <v>3933186 DEC.2019</v>
      </c>
      <c r="I1594" t="str">
        <f>"AT&amp;T"</f>
        <v>AT&amp;T</v>
      </c>
    </row>
    <row r="1595" spans="1:9" x14ac:dyDescent="0.25">
      <c r="A1595" s="6">
        <v>43838</v>
      </c>
      <c r="B1595" t="s">
        <v>26</v>
      </c>
      <c r="C1595">
        <v>63006</v>
      </c>
      <c r="D1595" t="s">
        <v>61</v>
      </c>
      <c r="E1595" s="7">
        <v>2779.45</v>
      </c>
      <c r="F1595" t="s">
        <v>20</v>
      </c>
      <c r="G1595" t="s">
        <v>21</v>
      </c>
      <c r="H1595" t="str">
        <f>"025-281408"</f>
        <v>025-281408</v>
      </c>
      <c r="I1595" t="str">
        <f>"TYLER TECHNOLOGIES  INC."</f>
        <v>TYLER TECHNOLOGIES  INC.</v>
      </c>
    </row>
    <row r="1596" spans="1:9" x14ac:dyDescent="0.25">
      <c r="E1596" s="7"/>
      <c r="F1596" t="s">
        <v>20</v>
      </c>
      <c r="G1596" t="s">
        <v>21</v>
      </c>
      <c r="H1596" t="str">
        <f>"025-281409"</f>
        <v>025-281409</v>
      </c>
      <c r="I1596" t="str">
        <f>"TYLER TECHNOLOGIES  INC."</f>
        <v>TYLER TECHNOLOGIES  INC.</v>
      </c>
    </row>
    <row r="1597" spans="1:9" x14ac:dyDescent="0.25">
      <c r="E1597" s="7"/>
      <c r="F1597" t="s">
        <v>20</v>
      </c>
      <c r="G1597" t="s">
        <v>21</v>
      </c>
      <c r="H1597" t="str">
        <f>"025-281941"</f>
        <v>025-281941</v>
      </c>
      <c r="I1597" t="str">
        <f>"TYLER TECHNOLOGIES  INC."</f>
        <v>TYLER TECHNOLOGIES  INC.</v>
      </c>
    </row>
    <row r="1598" spans="1:9" x14ac:dyDescent="0.25">
      <c r="E1598" s="7"/>
      <c r="F1598" t="s">
        <v>20</v>
      </c>
      <c r="G1598" t="s">
        <v>21</v>
      </c>
      <c r="H1598" t="str">
        <f>"025-282856"</f>
        <v>025-282856</v>
      </c>
      <c r="I1598" t="str">
        <f>"TYLER TECHNOLOGIES  INC."</f>
        <v>TYLER TECHNOLOGIES  INC.</v>
      </c>
    </row>
    <row r="1599" spans="1:9" x14ac:dyDescent="0.25">
      <c r="A1599" s="6">
        <v>43838</v>
      </c>
      <c r="B1599" t="s">
        <v>26</v>
      </c>
      <c r="C1599">
        <v>63007</v>
      </c>
      <c r="D1599" t="s">
        <v>0</v>
      </c>
      <c r="E1599" s="7">
        <v>2526.8200000000002</v>
      </c>
      <c r="F1599" t="s">
        <v>20</v>
      </c>
      <c r="G1599" t="s">
        <v>21</v>
      </c>
      <c r="H1599" t="str">
        <f>"01-0195-00 DEC2019"</f>
        <v>01-0195-00 DEC2019</v>
      </c>
      <c r="I1599" t="str">
        <f>"CITY OF FLORESVILLE"</f>
        <v>CITY OF FLORESVILLE</v>
      </c>
    </row>
    <row r="1600" spans="1:9" x14ac:dyDescent="0.25">
      <c r="A1600" s="6">
        <v>43838</v>
      </c>
      <c r="B1600" t="s">
        <v>26</v>
      </c>
      <c r="C1600">
        <v>63008</v>
      </c>
      <c r="D1600" t="s">
        <v>114</v>
      </c>
      <c r="E1600" s="7">
        <v>21135.32</v>
      </c>
      <c r="F1600" t="s">
        <v>20</v>
      </c>
      <c r="G1600" t="s">
        <v>21</v>
      </c>
      <c r="H1600" t="str">
        <f>"QRT ENDG 12/31/19"</f>
        <v>QRT ENDG 12/31/19</v>
      </c>
      <c r="I1600" t="str">
        <f>"STATE COMPTROLLER"</f>
        <v>STATE COMPTROLLER</v>
      </c>
    </row>
    <row r="1601" spans="1:9" x14ac:dyDescent="0.25">
      <c r="A1601" s="6">
        <v>43838</v>
      </c>
      <c r="B1601" t="s">
        <v>26</v>
      </c>
      <c r="C1601">
        <v>63009</v>
      </c>
      <c r="D1601" t="s">
        <v>184</v>
      </c>
      <c r="E1601" s="7">
        <v>948</v>
      </c>
      <c r="F1601" t="s">
        <v>20</v>
      </c>
      <c r="G1601" t="s">
        <v>21</v>
      </c>
      <c r="H1601" t="str">
        <f>"1057-159"</f>
        <v>1057-159</v>
      </c>
      <c r="I1601" t="str">
        <f>"POLLUTION CONTROL SERVICES"</f>
        <v>POLLUTION CONTROL SERVICES</v>
      </c>
    </row>
    <row r="1602" spans="1:9" x14ac:dyDescent="0.25">
      <c r="A1602" s="6">
        <v>43838</v>
      </c>
      <c r="B1602" t="s">
        <v>26</v>
      </c>
      <c r="C1602">
        <v>63010</v>
      </c>
      <c r="D1602" t="s">
        <v>115</v>
      </c>
      <c r="E1602" s="7">
        <v>234.97</v>
      </c>
      <c r="F1602" t="s">
        <v>20</v>
      </c>
      <c r="G1602" t="s">
        <v>21</v>
      </c>
      <c r="H1602" t="str">
        <f>"3547580472"</f>
        <v>3547580472</v>
      </c>
      <c r="I1602" t="str">
        <f>"TRUCK REPAIR UNIT 204"</f>
        <v>TRUCK REPAIR UNIT 204</v>
      </c>
    </row>
    <row r="1603" spans="1:9" x14ac:dyDescent="0.25">
      <c r="E1603" s="7"/>
      <c r="F1603" t="s">
        <v>20</v>
      </c>
      <c r="G1603" t="s">
        <v>21</v>
      </c>
      <c r="H1603" t="str">
        <f>"3547585243"</f>
        <v>3547585243</v>
      </c>
      <c r="I1603" t="str">
        <f>"PD UNIT 321 REPAIR"</f>
        <v>PD UNIT 321 REPAIR</v>
      </c>
    </row>
    <row r="1604" spans="1:9" x14ac:dyDescent="0.25">
      <c r="E1604" s="7"/>
      <c r="F1604" t="s">
        <v>20</v>
      </c>
      <c r="G1604" t="s">
        <v>21</v>
      </c>
      <c r="H1604" t="str">
        <f>"3547585308"</f>
        <v>3547585308</v>
      </c>
      <c r="I1604" t="str">
        <f>"PD UNIT 331"</f>
        <v>PD UNIT 331</v>
      </c>
    </row>
    <row r="1605" spans="1:9" x14ac:dyDescent="0.25">
      <c r="A1605" s="6">
        <v>43838</v>
      </c>
      <c r="B1605" t="s">
        <v>26</v>
      </c>
      <c r="C1605">
        <v>63011</v>
      </c>
      <c r="D1605" t="s">
        <v>63</v>
      </c>
      <c r="E1605" s="7">
        <v>864.28</v>
      </c>
      <c r="F1605" t="s">
        <v>20</v>
      </c>
      <c r="G1605" t="s">
        <v>21</v>
      </c>
      <c r="H1605" t="str">
        <f>"840440145"</f>
        <v>840440145</v>
      </c>
      <c r="I1605" t="str">
        <f>"CINTAS CORPORATION"</f>
        <v>CINTAS CORPORATION</v>
      </c>
    </row>
    <row r="1606" spans="1:9" x14ac:dyDescent="0.25">
      <c r="E1606" s="7"/>
      <c r="F1606" t="s">
        <v>20</v>
      </c>
      <c r="G1606" t="s">
        <v>21</v>
      </c>
      <c r="H1606" t="str">
        <f>"8404433249"</f>
        <v>8404433249</v>
      </c>
      <c r="I1606" t="str">
        <f>"CINTAS CORPORATION"</f>
        <v>CINTAS CORPORATION</v>
      </c>
    </row>
    <row r="1607" spans="1:9" x14ac:dyDescent="0.25">
      <c r="A1607" s="6">
        <v>43838</v>
      </c>
      <c r="B1607" t="s">
        <v>26</v>
      </c>
      <c r="C1607">
        <v>63012</v>
      </c>
      <c r="D1607" t="s">
        <v>64</v>
      </c>
      <c r="E1607" s="7">
        <v>5967.4</v>
      </c>
      <c r="F1607" t="s">
        <v>20</v>
      </c>
      <c r="G1607" t="s">
        <v>21</v>
      </c>
      <c r="H1607" t="str">
        <f>"8031"</f>
        <v>8031</v>
      </c>
      <c r="I1607" t="str">
        <f>"DREWA DESIGNS  INC."</f>
        <v>DREWA DESIGNS  INC.</v>
      </c>
    </row>
    <row r="1608" spans="1:9" x14ac:dyDescent="0.25">
      <c r="A1608" s="6">
        <v>43838</v>
      </c>
      <c r="B1608" t="s">
        <v>26</v>
      </c>
      <c r="C1608">
        <v>63013</v>
      </c>
      <c r="D1608" t="s">
        <v>66</v>
      </c>
      <c r="E1608" s="7">
        <v>502.88</v>
      </c>
      <c r="F1608" t="s">
        <v>20</v>
      </c>
      <c r="G1608" t="s">
        <v>21</v>
      </c>
      <c r="H1608" t="str">
        <f>"57056"</f>
        <v>57056</v>
      </c>
      <c r="I1608" t="str">
        <f>"LOPEZ EXTERMINATING SERVICE  I"</f>
        <v>LOPEZ EXTERMINATING SERVICE  I</v>
      </c>
    </row>
    <row r="1609" spans="1:9" x14ac:dyDescent="0.25">
      <c r="A1609" s="6">
        <v>43838</v>
      </c>
      <c r="B1609" t="s">
        <v>26</v>
      </c>
      <c r="C1609">
        <v>63014</v>
      </c>
      <c r="D1609" t="s">
        <v>95</v>
      </c>
      <c r="E1609" s="7">
        <v>64.959999999999994</v>
      </c>
      <c r="F1609" t="s">
        <v>20</v>
      </c>
      <c r="G1609" t="s">
        <v>21</v>
      </c>
      <c r="H1609" t="str">
        <f>"201912031"</f>
        <v>201912031</v>
      </c>
      <c r="I1609" t="str">
        <f>"LEGAL PLANS"</f>
        <v>LEGAL PLANS</v>
      </c>
    </row>
    <row r="1610" spans="1:9" x14ac:dyDescent="0.25">
      <c r="A1610" s="6">
        <v>43838</v>
      </c>
      <c r="B1610" t="s">
        <v>26</v>
      </c>
      <c r="C1610">
        <v>63015</v>
      </c>
      <c r="D1610" t="s">
        <v>119</v>
      </c>
      <c r="E1610" s="7">
        <v>134.25</v>
      </c>
      <c r="F1610" t="s">
        <v>20</v>
      </c>
      <c r="G1610" t="s">
        <v>21</v>
      </c>
      <c r="H1610" t="str">
        <f>"60339"</f>
        <v>60339</v>
      </c>
      <c r="I1610" t="str">
        <f>"BATTERY WATER DEPT"</f>
        <v>BATTERY WATER DEPT</v>
      </c>
    </row>
    <row r="1611" spans="1:9" x14ac:dyDescent="0.25">
      <c r="A1611" s="6">
        <v>43838</v>
      </c>
      <c r="B1611" t="s">
        <v>26</v>
      </c>
      <c r="C1611">
        <v>63016</v>
      </c>
      <c r="D1611" t="s">
        <v>426</v>
      </c>
      <c r="E1611" s="7">
        <v>142.16</v>
      </c>
      <c r="F1611" t="s">
        <v>20</v>
      </c>
      <c r="G1611" t="s">
        <v>21</v>
      </c>
      <c r="H1611" t="str">
        <f>"INV0739271"</f>
        <v>INV0739271</v>
      </c>
      <c r="I1611" t="str">
        <f>"MAGPUL PMAG"</f>
        <v>MAGPUL PMAG</v>
      </c>
    </row>
    <row r="1612" spans="1:9" x14ac:dyDescent="0.25">
      <c r="A1612" s="6">
        <v>43838</v>
      </c>
      <c r="B1612" t="s">
        <v>26</v>
      </c>
      <c r="C1612">
        <v>63017</v>
      </c>
      <c r="D1612" t="s">
        <v>69</v>
      </c>
      <c r="E1612" s="7">
        <v>60.16</v>
      </c>
      <c r="F1612" t="s">
        <v>20</v>
      </c>
      <c r="G1612" t="s">
        <v>21</v>
      </c>
      <c r="H1612" t="str">
        <f>"3303623"</f>
        <v>3303623</v>
      </c>
      <c r="I1612" t="str">
        <f>"PARKS DEPT-LAWN MOWERS"</f>
        <v>PARKS DEPT-LAWN MOWERS</v>
      </c>
    </row>
    <row r="1613" spans="1:9" x14ac:dyDescent="0.25">
      <c r="A1613" s="6">
        <v>43838</v>
      </c>
      <c r="B1613" t="s">
        <v>26</v>
      </c>
      <c r="C1613">
        <v>63018</v>
      </c>
      <c r="D1613" t="s">
        <v>146</v>
      </c>
      <c r="E1613" s="7">
        <v>225</v>
      </c>
      <c r="F1613" t="s">
        <v>20</v>
      </c>
      <c r="G1613" t="s">
        <v>21</v>
      </c>
      <c r="H1613" t="str">
        <f>"742481"</f>
        <v>742481</v>
      </c>
      <c r="I1613" t="str">
        <f>"LARRY SRALLA ELECTRIC"</f>
        <v>LARRY SRALLA ELECTRIC</v>
      </c>
    </row>
    <row r="1614" spans="1:9" x14ac:dyDescent="0.25">
      <c r="E1614" s="7"/>
      <c r="F1614" t="s">
        <v>20</v>
      </c>
      <c r="G1614" t="s">
        <v>21</v>
      </c>
      <c r="H1614" t="str">
        <f>"742482"</f>
        <v>742482</v>
      </c>
      <c r="I1614" t="str">
        <f>"LARRY SRALLA ELECTRIC"</f>
        <v>LARRY SRALLA ELECTRIC</v>
      </c>
    </row>
    <row r="1615" spans="1:9" x14ac:dyDescent="0.25">
      <c r="A1615" s="6">
        <v>43838</v>
      </c>
      <c r="B1615" t="s">
        <v>26</v>
      </c>
      <c r="C1615">
        <v>63019</v>
      </c>
      <c r="D1615" t="s">
        <v>96</v>
      </c>
      <c r="E1615" s="7">
        <v>483.25</v>
      </c>
      <c r="F1615" t="s">
        <v>20</v>
      </c>
      <c r="G1615" t="s">
        <v>21</v>
      </c>
      <c r="H1615" t="str">
        <f>"DEC. 2019"</f>
        <v>DEC. 2019</v>
      </c>
      <c r="I1615" t="str">
        <f>"LEGALSHIELD"</f>
        <v>LEGALSHIELD</v>
      </c>
    </row>
    <row r="1616" spans="1:9" x14ac:dyDescent="0.25">
      <c r="A1616" s="6">
        <v>43838</v>
      </c>
      <c r="B1616" t="s">
        <v>26</v>
      </c>
      <c r="C1616">
        <v>63020</v>
      </c>
      <c r="D1616" t="s">
        <v>71</v>
      </c>
      <c r="E1616" s="7">
        <v>2932.26</v>
      </c>
      <c r="F1616" t="s">
        <v>20</v>
      </c>
      <c r="G1616" t="s">
        <v>21</v>
      </c>
      <c r="H1616" t="str">
        <f>"4037395490"</f>
        <v>4037395490</v>
      </c>
      <c r="I1616" t="str">
        <f t="shared" ref="I1616:I1636" si="28">"CINTAS CORPORATION #087"</f>
        <v>CINTAS CORPORATION #087</v>
      </c>
    </row>
    <row r="1617" spans="5:9" x14ac:dyDescent="0.25">
      <c r="E1617" s="7"/>
      <c r="F1617" t="s">
        <v>20</v>
      </c>
      <c r="G1617" t="s">
        <v>21</v>
      </c>
      <c r="H1617" t="str">
        <f>"4037395557"</f>
        <v>4037395557</v>
      </c>
      <c r="I1617" t="str">
        <f t="shared" si="28"/>
        <v>CINTAS CORPORATION #087</v>
      </c>
    </row>
    <row r="1618" spans="5:9" x14ac:dyDescent="0.25">
      <c r="E1618" s="7"/>
      <c r="F1618" t="s">
        <v>20</v>
      </c>
      <c r="G1618" t="s">
        <v>21</v>
      </c>
      <c r="H1618" t="str">
        <f>"4037395586"</f>
        <v>4037395586</v>
      </c>
      <c r="I1618" t="str">
        <f t="shared" si="28"/>
        <v>CINTAS CORPORATION #087</v>
      </c>
    </row>
    <row r="1619" spans="5:9" x14ac:dyDescent="0.25">
      <c r="E1619" s="7"/>
      <c r="F1619" t="s">
        <v>20</v>
      </c>
      <c r="G1619" t="s">
        <v>21</v>
      </c>
      <c r="H1619" t="str">
        <f>"4037395631"</f>
        <v>4037395631</v>
      </c>
      <c r="I1619" t="str">
        <f t="shared" si="28"/>
        <v>CINTAS CORPORATION #087</v>
      </c>
    </row>
    <row r="1620" spans="5:9" x14ac:dyDescent="0.25">
      <c r="E1620" s="7"/>
      <c r="F1620" t="s">
        <v>20</v>
      </c>
      <c r="G1620" t="s">
        <v>21</v>
      </c>
      <c r="H1620" t="str">
        <f>"4037395702"</f>
        <v>4037395702</v>
      </c>
      <c r="I1620" t="str">
        <f t="shared" si="28"/>
        <v>CINTAS CORPORATION #087</v>
      </c>
    </row>
    <row r="1621" spans="5:9" x14ac:dyDescent="0.25">
      <c r="E1621" s="7"/>
      <c r="F1621" t="s">
        <v>20</v>
      </c>
      <c r="G1621" t="s">
        <v>21</v>
      </c>
      <c r="H1621" t="str">
        <f>"4037981910"</f>
        <v>4037981910</v>
      </c>
      <c r="I1621" t="str">
        <f t="shared" si="28"/>
        <v>CINTAS CORPORATION #087</v>
      </c>
    </row>
    <row r="1622" spans="5:9" x14ac:dyDescent="0.25">
      <c r="E1622" s="7"/>
      <c r="F1622" t="s">
        <v>20</v>
      </c>
      <c r="G1622" t="s">
        <v>21</v>
      </c>
      <c r="H1622" t="str">
        <f>"4037981915"</f>
        <v>4037981915</v>
      </c>
      <c r="I1622" t="str">
        <f t="shared" si="28"/>
        <v>CINTAS CORPORATION #087</v>
      </c>
    </row>
    <row r="1623" spans="5:9" x14ac:dyDescent="0.25">
      <c r="E1623" s="7"/>
      <c r="F1623" t="s">
        <v>20</v>
      </c>
      <c r="G1623" t="s">
        <v>21</v>
      </c>
      <c r="H1623" t="str">
        <f>"4037981929"</f>
        <v>4037981929</v>
      </c>
      <c r="I1623" t="str">
        <f t="shared" si="28"/>
        <v>CINTAS CORPORATION #087</v>
      </c>
    </row>
    <row r="1624" spans="5:9" x14ac:dyDescent="0.25">
      <c r="E1624" s="7"/>
      <c r="F1624" t="s">
        <v>20</v>
      </c>
      <c r="G1624" t="s">
        <v>21</v>
      </c>
      <c r="H1624" t="str">
        <f>"4037981972"</f>
        <v>4037981972</v>
      </c>
      <c r="I1624" t="str">
        <f t="shared" si="28"/>
        <v>CINTAS CORPORATION #087</v>
      </c>
    </row>
    <row r="1625" spans="5:9" x14ac:dyDescent="0.25">
      <c r="E1625" s="7"/>
      <c r="F1625" t="s">
        <v>20</v>
      </c>
      <c r="G1625" t="s">
        <v>21</v>
      </c>
      <c r="H1625" t="str">
        <f>"4037982010"</f>
        <v>4037982010</v>
      </c>
      <c r="I1625" t="str">
        <f t="shared" si="28"/>
        <v>CINTAS CORPORATION #087</v>
      </c>
    </row>
    <row r="1626" spans="5:9" x14ac:dyDescent="0.25">
      <c r="E1626" s="7"/>
      <c r="F1626" t="s">
        <v>20</v>
      </c>
      <c r="G1626" t="s">
        <v>21</v>
      </c>
      <c r="H1626" t="str">
        <f>"4038574730"</f>
        <v>4038574730</v>
      </c>
      <c r="I1626" t="str">
        <f t="shared" si="28"/>
        <v>CINTAS CORPORATION #087</v>
      </c>
    </row>
    <row r="1627" spans="5:9" x14ac:dyDescent="0.25">
      <c r="E1627" s="7"/>
      <c r="F1627" t="s">
        <v>20</v>
      </c>
      <c r="G1627" t="s">
        <v>21</v>
      </c>
      <c r="H1627" t="str">
        <f>"4038574748"</f>
        <v>4038574748</v>
      </c>
      <c r="I1627" t="str">
        <f t="shared" si="28"/>
        <v>CINTAS CORPORATION #087</v>
      </c>
    </row>
    <row r="1628" spans="5:9" x14ac:dyDescent="0.25">
      <c r="E1628" s="7"/>
      <c r="F1628" t="s">
        <v>20</v>
      </c>
      <c r="G1628" t="s">
        <v>21</v>
      </c>
      <c r="H1628" t="str">
        <f>"4038574771"</f>
        <v>4038574771</v>
      </c>
      <c r="I1628" t="str">
        <f t="shared" si="28"/>
        <v>CINTAS CORPORATION #087</v>
      </c>
    </row>
    <row r="1629" spans="5:9" x14ac:dyDescent="0.25">
      <c r="E1629" s="7"/>
      <c r="F1629" t="s">
        <v>20</v>
      </c>
      <c r="G1629" t="s">
        <v>21</v>
      </c>
      <c r="H1629" t="str">
        <f>"4038574798"</f>
        <v>4038574798</v>
      </c>
      <c r="I1629" t="str">
        <f t="shared" si="28"/>
        <v>CINTAS CORPORATION #087</v>
      </c>
    </row>
    <row r="1630" spans="5:9" x14ac:dyDescent="0.25">
      <c r="E1630" s="7"/>
      <c r="F1630" t="s">
        <v>20</v>
      </c>
      <c r="G1630" t="s">
        <v>21</v>
      </c>
      <c r="H1630" t="str">
        <f>"4038574853"</f>
        <v>4038574853</v>
      </c>
      <c r="I1630" t="str">
        <f t="shared" si="28"/>
        <v>CINTAS CORPORATION #087</v>
      </c>
    </row>
    <row r="1631" spans="5:9" x14ac:dyDescent="0.25">
      <c r="E1631" s="7"/>
      <c r="F1631" t="s">
        <v>20</v>
      </c>
      <c r="G1631" t="s">
        <v>21</v>
      </c>
      <c r="H1631" t="str">
        <f>"4038692280"</f>
        <v>4038692280</v>
      </c>
      <c r="I1631" t="str">
        <f t="shared" si="28"/>
        <v>CINTAS CORPORATION #087</v>
      </c>
    </row>
    <row r="1632" spans="5:9" x14ac:dyDescent="0.25">
      <c r="E1632" s="7"/>
      <c r="F1632" t="s">
        <v>20</v>
      </c>
      <c r="G1632" t="s">
        <v>21</v>
      </c>
      <c r="H1632" t="str">
        <f>"4039111668"</f>
        <v>4039111668</v>
      </c>
      <c r="I1632" t="str">
        <f t="shared" si="28"/>
        <v>CINTAS CORPORATION #087</v>
      </c>
    </row>
    <row r="1633" spans="1:9" x14ac:dyDescent="0.25">
      <c r="E1633" s="7"/>
      <c r="F1633" t="s">
        <v>20</v>
      </c>
      <c r="G1633" t="s">
        <v>21</v>
      </c>
      <c r="H1633" t="str">
        <f>"4039111669"</f>
        <v>4039111669</v>
      </c>
      <c r="I1633" t="str">
        <f t="shared" si="28"/>
        <v>CINTAS CORPORATION #087</v>
      </c>
    </row>
    <row r="1634" spans="1:9" x14ac:dyDescent="0.25">
      <c r="E1634" s="7"/>
      <c r="F1634" t="s">
        <v>20</v>
      </c>
      <c r="G1634" t="s">
        <v>21</v>
      </c>
      <c r="H1634" t="str">
        <f>"4039111700"</f>
        <v>4039111700</v>
      </c>
      <c r="I1634" t="str">
        <f t="shared" si="28"/>
        <v>CINTAS CORPORATION #087</v>
      </c>
    </row>
    <row r="1635" spans="1:9" x14ac:dyDescent="0.25">
      <c r="E1635" s="7"/>
      <c r="F1635" t="s">
        <v>20</v>
      </c>
      <c r="G1635" t="s">
        <v>21</v>
      </c>
      <c r="H1635" t="str">
        <f>"4039111752"</f>
        <v>4039111752</v>
      </c>
      <c r="I1635" t="str">
        <f t="shared" si="28"/>
        <v>CINTAS CORPORATION #087</v>
      </c>
    </row>
    <row r="1636" spans="1:9" x14ac:dyDescent="0.25">
      <c r="E1636" s="7"/>
      <c r="F1636" t="s">
        <v>20</v>
      </c>
      <c r="G1636" t="s">
        <v>21</v>
      </c>
      <c r="H1636" t="str">
        <f>"4039111772"</f>
        <v>4039111772</v>
      </c>
      <c r="I1636" t="str">
        <f t="shared" si="28"/>
        <v>CINTAS CORPORATION #087</v>
      </c>
    </row>
    <row r="1637" spans="1:9" x14ac:dyDescent="0.25">
      <c r="A1637" s="6">
        <v>43838</v>
      </c>
      <c r="B1637" t="s">
        <v>26</v>
      </c>
      <c r="C1637">
        <v>63024</v>
      </c>
      <c r="D1637" t="s">
        <v>73</v>
      </c>
      <c r="E1637" s="7">
        <v>41627.25</v>
      </c>
      <c r="F1637" t="s">
        <v>20</v>
      </c>
      <c r="G1637" t="s">
        <v>21</v>
      </c>
      <c r="H1637" t="str">
        <f>"8027 1/2020"</f>
        <v>8027 1/2020</v>
      </c>
      <c r="I1637" t="str">
        <f>"TML INTERGOVERNMENTAL RISK POO"</f>
        <v>TML INTERGOVERNMENTAL RISK POO</v>
      </c>
    </row>
    <row r="1638" spans="1:9" x14ac:dyDescent="0.25">
      <c r="A1638" s="6">
        <v>43838</v>
      </c>
      <c r="B1638" t="s">
        <v>26</v>
      </c>
      <c r="C1638">
        <v>63025</v>
      </c>
      <c r="D1638" t="s">
        <v>74</v>
      </c>
      <c r="E1638" s="7">
        <v>4162.1000000000004</v>
      </c>
      <c r="F1638" t="s">
        <v>20</v>
      </c>
      <c r="G1638" t="s">
        <v>21</v>
      </c>
      <c r="H1638" t="str">
        <f>"9844917476"</f>
        <v>9844917476</v>
      </c>
      <c r="I1638" t="str">
        <f>"VERIZON WIRELESS"</f>
        <v>VERIZON WIRELESS</v>
      </c>
    </row>
    <row r="1639" spans="1:9" x14ac:dyDescent="0.25">
      <c r="E1639" s="7"/>
      <c r="F1639" t="s">
        <v>20</v>
      </c>
      <c r="G1639" t="s">
        <v>21</v>
      </c>
      <c r="H1639" t="str">
        <f>"9844917477"</f>
        <v>9844917477</v>
      </c>
      <c r="I1639" t="str">
        <f>"VERIZON WIRELESS"</f>
        <v>VERIZON WIRELESS</v>
      </c>
    </row>
    <row r="1640" spans="1:9" x14ac:dyDescent="0.25">
      <c r="A1640" s="6">
        <v>43838</v>
      </c>
      <c r="B1640" t="s">
        <v>26</v>
      </c>
      <c r="C1640">
        <v>63027</v>
      </c>
      <c r="D1640" t="s">
        <v>123</v>
      </c>
      <c r="E1640" s="7">
        <v>2525.8200000000002</v>
      </c>
      <c r="F1640" t="s">
        <v>20</v>
      </c>
      <c r="G1640" t="s">
        <v>21</v>
      </c>
      <c r="H1640" t="str">
        <f>"408684235001"</f>
        <v>408684235001</v>
      </c>
      <c r="I1640" t="str">
        <f>"BUSINESS CARDS/TISSUE"</f>
        <v>BUSINESS CARDS/TISSUE</v>
      </c>
    </row>
    <row r="1641" spans="1:9" x14ac:dyDescent="0.25">
      <c r="E1641" s="7"/>
      <c r="F1641" t="s">
        <v>20</v>
      </c>
      <c r="G1641" t="s">
        <v>21</v>
      </c>
      <c r="H1641" t="str">
        <f>"412754867001"</f>
        <v>412754867001</v>
      </c>
      <c r="I1641" t="str">
        <f>"OFFICE SUPPLIES"</f>
        <v>OFFICE SUPPLIES</v>
      </c>
    </row>
    <row r="1642" spans="1:9" x14ac:dyDescent="0.25">
      <c r="E1642" s="7"/>
      <c r="F1642" t="s">
        <v>20</v>
      </c>
      <c r="G1642" t="s">
        <v>21</v>
      </c>
      <c r="H1642" t="str">
        <f>"412755224001"</f>
        <v>412755224001</v>
      </c>
      <c r="I1642" t="str">
        <f>"OFFICE SUPPLIES"</f>
        <v>OFFICE SUPPLIES</v>
      </c>
    </row>
    <row r="1643" spans="1:9" x14ac:dyDescent="0.25">
      <c r="E1643" s="7"/>
      <c r="F1643" t="s">
        <v>20</v>
      </c>
      <c r="G1643" t="s">
        <v>21</v>
      </c>
      <c r="H1643" t="str">
        <f>"412755225001"</f>
        <v>412755225001</v>
      </c>
      <c r="I1643" t="str">
        <f>"OFFICE SUPPLIES"</f>
        <v>OFFICE SUPPLIES</v>
      </c>
    </row>
    <row r="1644" spans="1:9" x14ac:dyDescent="0.25">
      <c r="E1644" s="7"/>
      <c r="F1644" t="s">
        <v>20</v>
      </c>
      <c r="G1644" t="s">
        <v>21</v>
      </c>
      <c r="H1644" t="str">
        <f>"413538811001"</f>
        <v>413538811001</v>
      </c>
      <c r="I1644" t="str">
        <f>"COFFEE SUPPLIES FOR PW"</f>
        <v>COFFEE SUPPLIES FOR PW</v>
      </c>
    </row>
    <row r="1645" spans="1:9" x14ac:dyDescent="0.25">
      <c r="E1645" s="7"/>
      <c r="F1645" t="s">
        <v>20</v>
      </c>
      <c r="G1645" t="s">
        <v>21</v>
      </c>
      <c r="H1645" t="str">
        <f>"414413069001"</f>
        <v>414413069001</v>
      </c>
      <c r="I1645" t="str">
        <f>"BUSINESS CARDS- PW &amp; DV"</f>
        <v>BUSINESS CARDS- PW &amp; DV</v>
      </c>
    </row>
    <row r="1646" spans="1:9" x14ac:dyDescent="0.25">
      <c r="E1646" s="7"/>
      <c r="F1646" t="s">
        <v>20</v>
      </c>
      <c r="G1646" t="s">
        <v>21</v>
      </c>
      <c r="H1646" t="str">
        <f>"414446891001"</f>
        <v>414446891001</v>
      </c>
      <c r="I1646" t="str">
        <f>"OFFICE DEPOT  INC."</f>
        <v>OFFICE DEPOT  INC.</v>
      </c>
    </row>
    <row r="1647" spans="1:9" x14ac:dyDescent="0.25">
      <c r="E1647" s="7"/>
      <c r="F1647" t="s">
        <v>20</v>
      </c>
      <c r="G1647" t="s">
        <v>21</v>
      </c>
      <c r="H1647" t="str">
        <f>"417944428001"</f>
        <v>417944428001</v>
      </c>
      <c r="I1647" t="str">
        <f t="shared" ref="I1647:I1652" si="29">"OFFICE SUPPLIES"</f>
        <v>OFFICE SUPPLIES</v>
      </c>
    </row>
    <row r="1648" spans="1:9" x14ac:dyDescent="0.25">
      <c r="E1648" s="7"/>
      <c r="F1648" t="s">
        <v>20</v>
      </c>
      <c r="G1648" t="s">
        <v>21</v>
      </c>
      <c r="H1648" t="str">
        <f>"417945387001"</f>
        <v>417945387001</v>
      </c>
      <c r="I1648" t="str">
        <f t="shared" si="29"/>
        <v>OFFICE SUPPLIES</v>
      </c>
    </row>
    <row r="1649" spans="1:9" x14ac:dyDescent="0.25">
      <c r="E1649" s="7"/>
      <c r="F1649" t="s">
        <v>20</v>
      </c>
      <c r="G1649" t="s">
        <v>21</v>
      </c>
      <c r="H1649" t="str">
        <f>"417945389001"</f>
        <v>417945389001</v>
      </c>
      <c r="I1649" t="str">
        <f t="shared" si="29"/>
        <v>OFFICE SUPPLIES</v>
      </c>
    </row>
    <row r="1650" spans="1:9" x14ac:dyDescent="0.25">
      <c r="E1650" s="7"/>
      <c r="F1650" t="s">
        <v>20</v>
      </c>
      <c r="G1650" t="s">
        <v>21</v>
      </c>
      <c r="H1650" t="str">
        <f>"417945390001"</f>
        <v>417945390001</v>
      </c>
      <c r="I1650" t="str">
        <f t="shared" si="29"/>
        <v>OFFICE SUPPLIES</v>
      </c>
    </row>
    <row r="1651" spans="1:9" x14ac:dyDescent="0.25">
      <c r="E1651" s="7"/>
      <c r="F1651" t="s">
        <v>20</v>
      </c>
      <c r="G1651" t="s">
        <v>21</v>
      </c>
      <c r="H1651" t="str">
        <f>"41794539100"</f>
        <v>41794539100</v>
      </c>
      <c r="I1651" t="str">
        <f t="shared" si="29"/>
        <v>OFFICE SUPPLIES</v>
      </c>
    </row>
    <row r="1652" spans="1:9" x14ac:dyDescent="0.25">
      <c r="E1652" s="7"/>
      <c r="F1652" t="s">
        <v>20</v>
      </c>
      <c r="G1652" t="s">
        <v>21</v>
      </c>
      <c r="H1652" t="str">
        <f>"418117175001"</f>
        <v>418117175001</v>
      </c>
      <c r="I1652" t="str">
        <f t="shared" si="29"/>
        <v>OFFICE SUPPLIES</v>
      </c>
    </row>
    <row r="1653" spans="1:9" x14ac:dyDescent="0.25">
      <c r="A1653" s="6">
        <v>43838</v>
      </c>
      <c r="B1653" t="s">
        <v>26</v>
      </c>
      <c r="C1653">
        <v>63034</v>
      </c>
      <c r="D1653" t="s">
        <v>75</v>
      </c>
      <c r="E1653" s="7">
        <v>456.36</v>
      </c>
      <c r="F1653" t="s">
        <v>20</v>
      </c>
      <c r="G1653" t="s">
        <v>21</v>
      </c>
      <c r="H1653" t="str">
        <f>"100682976"</f>
        <v>100682976</v>
      </c>
      <c r="I1653" t="str">
        <f>"KEROSENE HEATER"</f>
        <v>KEROSENE HEATER</v>
      </c>
    </row>
    <row r="1654" spans="1:9" x14ac:dyDescent="0.25">
      <c r="E1654" s="7"/>
      <c r="F1654" t="s">
        <v>20</v>
      </c>
      <c r="G1654" t="s">
        <v>21</v>
      </c>
      <c r="H1654" t="str">
        <f>"200744112"</f>
        <v>200744112</v>
      </c>
      <c r="I1654" t="str">
        <f>"WW TOOLS &amp; SUPPLIES"</f>
        <v>WW TOOLS &amp; SUPPLIES</v>
      </c>
    </row>
    <row r="1655" spans="1:9" x14ac:dyDescent="0.25">
      <c r="A1655" s="6">
        <v>43838</v>
      </c>
      <c r="B1655" t="s">
        <v>26</v>
      </c>
      <c r="C1655">
        <v>63035</v>
      </c>
      <c r="D1655" t="s">
        <v>44</v>
      </c>
      <c r="E1655" s="7">
        <v>525.79999999999995</v>
      </c>
      <c r="F1655" t="s">
        <v>20</v>
      </c>
      <c r="G1655" t="s">
        <v>21</v>
      </c>
      <c r="H1655" t="str">
        <f>"ELECT. LAW 1/28/20"</f>
        <v>ELECT. LAW 1/28/20</v>
      </c>
      <c r="I1655" t="str">
        <f>"MONICA VELIZ"</f>
        <v>MONICA VELIZ</v>
      </c>
    </row>
    <row r="1656" spans="1:9" x14ac:dyDescent="0.25">
      <c r="A1656" s="6">
        <v>43838</v>
      </c>
      <c r="B1656" t="s">
        <v>26</v>
      </c>
      <c r="C1656">
        <v>63036</v>
      </c>
      <c r="D1656" t="s">
        <v>305</v>
      </c>
      <c r="E1656" s="7">
        <v>71</v>
      </c>
      <c r="F1656" t="s">
        <v>20</v>
      </c>
      <c r="G1656" t="s">
        <v>21</v>
      </c>
      <c r="H1656" t="str">
        <f>"5244"</f>
        <v>5244</v>
      </c>
      <c r="I1656" t="str">
        <f>"CHEM EQUIPMENT"</f>
        <v>CHEM EQUIPMENT</v>
      </c>
    </row>
    <row r="1657" spans="1:9" x14ac:dyDescent="0.25">
      <c r="A1657" s="6">
        <v>43838</v>
      </c>
      <c r="B1657" t="s">
        <v>26</v>
      </c>
      <c r="C1657">
        <v>63037</v>
      </c>
      <c r="D1657" t="s">
        <v>77</v>
      </c>
      <c r="E1657" s="7">
        <v>1310</v>
      </c>
      <c r="F1657" t="s">
        <v>20</v>
      </c>
      <c r="G1657" t="s">
        <v>21</v>
      </c>
      <c r="H1657" t="str">
        <f>"857002347-19"</f>
        <v>857002347-19</v>
      </c>
      <c r="I1657" t="str">
        <f>"CHLORINE FOR GOLIAD PLANT"</f>
        <v>CHLORINE FOR GOLIAD PLANT</v>
      </c>
    </row>
    <row r="1658" spans="1:9" x14ac:dyDescent="0.25">
      <c r="A1658" s="6">
        <v>43838</v>
      </c>
      <c r="B1658" t="s">
        <v>26</v>
      </c>
      <c r="C1658">
        <v>63038</v>
      </c>
      <c r="D1658" t="s">
        <v>124</v>
      </c>
      <c r="E1658" s="7">
        <v>28.97</v>
      </c>
      <c r="F1658" t="s">
        <v>20</v>
      </c>
      <c r="G1658" t="s">
        <v>21</v>
      </c>
      <c r="H1658" t="str">
        <f>"11181661"</f>
        <v>11181661</v>
      </c>
      <c r="I1658" t="str">
        <f>"SUPPLIES"</f>
        <v>SUPPLIES</v>
      </c>
    </row>
    <row r="1659" spans="1:9" x14ac:dyDescent="0.25">
      <c r="A1659" s="6">
        <v>43838</v>
      </c>
      <c r="B1659" t="s">
        <v>26</v>
      </c>
      <c r="C1659">
        <v>63039</v>
      </c>
      <c r="D1659" t="s">
        <v>534</v>
      </c>
      <c r="E1659" s="7">
        <v>107.17</v>
      </c>
      <c r="F1659" t="s">
        <v>20</v>
      </c>
      <c r="G1659" t="s">
        <v>21</v>
      </c>
      <c r="H1659" t="str">
        <f>"8404453233"</f>
        <v>8404453233</v>
      </c>
      <c r="I1659" t="str">
        <f>"CINTAS CORPORATION NO. 2"</f>
        <v>CINTAS CORPORATION NO. 2</v>
      </c>
    </row>
    <row r="1660" spans="1:9" x14ac:dyDescent="0.25">
      <c r="A1660" s="6">
        <v>43838</v>
      </c>
      <c r="B1660" t="s">
        <v>26</v>
      </c>
      <c r="C1660">
        <v>63040</v>
      </c>
      <c r="D1660" t="s">
        <v>126</v>
      </c>
      <c r="E1660" s="7">
        <v>94515.53</v>
      </c>
      <c r="F1660" t="s">
        <v>20</v>
      </c>
      <c r="G1660" t="s">
        <v>21</v>
      </c>
      <c r="H1660" t="str">
        <f>"0859-002465201"</f>
        <v>0859-002465201</v>
      </c>
      <c r="I1660" t="str">
        <f>"REPUBLIC SERVICES #859"</f>
        <v>REPUBLIC SERVICES #859</v>
      </c>
    </row>
    <row r="1661" spans="1:9" x14ac:dyDescent="0.25">
      <c r="A1661" s="6">
        <v>43838</v>
      </c>
      <c r="B1661" t="s">
        <v>26</v>
      </c>
      <c r="C1661">
        <v>63041</v>
      </c>
      <c r="D1661" t="s">
        <v>79</v>
      </c>
      <c r="E1661" s="7">
        <v>6.49</v>
      </c>
      <c r="F1661" t="s">
        <v>20</v>
      </c>
      <c r="G1661" t="s">
        <v>21</v>
      </c>
      <c r="H1661" t="str">
        <f>"6-886-43951"</f>
        <v>6-886-43951</v>
      </c>
      <c r="I1661" t="str">
        <f>"FEDEX"</f>
        <v>FEDEX</v>
      </c>
    </row>
    <row r="1662" spans="1:9" x14ac:dyDescent="0.25">
      <c r="A1662" s="6">
        <v>43838</v>
      </c>
      <c r="B1662" t="s">
        <v>26</v>
      </c>
      <c r="C1662">
        <v>63042</v>
      </c>
      <c r="D1662" t="s">
        <v>223</v>
      </c>
      <c r="E1662" s="7">
        <v>75</v>
      </c>
      <c r="F1662" t="s">
        <v>20</v>
      </c>
      <c r="G1662" t="s">
        <v>21</v>
      </c>
      <c r="H1662" t="str">
        <f>"JAN. 2020"</f>
        <v>JAN. 2020</v>
      </c>
      <c r="I1662" t="str">
        <f>"JUAN ORTIZ"</f>
        <v>JUAN ORTIZ</v>
      </c>
    </row>
    <row r="1663" spans="1:9" x14ac:dyDescent="0.25">
      <c r="A1663" s="6">
        <v>43838</v>
      </c>
      <c r="B1663" t="s">
        <v>26</v>
      </c>
      <c r="C1663">
        <v>63043</v>
      </c>
      <c r="D1663" t="s">
        <v>80</v>
      </c>
      <c r="E1663" s="7">
        <v>1500</v>
      </c>
      <c r="F1663" t="s">
        <v>20</v>
      </c>
      <c r="G1663" t="s">
        <v>21</v>
      </c>
      <c r="H1663" t="str">
        <f>"1648-20200101-01"</f>
        <v>1648-20200101-01</v>
      </c>
      <c r="I1663" t="str">
        <f>"LVWIFI.COM"</f>
        <v>LVWIFI.COM</v>
      </c>
    </row>
    <row r="1664" spans="1:9" x14ac:dyDescent="0.25">
      <c r="E1664" s="7"/>
      <c r="F1664" t="s">
        <v>20</v>
      </c>
      <c r="G1664" t="s">
        <v>21</v>
      </c>
      <c r="H1664" t="str">
        <f>"2313-20200101-01"</f>
        <v>2313-20200101-01</v>
      </c>
      <c r="I1664" t="str">
        <f>"LVWIFI.COM"</f>
        <v>LVWIFI.COM</v>
      </c>
    </row>
    <row r="1665" spans="1:9" x14ac:dyDescent="0.25">
      <c r="A1665" s="6">
        <v>43838</v>
      </c>
      <c r="B1665" t="s">
        <v>26</v>
      </c>
      <c r="C1665">
        <v>63044</v>
      </c>
      <c r="D1665" t="s">
        <v>139</v>
      </c>
      <c r="E1665" s="7">
        <v>1175</v>
      </c>
      <c r="F1665" t="s">
        <v>20</v>
      </c>
      <c r="G1665" t="s">
        <v>21</v>
      </c>
      <c r="H1665" t="str">
        <f>"28124"</f>
        <v>28124</v>
      </c>
      <c r="I1665" t="str">
        <f>"ANGEL FIRE &amp; SAFETY"</f>
        <v>ANGEL FIRE &amp; SAFETY</v>
      </c>
    </row>
    <row r="1666" spans="1:9" x14ac:dyDescent="0.25">
      <c r="E1666" s="7"/>
      <c r="F1666" t="s">
        <v>20</v>
      </c>
      <c r="G1666" t="s">
        <v>21</v>
      </c>
      <c r="H1666" t="str">
        <f>"28237"</f>
        <v>28237</v>
      </c>
      <c r="I1666" t="str">
        <f>"ANGEL FIRE &amp; SAFETY"</f>
        <v>ANGEL FIRE &amp; SAFETY</v>
      </c>
    </row>
    <row r="1667" spans="1:9" x14ac:dyDescent="0.25">
      <c r="A1667" s="6">
        <v>43838</v>
      </c>
      <c r="B1667" t="s">
        <v>26</v>
      </c>
      <c r="C1667">
        <v>63045</v>
      </c>
      <c r="D1667" t="s">
        <v>191</v>
      </c>
      <c r="E1667" s="7">
        <v>1582.12</v>
      </c>
      <c r="F1667" t="s">
        <v>20</v>
      </c>
      <c r="G1667" t="s">
        <v>21</v>
      </c>
      <c r="H1667" t="str">
        <f>"INV06-007789"</f>
        <v>INV06-007789</v>
      </c>
      <c r="I1667" t="str">
        <f>"MUNISERVICES  LLC"</f>
        <v>MUNISERVICES  LLC</v>
      </c>
    </row>
    <row r="1668" spans="1:9" x14ac:dyDescent="0.25">
      <c r="A1668" s="6">
        <v>43838</v>
      </c>
      <c r="B1668" t="s">
        <v>26</v>
      </c>
      <c r="C1668">
        <v>63046</v>
      </c>
      <c r="D1668" t="s">
        <v>31</v>
      </c>
      <c r="E1668" s="7">
        <v>2000</v>
      </c>
      <c r="F1668" t="s">
        <v>20</v>
      </c>
      <c r="G1668" t="s">
        <v>21</v>
      </c>
      <c r="H1668" t="str">
        <f>"2020230"</f>
        <v>2020230</v>
      </c>
      <c r="I1668" t="str">
        <f>"THE LAW OFFICE OF TOM CALDWELL"</f>
        <v>THE LAW OFFICE OF TOM CALDWELL</v>
      </c>
    </row>
    <row r="1669" spans="1:9" x14ac:dyDescent="0.25">
      <c r="A1669" s="6">
        <v>43838</v>
      </c>
      <c r="B1669" t="s">
        <v>26</v>
      </c>
      <c r="C1669">
        <v>63047</v>
      </c>
      <c r="D1669" t="s">
        <v>97</v>
      </c>
      <c r="E1669" s="7">
        <v>44442.239999999998</v>
      </c>
      <c r="F1669" t="s">
        <v>20</v>
      </c>
      <c r="G1669" t="s">
        <v>21</v>
      </c>
      <c r="H1669" t="str">
        <f>"DEC. 2019"</f>
        <v>DEC. 2019</v>
      </c>
      <c r="I1669" t="str">
        <f>"HEALTH CARE SERVICE CORPORATIO"</f>
        <v>HEALTH CARE SERVICE CORPORATIO</v>
      </c>
    </row>
    <row r="1670" spans="1:9" x14ac:dyDescent="0.25">
      <c r="A1670" s="6">
        <v>43838</v>
      </c>
      <c r="B1670" t="s">
        <v>26</v>
      </c>
      <c r="C1670">
        <v>63048</v>
      </c>
      <c r="D1670" t="s">
        <v>98</v>
      </c>
      <c r="E1670" s="7">
        <v>4097.3999999999996</v>
      </c>
      <c r="F1670" t="s">
        <v>20</v>
      </c>
      <c r="G1670" t="s">
        <v>21</v>
      </c>
      <c r="H1670" t="str">
        <f>"DEC.2019"</f>
        <v>DEC.2019</v>
      </c>
      <c r="I1670" t="str">
        <f>"DEARBORN LIFE INSURANCE COMPAN"</f>
        <v>DEARBORN LIFE INSURANCE COMPAN</v>
      </c>
    </row>
    <row r="1671" spans="1:9" x14ac:dyDescent="0.25">
      <c r="A1671" s="6">
        <v>43838</v>
      </c>
      <c r="B1671" t="s">
        <v>26</v>
      </c>
      <c r="C1671">
        <v>63050</v>
      </c>
      <c r="D1671" t="s">
        <v>83</v>
      </c>
      <c r="E1671" s="7">
        <v>1044</v>
      </c>
      <c r="F1671" t="s">
        <v>20</v>
      </c>
      <c r="G1671" t="s">
        <v>21</v>
      </c>
      <c r="H1671" t="str">
        <f>"1006899"</f>
        <v>1006899</v>
      </c>
      <c r="I1671" t="str">
        <f>"APPRIVER"</f>
        <v>APPRIVER</v>
      </c>
    </row>
    <row r="1672" spans="1:9" x14ac:dyDescent="0.25">
      <c r="A1672" s="6">
        <v>43838</v>
      </c>
      <c r="B1672" t="s">
        <v>26</v>
      </c>
      <c r="C1672">
        <v>63051</v>
      </c>
      <c r="D1672" t="s">
        <v>85</v>
      </c>
      <c r="E1672" s="7">
        <v>2190.21</v>
      </c>
      <c r="F1672" t="s">
        <v>20</v>
      </c>
      <c r="G1672" t="s">
        <v>21</v>
      </c>
      <c r="H1672" t="str">
        <f>"2162691 DEC2019"</f>
        <v>2162691 DEC2019</v>
      </c>
      <c r="I1672" t="str">
        <f t="shared" ref="I1672:I1683" si="30">"FRONTIER"</f>
        <v>FRONTIER</v>
      </c>
    </row>
    <row r="1673" spans="1:9" x14ac:dyDescent="0.25">
      <c r="E1673" s="7"/>
      <c r="F1673" t="s">
        <v>20</v>
      </c>
      <c r="G1673" t="s">
        <v>21</v>
      </c>
      <c r="H1673" t="str">
        <f>"3930579 JAN2020"</f>
        <v>3930579 JAN2020</v>
      </c>
      <c r="I1673" t="str">
        <f t="shared" si="30"/>
        <v>FRONTIER</v>
      </c>
    </row>
    <row r="1674" spans="1:9" x14ac:dyDescent="0.25">
      <c r="E1674" s="7"/>
      <c r="F1674" t="s">
        <v>20</v>
      </c>
      <c r="G1674" t="s">
        <v>21</v>
      </c>
      <c r="H1674" t="str">
        <f>"3932056 DEC2019"</f>
        <v>3932056 DEC2019</v>
      </c>
      <c r="I1674" t="str">
        <f t="shared" si="30"/>
        <v>FRONTIER</v>
      </c>
    </row>
    <row r="1675" spans="1:9" x14ac:dyDescent="0.25">
      <c r="E1675" s="7"/>
      <c r="F1675" t="s">
        <v>20</v>
      </c>
      <c r="G1675" t="s">
        <v>21</v>
      </c>
      <c r="H1675" t="str">
        <f>"3933105 DEC2019"</f>
        <v>3933105 DEC2019</v>
      </c>
      <c r="I1675" t="str">
        <f t="shared" si="30"/>
        <v>FRONTIER</v>
      </c>
    </row>
    <row r="1676" spans="1:9" x14ac:dyDescent="0.25">
      <c r="E1676" s="7"/>
      <c r="F1676" t="s">
        <v>20</v>
      </c>
      <c r="G1676" t="s">
        <v>21</v>
      </c>
      <c r="H1676" t="str">
        <f>"3933108 JAN2020"</f>
        <v>3933108 JAN2020</v>
      </c>
      <c r="I1676" t="str">
        <f t="shared" si="30"/>
        <v>FRONTIER</v>
      </c>
    </row>
    <row r="1677" spans="1:9" x14ac:dyDescent="0.25">
      <c r="E1677" s="7"/>
      <c r="F1677" t="s">
        <v>20</v>
      </c>
      <c r="G1677" t="s">
        <v>21</v>
      </c>
      <c r="H1677" t="str">
        <f>"3933186 DEC2019"</f>
        <v>3933186 DEC2019</v>
      </c>
      <c r="I1677" t="str">
        <f t="shared" si="30"/>
        <v>FRONTIER</v>
      </c>
    </row>
    <row r="1678" spans="1:9" x14ac:dyDescent="0.25">
      <c r="E1678" s="7"/>
      <c r="F1678" t="s">
        <v>20</v>
      </c>
      <c r="G1678" t="s">
        <v>21</v>
      </c>
      <c r="H1678" t="str">
        <f>"3933718 DEC2019"</f>
        <v>3933718 DEC2019</v>
      </c>
      <c r="I1678" t="str">
        <f t="shared" si="30"/>
        <v>FRONTIER</v>
      </c>
    </row>
    <row r="1679" spans="1:9" x14ac:dyDescent="0.25">
      <c r="E1679" s="7"/>
      <c r="F1679" t="s">
        <v>20</v>
      </c>
      <c r="G1679" t="s">
        <v>21</v>
      </c>
      <c r="H1679" t="str">
        <f>"3936616 DEC2019"</f>
        <v>3936616 DEC2019</v>
      </c>
      <c r="I1679" t="str">
        <f t="shared" si="30"/>
        <v>FRONTIER</v>
      </c>
    </row>
    <row r="1680" spans="1:9" x14ac:dyDescent="0.25">
      <c r="E1680" s="7"/>
      <c r="F1680" t="s">
        <v>20</v>
      </c>
      <c r="G1680" t="s">
        <v>21</v>
      </c>
      <c r="H1680" t="str">
        <f>"3937070 DEC2019"</f>
        <v>3937070 DEC2019</v>
      </c>
      <c r="I1680" t="str">
        <f t="shared" si="30"/>
        <v>FRONTIER</v>
      </c>
    </row>
    <row r="1681" spans="1:9" x14ac:dyDescent="0.25">
      <c r="E1681" s="7"/>
      <c r="F1681" t="s">
        <v>20</v>
      </c>
      <c r="G1681" t="s">
        <v>21</v>
      </c>
      <c r="H1681" t="str">
        <f>"3939456 DEC2019"</f>
        <v>3939456 DEC2019</v>
      </c>
      <c r="I1681" t="str">
        <f t="shared" si="30"/>
        <v>FRONTIER</v>
      </c>
    </row>
    <row r="1682" spans="1:9" x14ac:dyDescent="0.25">
      <c r="E1682" s="7"/>
      <c r="F1682" t="s">
        <v>20</v>
      </c>
      <c r="G1682" t="s">
        <v>21</v>
      </c>
      <c r="H1682" t="str">
        <f>"3939791 JAN2020"</f>
        <v>3939791 JAN2020</v>
      </c>
      <c r="I1682" t="str">
        <f t="shared" si="30"/>
        <v>FRONTIER</v>
      </c>
    </row>
    <row r="1683" spans="1:9" x14ac:dyDescent="0.25">
      <c r="E1683" s="7"/>
      <c r="F1683" t="s">
        <v>20</v>
      </c>
      <c r="G1683" t="s">
        <v>21</v>
      </c>
      <c r="H1683" t="str">
        <f>"8301970046 DEC'19"</f>
        <v>8301970046 DEC'19</v>
      </c>
      <c r="I1683" t="str">
        <f t="shared" si="30"/>
        <v>FRONTIER</v>
      </c>
    </row>
    <row r="1684" spans="1:9" x14ac:dyDescent="0.25">
      <c r="A1684" s="6">
        <v>43838</v>
      </c>
      <c r="B1684" t="s">
        <v>26</v>
      </c>
      <c r="C1684">
        <v>63053</v>
      </c>
      <c r="D1684" t="s">
        <v>36</v>
      </c>
      <c r="E1684" s="7">
        <v>75</v>
      </c>
      <c r="F1684" t="s">
        <v>20</v>
      </c>
      <c r="G1684" t="s">
        <v>21</v>
      </c>
      <c r="H1684" t="str">
        <f>"JAN. 2020"</f>
        <v>JAN. 2020</v>
      </c>
      <c r="I1684" t="str">
        <f>"GLORIA M. CANTU"</f>
        <v>GLORIA M. CANTU</v>
      </c>
    </row>
    <row r="1685" spans="1:9" x14ac:dyDescent="0.25">
      <c r="A1685" s="6">
        <v>43838</v>
      </c>
      <c r="B1685" t="s">
        <v>26</v>
      </c>
      <c r="C1685">
        <v>63054</v>
      </c>
      <c r="D1685" t="s">
        <v>38</v>
      </c>
      <c r="E1685" s="7">
        <v>100</v>
      </c>
      <c r="F1685" t="s">
        <v>20</v>
      </c>
      <c r="G1685" t="s">
        <v>21</v>
      </c>
      <c r="H1685" t="str">
        <f>"JAN. 2020"</f>
        <v>JAN. 2020</v>
      </c>
      <c r="I1685" t="str">
        <f>"CECELIA GONZALEZ-DIPPEL"</f>
        <v>CECELIA GONZALEZ-DIPPEL</v>
      </c>
    </row>
    <row r="1686" spans="1:9" x14ac:dyDescent="0.25">
      <c r="A1686" s="6">
        <v>43838</v>
      </c>
      <c r="B1686" t="s">
        <v>26</v>
      </c>
      <c r="C1686">
        <v>63055</v>
      </c>
      <c r="D1686" t="s">
        <v>195</v>
      </c>
      <c r="E1686" s="7">
        <v>1652.49</v>
      </c>
      <c r="F1686" t="s">
        <v>20</v>
      </c>
      <c r="G1686" t="s">
        <v>21</v>
      </c>
      <c r="H1686" t="str">
        <f>"1565201912"</f>
        <v>1565201912</v>
      </c>
      <c r="I1686" t="str">
        <f>"ARISTA INFORMATION SYSTEMS  IN"</f>
        <v>ARISTA INFORMATION SYSTEMS  IN</v>
      </c>
    </row>
    <row r="1687" spans="1:9" x14ac:dyDescent="0.25">
      <c r="E1687" s="7"/>
      <c r="F1687" t="s">
        <v>20</v>
      </c>
      <c r="G1687" t="s">
        <v>21</v>
      </c>
      <c r="H1687" t="str">
        <f>"28773"</f>
        <v>28773</v>
      </c>
      <c r="I1687" t="str">
        <f>"ARISTA INFORMATION SYSTEMS  IN"</f>
        <v>ARISTA INFORMATION SYSTEMS  IN</v>
      </c>
    </row>
    <row r="1688" spans="1:9" x14ac:dyDescent="0.25">
      <c r="A1688" s="6">
        <v>43838</v>
      </c>
      <c r="B1688" t="s">
        <v>26</v>
      </c>
      <c r="C1688">
        <v>63056</v>
      </c>
      <c r="D1688" t="s">
        <v>642</v>
      </c>
      <c r="E1688" s="7">
        <v>1084.77</v>
      </c>
      <c r="F1688" t="s">
        <v>20</v>
      </c>
      <c r="G1688" t="s">
        <v>21</v>
      </c>
      <c r="H1688" t="str">
        <f>"5333476437"</f>
        <v>5333476437</v>
      </c>
      <c r="I1688" t="str">
        <f>"KARCHER NORTH AMERICA"</f>
        <v>KARCHER NORTH AMERICA</v>
      </c>
    </row>
    <row r="1689" spans="1:9" x14ac:dyDescent="0.25">
      <c r="A1689" s="6">
        <v>43838</v>
      </c>
      <c r="B1689" t="s">
        <v>26</v>
      </c>
      <c r="C1689">
        <v>63057</v>
      </c>
      <c r="D1689" t="s">
        <v>345</v>
      </c>
      <c r="E1689" s="7">
        <v>242</v>
      </c>
      <c r="F1689" t="s">
        <v>20</v>
      </c>
      <c r="G1689" t="s">
        <v>21</v>
      </c>
      <c r="H1689" t="str">
        <f>"1/6/19"</f>
        <v>1/6/19</v>
      </c>
      <c r="I1689" t="str">
        <f>"MICHAEL ISAAC MARTINEZ"</f>
        <v>MICHAEL ISAAC MARTINEZ</v>
      </c>
    </row>
    <row r="1690" spans="1:9" x14ac:dyDescent="0.25">
      <c r="A1690" s="6">
        <v>43838</v>
      </c>
      <c r="B1690" t="s">
        <v>91</v>
      </c>
      <c r="C1690">
        <v>63058</v>
      </c>
      <c r="D1690" t="s">
        <v>27</v>
      </c>
      <c r="E1690" s="7">
        <v>57.16</v>
      </c>
      <c r="F1690" t="s">
        <v>20</v>
      </c>
      <c r="G1690" t="s">
        <v>21</v>
      </c>
      <c r="H1690" t="str">
        <f>"TIER II TRG 1/3/20"</f>
        <v>TIER II TRG 1/3/20</v>
      </c>
      <c r="I1690" t="str">
        <f>"RICARDO CARRASCO"</f>
        <v>RICARDO CARRASCO</v>
      </c>
    </row>
    <row r="1691" spans="1:9" x14ac:dyDescent="0.25">
      <c r="A1691" s="6">
        <v>43838</v>
      </c>
      <c r="B1691" t="s">
        <v>91</v>
      </c>
      <c r="C1691">
        <v>63058</v>
      </c>
      <c r="D1691" t="s">
        <v>27</v>
      </c>
      <c r="E1691" s="7">
        <v>57.16</v>
      </c>
      <c r="F1691" t="s">
        <v>20</v>
      </c>
      <c r="G1691" t="s">
        <v>93</v>
      </c>
      <c r="H1691" t="str">
        <f>"CHECK"</f>
        <v>CHECK</v>
      </c>
      <c r="I1691" t="str">
        <f>""</f>
        <v/>
      </c>
    </row>
    <row r="1692" spans="1:9" x14ac:dyDescent="0.25">
      <c r="A1692" s="6">
        <v>43838</v>
      </c>
      <c r="B1692" t="s">
        <v>26</v>
      </c>
      <c r="C1692">
        <v>63059</v>
      </c>
      <c r="D1692" t="s">
        <v>49</v>
      </c>
      <c r="E1692" s="7">
        <v>35.65</v>
      </c>
      <c r="F1692" t="s">
        <v>20</v>
      </c>
      <c r="G1692" t="s">
        <v>21</v>
      </c>
      <c r="H1692" t="str">
        <f>"HOLDAY EXT 2019"</f>
        <v>HOLDAY EXT 2019</v>
      </c>
      <c r="I1692" t="str">
        <f>"DORA LOPEZ"</f>
        <v>DORA LOPEZ</v>
      </c>
    </row>
    <row r="1693" spans="1:9" x14ac:dyDescent="0.25">
      <c r="A1693" s="6">
        <v>43838</v>
      </c>
      <c r="B1693" t="s">
        <v>26</v>
      </c>
      <c r="C1693">
        <v>63060</v>
      </c>
      <c r="D1693" t="s">
        <v>398</v>
      </c>
      <c r="E1693" s="7">
        <v>55</v>
      </c>
      <c r="F1693" t="s">
        <v>20</v>
      </c>
      <c r="G1693" t="s">
        <v>21</v>
      </c>
      <c r="H1693" t="str">
        <f>"20200109"</f>
        <v>20200109</v>
      </c>
      <c r="I1693" t="str">
        <f>"INTERCEPTOR TECHNOLOGY GROUP L"</f>
        <v>INTERCEPTOR TECHNOLOGY GROUP L</v>
      </c>
    </row>
    <row r="1694" spans="1:9" x14ac:dyDescent="0.25">
      <c r="A1694" s="6">
        <v>43838</v>
      </c>
      <c r="B1694" t="s">
        <v>26</v>
      </c>
      <c r="C1694">
        <v>63061</v>
      </c>
      <c r="D1694" t="s">
        <v>443</v>
      </c>
      <c r="E1694" s="7">
        <v>4116.67</v>
      </c>
      <c r="F1694" t="s">
        <v>20</v>
      </c>
      <c r="G1694" t="s">
        <v>21</v>
      </c>
      <c r="H1694" t="str">
        <f>"10627"</f>
        <v>10627</v>
      </c>
      <c r="I1694" t="str">
        <f>"RIOJAS TURF CARE  LLC"</f>
        <v>RIOJAS TURF CARE  LLC</v>
      </c>
    </row>
    <row r="1695" spans="1:9" x14ac:dyDescent="0.25">
      <c r="A1695" s="6">
        <v>43838</v>
      </c>
      <c r="B1695" t="s">
        <v>26</v>
      </c>
      <c r="C1695">
        <v>63062</v>
      </c>
      <c r="D1695" t="s">
        <v>483</v>
      </c>
      <c r="E1695" s="7">
        <v>161.94999999999999</v>
      </c>
      <c r="F1695" t="s">
        <v>20</v>
      </c>
      <c r="G1695" t="s">
        <v>21</v>
      </c>
      <c r="H1695" t="str">
        <f>"5413008"</f>
        <v>5413008</v>
      </c>
      <c r="I1695" t="str">
        <f>"WW SUPPLIES"</f>
        <v>WW SUPPLIES</v>
      </c>
    </row>
    <row r="1696" spans="1:9" x14ac:dyDescent="0.25">
      <c r="A1696" s="6">
        <v>43838</v>
      </c>
      <c r="B1696" t="s">
        <v>26</v>
      </c>
      <c r="C1696">
        <v>63063</v>
      </c>
      <c r="D1696" t="s">
        <v>528</v>
      </c>
      <c r="E1696" s="7">
        <v>193.25</v>
      </c>
      <c r="F1696" t="s">
        <v>20</v>
      </c>
      <c r="G1696" t="s">
        <v>21</v>
      </c>
      <c r="H1696" t="str">
        <f>"10151514"</f>
        <v>10151514</v>
      </c>
      <c r="I1696" t="str">
        <f>"PROSTAR SERVICES INC"</f>
        <v>PROSTAR SERVICES INC</v>
      </c>
    </row>
    <row r="1697" spans="1:9" x14ac:dyDescent="0.25">
      <c r="A1697" s="6">
        <v>43838</v>
      </c>
      <c r="B1697" t="s">
        <v>26</v>
      </c>
      <c r="C1697">
        <v>63064</v>
      </c>
      <c r="D1697" t="s">
        <v>558</v>
      </c>
      <c r="E1697" s="7">
        <v>75</v>
      </c>
      <c r="F1697" t="s">
        <v>20</v>
      </c>
      <c r="G1697" t="s">
        <v>21</v>
      </c>
      <c r="H1697" t="str">
        <f>"JAN. 2020"</f>
        <v>JAN. 2020</v>
      </c>
      <c r="I1697" t="str">
        <f>"MARISSA XIMENEZ"</f>
        <v>MARISSA XIMENEZ</v>
      </c>
    </row>
    <row r="1698" spans="1:9" x14ac:dyDescent="0.25">
      <c r="A1698" s="6">
        <v>43838</v>
      </c>
      <c r="B1698" t="s">
        <v>26</v>
      </c>
      <c r="C1698">
        <v>63065</v>
      </c>
      <c r="D1698" t="s">
        <v>568</v>
      </c>
      <c r="E1698" s="7">
        <v>271.58</v>
      </c>
      <c r="F1698" t="s">
        <v>20</v>
      </c>
      <c r="G1698" t="s">
        <v>21</v>
      </c>
      <c r="H1698" t="str">
        <f>"11946638"</f>
        <v>11946638</v>
      </c>
      <c r="I1698" t="str">
        <f>"PD UNIT 316 TIRES"</f>
        <v>PD UNIT 316 TIRES</v>
      </c>
    </row>
    <row r="1699" spans="1:9" x14ac:dyDescent="0.25">
      <c r="A1699" s="6">
        <v>43838</v>
      </c>
      <c r="B1699" t="s">
        <v>26</v>
      </c>
      <c r="C1699">
        <v>63066</v>
      </c>
      <c r="D1699" t="s">
        <v>596</v>
      </c>
      <c r="E1699" s="7">
        <v>85</v>
      </c>
      <c r="F1699" t="s">
        <v>20</v>
      </c>
      <c r="G1699" t="s">
        <v>21</v>
      </c>
      <c r="H1699" t="str">
        <f>"1/6/2020"</f>
        <v>1/6/2020</v>
      </c>
      <c r="I1699" t="str">
        <f>"GRACE PIERCE"</f>
        <v>GRACE PIERCE</v>
      </c>
    </row>
    <row r="1700" spans="1:9" x14ac:dyDescent="0.25">
      <c r="A1700" s="6">
        <v>43838</v>
      </c>
      <c r="B1700" t="s">
        <v>26</v>
      </c>
      <c r="C1700">
        <v>63067</v>
      </c>
      <c r="D1700" t="s">
        <v>644</v>
      </c>
      <c r="E1700" s="7">
        <v>2472.52</v>
      </c>
      <c r="F1700" t="s">
        <v>20</v>
      </c>
      <c r="G1700" t="s">
        <v>21</v>
      </c>
      <c r="H1700" t="str">
        <f>"8213399077"</f>
        <v>8213399077</v>
      </c>
      <c r="I1700" t="str">
        <f t="shared" ref="I1700:I1722" si="31">"UNIFIRST CORPORATION"</f>
        <v>UNIFIRST CORPORATION</v>
      </c>
    </row>
    <row r="1701" spans="1:9" x14ac:dyDescent="0.25">
      <c r="E1701" s="7"/>
      <c r="F1701" t="s">
        <v>20</v>
      </c>
      <c r="G1701" t="s">
        <v>21</v>
      </c>
      <c r="H1701" t="str">
        <f>"8213399078"</f>
        <v>8213399078</v>
      </c>
      <c r="I1701" t="str">
        <f t="shared" si="31"/>
        <v>UNIFIRST CORPORATION</v>
      </c>
    </row>
    <row r="1702" spans="1:9" x14ac:dyDescent="0.25">
      <c r="E1702" s="7"/>
      <c r="F1702" t="s">
        <v>20</v>
      </c>
      <c r="G1702" t="s">
        <v>21</v>
      </c>
      <c r="H1702" t="str">
        <f>"8213399079"</f>
        <v>8213399079</v>
      </c>
      <c r="I1702" t="str">
        <f t="shared" si="31"/>
        <v>UNIFIRST CORPORATION</v>
      </c>
    </row>
    <row r="1703" spans="1:9" x14ac:dyDescent="0.25">
      <c r="E1703" s="7"/>
      <c r="F1703" t="s">
        <v>20</v>
      </c>
      <c r="G1703" t="s">
        <v>21</v>
      </c>
      <c r="H1703" t="str">
        <f>"8213399080"</f>
        <v>8213399080</v>
      </c>
      <c r="I1703" t="str">
        <f t="shared" si="31"/>
        <v>UNIFIRST CORPORATION</v>
      </c>
    </row>
    <row r="1704" spans="1:9" x14ac:dyDescent="0.25">
      <c r="E1704" s="7"/>
      <c r="F1704" t="s">
        <v>20</v>
      </c>
      <c r="G1704" t="s">
        <v>21</v>
      </c>
      <c r="H1704" t="str">
        <f>"8213399081"</f>
        <v>8213399081</v>
      </c>
      <c r="I1704" t="str">
        <f t="shared" si="31"/>
        <v>UNIFIRST CORPORATION</v>
      </c>
    </row>
    <row r="1705" spans="1:9" x14ac:dyDescent="0.25">
      <c r="E1705" s="7"/>
      <c r="F1705" t="s">
        <v>20</v>
      </c>
      <c r="G1705" t="s">
        <v>21</v>
      </c>
      <c r="H1705" t="str">
        <f>"8213399082"</f>
        <v>8213399082</v>
      </c>
      <c r="I1705" t="str">
        <f t="shared" si="31"/>
        <v>UNIFIRST CORPORATION</v>
      </c>
    </row>
    <row r="1706" spans="1:9" x14ac:dyDescent="0.25">
      <c r="E1706" s="7"/>
      <c r="F1706" t="s">
        <v>20</v>
      </c>
      <c r="G1706" t="s">
        <v>21</v>
      </c>
      <c r="H1706" t="str">
        <f>"8213399083"</f>
        <v>8213399083</v>
      </c>
      <c r="I1706" t="str">
        <f t="shared" si="31"/>
        <v>UNIFIRST CORPORATION</v>
      </c>
    </row>
    <row r="1707" spans="1:9" x14ac:dyDescent="0.25">
      <c r="E1707" s="7"/>
      <c r="F1707" t="s">
        <v>20</v>
      </c>
      <c r="G1707" t="s">
        <v>21</v>
      </c>
      <c r="H1707" t="str">
        <f>"8213401925"</f>
        <v>8213401925</v>
      </c>
      <c r="I1707" t="str">
        <f t="shared" si="31"/>
        <v>UNIFIRST CORPORATION</v>
      </c>
    </row>
    <row r="1708" spans="1:9" x14ac:dyDescent="0.25">
      <c r="E1708" s="7"/>
      <c r="F1708" t="s">
        <v>20</v>
      </c>
      <c r="G1708" t="s">
        <v>21</v>
      </c>
      <c r="H1708" t="str">
        <f>"8213401926"</f>
        <v>8213401926</v>
      </c>
      <c r="I1708" t="str">
        <f t="shared" si="31"/>
        <v>UNIFIRST CORPORATION</v>
      </c>
    </row>
    <row r="1709" spans="1:9" x14ac:dyDescent="0.25">
      <c r="E1709" s="7"/>
      <c r="F1709" t="s">
        <v>20</v>
      </c>
      <c r="G1709" t="s">
        <v>21</v>
      </c>
      <c r="H1709" t="str">
        <f>"8213401927"</f>
        <v>8213401927</v>
      </c>
      <c r="I1709" t="str">
        <f t="shared" si="31"/>
        <v>UNIFIRST CORPORATION</v>
      </c>
    </row>
    <row r="1710" spans="1:9" x14ac:dyDescent="0.25">
      <c r="E1710" s="7"/>
      <c r="F1710" t="s">
        <v>20</v>
      </c>
      <c r="G1710" t="s">
        <v>21</v>
      </c>
      <c r="H1710" t="str">
        <f>"8213401928"</f>
        <v>8213401928</v>
      </c>
      <c r="I1710" t="str">
        <f t="shared" si="31"/>
        <v>UNIFIRST CORPORATION</v>
      </c>
    </row>
    <row r="1711" spans="1:9" x14ac:dyDescent="0.25">
      <c r="E1711" s="7"/>
      <c r="F1711" t="s">
        <v>20</v>
      </c>
      <c r="G1711" t="s">
        <v>21</v>
      </c>
      <c r="H1711" t="str">
        <f>"8213401929"</f>
        <v>8213401929</v>
      </c>
      <c r="I1711" t="str">
        <f t="shared" si="31"/>
        <v>UNIFIRST CORPORATION</v>
      </c>
    </row>
    <row r="1712" spans="1:9" x14ac:dyDescent="0.25">
      <c r="E1712" s="7"/>
      <c r="F1712" t="s">
        <v>20</v>
      </c>
      <c r="G1712" t="s">
        <v>21</v>
      </c>
      <c r="H1712" t="str">
        <f>"8213401930"</f>
        <v>8213401930</v>
      </c>
      <c r="I1712" t="str">
        <f t="shared" si="31"/>
        <v>UNIFIRST CORPORATION</v>
      </c>
    </row>
    <row r="1713" spans="1:9" x14ac:dyDescent="0.25">
      <c r="E1713" s="7"/>
      <c r="F1713" t="s">
        <v>20</v>
      </c>
      <c r="G1713" t="s">
        <v>21</v>
      </c>
      <c r="H1713" t="str">
        <f>"8213401931"</f>
        <v>8213401931</v>
      </c>
      <c r="I1713" t="str">
        <f t="shared" si="31"/>
        <v>UNIFIRST CORPORATION</v>
      </c>
    </row>
    <row r="1714" spans="1:9" x14ac:dyDescent="0.25">
      <c r="E1714" s="7"/>
      <c r="F1714" t="s">
        <v>20</v>
      </c>
      <c r="G1714" t="s">
        <v>21</v>
      </c>
      <c r="H1714" t="str">
        <f>"8213404848"</f>
        <v>8213404848</v>
      </c>
      <c r="I1714" t="str">
        <f t="shared" si="31"/>
        <v>UNIFIRST CORPORATION</v>
      </c>
    </row>
    <row r="1715" spans="1:9" x14ac:dyDescent="0.25">
      <c r="E1715" s="7"/>
      <c r="F1715" t="s">
        <v>20</v>
      </c>
      <c r="G1715" t="s">
        <v>21</v>
      </c>
      <c r="H1715" t="str">
        <f>"8213407821"</f>
        <v>8213407821</v>
      </c>
      <c r="I1715" t="str">
        <f t="shared" si="31"/>
        <v>UNIFIRST CORPORATION</v>
      </c>
    </row>
    <row r="1716" spans="1:9" x14ac:dyDescent="0.25">
      <c r="E1716" s="7"/>
      <c r="F1716" t="s">
        <v>20</v>
      </c>
      <c r="G1716" t="s">
        <v>21</v>
      </c>
      <c r="H1716" t="str">
        <f>"8213407822"</f>
        <v>8213407822</v>
      </c>
      <c r="I1716" t="str">
        <f t="shared" si="31"/>
        <v>UNIFIRST CORPORATION</v>
      </c>
    </row>
    <row r="1717" spans="1:9" x14ac:dyDescent="0.25">
      <c r="E1717" s="7"/>
      <c r="F1717" t="s">
        <v>20</v>
      </c>
      <c r="G1717" t="s">
        <v>21</v>
      </c>
      <c r="H1717" t="str">
        <f>"8213407823"</f>
        <v>8213407823</v>
      </c>
      <c r="I1717" t="str">
        <f t="shared" si="31"/>
        <v>UNIFIRST CORPORATION</v>
      </c>
    </row>
    <row r="1718" spans="1:9" x14ac:dyDescent="0.25">
      <c r="E1718" s="7"/>
      <c r="F1718" t="s">
        <v>20</v>
      </c>
      <c r="G1718" t="s">
        <v>21</v>
      </c>
      <c r="H1718" t="str">
        <f>"8213407824"</f>
        <v>8213407824</v>
      </c>
      <c r="I1718" t="str">
        <f t="shared" si="31"/>
        <v>UNIFIRST CORPORATION</v>
      </c>
    </row>
    <row r="1719" spans="1:9" x14ac:dyDescent="0.25">
      <c r="E1719" s="7"/>
      <c r="F1719" t="s">
        <v>20</v>
      </c>
      <c r="G1719" t="s">
        <v>21</v>
      </c>
      <c r="H1719" t="str">
        <f>"8213407825"</f>
        <v>8213407825</v>
      </c>
      <c r="I1719" t="str">
        <f t="shared" si="31"/>
        <v>UNIFIRST CORPORATION</v>
      </c>
    </row>
    <row r="1720" spans="1:9" x14ac:dyDescent="0.25">
      <c r="E1720" s="7"/>
      <c r="F1720" t="s">
        <v>20</v>
      </c>
      <c r="G1720" t="s">
        <v>21</v>
      </c>
      <c r="H1720" t="str">
        <f>"8213407826"</f>
        <v>8213407826</v>
      </c>
      <c r="I1720" t="str">
        <f t="shared" si="31"/>
        <v>UNIFIRST CORPORATION</v>
      </c>
    </row>
    <row r="1721" spans="1:9" x14ac:dyDescent="0.25">
      <c r="E1721" s="7"/>
      <c r="F1721" t="s">
        <v>20</v>
      </c>
      <c r="G1721" t="s">
        <v>21</v>
      </c>
      <c r="H1721" t="str">
        <f>"8213407827"</f>
        <v>8213407827</v>
      </c>
      <c r="I1721" t="str">
        <f t="shared" si="31"/>
        <v>UNIFIRST CORPORATION</v>
      </c>
    </row>
    <row r="1722" spans="1:9" x14ac:dyDescent="0.25">
      <c r="E1722" s="7"/>
      <c r="F1722" t="s">
        <v>20</v>
      </c>
      <c r="G1722" t="s">
        <v>21</v>
      </c>
      <c r="H1722" t="str">
        <f>"8213410607"</f>
        <v>8213410607</v>
      </c>
      <c r="I1722" t="str">
        <f t="shared" si="31"/>
        <v>UNIFIRST CORPORATION</v>
      </c>
    </row>
    <row r="1723" spans="1:9" x14ac:dyDescent="0.25">
      <c r="A1723" s="6">
        <v>43838</v>
      </c>
      <c r="B1723" t="s">
        <v>26</v>
      </c>
      <c r="C1723">
        <v>63072</v>
      </c>
      <c r="D1723" t="s">
        <v>647</v>
      </c>
      <c r="E1723" s="7">
        <v>2045</v>
      </c>
      <c r="F1723" t="s">
        <v>20</v>
      </c>
      <c r="G1723" t="s">
        <v>21</v>
      </c>
      <c r="H1723" t="str">
        <f>"26074084"</f>
        <v>26074084</v>
      </c>
      <c r="I1723" t="str">
        <f>"DOCUMATION  INC."</f>
        <v>DOCUMATION  INC.</v>
      </c>
    </row>
    <row r="1724" spans="1:9" x14ac:dyDescent="0.25">
      <c r="A1724" s="6">
        <v>43838</v>
      </c>
      <c r="B1724" t="s">
        <v>26</v>
      </c>
      <c r="C1724">
        <v>63073</v>
      </c>
      <c r="D1724" t="s">
        <v>679</v>
      </c>
      <c r="E1724" s="7">
        <v>4532.5</v>
      </c>
      <c r="F1724" t="s">
        <v>20</v>
      </c>
      <c r="G1724" t="s">
        <v>21</v>
      </c>
      <c r="H1724" t="str">
        <f>"41012"</f>
        <v>41012</v>
      </c>
      <c r="I1724" t="str">
        <f>"RECORDS CONSULTANTS  INC"</f>
        <v>RECORDS CONSULTANTS  INC</v>
      </c>
    </row>
    <row r="1725" spans="1:9" x14ac:dyDescent="0.25">
      <c r="A1725" s="6">
        <v>43838</v>
      </c>
      <c r="B1725" t="s">
        <v>26</v>
      </c>
      <c r="C1725">
        <v>63074</v>
      </c>
      <c r="D1725" t="s">
        <v>697</v>
      </c>
      <c r="E1725" s="7">
        <v>85</v>
      </c>
      <c r="F1725" t="s">
        <v>20</v>
      </c>
      <c r="G1725" t="s">
        <v>21</v>
      </c>
      <c r="H1725" t="str">
        <f>"1/6/2020"</f>
        <v>1/6/2020</v>
      </c>
      <c r="I1725" t="str">
        <f>"OLIVIA SOTO"</f>
        <v>OLIVIA SOTO</v>
      </c>
    </row>
    <row r="1726" spans="1:9" x14ac:dyDescent="0.25">
      <c r="A1726" s="6">
        <v>43838</v>
      </c>
      <c r="B1726" t="s">
        <v>26</v>
      </c>
      <c r="C1726">
        <v>63075</v>
      </c>
      <c r="D1726" t="s">
        <v>814</v>
      </c>
      <c r="E1726" s="7">
        <v>90</v>
      </c>
      <c r="F1726" t="s">
        <v>20</v>
      </c>
      <c r="G1726" t="s">
        <v>21</v>
      </c>
      <c r="H1726" t="str">
        <f>"1/6/2020"</f>
        <v>1/6/2020</v>
      </c>
      <c r="I1726" t="str">
        <f>"RACHEL GARCIA"</f>
        <v>RACHEL GARCIA</v>
      </c>
    </row>
    <row r="1727" spans="1:9" x14ac:dyDescent="0.25">
      <c r="A1727" s="6">
        <v>43838</v>
      </c>
      <c r="B1727" t="s">
        <v>26</v>
      </c>
      <c r="C1727">
        <v>63076</v>
      </c>
      <c r="D1727" t="s">
        <v>836</v>
      </c>
      <c r="E1727" s="7">
        <v>13195.8</v>
      </c>
      <c r="F1727" t="s">
        <v>20</v>
      </c>
      <c r="G1727" t="s">
        <v>21</v>
      </c>
      <c r="H1727" t="str">
        <f>"58922"</f>
        <v>58922</v>
      </c>
      <c r="I1727" t="str">
        <f>"BARCOM TECHNOLOGY SOLUTIONS  I"</f>
        <v>BARCOM TECHNOLOGY SOLUTIONS  I</v>
      </c>
    </row>
    <row r="1728" spans="1:9" x14ac:dyDescent="0.25">
      <c r="E1728" s="7"/>
      <c r="F1728" t="s">
        <v>20</v>
      </c>
      <c r="G1728" t="s">
        <v>21</v>
      </c>
      <c r="H1728" t="str">
        <f>"59970"</f>
        <v>59970</v>
      </c>
      <c r="I1728" t="str">
        <f>"BARCOM TECHNOLOGY SOLUTIONS  I"</f>
        <v>BARCOM TECHNOLOGY SOLUTIONS  I</v>
      </c>
    </row>
    <row r="1729" spans="1:9" x14ac:dyDescent="0.25">
      <c r="E1729" s="7"/>
      <c r="F1729" t="s">
        <v>20</v>
      </c>
      <c r="G1729" t="s">
        <v>21</v>
      </c>
      <c r="H1729" t="str">
        <f>"59971"</f>
        <v>59971</v>
      </c>
      <c r="I1729" t="str">
        <f>"BARCOM TECHNOLOGY SOLUTIONS  I"</f>
        <v>BARCOM TECHNOLOGY SOLUTIONS  I</v>
      </c>
    </row>
    <row r="1730" spans="1:9" x14ac:dyDescent="0.25">
      <c r="A1730" s="6">
        <v>43838</v>
      </c>
      <c r="B1730" t="s">
        <v>26</v>
      </c>
      <c r="C1730">
        <v>63078</v>
      </c>
      <c r="D1730" t="s">
        <v>854</v>
      </c>
      <c r="E1730" s="7">
        <v>23457.62</v>
      </c>
      <c r="F1730" t="s">
        <v>20</v>
      </c>
      <c r="G1730" t="s">
        <v>21</v>
      </c>
      <c r="H1730" t="str">
        <f>"19-1004.3"</f>
        <v>19-1004.3</v>
      </c>
      <c r="I1730" t="str">
        <f>"ALL IN CONSTRUCTION LLC"</f>
        <v>ALL IN CONSTRUCTION LLC</v>
      </c>
    </row>
    <row r="1731" spans="1:9" x14ac:dyDescent="0.25">
      <c r="A1731" s="6">
        <v>43838</v>
      </c>
      <c r="B1731" t="s">
        <v>26</v>
      </c>
      <c r="C1731">
        <v>63079</v>
      </c>
      <c r="D1731" t="s">
        <v>872</v>
      </c>
      <c r="E1731" s="7">
        <v>80</v>
      </c>
      <c r="F1731" t="s">
        <v>20</v>
      </c>
      <c r="G1731" t="s">
        <v>21</v>
      </c>
      <c r="H1731" t="str">
        <f>"12/21/2019"</f>
        <v>12/21/2019</v>
      </c>
      <c r="I1731" t="str">
        <f>"DEVIN BENAVIDES"</f>
        <v>DEVIN BENAVIDES</v>
      </c>
    </row>
    <row r="1732" spans="1:9" x14ac:dyDescent="0.25">
      <c r="A1732" s="6">
        <v>43838</v>
      </c>
      <c r="B1732" t="s">
        <v>26</v>
      </c>
      <c r="C1732">
        <v>63080</v>
      </c>
      <c r="D1732" t="s">
        <v>873</v>
      </c>
      <c r="E1732" s="7">
        <v>150</v>
      </c>
      <c r="F1732" t="s">
        <v>20</v>
      </c>
      <c r="G1732" t="s">
        <v>21</v>
      </c>
      <c r="H1732" t="str">
        <f>"MAR '19&amp;JAN2020"</f>
        <v>MAR '19&amp;JAN2020</v>
      </c>
      <c r="I1732" t="str">
        <f>"SYLVIA JIMENEZ"</f>
        <v>SYLVIA JIMENEZ</v>
      </c>
    </row>
    <row r="1733" spans="1:9" x14ac:dyDescent="0.25">
      <c r="A1733" s="6">
        <v>43839</v>
      </c>
      <c r="B1733" t="s">
        <v>26</v>
      </c>
      <c r="C1733">
        <v>63081</v>
      </c>
      <c r="D1733" t="s">
        <v>117</v>
      </c>
      <c r="E1733" s="7">
        <v>1876.13</v>
      </c>
      <c r="F1733" t="s">
        <v>20</v>
      </c>
      <c r="G1733" t="s">
        <v>21</v>
      </c>
      <c r="H1733" t="str">
        <f>"REISSUE#62771"</f>
        <v>REISSUE#62771</v>
      </c>
      <c r="I1733" t="str">
        <f>"LINEBARGER GOGGAN BLAIR &amp; SAMP"</f>
        <v>LINEBARGER GOGGAN BLAIR &amp; SAMP</v>
      </c>
    </row>
    <row r="1734" spans="1:9" x14ac:dyDescent="0.25">
      <c r="A1734" s="6">
        <v>43840</v>
      </c>
      <c r="B1734" t="s">
        <v>91</v>
      </c>
      <c r="C1734">
        <v>63082</v>
      </c>
      <c r="D1734" t="s">
        <v>90</v>
      </c>
      <c r="E1734" s="7">
        <v>840.88</v>
      </c>
      <c r="F1734" t="s">
        <v>20</v>
      </c>
      <c r="G1734" t="s">
        <v>21</v>
      </c>
      <c r="H1734" t="str">
        <f>"ACA201912298559"</f>
        <v>ACA201912298559</v>
      </c>
      <c r="I1734" t="str">
        <f>"AFLAC INSURANCE"</f>
        <v>AFLAC INSURANCE</v>
      </c>
    </row>
    <row r="1735" spans="1:9" x14ac:dyDescent="0.25">
      <c r="E1735" s="7"/>
      <c r="F1735" t="s">
        <v>20</v>
      </c>
      <c r="G1735" t="s">
        <v>21</v>
      </c>
      <c r="H1735" t="str">
        <f>"AD2201912298559"</f>
        <v>AD2201912298559</v>
      </c>
      <c r="I1735" t="str">
        <f>"AFLAC INSURANCE"</f>
        <v>AFLAC INSURANCE</v>
      </c>
    </row>
    <row r="1736" spans="1:9" x14ac:dyDescent="0.25">
      <c r="E1736" s="7"/>
      <c r="F1736" t="s">
        <v>20</v>
      </c>
      <c r="G1736" t="s">
        <v>21</v>
      </c>
      <c r="H1736" t="str">
        <f>"ADR201912298559"</f>
        <v>ADR201912298559</v>
      </c>
      <c r="I1736" t="str">
        <f>"INSURANCE"</f>
        <v>INSURANCE</v>
      </c>
    </row>
    <row r="1737" spans="1:9" x14ac:dyDescent="0.25">
      <c r="E1737" s="7"/>
      <c r="F1737" t="s">
        <v>20</v>
      </c>
      <c r="G1737" t="s">
        <v>21</v>
      </c>
      <c r="H1737" t="str">
        <f>"AF1201912298559"</f>
        <v>AF1201912298559</v>
      </c>
      <c r="I1737" t="str">
        <f>"AFLAC INSURANCE"</f>
        <v>AFLAC INSURANCE</v>
      </c>
    </row>
    <row r="1738" spans="1:9" x14ac:dyDescent="0.25">
      <c r="E1738" s="7"/>
      <c r="F1738" t="s">
        <v>20</v>
      </c>
      <c r="G1738" t="s">
        <v>21</v>
      </c>
      <c r="H1738" t="str">
        <f>"ASP201912298559"</f>
        <v>ASP201912298559</v>
      </c>
      <c r="I1738" t="str">
        <f>"AFLAC INSURANCE"</f>
        <v>AFLAC INSURANCE</v>
      </c>
    </row>
    <row r="1739" spans="1:9" x14ac:dyDescent="0.25">
      <c r="E1739" s="7"/>
      <c r="F1739" t="s">
        <v>20</v>
      </c>
      <c r="G1739" t="s">
        <v>21</v>
      </c>
      <c r="H1739" t="str">
        <f>"HCO201912298559"</f>
        <v>HCO201912298559</v>
      </c>
      <c r="I1739" t="str">
        <f>"AFLAC INSURANCE"</f>
        <v>AFLAC INSURANCE</v>
      </c>
    </row>
    <row r="1740" spans="1:9" x14ac:dyDescent="0.25">
      <c r="A1740" s="6">
        <v>43840</v>
      </c>
      <c r="B1740" t="s">
        <v>91</v>
      </c>
      <c r="C1740">
        <v>63082</v>
      </c>
      <c r="D1740" t="s">
        <v>90</v>
      </c>
      <c r="E1740" s="7">
        <v>840.88</v>
      </c>
      <c r="F1740" t="s">
        <v>20</v>
      </c>
      <c r="G1740" t="s">
        <v>93</v>
      </c>
      <c r="H1740" t="str">
        <f>"CHECK"</f>
        <v>CHECK</v>
      </c>
      <c r="I1740" t="str">
        <f>""</f>
        <v/>
      </c>
    </row>
    <row r="1741" spans="1:9" x14ac:dyDescent="0.25">
      <c r="A1741" s="6">
        <v>43840</v>
      </c>
      <c r="B1741" t="s">
        <v>91</v>
      </c>
      <c r="C1741">
        <v>63085</v>
      </c>
      <c r="D1741" t="s">
        <v>92</v>
      </c>
      <c r="E1741" s="7">
        <v>21026.799999999999</v>
      </c>
      <c r="F1741" t="s">
        <v>20</v>
      </c>
      <c r="G1741" t="s">
        <v>21</v>
      </c>
      <c r="H1741" t="str">
        <f>"RET201912298559"</f>
        <v>RET201912298559</v>
      </c>
      <c r="I1741" t="str">
        <f>"TMRS CITY OF FLORESVILLE"</f>
        <v>TMRS CITY OF FLORESVILLE</v>
      </c>
    </row>
    <row r="1742" spans="1:9" x14ac:dyDescent="0.25">
      <c r="A1742" s="6">
        <v>43840</v>
      </c>
      <c r="B1742" t="s">
        <v>91</v>
      </c>
      <c r="C1742">
        <v>63085</v>
      </c>
      <c r="D1742" t="s">
        <v>92</v>
      </c>
      <c r="E1742" s="7">
        <v>21026.799999999999</v>
      </c>
      <c r="F1742" t="s">
        <v>20</v>
      </c>
      <c r="G1742" t="s">
        <v>93</v>
      </c>
      <c r="H1742" t="str">
        <f>"CHECK"</f>
        <v>CHECK</v>
      </c>
      <c r="I1742" t="str">
        <f>""</f>
        <v/>
      </c>
    </row>
    <row r="1743" spans="1:9" x14ac:dyDescent="0.25">
      <c r="A1743" s="6">
        <v>43840</v>
      </c>
      <c r="B1743" t="s">
        <v>91</v>
      </c>
      <c r="C1743">
        <v>63087</v>
      </c>
      <c r="D1743" t="s">
        <v>95</v>
      </c>
      <c r="E1743" s="7">
        <v>29.99</v>
      </c>
      <c r="F1743" t="s">
        <v>20</v>
      </c>
      <c r="G1743" t="s">
        <v>21</v>
      </c>
      <c r="H1743" t="str">
        <f>"LEA201912298559"</f>
        <v>LEA201912298559</v>
      </c>
      <c r="I1743" t="str">
        <f>"INSURANCE"</f>
        <v>INSURANCE</v>
      </c>
    </row>
    <row r="1744" spans="1:9" x14ac:dyDescent="0.25">
      <c r="A1744" s="6">
        <v>43840</v>
      </c>
      <c r="B1744" t="s">
        <v>91</v>
      </c>
      <c r="C1744">
        <v>63087</v>
      </c>
      <c r="D1744" t="s">
        <v>95</v>
      </c>
      <c r="E1744" s="7">
        <v>29.99</v>
      </c>
      <c r="F1744" t="s">
        <v>20</v>
      </c>
      <c r="G1744" t="s">
        <v>93</v>
      </c>
      <c r="H1744" t="str">
        <f>"CHECK"</f>
        <v>CHECK</v>
      </c>
      <c r="I1744" t="str">
        <f>""</f>
        <v/>
      </c>
    </row>
    <row r="1745" spans="1:9" x14ac:dyDescent="0.25">
      <c r="A1745" s="6">
        <v>43840</v>
      </c>
      <c r="B1745" t="s">
        <v>91</v>
      </c>
      <c r="C1745">
        <v>63088</v>
      </c>
      <c r="D1745" t="s">
        <v>96</v>
      </c>
      <c r="E1745" s="7">
        <v>163.24</v>
      </c>
      <c r="F1745" t="s">
        <v>20</v>
      </c>
      <c r="G1745" t="s">
        <v>21</v>
      </c>
      <c r="H1745" t="str">
        <f>"PPL201912298559"</f>
        <v>PPL201912298559</v>
      </c>
      <c r="I1745" t="str">
        <f>"INSURANCE"</f>
        <v>INSURANCE</v>
      </c>
    </row>
    <row r="1746" spans="1:9" x14ac:dyDescent="0.25">
      <c r="A1746" s="6">
        <v>43840</v>
      </c>
      <c r="B1746" t="s">
        <v>91</v>
      </c>
      <c r="C1746">
        <v>63088</v>
      </c>
      <c r="D1746" t="s">
        <v>96</v>
      </c>
      <c r="E1746" s="7">
        <v>163.24</v>
      </c>
      <c r="F1746" t="s">
        <v>20</v>
      </c>
      <c r="G1746" t="s">
        <v>93</v>
      </c>
      <c r="H1746" t="str">
        <f>"CHECK"</f>
        <v>CHECK</v>
      </c>
      <c r="I1746" t="str">
        <f>""</f>
        <v/>
      </c>
    </row>
    <row r="1747" spans="1:9" x14ac:dyDescent="0.25">
      <c r="A1747" s="6">
        <v>43840</v>
      </c>
      <c r="B1747" t="s">
        <v>91</v>
      </c>
      <c r="C1747">
        <v>63089</v>
      </c>
      <c r="D1747" t="s">
        <v>97</v>
      </c>
      <c r="E1747" s="7">
        <v>36738.01</v>
      </c>
      <c r="F1747" t="s">
        <v>20</v>
      </c>
      <c r="G1747" t="s">
        <v>21</v>
      </c>
      <c r="H1747" t="str">
        <f>"DEN201912298559"</f>
        <v>DEN201912298559</v>
      </c>
      <c r="I1747" t="str">
        <f>"DENTAL INSURANCE"</f>
        <v>DENTAL INSURANCE</v>
      </c>
    </row>
    <row r="1748" spans="1:9" x14ac:dyDescent="0.25">
      <c r="E1748" s="7"/>
      <c r="F1748" t="s">
        <v>20</v>
      </c>
      <c r="G1748" t="s">
        <v>21</v>
      </c>
      <c r="H1748" t="str">
        <f>"MED201912298559"</f>
        <v>MED201912298559</v>
      </c>
      <c r="I1748" t="str">
        <f>"HEALTH &amp; DENTAL INSURANCE"</f>
        <v>HEALTH &amp; DENTAL INSURANCE</v>
      </c>
    </row>
    <row r="1749" spans="1:9" x14ac:dyDescent="0.25">
      <c r="A1749" s="6">
        <v>43840</v>
      </c>
      <c r="B1749" t="s">
        <v>91</v>
      </c>
      <c r="C1749">
        <v>63089</v>
      </c>
      <c r="D1749" t="s">
        <v>97</v>
      </c>
      <c r="E1749" s="7">
        <v>36738.01</v>
      </c>
      <c r="F1749" t="s">
        <v>20</v>
      </c>
      <c r="G1749" t="s">
        <v>93</v>
      </c>
      <c r="H1749" t="str">
        <f>"CHECK"</f>
        <v>CHECK</v>
      </c>
      <c r="I1749" t="str">
        <f>""</f>
        <v/>
      </c>
    </row>
    <row r="1750" spans="1:9" x14ac:dyDescent="0.25">
      <c r="A1750" s="6">
        <v>43840</v>
      </c>
      <c r="B1750" t="s">
        <v>91</v>
      </c>
      <c r="C1750">
        <v>63091</v>
      </c>
      <c r="D1750" t="s">
        <v>98</v>
      </c>
      <c r="E1750" s="7">
        <v>1938.89</v>
      </c>
      <c r="F1750" t="s">
        <v>20</v>
      </c>
      <c r="G1750" t="s">
        <v>21</v>
      </c>
      <c r="H1750" t="str">
        <f>"LIF201912298559"</f>
        <v>LIF201912298559</v>
      </c>
      <c r="I1750" t="str">
        <f>"INSURANCE"</f>
        <v>INSURANCE</v>
      </c>
    </row>
    <row r="1751" spans="1:9" x14ac:dyDescent="0.25">
      <c r="E1751" s="7"/>
      <c r="F1751" t="s">
        <v>20</v>
      </c>
      <c r="G1751" t="s">
        <v>21</v>
      </c>
      <c r="H1751" t="str">
        <f>"STD201912298559"</f>
        <v>STD201912298559</v>
      </c>
      <c r="I1751" t="str">
        <f>"SHORT TERM DISABILITY"</f>
        <v>SHORT TERM DISABILITY</v>
      </c>
    </row>
    <row r="1752" spans="1:9" x14ac:dyDescent="0.25">
      <c r="E1752" s="7"/>
      <c r="F1752" t="s">
        <v>20</v>
      </c>
      <c r="G1752" t="s">
        <v>21</v>
      </c>
      <c r="H1752" t="str">
        <f>"VIS201912298559"</f>
        <v>VIS201912298559</v>
      </c>
      <c r="I1752" t="str">
        <f>"VISION INSURANCE"</f>
        <v>VISION INSURANCE</v>
      </c>
    </row>
    <row r="1753" spans="1:9" x14ac:dyDescent="0.25">
      <c r="E1753" s="7"/>
      <c r="F1753" t="s">
        <v>20</v>
      </c>
      <c r="G1753" t="s">
        <v>21</v>
      </c>
      <c r="H1753" t="str">
        <f>"VLC201912298559"</f>
        <v>VLC201912298559</v>
      </c>
      <c r="I1753" t="str">
        <f>"CHILD LIFE INSURANCE"</f>
        <v>CHILD LIFE INSURANCE</v>
      </c>
    </row>
    <row r="1754" spans="1:9" x14ac:dyDescent="0.25">
      <c r="E1754" s="7"/>
      <c r="F1754" t="s">
        <v>20</v>
      </c>
      <c r="G1754" t="s">
        <v>21</v>
      </c>
      <c r="H1754" t="str">
        <f>"VLS201912298559"</f>
        <v>VLS201912298559</v>
      </c>
      <c r="I1754" t="str">
        <f>"SPOUSE LIFE"</f>
        <v>SPOUSE LIFE</v>
      </c>
    </row>
    <row r="1755" spans="1:9" x14ac:dyDescent="0.25">
      <c r="E1755" s="7"/>
      <c r="F1755" t="s">
        <v>20</v>
      </c>
      <c r="G1755" t="s">
        <v>21</v>
      </c>
      <c r="H1755" t="str">
        <f>"VOE201912298559"</f>
        <v>VOE201912298559</v>
      </c>
      <c r="I1755" t="str">
        <f>"EMPLOYEE LIFE"</f>
        <v>EMPLOYEE LIFE</v>
      </c>
    </row>
    <row r="1756" spans="1:9" x14ac:dyDescent="0.25">
      <c r="E1756" s="7"/>
      <c r="F1756" t="s">
        <v>20</v>
      </c>
      <c r="G1756" t="s">
        <v>21</v>
      </c>
      <c r="H1756" t="str">
        <f>"VOL201912298559"</f>
        <v>VOL201912298559</v>
      </c>
      <c r="I1756" t="str">
        <f>"LIFE"</f>
        <v>LIFE</v>
      </c>
    </row>
    <row r="1757" spans="1:9" x14ac:dyDescent="0.25">
      <c r="A1757" s="6">
        <v>43840</v>
      </c>
      <c r="B1757" t="s">
        <v>91</v>
      </c>
      <c r="C1757">
        <v>63091</v>
      </c>
      <c r="D1757" t="s">
        <v>98</v>
      </c>
      <c r="E1757" s="7">
        <v>1938.89</v>
      </c>
      <c r="F1757" t="s">
        <v>20</v>
      </c>
      <c r="G1757" t="s">
        <v>93</v>
      </c>
      <c r="H1757" t="str">
        <f>"CHECK"</f>
        <v>CHECK</v>
      </c>
      <c r="I1757" t="str">
        <f>""</f>
        <v/>
      </c>
    </row>
    <row r="1758" spans="1:9" x14ac:dyDescent="0.25">
      <c r="A1758" s="6">
        <v>43840</v>
      </c>
      <c r="B1758" t="s">
        <v>26</v>
      </c>
      <c r="C1758">
        <v>63096</v>
      </c>
      <c r="D1758" t="s">
        <v>854</v>
      </c>
      <c r="E1758" s="7">
        <v>141905.29999999999</v>
      </c>
      <c r="F1758" t="s">
        <v>20</v>
      </c>
      <c r="G1758" t="s">
        <v>21</v>
      </c>
      <c r="H1758" t="str">
        <f>"19-1004.2"</f>
        <v>19-1004.2</v>
      </c>
      <c r="I1758" t="str">
        <f>"ALL IN CONSTRUCTION LLC"</f>
        <v>ALL IN CONSTRUCTION LLC</v>
      </c>
    </row>
    <row r="1759" spans="1:9" x14ac:dyDescent="0.25">
      <c r="A1759" s="6">
        <v>43844</v>
      </c>
      <c r="B1759" t="s">
        <v>26</v>
      </c>
      <c r="C1759">
        <v>63097</v>
      </c>
      <c r="D1759" t="s">
        <v>874</v>
      </c>
      <c r="E1759" s="7">
        <v>7860</v>
      </c>
      <c r="F1759" t="s">
        <v>20</v>
      </c>
      <c r="G1759" t="s">
        <v>21</v>
      </c>
      <c r="H1759" t="str">
        <f>"7/19-11/16/19"</f>
        <v>7/19-11/16/19</v>
      </c>
      <c r="I1759" t="str">
        <f>"GARZA GOLANDO MORAN"</f>
        <v>GARZA GOLANDO MORAN</v>
      </c>
    </row>
    <row r="1760" spans="1:9" x14ac:dyDescent="0.25">
      <c r="A1760" s="6">
        <v>43844</v>
      </c>
      <c r="B1760" t="s">
        <v>26</v>
      </c>
      <c r="C1760">
        <v>63104</v>
      </c>
      <c r="D1760" t="s">
        <v>51</v>
      </c>
      <c r="E1760" s="7">
        <v>346.31</v>
      </c>
      <c r="F1760" t="s">
        <v>20</v>
      </c>
      <c r="G1760" t="s">
        <v>21</v>
      </c>
      <c r="H1760" t="str">
        <f>"CLE202001148560"</f>
        <v>CLE202001148560</v>
      </c>
      <c r="I1760" t="str">
        <f>"CLEAT ONLY DUES"</f>
        <v>CLEAT ONLY DUES</v>
      </c>
    </row>
    <row r="1761" spans="1:9" x14ac:dyDescent="0.25">
      <c r="E1761" s="7"/>
      <c r="F1761" t="s">
        <v>20</v>
      </c>
      <c r="G1761" t="s">
        <v>21</v>
      </c>
      <c r="H1761" t="str">
        <f>"PDD202001148560"</f>
        <v>PDD202001148560</v>
      </c>
      <c r="I1761" t="str">
        <f>"POLICE OFFICERS ASSOC DUES"</f>
        <v>POLICE OFFICERS ASSOC DUES</v>
      </c>
    </row>
    <row r="1762" spans="1:9" x14ac:dyDescent="0.25">
      <c r="A1762" s="6">
        <v>43844</v>
      </c>
      <c r="B1762" t="s">
        <v>91</v>
      </c>
      <c r="C1762">
        <v>63105</v>
      </c>
      <c r="D1762" t="s">
        <v>90</v>
      </c>
      <c r="E1762" s="7">
        <v>101.1</v>
      </c>
      <c r="F1762" t="s">
        <v>20</v>
      </c>
      <c r="G1762" t="s">
        <v>21</v>
      </c>
      <c r="H1762" t="str">
        <f>"AFS202001148560"</f>
        <v>AFS202001148560</v>
      </c>
      <c r="I1762" t="str">
        <f>"AFLAC STD"</f>
        <v>AFLAC STD</v>
      </c>
    </row>
    <row r="1763" spans="1:9" x14ac:dyDescent="0.25">
      <c r="A1763" s="6">
        <v>43844</v>
      </c>
      <c r="B1763" t="s">
        <v>91</v>
      </c>
      <c r="C1763">
        <v>63105</v>
      </c>
      <c r="D1763" t="s">
        <v>90</v>
      </c>
      <c r="E1763" s="7">
        <v>101.1</v>
      </c>
      <c r="F1763" t="s">
        <v>20</v>
      </c>
      <c r="G1763" t="s">
        <v>93</v>
      </c>
      <c r="H1763" t="str">
        <f>"CHECK"</f>
        <v>CHECK</v>
      </c>
      <c r="I1763" t="str">
        <f>""</f>
        <v/>
      </c>
    </row>
    <row r="1764" spans="1:9" x14ac:dyDescent="0.25">
      <c r="A1764" s="6">
        <v>43844</v>
      </c>
      <c r="B1764" t="s">
        <v>26</v>
      </c>
      <c r="C1764">
        <v>63106</v>
      </c>
      <c r="D1764" t="s">
        <v>52</v>
      </c>
      <c r="E1764" s="7">
        <v>971.53</v>
      </c>
      <c r="F1764" t="s">
        <v>20</v>
      </c>
      <c r="G1764" t="s">
        <v>21</v>
      </c>
      <c r="H1764" t="str">
        <f>"CA1202001148560"</f>
        <v>CA1202001148560</v>
      </c>
      <c r="I1764" t="str">
        <f>"K RAMIREZ 001200229510060343CV"</f>
        <v>K RAMIREZ 001200229510060343CV</v>
      </c>
    </row>
    <row r="1765" spans="1:9" x14ac:dyDescent="0.25">
      <c r="E1765" s="7"/>
      <c r="F1765" t="s">
        <v>20</v>
      </c>
      <c r="G1765" t="s">
        <v>21</v>
      </c>
      <c r="H1765" t="str">
        <f>"CA2202001148560"</f>
        <v>CA2202001148560</v>
      </c>
      <c r="I1765" t="str">
        <f>"L HERNANDEZ 001016025203080354"</f>
        <v>L HERNANDEZ 001016025203080354</v>
      </c>
    </row>
    <row r="1766" spans="1:9" x14ac:dyDescent="0.25">
      <c r="E1766" s="7"/>
      <c r="F1766" t="s">
        <v>20</v>
      </c>
      <c r="G1766" t="s">
        <v>21</v>
      </c>
      <c r="H1766" t="str">
        <f>"CPS202001148560"</f>
        <v>CPS202001148560</v>
      </c>
      <c r="I1766" t="str">
        <f>"G MENDOZA 00123012032010EM5054"</f>
        <v>G MENDOZA 00123012032010EM5054</v>
      </c>
    </row>
    <row r="1767" spans="1:9" x14ac:dyDescent="0.25">
      <c r="E1767" s="7"/>
      <c r="F1767" t="s">
        <v>20</v>
      </c>
      <c r="G1767" t="s">
        <v>21</v>
      </c>
      <c r="H1767" t="str">
        <f>"CS 202001148560"</f>
        <v>CS 202001148560</v>
      </c>
      <c r="I1767" t="str">
        <f>"CAUSE#98EM504113 PEGGY RIVAS"</f>
        <v>CAUSE#98EM504113 PEGGY RIVAS</v>
      </c>
    </row>
    <row r="1768" spans="1:9" x14ac:dyDescent="0.25">
      <c r="E1768" s="7"/>
      <c r="F1768" t="s">
        <v>20</v>
      </c>
      <c r="G1768" t="s">
        <v>21</v>
      </c>
      <c r="H1768" t="str">
        <f>"CSA202001148560"</f>
        <v>CSA202001148560</v>
      </c>
      <c r="I1768" t="str">
        <f>"S RODRIGUEZ 001281730413050336"</f>
        <v>S RODRIGUEZ 001281730413050336</v>
      </c>
    </row>
    <row r="1769" spans="1:9" x14ac:dyDescent="0.25">
      <c r="A1769" s="6">
        <v>43844</v>
      </c>
      <c r="B1769" t="s">
        <v>26</v>
      </c>
      <c r="C1769">
        <v>63107</v>
      </c>
      <c r="D1769" t="s">
        <v>54</v>
      </c>
      <c r="E1769" s="7">
        <v>1200.24</v>
      </c>
      <c r="F1769" t="s">
        <v>20</v>
      </c>
      <c r="G1769" t="s">
        <v>21</v>
      </c>
      <c r="H1769" t="str">
        <f>"457202001148560"</f>
        <v>457202001148560</v>
      </c>
      <c r="I1769" t="str">
        <f>"CASE # 180-60751 457B DEDUCT"</f>
        <v>CASE # 180-60751 457B DEDUCT</v>
      </c>
    </row>
    <row r="1770" spans="1:9" x14ac:dyDescent="0.25">
      <c r="A1770" s="6">
        <v>43845</v>
      </c>
      <c r="B1770" t="s">
        <v>26</v>
      </c>
      <c r="C1770">
        <v>63108</v>
      </c>
      <c r="D1770" t="s">
        <v>213</v>
      </c>
      <c r="E1770" s="7">
        <v>5596.75</v>
      </c>
      <c r="F1770" t="s">
        <v>20</v>
      </c>
      <c r="G1770" t="s">
        <v>21</v>
      </c>
      <c r="H1770" t="str">
        <f>"DEC.2019"</f>
        <v>DEC.2019</v>
      </c>
      <c r="I1770" t="str">
        <f>"RIVER BEND COMMUNITY DEVELOPME"</f>
        <v>RIVER BEND COMMUNITY DEVELOPME</v>
      </c>
    </row>
    <row r="1771" spans="1:9" x14ac:dyDescent="0.25">
      <c r="A1771" s="6">
        <v>43845</v>
      </c>
      <c r="B1771" t="s">
        <v>26</v>
      </c>
      <c r="C1771">
        <v>63109</v>
      </c>
      <c r="D1771" t="s">
        <v>368</v>
      </c>
      <c r="E1771" s="7">
        <v>15000</v>
      </c>
      <c r="F1771" t="s">
        <v>20</v>
      </c>
      <c r="G1771" t="s">
        <v>21</v>
      </c>
      <c r="H1771" t="str">
        <f>"2ND QRT JAN.2020"</f>
        <v>2ND QRT JAN.2020</v>
      </c>
      <c r="I1771" t="str">
        <f>"FLORESVILLE FIRE DEPARTMENT"</f>
        <v>FLORESVILLE FIRE DEPARTMENT</v>
      </c>
    </row>
    <row r="1772" spans="1:9" x14ac:dyDescent="0.25">
      <c r="A1772" s="6">
        <v>43845</v>
      </c>
      <c r="B1772" t="s">
        <v>26</v>
      </c>
      <c r="C1772">
        <v>63110</v>
      </c>
      <c r="D1772" t="s">
        <v>71</v>
      </c>
      <c r="E1772" s="7">
        <v>81</v>
      </c>
      <c r="F1772" t="s">
        <v>20</v>
      </c>
      <c r="G1772" t="s">
        <v>21</v>
      </c>
      <c r="H1772" t="str">
        <f>"4038692237"</f>
        <v>4038692237</v>
      </c>
      <c r="I1772" t="str">
        <f>"CINTAS CORPORATION #087"</f>
        <v>CINTAS CORPORATION #087</v>
      </c>
    </row>
    <row r="1773" spans="1:9" x14ac:dyDescent="0.25">
      <c r="A1773" s="6">
        <v>43845</v>
      </c>
      <c r="B1773" t="s">
        <v>26</v>
      </c>
      <c r="C1773">
        <v>63111</v>
      </c>
      <c r="D1773" t="s">
        <v>633</v>
      </c>
      <c r="E1773" s="7">
        <v>139.63999999999999</v>
      </c>
      <c r="F1773" t="s">
        <v>20</v>
      </c>
      <c r="G1773" t="s">
        <v>21</v>
      </c>
      <c r="H1773" t="str">
        <f>"0096544737*"</f>
        <v>0096544737*</v>
      </c>
      <c r="I1773" t="str">
        <f>"CINTAS FIRE 636525"</f>
        <v>CINTAS FIRE 636525</v>
      </c>
    </row>
    <row r="1774" spans="1:9" x14ac:dyDescent="0.25">
      <c r="A1774" s="6">
        <v>43845</v>
      </c>
      <c r="B1774" t="s">
        <v>26</v>
      </c>
      <c r="C1774">
        <v>63112</v>
      </c>
      <c r="D1774" t="s">
        <v>85</v>
      </c>
      <c r="E1774" s="7">
        <v>2116.09</v>
      </c>
      <c r="F1774" t="s">
        <v>20</v>
      </c>
      <c r="G1774" t="s">
        <v>21</v>
      </c>
      <c r="H1774" t="str">
        <f>"8301970025 JAN2020"</f>
        <v>8301970025 JAN2020</v>
      </c>
      <c r="I1774" t="str">
        <f>"FRONTIER"</f>
        <v>FRONTIER</v>
      </c>
    </row>
    <row r="1775" spans="1:9" x14ac:dyDescent="0.25">
      <c r="A1775" s="6">
        <v>43845</v>
      </c>
      <c r="B1775" t="s">
        <v>26</v>
      </c>
      <c r="C1775">
        <v>63113</v>
      </c>
      <c r="D1775" t="s">
        <v>345</v>
      </c>
      <c r="E1775" s="7">
        <v>308</v>
      </c>
      <c r="F1775" t="s">
        <v>20</v>
      </c>
      <c r="G1775" t="s">
        <v>21</v>
      </c>
      <c r="H1775" t="str">
        <f>"1/13/2020"</f>
        <v>1/13/2020</v>
      </c>
      <c r="I1775" t="str">
        <f>"MICHAEL ISAAC MARTINEZ"</f>
        <v>MICHAEL ISAAC MARTINEZ</v>
      </c>
    </row>
    <row r="1776" spans="1:9" x14ac:dyDescent="0.25">
      <c r="A1776" s="6">
        <v>43845</v>
      </c>
      <c r="B1776" t="s">
        <v>26</v>
      </c>
      <c r="C1776">
        <v>63114</v>
      </c>
      <c r="D1776" t="s">
        <v>640</v>
      </c>
      <c r="E1776" s="7">
        <v>3600</v>
      </c>
      <c r="F1776" t="s">
        <v>20</v>
      </c>
      <c r="G1776" t="s">
        <v>21</v>
      </c>
      <c r="H1776" t="str">
        <f>"1 YR SUB. JAN 2020"</f>
        <v>1 YR SUB. JAN 2020</v>
      </c>
      <c r="I1776" t="str">
        <f>"TEXAS WEDDINGS  LTD"</f>
        <v>TEXAS WEDDINGS  LTD</v>
      </c>
    </row>
    <row r="1777" spans="1:9" x14ac:dyDescent="0.25">
      <c r="A1777" s="6">
        <v>43845</v>
      </c>
      <c r="B1777" t="s">
        <v>26</v>
      </c>
      <c r="C1777">
        <v>63115</v>
      </c>
      <c r="D1777" t="s">
        <v>696</v>
      </c>
      <c r="E1777" s="7">
        <v>70</v>
      </c>
      <c r="F1777" t="s">
        <v>20</v>
      </c>
      <c r="G1777" t="s">
        <v>21</v>
      </c>
      <c r="H1777" t="str">
        <f>"1/12/2020"</f>
        <v>1/12/2020</v>
      </c>
      <c r="I1777" t="str">
        <f>"ANGEL G. ROSAS"</f>
        <v>ANGEL G. ROSAS</v>
      </c>
    </row>
    <row r="1778" spans="1:9" x14ac:dyDescent="0.25">
      <c r="A1778" s="6">
        <v>43845</v>
      </c>
      <c r="B1778" t="s">
        <v>26</v>
      </c>
      <c r="C1778">
        <v>63116</v>
      </c>
      <c r="D1778" t="s">
        <v>752</v>
      </c>
      <c r="E1778" s="7">
        <v>70</v>
      </c>
      <c r="F1778" t="s">
        <v>20</v>
      </c>
      <c r="G1778" t="s">
        <v>21</v>
      </c>
      <c r="H1778" t="str">
        <f>"1/12/2020"</f>
        <v>1/12/2020</v>
      </c>
      <c r="I1778" t="str">
        <f>"BLANCA PEREZ"</f>
        <v>BLANCA PEREZ</v>
      </c>
    </row>
    <row r="1779" spans="1:9" x14ac:dyDescent="0.25">
      <c r="A1779" s="6">
        <v>43845</v>
      </c>
      <c r="B1779" t="s">
        <v>26</v>
      </c>
      <c r="C1779">
        <v>63117</v>
      </c>
      <c r="D1779" t="s">
        <v>824</v>
      </c>
      <c r="E1779" s="7">
        <v>70</v>
      </c>
      <c r="F1779" t="s">
        <v>20</v>
      </c>
      <c r="G1779" t="s">
        <v>21</v>
      </c>
      <c r="H1779" t="str">
        <f>"1/12/2020"</f>
        <v>1/12/2020</v>
      </c>
      <c r="I1779" t="str">
        <f>"MALLORY R. NELSON"</f>
        <v>MALLORY R. NELSON</v>
      </c>
    </row>
    <row r="1780" spans="1:9" x14ac:dyDescent="0.25">
      <c r="A1780" s="6">
        <v>43845</v>
      </c>
      <c r="B1780" t="s">
        <v>26</v>
      </c>
      <c r="C1780">
        <v>63118</v>
      </c>
      <c r="D1780" t="s">
        <v>843</v>
      </c>
      <c r="E1780" s="7">
        <v>210</v>
      </c>
      <c r="F1780" t="s">
        <v>20</v>
      </c>
      <c r="G1780" t="s">
        <v>21</v>
      </c>
      <c r="H1780" t="str">
        <f>"12/30/2019 WATER"</f>
        <v>12/30/2019 WATER</v>
      </c>
      <c r="I1780" t="str">
        <f>"LEGACY IW DESIGNS"</f>
        <v>LEGACY IW DESIGNS</v>
      </c>
    </row>
    <row r="1781" spans="1:9" x14ac:dyDescent="0.25">
      <c r="A1781" s="6">
        <v>43845</v>
      </c>
      <c r="B1781" t="s">
        <v>26</v>
      </c>
      <c r="C1781">
        <v>63119</v>
      </c>
      <c r="D1781" t="s">
        <v>875</v>
      </c>
      <c r="E1781" s="7">
        <v>465.15</v>
      </c>
      <c r="F1781" t="s">
        <v>20</v>
      </c>
      <c r="G1781" t="s">
        <v>21</v>
      </c>
      <c r="H1781" t="str">
        <f>"33208"</f>
        <v>33208</v>
      </c>
      <c r="I1781" t="str">
        <f>"CRAMER MARKETING"</f>
        <v>CRAMER MARKETING</v>
      </c>
    </row>
    <row r="1782" spans="1:9" x14ac:dyDescent="0.25">
      <c r="A1782" s="6">
        <v>43846</v>
      </c>
      <c r="B1782" t="s">
        <v>26</v>
      </c>
      <c r="C1782">
        <v>63120</v>
      </c>
      <c r="D1782" t="s">
        <v>213</v>
      </c>
      <c r="E1782" s="7">
        <v>295892.42</v>
      </c>
      <c r="F1782" t="s">
        <v>20</v>
      </c>
      <c r="G1782" t="s">
        <v>21</v>
      </c>
      <c r="H1782" t="str">
        <f>"NOV. 2019"</f>
        <v>NOV. 2019</v>
      </c>
      <c r="I1782" t="str">
        <f>"RIVER BEND COMMUNITY DEVELOPME"</f>
        <v>RIVER BEND COMMUNITY DEVELOPME</v>
      </c>
    </row>
    <row r="1783" spans="1:9" x14ac:dyDescent="0.25">
      <c r="A1783" s="6">
        <v>43853</v>
      </c>
      <c r="B1783" t="s">
        <v>26</v>
      </c>
      <c r="C1783">
        <v>63121</v>
      </c>
      <c r="D1783" t="s">
        <v>205</v>
      </c>
      <c r="E1783" s="7">
        <v>1223.72</v>
      </c>
      <c r="F1783" t="s">
        <v>20</v>
      </c>
      <c r="G1783" t="s">
        <v>21</v>
      </c>
      <c r="H1783" t="str">
        <f>"1/23/2020"</f>
        <v>1/23/2020</v>
      </c>
      <c r="I1783" t="str">
        <f>"SILVER EAGLE DISTRIBUTORS"</f>
        <v>SILVER EAGLE DISTRIBUTORS</v>
      </c>
    </row>
    <row r="1784" spans="1:9" x14ac:dyDescent="0.25">
      <c r="A1784" s="6">
        <v>43853</v>
      </c>
      <c r="B1784" t="s">
        <v>26</v>
      </c>
      <c r="C1784">
        <v>63122</v>
      </c>
      <c r="D1784" t="s">
        <v>157</v>
      </c>
      <c r="E1784" s="7">
        <v>491.92</v>
      </c>
      <c r="F1784" t="s">
        <v>20</v>
      </c>
      <c r="G1784" t="s">
        <v>21</v>
      </c>
      <c r="H1784" t="str">
        <f>"1/23/2020"</f>
        <v>1/23/2020</v>
      </c>
      <c r="I1784" t="str">
        <f>"GLAZIERS"</f>
        <v>GLAZIERS</v>
      </c>
    </row>
    <row r="1785" spans="1:9" x14ac:dyDescent="0.25">
      <c r="A1785" s="6">
        <v>43853</v>
      </c>
      <c r="B1785" t="s">
        <v>26</v>
      </c>
      <c r="C1785">
        <v>63123</v>
      </c>
      <c r="D1785" t="s">
        <v>102</v>
      </c>
      <c r="E1785" s="7">
        <v>369.32</v>
      </c>
      <c r="F1785" t="s">
        <v>20</v>
      </c>
      <c r="G1785" t="s">
        <v>21</v>
      </c>
      <c r="H1785" t="s">
        <v>876</v>
      </c>
      <c r="I1785" t="s">
        <v>877</v>
      </c>
    </row>
    <row r="1786" spans="1:9" x14ac:dyDescent="0.25">
      <c r="E1786" s="7"/>
      <c r="F1786" t="s">
        <v>20</v>
      </c>
      <c r="G1786" t="s">
        <v>21</v>
      </c>
      <c r="H1786" t="str">
        <f>"1200 1ST JAN.2020"</f>
        <v>1200 1ST JAN.2020</v>
      </c>
      <c r="I1786" t="str">
        <f>"CENTERPOINT ENERGY ENTEX"</f>
        <v>CENTERPOINT ENERGY ENTEX</v>
      </c>
    </row>
    <row r="1787" spans="1:9" x14ac:dyDescent="0.25">
      <c r="E1787" s="7"/>
      <c r="F1787" t="s">
        <v>20</v>
      </c>
      <c r="G1787" t="s">
        <v>21</v>
      </c>
      <c r="H1787" t="str">
        <f>"920 C. ST JAN2020"</f>
        <v>920 C. ST JAN2020</v>
      </c>
      <c r="I1787" t="str">
        <f>"CENTERPOINT ENERGY ENTEX"</f>
        <v>CENTERPOINT ENERGY ENTEX</v>
      </c>
    </row>
    <row r="1788" spans="1:9" x14ac:dyDescent="0.25">
      <c r="A1788" s="6">
        <v>43853</v>
      </c>
      <c r="B1788" t="s">
        <v>26</v>
      </c>
      <c r="C1788">
        <v>63124</v>
      </c>
      <c r="D1788" t="s">
        <v>57</v>
      </c>
      <c r="E1788" s="7">
        <v>8417.1200000000008</v>
      </c>
      <c r="F1788" t="s">
        <v>20</v>
      </c>
      <c r="G1788" t="s">
        <v>21</v>
      </c>
      <c r="H1788" t="str">
        <f>"11617 JAN.2020"</f>
        <v>11617 JAN.2020</v>
      </c>
      <c r="I1788" t="str">
        <f>"F.E.L.P.S."</f>
        <v>F.E.L.P.S.</v>
      </c>
    </row>
    <row r="1789" spans="1:9" x14ac:dyDescent="0.25">
      <c r="E1789" s="7"/>
      <c r="F1789" t="s">
        <v>20</v>
      </c>
      <c r="G1789" t="s">
        <v>21</v>
      </c>
      <c r="H1789" t="str">
        <f>"33062 JAN.2020"</f>
        <v>33062 JAN.2020</v>
      </c>
      <c r="I1789" t="str">
        <f>"F.E.L.P.S."</f>
        <v>F.E.L.P.S.</v>
      </c>
    </row>
    <row r="1790" spans="1:9" x14ac:dyDescent="0.25">
      <c r="A1790" s="6">
        <v>43853</v>
      </c>
      <c r="B1790" t="s">
        <v>26</v>
      </c>
      <c r="C1790">
        <v>63125</v>
      </c>
      <c r="D1790" t="s">
        <v>576</v>
      </c>
      <c r="E1790" s="7">
        <v>509</v>
      </c>
      <c r="F1790" t="s">
        <v>20</v>
      </c>
      <c r="G1790" t="s">
        <v>21</v>
      </c>
      <c r="H1790" t="str">
        <f>"LI-6850"</f>
        <v>LI-6850</v>
      </c>
      <c r="I1790" t="str">
        <f>"BEXAR COUNTY CLERK"</f>
        <v>BEXAR COUNTY CLERK</v>
      </c>
    </row>
    <row r="1791" spans="1:9" x14ac:dyDescent="0.25">
      <c r="E1791" s="7"/>
      <c r="F1791" t="s">
        <v>20</v>
      </c>
      <c r="G1791" t="s">
        <v>21</v>
      </c>
      <c r="H1791" t="str">
        <f>"LI-6851"</f>
        <v>LI-6851</v>
      </c>
      <c r="I1791" t="str">
        <f>"BEXAR COUNTY CLERK"</f>
        <v>BEXAR COUNTY CLERK</v>
      </c>
    </row>
    <row r="1792" spans="1:9" x14ac:dyDescent="0.25">
      <c r="E1792" s="7"/>
      <c r="F1792" t="s">
        <v>20</v>
      </c>
      <c r="G1792" t="s">
        <v>21</v>
      </c>
      <c r="H1792" t="str">
        <f>"LI-6852"</f>
        <v>LI-6852</v>
      </c>
      <c r="I1792" t="str">
        <f>"BEXAR COUNTY CLERK"</f>
        <v>BEXAR COUNTY CLERK</v>
      </c>
    </row>
    <row r="1793" spans="1:9" x14ac:dyDescent="0.25">
      <c r="A1793" s="6">
        <v>43853</v>
      </c>
      <c r="B1793" t="s">
        <v>26</v>
      </c>
      <c r="C1793">
        <v>63126</v>
      </c>
      <c r="D1793" t="s">
        <v>59</v>
      </c>
      <c r="E1793" s="7">
        <v>4365.6899999999996</v>
      </c>
      <c r="F1793" t="s">
        <v>20</v>
      </c>
      <c r="G1793" t="s">
        <v>21</v>
      </c>
      <c r="H1793" t="str">
        <f>"1044864-2"</f>
        <v>1044864-2</v>
      </c>
      <c r="I1793" t="str">
        <f>"MISC STOCK"</f>
        <v>MISC STOCK</v>
      </c>
    </row>
    <row r="1794" spans="1:9" x14ac:dyDescent="0.25">
      <c r="E1794" s="7"/>
      <c r="F1794" t="s">
        <v>20</v>
      </c>
      <c r="G1794" t="s">
        <v>21</v>
      </c>
      <c r="H1794" t="str">
        <f>"1045252"</f>
        <v>1045252</v>
      </c>
      <c r="I1794" t="str">
        <f>"WW - CHAIN"</f>
        <v>WW - CHAIN</v>
      </c>
    </row>
    <row r="1795" spans="1:9" x14ac:dyDescent="0.25">
      <c r="A1795" s="6">
        <v>43853</v>
      </c>
      <c r="B1795" t="s">
        <v>26</v>
      </c>
      <c r="C1795">
        <v>63127</v>
      </c>
      <c r="D1795" t="s">
        <v>166</v>
      </c>
      <c r="E1795" s="7">
        <v>61</v>
      </c>
      <c r="F1795" t="s">
        <v>20</v>
      </c>
      <c r="G1795" t="s">
        <v>21</v>
      </c>
      <c r="H1795" t="str">
        <f>"JAN.2020 9567"</f>
        <v>JAN.2020 9567</v>
      </c>
      <c r="I1795" t="str">
        <f>"PITNEY BOWES PURCHASE POWER"</f>
        <v>PITNEY BOWES PURCHASE POWER</v>
      </c>
    </row>
    <row r="1796" spans="1:9" x14ac:dyDescent="0.25">
      <c r="A1796" s="6">
        <v>43853</v>
      </c>
      <c r="B1796" t="s">
        <v>26</v>
      </c>
      <c r="C1796">
        <v>63128</v>
      </c>
      <c r="D1796" t="s">
        <v>278</v>
      </c>
      <c r="E1796" s="7">
        <v>330</v>
      </c>
      <c r="F1796" t="s">
        <v>20</v>
      </c>
      <c r="G1796" t="s">
        <v>21</v>
      </c>
      <c r="H1796" t="str">
        <f>"FLO003112919"</f>
        <v>FLO003112919</v>
      </c>
      <c r="I1796" t="str">
        <f>"THE PRODUCTIVITY CENTER"</f>
        <v>THE PRODUCTIVITY CENTER</v>
      </c>
    </row>
    <row r="1797" spans="1:9" x14ac:dyDescent="0.25">
      <c r="A1797" s="6">
        <v>43853</v>
      </c>
      <c r="B1797" t="s">
        <v>26</v>
      </c>
      <c r="C1797">
        <v>63129</v>
      </c>
      <c r="D1797" t="s">
        <v>250</v>
      </c>
      <c r="E1797" s="7">
        <v>215.95</v>
      </c>
      <c r="F1797" t="s">
        <v>20</v>
      </c>
      <c r="G1797" t="s">
        <v>21</v>
      </c>
      <c r="H1797" t="str">
        <f>"S036548"</f>
        <v>S036548</v>
      </c>
      <c r="I1797" t="str">
        <f>"CLEANING SUPPLIES"</f>
        <v>CLEANING SUPPLIES</v>
      </c>
    </row>
    <row r="1798" spans="1:9" x14ac:dyDescent="0.25">
      <c r="A1798" s="6">
        <v>43853</v>
      </c>
      <c r="B1798" t="s">
        <v>26</v>
      </c>
      <c r="C1798">
        <v>63130</v>
      </c>
      <c r="D1798" t="s">
        <v>179</v>
      </c>
      <c r="E1798" s="7">
        <v>50.48</v>
      </c>
      <c r="F1798" t="s">
        <v>20</v>
      </c>
      <c r="G1798" t="s">
        <v>21</v>
      </c>
      <c r="H1798" t="str">
        <f>"59313"</f>
        <v>59313</v>
      </c>
      <c r="I1798" t="str">
        <f>"PD UNIT 323"</f>
        <v>PD UNIT 323</v>
      </c>
    </row>
    <row r="1799" spans="1:9" x14ac:dyDescent="0.25">
      <c r="A1799" s="6">
        <v>43853</v>
      </c>
      <c r="B1799" t="s">
        <v>26</v>
      </c>
      <c r="C1799">
        <v>63131</v>
      </c>
      <c r="D1799" t="s">
        <v>273</v>
      </c>
      <c r="E1799" s="7">
        <v>2348.8200000000002</v>
      </c>
      <c r="F1799" t="s">
        <v>20</v>
      </c>
      <c r="G1799" t="s">
        <v>21</v>
      </c>
      <c r="H1799" t="str">
        <f>"5119-000091555"</f>
        <v>5119-000091555</v>
      </c>
      <c r="I1799" t="str">
        <f>"REPUBLIC SERVICES TESSMAN ROAD"</f>
        <v>REPUBLIC SERVICES TESSMAN ROAD</v>
      </c>
    </row>
    <row r="1800" spans="1:9" x14ac:dyDescent="0.25">
      <c r="A1800" s="6">
        <v>43853</v>
      </c>
      <c r="B1800" t="s">
        <v>26</v>
      </c>
      <c r="C1800">
        <v>63132</v>
      </c>
      <c r="D1800" t="s">
        <v>203</v>
      </c>
      <c r="E1800" s="7">
        <v>1083.1099999999999</v>
      </c>
      <c r="F1800" t="s">
        <v>20</v>
      </c>
      <c r="G1800" t="s">
        <v>21</v>
      </c>
      <c r="H1800" t="str">
        <f>"1"</f>
        <v>1</v>
      </c>
      <c r="I1800" t="str">
        <f>"CHEMICALS FOR WW"</f>
        <v>CHEMICALS FOR WW</v>
      </c>
    </row>
    <row r="1801" spans="1:9" x14ac:dyDescent="0.25">
      <c r="E1801" s="7"/>
      <c r="F1801" t="s">
        <v>20</v>
      </c>
      <c r="G1801" t="s">
        <v>21</v>
      </c>
      <c r="H1801" t="str">
        <f>"107690"</f>
        <v>107690</v>
      </c>
      <c r="I1801" t="str">
        <f>"SAFETY SUPPLIES WW"</f>
        <v>SAFETY SUPPLIES WW</v>
      </c>
    </row>
    <row r="1802" spans="1:9" x14ac:dyDescent="0.25">
      <c r="E1802" s="7"/>
      <c r="F1802" t="s">
        <v>20</v>
      </c>
      <c r="G1802" t="s">
        <v>21</v>
      </c>
      <c r="H1802" t="str">
        <f>"108956"</f>
        <v>108956</v>
      </c>
      <c r="I1802" t="str">
        <f>"CHEMICALS FOR WW"</f>
        <v>CHEMICALS FOR WW</v>
      </c>
    </row>
    <row r="1803" spans="1:9" x14ac:dyDescent="0.25">
      <c r="E1803" s="7"/>
      <c r="F1803" t="s">
        <v>20</v>
      </c>
      <c r="G1803" t="s">
        <v>21</v>
      </c>
      <c r="H1803" t="str">
        <f>"110384"</f>
        <v>110384</v>
      </c>
      <c r="I1803" t="str">
        <f>"CHEMICALS FOR WW"</f>
        <v>CHEMICALS FOR WW</v>
      </c>
    </row>
    <row r="1804" spans="1:9" x14ac:dyDescent="0.25">
      <c r="E1804" s="7"/>
      <c r="F1804" t="s">
        <v>20</v>
      </c>
      <c r="G1804" t="s">
        <v>21</v>
      </c>
      <c r="H1804" t="str">
        <f>"110424"</f>
        <v>110424</v>
      </c>
      <c r="I1804" t="str">
        <f>"WW SUPPLIES"</f>
        <v>WW SUPPLIES</v>
      </c>
    </row>
    <row r="1805" spans="1:9" x14ac:dyDescent="0.25">
      <c r="A1805" s="6">
        <v>43853</v>
      </c>
      <c r="B1805" t="s">
        <v>26</v>
      </c>
      <c r="C1805">
        <v>63135</v>
      </c>
      <c r="D1805" t="s">
        <v>61</v>
      </c>
      <c r="E1805" s="7">
        <v>551.25</v>
      </c>
      <c r="F1805" t="s">
        <v>20</v>
      </c>
      <c r="G1805" t="s">
        <v>21</v>
      </c>
      <c r="H1805" t="str">
        <f>"025-283170"</f>
        <v>025-283170</v>
      </c>
      <c r="I1805" t="str">
        <f>"TYLER TECHNOLOGIES  INC."</f>
        <v>TYLER TECHNOLOGIES  INC.</v>
      </c>
    </row>
    <row r="1806" spans="1:9" x14ac:dyDescent="0.25">
      <c r="A1806" s="6">
        <v>43853</v>
      </c>
      <c r="B1806" t="s">
        <v>26</v>
      </c>
      <c r="C1806">
        <v>63136</v>
      </c>
      <c r="D1806" t="s">
        <v>184</v>
      </c>
      <c r="E1806" s="7">
        <v>1102</v>
      </c>
      <c r="F1806" t="s">
        <v>20</v>
      </c>
      <c r="G1806" t="s">
        <v>21</v>
      </c>
      <c r="H1806" t="str">
        <f>"1057-464"</f>
        <v>1057-464</v>
      </c>
      <c r="I1806" t="str">
        <f>"POLLUTION CONTROL SERVICES"</f>
        <v>POLLUTION CONTROL SERVICES</v>
      </c>
    </row>
    <row r="1807" spans="1:9" x14ac:dyDescent="0.25">
      <c r="E1807" s="7"/>
      <c r="F1807" t="s">
        <v>20</v>
      </c>
      <c r="G1807" t="s">
        <v>21</v>
      </c>
      <c r="H1807" t="str">
        <f>"1057-465"</f>
        <v>1057-465</v>
      </c>
      <c r="I1807" t="str">
        <f>"POLLUTION CONTROL SERVICES"</f>
        <v>POLLUTION CONTROL SERVICES</v>
      </c>
    </row>
    <row r="1808" spans="1:9" x14ac:dyDescent="0.25">
      <c r="A1808" s="6">
        <v>43853</v>
      </c>
      <c r="B1808" t="s">
        <v>26</v>
      </c>
      <c r="C1808">
        <v>63137</v>
      </c>
      <c r="D1808" t="s">
        <v>62</v>
      </c>
      <c r="E1808" s="7">
        <v>353</v>
      </c>
      <c r="F1808" t="s">
        <v>20</v>
      </c>
      <c r="G1808" t="s">
        <v>21</v>
      </c>
      <c r="H1808" t="str">
        <f>"66505"</f>
        <v>66505</v>
      </c>
      <c r="I1808" t="str">
        <f>"PROFICIENT BENEFIT SOLUTIONS"</f>
        <v>PROFICIENT BENEFIT SOLUTIONS</v>
      </c>
    </row>
    <row r="1809" spans="1:9" x14ac:dyDescent="0.25">
      <c r="A1809" s="6">
        <v>43853</v>
      </c>
      <c r="B1809" t="s">
        <v>26</v>
      </c>
      <c r="C1809">
        <v>63138</v>
      </c>
      <c r="D1809" t="s">
        <v>212</v>
      </c>
      <c r="E1809" s="7">
        <v>600</v>
      </c>
      <c r="F1809" t="s">
        <v>20</v>
      </c>
      <c r="G1809" t="s">
        <v>21</v>
      </c>
      <c r="H1809" t="str">
        <f>"2020 MBR DUES"</f>
        <v>2020 MBR DUES</v>
      </c>
      <c r="I1809" t="str">
        <f>"AACOG"</f>
        <v>AACOG</v>
      </c>
    </row>
    <row r="1810" spans="1:9" x14ac:dyDescent="0.25">
      <c r="A1810" s="6">
        <v>43853</v>
      </c>
      <c r="B1810" t="s">
        <v>26</v>
      </c>
      <c r="C1810">
        <v>63139</v>
      </c>
      <c r="D1810" t="s">
        <v>117</v>
      </c>
      <c r="E1810" s="7">
        <v>1046.3800000000001</v>
      </c>
      <c r="F1810" t="s">
        <v>20</v>
      </c>
      <c r="G1810" t="s">
        <v>21</v>
      </c>
      <c r="H1810" t="str">
        <f>"DEC.2019 FEE"</f>
        <v>DEC.2019 FEE</v>
      </c>
      <c r="I1810" t="str">
        <f>"LINEBARGER GOGGAN BLAIR &amp; SAMP"</f>
        <v>LINEBARGER GOGGAN BLAIR &amp; SAMP</v>
      </c>
    </row>
    <row r="1811" spans="1:9" x14ac:dyDescent="0.25">
      <c r="E1811" s="7"/>
      <c r="F1811" t="s">
        <v>20</v>
      </c>
      <c r="G1811" t="s">
        <v>21</v>
      </c>
      <c r="H1811" t="str">
        <f>"NOV.2019 FEE"</f>
        <v>NOV.2019 FEE</v>
      </c>
      <c r="I1811" t="str">
        <f>"LINEBARGER GOGGAN BLAIR &amp; SAMP"</f>
        <v>LINEBARGER GOGGAN BLAIR &amp; SAMP</v>
      </c>
    </row>
    <row r="1812" spans="1:9" x14ac:dyDescent="0.25">
      <c r="A1812" s="6">
        <v>43853</v>
      </c>
      <c r="B1812" t="s">
        <v>26</v>
      </c>
      <c r="C1812">
        <v>63140</v>
      </c>
      <c r="D1812" t="s">
        <v>185</v>
      </c>
      <c r="E1812" s="7">
        <v>4779.18</v>
      </c>
      <c r="F1812" t="s">
        <v>20</v>
      </c>
      <c r="G1812" t="s">
        <v>21</v>
      </c>
      <c r="H1812" t="str">
        <f>"771980"</f>
        <v>771980</v>
      </c>
      <c r="I1812" t="str">
        <f>"TRUCK REPAIR"</f>
        <v>TRUCK REPAIR</v>
      </c>
    </row>
    <row r="1813" spans="1:9" x14ac:dyDescent="0.25">
      <c r="A1813" s="6">
        <v>43853</v>
      </c>
      <c r="B1813" t="s">
        <v>91</v>
      </c>
      <c r="C1813">
        <v>63141</v>
      </c>
      <c r="D1813" t="s">
        <v>254</v>
      </c>
      <c r="E1813" s="7">
        <v>3790.41</v>
      </c>
      <c r="F1813" t="s">
        <v>20</v>
      </c>
      <c r="G1813" t="s">
        <v>21</v>
      </c>
      <c r="H1813" t="str">
        <f>"1166960-20191031*"</f>
        <v>1166960-20191031*</v>
      </c>
      <c r="I1813" t="str">
        <f>"TEXAS WORKFORCE COMMISSION"</f>
        <v>TEXAS WORKFORCE COMMISSION</v>
      </c>
    </row>
    <row r="1814" spans="1:9" x14ac:dyDescent="0.25">
      <c r="E1814" s="7"/>
      <c r="F1814" t="s">
        <v>20</v>
      </c>
      <c r="G1814" t="s">
        <v>21</v>
      </c>
      <c r="H1814" t="str">
        <f>"1166960-20191130*"</f>
        <v>1166960-20191130*</v>
      </c>
      <c r="I1814" t="str">
        <f>"TEXAS WORKFORCE COMMISSION"</f>
        <v>TEXAS WORKFORCE COMMISSION</v>
      </c>
    </row>
    <row r="1815" spans="1:9" x14ac:dyDescent="0.25">
      <c r="E1815" s="7"/>
      <c r="F1815" t="s">
        <v>20</v>
      </c>
      <c r="G1815" t="s">
        <v>21</v>
      </c>
      <c r="H1815" t="str">
        <f>"YEAR END DEC.2019"</f>
        <v>YEAR END DEC.2019</v>
      </c>
      <c r="I1815" t="str">
        <f>"TEXAS WORKFORCE COMMISSION"</f>
        <v>TEXAS WORKFORCE COMMISSION</v>
      </c>
    </row>
    <row r="1816" spans="1:9" x14ac:dyDescent="0.25">
      <c r="A1816" s="6">
        <v>43853</v>
      </c>
      <c r="B1816" t="s">
        <v>91</v>
      </c>
      <c r="C1816">
        <v>63141</v>
      </c>
      <c r="D1816" t="s">
        <v>254</v>
      </c>
      <c r="E1816" s="7">
        <v>3790.41</v>
      </c>
      <c r="F1816" t="s">
        <v>20</v>
      </c>
      <c r="G1816" t="s">
        <v>93</v>
      </c>
      <c r="H1816" t="str">
        <f>"CHECK"</f>
        <v>CHECK</v>
      </c>
      <c r="I1816" t="str">
        <f>""</f>
        <v/>
      </c>
    </row>
    <row r="1817" spans="1:9" x14ac:dyDescent="0.25">
      <c r="A1817" s="6">
        <v>43853</v>
      </c>
      <c r="B1817" t="s">
        <v>26</v>
      </c>
      <c r="C1817">
        <v>63142</v>
      </c>
      <c r="D1817" t="s">
        <v>264</v>
      </c>
      <c r="E1817" s="7">
        <v>35</v>
      </c>
      <c r="F1817" t="s">
        <v>20</v>
      </c>
      <c r="G1817" t="s">
        <v>21</v>
      </c>
      <c r="H1817" t="str">
        <f>"ANNUAL FEE"</f>
        <v>ANNUAL FEE</v>
      </c>
      <c r="I1817" t="str">
        <f>"ERS - TEXAS SOCIAL SECURITY PR"</f>
        <v>ERS - TEXAS SOCIAL SECURITY PR</v>
      </c>
    </row>
    <row r="1818" spans="1:9" x14ac:dyDescent="0.25">
      <c r="A1818" s="6">
        <v>43853</v>
      </c>
      <c r="B1818" t="s">
        <v>26</v>
      </c>
      <c r="C1818">
        <v>63143</v>
      </c>
      <c r="D1818" t="s">
        <v>119</v>
      </c>
      <c r="E1818" s="7">
        <v>646.44000000000005</v>
      </c>
      <c r="F1818" t="s">
        <v>20</v>
      </c>
      <c r="G1818" t="s">
        <v>21</v>
      </c>
      <c r="H1818" t="str">
        <f>"60448"</f>
        <v>60448</v>
      </c>
      <c r="I1818" t="str">
        <f>"TIRES"</f>
        <v>TIRES</v>
      </c>
    </row>
    <row r="1819" spans="1:9" x14ac:dyDescent="0.25">
      <c r="A1819" s="6">
        <v>43853</v>
      </c>
      <c r="B1819" t="s">
        <v>26</v>
      </c>
      <c r="C1819">
        <v>63144</v>
      </c>
      <c r="D1819" t="s">
        <v>120</v>
      </c>
      <c r="E1819" s="7">
        <v>1826.1</v>
      </c>
      <c r="F1819" t="s">
        <v>20</v>
      </c>
      <c r="G1819" t="s">
        <v>21</v>
      </c>
      <c r="H1819" t="str">
        <f>"71334001"</f>
        <v>71334001</v>
      </c>
      <c r="I1819" t="str">
        <f>"VERIZON BUSINESS"</f>
        <v>VERIZON BUSINESS</v>
      </c>
    </row>
    <row r="1820" spans="1:9" x14ac:dyDescent="0.25">
      <c r="E1820" s="7"/>
      <c r="F1820" t="s">
        <v>20</v>
      </c>
      <c r="G1820" t="s">
        <v>21</v>
      </c>
      <c r="H1820" t="str">
        <f>"71338702"</f>
        <v>71338702</v>
      </c>
      <c r="I1820" t="str">
        <f>"VERIZON BUSINESS"</f>
        <v>VERIZON BUSINESS</v>
      </c>
    </row>
    <row r="1821" spans="1:9" x14ac:dyDescent="0.25">
      <c r="A1821" s="6">
        <v>43853</v>
      </c>
      <c r="B1821" t="s">
        <v>26</v>
      </c>
      <c r="C1821">
        <v>63145</v>
      </c>
      <c r="D1821" t="s">
        <v>159</v>
      </c>
      <c r="E1821" s="7">
        <v>300</v>
      </c>
      <c r="F1821" t="s">
        <v>20</v>
      </c>
      <c r="G1821" t="s">
        <v>21</v>
      </c>
      <c r="H1821" t="str">
        <f>"2-2910"</f>
        <v>2-2910</v>
      </c>
      <c r="I1821" t="str">
        <f>"PHOTOGRAPHS BY JIM"</f>
        <v>PHOTOGRAPHS BY JIM</v>
      </c>
    </row>
    <row r="1822" spans="1:9" x14ac:dyDescent="0.25">
      <c r="A1822" s="6">
        <v>43853</v>
      </c>
      <c r="B1822" t="s">
        <v>26</v>
      </c>
      <c r="C1822">
        <v>63146</v>
      </c>
      <c r="D1822" t="s">
        <v>808</v>
      </c>
      <c r="E1822" s="7">
        <v>51.75</v>
      </c>
      <c r="F1822" t="s">
        <v>20</v>
      </c>
      <c r="G1822" t="s">
        <v>21</v>
      </c>
      <c r="H1822" t="str">
        <f>"1/20/2020"</f>
        <v>1/20/2020</v>
      </c>
      <c r="I1822" t="str">
        <f>"MAURO RODRIGUEZ"</f>
        <v>MAURO RODRIGUEZ</v>
      </c>
    </row>
    <row r="1823" spans="1:9" x14ac:dyDescent="0.25">
      <c r="A1823" s="6">
        <v>43853</v>
      </c>
      <c r="B1823" t="s">
        <v>26</v>
      </c>
      <c r="C1823">
        <v>63147</v>
      </c>
      <c r="D1823" t="s">
        <v>122</v>
      </c>
      <c r="E1823" s="7">
        <v>325</v>
      </c>
      <c r="F1823" t="s">
        <v>20</v>
      </c>
      <c r="G1823" t="s">
        <v>21</v>
      </c>
      <c r="H1823" t="str">
        <f>"138921"</f>
        <v>138921</v>
      </c>
      <c r="I1823" t="str">
        <f>"VILLA TIRES"</f>
        <v>VILLA TIRES</v>
      </c>
    </row>
    <row r="1824" spans="1:9" x14ac:dyDescent="0.25">
      <c r="E1824" s="7"/>
      <c r="F1824" t="s">
        <v>20</v>
      </c>
      <c r="G1824" t="s">
        <v>21</v>
      </c>
      <c r="H1824" t="str">
        <f>"138928"</f>
        <v>138928</v>
      </c>
      <c r="I1824" t="str">
        <f>"VILLA TIRES"</f>
        <v>VILLA TIRES</v>
      </c>
    </row>
    <row r="1825" spans="1:9" x14ac:dyDescent="0.25">
      <c r="E1825" s="7"/>
      <c r="F1825" t="s">
        <v>20</v>
      </c>
      <c r="G1825" t="s">
        <v>21</v>
      </c>
      <c r="H1825" t="str">
        <f>"138935"</f>
        <v>138935</v>
      </c>
      <c r="I1825" t="str">
        <f>"VILLA TIRES"</f>
        <v>VILLA TIRES</v>
      </c>
    </row>
    <row r="1826" spans="1:9" x14ac:dyDescent="0.25">
      <c r="E1826" s="7"/>
      <c r="F1826" t="s">
        <v>20</v>
      </c>
      <c r="G1826" t="s">
        <v>21</v>
      </c>
      <c r="H1826" t="str">
        <f>"138941"</f>
        <v>138941</v>
      </c>
      <c r="I1826" t="str">
        <f>"TIRE FOR THE SUBURBAN"</f>
        <v>TIRE FOR THE SUBURBAN</v>
      </c>
    </row>
    <row r="1827" spans="1:9" x14ac:dyDescent="0.25">
      <c r="E1827" s="7"/>
      <c r="F1827" t="s">
        <v>20</v>
      </c>
      <c r="G1827" t="s">
        <v>21</v>
      </c>
      <c r="H1827" t="str">
        <f>"138946"</f>
        <v>138946</v>
      </c>
      <c r="I1827" t="str">
        <f>"VILLA TIRES"</f>
        <v>VILLA TIRES</v>
      </c>
    </row>
    <row r="1828" spans="1:9" x14ac:dyDescent="0.25">
      <c r="E1828" s="7"/>
      <c r="F1828" t="s">
        <v>20</v>
      </c>
      <c r="G1828" t="s">
        <v>21</v>
      </c>
      <c r="H1828" t="str">
        <f>"138948"</f>
        <v>138948</v>
      </c>
      <c r="I1828" t="str">
        <f>"VILLA TIRES"</f>
        <v>VILLA TIRES</v>
      </c>
    </row>
    <row r="1829" spans="1:9" x14ac:dyDescent="0.25">
      <c r="A1829" s="6">
        <v>43853</v>
      </c>
      <c r="B1829" t="s">
        <v>26</v>
      </c>
      <c r="C1829">
        <v>63148</v>
      </c>
      <c r="D1829" t="s">
        <v>123</v>
      </c>
      <c r="E1829" s="7">
        <v>416.69</v>
      </c>
      <c r="F1829" t="s">
        <v>20</v>
      </c>
      <c r="G1829" t="s">
        <v>21</v>
      </c>
      <c r="H1829" t="str">
        <f>"423930826001"</f>
        <v>423930826001</v>
      </c>
      <c r="I1829" t="str">
        <f>"OFFICE SUPPLIES"</f>
        <v>OFFICE SUPPLIES</v>
      </c>
    </row>
    <row r="1830" spans="1:9" x14ac:dyDescent="0.25">
      <c r="E1830" s="7"/>
      <c r="F1830" t="s">
        <v>20</v>
      </c>
      <c r="G1830" t="s">
        <v>21</v>
      </c>
      <c r="H1830" t="str">
        <f>"423931338001"</f>
        <v>423931338001</v>
      </c>
      <c r="I1830" t="str">
        <f>"OFFICE SUPPLIES"</f>
        <v>OFFICE SUPPLIES</v>
      </c>
    </row>
    <row r="1831" spans="1:9" x14ac:dyDescent="0.25">
      <c r="E1831" s="7"/>
      <c r="F1831" t="s">
        <v>20</v>
      </c>
      <c r="G1831" t="s">
        <v>21</v>
      </c>
      <c r="H1831" t="str">
        <f>"424410828001"</f>
        <v>424410828001</v>
      </c>
      <c r="I1831" t="str">
        <f>"OFFICE SUPPLIES-COPY PAPE"</f>
        <v>OFFICE SUPPLIES-COPY PAPE</v>
      </c>
    </row>
    <row r="1832" spans="1:9" x14ac:dyDescent="0.25">
      <c r="E1832" s="7"/>
      <c r="F1832" t="s">
        <v>20</v>
      </c>
      <c r="G1832" t="s">
        <v>21</v>
      </c>
      <c r="H1832" t="str">
        <f>"425610424001"</f>
        <v>425610424001</v>
      </c>
      <c r="I1832" t="str">
        <f>"OFFICE SUPPLIES"</f>
        <v>OFFICE SUPPLIES</v>
      </c>
    </row>
    <row r="1833" spans="1:9" x14ac:dyDescent="0.25">
      <c r="E1833" s="7"/>
      <c r="F1833" t="s">
        <v>20</v>
      </c>
      <c r="G1833" t="s">
        <v>21</v>
      </c>
      <c r="H1833" t="str">
        <f>"425918296001"</f>
        <v>425918296001</v>
      </c>
      <c r="I1833" t="str">
        <f>"OFFICE SUPPLIES"</f>
        <v>OFFICE SUPPLIES</v>
      </c>
    </row>
    <row r="1834" spans="1:9" x14ac:dyDescent="0.25">
      <c r="E1834" s="7"/>
      <c r="F1834" t="s">
        <v>20</v>
      </c>
      <c r="G1834" t="s">
        <v>21</v>
      </c>
      <c r="H1834" t="str">
        <f>"425918525001"</f>
        <v>425918525001</v>
      </c>
      <c r="I1834" t="str">
        <f>"OFFICE SUPPLIES"</f>
        <v>OFFICE SUPPLIES</v>
      </c>
    </row>
    <row r="1835" spans="1:9" x14ac:dyDescent="0.25">
      <c r="A1835" s="6">
        <v>43853</v>
      </c>
      <c r="B1835" t="s">
        <v>26</v>
      </c>
      <c r="C1835">
        <v>63150</v>
      </c>
      <c r="D1835" t="s">
        <v>77</v>
      </c>
      <c r="E1835" s="7">
        <v>2609.5</v>
      </c>
      <c r="F1835" t="s">
        <v>20</v>
      </c>
      <c r="G1835" t="s">
        <v>21</v>
      </c>
      <c r="H1835" t="str">
        <f>"857000020-20"</f>
        <v>857000020-20</v>
      </c>
      <c r="I1835" t="str">
        <f>"CHLORINE ORDER"</f>
        <v>CHLORINE ORDER</v>
      </c>
    </row>
    <row r="1836" spans="1:9" x14ac:dyDescent="0.25">
      <c r="E1836" s="7"/>
      <c r="F1836" t="s">
        <v>20</v>
      </c>
      <c r="G1836" t="s">
        <v>21</v>
      </c>
      <c r="H1836" t="str">
        <f>"857000021-20"</f>
        <v>857000021-20</v>
      </c>
      <c r="I1836" t="str">
        <f>"CHLORINE ORDER"</f>
        <v>CHLORINE ORDER</v>
      </c>
    </row>
    <row r="1837" spans="1:9" x14ac:dyDescent="0.25">
      <c r="E1837" s="7"/>
      <c r="F1837" t="s">
        <v>20</v>
      </c>
      <c r="G1837" t="s">
        <v>21</v>
      </c>
      <c r="H1837" t="str">
        <f>"857002542-19"</f>
        <v>857002542-19</v>
      </c>
      <c r="I1837" t="str">
        <f>"8 CYLINDERS CHLORINE-WW"</f>
        <v>8 CYLINDERS CHLORINE-WW</v>
      </c>
    </row>
    <row r="1838" spans="1:9" x14ac:dyDescent="0.25">
      <c r="E1838" s="7"/>
      <c r="F1838" t="s">
        <v>20</v>
      </c>
      <c r="G1838" t="s">
        <v>21</v>
      </c>
      <c r="H1838" t="str">
        <f>"DE85002917-19"</f>
        <v>DE85002917-19</v>
      </c>
      <c r="I1838" t="str">
        <f>"DPC INDUSTRIES  INC."</f>
        <v>DPC INDUSTRIES  INC.</v>
      </c>
    </row>
    <row r="1839" spans="1:9" x14ac:dyDescent="0.25">
      <c r="E1839" s="7"/>
      <c r="F1839" t="s">
        <v>20</v>
      </c>
      <c r="G1839" t="s">
        <v>21</v>
      </c>
      <c r="H1839" t="str">
        <f>"DE85003116-19"</f>
        <v>DE85003116-19</v>
      </c>
      <c r="I1839" t="str">
        <f>"DPC INDUSTRIES  INC."</f>
        <v>DPC INDUSTRIES  INC.</v>
      </c>
    </row>
    <row r="1840" spans="1:9" x14ac:dyDescent="0.25">
      <c r="A1840" s="6">
        <v>43853</v>
      </c>
      <c r="B1840" t="s">
        <v>26</v>
      </c>
      <c r="C1840">
        <v>63152</v>
      </c>
      <c r="D1840" t="s">
        <v>124</v>
      </c>
      <c r="E1840" s="7">
        <v>360.87</v>
      </c>
      <c r="F1840" t="s">
        <v>20</v>
      </c>
      <c r="G1840" t="s">
        <v>21</v>
      </c>
      <c r="H1840" t="str">
        <f>"11182276"</f>
        <v>11182276</v>
      </c>
      <c r="I1840" t="str">
        <f>"WW PLANT SUPPLIES"</f>
        <v>WW PLANT SUPPLIES</v>
      </c>
    </row>
    <row r="1841" spans="1:9" x14ac:dyDescent="0.25">
      <c r="A1841" s="6">
        <v>43853</v>
      </c>
      <c r="B1841" t="s">
        <v>26</v>
      </c>
      <c r="C1841">
        <v>63154</v>
      </c>
      <c r="D1841" t="s">
        <v>126</v>
      </c>
      <c r="E1841" s="7">
        <v>1242.18</v>
      </c>
      <c r="F1841" t="s">
        <v>20</v>
      </c>
      <c r="G1841" t="s">
        <v>21</v>
      </c>
      <c r="H1841" t="str">
        <f>"0859-002460776"</f>
        <v>0859-002460776</v>
      </c>
      <c r="I1841" t="str">
        <f>"REPUBLIC SERVICES #859"</f>
        <v>REPUBLIC SERVICES #859</v>
      </c>
    </row>
    <row r="1842" spans="1:9" x14ac:dyDescent="0.25">
      <c r="A1842" s="6">
        <v>43853</v>
      </c>
      <c r="B1842" t="s">
        <v>26</v>
      </c>
      <c r="C1842">
        <v>63155</v>
      </c>
      <c r="D1842" t="s">
        <v>308</v>
      </c>
      <c r="E1842" s="7">
        <v>94.28</v>
      </c>
      <c r="F1842" t="s">
        <v>20</v>
      </c>
      <c r="G1842" t="s">
        <v>21</v>
      </c>
      <c r="H1842" t="str">
        <f>"TWDB 2/18/2020"</f>
        <v>TWDB 2/18/2020</v>
      </c>
      <c r="I1842" t="str">
        <f>"JOHNNY VILLARREAL"</f>
        <v>JOHNNY VILLARREAL</v>
      </c>
    </row>
    <row r="1843" spans="1:9" x14ac:dyDescent="0.25">
      <c r="A1843" s="6">
        <v>43853</v>
      </c>
      <c r="B1843" t="s">
        <v>26</v>
      </c>
      <c r="C1843">
        <v>63156</v>
      </c>
      <c r="D1843" t="s">
        <v>85</v>
      </c>
      <c r="E1843" s="7">
        <v>2843.51</v>
      </c>
      <c r="F1843" t="s">
        <v>20</v>
      </c>
      <c r="G1843" t="s">
        <v>21</v>
      </c>
      <c r="H1843" t="str">
        <f>"3934055"</f>
        <v>3934055</v>
      </c>
      <c r="I1843" t="str">
        <f t="shared" ref="I1843:I1855" si="32">"FRONTIER"</f>
        <v>FRONTIER</v>
      </c>
    </row>
    <row r="1844" spans="1:9" x14ac:dyDescent="0.25">
      <c r="E1844" s="7"/>
      <c r="F1844" t="s">
        <v>20</v>
      </c>
      <c r="G1844" t="s">
        <v>21</v>
      </c>
      <c r="H1844" t="str">
        <f>"8213387245"</f>
        <v>8213387245</v>
      </c>
      <c r="I1844" t="str">
        <f t="shared" si="32"/>
        <v>FRONTIER</v>
      </c>
    </row>
    <row r="1845" spans="1:9" x14ac:dyDescent="0.25">
      <c r="E1845" s="7"/>
      <c r="F1845" t="s">
        <v>20</v>
      </c>
      <c r="G1845" t="s">
        <v>21</v>
      </c>
      <c r="H1845" t="str">
        <f>"8213410608"</f>
        <v>8213410608</v>
      </c>
      <c r="I1845" t="str">
        <f t="shared" si="32"/>
        <v>FRONTIER</v>
      </c>
    </row>
    <row r="1846" spans="1:9" x14ac:dyDescent="0.25">
      <c r="E1846" s="7"/>
      <c r="F1846" t="s">
        <v>20</v>
      </c>
      <c r="G1846" t="s">
        <v>21</v>
      </c>
      <c r="H1846" t="str">
        <f>"8213410609"</f>
        <v>8213410609</v>
      </c>
      <c r="I1846" t="str">
        <f t="shared" si="32"/>
        <v>FRONTIER</v>
      </c>
    </row>
    <row r="1847" spans="1:9" x14ac:dyDescent="0.25">
      <c r="E1847" s="7"/>
      <c r="F1847" t="s">
        <v>20</v>
      </c>
      <c r="G1847" t="s">
        <v>21</v>
      </c>
      <c r="H1847" t="str">
        <f>"8213410610"</f>
        <v>8213410610</v>
      </c>
      <c r="I1847" t="str">
        <f t="shared" si="32"/>
        <v>FRONTIER</v>
      </c>
    </row>
    <row r="1848" spans="1:9" x14ac:dyDescent="0.25">
      <c r="E1848" s="7"/>
      <c r="F1848" t="s">
        <v>20</v>
      </c>
      <c r="G1848" t="s">
        <v>21</v>
      </c>
      <c r="H1848" t="str">
        <f>"8213410611"</f>
        <v>8213410611</v>
      </c>
      <c r="I1848" t="str">
        <f t="shared" si="32"/>
        <v>FRONTIER</v>
      </c>
    </row>
    <row r="1849" spans="1:9" x14ac:dyDescent="0.25">
      <c r="E1849" s="7"/>
      <c r="F1849" t="s">
        <v>20</v>
      </c>
      <c r="G1849" t="s">
        <v>21</v>
      </c>
      <c r="H1849" t="str">
        <f>"8213410612"</f>
        <v>8213410612</v>
      </c>
      <c r="I1849" t="str">
        <f t="shared" si="32"/>
        <v>FRONTIER</v>
      </c>
    </row>
    <row r="1850" spans="1:9" x14ac:dyDescent="0.25">
      <c r="E1850" s="7"/>
      <c r="F1850" t="s">
        <v>20</v>
      </c>
      <c r="G1850" t="s">
        <v>21</v>
      </c>
      <c r="H1850" t="str">
        <f>"8213410613"</f>
        <v>8213410613</v>
      </c>
      <c r="I1850" t="str">
        <f t="shared" si="32"/>
        <v>FRONTIER</v>
      </c>
    </row>
    <row r="1851" spans="1:9" x14ac:dyDescent="0.25">
      <c r="E1851" s="7"/>
      <c r="F1851" t="s">
        <v>20</v>
      </c>
      <c r="G1851" t="s">
        <v>21</v>
      </c>
      <c r="H1851" t="str">
        <f>"8213413426"</f>
        <v>8213413426</v>
      </c>
      <c r="I1851" t="str">
        <f t="shared" si="32"/>
        <v>FRONTIER</v>
      </c>
    </row>
    <row r="1852" spans="1:9" x14ac:dyDescent="0.25">
      <c r="E1852" s="7"/>
      <c r="F1852" t="s">
        <v>20</v>
      </c>
      <c r="G1852" t="s">
        <v>21</v>
      </c>
      <c r="H1852" t="str">
        <f>"8301970025 1.23.20"</f>
        <v>8301970025 1.23.20</v>
      </c>
      <c r="I1852" t="str">
        <f t="shared" si="32"/>
        <v>FRONTIER</v>
      </c>
    </row>
    <row r="1853" spans="1:9" x14ac:dyDescent="0.25">
      <c r="E1853" s="7"/>
      <c r="F1853" t="s">
        <v>20</v>
      </c>
      <c r="G1853" t="s">
        <v>21</v>
      </c>
      <c r="H1853" t="str">
        <f>"JAN.2020 2162733"</f>
        <v>JAN.2020 2162733</v>
      </c>
      <c r="I1853" t="str">
        <f t="shared" si="32"/>
        <v>FRONTIER</v>
      </c>
    </row>
    <row r="1854" spans="1:9" x14ac:dyDescent="0.25">
      <c r="E1854" s="7"/>
      <c r="F1854" t="s">
        <v>20</v>
      </c>
      <c r="G1854" t="s">
        <v>21</v>
      </c>
      <c r="H1854" t="str">
        <f>"JAN.2020 2162755"</f>
        <v>JAN.2020 2162755</v>
      </c>
      <c r="I1854" t="str">
        <f t="shared" si="32"/>
        <v>FRONTIER</v>
      </c>
    </row>
    <row r="1855" spans="1:9" x14ac:dyDescent="0.25">
      <c r="E1855" s="7"/>
      <c r="F1855" t="s">
        <v>20</v>
      </c>
      <c r="G1855" t="s">
        <v>21</v>
      </c>
      <c r="H1855" t="str">
        <f>"JAN.2020 3938193"</f>
        <v>JAN.2020 3938193</v>
      </c>
      <c r="I1855" t="str">
        <f t="shared" si="32"/>
        <v>FRONTIER</v>
      </c>
    </row>
    <row r="1856" spans="1:9" x14ac:dyDescent="0.25">
      <c r="A1856" s="6">
        <v>43853</v>
      </c>
      <c r="B1856" t="s">
        <v>26</v>
      </c>
      <c r="C1856">
        <v>63160</v>
      </c>
      <c r="D1856" t="s">
        <v>194</v>
      </c>
      <c r="E1856" s="7">
        <v>1987.71</v>
      </c>
      <c r="F1856" t="s">
        <v>20</v>
      </c>
      <c r="G1856" t="s">
        <v>21</v>
      </c>
      <c r="H1856" t="str">
        <f>"014313521"</f>
        <v>014313521</v>
      </c>
      <c r="I1856" t="str">
        <f>"GALLS  LLC-D.B.A. STERLING'S U"</f>
        <v>GALLS  LLC-D.B.A. STERLING'S U</v>
      </c>
    </row>
    <row r="1857" spans="1:9" x14ac:dyDescent="0.25">
      <c r="E1857" s="7"/>
      <c r="F1857" t="s">
        <v>20</v>
      </c>
      <c r="G1857" t="s">
        <v>21</v>
      </c>
      <c r="H1857" t="str">
        <f>"014313527"</f>
        <v>014313527</v>
      </c>
      <c r="I1857" t="str">
        <f>"GALLS  LLC-D.B.A. STERLING'S U"</f>
        <v>GALLS  LLC-D.B.A. STERLING'S U</v>
      </c>
    </row>
    <row r="1858" spans="1:9" x14ac:dyDescent="0.25">
      <c r="E1858" s="7"/>
      <c r="F1858" t="s">
        <v>20</v>
      </c>
      <c r="G1858" t="s">
        <v>21</v>
      </c>
      <c r="H1858" t="str">
        <f>"014366292"</f>
        <v>014366292</v>
      </c>
      <c r="I1858" t="str">
        <f>"GALLS  LLC-D.B.A. STERLING'S U"</f>
        <v>GALLS  LLC-D.B.A. STERLING'S U</v>
      </c>
    </row>
    <row r="1859" spans="1:9" x14ac:dyDescent="0.25">
      <c r="E1859" s="7"/>
      <c r="F1859" t="s">
        <v>20</v>
      </c>
      <c r="G1859" t="s">
        <v>21</v>
      </c>
      <c r="H1859" t="str">
        <f>"014366299"</f>
        <v>014366299</v>
      </c>
      <c r="I1859" t="str">
        <f>"GALLS  LLC-D.B.A. STERLING'S U"</f>
        <v>GALLS  LLC-D.B.A. STERLING'S U</v>
      </c>
    </row>
    <row r="1860" spans="1:9" x14ac:dyDescent="0.25">
      <c r="E1860" s="7"/>
      <c r="F1860" t="s">
        <v>20</v>
      </c>
      <c r="G1860" t="s">
        <v>21</v>
      </c>
      <c r="H1860" t="str">
        <f>"014366315"</f>
        <v>014366315</v>
      </c>
      <c r="I1860" t="str">
        <f>"GALLS  LLC-D.B.A. STERLING'S U"</f>
        <v>GALLS  LLC-D.B.A. STERLING'S U</v>
      </c>
    </row>
    <row r="1861" spans="1:9" x14ac:dyDescent="0.25">
      <c r="E1861" s="7"/>
      <c r="F1861" t="s">
        <v>20</v>
      </c>
      <c r="G1861" t="s">
        <v>21</v>
      </c>
      <c r="H1861" t="str">
        <f>"014378201"</f>
        <v>014378201</v>
      </c>
      <c r="I1861" t="str">
        <f>"UNIFORMS Patricio Barrera"</f>
        <v>UNIFORMS Patricio Barrera</v>
      </c>
    </row>
    <row r="1862" spans="1:9" x14ac:dyDescent="0.25">
      <c r="E1862" s="7"/>
      <c r="F1862" t="s">
        <v>20</v>
      </c>
      <c r="G1862" t="s">
        <v>21</v>
      </c>
      <c r="H1862" t="str">
        <f>"014459303"</f>
        <v>014459303</v>
      </c>
      <c r="I1862" t="str">
        <f>"GALLS  LLC-D.B.A. STERLING'S U"</f>
        <v>GALLS  LLC-D.B.A. STERLING'S U</v>
      </c>
    </row>
    <row r="1863" spans="1:9" x14ac:dyDescent="0.25">
      <c r="E1863" s="7"/>
      <c r="F1863" t="s">
        <v>20</v>
      </c>
      <c r="G1863" t="s">
        <v>21</v>
      </c>
      <c r="H1863" t="str">
        <f>"014634830"</f>
        <v>014634830</v>
      </c>
      <c r="I1863" t="str">
        <f>"GALLS  LLC-D.B.A. STERLING'S U"</f>
        <v>GALLS  LLC-D.B.A. STERLING'S U</v>
      </c>
    </row>
    <row r="1864" spans="1:9" x14ac:dyDescent="0.25">
      <c r="E1864" s="7"/>
      <c r="F1864" t="s">
        <v>20</v>
      </c>
      <c r="G1864" t="s">
        <v>21</v>
      </c>
      <c r="H1864" t="str">
        <f>"014634837"</f>
        <v>014634837</v>
      </c>
      <c r="I1864" t="str">
        <f>"GALLS  LLC-D.B.A. STERLING'S U"</f>
        <v>GALLS  LLC-D.B.A. STERLING'S U</v>
      </c>
    </row>
    <row r="1865" spans="1:9" x14ac:dyDescent="0.25">
      <c r="E1865" s="7"/>
      <c r="F1865" t="s">
        <v>20</v>
      </c>
      <c r="G1865" t="s">
        <v>21</v>
      </c>
      <c r="H1865" t="str">
        <f>"BC0996947"</f>
        <v>BC0996947</v>
      </c>
      <c r="I1865" t="str">
        <f>"UNIFORM- GEORGE ORTIZ"</f>
        <v>UNIFORM- GEORGE ORTIZ</v>
      </c>
    </row>
    <row r="1866" spans="1:9" x14ac:dyDescent="0.25">
      <c r="E1866" s="7"/>
      <c r="F1866" t="s">
        <v>20</v>
      </c>
      <c r="G1866" t="s">
        <v>21</v>
      </c>
      <c r="H1866" t="str">
        <f>"BC1004833"</f>
        <v>BC1004833</v>
      </c>
      <c r="I1866" t="str">
        <f>"MUFF HEARING PROTECTION"</f>
        <v>MUFF HEARING PROTECTION</v>
      </c>
    </row>
    <row r="1867" spans="1:9" x14ac:dyDescent="0.25">
      <c r="A1867" s="6">
        <v>43853</v>
      </c>
      <c r="B1867" t="s">
        <v>26</v>
      </c>
      <c r="C1867">
        <v>63162</v>
      </c>
      <c r="D1867" t="s">
        <v>326</v>
      </c>
      <c r="E1867" s="7">
        <v>35</v>
      </c>
      <c r="F1867" t="s">
        <v>20</v>
      </c>
      <c r="G1867" t="s">
        <v>21</v>
      </c>
      <c r="H1867" t="str">
        <f>"20965900"</f>
        <v>20965900</v>
      </c>
      <c r="I1867" t="str">
        <f>"MATHESON TRI-GAS INC"</f>
        <v>MATHESON TRI-GAS INC</v>
      </c>
    </row>
    <row r="1868" spans="1:9" x14ac:dyDescent="0.25">
      <c r="A1868" s="6">
        <v>43853</v>
      </c>
      <c r="B1868" t="s">
        <v>26</v>
      </c>
      <c r="C1868">
        <v>63163</v>
      </c>
      <c r="D1868" t="s">
        <v>345</v>
      </c>
      <c r="E1868" s="7">
        <v>319</v>
      </c>
      <c r="F1868" t="s">
        <v>20</v>
      </c>
      <c r="G1868" t="s">
        <v>21</v>
      </c>
      <c r="H1868" t="str">
        <f>"1/20/2020"</f>
        <v>1/20/2020</v>
      </c>
      <c r="I1868" t="str">
        <f>"MICHAEL ISAAC MARTINEZ"</f>
        <v>MICHAEL ISAAC MARTINEZ</v>
      </c>
    </row>
    <row r="1869" spans="1:9" x14ac:dyDescent="0.25">
      <c r="A1869" s="6">
        <v>43853</v>
      </c>
      <c r="B1869" t="s">
        <v>26</v>
      </c>
      <c r="C1869">
        <v>63164</v>
      </c>
      <c r="D1869" t="s">
        <v>398</v>
      </c>
      <c r="E1869" s="7">
        <v>105</v>
      </c>
      <c r="F1869" t="s">
        <v>20</v>
      </c>
      <c r="G1869" t="s">
        <v>21</v>
      </c>
      <c r="H1869" t="str">
        <f>"1499"</f>
        <v>1499</v>
      </c>
      <c r="I1869" t="str">
        <f>"INTERCEPTOR TECHNOLOGY GROUP L"</f>
        <v>INTERCEPTOR TECHNOLOGY GROUP L</v>
      </c>
    </row>
    <row r="1870" spans="1:9" x14ac:dyDescent="0.25">
      <c r="A1870" s="6">
        <v>43853</v>
      </c>
      <c r="B1870" t="s">
        <v>26</v>
      </c>
      <c r="C1870">
        <v>63165</v>
      </c>
      <c r="D1870" t="s">
        <v>446</v>
      </c>
      <c r="E1870" s="7">
        <v>138</v>
      </c>
      <c r="F1870" t="s">
        <v>20</v>
      </c>
      <c r="G1870" t="s">
        <v>21</v>
      </c>
      <c r="H1870" t="str">
        <f>"CLASS 1/13-1/15-20"</f>
        <v>CLASS 1/13-1/15-20</v>
      </c>
      <c r="I1870" t="str">
        <f>"ISAIAH BARRIENTEZ"</f>
        <v>ISAIAH BARRIENTEZ</v>
      </c>
    </row>
    <row r="1871" spans="1:9" x14ac:dyDescent="0.25">
      <c r="A1871" s="6">
        <v>43853</v>
      </c>
      <c r="B1871" t="s">
        <v>26</v>
      </c>
      <c r="C1871">
        <v>63166</v>
      </c>
      <c r="D1871" t="s">
        <v>447</v>
      </c>
      <c r="E1871" s="7">
        <v>138</v>
      </c>
      <c r="F1871" t="s">
        <v>20</v>
      </c>
      <c r="G1871" t="s">
        <v>21</v>
      </c>
      <c r="H1871" t="str">
        <f>"CLASS 1/13-1/15/20"</f>
        <v>CLASS 1/13-1/15/20</v>
      </c>
      <c r="I1871" t="str">
        <f>"VICTOR FAVELLA"</f>
        <v>VICTOR FAVELLA</v>
      </c>
    </row>
    <row r="1872" spans="1:9" x14ac:dyDescent="0.25">
      <c r="A1872" s="6">
        <v>43853</v>
      </c>
      <c r="B1872" t="s">
        <v>26</v>
      </c>
      <c r="C1872">
        <v>63167</v>
      </c>
      <c r="D1872" t="s">
        <v>629</v>
      </c>
      <c r="E1872" s="7">
        <v>68.900000000000006</v>
      </c>
      <c r="F1872" t="s">
        <v>20</v>
      </c>
      <c r="G1872" t="s">
        <v>21</v>
      </c>
      <c r="H1872" t="str">
        <f>"38669"</f>
        <v>38669</v>
      </c>
      <c r="I1872" t="str">
        <f>"NO PARKING TOW AWAY SIGNS"</f>
        <v>NO PARKING TOW AWAY SIGNS</v>
      </c>
    </row>
    <row r="1873" spans="1:9" x14ac:dyDescent="0.25">
      <c r="A1873" s="6">
        <v>43853</v>
      </c>
      <c r="B1873" t="s">
        <v>26</v>
      </c>
      <c r="C1873">
        <v>63168</v>
      </c>
      <c r="D1873" t="s">
        <v>630</v>
      </c>
      <c r="E1873" s="7">
        <v>3791.62</v>
      </c>
      <c r="F1873" t="s">
        <v>20</v>
      </c>
      <c r="G1873" t="s">
        <v>21</v>
      </c>
      <c r="H1873" t="str">
        <f>"26159"</f>
        <v>26159</v>
      </c>
      <c r="I1873" t="str">
        <f>"METERS"</f>
        <v>METERS</v>
      </c>
    </row>
    <row r="1874" spans="1:9" x14ac:dyDescent="0.25">
      <c r="A1874" s="6">
        <v>43853</v>
      </c>
      <c r="B1874" t="s">
        <v>26</v>
      </c>
      <c r="C1874">
        <v>63169</v>
      </c>
      <c r="D1874" t="s">
        <v>299</v>
      </c>
      <c r="E1874" s="7">
        <v>137.80000000000001</v>
      </c>
      <c r="F1874" t="s">
        <v>20</v>
      </c>
      <c r="G1874" t="s">
        <v>21</v>
      </c>
      <c r="H1874" t="str">
        <f>"BRIDAL EXT 2020"</f>
        <v>BRIDAL EXT 2020</v>
      </c>
      <c r="I1874" t="str">
        <f>"CHEZARE PEREZ"</f>
        <v>CHEZARE PEREZ</v>
      </c>
    </row>
    <row r="1875" spans="1:9" x14ac:dyDescent="0.25">
      <c r="A1875" s="6">
        <v>43853</v>
      </c>
      <c r="B1875" t="s">
        <v>26</v>
      </c>
      <c r="C1875">
        <v>63170</v>
      </c>
      <c r="D1875" t="s">
        <v>644</v>
      </c>
      <c r="E1875" s="7">
        <v>478.81</v>
      </c>
      <c r="F1875" t="s">
        <v>20</v>
      </c>
      <c r="G1875" t="s">
        <v>21</v>
      </c>
      <c r="H1875" t="str">
        <f>"8213390113"</f>
        <v>8213390113</v>
      </c>
      <c r="I1875" t="str">
        <f t="shared" ref="I1875:I1881" si="33">"UNIFIRST CORPORATION"</f>
        <v>UNIFIRST CORPORATION</v>
      </c>
    </row>
    <row r="1876" spans="1:9" x14ac:dyDescent="0.25">
      <c r="E1876" s="7"/>
      <c r="F1876" t="s">
        <v>20</v>
      </c>
      <c r="G1876" t="s">
        <v>21</v>
      </c>
      <c r="H1876" t="str">
        <f>"8213413427"</f>
        <v>8213413427</v>
      </c>
      <c r="I1876" t="str">
        <f t="shared" si="33"/>
        <v>UNIFIRST CORPORATION</v>
      </c>
    </row>
    <row r="1877" spans="1:9" x14ac:dyDescent="0.25">
      <c r="E1877" s="7"/>
      <c r="F1877" t="s">
        <v>20</v>
      </c>
      <c r="G1877" t="s">
        <v>21</v>
      </c>
      <c r="H1877" t="str">
        <f>"8213413428"</f>
        <v>8213413428</v>
      </c>
      <c r="I1877" t="str">
        <f t="shared" si="33"/>
        <v>UNIFIRST CORPORATION</v>
      </c>
    </row>
    <row r="1878" spans="1:9" x14ac:dyDescent="0.25">
      <c r="E1878" s="7"/>
      <c r="F1878" t="s">
        <v>20</v>
      </c>
      <c r="G1878" t="s">
        <v>21</v>
      </c>
      <c r="H1878" t="str">
        <f>"8213413429"</f>
        <v>8213413429</v>
      </c>
      <c r="I1878" t="str">
        <f t="shared" si="33"/>
        <v>UNIFIRST CORPORATION</v>
      </c>
    </row>
    <row r="1879" spans="1:9" x14ac:dyDescent="0.25">
      <c r="E1879" s="7"/>
      <c r="F1879" t="s">
        <v>20</v>
      </c>
      <c r="G1879" t="s">
        <v>21</v>
      </c>
      <c r="H1879" t="str">
        <f>"8213413430"</f>
        <v>8213413430</v>
      </c>
      <c r="I1879" t="str">
        <f t="shared" si="33"/>
        <v>UNIFIRST CORPORATION</v>
      </c>
    </row>
    <row r="1880" spans="1:9" x14ac:dyDescent="0.25">
      <c r="E1880" s="7"/>
      <c r="F1880" t="s">
        <v>20</v>
      </c>
      <c r="G1880" t="s">
        <v>21</v>
      </c>
      <c r="H1880" t="str">
        <f>"8213413431"</f>
        <v>8213413431</v>
      </c>
      <c r="I1880" t="str">
        <f t="shared" si="33"/>
        <v>UNIFIRST CORPORATION</v>
      </c>
    </row>
    <row r="1881" spans="1:9" x14ac:dyDescent="0.25">
      <c r="E1881" s="7"/>
      <c r="F1881" t="s">
        <v>20</v>
      </c>
      <c r="G1881" t="s">
        <v>21</v>
      </c>
      <c r="H1881" t="str">
        <f>"8213413432"</f>
        <v>8213413432</v>
      </c>
      <c r="I1881" t="str">
        <f t="shared" si="33"/>
        <v>UNIFIRST CORPORATION</v>
      </c>
    </row>
    <row r="1882" spans="1:9" x14ac:dyDescent="0.25">
      <c r="A1882" s="6">
        <v>43853</v>
      </c>
      <c r="B1882" t="s">
        <v>91</v>
      </c>
      <c r="C1882">
        <v>63172</v>
      </c>
      <c r="D1882" t="s">
        <v>647</v>
      </c>
      <c r="E1882" s="7">
        <v>8547.82</v>
      </c>
      <c r="F1882" t="s">
        <v>20</v>
      </c>
      <c r="G1882" t="s">
        <v>21</v>
      </c>
      <c r="H1882" t="str">
        <f>"26255880"</f>
        <v>26255880</v>
      </c>
      <c r="I1882" t="str">
        <f>"DOCUMATION  INC."</f>
        <v>DOCUMATION  INC.</v>
      </c>
    </row>
    <row r="1883" spans="1:9" x14ac:dyDescent="0.25">
      <c r="E1883" s="7"/>
      <c r="F1883" t="s">
        <v>20</v>
      </c>
      <c r="G1883" t="s">
        <v>21</v>
      </c>
      <c r="H1883" t="str">
        <f>"26257670"</f>
        <v>26257670</v>
      </c>
      <c r="I1883" t="str">
        <f>"DOCUMATION  INC."</f>
        <v>DOCUMATION  INC.</v>
      </c>
    </row>
    <row r="1884" spans="1:9" x14ac:dyDescent="0.25">
      <c r="A1884" s="6">
        <v>43853</v>
      </c>
      <c r="B1884" t="s">
        <v>91</v>
      </c>
      <c r="C1884">
        <v>63172</v>
      </c>
      <c r="D1884" t="s">
        <v>647</v>
      </c>
      <c r="E1884" s="7">
        <v>8547.82</v>
      </c>
      <c r="F1884" t="s">
        <v>20</v>
      </c>
      <c r="G1884" t="s">
        <v>93</v>
      </c>
      <c r="H1884" t="str">
        <f>"CHECK"</f>
        <v>CHECK</v>
      </c>
      <c r="I1884" t="str">
        <f>""</f>
        <v/>
      </c>
    </row>
    <row r="1885" spans="1:9" x14ac:dyDescent="0.25">
      <c r="A1885" s="6">
        <v>43853</v>
      </c>
      <c r="B1885" t="s">
        <v>26</v>
      </c>
      <c r="C1885">
        <v>63173</v>
      </c>
      <c r="D1885" t="s">
        <v>878</v>
      </c>
      <c r="E1885" s="7">
        <v>432.45</v>
      </c>
      <c r="F1885" t="s">
        <v>20</v>
      </c>
      <c r="G1885" t="s">
        <v>21</v>
      </c>
      <c r="H1885" t="str">
        <f>"78667"</f>
        <v>78667</v>
      </c>
      <c r="I1885" t="str">
        <f>"ANIMAL CONTROL SUPPLIES"</f>
        <v>ANIMAL CONTROL SUPPLIES</v>
      </c>
    </row>
    <row r="1886" spans="1:9" x14ac:dyDescent="0.25">
      <c r="E1886" s="7"/>
      <c r="F1886" t="s">
        <v>20</v>
      </c>
      <c r="G1886" t="s">
        <v>21</v>
      </c>
      <c r="H1886" t="str">
        <f>"78723"</f>
        <v>78723</v>
      </c>
      <c r="I1886" t="str">
        <f>"ANIMAL CONTROL SUPPLIES"</f>
        <v>ANIMAL CONTROL SUPPLIES</v>
      </c>
    </row>
    <row r="1887" spans="1:9" x14ac:dyDescent="0.25">
      <c r="E1887" s="7"/>
      <c r="F1887" t="s">
        <v>20</v>
      </c>
      <c r="G1887" t="s">
        <v>21</v>
      </c>
      <c r="H1887" t="str">
        <f>"78806"</f>
        <v>78806</v>
      </c>
      <c r="I1887" t="str">
        <f>"ANIMAL CONTROL SUPPLIES"</f>
        <v>ANIMAL CONTROL SUPPLIES</v>
      </c>
    </row>
    <row r="1888" spans="1:9" x14ac:dyDescent="0.25">
      <c r="E1888" s="7"/>
      <c r="F1888" t="s">
        <v>20</v>
      </c>
      <c r="G1888" t="s">
        <v>21</v>
      </c>
      <c r="H1888" t="s">
        <v>879</v>
      </c>
      <c r="I1888">
        <v>78723</v>
      </c>
    </row>
    <row r="1889" spans="1:9" x14ac:dyDescent="0.25">
      <c r="A1889" s="6">
        <v>43853</v>
      </c>
      <c r="B1889" t="s">
        <v>26</v>
      </c>
      <c r="C1889">
        <v>63174</v>
      </c>
      <c r="D1889" t="s">
        <v>736</v>
      </c>
      <c r="E1889" s="7">
        <v>92</v>
      </c>
      <c r="F1889" t="s">
        <v>20</v>
      </c>
      <c r="G1889" t="s">
        <v>21</v>
      </c>
      <c r="H1889" t="str">
        <f>"CLASS 1/27-1/28/20"</f>
        <v>CLASS 1/27-1/28/20</v>
      </c>
      <c r="I1889" t="str">
        <f>"BRIAN ZUNIGA"</f>
        <v>BRIAN ZUNIGA</v>
      </c>
    </row>
    <row r="1890" spans="1:9" x14ac:dyDescent="0.25">
      <c r="A1890" s="6">
        <v>43853</v>
      </c>
      <c r="B1890" t="s">
        <v>26</v>
      </c>
      <c r="C1890">
        <v>63175</v>
      </c>
      <c r="D1890" t="s">
        <v>739</v>
      </c>
      <c r="E1890" s="7">
        <v>95.94</v>
      </c>
      <c r="F1890" t="s">
        <v>20</v>
      </c>
      <c r="G1890" t="s">
        <v>21</v>
      </c>
      <c r="H1890" t="str">
        <f>"5286X-12272019"</f>
        <v>5286X-12272019</v>
      </c>
      <c r="I1890" t="str">
        <f>"FIRSTNET/AT&amp;T MOBILITY LLC"</f>
        <v>FIRSTNET/AT&amp;T MOBILITY LLC</v>
      </c>
    </row>
    <row r="1891" spans="1:9" x14ac:dyDescent="0.25">
      <c r="A1891" s="6">
        <v>43853</v>
      </c>
      <c r="B1891" t="s">
        <v>26</v>
      </c>
      <c r="C1891">
        <v>63176</v>
      </c>
      <c r="D1891" t="s">
        <v>880</v>
      </c>
      <c r="E1891" s="7">
        <v>495</v>
      </c>
      <c r="F1891" t="s">
        <v>20</v>
      </c>
      <c r="G1891" t="s">
        <v>21</v>
      </c>
      <c r="H1891" t="str">
        <f>"1129"</f>
        <v>1129</v>
      </c>
      <c r="I1891" t="str">
        <f>"ATASCOSA COUNTRY RADIO"</f>
        <v>ATASCOSA COUNTRY RADIO</v>
      </c>
    </row>
    <row r="1892" spans="1:9" x14ac:dyDescent="0.25">
      <c r="A1892" s="6">
        <v>43853</v>
      </c>
      <c r="B1892" t="s">
        <v>26</v>
      </c>
      <c r="C1892">
        <v>63177</v>
      </c>
      <c r="D1892" t="s">
        <v>816</v>
      </c>
      <c r="E1892" s="7">
        <v>92</v>
      </c>
      <c r="F1892" t="s">
        <v>20</v>
      </c>
      <c r="G1892" t="s">
        <v>21</v>
      </c>
      <c r="H1892" t="str">
        <f>"CLASS 1/27-1/28/20"</f>
        <v>CLASS 1/27-1/28/20</v>
      </c>
      <c r="I1892" t="str">
        <f>"MEGAN K ANDERSON"</f>
        <v>MEGAN K ANDERSON</v>
      </c>
    </row>
    <row r="1893" spans="1:9" x14ac:dyDescent="0.25">
      <c r="A1893" s="6">
        <v>43853</v>
      </c>
      <c r="B1893" t="s">
        <v>26</v>
      </c>
      <c r="C1893">
        <v>63178</v>
      </c>
      <c r="D1893" t="s">
        <v>881</v>
      </c>
      <c r="E1893" s="7">
        <v>6608.5</v>
      </c>
      <c r="F1893" t="s">
        <v>20</v>
      </c>
      <c r="G1893" t="s">
        <v>21</v>
      </c>
      <c r="H1893" t="str">
        <f>"22062"</f>
        <v>22062</v>
      </c>
      <c r="I1893" t="str">
        <f>"WASHER COMPACTOR"</f>
        <v>WASHER COMPACTOR</v>
      </c>
    </row>
    <row r="1894" spans="1:9" x14ac:dyDescent="0.25">
      <c r="E1894" s="7"/>
      <c r="F1894" t="s">
        <v>20</v>
      </c>
      <c r="G1894" t="s">
        <v>21</v>
      </c>
      <c r="H1894" t="str">
        <f>"22127"</f>
        <v>22127</v>
      </c>
      <c r="I1894" t="str">
        <f>"TREATMENTPLANT BAR SCREEN"</f>
        <v>TREATMENTPLANT BAR SCREEN</v>
      </c>
    </row>
    <row r="1895" spans="1:9" x14ac:dyDescent="0.25">
      <c r="A1895" s="6">
        <v>43853</v>
      </c>
      <c r="B1895" t="s">
        <v>26</v>
      </c>
      <c r="C1895">
        <v>63179</v>
      </c>
      <c r="D1895" t="s">
        <v>882</v>
      </c>
      <c r="E1895" s="7">
        <v>138</v>
      </c>
      <c r="F1895" t="s">
        <v>20</v>
      </c>
      <c r="G1895" t="s">
        <v>21</v>
      </c>
      <c r="H1895" t="str">
        <f>"CLASS 1/13-1/15/20"</f>
        <v>CLASS 1/13-1/15/20</v>
      </c>
      <c r="I1895" t="str">
        <f>"KEVIN PENA"</f>
        <v>KEVIN PENA</v>
      </c>
    </row>
    <row r="1896" spans="1:9" x14ac:dyDescent="0.25">
      <c r="A1896" s="6">
        <v>43854</v>
      </c>
      <c r="B1896" t="s">
        <v>26</v>
      </c>
      <c r="C1896">
        <v>63180</v>
      </c>
      <c r="D1896" t="s">
        <v>159</v>
      </c>
      <c r="E1896" s="7">
        <v>225</v>
      </c>
      <c r="F1896" t="s">
        <v>20</v>
      </c>
      <c r="G1896" t="s">
        <v>21</v>
      </c>
      <c r="H1896" t="str">
        <f>"2-2919"</f>
        <v>2-2919</v>
      </c>
      <c r="I1896" t="str">
        <f>"PHOTOGRAPHS BY JIM"</f>
        <v>PHOTOGRAPHS BY JIM</v>
      </c>
    </row>
    <row r="1897" spans="1:9" x14ac:dyDescent="0.25">
      <c r="A1897" s="6">
        <v>43854</v>
      </c>
      <c r="B1897" t="s">
        <v>26</v>
      </c>
      <c r="C1897">
        <v>63181</v>
      </c>
      <c r="D1897" t="s">
        <v>81</v>
      </c>
      <c r="E1897" s="7">
        <v>94.75</v>
      </c>
      <c r="F1897" t="s">
        <v>20</v>
      </c>
      <c r="G1897" t="s">
        <v>21</v>
      </c>
      <c r="H1897" t="str">
        <f>"A.MARTINEZ 1/2020"</f>
        <v>A.MARTINEZ 1/2020</v>
      </c>
      <c r="I1897" t="str">
        <f>"CITY OF FLORESVILLE -PETTY CAS"</f>
        <v>CITY OF FLORESVILLE -PETTY CAS</v>
      </c>
    </row>
    <row r="1898" spans="1:9" x14ac:dyDescent="0.25">
      <c r="A1898" s="6">
        <v>43854</v>
      </c>
      <c r="B1898" t="s">
        <v>91</v>
      </c>
      <c r="C1898">
        <v>63182</v>
      </c>
      <c r="D1898" t="s">
        <v>90</v>
      </c>
      <c r="E1898" s="7">
        <v>840.88</v>
      </c>
      <c r="F1898" t="s">
        <v>20</v>
      </c>
      <c r="G1898" t="s">
        <v>21</v>
      </c>
      <c r="H1898" t="str">
        <f>"ACA202001148560"</f>
        <v>ACA202001148560</v>
      </c>
      <c r="I1898" t="str">
        <f>"AFLAC INSURANCE"</f>
        <v>AFLAC INSURANCE</v>
      </c>
    </row>
    <row r="1899" spans="1:9" x14ac:dyDescent="0.25">
      <c r="E1899" s="7"/>
      <c r="F1899" t="s">
        <v>20</v>
      </c>
      <c r="G1899" t="s">
        <v>21</v>
      </c>
      <c r="H1899" t="str">
        <f>"AD2202001148560"</f>
        <v>AD2202001148560</v>
      </c>
      <c r="I1899" t="str">
        <f>"AFLAC INSURANCE"</f>
        <v>AFLAC INSURANCE</v>
      </c>
    </row>
    <row r="1900" spans="1:9" x14ac:dyDescent="0.25">
      <c r="E1900" s="7"/>
      <c r="F1900" t="s">
        <v>20</v>
      </c>
      <c r="G1900" t="s">
        <v>21</v>
      </c>
      <c r="H1900" t="str">
        <f>"ADR202001148560"</f>
        <v>ADR202001148560</v>
      </c>
      <c r="I1900" t="str">
        <f>"INSURANCE"</f>
        <v>INSURANCE</v>
      </c>
    </row>
    <row r="1901" spans="1:9" x14ac:dyDescent="0.25">
      <c r="E1901" s="7"/>
      <c r="F1901" t="s">
        <v>20</v>
      </c>
      <c r="G1901" t="s">
        <v>21</v>
      </c>
      <c r="H1901" t="str">
        <f>"AF1202001148560"</f>
        <v>AF1202001148560</v>
      </c>
      <c r="I1901" t="str">
        <f>"AFLAC INSURANCE"</f>
        <v>AFLAC INSURANCE</v>
      </c>
    </row>
    <row r="1902" spans="1:9" x14ac:dyDescent="0.25">
      <c r="E1902" s="7"/>
      <c r="F1902" t="s">
        <v>20</v>
      </c>
      <c r="G1902" t="s">
        <v>21</v>
      </c>
      <c r="H1902" t="str">
        <f>"ASP202001148560"</f>
        <v>ASP202001148560</v>
      </c>
      <c r="I1902" t="str">
        <f>"AFLAC INSURANCE"</f>
        <v>AFLAC INSURANCE</v>
      </c>
    </row>
    <row r="1903" spans="1:9" x14ac:dyDescent="0.25">
      <c r="E1903" s="7"/>
      <c r="F1903" t="s">
        <v>20</v>
      </c>
      <c r="G1903" t="s">
        <v>21</v>
      </c>
      <c r="H1903" t="str">
        <f>"HCO202001148560"</f>
        <v>HCO202001148560</v>
      </c>
      <c r="I1903" t="str">
        <f>"AFLAC INSURANCE"</f>
        <v>AFLAC INSURANCE</v>
      </c>
    </row>
    <row r="1904" spans="1:9" x14ac:dyDescent="0.25">
      <c r="A1904" s="6">
        <v>43854</v>
      </c>
      <c r="B1904" t="s">
        <v>91</v>
      </c>
      <c r="C1904">
        <v>63182</v>
      </c>
      <c r="D1904" t="s">
        <v>90</v>
      </c>
      <c r="E1904" s="7">
        <v>840.88</v>
      </c>
      <c r="F1904" t="s">
        <v>20</v>
      </c>
      <c r="G1904" t="s">
        <v>93</v>
      </c>
      <c r="H1904" t="str">
        <f>"CHECK"</f>
        <v>CHECK</v>
      </c>
      <c r="I1904" t="str">
        <f>""</f>
        <v/>
      </c>
    </row>
    <row r="1905" spans="1:9" x14ac:dyDescent="0.25">
      <c r="A1905" s="6">
        <v>43854</v>
      </c>
      <c r="B1905" t="s">
        <v>91</v>
      </c>
      <c r="C1905">
        <v>63185</v>
      </c>
      <c r="D1905" t="s">
        <v>92</v>
      </c>
      <c r="E1905" s="7">
        <v>20979.15</v>
      </c>
      <c r="F1905" t="s">
        <v>20</v>
      </c>
      <c r="G1905" t="s">
        <v>21</v>
      </c>
      <c r="H1905" t="str">
        <f>"RET202001148560"</f>
        <v>RET202001148560</v>
      </c>
      <c r="I1905" t="str">
        <f>"TMRS CITY OF FLORESVILLE"</f>
        <v>TMRS CITY OF FLORESVILLE</v>
      </c>
    </row>
    <row r="1906" spans="1:9" x14ac:dyDescent="0.25">
      <c r="A1906" s="6">
        <v>43854</v>
      </c>
      <c r="B1906" t="s">
        <v>91</v>
      </c>
      <c r="C1906">
        <v>63185</v>
      </c>
      <c r="D1906" t="s">
        <v>92</v>
      </c>
      <c r="E1906" s="7">
        <v>20979.15</v>
      </c>
      <c r="F1906" t="s">
        <v>20</v>
      </c>
      <c r="G1906" t="s">
        <v>93</v>
      </c>
      <c r="H1906" t="str">
        <f>"CHECK"</f>
        <v>CHECK</v>
      </c>
      <c r="I1906" t="str">
        <f>""</f>
        <v/>
      </c>
    </row>
    <row r="1907" spans="1:9" x14ac:dyDescent="0.25">
      <c r="A1907" s="6">
        <v>43854</v>
      </c>
      <c r="B1907" t="s">
        <v>91</v>
      </c>
      <c r="C1907">
        <v>63187</v>
      </c>
      <c r="D1907" t="s">
        <v>95</v>
      </c>
      <c r="E1907" s="7">
        <v>29.99</v>
      </c>
      <c r="F1907" t="s">
        <v>20</v>
      </c>
      <c r="G1907" t="s">
        <v>21</v>
      </c>
      <c r="H1907" t="str">
        <f>"LEA202001148560"</f>
        <v>LEA202001148560</v>
      </c>
      <c r="I1907" t="str">
        <f>"INSURANCE"</f>
        <v>INSURANCE</v>
      </c>
    </row>
    <row r="1908" spans="1:9" x14ac:dyDescent="0.25">
      <c r="A1908" s="6">
        <v>43854</v>
      </c>
      <c r="B1908" t="s">
        <v>91</v>
      </c>
      <c r="C1908">
        <v>63187</v>
      </c>
      <c r="D1908" t="s">
        <v>95</v>
      </c>
      <c r="E1908" s="7">
        <v>29.99</v>
      </c>
      <c r="F1908" t="s">
        <v>20</v>
      </c>
      <c r="G1908" t="s">
        <v>93</v>
      </c>
      <c r="H1908" t="str">
        <f>"CHECK"</f>
        <v>CHECK</v>
      </c>
      <c r="I1908" t="str">
        <f>""</f>
        <v/>
      </c>
    </row>
    <row r="1909" spans="1:9" x14ac:dyDescent="0.25">
      <c r="A1909" s="6">
        <v>43854</v>
      </c>
      <c r="B1909" t="s">
        <v>91</v>
      </c>
      <c r="C1909">
        <v>63188</v>
      </c>
      <c r="D1909" t="s">
        <v>96</v>
      </c>
      <c r="E1909" s="7">
        <v>163.24</v>
      </c>
      <c r="F1909" t="s">
        <v>20</v>
      </c>
      <c r="G1909" t="s">
        <v>21</v>
      </c>
      <c r="H1909" t="str">
        <f>"PPL202001148560"</f>
        <v>PPL202001148560</v>
      </c>
      <c r="I1909" t="str">
        <f>"INSURANCE"</f>
        <v>INSURANCE</v>
      </c>
    </row>
    <row r="1910" spans="1:9" x14ac:dyDescent="0.25">
      <c r="A1910" s="6">
        <v>43854</v>
      </c>
      <c r="B1910" t="s">
        <v>91</v>
      </c>
      <c r="C1910">
        <v>63188</v>
      </c>
      <c r="D1910" t="s">
        <v>96</v>
      </c>
      <c r="E1910" s="7">
        <v>163.24</v>
      </c>
      <c r="F1910" t="s">
        <v>20</v>
      </c>
      <c r="G1910" t="s">
        <v>93</v>
      </c>
      <c r="H1910" t="str">
        <f>"CHECK"</f>
        <v>CHECK</v>
      </c>
      <c r="I1910" t="str">
        <f>""</f>
        <v/>
      </c>
    </row>
    <row r="1911" spans="1:9" x14ac:dyDescent="0.25">
      <c r="A1911" s="6">
        <v>43854</v>
      </c>
      <c r="B1911" t="s">
        <v>91</v>
      </c>
      <c r="C1911">
        <v>63189</v>
      </c>
      <c r="D1911" t="s">
        <v>97</v>
      </c>
      <c r="E1911" s="7">
        <v>37618.82</v>
      </c>
      <c r="F1911" t="s">
        <v>20</v>
      </c>
      <c r="G1911" t="s">
        <v>21</v>
      </c>
      <c r="H1911" t="str">
        <f>"DEN202001148560"</f>
        <v>DEN202001148560</v>
      </c>
      <c r="I1911" t="str">
        <f>"DENTAL INSURANCE"</f>
        <v>DENTAL INSURANCE</v>
      </c>
    </row>
    <row r="1912" spans="1:9" x14ac:dyDescent="0.25">
      <c r="E1912" s="7"/>
      <c r="F1912" t="s">
        <v>20</v>
      </c>
      <c r="G1912" t="s">
        <v>21</v>
      </c>
      <c r="H1912" t="str">
        <f>"MED202001148560"</f>
        <v>MED202001148560</v>
      </c>
      <c r="I1912" t="str">
        <f>"HEALTH &amp; DENTAL INSURANCE"</f>
        <v>HEALTH &amp; DENTAL INSURANCE</v>
      </c>
    </row>
    <row r="1913" spans="1:9" x14ac:dyDescent="0.25">
      <c r="A1913" s="6">
        <v>43854</v>
      </c>
      <c r="B1913" t="s">
        <v>91</v>
      </c>
      <c r="C1913">
        <v>63189</v>
      </c>
      <c r="D1913" t="s">
        <v>97</v>
      </c>
      <c r="E1913" s="7">
        <v>37618.82</v>
      </c>
      <c r="F1913" t="s">
        <v>20</v>
      </c>
      <c r="G1913" t="s">
        <v>93</v>
      </c>
      <c r="H1913" t="str">
        <f>"CHECK"</f>
        <v>CHECK</v>
      </c>
      <c r="I1913" t="str">
        <f>""</f>
        <v/>
      </c>
    </row>
    <row r="1914" spans="1:9" x14ac:dyDescent="0.25">
      <c r="A1914" s="6">
        <v>43854</v>
      </c>
      <c r="B1914" t="s">
        <v>91</v>
      </c>
      <c r="C1914">
        <v>63191</v>
      </c>
      <c r="D1914" t="s">
        <v>98</v>
      </c>
      <c r="E1914" s="7">
        <v>1975.82</v>
      </c>
      <c r="F1914" t="s">
        <v>20</v>
      </c>
      <c r="G1914" t="s">
        <v>21</v>
      </c>
      <c r="H1914" t="str">
        <f>"LIF202001148560"</f>
        <v>LIF202001148560</v>
      </c>
      <c r="I1914" t="str">
        <f>"INSURANCE"</f>
        <v>INSURANCE</v>
      </c>
    </row>
    <row r="1915" spans="1:9" x14ac:dyDescent="0.25">
      <c r="E1915" s="7"/>
      <c r="F1915" t="s">
        <v>20</v>
      </c>
      <c r="G1915" t="s">
        <v>21</v>
      </c>
      <c r="H1915" t="str">
        <f>"STD202001148560"</f>
        <v>STD202001148560</v>
      </c>
      <c r="I1915" t="str">
        <f>"SHORT TERM DISABILITY"</f>
        <v>SHORT TERM DISABILITY</v>
      </c>
    </row>
    <row r="1916" spans="1:9" x14ac:dyDescent="0.25">
      <c r="E1916" s="7"/>
      <c r="F1916" t="s">
        <v>20</v>
      </c>
      <c r="G1916" t="s">
        <v>21</v>
      </c>
      <c r="H1916" t="str">
        <f>"VIS202001148560"</f>
        <v>VIS202001148560</v>
      </c>
      <c r="I1916" t="str">
        <f>"VISION INSURANCE"</f>
        <v>VISION INSURANCE</v>
      </c>
    </row>
    <row r="1917" spans="1:9" x14ac:dyDescent="0.25">
      <c r="E1917" s="7"/>
      <c r="F1917" t="s">
        <v>20</v>
      </c>
      <c r="G1917" t="s">
        <v>21</v>
      </c>
      <c r="H1917" t="str">
        <f>"VLC202001148560"</f>
        <v>VLC202001148560</v>
      </c>
      <c r="I1917" t="str">
        <f>"CHILD LIFE INSURANCE"</f>
        <v>CHILD LIFE INSURANCE</v>
      </c>
    </row>
    <row r="1918" spans="1:9" x14ac:dyDescent="0.25">
      <c r="E1918" s="7"/>
      <c r="F1918" t="s">
        <v>20</v>
      </c>
      <c r="G1918" t="s">
        <v>21</v>
      </c>
      <c r="H1918" t="str">
        <f>"VLS202001148560"</f>
        <v>VLS202001148560</v>
      </c>
      <c r="I1918" t="str">
        <f>"SPOUSE LIFE"</f>
        <v>SPOUSE LIFE</v>
      </c>
    </row>
    <row r="1919" spans="1:9" x14ac:dyDescent="0.25">
      <c r="E1919" s="7"/>
      <c r="F1919" t="s">
        <v>20</v>
      </c>
      <c r="G1919" t="s">
        <v>21</v>
      </c>
      <c r="H1919" t="str">
        <f>"VOE202001148560"</f>
        <v>VOE202001148560</v>
      </c>
      <c r="I1919" t="str">
        <f>"EMPLOYEE LIFE"</f>
        <v>EMPLOYEE LIFE</v>
      </c>
    </row>
    <row r="1920" spans="1:9" x14ac:dyDescent="0.25">
      <c r="E1920" s="7"/>
      <c r="F1920" t="s">
        <v>20</v>
      </c>
      <c r="G1920" t="s">
        <v>21</v>
      </c>
      <c r="H1920" t="str">
        <f>"VOL202001148560"</f>
        <v>VOL202001148560</v>
      </c>
      <c r="I1920" t="str">
        <f>"LIFE"</f>
        <v>LIFE</v>
      </c>
    </row>
    <row r="1921" spans="1:9" x14ac:dyDescent="0.25">
      <c r="A1921" s="6">
        <v>43854</v>
      </c>
      <c r="B1921" t="s">
        <v>91</v>
      </c>
      <c r="C1921">
        <v>63191</v>
      </c>
      <c r="D1921" t="s">
        <v>98</v>
      </c>
      <c r="E1921" s="7">
        <v>1975.82</v>
      </c>
      <c r="F1921" t="s">
        <v>20</v>
      </c>
      <c r="G1921" t="s">
        <v>93</v>
      </c>
      <c r="H1921" t="str">
        <f>"CHECK"</f>
        <v>CHECK</v>
      </c>
      <c r="I1921" t="str">
        <f>""</f>
        <v/>
      </c>
    </row>
    <row r="1922" spans="1:9" x14ac:dyDescent="0.25">
      <c r="A1922" s="6">
        <v>43854</v>
      </c>
      <c r="B1922" t="s">
        <v>26</v>
      </c>
      <c r="C1922">
        <v>63196</v>
      </c>
      <c r="D1922" t="s">
        <v>346</v>
      </c>
      <c r="E1922" s="7">
        <v>13750</v>
      </c>
      <c r="F1922" t="s">
        <v>20</v>
      </c>
      <c r="G1922" t="s">
        <v>21</v>
      </c>
      <c r="H1922" t="str">
        <f>"12/11-01/11/2020"</f>
        <v>12/11-01/11/2020</v>
      </c>
      <c r="I1922" t="str">
        <f>"SYLVIA RODRIGUEZ"</f>
        <v>SYLVIA RODRIGUEZ</v>
      </c>
    </row>
    <row r="1923" spans="1:9" x14ac:dyDescent="0.25">
      <c r="A1923" s="6">
        <v>43858</v>
      </c>
      <c r="B1923" t="s">
        <v>26</v>
      </c>
      <c r="C1923">
        <v>63204</v>
      </c>
      <c r="D1923" t="s">
        <v>51</v>
      </c>
      <c r="E1923" s="7">
        <v>346.31</v>
      </c>
      <c r="F1923" t="s">
        <v>20</v>
      </c>
      <c r="G1923" t="s">
        <v>21</v>
      </c>
      <c r="H1923" t="str">
        <f>"CLE202001288561"</f>
        <v>CLE202001288561</v>
      </c>
      <c r="I1923" t="str">
        <f>"CLEAT ONLY DUES"</f>
        <v>CLEAT ONLY DUES</v>
      </c>
    </row>
    <row r="1924" spans="1:9" x14ac:dyDescent="0.25">
      <c r="E1924" s="7"/>
      <c r="F1924" t="s">
        <v>20</v>
      </c>
      <c r="G1924" t="s">
        <v>21</v>
      </c>
      <c r="H1924" t="str">
        <f>"PDD202001288561"</f>
        <v>PDD202001288561</v>
      </c>
      <c r="I1924" t="str">
        <f>"POLICE OFFICERS ASSOC DUES"</f>
        <v>POLICE OFFICERS ASSOC DUES</v>
      </c>
    </row>
    <row r="1925" spans="1:9" x14ac:dyDescent="0.25">
      <c r="A1925" s="6">
        <v>43858</v>
      </c>
      <c r="B1925" t="s">
        <v>91</v>
      </c>
      <c r="C1925">
        <v>63205</v>
      </c>
      <c r="D1925" t="s">
        <v>90</v>
      </c>
      <c r="E1925" s="7">
        <v>101.1</v>
      </c>
      <c r="F1925" t="s">
        <v>20</v>
      </c>
      <c r="G1925" t="s">
        <v>21</v>
      </c>
      <c r="H1925" t="str">
        <f>"AFS202001288561"</f>
        <v>AFS202001288561</v>
      </c>
      <c r="I1925" t="str">
        <f>"AFLAC STD"</f>
        <v>AFLAC STD</v>
      </c>
    </row>
    <row r="1926" spans="1:9" x14ac:dyDescent="0.25">
      <c r="A1926" s="6">
        <v>43858</v>
      </c>
      <c r="B1926" t="s">
        <v>91</v>
      </c>
      <c r="C1926">
        <v>63205</v>
      </c>
      <c r="D1926" t="s">
        <v>90</v>
      </c>
      <c r="E1926" s="7">
        <v>101.1</v>
      </c>
      <c r="F1926" t="s">
        <v>20</v>
      </c>
      <c r="G1926" t="s">
        <v>93</v>
      </c>
      <c r="H1926" t="str">
        <f>"CHECK"</f>
        <v>CHECK</v>
      </c>
      <c r="I1926" t="str">
        <f>""</f>
        <v/>
      </c>
    </row>
    <row r="1927" spans="1:9" x14ac:dyDescent="0.25">
      <c r="A1927" s="6">
        <v>43858</v>
      </c>
      <c r="B1927" t="s">
        <v>26</v>
      </c>
      <c r="C1927">
        <v>63206</v>
      </c>
      <c r="D1927" t="s">
        <v>52</v>
      </c>
      <c r="E1927" s="7">
        <v>971.53</v>
      </c>
      <c r="F1927" t="s">
        <v>20</v>
      </c>
      <c r="G1927" t="s">
        <v>21</v>
      </c>
      <c r="H1927" t="str">
        <f>"CA1202001288561"</f>
        <v>CA1202001288561</v>
      </c>
      <c r="I1927" t="str">
        <f>"K RAMIREZ 001200229510060343CV"</f>
        <v>K RAMIREZ 001200229510060343CV</v>
      </c>
    </row>
    <row r="1928" spans="1:9" x14ac:dyDescent="0.25">
      <c r="E1928" s="7"/>
      <c r="F1928" t="s">
        <v>20</v>
      </c>
      <c r="G1928" t="s">
        <v>21</v>
      </c>
      <c r="H1928" t="str">
        <f>"CA2202001288561"</f>
        <v>CA2202001288561</v>
      </c>
      <c r="I1928" t="str">
        <f>"L HERNANDEZ 001016025203080354"</f>
        <v>L HERNANDEZ 001016025203080354</v>
      </c>
    </row>
    <row r="1929" spans="1:9" x14ac:dyDescent="0.25">
      <c r="E1929" s="7"/>
      <c r="F1929" t="s">
        <v>20</v>
      </c>
      <c r="G1929" t="s">
        <v>21</v>
      </c>
      <c r="H1929" t="str">
        <f>"CPS202001288561"</f>
        <v>CPS202001288561</v>
      </c>
      <c r="I1929" t="str">
        <f>"G MENDOZA 00123012032010EM5054"</f>
        <v>G MENDOZA 00123012032010EM5054</v>
      </c>
    </row>
    <row r="1930" spans="1:9" x14ac:dyDescent="0.25">
      <c r="E1930" s="7"/>
      <c r="F1930" t="s">
        <v>20</v>
      </c>
      <c r="G1930" t="s">
        <v>21</v>
      </c>
      <c r="H1930" t="str">
        <f>"CS 202001288561"</f>
        <v>CS 202001288561</v>
      </c>
      <c r="I1930" t="str">
        <f>"CAUSE#98EM504113 PEGGY RIVAS"</f>
        <v>CAUSE#98EM504113 PEGGY RIVAS</v>
      </c>
    </row>
    <row r="1931" spans="1:9" x14ac:dyDescent="0.25">
      <c r="E1931" s="7"/>
      <c r="F1931" t="s">
        <v>20</v>
      </c>
      <c r="G1931" t="s">
        <v>21</v>
      </c>
      <c r="H1931" t="str">
        <f>"CSA202001288561"</f>
        <v>CSA202001288561</v>
      </c>
      <c r="I1931" t="str">
        <f>"S RODRIGUEZ 001281730413050336"</f>
        <v>S RODRIGUEZ 001281730413050336</v>
      </c>
    </row>
    <row r="1932" spans="1:9" x14ac:dyDescent="0.25">
      <c r="A1932" s="6">
        <v>43858</v>
      </c>
      <c r="B1932" t="s">
        <v>26</v>
      </c>
      <c r="C1932">
        <v>63207</v>
      </c>
      <c r="D1932" t="s">
        <v>54</v>
      </c>
      <c r="E1932" s="7">
        <v>1200.24</v>
      </c>
      <c r="F1932" t="s">
        <v>20</v>
      </c>
      <c r="G1932" t="s">
        <v>21</v>
      </c>
      <c r="H1932" t="str">
        <f>"457202001288561"</f>
        <v>457202001288561</v>
      </c>
      <c r="I1932" t="str">
        <f>"CASE # 180-60751 457B DEDUCT"</f>
        <v>CASE # 180-60751 457B DEDUCT</v>
      </c>
    </row>
    <row r="1933" spans="1:9" x14ac:dyDescent="0.25">
      <c r="A1933" s="6">
        <v>43858</v>
      </c>
      <c r="B1933" t="s">
        <v>91</v>
      </c>
      <c r="C1933">
        <v>63208</v>
      </c>
      <c r="D1933" t="s">
        <v>90</v>
      </c>
      <c r="E1933" s="7">
        <v>840.88</v>
      </c>
      <c r="F1933" t="s">
        <v>20</v>
      </c>
      <c r="G1933" t="s">
        <v>21</v>
      </c>
      <c r="H1933" t="str">
        <f>"ACA202001288561"</f>
        <v>ACA202001288561</v>
      </c>
      <c r="I1933" t="str">
        <f>"AFLAC INSURANCE"</f>
        <v>AFLAC INSURANCE</v>
      </c>
    </row>
    <row r="1934" spans="1:9" x14ac:dyDescent="0.25">
      <c r="E1934" s="7"/>
      <c r="F1934" t="s">
        <v>20</v>
      </c>
      <c r="G1934" t="s">
        <v>21</v>
      </c>
      <c r="H1934" t="str">
        <f>"AD2202001288561"</f>
        <v>AD2202001288561</v>
      </c>
      <c r="I1934" t="str">
        <f>"AFLAC INSURANCE"</f>
        <v>AFLAC INSURANCE</v>
      </c>
    </row>
    <row r="1935" spans="1:9" x14ac:dyDescent="0.25">
      <c r="E1935" s="7"/>
      <c r="F1935" t="s">
        <v>20</v>
      </c>
      <c r="G1935" t="s">
        <v>21</v>
      </c>
      <c r="H1935" t="str">
        <f>"ADR202001288561"</f>
        <v>ADR202001288561</v>
      </c>
      <c r="I1935" t="str">
        <f>"INSURANCE"</f>
        <v>INSURANCE</v>
      </c>
    </row>
    <row r="1936" spans="1:9" x14ac:dyDescent="0.25">
      <c r="E1936" s="7"/>
      <c r="F1936" t="s">
        <v>20</v>
      </c>
      <c r="G1936" t="s">
        <v>21</v>
      </c>
      <c r="H1936" t="str">
        <f>"AF1202001288561"</f>
        <v>AF1202001288561</v>
      </c>
      <c r="I1936" t="str">
        <f>"AFLAC INSURANCE"</f>
        <v>AFLAC INSURANCE</v>
      </c>
    </row>
    <row r="1937" spans="1:9" x14ac:dyDescent="0.25">
      <c r="E1937" s="7"/>
      <c r="F1937" t="s">
        <v>20</v>
      </c>
      <c r="G1937" t="s">
        <v>21</v>
      </c>
      <c r="H1937" t="str">
        <f>"ASP202001288561"</f>
        <v>ASP202001288561</v>
      </c>
      <c r="I1937" t="str">
        <f>"AFLAC INSURANCE"</f>
        <v>AFLAC INSURANCE</v>
      </c>
    </row>
    <row r="1938" spans="1:9" x14ac:dyDescent="0.25">
      <c r="E1938" s="7"/>
      <c r="F1938" t="s">
        <v>20</v>
      </c>
      <c r="G1938" t="s">
        <v>21</v>
      </c>
      <c r="H1938" t="str">
        <f>"HCO202001288561"</f>
        <v>HCO202001288561</v>
      </c>
      <c r="I1938" t="str">
        <f>"AFLAC INSURANCE"</f>
        <v>AFLAC INSURANCE</v>
      </c>
    </row>
    <row r="1939" spans="1:9" x14ac:dyDescent="0.25">
      <c r="A1939" s="6">
        <v>43858</v>
      </c>
      <c r="B1939" t="s">
        <v>91</v>
      </c>
      <c r="C1939">
        <v>63208</v>
      </c>
      <c r="D1939" t="s">
        <v>90</v>
      </c>
      <c r="E1939" s="7">
        <v>840.88</v>
      </c>
      <c r="F1939" t="s">
        <v>20</v>
      </c>
      <c r="G1939" t="s">
        <v>93</v>
      </c>
      <c r="H1939" t="str">
        <f>"CHECK"</f>
        <v>CHECK</v>
      </c>
      <c r="I1939" t="str">
        <f>""</f>
        <v/>
      </c>
    </row>
    <row r="1940" spans="1:9" x14ac:dyDescent="0.25">
      <c r="A1940" s="6">
        <v>43858</v>
      </c>
      <c r="B1940" t="s">
        <v>91</v>
      </c>
      <c r="C1940">
        <v>63211</v>
      </c>
      <c r="D1940" t="s">
        <v>92</v>
      </c>
      <c r="E1940" s="7">
        <v>20717.650000000001</v>
      </c>
      <c r="F1940" t="s">
        <v>20</v>
      </c>
      <c r="G1940" t="s">
        <v>21</v>
      </c>
      <c r="H1940" t="str">
        <f>"RET202001288561"</f>
        <v>RET202001288561</v>
      </c>
      <c r="I1940" t="str">
        <f>"TMRS CITY OF FLORESVILLE"</f>
        <v>TMRS CITY OF FLORESVILLE</v>
      </c>
    </row>
    <row r="1941" spans="1:9" x14ac:dyDescent="0.25">
      <c r="A1941" s="6">
        <v>43858</v>
      </c>
      <c r="B1941" t="s">
        <v>91</v>
      </c>
      <c r="C1941">
        <v>63211</v>
      </c>
      <c r="D1941" t="s">
        <v>92</v>
      </c>
      <c r="E1941" s="7">
        <v>20717.650000000001</v>
      </c>
      <c r="F1941" t="s">
        <v>20</v>
      </c>
      <c r="G1941" t="s">
        <v>93</v>
      </c>
      <c r="H1941" t="str">
        <f>"CHECK"</f>
        <v>CHECK</v>
      </c>
      <c r="I1941" t="str">
        <f>""</f>
        <v/>
      </c>
    </row>
    <row r="1942" spans="1:9" x14ac:dyDescent="0.25">
      <c r="A1942" s="6">
        <v>43858</v>
      </c>
      <c r="B1942" t="s">
        <v>91</v>
      </c>
      <c r="C1942">
        <v>63213</v>
      </c>
      <c r="D1942" t="s">
        <v>95</v>
      </c>
      <c r="E1942" s="7">
        <v>29.99</v>
      </c>
      <c r="F1942" t="s">
        <v>20</v>
      </c>
      <c r="G1942" t="s">
        <v>21</v>
      </c>
      <c r="H1942" t="str">
        <f>"LEA202001288561"</f>
        <v>LEA202001288561</v>
      </c>
      <c r="I1942" t="str">
        <f>"INSURANCE"</f>
        <v>INSURANCE</v>
      </c>
    </row>
    <row r="1943" spans="1:9" x14ac:dyDescent="0.25">
      <c r="A1943" s="6">
        <v>43858</v>
      </c>
      <c r="B1943" t="s">
        <v>91</v>
      </c>
      <c r="C1943">
        <v>63213</v>
      </c>
      <c r="D1943" t="s">
        <v>95</v>
      </c>
      <c r="E1943" s="7">
        <v>29.99</v>
      </c>
      <c r="F1943" t="s">
        <v>20</v>
      </c>
      <c r="G1943" t="s">
        <v>93</v>
      </c>
      <c r="H1943" t="str">
        <f>"CHECK"</f>
        <v>CHECK</v>
      </c>
      <c r="I1943" t="str">
        <f>""</f>
        <v/>
      </c>
    </row>
    <row r="1944" spans="1:9" x14ac:dyDescent="0.25">
      <c r="A1944" s="6">
        <v>43858</v>
      </c>
      <c r="B1944" t="s">
        <v>91</v>
      </c>
      <c r="C1944">
        <v>63214</v>
      </c>
      <c r="D1944" t="s">
        <v>96</v>
      </c>
      <c r="E1944" s="7">
        <v>155.88</v>
      </c>
      <c r="F1944" t="s">
        <v>20</v>
      </c>
      <c r="G1944" t="s">
        <v>21</v>
      </c>
      <c r="H1944" t="str">
        <f>"PPL202001288561"</f>
        <v>PPL202001288561</v>
      </c>
      <c r="I1944" t="str">
        <f>"INSURANCE"</f>
        <v>INSURANCE</v>
      </c>
    </row>
    <row r="1945" spans="1:9" x14ac:dyDescent="0.25">
      <c r="A1945" s="6">
        <v>43858</v>
      </c>
      <c r="B1945" t="s">
        <v>91</v>
      </c>
      <c r="C1945">
        <v>63214</v>
      </c>
      <c r="D1945" t="s">
        <v>96</v>
      </c>
      <c r="E1945" s="7">
        <v>155.88</v>
      </c>
      <c r="F1945" t="s">
        <v>20</v>
      </c>
      <c r="G1945" t="s">
        <v>93</v>
      </c>
      <c r="H1945" t="str">
        <f>"CHECK"</f>
        <v>CHECK</v>
      </c>
      <c r="I1945" t="str">
        <f>""</f>
        <v/>
      </c>
    </row>
    <row r="1946" spans="1:9" x14ac:dyDescent="0.25">
      <c r="A1946" s="6">
        <v>43858</v>
      </c>
      <c r="B1946" t="s">
        <v>91</v>
      </c>
      <c r="C1946">
        <v>63215</v>
      </c>
      <c r="D1946" t="s">
        <v>97</v>
      </c>
      <c r="E1946" s="7">
        <v>37618.82</v>
      </c>
      <c r="F1946" t="s">
        <v>20</v>
      </c>
      <c r="G1946" t="s">
        <v>21</v>
      </c>
      <c r="H1946" t="str">
        <f>"DEN202001288561"</f>
        <v>DEN202001288561</v>
      </c>
      <c r="I1946" t="str">
        <f>"DENTAL INSURANCE"</f>
        <v>DENTAL INSURANCE</v>
      </c>
    </row>
    <row r="1947" spans="1:9" x14ac:dyDescent="0.25">
      <c r="E1947" s="7"/>
      <c r="F1947" t="s">
        <v>20</v>
      </c>
      <c r="G1947" t="s">
        <v>21</v>
      </c>
      <c r="H1947" t="str">
        <f>"MED202001288561"</f>
        <v>MED202001288561</v>
      </c>
      <c r="I1947" t="str">
        <f>"HEALTH &amp; DENTAL INSURANCE"</f>
        <v>HEALTH &amp; DENTAL INSURANCE</v>
      </c>
    </row>
    <row r="1948" spans="1:9" x14ac:dyDescent="0.25">
      <c r="A1948" s="6">
        <v>43858</v>
      </c>
      <c r="B1948" t="s">
        <v>91</v>
      </c>
      <c r="C1948">
        <v>63215</v>
      </c>
      <c r="D1948" t="s">
        <v>97</v>
      </c>
      <c r="E1948" s="7">
        <v>37618.82</v>
      </c>
      <c r="F1948" t="s">
        <v>20</v>
      </c>
      <c r="G1948" t="s">
        <v>93</v>
      </c>
      <c r="H1948" t="str">
        <f>"CHECK"</f>
        <v>CHECK</v>
      </c>
      <c r="I1948" t="str">
        <f>""</f>
        <v/>
      </c>
    </row>
    <row r="1949" spans="1:9" x14ac:dyDescent="0.25">
      <c r="A1949" s="6">
        <v>43858</v>
      </c>
      <c r="B1949" t="s">
        <v>91</v>
      </c>
      <c r="C1949">
        <v>63217</v>
      </c>
      <c r="D1949" t="s">
        <v>98</v>
      </c>
      <c r="E1949" s="7">
        <v>1975.82</v>
      </c>
      <c r="F1949" t="s">
        <v>20</v>
      </c>
      <c r="G1949" t="s">
        <v>21</v>
      </c>
      <c r="H1949" t="str">
        <f>"LIF202001288561"</f>
        <v>LIF202001288561</v>
      </c>
      <c r="I1949" t="str">
        <f>"INSURANCE"</f>
        <v>INSURANCE</v>
      </c>
    </row>
    <row r="1950" spans="1:9" x14ac:dyDescent="0.25">
      <c r="E1950" s="7"/>
      <c r="F1950" t="s">
        <v>20</v>
      </c>
      <c r="G1950" t="s">
        <v>21</v>
      </c>
      <c r="H1950" t="str">
        <f>"STD202001288561"</f>
        <v>STD202001288561</v>
      </c>
      <c r="I1950" t="str">
        <f>"SHORT TERM DISABILITY"</f>
        <v>SHORT TERM DISABILITY</v>
      </c>
    </row>
    <row r="1951" spans="1:9" x14ac:dyDescent="0.25">
      <c r="E1951" s="7"/>
      <c r="F1951" t="s">
        <v>20</v>
      </c>
      <c r="G1951" t="s">
        <v>21</v>
      </c>
      <c r="H1951" t="str">
        <f>"VIS202001288561"</f>
        <v>VIS202001288561</v>
      </c>
      <c r="I1951" t="str">
        <f>"VISION INSURANCE"</f>
        <v>VISION INSURANCE</v>
      </c>
    </row>
    <row r="1952" spans="1:9" x14ac:dyDescent="0.25">
      <c r="E1952" s="7"/>
      <c r="F1952" t="s">
        <v>20</v>
      </c>
      <c r="G1952" t="s">
        <v>21</v>
      </c>
      <c r="H1952" t="str">
        <f>"VLC202001288561"</f>
        <v>VLC202001288561</v>
      </c>
      <c r="I1952" t="str">
        <f>"CHILD LIFE INSURANCE"</f>
        <v>CHILD LIFE INSURANCE</v>
      </c>
    </row>
    <row r="1953" spans="1:9" x14ac:dyDescent="0.25">
      <c r="E1953" s="7"/>
      <c r="F1953" t="s">
        <v>20</v>
      </c>
      <c r="G1953" t="s">
        <v>21</v>
      </c>
      <c r="H1953" t="str">
        <f>"VLS202001288561"</f>
        <v>VLS202001288561</v>
      </c>
      <c r="I1953" t="str">
        <f>"SPOUSE LIFE"</f>
        <v>SPOUSE LIFE</v>
      </c>
    </row>
    <row r="1954" spans="1:9" x14ac:dyDescent="0.25">
      <c r="E1954" s="7"/>
      <c r="F1954" t="s">
        <v>20</v>
      </c>
      <c r="G1954" t="s">
        <v>21</v>
      </c>
      <c r="H1954" t="str">
        <f>"VOE202001288561"</f>
        <v>VOE202001288561</v>
      </c>
      <c r="I1954" t="str">
        <f>"EMPLOYEE LIFE"</f>
        <v>EMPLOYEE LIFE</v>
      </c>
    </row>
    <row r="1955" spans="1:9" x14ac:dyDescent="0.25">
      <c r="E1955" s="7"/>
      <c r="F1955" t="s">
        <v>20</v>
      </c>
      <c r="G1955" t="s">
        <v>21</v>
      </c>
      <c r="H1955" t="str">
        <f>"VOL202001288561"</f>
        <v>VOL202001288561</v>
      </c>
      <c r="I1955" t="str">
        <f>"LIFE"</f>
        <v>LIFE</v>
      </c>
    </row>
    <row r="1956" spans="1:9" x14ac:dyDescent="0.25">
      <c r="A1956" s="6">
        <v>43858</v>
      </c>
      <c r="B1956" t="s">
        <v>91</v>
      </c>
      <c r="C1956">
        <v>63217</v>
      </c>
      <c r="D1956" t="s">
        <v>98</v>
      </c>
      <c r="E1956" s="7">
        <v>1975.82</v>
      </c>
      <c r="F1956" t="s">
        <v>20</v>
      </c>
      <c r="G1956" t="s">
        <v>93</v>
      </c>
      <c r="H1956" t="str">
        <f>"CHECK"</f>
        <v>CHECK</v>
      </c>
      <c r="I1956" t="str">
        <f>""</f>
        <v/>
      </c>
    </row>
    <row r="1957" spans="1:9" x14ac:dyDescent="0.25">
      <c r="A1957" s="6">
        <v>43858</v>
      </c>
      <c r="B1957" t="s">
        <v>26</v>
      </c>
      <c r="C1957">
        <v>63222</v>
      </c>
      <c r="D1957" t="s">
        <v>208</v>
      </c>
      <c r="E1957" s="7">
        <v>10200</v>
      </c>
      <c r="F1957" t="s">
        <v>20</v>
      </c>
      <c r="G1957" t="s">
        <v>21</v>
      </c>
      <c r="H1957" t="str">
        <f>"426087-2"</f>
        <v>426087-2</v>
      </c>
      <c r="I1957" t="str">
        <f>"CARLOS ORTIZ"</f>
        <v>CARLOS ORTIZ</v>
      </c>
    </row>
    <row r="1958" spans="1:9" x14ac:dyDescent="0.25">
      <c r="A1958" s="6">
        <v>43859</v>
      </c>
      <c r="B1958" t="s">
        <v>26</v>
      </c>
      <c r="C1958">
        <v>63223</v>
      </c>
      <c r="D1958" t="s">
        <v>106</v>
      </c>
      <c r="E1958" s="7">
        <v>108</v>
      </c>
      <c r="F1958" t="s">
        <v>20</v>
      </c>
      <c r="G1958" t="s">
        <v>21</v>
      </c>
      <c r="H1958" t="str">
        <f>"4TH QRT"</f>
        <v>4TH QRT</v>
      </c>
      <c r="I1958" t="str">
        <f>"OMNIBASE SERVICES OF TEXAS"</f>
        <v>OMNIBASE SERVICES OF TEXAS</v>
      </c>
    </row>
    <row r="1959" spans="1:9" x14ac:dyDescent="0.25">
      <c r="A1959" s="6">
        <v>43859</v>
      </c>
      <c r="B1959" t="s">
        <v>91</v>
      </c>
      <c r="C1959">
        <v>63224</v>
      </c>
      <c r="D1959" t="s">
        <v>92</v>
      </c>
      <c r="E1959" s="7">
        <v>62983.64</v>
      </c>
      <c r="F1959" t="s">
        <v>20</v>
      </c>
      <c r="G1959" t="s">
        <v>21</v>
      </c>
      <c r="H1959" t="str">
        <f>"DEC.2020"</f>
        <v>DEC.2020</v>
      </c>
      <c r="I1959" t="str">
        <f>"TEXAS MUNICIPAL RETIREMENT SYS"</f>
        <v>TEXAS MUNICIPAL RETIREMENT SYS</v>
      </c>
    </row>
    <row r="1960" spans="1:9" x14ac:dyDescent="0.25">
      <c r="A1960" s="6">
        <v>43859</v>
      </c>
      <c r="B1960" t="s">
        <v>91</v>
      </c>
      <c r="C1960">
        <v>63224</v>
      </c>
      <c r="D1960" t="s">
        <v>92</v>
      </c>
      <c r="E1960" s="7">
        <v>62983.64</v>
      </c>
      <c r="F1960" t="s">
        <v>20</v>
      </c>
      <c r="G1960" t="s">
        <v>93</v>
      </c>
      <c r="H1960" t="str">
        <f>"CHECK"</f>
        <v>CHECK</v>
      </c>
      <c r="I1960" t="str">
        <f>""</f>
        <v/>
      </c>
    </row>
    <row r="1961" spans="1:9" x14ac:dyDescent="0.25">
      <c r="A1961" s="6">
        <v>43859</v>
      </c>
      <c r="B1961" t="s">
        <v>91</v>
      </c>
      <c r="C1961">
        <v>63225</v>
      </c>
      <c r="D1961" t="s">
        <v>114</v>
      </c>
      <c r="E1961" s="7">
        <v>34785.43</v>
      </c>
      <c r="F1961" t="s">
        <v>20</v>
      </c>
      <c r="G1961" t="s">
        <v>21</v>
      </c>
      <c r="H1961" t="str">
        <f>"4TH QRT REISSUE"</f>
        <v>4TH QRT REISSUE</v>
      </c>
      <c r="I1961" t="str">
        <f>"STATE COMPTROLLER"</f>
        <v>STATE COMPTROLLER</v>
      </c>
    </row>
    <row r="1962" spans="1:9" x14ac:dyDescent="0.25">
      <c r="A1962" s="6">
        <v>43859</v>
      </c>
      <c r="B1962" t="s">
        <v>91</v>
      </c>
      <c r="C1962">
        <v>63225</v>
      </c>
      <c r="D1962" t="s">
        <v>114</v>
      </c>
      <c r="E1962" s="7">
        <v>34785.43</v>
      </c>
      <c r="F1962" t="s">
        <v>20</v>
      </c>
      <c r="G1962" t="s">
        <v>93</v>
      </c>
      <c r="H1962" t="str">
        <f>"CHECK"</f>
        <v>CHECK</v>
      </c>
      <c r="I1962" t="str">
        <f>""</f>
        <v/>
      </c>
    </row>
    <row r="1963" spans="1:9" x14ac:dyDescent="0.25">
      <c r="A1963" s="6">
        <v>43859</v>
      </c>
      <c r="B1963" t="s">
        <v>26</v>
      </c>
      <c r="C1963">
        <v>63226</v>
      </c>
      <c r="D1963" t="s">
        <v>29</v>
      </c>
      <c r="E1963" s="7">
        <v>16536.3</v>
      </c>
      <c r="F1963" t="s">
        <v>20</v>
      </c>
      <c r="G1963" t="s">
        <v>21</v>
      </c>
      <c r="H1963" t="str">
        <f>"40858"</f>
        <v>40858</v>
      </c>
      <c r="I1963" t="str">
        <f t="shared" ref="I1963:I1971" si="34">"M &amp; S ENGINEERING  LLC"</f>
        <v>M &amp; S ENGINEERING  LLC</v>
      </c>
    </row>
    <row r="1964" spans="1:9" x14ac:dyDescent="0.25">
      <c r="E1964" s="7"/>
      <c r="F1964" t="s">
        <v>20</v>
      </c>
      <c r="G1964" t="s">
        <v>21</v>
      </c>
      <c r="H1964" t="str">
        <f>"40953"</f>
        <v>40953</v>
      </c>
      <c r="I1964" t="str">
        <f t="shared" si="34"/>
        <v>M &amp; S ENGINEERING  LLC</v>
      </c>
    </row>
    <row r="1965" spans="1:9" x14ac:dyDescent="0.25">
      <c r="E1965" s="7"/>
      <c r="F1965" t="s">
        <v>20</v>
      </c>
      <c r="G1965" t="s">
        <v>21</v>
      </c>
      <c r="H1965" t="str">
        <f>"40955"</f>
        <v>40955</v>
      </c>
      <c r="I1965" t="str">
        <f t="shared" si="34"/>
        <v>M &amp; S ENGINEERING  LLC</v>
      </c>
    </row>
    <row r="1966" spans="1:9" x14ac:dyDescent="0.25">
      <c r="E1966" s="7"/>
      <c r="F1966" t="s">
        <v>20</v>
      </c>
      <c r="G1966" t="s">
        <v>21</v>
      </c>
      <c r="H1966" t="str">
        <f>"41071"</f>
        <v>41071</v>
      </c>
      <c r="I1966" t="str">
        <f t="shared" si="34"/>
        <v>M &amp; S ENGINEERING  LLC</v>
      </c>
    </row>
    <row r="1967" spans="1:9" x14ac:dyDescent="0.25">
      <c r="E1967" s="7"/>
      <c r="F1967" t="s">
        <v>20</v>
      </c>
      <c r="G1967" t="s">
        <v>21</v>
      </c>
      <c r="H1967" t="str">
        <f>"41418"</f>
        <v>41418</v>
      </c>
      <c r="I1967" t="str">
        <f t="shared" si="34"/>
        <v>M &amp; S ENGINEERING  LLC</v>
      </c>
    </row>
    <row r="1968" spans="1:9" x14ac:dyDescent="0.25">
      <c r="E1968" s="7"/>
      <c r="F1968" t="s">
        <v>20</v>
      </c>
      <c r="G1968" t="s">
        <v>21</v>
      </c>
      <c r="H1968" t="str">
        <f>"41456"</f>
        <v>41456</v>
      </c>
      <c r="I1968" t="str">
        <f t="shared" si="34"/>
        <v>M &amp; S ENGINEERING  LLC</v>
      </c>
    </row>
    <row r="1969" spans="1:9" x14ac:dyDescent="0.25">
      <c r="E1969" s="7"/>
      <c r="F1969" t="s">
        <v>20</v>
      </c>
      <c r="G1969" t="s">
        <v>21</v>
      </c>
      <c r="H1969" t="str">
        <f>"41457"</f>
        <v>41457</v>
      </c>
      <c r="I1969" t="str">
        <f t="shared" si="34"/>
        <v>M &amp; S ENGINEERING  LLC</v>
      </c>
    </row>
    <row r="1970" spans="1:9" x14ac:dyDescent="0.25">
      <c r="E1970" s="7"/>
      <c r="F1970" t="s">
        <v>20</v>
      </c>
      <c r="G1970" t="s">
        <v>21</v>
      </c>
      <c r="H1970" t="str">
        <f>"41844"</f>
        <v>41844</v>
      </c>
      <c r="I1970" t="str">
        <f t="shared" si="34"/>
        <v>M &amp; S ENGINEERING  LLC</v>
      </c>
    </row>
    <row r="1971" spans="1:9" x14ac:dyDescent="0.25">
      <c r="E1971" s="7"/>
      <c r="F1971" t="s">
        <v>20</v>
      </c>
      <c r="G1971" t="s">
        <v>21</v>
      </c>
      <c r="H1971" t="str">
        <f>"41848"</f>
        <v>41848</v>
      </c>
      <c r="I1971" t="str">
        <f t="shared" si="34"/>
        <v>M &amp; S ENGINEERING  LLC</v>
      </c>
    </row>
    <row r="1972" spans="1:9" x14ac:dyDescent="0.25">
      <c r="A1972" s="6">
        <v>43859</v>
      </c>
      <c r="B1972" t="s">
        <v>26</v>
      </c>
      <c r="C1972">
        <v>63228</v>
      </c>
      <c r="D1972" t="s">
        <v>157</v>
      </c>
      <c r="E1972" s="7">
        <v>630</v>
      </c>
      <c r="F1972" t="s">
        <v>20</v>
      </c>
      <c r="G1972" t="s">
        <v>21</v>
      </c>
      <c r="H1972" t="str">
        <f>"1/29/2020"</f>
        <v>1/29/2020</v>
      </c>
      <c r="I1972" t="str">
        <f>"GLAZIERS"</f>
        <v>GLAZIERS</v>
      </c>
    </row>
    <row r="1973" spans="1:9" x14ac:dyDescent="0.25">
      <c r="A1973" s="6">
        <v>43859</v>
      </c>
      <c r="B1973" t="s">
        <v>26</v>
      </c>
      <c r="C1973">
        <v>63229</v>
      </c>
      <c r="D1973" t="s">
        <v>81</v>
      </c>
      <c r="E1973" s="7">
        <v>227.01</v>
      </c>
      <c r="F1973" t="s">
        <v>20</v>
      </c>
      <c r="G1973" t="s">
        <v>21</v>
      </c>
      <c r="H1973" t="str">
        <f>"A.MARTINEZ 1/29/20"</f>
        <v>A.MARTINEZ 1/29/20</v>
      </c>
      <c r="I1973" t="str">
        <f>"CITY OF FLORESVILLE -PETTY CAS"</f>
        <v>CITY OF FLORESVILLE -PETTY CAS</v>
      </c>
    </row>
    <row r="1974" spans="1:9" x14ac:dyDescent="0.25">
      <c r="A1974" s="6">
        <v>43859</v>
      </c>
      <c r="B1974" t="s">
        <v>26</v>
      </c>
      <c r="C1974">
        <v>63230</v>
      </c>
      <c r="D1974" t="s">
        <v>85</v>
      </c>
      <c r="E1974" s="7">
        <v>1836.52</v>
      </c>
      <c r="F1974" t="s">
        <v>20</v>
      </c>
      <c r="G1974" t="s">
        <v>21</v>
      </c>
      <c r="H1974" t="str">
        <f>"3932056 JAN.2020"</f>
        <v>3932056 JAN.2020</v>
      </c>
      <c r="I1974" t="str">
        <f t="shared" ref="I1974:I1980" si="35">"FRONTIER"</f>
        <v>FRONTIER</v>
      </c>
    </row>
    <row r="1975" spans="1:9" x14ac:dyDescent="0.25">
      <c r="E1975" s="7"/>
      <c r="F1975" t="s">
        <v>20</v>
      </c>
      <c r="G1975" t="s">
        <v>21</v>
      </c>
      <c r="H1975" t="str">
        <f>"3932804 JAN.2020"</f>
        <v>3932804 JAN.2020</v>
      </c>
      <c r="I1975" t="str">
        <f t="shared" si="35"/>
        <v>FRONTIER</v>
      </c>
    </row>
    <row r="1976" spans="1:9" x14ac:dyDescent="0.25">
      <c r="E1976" s="7"/>
      <c r="F1976" t="s">
        <v>20</v>
      </c>
      <c r="G1976" t="s">
        <v>21</v>
      </c>
      <c r="H1976" t="str">
        <f>"3933105 JAN.2020"</f>
        <v>3933105 JAN.2020</v>
      </c>
      <c r="I1976" t="str">
        <f t="shared" si="35"/>
        <v>FRONTIER</v>
      </c>
    </row>
    <row r="1977" spans="1:9" x14ac:dyDescent="0.25">
      <c r="E1977" s="7"/>
      <c r="F1977" t="s">
        <v>20</v>
      </c>
      <c r="G1977" t="s">
        <v>21</v>
      </c>
      <c r="H1977" t="str">
        <f>"3933186 JAN.2020"</f>
        <v>3933186 JAN.2020</v>
      </c>
      <c r="I1977" t="str">
        <f t="shared" si="35"/>
        <v>FRONTIER</v>
      </c>
    </row>
    <row r="1978" spans="1:9" x14ac:dyDescent="0.25">
      <c r="E1978" s="7"/>
      <c r="F1978" t="s">
        <v>20</v>
      </c>
      <c r="G1978" t="s">
        <v>21</v>
      </c>
      <c r="H1978" t="str">
        <f>"3936616 JAN.2020"</f>
        <v>3936616 JAN.2020</v>
      </c>
      <c r="I1978" t="str">
        <f t="shared" si="35"/>
        <v>FRONTIER</v>
      </c>
    </row>
    <row r="1979" spans="1:9" x14ac:dyDescent="0.25">
      <c r="E1979" s="7"/>
      <c r="F1979" t="s">
        <v>20</v>
      </c>
      <c r="G1979" t="s">
        <v>21</v>
      </c>
      <c r="H1979" t="str">
        <f>"3936794 JAN.2020"</f>
        <v>3936794 JAN.2020</v>
      </c>
      <c r="I1979" t="str">
        <f t="shared" si="35"/>
        <v>FRONTIER</v>
      </c>
    </row>
    <row r="1980" spans="1:9" x14ac:dyDescent="0.25">
      <c r="E1980" s="7"/>
      <c r="F1980" t="s">
        <v>20</v>
      </c>
      <c r="G1980" t="s">
        <v>21</v>
      </c>
      <c r="H1980" t="str">
        <f>"3939456 JAN.2020"</f>
        <v>3939456 JAN.2020</v>
      </c>
      <c r="I1980" t="str">
        <f t="shared" si="35"/>
        <v>FRONTIER</v>
      </c>
    </row>
    <row r="1981" spans="1:9" x14ac:dyDescent="0.25">
      <c r="A1981" s="6">
        <v>43859</v>
      </c>
      <c r="B1981" t="s">
        <v>26</v>
      </c>
      <c r="C1981">
        <v>63232</v>
      </c>
      <c r="D1981" t="s">
        <v>345</v>
      </c>
      <c r="E1981" s="7">
        <v>264</v>
      </c>
      <c r="F1981" t="s">
        <v>20</v>
      </c>
      <c r="G1981" t="s">
        <v>21</v>
      </c>
      <c r="H1981" t="str">
        <f>"1/27/2020"</f>
        <v>1/27/2020</v>
      </c>
      <c r="I1981" t="str">
        <f>"MICHAEL ISAAC MARTINEZ"</f>
        <v>MICHAEL ISAAC MARTINEZ</v>
      </c>
    </row>
    <row r="1982" spans="1:9" x14ac:dyDescent="0.25">
      <c r="A1982" s="6">
        <v>43859</v>
      </c>
      <c r="B1982" t="s">
        <v>26</v>
      </c>
      <c r="C1982">
        <v>63233</v>
      </c>
      <c r="D1982" t="s">
        <v>452</v>
      </c>
      <c r="E1982" s="7">
        <v>130</v>
      </c>
      <c r="F1982" t="s">
        <v>20</v>
      </c>
      <c r="G1982" t="s">
        <v>21</v>
      </c>
      <c r="H1982" t="str">
        <f>"1/25/2020"</f>
        <v>1/25/2020</v>
      </c>
      <c r="I1982" t="str">
        <f>"DESIREE PEREZ"</f>
        <v>DESIREE PEREZ</v>
      </c>
    </row>
    <row r="1983" spans="1:9" x14ac:dyDescent="0.25">
      <c r="A1983" s="6">
        <v>43859</v>
      </c>
      <c r="B1983" t="s">
        <v>26</v>
      </c>
      <c r="C1983">
        <v>63234</v>
      </c>
      <c r="D1983" t="s">
        <v>48</v>
      </c>
      <c r="E1983" s="7">
        <v>2908.8</v>
      </c>
      <c r="F1983" t="s">
        <v>20</v>
      </c>
      <c r="G1983" t="s">
        <v>21</v>
      </c>
      <c r="H1983" t="str">
        <f>"1775"</f>
        <v>1775</v>
      </c>
      <c r="I1983" t="str">
        <f>"RANDY HOLLAR  LLC"</f>
        <v>RANDY HOLLAR  LLC</v>
      </c>
    </row>
    <row r="1984" spans="1:9" x14ac:dyDescent="0.25">
      <c r="A1984" s="6">
        <v>43859</v>
      </c>
      <c r="B1984" t="s">
        <v>26</v>
      </c>
      <c r="C1984">
        <v>63235</v>
      </c>
      <c r="D1984" t="s">
        <v>644</v>
      </c>
      <c r="E1984" s="7">
        <v>316.10000000000002</v>
      </c>
      <c r="F1984" t="s">
        <v>20</v>
      </c>
      <c r="G1984" t="s">
        <v>21</v>
      </c>
      <c r="H1984" t="str">
        <f>"8213387245"</f>
        <v>8213387245</v>
      </c>
      <c r="I1984" t="str">
        <f>"UNIFIRST CORPORATION"</f>
        <v>UNIFIRST CORPORATION</v>
      </c>
    </row>
    <row r="1985" spans="1:9" x14ac:dyDescent="0.25">
      <c r="E1985" s="7"/>
      <c r="F1985" t="s">
        <v>20</v>
      </c>
      <c r="G1985" t="s">
        <v>21</v>
      </c>
      <c r="H1985" t="str">
        <f>"8213390115"</f>
        <v>8213390115</v>
      </c>
      <c r="I1985" t="str">
        <f>"UNIFIRST CORPORATION"</f>
        <v>UNIFIRST CORPORATION</v>
      </c>
    </row>
    <row r="1986" spans="1:9" x14ac:dyDescent="0.25">
      <c r="E1986" s="7"/>
      <c r="F1986" t="s">
        <v>20</v>
      </c>
      <c r="G1986" t="s">
        <v>21</v>
      </c>
      <c r="H1986" t="str">
        <f>"8213390116"</f>
        <v>8213390116</v>
      </c>
      <c r="I1986" t="str">
        <f>"UNIFIRST CORPORATION"</f>
        <v>UNIFIRST CORPORATION</v>
      </c>
    </row>
    <row r="1987" spans="1:9" x14ac:dyDescent="0.25">
      <c r="E1987" s="7"/>
      <c r="F1987" t="s">
        <v>20</v>
      </c>
      <c r="G1987" t="s">
        <v>21</v>
      </c>
      <c r="H1987" t="str">
        <f>"8213390117"</f>
        <v>8213390117</v>
      </c>
      <c r="I1987" t="str">
        <f>"UNIFIRST CORPORATION"</f>
        <v>UNIFIRST CORPORATION</v>
      </c>
    </row>
    <row r="1988" spans="1:9" x14ac:dyDescent="0.25">
      <c r="E1988" s="7"/>
      <c r="F1988" t="s">
        <v>20</v>
      </c>
      <c r="G1988" t="s">
        <v>21</v>
      </c>
      <c r="H1988" t="str">
        <f>"8213390118"</f>
        <v>8213390118</v>
      </c>
      <c r="I1988" t="str">
        <f>"UNIFIRST CORPORATION"</f>
        <v>UNIFIRST CORPORATION</v>
      </c>
    </row>
    <row r="1989" spans="1:9" x14ac:dyDescent="0.25">
      <c r="A1989" s="6">
        <v>43859</v>
      </c>
      <c r="B1989" t="s">
        <v>26</v>
      </c>
      <c r="C1989">
        <v>63236</v>
      </c>
      <c r="D1989" t="s">
        <v>696</v>
      </c>
      <c r="E1989" s="7">
        <v>125</v>
      </c>
      <c r="F1989" t="s">
        <v>20</v>
      </c>
      <c r="G1989" t="s">
        <v>21</v>
      </c>
      <c r="H1989" t="str">
        <f>"1/25/2020"</f>
        <v>1/25/2020</v>
      </c>
      <c r="I1989" t="str">
        <f>"ANGEL G. ROSAS"</f>
        <v>ANGEL G. ROSAS</v>
      </c>
    </row>
    <row r="1990" spans="1:9" x14ac:dyDescent="0.25">
      <c r="A1990" s="6">
        <v>43859</v>
      </c>
      <c r="B1990" t="s">
        <v>26</v>
      </c>
      <c r="C1990">
        <v>63237</v>
      </c>
      <c r="D1990" t="s">
        <v>752</v>
      </c>
      <c r="E1990" s="7">
        <v>125</v>
      </c>
      <c r="F1990" t="s">
        <v>20</v>
      </c>
      <c r="G1990" t="s">
        <v>21</v>
      </c>
      <c r="H1990" t="str">
        <f>"1/25/2020"</f>
        <v>1/25/2020</v>
      </c>
      <c r="I1990" t="str">
        <f>"BLANCA PEREZ"</f>
        <v>BLANCA PEREZ</v>
      </c>
    </row>
    <row r="1991" spans="1:9" x14ac:dyDescent="0.25">
      <c r="A1991" s="6">
        <v>43859</v>
      </c>
      <c r="B1991" t="s">
        <v>26</v>
      </c>
      <c r="C1991">
        <v>63238</v>
      </c>
      <c r="D1991" t="s">
        <v>868</v>
      </c>
      <c r="E1991" s="7">
        <v>4230</v>
      </c>
      <c r="F1991" t="s">
        <v>20</v>
      </c>
      <c r="G1991" t="s">
        <v>21</v>
      </c>
      <c r="H1991" t="str">
        <f>"CC19037-1*2"</f>
        <v>CC19037-1*2</v>
      </c>
      <c r="I1991" t="str">
        <f>"GONZALEZ-DE LA GARZA &amp; ASSOCIA"</f>
        <v>GONZALEZ-DE LA GARZA &amp; ASSOCIA</v>
      </c>
    </row>
    <row r="1992" spans="1:9" x14ac:dyDescent="0.25">
      <c r="A1992" s="6">
        <v>43859</v>
      </c>
      <c r="B1992" t="s">
        <v>26</v>
      </c>
      <c r="C1992">
        <v>63239</v>
      </c>
      <c r="D1992" t="s">
        <v>824</v>
      </c>
      <c r="E1992" s="7">
        <v>125</v>
      </c>
      <c r="F1992" t="s">
        <v>20</v>
      </c>
      <c r="G1992" t="s">
        <v>21</v>
      </c>
      <c r="H1992" t="str">
        <f>"1/25/2020"</f>
        <v>1/25/2020</v>
      </c>
      <c r="I1992" t="str">
        <f>"MALLORY R. NELSON"</f>
        <v>MALLORY R. NELSON</v>
      </c>
    </row>
    <row r="1993" spans="1:9" x14ac:dyDescent="0.25">
      <c r="A1993" s="6">
        <v>43859</v>
      </c>
      <c r="B1993" t="s">
        <v>26</v>
      </c>
      <c r="C1993">
        <v>63240</v>
      </c>
      <c r="D1993" t="s">
        <v>860</v>
      </c>
      <c r="E1993" s="7">
        <v>125</v>
      </c>
      <c r="F1993" t="s">
        <v>20</v>
      </c>
      <c r="G1993" t="s">
        <v>21</v>
      </c>
      <c r="H1993" t="str">
        <f>"19- HOL. EXTRA '19"</f>
        <v>19- HOL. EXTRA '19</v>
      </c>
      <c r="I1993" t="str">
        <f>"VICKY CORTEZ"</f>
        <v>VICKY CORTEZ</v>
      </c>
    </row>
    <row r="1994" spans="1:9" x14ac:dyDescent="0.25">
      <c r="A1994" s="6">
        <v>43859</v>
      </c>
      <c r="B1994" t="s">
        <v>26</v>
      </c>
      <c r="C1994">
        <v>63241</v>
      </c>
      <c r="D1994" t="s">
        <v>81</v>
      </c>
      <c r="E1994" s="7">
        <v>162.47</v>
      </c>
      <c r="F1994" t="s">
        <v>20</v>
      </c>
      <c r="G1994" t="s">
        <v>21</v>
      </c>
      <c r="H1994" t="str">
        <f>"A.MONTOYA"</f>
        <v>A.MONTOYA</v>
      </c>
      <c r="I1994" t="str">
        <f>"CITY OF FLORESVILLE -PETTY CAS"</f>
        <v>CITY OF FLORESVILLE -PETTY CAS</v>
      </c>
    </row>
    <row r="1995" spans="1:9" x14ac:dyDescent="0.25">
      <c r="A1995" s="6">
        <v>43860</v>
      </c>
      <c r="B1995" t="s">
        <v>26</v>
      </c>
      <c r="C1995">
        <v>63242</v>
      </c>
      <c r="D1995" t="s">
        <v>103</v>
      </c>
      <c r="E1995" s="7">
        <v>74662.05</v>
      </c>
      <c r="F1995" t="s">
        <v>20</v>
      </c>
      <c r="G1995" t="s">
        <v>21</v>
      </c>
      <c r="H1995" t="str">
        <f>"JAN. SALES TAX"</f>
        <v>JAN. SALES TAX</v>
      </c>
      <c r="I1995" t="str">
        <f>"F. E. D. C."</f>
        <v>F. E. D. C.</v>
      </c>
    </row>
    <row r="1996" spans="1:9" x14ac:dyDescent="0.25">
      <c r="A1996" s="6">
        <v>43861</v>
      </c>
      <c r="B1996" t="s">
        <v>26</v>
      </c>
      <c r="C1996">
        <v>63243</v>
      </c>
      <c r="D1996" t="s">
        <v>205</v>
      </c>
      <c r="E1996" s="7">
        <v>860</v>
      </c>
      <c r="F1996" t="s">
        <v>20</v>
      </c>
      <c r="G1996" t="s">
        <v>21</v>
      </c>
      <c r="H1996" t="str">
        <f>"1/31/2020"</f>
        <v>1/31/2020</v>
      </c>
      <c r="I1996" t="str">
        <f>"SILVER EAGLE DISTRIBUTORS"</f>
        <v>SILVER EAGLE DISTRIBUTORS</v>
      </c>
    </row>
    <row r="1997" spans="1:9" x14ac:dyDescent="0.25">
      <c r="A1997" s="6">
        <v>43867</v>
      </c>
      <c r="B1997" t="s">
        <v>26</v>
      </c>
      <c r="C1997">
        <v>63244</v>
      </c>
      <c r="D1997" t="s">
        <v>57</v>
      </c>
      <c r="E1997" s="7">
        <v>23557.25</v>
      </c>
      <c r="F1997" t="s">
        <v>20</v>
      </c>
      <c r="G1997" t="s">
        <v>21</v>
      </c>
      <c r="H1997" t="str">
        <f>"11617 JANUARY 2020"</f>
        <v>11617 JANUARY 2020</v>
      </c>
      <c r="I1997" t="str">
        <f>"F.E.L.P.S."</f>
        <v>F.E.L.P.S.</v>
      </c>
    </row>
    <row r="1998" spans="1:9" x14ac:dyDescent="0.25">
      <c r="A1998" s="6">
        <v>43867</v>
      </c>
      <c r="B1998" t="s">
        <v>26</v>
      </c>
      <c r="C1998">
        <v>63245</v>
      </c>
      <c r="D1998" t="s">
        <v>143</v>
      </c>
      <c r="E1998" s="7">
        <v>453.4</v>
      </c>
      <c r="F1998" t="s">
        <v>20</v>
      </c>
      <c r="G1998" t="s">
        <v>21</v>
      </c>
      <c r="H1998" t="str">
        <f>"9402189748"</f>
        <v>9402189748</v>
      </c>
      <c r="I1998" t="str">
        <f>"OIL FOR THE STREETS DEPT"</f>
        <v>OIL FOR THE STREETS DEPT</v>
      </c>
    </row>
    <row r="1999" spans="1:9" x14ac:dyDescent="0.25">
      <c r="A1999" s="6">
        <v>43867</v>
      </c>
      <c r="B1999" t="s">
        <v>26</v>
      </c>
      <c r="C1999">
        <v>63246</v>
      </c>
      <c r="D1999" t="s">
        <v>59</v>
      </c>
      <c r="E1999" s="7">
        <v>3909.47</v>
      </c>
      <c r="F1999" t="s">
        <v>20</v>
      </c>
      <c r="G1999" t="s">
        <v>21</v>
      </c>
      <c r="H1999" t="str">
        <f>"1044864-3"</f>
        <v>1044864-3</v>
      </c>
      <c r="I1999" t="str">
        <f>"FERGUSON WATERWORKS - MUNICIPA"</f>
        <v>FERGUSON WATERWORKS - MUNICIPA</v>
      </c>
    </row>
    <row r="2000" spans="1:9" x14ac:dyDescent="0.25">
      <c r="E2000" s="7"/>
      <c r="F2000" t="s">
        <v>20</v>
      </c>
      <c r="G2000" t="s">
        <v>21</v>
      </c>
      <c r="H2000" t="str">
        <f>"1049892"</f>
        <v>1049892</v>
      </c>
      <c r="I2000" t="str">
        <f>"HYDRANT AND MISC STOCK"</f>
        <v>HYDRANT AND MISC STOCK</v>
      </c>
    </row>
    <row r="2001" spans="1:9" x14ac:dyDescent="0.25">
      <c r="E2001" s="7"/>
      <c r="F2001" t="s">
        <v>20</v>
      </c>
      <c r="G2001" t="s">
        <v>21</v>
      </c>
      <c r="H2001" t="str">
        <f>"1050132"</f>
        <v>1050132</v>
      </c>
      <c r="I2001" t="str">
        <f>"MISC STOCK"</f>
        <v>MISC STOCK</v>
      </c>
    </row>
    <row r="2002" spans="1:9" x14ac:dyDescent="0.25">
      <c r="E2002" s="7"/>
      <c r="F2002" t="s">
        <v>20</v>
      </c>
      <c r="G2002" t="s">
        <v>21</v>
      </c>
      <c r="H2002" t="str">
        <f>"1050732"</f>
        <v>1050732</v>
      </c>
      <c r="I2002" t="str">
        <f>"EMERGENCY WATER WORK"</f>
        <v>EMERGENCY WATER WORK</v>
      </c>
    </row>
    <row r="2003" spans="1:9" x14ac:dyDescent="0.25">
      <c r="A2003" s="6">
        <v>43867</v>
      </c>
      <c r="B2003" t="s">
        <v>26</v>
      </c>
      <c r="C2003">
        <v>63249</v>
      </c>
      <c r="D2003" t="s">
        <v>105</v>
      </c>
      <c r="E2003" s="7">
        <v>126</v>
      </c>
      <c r="F2003" t="s">
        <v>20</v>
      </c>
      <c r="G2003" t="s">
        <v>21</v>
      </c>
      <c r="H2003" t="str">
        <f>"339795"</f>
        <v>339795</v>
      </c>
      <c r="I2003" t="str">
        <f t="shared" ref="I2003:I2012" si="36">"STATE INPECTIONS"</f>
        <v>STATE INPECTIONS</v>
      </c>
    </row>
    <row r="2004" spans="1:9" x14ac:dyDescent="0.25">
      <c r="E2004" s="7"/>
      <c r="F2004" t="s">
        <v>20</v>
      </c>
      <c r="G2004" t="s">
        <v>21</v>
      </c>
      <c r="H2004" t="str">
        <f>"339797"</f>
        <v>339797</v>
      </c>
      <c r="I2004" t="str">
        <f t="shared" si="36"/>
        <v>STATE INPECTIONS</v>
      </c>
    </row>
    <row r="2005" spans="1:9" x14ac:dyDescent="0.25">
      <c r="E2005" s="7"/>
      <c r="F2005" t="s">
        <v>20</v>
      </c>
      <c r="G2005" t="s">
        <v>21</v>
      </c>
      <c r="H2005" t="str">
        <f>"339799"</f>
        <v>339799</v>
      </c>
      <c r="I2005" t="str">
        <f t="shared" si="36"/>
        <v>STATE INPECTIONS</v>
      </c>
    </row>
    <row r="2006" spans="1:9" x14ac:dyDescent="0.25">
      <c r="E2006" s="7"/>
      <c r="F2006" t="s">
        <v>20</v>
      </c>
      <c r="G2006" t="s">
        <v>21</v>
      </c>
      <c r="H2006" t="str">
        <f>"339806"</f>
        <v>339806</v>
      </c>
      <c r="I2006" t="str">
        <f t="shared" si="36"/>
        <v>STATE INPECTIONS</v>
      </c>
    </row>
    <row r="2007" spans="1:9" x14ac:dyDescent="0.25">
      <c r="E2007" s="7"/>
      <c r="F2007" t="s">
        <v>20</v>
      </c>
      <c r="G2007" t="s">
        <v>21</v>
      </c>
      <c r="H2007" t="str">
        <f>"339809"</f>
        <v>339809</v>
      </c>
      <c r="I2007" t="str">
        <f t="shared" si="36"/>
        <v>STATE INPECTIONS</v>
      </c>
    </row>
    <row r="2008" spans="1:9" x14ac:dyDescent="0.25">
      <c r="E2008" s="7"/>
      <c r="F2008" t="s">
        <v>20</v>
      </c>
      <c r="G2008" t="s">
        <v>21</v>
      </c>
      <c r="H2008" t="str">
        <f>"339816"</f>
        <v>339816</v>
      </c>
      <c r="I2008" t="str">
        <f t="shared" si="36"/>
        <v>STATE INPECTIONS</v>
      </c>
    </row>
    <row r="2009" spans="1:9" x14ac:dyDescent="0.25">
      <c r="E2009" s="7"/>
      <c r="F2009" t="s">
        <v>20</v>
      </c>
      <c r="G2009" t="s">
        <v>21</v>
      </c>
      <c r="H2009" t="str">
        <f>"340156"</f>
        <v>340156</v>
      </c>
      <c r="I2009" t="str">
        <f t="shared" si="36"/>
        <v>STATE INPECTIONS</v>
      </c>
    </row>
    <row r="2010" spans="1:9" x14ac:dyDescent="0.25">
      <c r="E2010" s="7"/>
      <c r="F2010" t="s">
        <v>20</v>
      </c>
      <c r="G2010" t="s">
        <v>21</v>
      </c>
      <c r="H2010" t="str">
        <f>"340161"</f>
        <v>340161</v>
      </c>
      <c r="I2010" t="str">
        <f t="shared" si="36"/>
        <v>STATE INPECTIONS</v>
      </c>
    </row>
    <row r="2011" spans="1:9" x14ac:dyDescent="0.25">
      <c r="E2011" s="7"/>
      <c r="F2011" t="s">
        <v>20</v>
      </c>
      <c r="G2011" t="s">
        <v>21</v>
      </c>
      <c r="H2011" t="str">
        <f>"340332"</f>
        <v>340332</v>
      </c>
      <c r="I2011" t="str">
        <f t="shared" si="36"/>
        <v>STATE INPECTIONS</v>
      </c>
    </row>
    <row r="2012" spans="1:9" x14ac:dyDescent="0.25">
      <c r="E2012" s="7"/>
      <c r="F2012" t="s">
        <v>20</v>
      </c>
      <c r="G2012" t="s">
        <v>21</v>
      </c>
      <c r="H2012" t="str">
        <f>"340339"</f>
        <v>340339</v>
      </c>
      <c r="I2012" t="str">
        <f t="shared" si="36"/>
        <v>STATE INPECTIONS</v>
      </c>
    </row>
    <row r="2013" spans="1:9" x14ac:dyDescent="0.25">
      <c r="E2013" s="7"/>
      <c r="F2013" t="s">
        <v>20</v>
      </c>
      <c r="G2013" t="s">
        <v>21</v>
      </c>
      <c r="H2013" t="str">
        <f>"345812"</f>
        <v>345812</v>
      </c>
      <c r="I2013" t="str">
        <f t="shared" ref="I2013:I2020" si="37">"INSPECTION STICKERS"</f>
        <v>INSPECTION STICKERS</v>
      </c>
    </row>
    <row r="2014" spans="1:9" x14ac:dyDescent="0.25">
      <c r="E2014" s="7"/>
      <c r="F2014" t="s">
        <v>20</v>
      </c>
      <c r="G2014" t="s">
        <v>21</v>
      </c>
      <c r="H2014" t="str">
        <f>"345816"</f>
        <v>345816</v>
      </c>
      <c r="I2014" t="str">
        <f t="shared" si="37"/>
        <v>INSPECTION STICKERS</v>
      </c>
    </row>
    <row r="2015" spans="1:9" x14ac:dyDescent="0.25">
      <c r="E2015" s="7"/>
      <c r="F2015" t="s">
        <v>20</v>
      </c>
      <c r="G2015" t="s">
        <v>21</v>
      </c>
      <c r="H2015" t="str">
        <f>"345847"</f>
        <v>345847</v>
      </c>
      <c r="I2015" t="str">
        <f t="shared" si="37"/>
        <v>INSPECTION STICKERS</v>
      </c>
    </row>
    <row r="2016" spans="1:9" x14ac:dyDescent="0.25">
      <c r="E2016" s="7"/>
      <c r="F2016" t="s">
        <v>20</v>
      </c>
      <c r="G2016" t="s">
        <v>21</v>
      </c>
      <c r="H2016" t="str">
        <f>"345849"</f>
        <v>345849</v>
      </c>
      <c r="I2016" t="str">
        <f t="shared" si="37"/>
        <v>INSPECTION STICKERS</v>
      </c>
    </row>
    <row r="2017" spans="1:9" x14ac:dyDescent="0.25">
      <c r="E2017" s="7"/>
      <c r="F2017" t="s">
        <v>20</v>
      </c>
      <c r="G2017" t="s">
        <v>21</v>
      </c>
      <c r="H2017" t="str">
        <f>"345850"</f>
        <v>345850</v>
      </c>
      <c r="I2017" t="str">
        <f t="shared" si="37"/>
        <v>INSPECTION STICKERS</v>
      </c>
    </row>
    <row r="2018" spans="1:9" x14ac:dyDescent="0.25">
      <c r="E2018" s="7"/>
      <c r="F2018" t="s">
        <v>20</v>
      </c>
      <c r="G2018" t="s">
        <v>21</v>
      </c>
      <c r="H2018" t="str">
        <f>"345858"</f>
        <v>345858</v>
      </c>
      <c r="I2018" t="str">
        <f t="shared" si="37"/>
        <v>INSPECTION STICKERS</v>
      </c>
    </row>
    <row r="2019" spans="1:9" x14ac:dyDescent="0.25">
      <c r="E2019" s="7"/>
      <c r="F2019" t="s">
        <v>20</v>
      </c>
      <c r="G2019" t="s">
        <v>21</v>
      </c>
      <c r="H2019" t="str">
        <f>"345869"</f>
        <v>345869</v>
      </c>
      <c r="I2019" t="str">
        <f t="shared" si="37"/>
        <v>INSPECTION STICKERS</v>
      </c>
    </row>
    <row r="2020" spans="1:9" x14ac:dyDescent="0.25">
      <c r="E2020" s="7"/>
      <c r="F2020" t="s">
        <v>20</v>
      </c>
      <c r="G2020" t="s">
        <v>21</v>
      </c>
      <c r="H2020" t="str">
        <f>"346037"</f>
        <v>346037</v>
      </c>
      <c r="I2020" t="str">
        <f t="shared" si="37"/>
        <v>INSPECTION STICKERS</v>
      </c>
    </row>
    <row r="2021" spans="1:9" x14ac:dyDescent="0.25">
      <c r="A2021" s="6">
        <v>43867</v>
      </c>
      <c r="B2021" t="s">
        <v>26</v>
      </c>
      <c r="C2021">
        <v>63252</v>
      </c>
      <c r="D2021" t="s">
        <v>60</v>
      </c>
      <c r="E2021" s="7">
        <v>351.54</v>
      </c>
      <c r="F2021" t="s">
        <v>20</v>
      </c>
      <c r="G2021" t="s">
        <v>21</v>
      </c>
      <c r="H2021" t="str">
        <f>"8119204002"</f>
        <v>8119204002</v>
      </c>
      <c r="I2021" t="str">
        <f>"COCA-COLA ENTERPRISES"</f>
        <v>COCA-COLA ENTERPRISES</v>
      </c>
    </row>
    <row r="2022" spans="1:9" x14ac:dyDescent="0.25">
      <c r="A2022" s="6">
        <v>43867</v>
      </c>
      <c r="B2022" t="s">
        <v>26</v>
      </c>
      <c r="C2022">
        <v>63253</v>
      </c>
      <c r="D2022" t="s">
        <v>90</v>
      </c>
      <c r="E2022" s="7">
        <v>1997.82</v>
      </c>
      <c r="F2022" t="s">
        <v>20</v>
      </c>
      <c r="G2022" t="s">
        <v>21</v>
      </c>
      <c r="H2022" t="str">
        <f>"046357"</f>
        <v>046357</v>
      </c>
      <c r="I2022" t="str">
        <f>"AFLAC"</f>
        <v>AFLAC</v>
      </c>
    </row>
    <row r="2023" spans="1:9" x14ac:dyDescent="0.25">
      <c r="A2023" s="6">
        <v>43867</v>
      </c>
      <c r="B2023" t="s">
        <v>26</v>
      </c>
      <c r="C2023">
        <v>63254</v>
      </c>
      <c r="D2023" t="s">
        <v>273</v>
      </c>
      <c r="E2023" s="7">
        <v>819.68</v>
      </c>
      <c r="F2023" t="s">
        <v>20</v>
      </c>
      <c r="G2023" t="s">
        <v>21</v>
      </c>
      <c r="H2023" t="str">
        <f>"5119-0000091555"</f>
        <v>5119-0000091555</v>
      </c>
      <c r="I2023" t="str">
        <f>"REPUBLIC SERVICES TESSMAN ROAD"</f>
        <v>REPUBLIC SERVICES TESSMAN ROAD</v>
      </c>
    </row>
    <row r="2024" spans="1:9" x14ac:dyDescent="0.25">
      <c r="A2024" s="6">
        <v>43867</v>
      </c>
      <c r="B2024" t="s">
        <v>26</v>
      </c>
      <c r="C2024">
        <v>63255</v>
      </c>
      <c r="D2024" t="s">
        <v>637</v>
      </c>
      <c r="E2024" s="7">
        <v>75</v>
      </c>
      <c r="F2024" t="s">
        <v>20</v>
      </c>
      <c r="G2024" t="s">
        <v>21</v>
      </c>
      <c r="H2024" t="str">
        <f>"FEB. 2020"</f>
        <v>FEB. 2020</v>
      </c>
      <c r="I2024" t="str">
        <f>"GLORIA MARTINEZ"</f>
        <v>GLORIA MARTINEZ</v>
      </c>
    </row>
    <row r="2025" spans="1:9" x14ac:dyDescent="0.25">
      <c r="A2025" s="6">
        <v>43867</v>
      </c>
      <c r="B2025" t="s">
        <v>26</v>
      </c>
      <c r="C2025">
        <v>63256</v>
      </c>
      <c r="D2025" t="s">
        <v>107</v>
      </c>
      <c r="E2025" s="7">
        <v>28.7</v>
      </c>
      <c r="F2025" t="s">
        <v>20</v>
      </c>
      <c r="G2025" t="s">
        <v>21</v>
      </c>
      <c r="H2025" t="str">
        <f>"1166960-20191031*"</f>
        <v>1166960-20191031*</v>
      </c>
      <c r="I2025" t="str">
        <f>"LEXISNEXIS RISK SOLUTIONS"</f>
        <v>LEXISNEXIS RISK SOLUTIONS</v>
      </c>
    </row>
    <row r="2026" spans="1:9" x14ac:dyDescent="0.25">
      <c r="E2026" s="7"/>
      <c r="F2026" t="s">
        <v>20</v>
      </c>
      <c r="G2026" t="s">
        <v>21</v>
      </c>
      <c r="H2026" t="str">
        <f>"1166960-20191130*"</f>
        <v>1166960-20191130*</v>
      </c>
      <c r="I2026" t="str">
        <f>"LEXISNEXIS RISK SOLUTIONS"</f>
        <v>LEXISNEXIS RISK SOLUTIONS</v>
      </c>
    </row>
    <row r="2027" spans="1:9" x14ac:dyDescent="0.25">
      <c r="A2027" s="6">
        <v>43867</v>
      </c>
      <c r="B2027" t="s">
        <v>26</v>
      </c>
      <c r="C2027">
        <v>63257</v>
      </c>
      <c r="D2027" t="s">
        <v>203</v>
      </c>
      <c r="E2027" s="7">
        <v>479.63</v>
      </c>
      <c r="F2027" t="s">
        <v>20</v>
      </c>
      <c r="G2027" t="s">
        <v>21</v>
      </c>
      <c r="H2027" t="str">
        <f>"722622*"</f>
        <v>722622*</v>
      </c>
      <c r="I2027" t="str">
        <f>"HACH MULTI-PARAMETER"</f>
        <v>HACH MULTI-PARAMETER</v>
      </c>
    </row>
    <row r="2028" spans="1:9" x14ac:dyDescent="0.25">
      <c r="A2028" s="6">
        <v>43867</v>
      </c>
      <c r="B2028" t="s">
        <v>26</v>
      </c>
      <c r="C2028">
        <v>63258</v>
      </c>
      <c r="D2028" t="s">
        <v>110</v>
      </c>
      <c r="E2028" s="7">
        <v>1623.83</v>
      </c>
      <c r="F2028" t="s">
        <v>20</v>
      </c>
      <c r="G2028" t="s">
        <v>21</v>
      </c>
      <c r="H2028" t="str">
        <f>"1513380"</f>
        <v>1513380</v>
      </c>
      <c r="I2028" t="str">
        <f>"BUREAU VERITAS NORTH AMERICA"</f>
        <v>BUREAU VERITAS NORTH AMERICA</v>
      </c>
    </row>
    <row r="2029" spans="1:9" x14ac:dyDescent="0.25">
      <c r="E2029" s="7"/>
      <c r="F2029" t="s">
        <v>20</v>
      </c>
      <c r="G2029" t="s">
        <v>21</v>
      </c>
      <c r="H2029" t="str">
        <f>"1513381"</f>
        <v>1513381</v>
      </c>
      <c r="I2029" t="str">
        <f>"BUREAU VERITAS NORTH AMERICA"</f>
        <v>BUREAU VERITAS NORTH AMERICA</v>
      </c>
    </row>
    <row r="2030" spans="1:9" x14ac:dyDescent="0.25">
      <c r="E2030" s="7"/>
      <c r="F2030" t="s">
        <v>20</v>
      </c>
      <c r="G2030" t="s">
        <v>21</v>
      </c>
      <c r="H2030" t="str">
        <f>"1513382"</f>
        <v>1513382</v>
      </c>
      <c r="I2030" t="str">
        <f>"BUREAU VERITAS NORTH AMERICA"</f>
        <v>BUREAU VERITAS NORTH AMERICA</v>
      </c>
    </row>
    <row r="2031" spans="1:9" x14ac:dyDescent="0.25">
      <c r="E2031" s="7"/>
      <c r="F2031" t="s">
        <v>20</v>
      </c>
      <c r="G2031" t="s">
        <v>21</v>
      </c>
      <c r="H2031" t="str">
        <f>"1513383"</f>
        <v>1513383</v>
      </c>
      <c r="I2031" t="str">
        <f>"BUREAU VERITAS NORTH AMERICA"</f>
        <v>BUREAU VERITAS NORTH AMERICA</v>
      </c>
    </row>
    <row r="2032" spans="1:9" x14ac:dyDescent="0.25">
      <c r="A2032" s="6">
        <v>43867</v>
      </c>
      <c r="B2032" t="s">
        <v>26</v>
      </c>
      <c r="C2032">
        <v>63259</v>
      </c>
      <c r="D2032" t="s">
        <v>181</v>
      </c>
      <c r="E2032" s="7">
        <v>43.61</v>
      </c>
      <c r="F2032" t="s">
        <v>20</v>
      </c>
      <c r="G2032" t="s">
        <v>21</v>
      </c>
      <c r="H2032" t="str">
        <f>"3933186 JAN2020"</f>
        <v>3933186 JAN2020</v>
      </c>
      <c r="I2032" t="str">
        <f>"AT&amp;T"</f>
        <v>AT&amp;T</v>
      </c>
    </row>
    <row r="2033" spans="1:9" x14ac:dyDescent="0.25">
      <c r="A2033" s="6">
        <v>43867</v>
      </c>
      <c r="B2033" t="s">
        <v>26</v>
      </c>
      <c r="C2033">
        <v>63260</v>
      </c>
      <c r="D2033" t="s">
        <v>61</v>
      </c>
      <c r="E2033" s="7">
        <v>433.63</v>
      </c>
      <c r="F2033" t="s">
        <v>20</v>
      </c>
      <c r="G2033" t="s">
        <v>21</v>
      </c>
      <c r="H2033" t="str">
        <f>"025-284658"</f>
        <v>025-284658</v>
      </c>
      <c r="I2033" t="str">
        <f>"TYLER TECHNOLOGIES  INC."</f>
        <v>TYLER TECHNOLOGIES  INC.</v>
      </c>
    </row>
    <row r="2034" spans="1:9" x14ac:dyDescent="0.25">
      <c r="E2034" s="7"/>
      <c r="F2034" t="s">
        <v>20</v>
      </c>
      <c r="G2034" t="s">
        <v>21</v>
      </c>
      <c r="H2034" t="str">
        <f>"025-285267"</f>
        <v>025-285267</v>
      </c>
      <c r="I2034" t="str">
        <f>"TYLER TECHNOLOGIES  INC."</f>
        <v>TYLER TECHNOLOGIES  INC.</v>
      </c>
    </row>
    <row r="2035" spans="1:9" x14ac:dyDescent="0.25">
      <c r="A2035" s="6">
        <v>43867</v>
      </c>
      <c r="B2035" t="s">
        <v>26</v>
      </c>
      <c r="C2035">
        <v>63261</v>
      </c>
      <c r="D2035" t="s">
        <v>0</v>
      </c>
      <c r="E2035" s="7">
        <v>2533.1</v>
      </c>
      <c r="F2035" t="s">
        <v>20</v>
      </c>
      <c r="G2035" t="s">
        <v>21</v>
      </c>
      <c r="H2035" t="str">
        <f>"01-0195-00 JAN.202"</f>
        <v>01-0195-00 JAN.202</v>
      </c>
      <c r="I2035" t="str">
        <f>"CITY OF FLORESVILLE"</f>
        <v>CITY OF FLORESVILLE</v>
      </c>
    </row>
    <row r="2036" spans="1:9" x14ac:dyDescent="0.25">
      <c r="A2036" s="6">
        <v>43867</v>
      </c>
      <c r="B2036" t="s">
        <v>26</v>
      </c>
      <c r="C2036">
        <v>63262</v>
      </c>
      <c r="D2036" t="s">
        <v>114</v>
      </c>
      <c r="E2036" s="7">
        <v>13650.11</v>
      </c>
      <c r="F2036" t="s">
        <v>20</v>
      </c>
      <c r="G2036" t="s">
        <v>21</v>
      </c>
      <c r="H2036" t="str">
        <f>"QRT 12/31/19 BAL"</f>
        <v>QRT 12/31/19 BAL</v>
      </c>
      <c r="I2036" t="str">
        <f>"STATE COMPTROLLER"</f>
        <v>STATE COMPTROLLER</v>
      </c>
    </row>
    <row r="2037" spans="1:9" x14ac:dyDescent="0.25">
      <c r="A2037" s="6">
        <v>43867</v>
      </c>
      <c r="B2037" t="s">
        <v>26</v>
      </c>
      <c r="C2037">
        <v>63263</v>
      </c>
      <c r="D2037" t="s">
        <v>115</v>
      </c>
      <c r="E2037" s="7">
        <v>377.41</v>
      </c>
      <c r="F2037" t="s">
        <v>20</v>
      </c>
      <c r="G2037" t="s">
        <v>21</v>
      </c>
      <c r="H2037" t="str">
        <f>"047230"</f>
        <v>047230</v>
      </c>
      <c r="I2037" t="str">
        <f>"AUTOZONE"</f>
        <v>AUTOZONE</v>
      </c>
    </row>
    <row r="2038" spans="1:9" x14ac:dyDescent="0.25">
      <c r="E2038" s="7"/>
      <c r="F2038" t="s">
        <v>20</v>
      </c>
      <c r="G2038" t="s">
        <v>21</v>
      </c>
      <c r="H2038" t="str">
        <f>"047499"</f>
        <v>047499</v>
      </c>
      <c r="I2038" t="str">
        <f>"AUTOZONE"</f>
        <v>AUTOZONE</v>
      </c>
    </row>
    <row r="2039" spans="1:9" x14ac:dyDescent="0.25">
      <c r="E2039" s="7"/>
      <c r="F2039" t="s">
        <v>20</v>
      </c>
      <c r="G2039" t="s">
        <v>21</v>
      </c>
      <c r="H2039" t="str">
        <f>"3547597691"</f>
        <v>3547597691</v>
      </c>
      <c r="I2039" t="str">
        <f>"PD UNIT 326"</f>
        <v>PD UNIT 326</v>
      </c>
    </row>
    <row r="2040" spans="1:9" x14ac:dyDescent="0.25">
      <c r="E2040" s="7"/>
      <c r="F2040" t="s">
        <v>20</v>
      </c>
      <c r="G2040" t="s">
        <v>21</v>
      </c>
      <c r="H2040" t="str">
        <f>"3547597691*"</f>
        <v>3547597691*</v>
      </c>
      <c r="I2040" t="str">
        <f>"AUTOZONE"</f>
        <v>AUTOZONE</v>
      </c>
    </row>
    <row r="2041" spans="1:9" x14ac:dyDescent="0.25">
      <c r="E2041" s="7"/>
      <c r="F2041" t="s">
        <v>20</v>
      </c>
      <c r="G2041" t="s">
        <v>21</v>
      </c>
      <c r="H2041" t="str">
        <f>"3547603421"</f>
        <v>3547603421</v>
      </c>
      <c r="I2041" t="str">
        <f>"SUPPLIES FOR THE SHOP"</f>
        <v>SUPPLIES FOR THE SHOP</v>
      </c>
    </row>
    <row r="2042" spans="1:9" x14ac:dyDescent="0.25">
      <c r="A2042" s="6">
        <v>43867</v>
      </c>
      <c r="B2042" t="s">
        <v>26</v>
      </c>
      <c r="C2042">
        <v>63265</v>
      </c>
      <c r="D2042" t="s">
        <v>63</v>
      </c>
      <c r="E2042" s="7">
        <v>1398.39</v>
      </c>
      <c r="F2042" t="s">
        <v>20</v>
      </c>
      <c r="G2042" t="s">
        <v>21</v>
      </c>
      <c r="H2042" t="str">
        <f>"8404462324"</f>
        <v>8404462324</v>
      </c>
      <c r="I2042" t="str">
        <f>"CINTAS CORPORATION"</f>
        <v>CINTAS CORPORATION</v>
      </c>
    </row>
    <row r="2043" spans="1:9" x14ac:dyDescent="0.25">
      <c r="E2043" s="7"/>
      <c r="F2043" t="s">
        <v>20</v>
      </c>
      <c r="G2043" t="s">
        <v>21</v>
      </c>
      <c r="H2043" t="str">
        <f>"8404477000"</f>
        <v>8404477000</v>
      </c>
      <c r="I2043" t="str">
        <f>"CINTAS CORPORATION"</f>
        <v>CINTAS CORPORATION</v>
      </c>
    </row>
    <row r="2044" spans="1:9" x14ac:dyDescent="0.25">
      <c r="A2044" s="6">
        <v>43867</v>
      </c>
      <c r="B2044" t="s">
        <v>26</v>
      </c>
      <c r="C2044">
        <v>63266</v>
      </c>
      <c r="D2044" t="s">
        <v>116</v>
      </c>
      <c r="E2044" s="7">
        <v>932.91</v>
      </c>
      <c r="F2044" t="s">
        <v>20</v>
      </c>
      <c r="G2044" t="s">
        <v>21</v>
      </c>
      <c r="H2044" t="str">
        <f>"INV839610 REISSUE"</f>
        <v>INV839610 REISSUE</v>
      </c>
      <c r="I2044" t="str">
        <f>"KIEFER AQUATICS/THE LIFEGUARD"</f>
        <v>KIEFER AQUATICS/THE LIFEGUARD</v>
      </c>
    </row>
    <row r="2045" spans="1:9" x14ac:dyDescent="0.25">
      <c r="A2045" s="6">
        <v>43867</v>
      </c>
      <c r="B2045" t="s">
        <v>26</v>
      </c>
      <c r="C2045">
        <v>63267</v>
      </c>
      <c r="D2045" t="s">
        <v>213</v>
      </c>
      <c r="E2045" s="7">
        <v>21542.69</v>
      </c>
      <c r="F2045" t="s">
        <v>20</v>
      </c>
      <c r="G2045" t="s">
        <v>21</v>
      </c>
      <c r="H2045" t="str">
        <f>"JANUARY 2020"</f>
        <v>JANUARY 2020</v>
      </c>
      <c r="I2045" t="str">
        <f>"RIVER BEND COMMUNITY DEVELOPME"</f>
        <v>RIVER BEND COMMUNITY DEVELOPME</v>
      </c>
    </row>
    <row r="2046" spans="1:9" x14ac:dyDescent="0.25">
      <c r="A2046" s="6">
        <v>43867</v>
      </c>
      <c r="B2046" t="s">
        <v>26</v>
      </c>
      <c r="C2046">
        <v>63268</v>
      </c>
      <c r="D2046" t="s">
        <v>689</v>
      </c>
      <c r="E2046" s="7">
        <v>3807</v>
      </c>
      <c r="F2046" t="s">
        <v>20</v>
      </c>
      <c r="G2046" t="s">
        <v>21</v>
      </c>
      <c r="H2046" t="str">
        <f>"2409"</f>
        <v>2409</v>
      </c>
      <c r="I2046" t="str">
        <f>"MOY'S WATER WELL DRILLING &amp; SE"</f>
        <v>MOY'S WATER WELL DRILLING &amp; SE</v>
      </c>
    </row>
    <row r="2047" spans="1:9" x14ac:dyDescent="0.25">
      <c r="A2047" s="6">
        <v>43867</v>
      </c>
      <c r="B2047" t="s">
        <v>26</v>
      </c>
      <c r="C2047">
        <v>63269</v>
      </c>
      <c r="D2047" t="s">
        <v>66</v>
      </c>
      <c r="E2047" s="7">
        <v>864</v>
      </c>
      <c r="F2047" t="s">
        <v>20</v>
      </c>
      <c r="G2047" t="s">
        <v>21</v>
      </c>
      <c r="H2047" t="str">
        <f>"57203"</f>
        <v>57203</v>
      </c>
      <c r="I2047" t="str">
        <f>"LOPEZ EXTERMINATING SERVICE  I"</f>
        <v>LOPEZ EXTERMINATING SERVICE  I</v>
      </c>
    </row>
    <row r="2048" spans="1:9" x14ac:dyDescent="0.25">
      <c r="A2048" s="6">
        <v>43867</v>
      </c>
      <c r="B2048" t="s">
        <v>26</v>
      </c>
      <c r="C2048">
        <v>63270</v>
      </c>
      <c r="D2048" t="s">
        <v>95</v>
      </c>
      <c r="E2048" s="7">
        <v>64.959999999999994</v>
      </c>
      <c r="F2048" t="s">
        <v>20</v>
      </c>
      <c r="G2048" t="s">
        <v>21</v>
      </c>
      <c r="H2048" t="str">
        <f>"JAN. 2020"</f>
        <v>JAN. 2020</v>
      </c>
      <c r="I2048" t="str">
        <f>"LEGAL PLANS"</f>
        <v>LEGAL PLANS</v>
      </c>
    </row>
    <row r="2049" spans="1:9" x14ac:dyDescent="0.25">
      <c r="A2049" s="6">
        <v>43867</v>
      </c>
      <c r="B2049" t="s">
        <v>26</v>
      </c>
      <c r="C2049">
        <v>63271</v>
      </c>
      <c r="D2049" t="s">
        <v>119</v>
      </c>
      <c r="E2049" s="7">
        <v>2909.8</v>
      </c>
      <c r="F2049" t="s">
        <v>20</v>
      </c>
      <c r="G2049" t="s">
        <v>21</v>
      </c>
      <c r="H2049" t="str">
        <f>"60876"</f>
        <v>60876</v>
      </c>
      <c r="I2049" t="str">
        <f>"TIRES FOR MAINTAINER"</f>
        <v>TIRES FOR MAINTAINER</v>
      </c>
    </row>
    <row r="2050" spans="1:9" x14ac:dyDescent="0.25">
      <c r="E2050" s="7"/>
      <c r="F2050" t="s">
        <v>20</v>
      </c>
      <c r="G2050" t="s">
        <v>21</v>
      </c>
      <c r="H2050" t="str">
        <f>"60880"</f>
        <v>60880</v>
      </c>
      <c r="I2050" t="str">
        <f>"PRUSKI'S TIRE SHOP  L.L.C."</f>
        <v>PRUSKI'S TIRE SHOP  L.L.C.</v>
      </c>
    </row>
    <row r="2051" spans="1:9" x14ac:dyDescent="0.25">
      <c r="A2051" s="6">
        <v>43867</v>
      </c>
      <c r="B2051" t="s">
        <v>26</v>
      </c>
      <c r="C2051">
        <v>63272</v>
      </c>
      <c r="D2051" t="s">
        <v>419</v>
      </c>
      <c r="E2051" s="7">
        <v>46</v>
      </c>
      <c r="F2051" t="s">
        <v>20</v>
      </c>
      <c r="G2051" t="s">
        <v>21</v>
      </c>
      <c r="H2051" t="str">
        <f>"TRNG 2/3/2020"</f>
        <v>TRNG 2/3/2020</v>
      </c>
      <c r="I2051" t="str">
        <f>"GEORGE ORTIZ"</f>
        <v>GEORGE ORTIZ</v>
      </c>
    </row>
    <row r="2052" spans="1:9" x14ac:dyDescent="0.25">
      <c r="A2052" s="6">
        <v>43867</v>
      </c>
      <c r="B2052" t="s">
        <v>26</v>
      </c>
      <c r="C2052">
        <v>63273</v>
      </c>
      <c r="D2052" t="s">
        <v>69</v>
      </c>
      <c r="E2052" s="7">
        <v>126.29</v>
      </c>
      <c r="F2052" t="s">
        <v>20</v>
      </c>
      <c r="G2052" t="s">
        <v>21</v>
      </c>
      <c r="H2052" t="str">
        <f>"3303815"</f>
        <v>3303815</v>
      </c>
      <c r="I2052" t="str">
        <f>"BLADE OIL AND EDGER BLADE"</f>
        <v>BLADE OIL AND EDGER BLADE</v>
      </c>
    </row>
    <row r="2053" spans="1:9" x14ac:dyDescent="0.25">
      <c r="E2053" s="7"/>
      <c r="F2053" t="s">
        <v>20</v>
      </c>
      <c r="G2053" t="s">
        <v>21</v>
      </c>
      <c r="H2053" t="str">
        <f>"3303961"</f>
        <v>3303961</v>
      </c>
      <c r="I2053" t="str">
        <f>"PARKS LAWNMOWER REPAIR"</f>
        <v>PARKS LAWNMOWER REPAIR</v>
      </c>
    </row>
    <row r="2054" spans="1:9" x14ac:dyDescent="0.25">
      <c r="A2054" s="6">
        <v>43867</v>
      </c>
      <c r="B2054" t="s">
        <v>26</v>
      </c>
      <c r="C2054">
        <v>63274</v>
      </c>
      <c r="D2054" t="s">
        <v>146</v>
      </c>
      <c r="E2054" s="7">
        <v>5120</v>
      </c>
      <c r="F2054" t="s">
        <v>20</v>
      </c>
      <c r="G2054" t="s">
        <v>21</v>
      </c>
      <c r="H2054" t="str">
        <f>"742492"</f>
        <v>742492</v>
      </c>
      <c r="I2054" t="str">
        <f>"LARRY SRALLA ELECTRIC"</f>
        <v>LARRY SRALLA ELECTRIC</v>
      </c>
    </row>
    <row r="2055" spans="1:9" x14ac:dyDescent="0.25">
      <c r="E2055" s="7"/>
      <c r="F2055" t="s">
        <v>20</v>
      </c>
      <c r="G2055" t="s">
        <v>21</v>
      </c>
      <c r="H2055" t="str">
        <f>"742493"</f>
        <v>742493</v>
      </c>
      <c r="I2055" t="str">
        <f>"LARRY SRALLA ELECTRIC"</f>
        <v>LARRY SRALLA ELECTRIC</v>
      </c>
    </row>
    <row r="2056" spans="1:9" x14ac:dyDescent="0.25">
      <c r="A2056" s="6">
        <v>43867</v>
      </c>
      <c r="B2056" t="s">
        <v>26</v>
      </c>
      <c r="C2056">
        <v>63275</v>
      </c>
      <c r="D2056" t="s">
        <v>96</v>
      </c>
      <c r="E2056" s="7">
        <v>457.35</v>
      </c>
      <c r="F2056" t="s">
        <v>20</v>
      </c>
      <c r="G2056" t="s">
        <v>21</v>
      </c>
      <c r="H2056" t="str">
        <f>"JAN. 2020"</f>
        <v>JAN. 2020</v>
      </c>
      <c r="I2056" t="str">
        <f>"LEGALSHIELD"</f>
        <v>LEGALSHIELD</v>
      </c>
    </row>
    <row r="2057" spans="1:9" x14ac:dyDescent="0.25">
      <c r="A2057" s="6">
        <v>43867</v>
      </c>
      <c r="B2057" t="s">
        <v>26</v>
      </c>
      <c r="C2057">
        <v>63276</v>
      </c>
      <c r="D2057" t="s">
        <v>71</v>
      </c>
      <c r="E2057" s="7">
        <v>2939.38</v>
      </c>
      <c r="F2057" t="s">
        <v>20</v>
      </c>
      <c r="G2057" t="s">
        <v>21</v>
      </c>
      <c r="H2057" t="str">
        <f>"4038692278"</f>
        <v>4038692278</v>
      </c>
      <c r="I2057" t="str">
        <f t="shared" ref="I2057:I2075" si="38">"CINTAS CORPORATION #087"</f>
        <v>CINTAS CORPORATION #087</v>
      </c>
    </row>
    <row r="2058" spans="1:9" x14ac:dyDescent="0.25">
      <c r="E2058" s="7"/>
      <c r="F2058" t="s">
        <v>20</v>
      </c>
      <c r="G2058" t="s">
        <v>21</v>
      </c>
      <c r="H2058" t="str">
        <f>"4039741140"</f>
        <v>4039741140</v>
      </c>
      <c r="I2058" t="str">
        <f t="shared" si="38"/>
        <v>CINTAS CORPORATION #087</v>
      </c>
    </row>
    <row r="2059" spans="1:9" x14ac:dyDescent="0.25">
      <c r="E2059" s="7"/>
      <c r="F2059" t="s">
        <v>20</v>
      </c>
      <c r="G2059" t="s">
        <v>21</v>
      </c>
      <c r="H2059" t="str">
        <f>"4039741151"</f>
        <v>4039741151</v>
      </c>
      <c r="I2059" t="str">
        <f t="shared" si="38"/>
        <v>CINTAS CORPORATION #087</v>
      </c>
    </row>
    <row r="2060" spans="1:9" x14ac:dyDescent="0.25">
      <c r="E2060" s="7"/>
      <c r="F2060" t="s">
        <v>20</v>
      </c>
      <c r="G2060" t="s">
        <v>21</v>
      </c>
      <c r="H2060" t="str">
        <f>"4039741233"</f>
        <v>4039741233</v>
      </c>
      <c r="I2060" t="str">
        <f t="shared" si="38"/>
        <v>CINTAS CORPORATION #087</v>
      </c>
    </row>
    <row r="2061" spans="1:9" x14ac:dyDescent="0.25">
      <c r="E2061" s="7"/>
      <c r="F2061" t="s">
        <v>20</v>
      </c>
      <c r="G2061" t="s">
        <v>21</v>
      </c>
      <c r="H2061" t="str">
        <f>"4039741272"</f>
        <v>4039741272</v>
      </c>
      <c r="I2061" t="str">
        <f t="shared" si="38"/>
        <v>CINTAS CORPORATION #087</v>
      </c>
    </row>
    <row r="2062" spans="1:9" x14ac:dyDescent="0.25">
      <c r="E2062" s="7"/>
      <c r="F2062" t="s">
        <v>20</v>
      </c>
      <c r="G2062" t="s">
        <v>21</v>
      </c>
      <c r="H2062" t="str">
        <f>"4040306918"</f>
        <v>4040306918</v>
      </c>
      <c r="I2062" t="str">
        <f t="shared" si="38"/>
        <v>CINTAS CORPORATION #087</v>
      </c>
    </row>
    <row r="2063" spans="1:9" x14ac:dyDescent="0.25">
      <c r="E2063" s="7"/>
      <c r="F2063" t="s">
        <v>20</v>
      </c>
      <c r="G2063" t="s">
        <v>21</v>
      </c>
      <c r="H2063" t="str">
        <f>"4040306959"</f>
        <v>4040306959</v>
      </c>
      <c r="I2063" t="str">
        <f t="shared" si="38"/>
        <v>CINTAS CORPORATION #087</v>
      </c>
    </row>
    <row r="2064" spans="1:9" x14ac:dyDescent="0.25">
      <c r="E2064" s="7"/>
      <c r="F2064" t="s">
        <v>20</v>
      </c>
      <c r="G2064" t="s">
        <v>21</v>
      </c>
      <c r="H2064" t="str">
        <f>"4040307055"</f>
        <v>4040307055</v>
      </c>
      <c r="I2064" t="str">
        <f t="shared" si="38"/>
        <v>CINTAS CORPORATION #087</v>
      </c>
    </row>
    <row r="2065" spans="1:9" x14ac:dyDescent="0.25">
      <c r="E2065" s="7"/>
      <c r="F2065" t="s">
        <v>20</v>
      </c>
      <c r="G2065" t="s">
        <v>21</v>
      </c>
      <c r="H2065" t="str">
        <f>"4040307092"</f>
        <v>4040307092</v>
      </c>
      <c r="I2065" t="str">
        <f t="shared" si="38"/>
        <v>CINTAS CORPORATION #087</v>
      </c>
    </row>
    <row r="2066" spans="1:9" x14ac:dyDescent="0.25">
      <c r="E2066" s="7"/>
      <c r="F2066" t="s">
        <v>20</v>
      </c>
      <c r="G2066" t="s">
        <v>21</v>
      </c>
      <c r="H2066" t="str">
        <f>"4040802778"</f>
        <v>4040802778</v>
      </c>
      <c r="I2066" t="str">
        <f t="shared" si="38"/>
        <v>CINTAS CORPORATION #087</v>
      </c>
    </row>
    <row r="2067" spans="1:9" x14ac:dyDescent="0.25">
      <c r="E2067" s="7"/>
      <c r="F2067" t="s">
        <v>20</v>
      </c>
      <c r="G2067" t="s">
        <v>21</v>
      </c>
      <c r="H2067" t="str">
        <f>"4040802807"</f>
        <v>4040802807</v>
      </c>
      <c r="I2067" t="str">
        <f t="shared" si="38"/>
        <v>CINTAS CORPORATION #087</v>
      </c>
    </row>
    <row r="2068" spans="1:9" x14ac:dyDescent="0.25">
      <c r="E2068" s="7"/>
      <c r="F2068" t="s">
        <v>20</v>
      </c>
      <c r="G2068" t="s">
        <v>21</v>
      </c>
      <c r="H2068" t="str">
        <f>"4040802846"</f>
        <v>4040802846</v>
      </c>
      <c r="I2068" t="str">
        <f t="shared" si="38"/>
        <v>CINTAS CORPORATION #087</v>
      </c>
    </row>
    <row r="2069" spans="1:9" x14ac:dyDescent="0.25">
      <c r="E2069" s="7"/>
      <c r="F2069" t="s">
        <v>20</v>
      </c>
      <c r="G2069" t="s">
        <v>21</v>
      </c>
      <c r="H2069" t="str">
        <f>"4040802847"</f>
        <v>4040802847</v>
      </c>
      <c r="I2069" t="str">
        <f t="shared" si="38"/>
        <v>CINTAS CORPORATION #087</v>
      </c>
    </row>
    <row r="2070" spans="1:9" x14ac:dyDescent="0.25">
      <c r="E2070" s="7"/>
      <c r="F2070" t="s">
        <v>20</v>
      </c>
      <c r="G2070" t="s">
        <v>21</v>
      </c>
      <c r="H2070" t="str">
        <f>"4040802861"</f>
        <v>4040802861</v>
      </c>
      <c r="I2070" t="str">
        <f t="shared" si="38"/>
        <v>CINTAS CORPORATION #087</v>
      </c>
    </row>
    <row r="2071" spans="1:9" x14ac:dyDescent="0.25">
      <c r="E2071" s="7"/>
      <c r="F2071" t="s">
        <v>20</v>
      </c>
      <c r="G2071" t="s">
        <v>21</v>
      </c>
      <c r="H2071" t="str">
        <f>"4041005163"</f>
        <v>4041005163</v>
      </c>
      <c r="I2071" t="str">
        <f t="shared" si="38"/>
        <v>CINTAS CORPORATION #087</v>
      </c>
    </row>
    <row r="2072" spans="1:9" x14ac:dyDescent="0.25">
      <c r="E2072" s="7"/>
      <c r="F2072" t="s">
        <v>20</v>
      </c>
      <c r="G2072" t="s">
        <v>21</v>
      </c>
      <c r="H2072" t="str">
        <f>"4041005172"</f>
        <v>4041005172</v>
      </c>
      <c r="I2072" t="str">
        <f t="shared" si="38"/>
        <v>CINTAS CORPORATION #087</v>
      </c>
    </row>
    <row r="2073" spans="1:9" x14ac:dyDescent="0.25">
      <c r="E2073" s="7"/>
      <c r="F2073" t="s">
        <v>20</v>
      </c>
      <c r="G2073" t="s">
        <v>21</v>
      </c>
      <c r="H2073" t="str">
        <f>"4041530467"</f>
        <v>4041530467</v>
      </c>
      <c r="I2073" t="str">
        <f t="shared" si="38"/>
        <v>CINTAS CORPORATION #087</v>
      </c>
    </row>
    <row r="2074" spans="1:9" x14ac:dyDescent="0.25">
      <c r="E2074" s="7"/>
      <c r="F2074" t="s">
        <v>20</v>
      </c>
      <c r="G2074" t="s">
        <v>21</v>
      </c>
      <c r="H2074" t="str">
        <f>"4041530487"</f>
        <v>4041530487</v>
      </c>
      <c r="I2074" t="str">
        <f t="shared" si="38"/>
        <v>CINTAS CORPORATION #087</v>
      </c>
    </row>
    <row r="2075" spans="1:9" x14ac:dyDescent="0.25">
      <c r="E2075" s="7"/>
      <c r="F2075" t="s">
        <v>20</v>
      </c>
      <c r="G2075" t="s">
        <v>21</v>
      </c>
      <c r="H2075" t="str">
        <f>"4041530572"</f>
        <v>4041530572</v>
      </c>
      <c r="I2075" t="str">
        <f t="shared" si="38"/>
        <v>CINTAS CORPORATION #087</v>
      </c>
    </row>
    <row r="2076" spans="1:9" x14ac:dyDescent="0.25">
      <c r="A2076" s="6">
        <v>43867</v>
      </c>
      <c r="B2076" t="s">
        <v>26</v>
      </c>
      <c r="C2076">
        <v>63280</v>
      </c>
      <c r="D2076" t="s">
        <v>282</v>
      </c>
      <c r="E2076" s="7">
        <v>13750</v>
      </c>
      <c r="F2076" t="s">
        <v>20</v>
      </c>
      <c r="G2076" t="s">
        <v>21</v>
      </c>
      <c r="H2076" t="str">
        <f>"3902"</f>
        <v>3902</v>
      </c>
      <c r="I2076" t="str">
        <f>"LANGFORD COMMUNITY MANAGEMENT"</f>
        <v>LANGFORD COMMUNITY MANAGEMENT</v>
      </c>
    </row>
    <row r="2077" spans="1:9" x14ac:dyDescent="0.25">
      <c r="E2077" s="7"/>
      <c r="F2077" t="s">
        <v>20</v>
      </c>
      <c r="G2077" t="s">
        <v>21</v>
      </c>
      <c r="H2077" t="str">
        <f>"3904"</f>
        <v>3904</v>
      </c>
      <c r="I2077" t="str">
        <f>"LANGFORD COMMUNITY MANAGEMENT"</f>
        <v>LANGFORD COMMUNITY MANAGEMENT</v>
      </c>
    </row>
    <row r="2078" spans="1:9" x14ac:dyDescent="0.25">
      <c r="A2078" s="6">
        <v>43867</v>
      </c>
      <c r="B2078" t="s">
        <v>26</v>
      </c>
      <c r="C2078">
        <v>63281</v>
      </c>
      <c r="D2078" t="s">
        <v>74</v>
      </c>
      <c r="E2078" s="7">
        <v>4473.9399999999996</v>
      </c>
      <c r="F2078" t="s">
        <v>20</v>
      </c>
      <c r="G2078" t="s">
        <v>21</v>
      </c>
      <c r="H2078" t="str">
        <f>"9846988801"</f>
        <v>9846988801</v>
      </c>
      <c r="I2078" t="str">
        <f>"VERIZON WIRELESS"</f>
        <v>VERIZON WIRELESS</v>
      </c>
    </row>
    <row r="2079" spans="1:9" x14ac:dyDescent="0.25">
      <c r="E2079" s="7"/>
      <c r="F2079" t="s">
        <v>20</v>
      </c>
      <c r="G2079" t="s">
        <v>21</v>
      </c>
      <c r="H2079" t="str">
        <f>"9846988802"</f>
        <v>9846988802</v>
      </c>
      <c r="I2079" t="str">
        <f>"VERIZON WIRELESS"</f>
        <v>VERIZON WIRELESS</v>
      </c>
    </row>
    <row r="2080" spans="1:9" x14ac:dyDescent="0.25">
      <c r="A2080" s="6">
        <v>43867</v>
      </c>
      <c r="B2080" t="s">
        <v>26</v>
      </c>
      <c r="C2080">
        <v>63283</v>
      </c>
      <c r="D2080" t="s">
        <v>215</v>
      </c>
      <c r="E2080" s="7">
        <v>965.53</v>
      </c>
      <c r="F2080" t="s">
        <v>20</v>
      </c>
      <c r="G2080" t="s">
        <v>21</v>
      </c>
      <c r="H2080" t="str">
        <f>"618867"</f>
        <v>618867</v>
      </c>
      <c r="I2080" t="str">
        <f>"HOUR METER"</f>
        <v>HOUR METER</v>
      </c>
    </row>
    <row r="2081" spans="1:9" x14ac:dyDescent="0.25">
      <c r="E2081" s="7"/>
      <c r="F2081" t="s">
        <v>20</v>
      </c>
      <c r="G2081" t="s">
        <v>21</v>
      </c>
      <c r="H2081" t="str">
        <f>"620387"</f>
        <v>620387</v>
      </c>
      <c r="I2081" t="str">
        <f>"EMERGENCY REPAIR HOSPITAL"</f>
        <v>EMERGENCY REPAIR HOSPITAL</v>
      </c>
    </row>
    <row r="2082" spans="1:9" x14ac:dyDescent="0.25">
      <c r="A2082" s="6">
        <v>43867</v>
      </c>
      <c r="B2082" t="s">
        <v>91</v>
      </c>
      <c r="C2082">
        <v>63284</v>
      </c>
      <c r="D2082" t="s">
        <v>123</v>
      </c>
      <c r="E2082" s="7">
        <v>211.53</v>
      </c>
      <c r="F2082" t="s">
        <v>20</v>
      </c>
      <c r="G2082" t="s">
        <v>21</v>
      </c>
      <c r="H2082" t="str">
        <f>"429009917001"</f>
        <v>429009917001</v>
      </c>
      <c r="I2082" t="str">
        <f>"W-2'S AND ENVELOPES"</f>
        <v>W-2'S AND ENVELOPES</v>
      </c>
    </row>
    <row r="2083" spans="1:9" x14ac:dyDescent="0.25">
      <c r="E2083" s="7"/>
      <c r="F2083" t="s">
        <v>20</v>
      </c>
      <c r="G2083" t="s">
        <v>21</v>
      </c>
      <c r="H2083" t="str">
        <f>"429009917001*"</f>
        <v>429009917001*</v>
      </c>
      <c r="I2083" t="str">
        <f>"OFFICE DEPOT  INC."</f>
        <v>OFFICE DEPOT  INC.</v>
      </c>
    </row>
    <row r="2084" spans="1:9" x14ac:dyDescent="0.25">
      <c r="E2084" s="7"/>
      <c r="F2084" t="s">
        <v>20</v>
      </c>
      <c r="G2084" t="s">
        <v>21</v>
      </c>
      <c r="H2084" t="str">
        <f>"429016731001"</f>
        <v>429016731001</v>
      </c>
      <c r="I2084" t="str">
        <f>"W-2'S AND ENVELOPES"</f>
        <v>W-2'S AND ENVELOPES</v>
      </c>
    </row>
    <row r="2085" spans="1:9" x14ac:dyDescent="0.25">
      <c r="E2085" s="7"/>
      <c r="F2085" t="s">
        <v>20</v>
      </c>
      <c r="G2085" t="s">
        <v>21</v>
      </c>
      <c r="H2085" t="str">
        <f>"430434490001"</f>
        <v>430434490001</v>
      </c>
      <c r="I2085" t="str">
        <f>"BUDGET BINDERS AND TABS"</f>
        <v>BUDGET BINDERS AND TABS</v>
      </c>
    </row>
    <row r="2086" spans="1:9" x14ac:dyDescent="0.25">
      <c r="A2086" s="6">
        <v>43867</v>
      </c>
      <c r="B2086" t="s">
        <v>91</v>
      </c>
      <c r="C2086">
        <v>63284</v>
      </c>
      <c r="D2086" t="s">
        <v>123</v>
      </c>
      <c r="E2086" s="7">
        <v>211.53</v>
      </c>
      <c r="F2086" t="s">
        <v>20</v>
      </c>
      <c r="G2086" t="s">
        <v>93</v>
      </c>
      <c r="H2086" t="str">
        <f>"CHECK"</f>
        <v>CHECK</v>
      </c>
      <c r="I2086" t="str">
        <f>""</f>
        <v/>
      </c>
    </row>
    <row r="2087" spans="1:9" x14ac:dyDescent="0.25">
      <c r="A2087" s="6">
        <v>43867</v>
      </c>
      <c r="B2087" t="s">
        <v>26</v>
      </c>
      <c r="C2087">
        <v>63285</v>
      </c>
      <c r="D2087" t="s">
        <v>137</v>
      </c>
      <c r="E2087" s="7">
        <v>121.85</v>
      </c>
      <c r="F2087" t="s">
        <v>20</v>
      </c>
      <c r="G2087" t="s">
        <v>21</v>
      </c>
      <c r="H2087" t="str">
        <f>"7881"</f>
        <v>7881</v>
      </c>
      <c r="I2087" t="str">
        <f>"OMNIBUS-M  INC.D.B.A."</f>
        <v>OMNIBUS-M  INC.D.B.A.</v>
      </c>
    </row>
    <row r="2088" spans="1:9" x14ac:dyDescent="0.25">
      <c r="E2088" s="7"/>
      <c r="F2088" t="s">
        <v>20</v>
      </c>
      <c r="G2088" t="s">
        <v>21</v>
      </c>
      <c r="H2088" t="str">
        <f>"7882"</f>
        <v>7882</v>
      </c>
      <c r="I2088" t="str">
        <f>"OMNIBUS-M  INC.D.B.A."</f>
        <v>OMNIBUS-M  INC.D.B.A.</v>
      </c>
    </row>
    <row r="2089" spans="1:9" x14ac:dyDescent="0.25">
      <c r="A2089" s="6">
        <v>43867</v>
      </c>
      <c r="B2089" t="s">
        <v>26</v>
      </c>
      <c r="C2089">
        <v>63286</v>
      </c>
      <c r="D2089" t="s">
        <v>124</v>
      </c>
      <c r="E2089" s="7">
        <v>261.18</v>
      </c>
      <c r="F2089" t="s">
        <v>20</v>
      </c>
      <c r="G2089" t="s">
        <v>21</v>
      </c>
      <c r="H2089" t="str">
        <f>"11182577"</f>
        <v>11182577</v>
      </c>
      <c r="I2089" t="str">
        <f>"KEYS FOR PUBLIC WORKS"</f>
        <v>KEYS FOR PUBLIC WORKS</v>
      </c>
    </row>
    <row r="2090" spans="1:9" x14ac:dyDescent="0.25">
      <c r="E2090" s="7"/>
      <c r="F2090" t="s">
        <v>20</v>
      </c>
      <c r="G2090" t="s">
        <v>21</v>
      </c>
      <c r="H2090" t="str">
        <f>"11182961"</f>
        <v>11182961</v>
      </c>
      <c r="I2090" t="str">
        <f>"EXTENSION LADDER"</f>
        <v>EXTENSION LADDER</v>
      </c>
    </row>
    <row r="2091" spans="1:9" x14ac:dyDescent="0.25">
      <c r="A2091" s="6">
        <v>43867</v>
      </c>
      <c r="B2091" t="s">
        <v>26</v>
      </c>
      <c r="C2091">
        <v>63287</v>
      </c>
      <c r="D2091" t="s">
        <v>79</v>
      </c>
      <c r="E2091" s="7">
        <v>12.74</v>
      </c>
      <c r="F2091" t="s">
        <v>20</v>
      </c>
      <c r="G2091" t="s">
        <v>21</v>
      </c>
      <c r="H2091" t="str">
        <f>"6-906-67787"</f>
        <v>6-906-67787</v>
      </c>
      <c r="I2091" t="str">
        <f>"FEDEX"</f>
        <v>FEDEX</v>
      </c>
    </row>
    <row r="2092" spans="1:9" x14ac:dyDescent="0.25">
      <c r="A2092" s="6">
        <v>43867</v>
      </c>
      <c r="B2092" t="s">
        <v>26</v>
      </c>
      <c r="C2092">
        <v>63288</v>
      </c>
      <c r="D2092" t="s">
        <v>223</v>
      </c>
      <c r="E2092" s="7">
        <v>75</v>
      </c>
      <c r="F2092" t="s">
        <v>20</v>
      </c>
      <c r="G2092" t="s">
        <v>21</v>
      </c>
      <c r="H2092" t="str">
        <f>"FEB.2020"</f>
        <v>FEB.2020</v>
      </c>
      <c r="I2092" t="str">
        <f>"JUAN ORTIZ"</f>
        <v>JUAN ORTIZ</v>
      </c>
    </row>
    <row r="2093" spans="1:9" x14ac:dyDescent="0.25">
      <c r="A2093" s="6">
        <v>43867</v>
      </c>
      <c r="B2093" t="s">
        <v>26</v>
      </c>
      <c r="C2093">
        <v>63289</v>
      </c>
      <c r="D2093" t="s">
        <v>80</v>
      </c>
      <c r="E2093" s="7">
        <v>1500</v>
      </c>
      <c r="F2093" t="s">
        <v>20</v>
      </c>
      <c r="G2093" t="s">
        <v>21</v>
      </c>
      <c r="H2093" t="str">
        <f>"1648-202000201-1"</f>
        <v>1648-202000201-1</v>
      </c>
      <c r="I2093" t="str">
        <f>"LVWIFI.COM"</f>
        <v>LVWIFI.COM</v>
      </c>
    </row>
    <row r="2094" spans="1:9" x14ac:dyDescent="0.25">
      <c r="E2094" s="7"/>
      <c r="F2094" t="s">
        <v>20</v>
      </c>
      <c r="G2094" t="s">
        <v>21</v>
      </c>
      <c r="H2094" t="str">
        <f>"2313-20200201-1"</f>
        <v>2313-20200201-1</v>
      </c>
      <c r="I2094" t="str">
        <f>"LVWIFI.COM"</f>
        <v>LVWIFI.COM</v>
      </c>
    </row>
    <row r="2095" spans="1:9" x14ac:dyDescent="0.25">
      <c r="A2095" s="6">
        <v>43867</v>
      </c>
      <c r="B2095" t="s">
        <v>26</v>
      </c>
      <c r="C2095">
        <v>63290</v>
      </c>
      <c r="D2095" t="s">
        <v>97</v>
      </c>
      <c r="E2095" s="7">
        <v>50012.1</v>
      </c>
      <c r="F2095" t="s">
        <v>20</v>
      </c>
      <c r="G2095" t="s">
        <v>21</v>
      </c>
      <c r="H2095" t="str">
        <f>"JAN.2020  HEALTH"</f>
        <v>JAN.2020  HEALTH</v>
      </c>
      <c r="I2095" t="str">
        <f>"HEALTH CARE SERVICE CORPORATIO"</f>
        <v>HEALTH CARE SERVICE CORPORATIO</v>
      </c>
    </row>
    <row r="2096" spans="1:9" x14ac:dyDescent="0.25">
      <c r="E2096" s="7"/>
      <c r="F2096" t="s">
        <v>20</v>
      </c>
      <c r="G2096" t="s">
        <v>21</v>
      </c>
      <c r="H2096" t="str">
        <f>"JAN.2020 DEARBORN"</f>
        <v>JAN.2020 DEARBORN</v>
      </c>
      <c r="I2096" t="str">
        <f>"HEALTH CARE SERVICE CORPORATIO"</f>
        <v>HEALTH CARE SERVICE CORPORATIO</v>
      </c>
    </row>
    <row r="2097" spans="1:9" x14ac:dyDescent="0.25">
      <c r="A2097" s="6">
        <v>43867</v>
      </c>
      <c r="B2097" t="s">
        <v>26</v>
      </c>
      <c r="C2097">
        <v>63293</v>
      </c>
      <c r="D2097" t="s">
        <v>83</v>
      </c>
      <c r="E2097" s="7">
        <v>1044</v>
      </c>
      <c r="F2097" t="s">
        <v>20</v>
      </c>
      <c r="G2097" t="s">
        <v>21</v>
      </c>
      <c r="H2097" t="str">
        <f>"1039921"</f>
        <v>1039921</v>
      </c>
      <c r="I2097" t="str">
        <f>"APPRIVER"</f>
        <v>APPRIVER</v>
      </c>
    </row>
    <row r="2098" spans="1:9" x14ac:dyDescent="0.25">
      <c r="A2098" s="6">
        <v>43867</v>
      </c>
      <c r="B2098" t="s">
        <v>26</v>
      </c>
      <c r="C2098">
        <v>63294</v>
      </c>
      <c r="D2098" t="s">
        <v>85</v>
      </c>
      <c r="E2098" s="7">
        <v>574.11</v>
      </c>
      <c r="F2098" t="s">
        <v>20</v>
      </c>
      <c r="G2098" t="s">
        <v>21</v>
      </c>
      <c r="H2098" t="str">
        <f>"2162691 JAN.2020"</f>
        <v>2162691 JAN.2020</v>
      </c>
      <c r="I2098" t="str">
        <f>"FRONTIER"</f>
        <v>FRONTIER</v>
      </c>
    </row>
    <row r="2099" spans="1:9" x14ac:dyDescent="0.25">
      <c r="E2099" s="7"/>
      <c r="F2099" t="s">
        <v>20</v>
      </c>
      <c r="G2099" t="s">
        <v>21</v>
      </c>
      <c r="H2099" t="str">
        <f>"8301970046 JAN.202"</f>
        <v>8301970046 JAN.202</v>
      </c>
      <c r="I2099" t="str">
        <f>"FRONTIER"</f>
        <v>FRONTIER</v>
      </c>
    </row>
    <row r="2100" spans="1:9" x14ac:dyDescent="0.25">
      <c r="A2100" s="6">
        <v>43867</v>
      </c>
      <c r="B2100" t="s">
        <v>26</v>
      </c>
      <c r="C2100">
        <v>63295</v>
      </c>
      <c r="D2100" t="s">
        <v>36</v>
      </c>
      <c r="E2100" s="7">
        <v>75</v>
      </c>
      <c r="F2100" t="s">
        <v>20</v>
      </c>
      <c r="G2100" t="s">
        <v>21</v>
      </c>
      <c r="H2100" t="str">
        <f>"FEB. 2020"</f>
        <v>FEB. 2020</v>
      </c>
      <c r="I2100" t="str">
        <f>"GLORIA M. CANTU"</f>
        <v>GLORIA M. CANTU</v>
      </c>
    </row>
    <row r="2101" spans="1:9" x14ac:dyDescent="0.25">
      <c r="A2101" s="6">
        <v>43867</v>
      </c>
      <c r="B2101" t="s">
        <v>26</v>
      </c>
      <c r="C2101">
        <v>63296</v>
      </c>
      <c r="D2101" t="s">
        <v>312</v>
      </c>
      <c r="E2101" s="7">
        <v>84</v>
      </c>
      <c r="F2101" t="s">
        <v>20</v>
      </c>
      <c r="G2101" t="s">
        <v>21</v>
      </c>
      <c r="H2101" t="str">
        <f>"19-2954"</f>
        <v>19-2954</v>
      </c>
      <c r="I2101" t="str">
        <f>"FULLER'S ALAMO SAFE AND LOCK"</f>
        <v>FULLER'S ALAMO SAFE AND LOCK</v>
      </c>
    </row>
    <row r="2102" spans="1:9" x14ac:dyDescent="0.25">
      <c r="A2102" s="6">
        <v>43867</v>
      </c>
      <c r="B2102" t="s">
        <v>26</v>
      </c>
      <c r="C2102">
        <v>63297</v>
      </c>
      <c r="D2102" t="s">
        <v>38</v>
      </c>
      <c r="E2102" s="7">
        <v>100</v>
      </c>
      <c r="F2102" t="s">
        <v>20</v>
      </c>
      <c r="G2102" t="s">
        <v>21</v>
      </c>
      <c r="H2102" t="str">
        <f>"FEB.2020"</f>
        <v>FEB.2020</v>
      </c>
      <c r="I2102" t="str">
        <f>"CECELIA GONZALEZ-DIPPEL"</f>
        <v>CECELIA GONZALEZ-DIPPEL</v>
      </c>
    </row>
    <row r="2103" spans="1:9" x14ac:dyDescent="0.25">
      <c r="A2103" s="6">
        <v>43867</v>
      </c>
      <c r="B2103" t="s">
        <v>26</v>
      </c>
      <c r="C2103">
        <v>63298</v>
      </c>
      <c r="D2103" t="s">
        <v>195</v>
      </c>
      <c r="E2103" s="7">
        <v>3370.97</v>
      </c>
      <c r="F2103" t="s">
        <v>20</v>
      </c>
      <c r="G2103" t="s">
        <v>21</v>
      </c>
      <c r="H2103" t="str">
        <f>"1565202001"</f>
        <v>1565202001</v>
      </c>
      <c r="I2103" t="str">
        <f>"ARISTA INFORMATION SYSTEMS  IN"</f>
        <v>ARISTA INFORMATION SYSTEMS  IN</v>
      </c>
    </row>
    <row r="2104" spans="1:9" x14ac:dyDescent="0.25">
      <c r="E2104" s="7"/>
      <c r="F2104" t="s">
        <v>20</v>
      </c>
      <c r="G2104" t="s">
        <v>21</v>
      </c>
      <c r="H2104" t="str">
        <f>"28949"</f>
        <v>28949</v>
      </c>
      <c r="I2104" t="str">
        <f>"ARISTA INFORMATION SYSTEMS  IN"</f>
        <v>ARISTA INFORMATION SYSTEMS  IN</v>
      </c>
    </row>
    <row r="2105" spans="1:9" x14ac:dyDescent="0.25">
      <c r="A2105" s="6">
        <v>43867</v>
      </c>
      <c r="B2105" t="s">
        <v>26</v>
      </c>
      <c r="C2105">
        <v>63299</v>
      </c>
      <c r="D2105" t="s">
        <v>536</v>
      </c>
      <c r="E2105" s="7">
        <v>1092.42</v>
      </c>
      <c r="F2105" t="s">
        <v>20</v>
      </c>
      <c r="G2105" t="s">
        <v>21</v>
      </c>
      <c r="H2105" t="str">
        <f>"8111203606"</f>
        <v>8111203606</v>
      </c>
      <c r="I2105" t="str">
        <f>"COCA-COLA SOUTHWEST BEVERAGES"</f>
        <v>COCA-COLA SOUTHWEST BEVERAGES</v>
      </c>
    </row>
    <row r="2106" spans="1:9" x14ac:dyDescent="0.25">
      <c r="E2106" s="7"/>
      <c r="F2106" t="s">
        <v>20</v>
      </c>
      <c r="G2106" t="s">
        <v>21</v>
      </c>
      <c r="H2106" t="str">
        <f>"8118203699"</f>
        <v>8118203699</v>
      </c>
      <c r="I2106" t="str">
        <f>"COCA-COLA SOUTHWEST BEVERAGES"</f>
        <v>COCA-COLA SOUTHWEST BEVERAGES</v>
      </c>
    </row>
    <row r="2107" spans="1:9" x14ac:dyDescent="0.25">
      <c r="E2107" s="7"/>
      <c r="F2107" t="s">
        <v>20</v>
      </c>
      <c r="G2107" t="s">
        <v>21</v>
      </c>
      <c r="H2107" t="str">
        <f>"8157202569"</f>
        <v>8157202569</v>
      </c>
      <c r="I2107" t="str">
        <f>"COCA-COLA SOUTHWEST BEVERAGES"</f>
        <v>COCA-COLA SOUTHWEST BEVERAGES</v>
      </c>
    </row>
    <row r="2108" spans="1:9" x14ac:dyDescent="0.25">
      <c r="A2108" s="6">
        <v>43867</v>
      </c>
      <c r="B2108" t="s">
        <v>26</v>
      </c>
      <c r="C2108">
        <v>63300</v>
      </c>
      <c r="D2108" t="s">
        <v>345</v>
      </c>
      <c r="E2108" s="7">
        <v>275</v>
      </c>
      <c r="F2108" t="s">
        <v>20</v>
      </c>
      <c r="G2108" t="s">
        <v>21</v>
      </c>
      <c r="H2108" t="str">
        <f>"2/3/2020"</f>
        <v>2/3/2020</v>
      </c>
      <c r="I2108" t="str">
        <f>"MICHAEL ISAAC MARTINEZ"</f>
        <v>MICHAEL ISAAC MARTINEZ</v>
      </c>
    </row>
    <row r="2109" spans="1:9" x14ac:dyDescent="0.25">
      <c r="A2109" s="6">
        <v>43867</v>
      </c>
      <c r="B2109" t="s">
        <v>26</v>
      </c>
      <c r="C2109">
        <v>63301</v>
      </c>
      <c r="D2109" t="s">
        <v>398</v>
      </c>
      <c r="E2109" s="7">
        <v>740.71</v>
      </c>
      <c r="F2109" t="s">
        <v>20</v>
      </c>
      <c r="G2109" t="s">
        <v>21</v>
      </c>
      <c r="H2109" t="str">
        <f>"1478"</f>
        <v>1478</v>
      </c>
      <c r="I2109" t="str">
        <f>"INTERCEPTOR TECHNOLOGY GROUP L"</f>
        <v>INTERCEPTOR TECHNOLOGY GROUP L</v>
      </c>
    </row>
    <row r="2110" spans="1:9" x14ac:dyDescent="0.25">
      <c r="A2110" s="6">
        <v>43867</v>
      </c>
      <c r="B2110" t="s">
        <v>26</v>
      </c>
      <c r="C2110">
        <v>63302</v>
      </c>
      <c r="D2110" t="s">
        <v>182</v>
      </c>
      <c r="E2110" s="7">
        <v>499.82</v>
      </c>
      <c r="F2110" t="s">
        <v>20</v>
      </c>
      <c r="G2110" t="s">
        <v>21</v>
      </c>
      <c r="H2110" t="str">
        <f>"2/10-14-2020 CLASS"</f>
        <v>2/10-14-2020 CLASS</v>
      </c>
      <c r="I2110" t="str">
        <f>"DAVID INOUYE"</f>
        <v>DAVID INOUYE</v>
      </c>
    </row>
    <row r="2111" spans="1:9" x14ac:dyDescent="0.25">
      <c r="A2111" s="6">
        <v>43867</v>
      </c>
      <c r="B2111" t="s">
        <v>26</v>
      </c>
      <c r="C2111">
        <v>63303</v>
      </c>
      <c r="D2111" t="s">
        <v>447</v>
      </c>
      <c r="E2111" s="7">
        <v>46</v>
      </c>
      <c r="F2111" t="s">
        <v>20</v>
      </c>
      <c r="G2111" t="s">
        <v>21</v>
      </c>
      <c r="H2111" t="str">
        <f>"TRAINING 2/3/2020"</f>
        <v>TRAINING 2/3/2020</v>
      </c>
      <c r="I2111" t="str">
        <f>"VICTOR FAVELLA"</f>
        <v>VICTOR FAVELLA</v>
      </c>
    </row>
    <row r="2112" spans="1:9" x14ac:dyDescent="0.25">
      <c r="A2112" s="6">
        <v>43867</v>
      </c>
      <c r="B2112" t="s">
        <v>26</v>
      </c>
      <c r="C2112">
        <v>63304</v>
      </c>
      <c r="D2112" t="s">
        <v>483</v>
      </c>
      <c r="E2112" s="7">
        <v>401.85</v>
      </c>
      <c r="F2112" t="s">
        <v>20</v>
      </c>
      <c r="G2112" t="s">
        <v>21</v>
      </c>
      <c r="H2112" t="str">
        <f>"5417193"</f>
        <v>5417193</v>
      </c>
      <c r="I2112" t="str">
        <f>"WW SUPPLIES"</f>
        <v>WW SUPPLIES</v>
      </c>
    </row>
    <row r="2113" spans="1:9" x14ac:dyDescent="0.25">
      <c r="A2113" s="6">
        <v>43867</v>
      </c>
      <c r="B2113" t="s">
        <v>26</v>
      </c>
      <c r="C2113">
        <v>63305</v>
      </c>
      <c r="D2113" t="s">
        <v>528</v>
      </c>
      <c r="E2113" s="7">
        <v>236.05</v>
      </c>
      <c r="F2113" t="s">
        <v>20</v>
      </c>
      <c r="G2113" t="s">
        <v>21</v>
      </c>
      <c r="H2113" t="str">
        <f>"10183293"</f>
        <v>10183293</v>
      </c>
      <c r="I2113" t="str">
        <f>"PROSTAR SERVICES INC"</f>
        <v>PROSTAR SERVICES INC</v>
      </c>
    </row>
    <row r="2114" spans="1:9" x14ac:dyDescent="0.25">
      <c r="A2114" s="6">
        <v>43867</v>
      </c>
      <c r="B2114" t="s">
        <v>26</v>
      </c>
      <c r="C2114">
        <v>63306</v>
      </c>
      <c r="D2114" t="s">
        <v>558</v>
      </c>
      <c r="E2114" s="7">
        <v>75</v>
      </c>
      <c r="F2114" t="s">
        <v>20</v>
      </c>
      <c r="G2114" t="s">
        <v>21</v>
      </c>
      <c r="H2114" t="str">
        <f>"FEB. 2020"</f>
        <v>FEB. 2020</v>
      </c>
      <c r="I2114" t="str">
        <f>"MARISSA XIMENEZ"</f>
        <v>MARISSA XIMENEZ</v>
      </c>
    </row>
    <row r="2115" spans="1:9" x14ac:dyDescent="0.25">
      <c r="A2115" s="6">
        <v>43867</v>
      </c>
      <c r="B2115" t="s">
        <v>26</v>
      </c>
      <c r="C2115">
        <v>63307</v>
      </c>
      <c r="D2115" t="s">
        <v>644</v>
      </c>
      <c r="E2115" s="7">
        <v>1403.48</v>
      </c>
      <c r="F2115" t="s">
        <v>20</v>
      </c>
      <c r="G2115" t="s">
        <v>21</v>
      </c>
      <c r="H2115" t="str">
        <f>"8213416200"</f>
        <v>8213416200</v>
      </c>
      <c r="I2115" t="str">
        <f t="shared" ref="I2115:I2128" si="39">"UNIFIRST CORPORATION"</f>
        <v>UNIFIRST CORPORATION</v>
      </c>
    </row>
    <row r="2116" spans="1:9" x14ac:dyDescent="0.25">
      <c r="E2116" s="7"/>
      <c r="F2116" t="s">
        <v>20</v>
      </c>
      <c r="G2116" t="s">
        <v>21</v>
      </c>
      <c r="H2116" t="str">
        <f>"8213416201"</f>
        <v>8213416201</v>
      </c>
      <c r="I2116" t="str">
        <f t="shared" si="39"/>
        <v>UNIFIRST CORPORATION</v>
      </c>
    </row>
    <row r="2117" spans="1:9" x14ac:dyDescent="0.25">
      <c r="E2117" s="7"/>
      <c r="F2117" t="s">
        <v>20</v>
      </c>
      <c r="G2117" t="s">
        <v>21</v>
      </c>
      <c r="H2117" t="str">
        <f>"8213416202"</f>
        <v>8213416202</v>
      </c>
      <c r="I2117" t="str">
        <f t="shared" si="39"/>
        <v>UNIFIRST CORPORATION</v>
      </c>
    </row>
    <row r="2118" spans="1:9" x14ac:dyDescent="0.25">
      <c r="E2118" s="7"/>
      <c r="F2118" t="s">
        <v>20</v>
      </c>
      <c r="G2118" t="s">
        <v>21</v>
      </c>
      <c r="H2118" t="str">
        <f>"8213416203"</f>
        <v>8213416203</v>
      </c>
      <c r="I2118" t="str">
        <f t="shared" si="39"/>
        <v>UNIFIRST CORPORATION</v>
      </c>
    </row>
    <row r="2119" spans="1:9" x14ac:dyDescent="0.25">
      <c r="E2119" s="7"/>
      <c r="F2119" t="s">
        <v>20</v>
      </c>
      <c r="G2119" t="s">
        <v>21</v>
      </c>
      <c r="H2119" t="str">
        <f>"8213416204"</f>
        <v>8213416204</v>
      </c>
      <c r="I2119" t="str">
        <f t="shared" si="39"/>
        <v>UNIFIRST CORPORATION</v>
      </c>
    </row>
    <row r="2120" spans="1:9" x14ac:dyDescent="0.25">
      <c r="E2120" s="7"/>
      <c r="F2120" t="s">
        <v>20</v>
      </c>
      <c r="G2120" t="s">
        <v>21</v>
      </c>
      <c r="H2120" t="str">
        <f>"8213416205"</f>
        <v>8213416205</v>
      </c>
      <c r="I2120" t="str">
        <f t="shared" si="39"/>
        <v>UNIFIRST CORPORATION</v>
      </c>
    </row>
    <row r="2121" spans="1:9" x14ac:dyDescent="0.25">
      <c r="E2121" s="7"/>
      <c r="F2121" t="s">
        <v>20</v>
      </c>
      <c r="G2121" t="s">
        <v>21</v>
      </c>
      <c r="H2121" t="str">
        <f>"8213416206"</f>
        <v>8213416206</v>
      </c>
      <c r="I2121" t="str">
        <f t="shared" si="39"/>
        <v>UNIFIRST CORPORATION</v>
      </c>
    </row>
    <row r="2122" spans="1:9" x14ac:dyDescent="0.25">
      <c r="E2122" s="7"/>
      <c r="F2122" t="s">
        <v>20</v>
      </c>
      <c r="G2122" t="s">
        <v>21</v>
      </c>
      <c r="H2122" t="str">
        <f>"8213418917"</f>
        <v>8213418917</v>
      </c>
      <c r="I2122" t="str">
        <f t="shared" si="39"/>
        <v>UNIFIRST CORPORATION</v>
      </c>
    </row>
    <row r="2123" spans="1:9" x14ac:dyDescent="0.25">
      <c r="E2123" s="7"/>
      <c r="F2123" t="s">
        <v>20</v>
      </c>
      <c r="G2123" t="s">
        <v>21</v>
      </c>
      <c r="H2123" t="str">
        <f>"8213418918"</f>
        <v>8213418918</v>
      </c>
      <c r="I2123" t="str">
        <f t="shared" si="39"/>
        <v>UNIFIRST CORPORATION</v>
      </c>
    </row>
    <row r="2124" spans="1:9" x14ac:dyDescent="0.25">
      <c r="E2124" s="7"/>
      <c r="F2124" t="s">
        <v>20</v>
      </c>
      <c r="G2124" t="s">
        <v>21</v>
      </c>
      <c r="H2124" t="str">
        <f>"8213418919"</f>
        <v>8213418919</v>
      </c>
      <c r="I2124" t="str">
        <f t="shared" si="39"/>
        <v>UNIFIRST CORPORATION</v>
      </c>
    </row>
    <row r="2125" spans="1:9" x14ac:dyDescent="0.25">
      <c r="E2125" s="7"/>
      <c r="F2125" t="s">
        <v>20</v>
      </c>
      <c r="G2125" t="s">
        <v>21</v>
      </c>
      <c r="H2125" t="str">
        <f>"8213418920"</f>
        <v>8213418920</v>
      </c>
      <c r="I2125" t="str">
        <f t="shared" si="39"/>
        <v>UNIFIRST CORPORATION</v>
      </c>
    </row>
    <row r="2126" spans="1:9" x14ac:dyDescent="0.25">
      <c r="E2126" s="7"/>
      <c r="F2126" t="s">
        <v>20</v>
      </c>
      <c r="G2126" t="s">
        <v>21</v>
      </c>
      <c r="H2126" t="str">
        <f>"8213418921"</f>
        <v>8213418921</v>
      </c>
      <c r="I2126" t="str">
        <f t="shared" si="39"/>
        <v>UNIFIRST CORPORATION</v>
      </c>
    </row>
    <row r="2127" spans="1:9" x14ac:dyDescent="0.25">
      <c r="E2127" s="7"/>
      <c r="F2127" t="s">
        <v>20</v>
      </c>
      <c r="G2127" t="s">
        <v>21</v>
      </c>
      <c r="H2127" t="str">
        <f>"8213418922"</f>
        <v>8213418922</v>
      </c>
      <c r="I2127" t="str">
        <f t="shared" si="39"/>
        <v>UNIFIRST CORPORATION</v>
      </c>
    </row>
    <row r="2128" spans="1:9" x14ac:dyDescent="0.25">
      <c r="E2128" s="7"/>
      <c r="F2128" t="s">
        <v>20</v>
      </c>
      <c r="G2128" t="s">
        <v>21</v>
      </c>
      <c r="H2128" t="str">
        <f>"8213418923"</f>
        <v>8213418923</v>
      </c>
      <c r="I2128" t="str">
        <f t="shared" si="39"/>
        <v>UNIFIRST CORPORATION</v>
      </c>
    </row>
    <row r="2129" spans="1:9" x14ac:dyDescent="0.25">
      <c r="A2129" s="6">
        <v>43867</v>
      </c>
      <c r="B2129" t="s">
        <v>26</v>
      </c>
      <c r="C2129">
        <v>63310</v>
      </c>
      <c r="D2129" t="s">
        <v>696</v>
      </c>
      <c r="E2129" s="7">
        <v>55</v>
      </c>
      <c r="F2129" t="s">
        <v>20</v>
      </c>
      <c r="G2129" t="s">
        <v>21</v>
      </c>
      <c r="H2129" t="str">
        <f>"2/1/2020"</f>
        <v>2/1/2020</v>
      </c>
      <c r="I2129" t="str">
        <f>"ANGEL G. ROSAS"</f>
        <v>ANGEL G. ROSAS</v>
      </c>
    </row>
    <row r="2130" spans="1:9" x14ac:dyDescent="0.25">
      <c r="A2130" s="6">
        <v>43867</v>
      </c>
      <c r="B2130" t="s">
        <v>26</v>
      </c>
      <c r="C2130">
        <v>63311</v>
      </c>
      <c r="D2130" t="s">
        <v>752</v>
      </c>
      <c r="E2130" s="7">
        <v>55</v>
      </c>
      <c r="F2130" t="s">
        <v>20</v>
      </c>
      <c r="G2130" t="s">
        <v>21</v>
      </c>
      <c r="H2130" t="str">
        <f>"2/1/2020"</f>
        <v>2/1/2020</v>
      </c>
      <c r="I2130" t="str">
        <f>"BLANCA PEREZ"</f>
        <v>BLANCA PEREZ</v>
      </c>
    </row>
    <row r="2131" spans="1:9" x14ac:dyDescent="0.25">
      <c r="A2131" s="6">
        <v>43867</v>
      </c>
      <c r="B2131" t="s">
        <v>26</v>
      </c>
      <c r="C2131">
        <v>63312</v>
      </c>
      <c r="D2131" t="s">
        <v>762</v>
      </c>
      <c r="E2131" s="7">
        <v>161.04</v>
      </c>
      <c r="F2131" t="s">
        <v>20</v>
      </c>
      <c r="G2131" t="s">
        <v>21</v>
      </c>
      <c r="H2131" t="str">
        <f>"TEEX CLASS 3/18/20"</f>
        <v>TEEX CLASS 3/18/20</v>
      </c>
      <c r="I2131" t="str">
        <f>"WESLEY PELECH"</f>
        <v>WESLEY PELECH</v>
      </c>
    </row>
    <row r="2132" spans="1:9" x14ac:dyDescent="0.25">
      <c r="A2132" s="6">
        <v>43867</v>
      </c>
      <c r="B2132" t="s">
        <v>26</v>
      </c>
      <c r="C2132">
        <v>63313</v>
      </c>
      <c r="D2132" t="s">
        <v>814</v>
      </c>
      <c r="E2132" s="7">
        <v>155</v>
      </c>
      <c r="F2132" t="s">
        <v>20</v>
      </c>
      <c r="G2132" t="s">
        <v>21</v>
      </c>
      <c r="H2132" t="str">
        <f>"1/27/2020"</f>
        <v>1/27/2020</v>
      </c>
      <c r="I2132" t="str">
        <f>"RACHEL GARCIA"</f>
        <v>RACHEL GARCIA</v>
      </c>
    </row>
    <row r="2133" spans="1:9" x14ac:dyDescent="0.25">
      <c r="A2133" s="6">
        <v>43867</v>
      </c>
      <c r="B2133" t="s">
        <v>26</v>
      </c>
      <c r="C2133">
        <v>63314</v>
      </c>
      <c r="D2133" t="s">
        <v>824</v>
      </c>
      <c r="E2133" s="7">
        <v>55</v>
      </c>
      <c r="F2133" t="s">
        <v>20</v>
      </c>
      <c r="G2133" t="s">
        <v>21</v>
      </c>
      <c r="H2133" t="str">
        <f>"2/1/2020"</f>
        <v>2/1/2020</v>
      </c>
      <c r="I2133" t="str">
        <f>"MALLORY R. NELSON"</f>
        <v>MALLORY R. NELSON</v>
      </c>
    </row>
    <row r="2134" spans="1:9" x14ac:dyDescent="0.25">
      <c r="A2134" s="6">
        <v>43867</v>
      </c>
      <c r="B2134" t="s">
        <v>26</v>
      </c>
      <c r="C2134">
        <v>63315</v>
      </c>
      <c r="D2134" t="s">
        <v>836</v>
      </c>
      <c r="E2134" s="7">
        <v>1762</v>
      </c>
      <c r="F2134" t="s">
        <v>20</v>
      </c>
      <c r="G2134" t="s">
        <v>21</v>
      </c>
      <c r="H2134" t="str">
        <f>"60874"</f>
        <v>60874</v>
      </c>
      <c r="I2134" t="str">
        <f>"BARCOM TECHNOLOGY SOLUTIONS  I"</f>
        <v>BARCOM TECHNOLOGY SOLUTIONS  I</v>
      </c>
    </row>
    <row r="2135" spans="1:9" x14ac:dyDescent="0.25">
      <c r="A2135" s="6">
        <v>43867</v>
      </c>
      <c r="B2135" t="s">
        <v>26</v>
      </c>
      <c r="C2135">
        <v>63316</v>
      </c>
      <c r="D2135" t="s">
        <v>883</v>
      </c>
      <c r="E2135" s="7">
        <v>342.88</v>
      </c>
      <c r="F2135" t="s">
        <v>20</v>
      </c>
      <c r="G2135" t="s">
        <v>21</v>
      </c>
      <c r="H2135" t="str">
        <f>"19120900845"</f>
        <v>19120900845</v>
      </c>
      <c r="I2135" t="str">
        <f>"MANUEL FOR PD"</f>
        <v>MANUEL FOR PD</v>
      </c>
    </row>
    <row r="2136" spans="1:9" x14ac:dyDescent="0.25">
      <c r="A2136" s="6">
        <v>43867</v>
      </c>
      <c r="B2136" t="s">
        <v>26</v>
      </c>
      <c r="C2136">
        <v>63317</v>
      </c>
      <c r="D2136" t="s">
        <v>874</v>
      </c>
      <c r="E2136" s="7">
        <v>17720.25</v>
      </c>
      <c r="F2136" t="s">
        <v>20</v>
      </c>
      <c r="G2136" t="s">
        <v>21</v>
      </c>
      <c r="H2136" t="str">
        <f>"12/9-01/31/2020"</f>
        <v>12/9-01/31/2020</v>
      </c>
      <c r="I2136" t="str">
        <f>"GARZA GOLANDO MORAN"</f>
        <v>GARZA GOLANDO MORAN</v>
      </c>
    </row>
    <row r="2137" spans="1:9" x14ac:dyDescent="0.25">
      <c r="A2137" s="6">
        <v>43867</v>
      </c>
      <c r="B2137" t="s">
        <v>26</v>
      </c>
      <c r="C2137">
        <v>63318</v>
      </c>
      <c r="D2137" t="s">
        <v>884</v>
      </c>
      <c r="E2137" s="7">
        <v>161.04</v>
      </c>
      <c r="F2137" t="s">
        <v>20</v>
      </c>
      <c r="G2137" t="s">
        <v>21</v>
      </c>
      <c r="H2137" t="str">
        <f>"TEEX 3/18/2020"</f>
        <v>TEEX 3/18/2020</v>
      </c>
      <c r="I2137" t="str">
        <f>"DAVID PAINTER"</f>
        <v>DAVID PAINTER</v>
      </c>
    </row>
    <row r="2138" spans="1:9" x14ac:dyDescent="0.25">
      <c r="A2138" s="6">
        <v>43867</v>
      </c>
      <c r="B2138" t="s">
        <v>26</v>
      </c>
      <c r="C2138">
        <v>63319</v>
      </c>
      <c r="D2138" t="s">
        <v>885</v>
      </c>
      <c r="E2138" s="7">
        <v>60</v>
      </c>
      <c r="F2138" t="s">
        <v>20</v>
      </c>
      <c r="G2138" t="s">
        <v>21</v>
      </c>
      <c r="H2138" t="str">
        <f>"1/27/2020"</f>
        <v>1/27/2020</v>
      </c>
      <c r="I2138" t="str">
        <f>"MANUEL A. LOPEZ"</f>
        <v>MANUEL A. LOPEZ</v>
      </c>
    </row>
    <row r="2139" spans="1:9" x14ac:dyDescent="0.25">
      <c r="A2139" s="6">
        <v>43867</v>
      </c>
      <c r="B2139" t="s">
        <v>26</v>
      </c>
      <c r="C2139">
        <v>63320</v>
      </c>
      <c r="D2139" t="s">
        <v>886</v>
      </c>
      <c r="E2139" s="7">
        <v>225</v>
      </c>
      <c r="F2139" t="s">
        <v>20</v>
      </c>
      <c r="G2139" t="s">
        <v>21</v>
      </c>
      <c r="H2139" t="str">
        <f>"0044115-IN"</f>
        <v>0044115-IN</v>
      </c>
      <c r="I2139" t="str">
        <f>"ROCIC"</f>
        <v>ROCIC</v>
      </c>
    </row>
    <row r="2140" spans="1:9" x14ac:dyDescent="0.25">
      <c r="A2140" s="6">
        <v>43867</v>
      </c>
      <c r="B2140" t="s">
        <v>26</v>
      </c>
      <c r="C2140">
        <v>63321</v>
      </c>
      <c r="D2140" t="s">
        <v>887</v>
      </c>
      <c r="E2140" s="7">
        <v>97.5</v>
      </c>
      <c r="F2140" t="s">
        <v>20</v>
      </c>
      <c r="G2140" t="s">
        <v>21</v>
      </c>
      <c r="H2140" t="str">
        <f>"CVW1900897"</f>
        <v>CVW1900897</v>
      </c>
      <c r="I2140" t="str">
        <f>"DEBORAH BRYAN"</f>
        <v>DEBORAH BRYAN</v>
      </c>
    </row>
    <row r="2141" spans="1:9" x14ac:dyDescent="0.25">
      <c r="A2141" s="6">
        <v>43867</v>
      </c>
      <c r="B2141" t="s">
        <v>26</v>
      </c>
      <c r="C2141">
        <v>63322</v>
      </c>
      <c r="D2141" t="s">
        <v>888</v>
      </c>
      <c r="E2141" s="7">
        <v>1332.5</v>
      </c>
      <c r="F2141" t="s">
        <v>20</v>
      </c>
      <c r="G2141" t="s">
        <v>21</v>
      </c>
      <c r="H2141" t="str">
        <f>"190063"</f>
        <v>190063</v>
      </c>
      <c r="I2141" t="str">
        <f>"JULIE VERASTEGUI  CSR"</f>
        <v>JULIE VERASTEGUI  CSR</v>
      </c>
    </row>
    <row r="2142" spans="1:9" x14ac:dyDescent="0.25">
      <c r="A2142" s="6">
        <v>43867</v>
      </c>
      <c r="B2142" t="s">
        <v>26</v>
      </c>
      <c r="C2142">
        <v>63323</v>
      </c>
      <c r="D2142" t="s">
        <v>889</v>
      </c>
      <c r="E2142" s="7">
        <v>75</v>
      </c>
      <c r="F2142" t="s">
        <v>20</v>
      </c>
      <c r="G2142" t="s">
        <v>21</v>
      </c>
      <c r="H2142" t="str">
        <f>"FEB. 2020"</f>
        <v>FEB. 2020</v>
      </c>
      <c r="I2142" t="str">
        <f>"JADE JIMENEZ"</f>
        <v>JADE JIMENEZ</v>
      </c>
    </row>
    <row r="2143" spans="1:9" x14ac:dyDescent="0.25">
      <c r="A2143" s="6">
        <v>43867</v>
      </c>
      <c r="B2143" t="s">
        <v>91</v>
      </c>
      <c r="C2143">
        <v>63324</v>
      </c>
      <c r="D2143" t="s">
        <v>430</v>
      </c>
      <c r="E2143" s="7">
        <v>46</v>
      </c>
      <c r="F2143" t="s">
        <v>20</v>
      </c>
      <c r="G2143" t="s">
        <v>21</v>
      </c>
      <c r="H2143" t="str">
        <f>"TRAINING 2/3/2020"</f>
        <v>TRAINING 2/3/2020</v>
      </c>
      <c r="I2143" t="str">
        <f>"GILBERT RODRIGUEZ"</f>
        <v>GILBERT RODRIGUEZ</v>
      </c>
    </row>
    <row r="2144" spans="1:9" x14ac:dyDescent="0.25">
      <c r="A2144" s="6">
        <v>43867</v>
      </c>
      <c r="B2144" t="s">
        <v>91</v>
      </c>
      <c r="C2144">
        <v>63324</v>
      </c>
      <c r="D2144" t="s">
        <v>430</v>
      </c>
      <c r="E2144" s="7">
        <v>46</v>
      </c>
      <c r="F2144" t="s">
        <v>20</v>
      </c>
      <c r="G2144" t="s">
        <v>93</v>
      </c>
      <c r="H2144" t="str">
        <f>"CHECK"</f>
        <v>CHECK</v>
      </c>
      <c r="I2144" t="str">
        <f>""</f>
        <v/>
      </c>
    </row>
    <row r="2145" spans="1:9" x14ac:dyDescent="0.25">
      <c r="A2145" s="6">
        <v>43868</v>
      </c>
      <c r="B2145" t="s">
        <v>26</v>
      </c>
      <c r="C2145">
        <v>63325</v>
      </c>
      <c r="D2145" t="s">
        <v>84</v>
      </c>
      <c r="E2145" s="7">
        <v>55932.05</v>
      </c>
      <c r="F2145" t="s">
        <v>20</v>
      </c>
      <c r="G2145" t="s">
        <v>21</v>
      </c>
      <c r="H2145" t="str">
        <f>"1475360 FINAL"</f>
        <v>1475360 FINAL</v>
      </c>
      <c r="I2145" t="str">
        <f>"STANTEC CONSULTING SERVICES IN"</f>
        <v>STANTEC CONSULTING SERVICES IN</v>
      </c>
    </row>
    <row r="2146" spans="1:9" x14ac:dyDescent="0.25">
      <c r="A2146" s="6">
        <v>43872</v>
      </c>
      <c r="B2146" t="s">
        <v>26</v>
      </c>
      <c r="C2146">
        <v>63333</v>
      </c>
      <c r="D2146" t="s">
        <v>143</v>
      </c>
      <c r="E2146" s="7">
        <v>520.1</v>
      </c>
      <c r="F2146" t="s">
        <v>20</v>
      </c>
      <c r="G2146" t="s">
        <v>21</v>
      </c>
      <c r="H2146" t="str">
        <f>"9402195264"</f>
        <v>9402195264</v>
      </c>
      <c r="I2146" t="str">
        <f>"200 GALS OF OIL"</f>
        <v>200 GALS OF OIL</v>
      </c>
    </row>
    <row r="2147" spans="1:9" x14ac:dyDescent="0.25">
      <c r="A2147" s="6">
        <v>43872</v>
      </c>
      <c r="B2147" t="s">
        <v>26</v>
      </c>
      <c r="C2147">
        <v>63334</v>
      </c>
      <c r="D2147" t="s">
        <v>104</v>
      </c>
      <c r="E2147" s="7">
        <v>20.3</v>
      </c>
      <c r="F2147" t="s">
        <v>20</v>
      </c>
      <c r="G2147" t="s">
        <v>21</v>
      </c>
      <c r="H2147" t="str">
        <f>"1414200129"</f>
        <v>1414200129</v>
      </c>
      <c r="I2147" t="str">
        <f>"WILSON COUNTY NEWS"</f>
        <v>WILSON COUNTY NEWS</v>
      </c>
    </row>
    <row r="2148" spans="1:9" x14ac:dyDescent="0.25">
      <c r="A2148" s="6">
        <v>43872</v>
      </c>
      <c r="B2148" t="s">
        <v>26</v>
      </c>
      <c r="C2148">
        <v>63335</v>
      </c>
      <c r="D2148" t="s">
        <v>59</v>
      </c>
      <c r="E2148" s="7">
        <v>660.48</v>
      </c>
      <c r="F2148" t="s">
        <v>20</v>
      </c>
      <c r="G2148" t="s">
        <v>21</v>
      </c>
      <c r="H2148" t="str">
        <f>"1049892-1"</f>
        <v>1049892-1</v>
      </c>
      <c r="I2148" t="str">
        <f>"HYDRANT AND MISC STOCK"</f>
        <v>HYDRANT AND MISC STOCK</v>
      </c>
    </row>
    <row r="2149" spans="1:9" x14ac:dyDescent="0.25">
      <c r="A2149" s="6">
        <v>43872</v>
      </c>
      <c r="B2149" t="s">
        <v>26</v>
      </c>
      <c r="C2149">
        <v>63336</v>
      </c>
      <c r="D2149" t="s">
        <v>202</v>
      </c>
      <c r="E2149" s="7">
        <v>2074.79</v>
      </c>
      <c r="F2149" t="s">
        <v>20</v>
      </c>
      <c r="G2149" t="s">
        <v>21</v>
      </c>
      <c r="H2149" t="str">
        <f>"620488260"</f>
        <v>620488260</v>
      </c>
      <c r="I2149" t="str">
        <f>"A-2 BASE AND LRA COLD MIX"</f>
        <v>A-2 BASE AND LRA COLD MIX</v>
      </c>
    </row>
    <row r="2150" spans="1:9" x14ac:dyDescent="0.25">
      <c r="E2150" s="7"/>
      <c r="F2150" t="s">
        <v>20</v>
      </c>
      <c r="G2150" t="s">
        <v>21</v>
      </c>
      <c r="H2150" t="str">
        <f>"62048827"</f>
        <v>62048827</v>
      </c>
      <c r="I2150" t="str">
        <f>"A-2 BASE AND LRA COLD MIX"</f>
        <v>A-2 BASE AND LRA COLD MIX</v>
      </c>
    </row>
    <row r="2151" spans="1:9" x14ac:dyDescent="0.25">
      <c r="A2151" s="6">
        <v>43872</v>
      </c>
      <c r="B2151" t="s">
        <v>26</v>
      </c>
      <c r="C2151">
        <v>63337</v>
      </c>
      <c r="D2151" t="s">
        <v>179</v>
      </c>
      <c r="E2151" s="7">
        <v>106.24</v>
      </c>
      <c r="F2151" t="s">
        <v>20</v>
      </c>
      <c r="G2151" t="s">
        <v>21</v>
      </c>
      <c r="H2151" t="str">
        <f>"59577"</f>
        <v>59577</v>
      </c>
      <c r="I2151" t="str">
        <f>"STREET DEPT UNIT 201"</f>
        <v>STREET DEPT UNIT 201</v>
      </c>
    </row>
    <row r="2152" spans="1:9" x14ac:dyDescent="0.25">
      <c r="A2152" s="6">
        <v>43872</v>
      </c>
      <c r="B2152" t="s">
        <v>26</v>
      </c>
      <c r="C2152">
        <v>63338</v>
      </c>
      <c r="D2152" t="s">
        <v>180</v>
      </c>
      <c r="E2152" s="7">
        <v>137.91999999999999</v>
      </c>
      <c r="F2152" t="s">
        <v>20</v>
      </c>
      <c r="G2152" t="s">
        <v>21</v>
      </c>
      <c r="H2152" t="str">
        <f>"131109"</f>
        <v>131109</v>
      </c>
      <c r="I2152" t="str">
        <f>"LIGHTS AND FIXTURES"</f>
        <v>LIGHTS AND FIXTURES</v>
      </c>
    </row>
    <row r="2153" spans="1:9" x14ac:dyDescent="0.25">
      <c r="A2153" s="6">
        <v>43872</v>
      </c>
      <c r="B2153" t="s">
        <v>26</v>
      </c>
      <c r="C2153">
        <v>63339</v>
      </c>
      <c r="D2153" t="s">
        <v>108</v>
      </c>
      <c r="E2153" s="7">
        <v>1485.2</v>
      </c>
      <c r="F2153" t="s">
        <v>20</v>
      </c>
      <c r="G2153" t="s">
        <v>21</v>
      </c>
      <c r="H2153" t="str">
        <f>"041295641827"</f>
        <v>041295641827</v>
      </c>
      <c r="I2153" t="str">
        <f>"POOLSURE"</f>
        <v>POOLSURE</v>
      </c>
    </row>
    <row r="2154" spans="1:9" x14ac:dyDescent="0.25">
      <c r="A2154" s="6">
        <v>43872</v>
      </c>
      <c r="B2154" t="s">
        <v>26</v>
      </c>
      <c r="C2154">
        <v>63340</v>
      </c>
      <c r="D2154" t="s">
        <v>184</v>
      </c>
      <c r="E2154" s="7">
        <v>982</v>
      </c>
      <c r="F2154" t="s">
        <v>20</v>
      </c>
      <c r="G2154" t="s">
        <v>21</v>
      </c>
      <c r="H2154" t="str">
        <f>"1057-892"</f>
        <v>1057-892</v>
      </c>
      <c r="I2154" t="str">
        <f>"POLLUTION CONTROL SERVICES"</f>
        <v>POLLUTION CONTROL SERVICES</v>
      </c>
    </row>
    <row r="2155" spans="1:9" x14ac:dyDescent="0.25">
      <c r="E2155" s="7"/>
      <c r="F2155" t="s">
        <v>20</v>
      </c>
      <c r="G2155" t="s">
        <v>21</v>
      </c>
      <c r="H2155" t="str">
        <f>"1057-893"</f>
        <v>1057-893</v>
      </c>
      <c r="I2155" t="str">
        <f>"POLLUTION CONTROL SERVICES"</f>
        <v>POLLUTION CONTROL SERVICES</v>
      </c>
    </row>
    <row r="2156" spans="1:9" x14ac:dyDescent="0.25">
      <c r="A2156" s="6">
        <v>43872</v>
      </c>
      <c r="B2156" t="s">
        <v>26</v>
      </c>
      <c r="C2156">
        <v>63341</v>
      </c>
      <c r="D2156" t="s">
        <v>115</v>
      </c>
      <c r="E2156" s="7">
        <v>44.38</v>
      </c>
      <c r="F2156" t="s">
        <v>20</v>
      </c>
      <c r="G2156" t="s">
        <v>21</v>
      </c>
      <c r="H2156" t="str">
        <f>"3547604666"</f>
        <v>3547604666</v>
      </c>
      <c r="I2156" t="str">
        <f>"SHOP UNIT 605"</f>
        <v>SHOP UNIT 605</v>
      </c>
    </row>
    <row r="2157" spans="1:9" x14ac:dyDescent="0.25">
      <c r="A2157" s="6">
        <v>43872</v>
      </c>
      <c r="B2157" t="s">
        <v>26</v>
      </c>
      <c r="C2157">
        <v>63342</v>
      </c>
      <c r="D2157" t="s">
        <v>64</v>
      </c>
      <c r="E2157" s="7">
        <v>3808</v>
      </c>
      <c r="F2157" t="s">
        <v>20</v>
      </c>
      <c r="G2157" t="s">
        <v>21</v>
      </c>
      <c r="H2157" t="str">
        <f>"8050"</f>
        <v>8050</v>
      </c>
      <c r="I2157" t="str">
        <f>"DREWA DESIGNS  INC."</f>
        <v>DREWA DESIGNS  INC.</v>
      </c>
    </row>
    <row r="2158" spans="1:9" x14ac:dyDescent="0.25">
      <c r="A2158" s="6">
        <v>43872</v>
      </c>
      <c r="B2158" t="s">
        <v>26</v>
      </c>
      <c r="C2158">
        <v>63343</v>
      </c>
      <c r="D2158" t="s">
        <v>65</v>
      </c>
      <c r="E2158" s="7">
        <v>432.95</v>
      </c>
      <c r="F2158" t="s">
        <v>20</v>
      </c>
      <c r="G2158" t="s">
        <v>21</v>
      </c>
      <c r="H2158" t="str">
        <f>"7449 JAN.2020"</f>
        <v>7449 JAN.2020</v>
      </c>
      <c r="I2158" t="str">
        <f>"SAM'S CLUB/SYNCHRONY BANK"</f>
        <v>SAM'S CLUB/SYNCHRONY BANK</v>
      </c>
    </row>
    <row r="2159" spans="1:9" x14ac:dyDescent="0.25">
      <c r="A2159" s="6">
        <v>43872</v>
      </c>
      <c r="B2159" t="s">
        <v>26</v>
      </c>
      <c r="C2159">
        <v>63344</v>
      </c>
      <c r="D2159" t="s">
        <v>66</v>
      </c>
      <c r="E2159" s="7">
        <v>50</v>
      </c>
      <c r="F2159" t="s">
        <v>20</v>
      </c>
      <c r="G2159" t="s">
        <v>21</v>
      </c>
      <c r="H2159" t="str">
        <f>"57236"</f>
        <v>57236</v>
      </c>
      <c r="I2159" t="str">
        <f>"LOPEZ EXTERMINATING SERVICE  I"</f>
        <v>LOPEZ EXTERMINATING SERVICE  I</v>
      </c>
    </row>
    <row r="2160" spans="1:9" x14ac:dyDescent="0.25">
      <c r="A2160" s="6">
        <v>43872</v>
      </c>
      <c r="B2160" t="s">
        <v>26</v>
      </c>
      <c r="C2160">
        <v>63345</v>
      </c>
      <c r="D2160" t="s">
        <v>316</v>
      </c>
      <c r="E2160" s="7">
        <v>40566.26</v>
      </c>
      <c r="F2160" t="s">
        <v>20</v>
      </c>
      <c r="G2160" t="s">
        <v>21</v>
      </c>
      <c r="H2160" t="str">
        <f>"133364 FEB.2020"</f>
        <v>133364 FEB.2020</v>
      </c>
      <c r="I2160" t="s">
        <v>267</v>
      </c>
    </row>
    <row r="2161" spans="1:9" x14ac:dyDescent="0.25">
      <c r="A2161" s="6">
        <v>43872</v>
      </c>
      <c r="B2161" t="s">
        <v>26</v>
      </c>
      <c r="C2161">
        <v>63346</v>
      </c>
      <c r="D2161" t="s">
        <v>69</v>
      </c>
      <c r="E2161" s="7">
        <v>145.97999999999999</v>
      </c>
      <c r="F2161" t="s">
        <v>20</v>
      </c>
      <c r="G2161" t="s">
        <v>21</v>
      </c>
      <c r="H2161" t="str">
        <f>"145.98"</f>
        <v>145.98</v>
      </c>
      <c r="I2161" t="str">
        <f>"BELTS FOR MOWERS"</f>
        <v>BELTS FOR MOWERS</v>
      </c>
    </row>
    <row r="2162" spans="1:9" x14ac:dyDescent="0.25">
      <c r="A2162" s="6">
        <v>43872</v>
      </c>
      <c r="B2162" t="s">
        <v>26</v>
      </c>
      <c r="C2162">
        <v>63347</v>
      </c>
      <c r="D2162" t="s">
        <v>71</v>
      </c>
      <c r="E2162" s="7">
        <v>237.26</v>
      </c>
      <c r="F2162" t="s">
        <v>20</v>
      </c>
      <c r="G2162" t="s">
        <v>21</v>
      </c>
      <c r="H2162" t="str">
        <f>"4041005155"</f>
        <v>4041005155</v>
      </c>
      <c r="I2162" t="str">
        <f>"CINTAS CORPORATION #087"</f>
        <v>CINTAS CORPORATION #087</v>
      </c>
    </row>
    <row r="2163" spans="1:9" x14ac:dyDescent="0.25">
      <c r="E2163" s="7"/>
      <c r="F2163" t="s">
        <v>20</v>
      </c>
      <c r="G2163" t="s">
        <v>21</v>
      </c>
      <c r="H2163" t="str">
        <f>"4042132823"</f>
        <v>4042132823</v>
      </c>
      <c r="I2163" t="str">
        <f>"CINTAS CORPORATION #087"</f>
        <v>CINTAS CORPORATION #087</v>
      </c>
    </row>
    <row r="2164" spans="1:9" x14ac:dyDescent="0.25">
      <c r="A2164" s="6">
        <v>43872</v>
      </c>
      <c r="B2164" t="s">
        <v>26</v>
      </c>
      <c r="C2164">
        <v>63348</v>
      </c>
      <c r="D2164" t="s">
        <v>122</v>
      </c>
      <c r="E2164" s="7">
        <v>30</v>
      </c>
      <c r="F2164" t="s">
        <v>20</v>
      </c>
      <c r="G2164" t="s">
        <v>21</v>
      </c>
      <c r="H2164" t="str">
        <f>"704414"</f>
        <v>704414</v>
      </c>
      <c r="I2164" t="str">
        <f>"VILLA TIRES"</f>
        <v>VILLA TIRES</v>
      </c>
    </row>
    <row r="2165" spans="1:9" x14ac:dyDescent="0.25">
      <c r="E2165" s="7"/>
      <c r="F2165" t="s">
        <v>20</v>
      </c>
      <c r="G2165" t="s">
        <v>21</v>
      </c>
      <c r="H2165" t="str">
        <f>"704416"</f>
        <v>704416</v>
      </c>
      <c r="I2165" t="str">
        <f>"VILLA TIRES"</f>
        <v>VILLA TIRES</v>
      </c>
    </row>
    <row r="2166" spans="1:9" x14ac:dyDescent="0.25">
      <c r="A2166" s="6">
        <v>43872</v>
      </c>
      <c r="B2166" t="s">
        <v>26</v>
      </c>
      <c r="C2166">
        <v>63349</v>
      </c>
      <c r="D2166" t="s">
        <v>43</v>
      </c>
      <c r="E2166" s="7">
        <v>307.36</v>
      </c>
      <c r="F2166" t="s">
        <v>20</v>
      </c>
      <c r="G2166" t="s">
        <v>21</v>
      </c>
      <c r="H2166" t="str">
        <f>"2/24-2/26/2020"</f>
        <v>2/24-2/26/2020</v>
      </c>
      <c r="I2166" t="str">
        <f>"ANDREA MARTINEZ"</f>
        <v>ANDREA MARTINEZ</v>
      </c>
    </row>
    <row r="2167" spans="1:9" x14ac:dyDescent="0.25">
      <c r="A2167" s="6">
        <v>43872</v>
      </c>
      <c r="B2167" t="s">
        <v>26</v>
      </c>
      <c r="C2167">
        <v>63350</v>
      </c>
      <c r="D2167" t="s">
        <v>124</v>
      </c>
      <c r="E2167" s="7">
        <v>371.32</v>
      </c>
      <c r="F2167" t="s">
        <v>20</v>
      </c>
      <c r="G2167" t="s">
        <v>21</v>
      </c>
      <c r="H2167" t="str">
        <f>"11182791"</f>
        <v>11182791</v>
      </c>
      <c r="I2167" t="str">
        <f>"WW SUPPLIES"</f>
        <v>WW SUPPLIES</v>
      </c>
    </row>
    <row r="2168" spans="1:9" x14ac:dyDescent="0.25">
      <c r="E2168" s="7"/>
      <c r="F2168" t="s">
        <v>20</v>
      </c>
      <c r="G2168" t="s">
        <v>21</v>
      </c>
      <c r="H2168" t="str">
        <f>"11182900"</f>
        <v>11182900</v>
      </c>
      <c r="I2168" t="str">
        <f>"WW SUPPLIES"</f>
        <v>WW SUPPLIES</v>
      </c>
    </row>
    <row r="2169" spans="1:9" x14ac:dyDescent="0.25">
      <c r="E2169" s="7"/>
      <c r="F2169" t="s">
        <v>20</v>
      </c>
      <c r="G2169" t="s">
        <v>21</v>
      </c>
      <c r="H2169" t="str">
        <f>"11183228"</f>
        <v>11183228</v>
      </c>
      <c r="I2169" t="str">
        <f>"CONCRETE PALLET"</f>
        <v>CONCRETE PALLET</v>
      </c>
    </row>
    <row r="2170" spans="1:9" x14ac:dyDescent="0.25">
      <c r="A2170" s="6">
        <v>43872</v>
      </c>
      <c r="B2170" t="s">
        <v>26</v>
      </c>
      <c r="C2170">
        <v>63352</v>
      </c>
      <c r="D2170" t="s">
        <v>534</v>
      </c>
      <c r="E2170" s="7">
        <v>107.17</v>
      </c>
      <c r="F2170" t="s">
        <v>20</v>
      </c>
      <c r="G2170" t="s">
        <v>21</v>
      </c>
      <c r="H2170" t="str">
        <f>"8404494915"</f>
        <v>8404494915</v>
      </c>
      <c r="I2170" t="str">
        <f>"CINTAS CORPORATION NO. 2"</f>
        <v>CINTAS CORPORATION NO. 2</v>
      </c>
    </row>
    <row r="2171" spans="1:9" x14ac:dyDescent="0.25">
      <c r="A2171" s="6">
        <v>43872</v>
      </c>
      <c r="B2171" t="s">
        <v>26</v>
      </c>
      <c r="C2171">
        <v>63353</v>
      </c>
      <c r="D2171" t="s">
        <v>79</v>
      </c>
      <c r="E2171" s="7">
        <v>21.33</v>
      </c>
      <c r="F2171" t="s">
        <v>20</v>
      </c>
      <c r="G2171" t="s">
        <v>21</v>
      </c>
      <c r="H2171" t="str">
        <f>"6-913-22085"</f>
        <v>6-913-22085</v>
      </c>
      <c r="I2171" t="str">
        <f>"FEDEX"</f>
        <v>FEDEX</v>
      </c>
    </row>
    <row r="2172" spans="1:9" x14ac:dyDescent="0.25">
      <c r="A2172" s="6">
        <v>43872</v>
      </c>
      <c r="B2172" t="s">
        <v>26</v>
      </c>
      <c r="C2172">
        <v>63354</v>
      </c>
      <c r="D2172" t="s">
        <v>31</v>
      </c>
      <c r="E2172" s="7">
        <v>2000</v>
      </c>
      <c r="F2172" t="s">
        <v>20</v>
      </c>
      <c r="G2172" t="s">
        <v>21</v>
      </c>
      <c r="H2172" t="str">
        <f>"2020232"</f>
        <v>2020232</v>
      </c>
      <c r="I2172" t="str">
        <f>"THE LAW OFFICE OF TOM CALDWELL"</f>
        <v>THE LAW OFFICE OF TOM CALDWELL</v>
      </c>
    </row>
    <row r="2173" spans="1:9" x14ac:dyDescent="0.25">
      <c r="A2173" s="6">
        <v>43872</v>
      </c>
      <c r="B2173" t="s">
        <v>26</v>
      </c>
      <c r="C2173">
        <v>63355</v>
      </c>
      <c r="D2173" t="s">
        <v>821</v>
      </c>
      <c r="E2173" s="7">
        <v>15872.5</v>
      </c>
      <c r="F2173" t="s">
        <v>20</v>
      </c>
      <c r="G2173" t="s">
        <v>21</v>
      </c>
      <c r="H2173" t="str">
        <f>"FRI7280"</f>
        <v>FRI7280</v>
      </c>
      <c r="I2173" t="str">
        <f>"AUSTIN ARMATURE WORKS  LP"</f>
        <v>AUSTIN ARMATURE WORKS  LP</v>
      </c>
    </row>
    <row r="2174" spans="1:9" x14ac:dyDescent="0.25">
      <c r="E2174" s="7"/>
      <c r="F2174" t="s">
        <v>20</v>
      </c>
      <c r="G2174" t="s">
        <v>21</v>
      </c>
      <c r="H2174" t="str">
        <f>"FRI7353"</f>
        <v>FRI7353</v>
      </c>
      <c r="I2174" t="str">
        <f>"CONTROL PANEL -CHANGE OUT"</f>
        <v>CONTROL PANEL -CHANGE OUT</v>
      </c>
    </row>
    <row r="2175" spans="1:9" x14ac:dyDescent="0.25">
      <c r="A2175" s="6">
        <v>43872</v>
      </c>
      <c r="B2175" t="s">
        <v>26</v>
      </c>
      <c r="C2175">
        <v>63356</v>
      </c>
      <c r="D2175" t="s">
        <v>131</v>
      </c>
      <c r="E2175" s="7">
        <v>18.38</v>
      </c>
      <c r="F2175" t="s">
        <v>20</v>
      </c>
      <c r="G2175" t="s">
        <v>21</v>
      </c>
      <c r="H2175" t="str">
        <f>"047499"</f>
        <v>047499</v>
      </c>
      <c r="I2175" t="str">
        <f>"UNIT206 OIL FILTER HEADLM"</f>
        <v>UNIT206 OIL FILTER HEADLM</v>
      </c>
    </row>
    <row r="2176" spans="1:9" x14ac:dyDescent="0.25">
      <c r="A2176" s="6">
        <v>43872</v>
      </c>
      <c r="B2176" t="s">
        <v>26</v>
      </c>
      <c r="C2176">
        <v>63357</v>
      </c>
      <c r="D2176" t="s">
        <v>153</v>
      </c>
      <c r="E2176" s="7">
        <v>1500</v>
      </c>
      <c r="F2176" t="s">
        <v>20</v>
      </c>
      <c r="G2176" t="s">
        <v>21</v>
      </c>
      <c r="H2176" t="str">
        <f>"030120"</f>
        <v>030120</v>
      </c>
      <c r="I2176" t="str">
        <f>"FULLER COMPANY"</f>
        <v>FULLER COMPANY</v>
      </c>
    </row>
    <row r="2177" spans="1:9" x14ac:dyDescent="0.25">
      <c r="A2177" s="6">
        <v>43872</v>
      </c>
      <c r="B2177" t="s">
        <v>26</v>
      </c>
      <c r="C2177">
        <v>63358</v>
      </c>
      <c r="D2177" t="s">
        <v>85</v>
      </c>
      <c r="E2177" s="7">
        <v>470.9</v>
      </c>
      <c r="F2177" t="s">
        <v>20</v>
      </c>
      <c r="G2177" t="s">
        <v>21</v>
      </c>
      <c r="H2177" t="str">
        <f>"3937070 JAN.2020"</f>
        <v>3937070 JAN.2020</v>
      </c>
      <c r="I2177" t="str">
        <f>"FRONTIER"</f>
        <v>FRONTIER</v>
      </c>
    </row>
    <row r="2178" spans="1:9" x14ac:dyDescent="0.25">
      <c r="A2178" s="6">
        <v>43872</v>
      </c>
      <c r="B2178" t="s">
        <v>26</v>
      </c>
      <c r="C2178">
        <v>63359</v>
      </c>
      <c r="D2178" t="s">
        <v>245</v>
      </c>
      <c r="E2178" s="7">
        <v>729</v>
      </c>
      <c r="F2178" t="s">
        <v>20</v>
      </c>
      <c r="G2178" t="s">
        <v>21</v>
      </c>
      <c r="H2178" t="str">
        <f>"157-3"</f>
        <v>157-3</v>
      </c>
      <c r="I2178" t="str">
        <f>"LJ PLUMBING"</f>
        <v>LJ PLUMBING</v>
      </c>
    </row>
    <row r="2179" spans="1:9" x14ac:dyDescent="0.25">
      <c r="A2179" s="6">
        <v>43872</v>
      </c>
      <c r="B2179" t="s">
        <v>26</v>
      </c>
      <c r="C2179">
        <v>63360</v>
      </c>
      <c r="D2179" t="s">
        <v>345</v>
      </c>
      <c r="E2179" s="7">
        <v>286</v>
      </c>
      <c r="F2179" t="s">
        <v>20</v>
      </c>
      <c r="G2179" t="s">
        <v>21</v>
      </c>
      <c r="H2179" t="str">
        <f>"2/10/2020"</f>
        <v>2/10/2020</v>
      </c>
      <c r="I2179" t="str">
        <f>"MICHAEL ISAAC MARTINEZ"</f>
        <v>MICHAEL ISAAC MARTINEZ</v>
      </c>
    </row>
    <row r="2180" spans="1:9" x14ac:dyDescent="0.25">
      <c r="A2180" s="6">
        <v>43872</v>
      </c>
      <c r="B2180" t="s">
        <v>26</v>
      </c>
      <c r="C2180">
        <v>63361</v>
      </c>
      <c r="D2180" t="s">
        <v>398</v>
      </c>
      <c r="E2180" s="7">
        <v>105</v>
      </c>
      <c r="F2180" t="s">
        <v>20</v>
      </c>
      <c r="G2180" t="s">
        <v>21</v>
      </c>
      <c r="H2180" t="str">
        <f>"1528"</f>
        <v>1528</v>
      </c>
      <c r="I2180" t="str">
        <f>"INTERCEPTOR TECHNOLOGY GROUP L"</f>
        <v>INTERCEPTOR TECHNOLOGY GROUP L</v>
      </c>
    </row>
    <row r="2181" spans="1:9" x14ac:dyDescent="0.25">
      <c r="A2181" s="6">
        <v>43872</v>
      </c>
      <c r="B2181" t="s">
        <v>26</v>
      </c>
      <c r="C2181">
        <v>63362</v>
      </c>
      <c r="D2181" t="s">
        <v>568</v>
      </c>
      <c r="E2181" s="7">
        <v>164.74</v>
      </c>
      <c r="F2181" t="s">
        <v>20</v>
      </c>
      <c r="G2181" t="s">
        <v>21</v>
      </c>
      <c r="H2181" t="str">
        <f>"12533871"</f>
        <v>12533871</v>
      </c>
      <c r="I2181" t="str">
        <f>"TIRE FOR PD UNIT #326"</f>
        <v>TIRE FOR PD UNIT #326</v>
      </c>
    </row>
    <row r="2182" spans="1:9" x14ac:dyDescent="0.25">
      <c r="A2182" s="6">
        <v>43872</v>
      </c>
      <c r="B2182" t="s">
        <v>26</v>
      </c>
      <c r="C2182">
        <v>63363</v>
      </c>
      <c r="D2182" t="s">
        <v>644</v>
      </c>
      <c r="E2182" s="7">
        <v>1337.81</v>
      </c>
      <c r="F2182" t="s">
        <v>20</v>
      </c>
      <c r="G2182" t="s">
        <v>21</v>
      </c>
      <c r="H2182" t="str">
        <f>"8213410608"</f>
        <v>8213410608</v>
      </c>
      <c r="I2182" t="str">
        <f t="shared" ref="I2182:I2195" si="40">"UNIFIRST CORPORATION"</f>
        <v>UNIFIRST CORPORATION</v>
      </c>
    </row>
    <row r="2183" spans="1:9" x14ac:dyDescent="0.25">
      <c r="E2183" s="7"/>
      <c r="F2183" t="s">
        <v>20</v>
      </c>
      <c r="G2183" t="s">
        <v>21</v>
      </c>
      <c r="H2183" t="str">
        <f>"8213410609"</f>
        <v>8213410609</v>
      </c>
      <c r="I2183" t="str">
        <f t="shared" si="40"/>
        <v>UNIFIRST CORPORATION</v>
      </c>
    </row>
    <row r="2184" spans="1:9" x14ac:dyDescent="0.25">
      <c r="E2184" s="7"/>
      <c r="F2184" t="s">
        <v>20</v>
      </c>
      <c r="G2184" t="s">
        <v>21</v>
      </c>
      <c r="H2184" t="str">
        <f>"8213410610"</f>
        <v>8213410610</v>
      </c>
      <c r="I2184" t="str">
        <f t="shared" si="40"/>
        <v>UNIFIRST CORPORATION</v>
      </c>
    </row>
    <row r="2185" spans="1:9" x14ac:dyDescent="0.25">
      <c r="E2185" s="7"/>
      <c r="F2185" t="s">
        <v>20</v>
      </c>
      <c r="G2185" t="s">
        <v>21</v>
      </c>
      <c r="H2185" t="str">
        <f>"8213410611"</f>
        <v>8213410611</v>
      </c>
      <c r="I2185" t="str">
        <f t="shared" si="40"/>
        <v>UNIFIRST CORPORATION</v>
      </c>
    </row>
    <row r="2186" spans="1:9" x14ac:dyDescent="0.25">
      <c r="E2186" s="7"/>
      <c r="F2186" t="s">
        <v>20</v>
      </c>
      <c r="G2186" t="s">
        <v>21</v>
      </c>
      <c r="H2186" t="str">
        <f>"8213410612"</f>
        <v>8213410612</v>
      </c>
      <c r="I2186" t="str">
        <f t="shared" si="40"/>
        <v>UNIFIRST CORPORATION</v>
      </c>
    </row>
    <row r="2187" spans="1:9" x14ac:dyDescent="0.25">
      <c r="E2187" s="7"/>
      <c r="F2187" t="s">
        <v>20</v>
      </c>
      <c r="G2187" t="s">
        <v>21</v>
      </c>
      <c r="H2187" t="str">
        <f>"8213410613"</f>
        <v>8213410613</v>
      </c>
      <c r="I2187" t="str">
        <f t="shared" si="40"/>
        <v>UNIFIRST CORPORATION</v>
      </c>
    </row>
    <row r="2188" spans="1:9" x14ac:dyDescent="0.25">
      <c r="E2188" s="7"/>
      <c r="F2188" t="s">
        <v>20</v>
      </c>
      <c r="G2188" t="s">
        <v>21</v>
      </c>
      <c r="H2188" t="str">
        <f>"8213413426"</f>
        <v>8213413426</v>
      </c>
      <c r="I2188" t="str">
        <f t="shared" si="40"/>
        <v>UNIFIRST CORPORATION</v>
      </c>
    </row>
    <row r="2189" spans="1:9" x14ac:dyDescent="0.25">
      <c r="E2189" s="7"/>
      <c r="F2189" t="s">
        <v>20</v>
      </c>
      <c r="G2189" t="s">
        <v>21</v>
      </c>
      <c r="H2189" t="str">
        <f>"8213421666"</f>
        <v>8213421666</v>
      </c>
      <c r="I2189" t="str">
        <f t="shared" si="40"/>
        <v>UNIFIRST CORPORATION</v>
      </c>
    </row>
    <row r="2190" spans="1:9" x14ac:dyDescent="0.25">
      <c r="E2190" s="7"/>
      <c r="F2190" t="s">
        <v>20</v>
      </c>
      <c r="G2190" t="s">
        <v>21</v>
      </c>
      <c r="H2190" t="str">
        <f>"8213421667"</f>
        <v>8213421667</v>
      </c>
      <c r="I2190" t="str">
        <f t="shared" si="40"/>
        <v>UNIFIRST CORPORATION</v>
      </c>
    </row>
    <row r="2191" spans="1:9" x14ac:dyDescent="0.25">
      <c r="E2191" s="7"/>
      <c r="F2191" t="s">
        <v>20</v>
      </c>
      <c r="G2191" t="s">
        <v>21</v>
      </c>
      <c r="H2191" t="str">
        <f>"8213421668"</f>
        <v>8213421668</v>
      </c>
      <c r="I2191" t="str">
        <f t="shared" si="40"/>
        <v>UNIFIRST CORPORATION</v>
      </c>
    </row>
    <row r="2192" spans="1:9" x14ac:dyDescent="0.25">
      <c r="E2192" s="7"/>
      <c r="F2192" t="s">
        <v>20</v>
      </c>
      <c r="G2192" t="s">
        <v>21</v>
      </c>
      <c r="H2192" t="str">
        <f>"8213421669"</f>
        <v>8213421669</v>
      </c>
      <c r="I2192" t="str">
        <f t="shared" si="40"/>
        <v>UNIFIRST CORPORATION</v>
      </c>
    </row>
    <row r="2193" spans="1:9" x14ac:dyDescent="0.25">
      <c r="E2193" s="7"/>
      <c r="F2193" t="s">
        <v>20</v>
      </c>
      <c r="G2193" t="s">
        <v>21</v>
      </c>
      <c r="H2193" t="str">
        <f>"8213421670"</f>
        <v>8213421670</v>
      </c>
      <c r="I2193" t="str">
        <f t="shared" si="40"/>
        <v>UNIFIRST CORPORATION</v>
      </c>
    </row>
    <row r="2194" spans="1:9" x14ac:dyDescent="0.25">
      <c r="E2194" s="7"/>
      <c r="F2194" t="s">
        <v>20</v>
      </c>
      <c r="G2194" t="s">
        <v>21</v>
      </c>
      <c r="H2194" t="str">
        <f>"8213421671"</f>
        <v>8213421671</v>
      </c>
      <c r="I2194" t="str">
        <f t="shared" si="40"/>
        <v>UNIFIRST CORPORATION</v>
      </c>
    </row>
    <row r="2195" spans="1:9" x14ac:dyDescent="0.25">
      <c r="E2195" s="7"/>
      <c r="F2195" t="s">
        <v>20</v>
      </c>
      <c r="G2195" t="s">
        <v>21</v>
      </c>
      <c r="H2195" t="str">
        <f>"8213421672"</f>
        <v>8213421672</v>
      </c>
      <c r="I2195" t="str">
        <f t="shared" si="40"/>
        <v>UNIFIRST CORPORATION</v>
      </c>
    </row>
    <row r="2196" spans="1:9" x14ac:dyDescent="0.25">
      <c r="A2196" s="6">
        <v>43872</v>
      </c>
      <c r="B2196" t="s">
        <v>26</v>
      </c>
      <c r="C2196">
        <v>63366</v>
      </c>
      <c r="D2196" t="s">
        <v>679</v>
      </c>
      <c r="E2196" s="7">
        <v>3167.5</v>
      </c>
      <c r="F2196" t="s">
        <v>20</v>
      </c>
      <c r="G2196" t="s">
        <v>21</v>
      </c>
      <c r="H2196" t="str">
        <f>"41300"</f>
        <v>41300</v>
      </c>
      <c r="I2196" t="str">
        <f>"RECORDS CONSULTANTS  INC"</f>
        <v>RECORDS CONSULTANTS  INC</v>
      </c>
    </row>
    <row r="2197" spans="1:9" x14ac:dyDescent="0.25">
      <c r="A2197" s="6">
        <v>43872</v>
      </c>
      <c r="B2197" t="s">
        <v>26</v>
      </c>
      <c r="C2197">
        <v>63367</v>
      </c>
      <c r="D2197" t="s">
        <v>814</v>
      </c>
      <c r="E2197" s="7">
        <v>120</v>
      </c>
      <c r="F2197" t="s">
        <v>20</v>
      </c>
      <c r="G2197" t="s">
        <v>21</v>
      </c>
      <c r="H2197" t="str">
        <f>"01/11/2020"</f>
        <v>01/11/2020</v>
      </c>
      <c r="I2197" t="str">
        <f>"RACHEL GARCIA"</f>
        <v>RACHEL GARCIA</v>
      </c>
    </row>
    <row r="2198" spans="1:9" x14ac:dyDescent="0.25">
      <c r="A2198" s="6">
        <v>43872</v>
      </c>
      <c r="B2198" t="s">
        <v>26</v>
      </c>
      <c r="C2198">
        <v>63368</v>
      </c>
      <c r="D2198" t="s">
        <v>885</v>
      </c>
      <c r="E2198" s="7">
        <v>70</v>
      </c>
      <c r="F2198" t="s">
        <v>20</v>
      </c>
      <c r="G2198" t="s">
        <v>21</v>
      </c>
      <c r="H2198" t="str">
        <f>"02/11/2020"</f>
        <v>02/11/2020</v>
      </c>
      <c r="I2198" t="str">
        <f>"MANUEL A. LOPEZ"</f>
        <v>MANUEL A. LOPEZ</v>
      </c>
    </row>
    <row r="2199" spans="1:9" x14ac:dyDescent="0.25">
      <c r="A2199" s="6">
        <v>43872</v>
      </c>
      <c r="B2199" t="s">
        <v>26</v>
      </c>
      <c r="C2199">
        <v>63369</v>
      </c>
      <c r="D2199" t="s">
        <v>890</v>
      </c>
      <c r="E2199" s="7">
        <v>32.64</v>
      </c>
      <c r="F2199" t="s">
        <v>20</v>
      </c>
      <c r="G2199" t="s">
        <v>21</v>
      </c>
      <c r="H2199" t="str">
        <f>"100009230351"</f>
        <v>100009230351</v>
      </c>
      <c r="I2199" t="str">
        <f>"RMA TOLL PROCESSING"</f>
        <v>RMA TOLL PROCESSING</v>
      </c>
    </row>
    <row r="2200" spans="1:9" x14ac:dyDescent="0.25">
      <c r="A2200" s="6">
        <v>43873</v>
      </c>
      <c r="B2200" t="s">
        <v>26</v>
      </c>
      <c r="C2200">
        <v>63370</v>
      </c>
      <c r="D2200" t="s">
        <v>51</v>
      </c>
      <c r="E2200" s="7">
        <v>346.31</v>
      </c>
      <c r="F2200" t="s">
        <v>20</v>
      </c>
      <c r="G2200" t="s">
        <v>21</v>
      </c>
      <c r="H2200" t="str">
        <f>"CLE202002118562"</f>
        <v>CLE202002118562</v>
      </c>
      <c r="I2200" t="str">
        <f>"CLEAT ONLY DUES"</f>
        <v>CLEAT ONLY DUES</v>
      </c>
    </row>
    <row r="2201" spans="1:9" x14ac:dyDescent="0.25">
      <c r="E2201" s="7"/>
      <c r="F2201" t="s">
        <v>20</v>
      </c>
      <c r="G2201" t="s">
        <v>21</v>
      </c>
      <c r="H2201" t="str">
        <f>"PDD202002118562"</f>
        <v>PDD202002118562</v>
      </c>
      <c r="I2201" t="str">
        <f>"POLICE OFFICERS ASSOC DUES"</f>
        <v>POLICE OFFICERS ASSOC DUES</v>
      </c>
    </row>
    <row r="2202" spans="1:9" x14ac:dyDescent="0.25">
      <c r="A2202" s="6">
        <v>43873</v>
      </c>
      <c r="B2202" t="s">
        <v>91</v>
      </c>
      <c r="C2202">
        <v>63371</v>
      </c>
      <c r="D2202" t="s">
        <v>90</v>
      </c>
      <c r="E2202" s="7">
        <v>101.1</v>
      </c>
      <c r="F2202" t="s">
        <v>20</v>
      </c>
      <c r="G2202" t="s">
        <v>21</v>
      </c>
      <c r="H2202" t="str">
        <f>"AFS202002118562"</f>
        <v>AFS202002118562</v>
      </c>
      <c r="I2202" t="str">
        <f>"AFLAC STD"</f>
        <v>AFLAC STD</v>
      </c>
    </row>
    <row r="2203" spans="1:9" x14ac:dyDescent="0.25">
      <c r="A2203" s="6">
        <v>43873</v>
      </c>
      <c r="B2203" t="s">
        <v>91</v>
      </c>
      <c r="C2203">
        <v>63371</v>
      </c>
      <c r="D2203" t="s">
        <v>90</v>
      </c>
      <c r="E2203" s="7">
        <v>101.1</v>
      </c>
      <c r="F2203" t="s">
        <v>20</v>
      </c>
      <c r="G2203" t="s">
        <v>93</v>
      </c>
      <c r="H2203" t="str">
        <f>"CHECK"</f>
        <v>CHECK</v>
      </c>
      <c r="I2203" t="str">
        <f>""</f>
        <v/>
      </c>
    </row>
    <row r="2204" spans="1:9" x14ac:dyDescent="0.25">
      <c r="A2204" s="6">
        <v>43873</v>
      </c>
      <c r="B2204" t="s">
        <v>26</v>
      </c>
      <c r="C2204">
        <v>63372</v>
      </c>
      <c r="D2204" t="s">
        <v>52</v>
      </c>
      <c r="E2204" s="7">
        <v>971.53</v>
      </c>
      <c r="F2204" t="s">
        <v>20</v>
      </c>
      <c r="G2204" t="s">
        <v>21</v>
      </c>
      <c r="H2204" t="str">
        <f>"CA1202002118562"</f>
        <v>CA1202002118562</v>
      </c>
      <c r="I2204" t="str">
        <f>"K RAMIREZ 001200229510060343CV"</f>
        <v>K RAMIREZ 001200229510060343CV</v>
      </c>
    </row>
    <row r="2205" spans="1:9" x14ac:dyDescent="0.25">
      <c r="E2205" s="7"/>
      <c r="F2205" t="s">
        <v>20</v>
      </c>
      <c r="G2205" t="s">
        <v>21</v>
      </c>
      <c r="H2205" t="str">
        <f>"CA2202002118562"</f>
        <v>CA2202002118562</v>
      </c>
      <c r="I2205" t="str">
        <f>"L HERNANDEZ 001016025203080354"</f>
        <v>L HERNANDEZ 001016025203080354</v>
      </c>
    </row>
    <row r="2206" spans="1:9" x14ac:dyDescent="0.25">
      <c r="E2206" s="7"/>
      <c r="F2206" t="s">
        <v>20</v>
      </c>
      <c r="G2206" t="s">
        <v>21</v>
      </c>
      <c r="H2206" t="str">
        <f>"CPS202002118562"</f>
        <v>CPS202002118562</v>
      </c>
      <c r="I2206" t="str">
        <f>"G MENDOZA 00123012032010EM5054"</f>
        <v>G MENDOZA 00123012032010EM5054</v>
      </c>
    </row>
    <row r="2207" spans="1:9" x14ac:dyDescent="0.25">
      <c r="E2207" s="7"/>
      <c r="F2207" t="s">
        <v>20</v>
      </c>
      <c r="G2207" t="s">
        <v>21</v>
      </c>
      <c r="H2207" t="str">
        <f>"CS 202002118562"</f>
        <v>CS 202002118562</v>
      </c>
      <c r="I2207" t="str">
        <f>"CAUSE#98EM504113 PEGGY RIVAS"</f>
        <v>CAUSE#98EM504113 PEGGY RIVAS</v>
      </c>
    </row>
    <row r="2208" spans="1:9" x14ac:dyDescent="0.25">
      <c r="E2208" s="7"/>
      <c r="F2208" t="s">
        <v>20</v>
      </c>
      <c r="G2208" t="s">
        <v>21</v>
      </c>
      <c r="H2208" t="str">
        <f>"CSA202002118562"</f>
        <v>CSA202002118562</v>
      </c>
      <c r="I2208" t="str">
        <f>"S RODRIGUEZ 001281730413050336"</f>
        <v>S RODRIGUEZ 001281730413050336</v>
      </c>
    </row>
    <row r="2209" spans="1:9" x14ac:dyDescent="0.25">
      <c r="A2209" s="6">
        <v>43873</v>
      </c>
      <c r="B2209" t="s">
        <v>26</v>
      </c>
      <c r="C2209">
        <v>63373</v>
      </c>
      <c r="D2209" t="s">
        <v>54</v>
      </c>
      <c r="E2209" s="7">
        <v>1200.24</v>
      </c>
      <c r="F2209" t="s">
        <v>20</v>
      </c>
      <c r="G2209" t="s">
        <v>21</v>
      </c>
      <c r="H2209" t="str">
        <f>"457202002118562"</f>
        <v>457202002118562</v>
      </c>
      <c r="I2209" t="str">
        <f>"CASE # 180-60751 457B DEDUCT"</f>
        <v>CASE # 180-60751 457B DEDUCT</v>
      </c>
    </row>
    <row r="2210" spans="1:9" x14ac:dyDescent="0.25">
      <c r="A2210" s="6">
        <v>43873</v>
      </c>
      <c r="B2210" t="s">
        <v>26</v>
      </c>
      <c r="C2210">
        <v>63374</v>
      </c>
      <c r="D2210" t="s">
        <v>27</v>
      </c>
      <c r="E2210" s="7">
        <v>308.94</v>
      </c>
      <c r="F2210" t="s">
        <v>20</v>
      </c>
      <c r="G2210" t="s">
        <v>21</v>
      </c>
      <c r="H2210" t="str">
        <f>"TWUA 2/18-20/2020"</f>
        <v>TWUA 2/18-20/2020</v>
      </c>
      <c r="I2210" t="str">
        <f>"RICARDO CARRASCO"</f>
        <v>RICARDO CARRASCO</v>
      </c>
    </row>
    <row r="2211" spans="1:9" x14ac:dyDescent="0.25">
      <c r="A2211" s="6">
        <v>43880</v>
      </c>
      <c r="B2211" t="s">
        <v>91</v>
      </c>
      <c r="C2211">
        <v>63375</v>
      </c>
      <c r="D2211" t="s">
        <v>90</v>
      </c>
      <c r="E2211" s="7">
        <v>840.88</v>
      </c>
      <c r="F2211" t="s">
        <v>20</v>
      </c>
      <c r="G2211" t="s">
        <v>21</v>
      </c>
      <c r="H2211" t="str">
        <f>"ACA202002118562"</f>
        <v>ACA202002118562</v>
      </c>
      <c r="I2211" t="str">
        <f>"AFLAC INSURANCE"</f>
        <v>AFLAC INSURANCE</v>
      </c>
    </row>
    <row r="2212" spans="1:9" x14ac:dyDescent="0.25">
      <c r="E2212" s="7"/>
      <c r="F2212" t="s">
        <v>20</v>
      </c>
      <c r="G2212" t="s">
        <v>21</v>
      </c>
      <c r="H2212" t="str">
        <f>"AD2202002118562"</f>
        <v>AD2202002118562</v>
      </c>
      <c r="I2212" t="str">
        <f>"AFLAC INSURANCE"</f>
        <v>AFLAC INSURANCE</v>
      </c>
    </row>
    <row r="2213" spans="1:9" x14ac:dyDescent="0.25">
      <c r="E2213" s="7"/>
      <c r="F2213" t="s">
        <v>20</v>
      </c>
      <c r="G2213" t="s">
        <v>21</v>
      </c>
      <c r="H2213" t="str">
        <f>"ADR202002118562"</f>
        <v>ADR202002118562</v>
      </c>
      <c r="I2213" t="str">
        <f>"INSURANCE"</f>
        <v>INSURANCE</v>
      </c>
    </row>
    <row r="2214" spans="1:9" x14ac:dyDescent="0.25">
      <c r="E2214" s="7"/>
      <c r="F2214" t="s">
        <v>20</v>
      </c>
      <c r="G2214" t="s">
        <v>21</v>
      </c>
      <c r="H2214" t="str">
        <f>"AF1202002118562"</f>
        <v>AF1202002118562</v>
      </c>
      <c r="I2214" t="str">
        <f>"AFLAC INSURANCE"</f>
        <v>AFLAC INSURANCE</v>
      </c>
    </row>
    <row r="2215" spans="1:9" x14ac:dyDescent="0.25">
      <c r="E2215" s="7"/>
      <c r="F2215" t="s">
        <v>20</v>
      </c>
      <c r="G2215" t="s">
        <v>21</v>
      </c>
      <c r="H2215" t="str">
        <f>"ASP202002118562"</f>
        <v>ASP202002118562</v>
      </c>
      <c r="I2215" t="str">
        <f>"AFLAC INSURANCE"</f>
        <v>AFLAC INSURANCE</v>
      </c>
    </row>
    <row r="2216" spans="1:9" x14ac:dyDescent="0.25">
      <c r="E2216" s="7"/>
      <c r="F2216" t="s">
        <v>20</v>
      </c>
      <c r="G2216" t="s">
        <v>21</v>
      </c>
      <c r="H2216" t="str">
        <f>"HCO202002118562"</f>
        <v>HCO202002118562</v>
      </c>
      <c r="I2216" t="str">
        <f>"AFLAC INSURANCE"</f>
        <v>AFLAC INSURANCE</v>
      </c>
    </row>
    <row r="2217" spans="1:9" x14ac:dyDescent="0.25">
      <c r="A2217" s="6">
        <v>43880</v>
      </c>
      <c r="B2217" t="s">
        <v>91</v>
      </c>
      <c r="C2217">
        <v>63375</v>
      </c>
      <c r="D2217" t="s">
        <v>90</v>
      </c>
      <c r="E2217" s="7">
        <v>840.88</v>
      </c>
      <c r="F2217" t="s">
        <v>20</v>
      </c>
      <c r="G2217" t="s">
        <v>93</v>
      </c>
      <c r="H2217" t="str">
        <f>"CHECK"</f>
        <v>CHECK</v>
      </c>
      <c r="I2217" t="str">
        <f>""</f>
        <v/>
      </c>
    </row>
    <row r="2218" spans="1:9" x14ac:dyDescent="0.25">
      <c r="A2218" s="6">
        <v>43880</v>
      </c>
      <c r="B2218" t="s">
        <v>91</v>
      </c>
      <c r="C2218">
        <v>63378</v>
      </c>
      <c r="D2218" t="s">
        <v>92</v>
      </c>
      <c r="E2218" s="7">
        <v>20062.080000000002</v>
      </c>
      <c r="F2218" t="s">
        <v>20</v>
      </c>
      <c r="G2218" t="s">
        <v>21</v>
      </c>
      <c r="H2218" t="str">
        <f>"RET202002118562"</f>
        <v>RET202002118562</v>
      </c>
      <c r="I2218" t="str">
        <f>"TMRS CITY OF FLORESVILLE"</f>
        <v>TMRS CITY OF FLORESVILLE</v>
      </c>
    </row>
    <row r="2219" spans="1:9" x14ac:dyDescent="0.25">
      <c r="A2219" s="6">
        <v>43880</v>
      </c>
      <c r="B2219" t="s">
        <v>91</v>
      </c>
      <c r="C2219">
        <v>63378</v>
      </c>
      <c r="D2219" t="s">
        <v>92</v>
      </c>
      <c r="E2219" s="7">
        <v>20062.080000000002</v>
      </c>
      <c r="F2219" t="s">
        <v>20</v>
      </c>
      <c r="G2219" t="s">
        <v>93</v>
      </c>
      <c r="H2219" t="str">
        <f>"CHECK"</f>
        <v>CHECK</v>
      </c>
      <c r="I2219" t="str">
        <f>""</f>
        <v/>
      </c>
    </row>
    <row r="2220" spans="1:9" x14ac:dyDescent="0.25">
      <c r="A2220" s="6">
        <v>43880</v>
      </c>
      <c r="B2220" t="s">
        <v>91</v>
      </c>
      <c r="C2220">
        <v>63380</v>
      </c>
      <c r="D2220" t="s">
        <v>95</v>
      </c>
      <c r="E2220" s="7">
        <v>29.99</v>
      </c>
      <c r="F2220" t="s">
        <v>20</v>
      </c>
      <c r="G2220" t="s">
        <v>21</v>
      </c>
      <c r="H2220" t="str">
        <f>"LEA202002118562"</f>
        <v>LEA202002118562</v>
      </c>
      <c r="I2220" t="str">
        <f>"INSURANCE"</f>
        <v>INSURANCE</v>
      </c>
    </row>
    <row r="2221" spans="1:9" x14ac:dyDescent="0.25">
      <c r="A2221" s="6">
        <v>43880</v>
      </c>
      <c r="B2221" t="s">
        <v>91</v>
      </c>
      <c r="C2221">
        <v>63380</v>
      </c>
      <c r="D2221" t="s">
        <v>95</v>
      </c>
      <c r="E2221" s="7">
        <v>29.99</v>
      </c>
      <c r="F2221" t="s">
        <v>20</v>
      </c>
      <c r="G2221" t="s">
        <v>93</v>
      </c>
      <c r="H2221" t="str">
        <f>"CHECK"</f>
        <v>CHECK</v>
      </c>
      <c r="I2221" t="str">
        <f>""</f>
        <v/>
      </c>
    </row>
    <row r="2222" spans="1:9" x14ac:dyDescent="0.25">
      <c r="A2222" s="6">
        <v>43880</v>
      </c>
      <c r="B2222" t="s">
        <v>91</v>
      </c>
      <c r="C2222">
        <v>63381</v>
      </c>
      <c r="D2222" t="s">
        <v>96</v>
      </c>
      <c r="E2222" s="7">
        <v>155.88</v>
      </c>
      <c r="F2222" t="s">
        <v>20</v>
      </c>
      <c r="G2222" t="s">
        <v>21</v>
      </c>
      <c r="H2222" t="str">
        <f>"PPL202002118562"</f>
        <v>PPL202002118562</v>
      </c>
      <c r="I2222" t="str">
        <f>"INSURANCE"</f>
        <v>INSURANCE</v>
      </c>
    </row>
    <row r="2223" spans="1:9" x14ac:dyDescent="0.25">
      <c r="A2223" s="6">
        <v>43880</v>
      </c>
      <c r="B2223" t="s">
        <v>91</v>
      </c>
      <c r="C2223">
        <v>63381</v>
      </c>
      <c r="D2223" t="s">
        <v>96</v>
      </c>
      <c r="E2223" s="7">
        <v>155.88</v>
      </c>
      <c r="F2223" t="s">
        <v>20</v>
      </c>
      <c r="G2223" t="s">
        <v>93</v>
      </c>
      <c r="H2223" t="str">
        <f>"CHECK"</f>
        <v>CHECK</v>
      </c>
      <c r="I2223" t="str">
        <f>""</f>
        <v/>
      </c>
    </row>
    <row r="2224" spans="1:9" x14ac:dyDescent="0.25">
      <c r="A2224" s="6">
        <v>43880</v>
      </c>
      <c r="B2224" t="s">
        <v>91</v>
      </c>
      <c r="C2224">
        <v>63382</v>
      </c>
      <c r="D2224" t="s">
        <v>97</v>
      </c>
      <c r="E2224" s="7">
        <v>39256</v>
      </c>
      <c r="F2224" t="s">
        <v>20</v>
      </c>
      <c r="G2224" t="s">
        <v>21</v>
      </c>
      <c r="H2224" t="str">
        <f>"DEN202002118562"</f>
        <v>DEN202002118562</v>
      </c>
      <c r="I2224" t="str">
        <f>"DENTAL INSURANCE"</f>
        <v>DENTAL INSURANCE</v>
      </c>
    </row>
    <row r="2225" spans="1:9" x14ac:dyDescent="0.25">
      <c r="E2225" s="7"/>
      <c r="F2225" t="s">
        <v>20</v>
      </c>
      <c r="G2225" t="s">
        <v>21</v>
      </c>
      <c r="H2225" t="str">
        <f>"MED202002118562"</f>
        <v>MED202002118562</v>
      </c>
      <c r="I2225" t="str">
        <f>"HEALTH &amp; DENTAL INSURANCE"</f>
        <v>HEALTH &amp; DENTAL INSURANCE</v>
      </c>
    </row>
    <row r="2226" spans="1:9" x14ac:dyDescent="0.25">
      <c r="A2226" s="6">
        <v>43880</v>
      </c>
      <c r="B2226" t="s">
        <v>91</v>
      </c>
      <c r="C2226">
        <v>63382</v>
      </c>
      <c r="D2226" t="s">
        <v>97</v>
      </c>
      <c r="E2226" s="7">
        <v>39256</v>
      </c>
      <c r="F2226" t="s">
        <v>20</v>
      </c>
      <c r="G2226" t="s">
        <v>93</v>
      </c>
      <c r="H2226" t="str">
        <f>"CHECK"</f>
        <v>CHECK</v>
      </c>
      <c r="I2226" t="str">
        <f>""</f>
        <v/>
      </c>
    </row>
    <row r="2227" spans="1:9" x14ac:dyDescent="0.25">
      <c r="A2227" s="6">
        <v>43880</v>
      </c>
      <c r="B2227" t="s">
        <v>91</v>
      </c>
      <c r="C2227">
        <v>63384</v>
      </c>
      <c r="D2227" t="s">
        <v>98</v>
      </c>
      <c r="E2227" s="7">
        <v>2011.03</v>
      </c>
      <c r="F2227" t="s">
        <v>20</v>
      </c>
      <c r="G2227" t="s">
        <v>21</v>
      </c>
      <c r="H2227" t="str">
        <f>"LIF202002118562"</f>
        <v>LIF202002118562</v>
      </c>
      <c r="I2227" t="str">
        <f>"INSURANCE"</f>
        <v>INSURANCE</v>
      </c>
    </row>
    <row r="2228" spans="1:9" x14ac:dyDescent="0.25">
      <c r="E2228" s="7"/>
      <c r="F2228" t="s">
        <v>20</v>
      </c>
      <c r="G2228" t="s">
        <v>21</v>
      </c>
      <c r="H2228" t="str">
        <f>"STD202002118562"</f>
        <v>STD202002118562</v>
      </c>
      <c r="I2228" t="str">
        <f>"SHORT TERM DISABILITY"</f>
        <v>SHORT TERM DISABILITY</v>
      </c>
    </row>
    <row r="2229" spans="1:9" x14ac:dyDescent="0.25">
      <c r="E2229" s="7"/>
      <c r="F2229" t="s">
        <v>20</v>
      </c>
      <c r="G2229" t="s">
        <v>21</v>
      </c>
      <c r="H2229" t="str">
        <f>"VIS202002118562"</f>
        <v>VIS202002118562</v>
      </c>
      <c r="I2229" t="str">
        <f>"VISION INSURANCE"</f>
        <v>VISION INSURANCE</v>
      </c>
    </row>
    <row r="2230" spans="1:9" x14ac:dyDescent="0.25">
      <c r="E2230" s="7"/>
      <c r="F2230" t="s">
        <v>20</v>
      </c>
      <c r="G2230" t="s">
        <v>21</v>
      </c>
      <c r="H2230" t="str">
        <f>"VLC202002118562"</f>
        <v>VLC202002118562</v>
      </c>
      <c r="I2230" t="str">
        <f>"CHILD LIFE INSURANCE"</f>
        <v>CHILD LIFE INSURANCE</v>
      </c>
    </row>
    <row r="2231" spans="1:9" x14ac:dyDescent="0.25">
      <c r="E2231" s="7"/>
      <c r="F2231" t="s">
        <v>20</v>
      </c>
      <c r="G2231" t="s">
        <v>21</v>
      </c>
      <c r="H2231" t="str">
        <f>"VLS202002118562"</f>
        <v>VLS202002118562</v>
      </c>
      <c r="I2231" t="str">
        <f>"SPOUSE LIFE"</f>
        <v>SPOUSE LIFE</v>
      </c>
    </row>
    <row r="2232" spans="1:9" x14ac:dyDescent="0.25">
      <c r="E2232" s="7"/>
      <c r="F2232" t="s">
        <v>20</v>
      </c>
      <c r="G2232" t="s">
        <v>21</v>
      </c>
      <c r="H2232" t="str">
        <f>"VOE202002118562"</f>
        <v>VOE202002118562</v>
      </c>
      <c r="I2232" t="str">
        <f>"EMPLOYEE LIFE"</f>
        <v>EMPLOYEE LIFE</v>
      </c>
    </row>
    <row r="2233" spans="1:9" x14ac:dyDescent="0.25">
      <c r="E2233" s="7"/>
      <c r="F2233" t="s">
        <v>20</v>
      </c>
      <c r="G2233" t="s">
        <v>21</v>
      </c>
      <c r="H2233" t="str">
        <f>"VOL202002118562"</f>
        <v>VOL202002118562</v>
      </c>
      <c r="I2233" t="str">
        <f>"LIFE"</f>
        <v>LIFE</v>
      </c>
    </row>
    <row r="2234" spans="1:9" x14ac:dyDescent="0.25">
      <c r="A2234" s="6">
        <v>43880</v>
      </c>
      <c r="B2234" t="s">
        <v>91</v>
      </c>
      <c r="C2234">
        <v>63384</v>
      </c>
      <c r="D2234" t="s">
        <v>98</v>
      </c>
      <c r="E2234" s="7">
        <v>2011.03</v>
      </c>
      <c r="F2234" t="s">
        <v>20</v>
      </c>
      <c r="G2234" t="s">
        <v>93</v>
      </c>
      <c r="H2234" t="str">
        <f>"CHECK"</f>
        <v>CHECK</v>
      </c>
      <c r="I2234" t="str">
        <f>""</f>
        <v/>
      </c>
    </row>
    <row r="2235" spans="1:9" x14ac:dyDescent="0.25">
      <c r="A2235" s="6">
        <v>43880</v>
      </c>
      <c r="B2235" t="s">
        <v>26</v>
      </c>
      <c r="C2235">
        <v>63389</v>
      </c>
      <c r="D2235" t="s">
        <v>370</v>
      </c>
      <c r="E2235" s="7">
        <v>500</v>
      </c>
      <c r="F2235" t="s">
        <v>20</v>
      </c>
      <c r="G2235" t="s">
        <v>21</v>
      </c>
      <c r="H2235" t="str">
        <f>"COWBOY BRFST '20"</f>
        <v>COWBOY BRFST '20</v>
      </c>
      <c r="I2235" t="str">
        <f>"WILSON AREA CHILDREN'S FOUNDAT"</f>
        <v>WILSON AREA CHILDREN'S FOUNDAT</v>
      </c>
    </row>
    <row r="2236" spans="1:9" x14ac:dyDescent="0.25">
      <c r="A2236" s="6">
        <v>43880</v>
      </c>
      <c r="B2236" t="s">
        <v>26</v>
      </c>
      <c r="C2236">
        <v>63390</v>
      </c>
      <c r="D2236" t="s">
        <v>102</v>
      </c>
      <c r="E2236" s="7">
        <v>181.23</v>
      </c>
      <c r="F2236" t="s">
        <v>20</v>
      </c>
      <c r="G2236" t="s">
        <v>21</v>
      </c>
      <c r="H2236" t="str">
        <f>"1120 D.ST FEB.2020"</f>
        <v>1120 D.ST FEB.2020</v>
      </c>
      <c r="I2236" t="str">
        <f>"CENTERPOINT ENERGY ENTEX"</f>
        <v>CENTERPOINT ENERGY ENTEX</v>
      </c>
    </row>
    <row r="2237" spans="1:9" x14ac:dyDescent="0.25">
      <c r="E2237" s="7"/>
      <c r="F2237" t="s">
        <v>20</v>
      </c>
      <c r="G2237" t="s">
        <v>21</v>
      </c>
      <c r="H2237" t="str">
        <f>"1200 1ST. FEB.2020"</f>
        <v>1200 1ST. FEB.2020</v>
      </c>
      <c r="I2237" t="str">
        <f>"CENTERPOINT ENERGY ENTEX"</f>
        <v>CENTERPOINT ENERGY ENTEX</v>
      </c>
    </row>
    <row r="2238" spans="1:9" x14ac:dyDescent="0.25">
      <c r="E2238" s="7"/>
      <c r="F2238" t="s">
        <v>20</v>
      </c>
      <c r="G2238" t="s">
        <v>21</v>
      </c>
      <c r="H2238" t="str">
        <f>"920 C.ST FEB.2020"</f>
        <v>920 C.ST FEB.2020</v>
      </c>
      <c r="I2238" t="str">
        <f>"CENTERPOINT ENERGY ENTEX"</f>
        <v>CENTERPOINT ENERGY ENTEX</v>
      </c>
    </row>
    <row r="2239" spans="1:9" x14ac:dyDescent="0.25">
      <c r="A2239" s="6">
        <v>43880</v>
      </c>
      <c r="B2239" t="s">
        <v>26</v>
      </c>
      <c r="C2239">
        <v>63391</v>
      </c>
      <c r="D2239" t="s">
        <v>57</v>
      </c>
      <c r="E2239" s="7">
        <v>6220.46</v>
      </c>
      <c r="F2239" t="s">
        <v>20</v>
      </c>
      <c r="G2239" t="s">
        <v>21</v>
      </c>
      <c r="H2239" t="str">
        <f>"11617 FEB.2020"</f>
        <v>11617 FEB.2020</v>
      </c>
      <c r="I2239" t="str">
        <f>"F.E.L.P.S."</f>
        <v>F.E.L.P.S.</v>
      </c>
    </row>
    <row r="2240" spans="1:9" x14ac:dyDescent="0.25">
      <c r="E2240" s="7"/>
      <c r="F2240" t="s">
        <v>20</v>
      </c>
      <c r="G2240" t="s">
        <v>21</v>
      </c>
      <c r="H2240" t="str">
        <f>"33062 FEB. 2020"</f>
        <v>33062 FEB. 2020</v>
      </c>
      <c r="I2240" t="str">
        <f>"F.E.L.P.S."</f>
        <v>F.E.L.P.S.</v>
      </c>
    </row>
    <row r="2241" spans="1:9" x14ac:dyDescent="0.25">
      <c r="A2241" s="6">
        <v>43880</v>
      </c>
      <c r="B2241" t="s">
        <v>26</v>
      </c>
      <c r="C2241">
        <v>63392</v>
      </c>
      <c r="D2241" t="s">
        <v>166</v>
      </c>
      <c r="E2241" s="7">
        <v>642.17999999999995</v>
      </c>
      <c r="F2241" t="s">
        <v>20</v>
      </c>
      <c r="G2241" t="s">
        <v>21</v>
      </c>
      <c r="H2241" t="str">
        <f>"9567 JAN.2020"</f>
        <v>9567 JAN.2020</v>
      </c>
      <c r="I2241" t="str">
        <f>"PITNEY BOWES PURCHASE POWER"</f>
        <v>PITNEY BOWES PURCHASE POWER</v>
      </c>
    </row>
    <row r="2242" spans="1:9" x14ac:dyDescent="0.25">
      <c r="A2242" s="6">
        <v>43880</v>
      </c>
      <c r="B2242" t="s">
        <v>26</v>
      </c>
      <c r="C2242">
        <v>63393</v>
      </c>
      <c r="D2242" t="s">
        <v>273</v>
      </c>
      <c r="E2242" s="7">
        <v>6512.58</v>
      </c>
      <c r="F2242" t="s">
        <v>20</v>
      </c>
      <c r="G2242" t="s">
        <v>21</v>
      </c>
      <c r="H2242" t="str">
        <f>"5119-000091921"</f>
        <v>5119-000091921</v>
      </c>
      <c r="I2242" t="str">
        <f>"REPUBLIC SERVICES TESSMAN ROAD"</f>
        <v>REPUBLIC SERVICES TESSMAN ROAD</v>
      </c>
    </row>
    <row r="2243" spans="1:9" x14ac:dyDescent="0.25">
      <c r="A2243" s="6">
        <v>43880</v>
      </c>
      <c r="B2243" t="s">
        <v>26</v>
      </c>
      <c r="C2243">
        <v>63394</v>
      </c>
      <c r="D2243" t="s">
        <v>203</v>
      </c>
      <c r="E2243" s="7">
        <v>38.950000000000003</v>
      </c>
      <c r="F2243" t="s">
        <v>20</v>
      </c>
      <c r="G2243" t="s">
        <v>21</v>
      </c>
      <c r="H2243" t="str">
        <f>"132419"</f>
        <v>132419</v>
      </c>
      <c r="I2243" t="str">
        <f>"CHEMICALS FOR WW"</f>
        <v>CHEMICALS FOR WW</v>
      </c>
    </row>
    <row r="2244" spans="1:9" x14ac:dyDescent="0.25">
      <c r="A2244" s="6">
        <v>43880</v>
      </c>
      <c r="B2244" t="s">
        <v>26</v>
      </c>
      <c r="C2244">
        <v>63395</v>
      </c>
      <c r="D2244" t="s">
        <v>92</v>
      </c>
      <c r="E2244" s="7">
        <v>41696.800000000003</v>
      </c>
      <c r="F2244" t="s">
        <v>20</v>
      </c>
      <c r="G2244" t="s">
        <v>21</v>
      </c>
      <c r="H2244" t="str">
        <f>"JANUARY 2020"</f>
        <v>JANUARY 2020</v>
      </c>
      <c r="I2244" t="str">
        <f>"TEXAS MUNICIPAL RETIREMENT SYS"</f>
        <v>TEXAS MUNICIPAL RETIREMENT SYS</v>
      </c>
    </row>
    <row r="2245" spans="1:9" x14ac:dyDescent="0.25">
      <c r="A2245" s="6">
        <v>43880</v>
      </c>
      <c r="B2245" t="s">
        <v>26</v>
      </c>
      <c r="C2245">
        <v>63396</v>
      </c>
      <c r="D2245" t="s">
        <v>115</v>
      </c>
      <c r="E2245" s="7">
        <v>80.37</v>
      </c>
      <c r="F2245" t="s">
        <v>20</v>
      </c>
      <c r="G2245" t="s">
        <v>21</v>
      </c>
      <c r="H2245" t="str">
        <f>"3547604667"</f>
        <v>3547604667</v>
      </c>
      <c r="I2245" t="str">
        <f>"STREETS UNIT 201"</f>
        <v>STREETS UNIT 201</v>
      </c>
    </row>
    <row r="2246" spans="1:9" x14ac:dyDescent="0.25">
      <c r="E2246" s="7"/>
      <c r="F2246" t="s">
        <v>20</v>
      </c>
      <c r="G2246" t="s">
        <v>21</v>
      </c>
      <c r="H2246" t="str">
        <f>"3547612802"</f>
        <v>3547612802</v>
      </c>
      <c r="I2246" t="str">
        <f>"BRAKE PAD"</f>
        <v>BRAKE PAD</v>
      </c>
    </row>
    <row r="2247" spans="1:9" x14ac:dyDescent="0.25">
      <c r="A2247" s="6">
        <v>43880</v>
      </c>
      <c r="B2247" t="s">
        <v>26</v>
      </c>
      <c r="C2247">
        <v>63397</v>
      </c>
      <c r="D2247" t="s">
        <v>117</v>
      </c>
      <c r="E2247" s="7">
        <v>241.06</v>
      </c>
      <c r="F2247" t="s">
        <v>20</v>
      </c>
      <c r="G2247" t="s">
        <v>21</v>
      </c>
      <c r="H2247" t="str">
        <f>"DEC.2019 FEES"</f>
        <v>DEC.2019 FEES</v>
      </c>
      <c r="I2247" t="str">
        <f>"LINEBARGER GOGGAN BLAIR &amp; SAMP"</f>
        <v>LINEBARGER GOGGAN BLAIR &amp; SAMP</v>
      </c>
    </row>
    <row r="2248" spans="1:9" x14ac:dyDescent="0.25">
      <c r="A2248" s="6">
        <v>43880</v>
      </c>
      <c r="B2248" t="s">
        <v>26</v>
      </c>
      <c r="C2248">
        <v>63398</v>
      </c>
      <c r="D2248" t="s">
        <v>118</v>
      </c>
      <c r="E2248" s="7">
        <v>693.71</v>
      </c>
      <c r="F2248" t="s">
        <v>20</v>
      </c>
      <c r="G2248" t="s">
        <v>21</v>
      </c>
      <c r="H2248" t="str">
        <f>"11709"</f>
        <v>11709</v>
      </c>
      <c r="I2248" t="str">
        <f>"BRYAN AIR CONDITIONING &amp; HEATI"</f>
        <v>BRYAN AIR CONDITIONING &amp; HEATI</v>
      </c>
    </row>
    <row r="2249" spans="1:9" x14ac:dyDescent="0.25">
      <c r="A2249" s="6">
        <v>43880</v>
      </c>
      <c r="B2249" t="s">
        <v>26</v>
      </c>
      <c r="C2249">
        <v>63399</v>
      </c>
      <c r="D2249" t="s">
        <v>69</v>
      </c>
      <c r="E2249" s="7">
        <v>12</v>
      </c>
      <c r="F2249" t="s">
        <v>20</v>
      </c>
      <c r="G2249" t="s">
        <v>21</v>
      </c>
      <c r="H2249" t="str">
        <f>"3304362"</f>
        <v>3304362</v>
      </c>
      <c r="I2249" t="str">
        <f>"SEALS FOR SPINDLES MOWER"</f>
        <v>SEALS FOR SPINDLES MOWER</v>
      </c>
    </row>
    <row r="2250" spans="1:9" x14ac:dyDescent="0.25">
      <c r="A2250" s="6">
        <v>43880</v>
      </c>
      <c r="B2250" t="s">
        <v>26</v>
      </c>
      <c r="C2250">
        <v>63400</v>
      </c>
      <c r="D2250" t="s">
        <v>632</v>
      </c>
      <c r="E2250" s="7">
        <v>1050</v>
      </c>
      <c r="F2250" t="s">
        <v>20</v>
      </c>
      <c r="G2250" t="s">
        <v>21</v>
      </c>
      <c r="H2250" t="str">
        <f>"244902"</f>
        <v>244902</v>
      </c>
      <c r="I2250" t="str">
        <f>"TRAINING CLASS"</f>
        <v>TRAINING CLASS</v>
      </c>
    </row>
    <row r="2251" spans="1:9" x14ac:dyDescent="0.25">
      <c r="E2251" s="7"/>
      <c r="F2251" t="s">
        <v>20</v>
      </c>
      <c r="G2251" t="s">
        <v>21</v>
      </c>
      <c r="H2251" t="str">
        <f>"244965"</f>
        <v>244965</v>
      </c>
      <c r="I2251" t="str">
        <f>"TRAINING CLASS"</f>
        <v>TRAINING CLASS</v>
      </c>
    </row>
    <row r="2252" spans="1:9" x14ac:dyDescent="0.25">
      <c r="A2252" s="6">
        <v>43880</v>
      </c>
      <c r="B2252" t="s">
        <v>26</v>
      </c>
      <c r="C2252">
        <v>63401</v>
      </c>
      <c r="D2252" t="s">
        <v>215</v>
      </c>
      <c r="E2252" s="7">
        <v>65</v>
      </c>
      <c r="F2252" t="s">
        <v>20</v>
      </c>
      <c r="G2252" t="s">
        <v>21</v>
      </c>
      <c r="H2252" t="str">
        <f>"622299"</f>
        <v>622299</v>
      </c>
      <c r="I2252" t="str">
        <f>"BOOSTER PUMP OPERATIONAL"</f>
        <v>BOOSTER PUMP OPERATIONAL</v>
      </c>
    </row>
    <row r="2253" spans="1:9" x14ac:dyDescent="0.25">
      <c r="A2253" s="6">
        <v>43880</v>
      </c>
      <c r="B2253" t="s">
        <v>26</v>
      </c>
      <c r="C2253">
        <v>63402</v>
      </c>
      <c r="D2253" t="s">
        <v>123</v>
      </c>
      <c r="E2253" s="7">
        <v>418.4</v>
      </c>
      <c r="F2253" t="s">
        <v>20</v>
      </c>
      <c r="G2253" t="s">
        <v>21</v>
      </c>
      <c r="H2253" t="str">
        <f>"435439355001"</f>
        <v>435439355001</v>
      </c>
      <c r="I2253" t="str">
        <f>"OFFICE SUPPLIES"</f>
        <v>OFFICE SUPPLIES</v>
      </c>
    </row>
    <row r="2254" spans="1:9" x14ac:dyDescent="0.25">
      <c r="E2254" s="7"/>
      <c r="F2254" t="s">
        <v>20</v>
      </c>
      <c r="G2254" t="s">
        <v>21</v>
      </c>
      <c r="H2254" t="str">
        <f>"435440846001"</f>
        <v>435440846001</v>
      </c>
      <c r="I2254" t="str">
        <f>"OFFICE SUPPLIES"</f>
        <v>OFFICE SUPPLIES</v>
      </c>
    </row>
    <row r="2255" spans="1:9" x14ac:dyDescent="0.25">
      <c r="E2255" s="7"/>
      <c r="F2255" t="s">
        <v>20</v>
      </c>
      <c r="G2255" t="s">
        <v>21</v>
      </c>
      <c r="H2255" t="str">
        <f>"436595850001"</f>
        <v>436595850001</v>
      </c>
      <c r="I2255" t="str">
        <f>"DRY ERASE BOARD"</f>
        <v>DRY ERASE BOARD</v>
      </c>
    </row>
    <row r="2256" spans="1:9" x14ac:dyDescent="0.25">
      <c r="E2256" s="7"/>
      <c r="F2256" t="s">
        <v>20</v>
      </c>
      <c r="G2256" t="s">
        <v>21</v>
      </c>
      <c r="H2256" t="str">
        <f>"436596995001"</f>
        <v>436596995001</v>
      </c>
      <c r="I2256" t="str">
        <f>"OFFICE DEPOT  INC."</f>
        <v>OFFICE DEPOT  INC.</v>
      </c>
    </row>
    <row r="2257" spans="1:9" x14ac:dyDescent="0.25">
      <c r="A2257" s="6">
        <v>43880</v>
      </c>
      <c r="B2257" t="s">
        <v>26</v>
      </c>
      <c r="C2257">
        <v>63404</v>
      </c>
      <c r="D2257" t="s">
        <v>137</v>
      </c>
      <c r="E2257" s="7">
        <v>51.95</v>
      </c>
      <c r="F2257" t="s">
        <v>20</v>
      </c>
      <c r="G2257" t="s">
        <v>21</v>
      </c>
      <c r="H2257" t="str">
        <f>"8962"</f>
        <v>8962</v>
      </c>
      <c r="I2257" t="str">
        <f>"OMNIBUS-M  INC.D.B.A."</f>
        <v>OMNIBUS-M  INC.D.B.A.</v>
      </c>
    </row>
    <row r="2258" spans="1:9" x14ac:dyDescent="0.25">
      <c r="A2258" s="6">
        <v>43880</v>
      </c>
      <c r="B2258" t="s">
        <v>26</v>
      </c>
      <c r="C2258">
        <v>63405</v>
      </c>
      <c r="D2258" t="s">
        <v>77</v>
      </c>
      <c r="E2258" s="7">
        <v>370</v>
      </c>
      <c r="F2258" t="s">
        <v>20</v>
      </c>
      <c r="G2258" t="s">
        <v>21</v>
      </c>
      <c r="H2258" t="str">
        <f>"DE85000021-20"</f>
        <v>DE85000021-20</v>
      </c>
      <c r="I2258" t="str">
        <f>"DPC INDUSTRIES  INC."</f>
        <v>DPC INDUSTRIES  INC.</v>
      </c>
    </row>
    <row r="2259" spans="1:9" x14ac:dyDescent="0.25">
      <c r="E2259" s="7"/>
      <c r="F2259" t="s">
        <v>20</v>
      </c>
      <c r="G2259" t="s">
        <v>21</v>
      </c>
      <c r="H2259" t="str">
        <f>"DE85000214-20"</f>
        <v>DE85000214-20</v>
      </c>
      <c r="I2259" t="str">
        <f>"DPC INDUSTRIES  INC."</f>
        <v>DPC INDUSTRIES  INC.</v>
      </c>
    </row>
    <row r="2260" spans="1:9" x14ac:dyDescent="0.25">
      <c r="A2260" s="6">
        <v>43880</v>
      </c>
      <c r="B2260" t="s">
        <v>26</v>
      </c>
      <c r="C2260">
        <v>63406</v>
      </c>
      <c r="D2260" t="s">
        <v>124</v>
      </c>
      <c r="E2260" s="7">
        <v>61.13</v>
      </c>
      <c r="F2260" t="s">
        <v>20</v>
      </c>
      <c r="G2260" t="s">
        <v>21</v>
      </c>
      <c r="H2260" t="str">
        <f>"11183147"</f>
        <v>11183147</v>
      </c>
      <c r="I2260" t="str">
        <f>"PLUMBING  HOSES-WASH PAD"</f>
        <v>PLUMBING  HOSES-WASH PAD</v>
      </c>
    </row>
    <row r="2261" spans="1:9" x14ac:dyDescent="0.25">
      <c r="A2261" s="6">
        <v>43880</v>
      </c>
      <c r="B2261" t="s">
        <v>26</v>
      </c>
      <c r="C2261">
        <v>63407</v>
      </c>
      <c r="D2261" t="s">
        <v>891</v>
      </c>
      <c r="E2261" s="7">
        <v>50</v>
      </c>
      <c r="F2261" t="s">
        <v>20</v>
      </c>
      <c r="G2261" t="s">
        <v>21</v>
      </c>
      <c r="H2261" t="str">
        <f>"1845218 FEB.2020"</f>
        <v>1845218 FEB.2020</v>
      </c>
      <c r="I2261" t="str">
        <f>"TEXAS A&amp;M ENGINEERING EXTENSIO"</f>
        <v>TEXAS A&amp;M ENGINEERING EXTENSIO</v>
      </c>
    </row>
    <row r="2262" spans="1:9" x14ac:dyDescent="0.25">
      <c r="A2262" s="6">
        <v>43880</v>
      </c>
      <c r="B2262" t="s">
        <v>26</v>
      </c>
      <c r="C2262">
        <v>63408</v>
      </c>
      <c r="D2262" t="s">
        <v>126</v>
      </c>
      <c r="E2262" s="7">
        <v>87409.919999999998</v>
      </c>
      <c r="F2262" t="s">
        <v>20</v>
      </c>
      <c r="G2262" t="s">
        <v>21</v>
      </c>
      <c r="H2262" t="str">
        <f>"0859-002479900"</f>
        <v>0859-002479900</v>
      </c>
      <c r="I2262" t="str">
        <f>"REPUBLIC SERVICES #859"</f>
        <v>REPUBLIC SERVICES #859</v>
      </c>
    </row>
    <row r="2263" spans="1:9" x14ac:dyDescent="0.25">
      <c r="E2263" s="7"/>
      <c r="F2263" t="s">
        <v>20</v>
      </c>
      <c r="G2263" t="s">
        <v>21</v>
      </c>
      <c r="H2263" t="str">
        <f>"0859-002479901"</f>
        <v>0859-002479901</v>
      </c>
      <c r="I2263" t="str">
        <f>"REPUBLIC SERVICES #859"</f>
        <v>REPUBLIC SERVICES #859</v>
      </c>
    </row>
    <row r="2264" spans="1:9" x14ac:dyDescent="0.25">
      <c r="E2264" s="7"/>
      <c r="F2264" t="s">
        <v>20</v>
      </c>
      <c r="G2264" t="s">
        <v>21</v>
      </c>
      <c r="H2264" t="str">
        <f>"0859-002486012"</f>
        <v>0859-002486012</v>
      </c>
      <c r="I2264" t="str">
        <f>"REPUBLIC SERVICES #859"</f>
        <v>REPUBLIC SERVICES #859</v>
      </c>
    </row>
    <row r="2265" spans="1:9" x14ac:dyDescent="0.25">
      <c r="A2265" s="6">
        <v>43880</v>
      </c>
      <c r="B2265" t="s">
        <v>26</v>
      </c>
      <c r="C2265">
        <v>63409</v>
      </c>
      <c r="D2265" t="s">
        <v>79</v>
      </c>
      <c r="E2265" s="7">
        <v>26.01</v>
      </c>
      <c r="F2265" t="s">
        <v>20</v>
      </c>
      <c r="G2265" t="s">
        <v>21</v>
      </c>
      <c r="H2265" t="str">
        <f>"6-919-75099"</f>
        <v>6-919-75099</v>
      </c>
      <c r="I2265" t="str">
        <f>"FEDEX"</f>
        <v>FEDEX</v>
      </c>
    </row>
    <row r="2266" spans="1:9" x14ac:dyDescent="0.25">
      <c r="E2266" s="7"/>
      <c r="F2266" t="s">
        <v>20</v>
      </c>
      <c r="G2266" t="s">
        <v>21</v>
      </c>
      <c r="H2266" t="str">
        <f>"6-927-36747"</f>
        <v>6-927-36747</v>
      </c>
      <c r="I2266" t="str">
        <f>"FEDEX"</f>
        <v>FEDEX</v>
      </c>
    </row>
    <row r="2267" spans="1:9" x14ac:dyDescent="0.25">
      <c r="A2267" s="6">
        <v>43880</v>
      </c>
      <c r="B2267" t="s">
        <v>26</v>
      </c>
      <c r="C2267">
        <v>63410</v>
      </c>
      <c r="D2267" t="s">
        <v>139</v>
      </c>
      <c r="E2267" s="7">
        <v>65</v>
      </c>
      <c r="F2267" t="s">
        <v>20</v>
      </c>
      <c r="G2267" t="s">
        <v>21</v>
      </c>
      <c r="H2267" t="str">
        <f>"28527"</f>
        <v>28527</v>
      </c>
      <c r="I2267" t="str">
        <f>"ANGEL FIRE &amp; SAFETY"</f>
        <v>ANGEL FIRE &amp; SAFETY</v>
      </c>
    </row>
    <row r="2268" spans="1:9" x14ac:dyDescent="0.25">
      <c r="A2268" s="6">
        <v>43880</v>
      </c>
      <c r="B2268" t="s">
        <v>91</v>
      </c>
      <c r="C2268">
        <v>63411</v>
      </c>
      <c r="D2268" t="s">
        <v>130</v>
      </c>
      <c r="E2268" s="7">
        <v>4165</v>
      </c>
      <c r="F2268" t="s">
        <v>20</v>
      </c>
      <c r="G2268" t="s">
        <v>21</v>
      </c>
      <c r="H2268" t="str">
        <f>"INV712693"</f>
        <v>INV712693</v>
      </c>
      <c r="I2268" t="str">
        <f>"DOCUMATION"</f>
        <v>DOCUMATION</v>
      </c>
    </row>
    <row r="2269" spans="1:9" x14ac:dyDescent="0.25">
      <c r="A2269" s="6">
        <v>43880</v>
      </c>
      <c r="B2269" t="s">
        <v>91</v>
      </c>
      <c r="C2269">
        <v>63411</v>
      </c>
      <c r="D2269" t="s">
        <v>130</v>
      </c>
      <c r="E2269" s="7">
        <v>4165</v>
      </c>
      <c r="F2269" t="s">
        <v>20</v>
      </c>
      <c r="G2269" t="s">
        <v>93</v>
      </c>
      <c r="H2269" t="str">
        <f>"CHECK"</f>
        <v>CHECK</v>
      </c>
      <c r="I2269" t="str">
        <f>""</f>
        <v/>
      </c>
    </row>
    <row r="2270" spans="1:9" x14ac:dyDescent="0.25">
      <c r="A2270" s="6">
        <v>43880</v>
      </c>
      <c r="B2270" t="s">
        <v>26</v>
      </c>
      <c r="C2270">
        <v>63412</v>
      </c>
      <c r="D2270" t="s">
        <v>85</v>
      </c>
      <c r="E2270" s="7">
        <v>4572.8</v>
      </c>
      <c r="F2270" t="s">
        <v>20</v>
      </c>
      <c r="G2270" t="s">
        <v>21</v>
      </c>
      <c r="H2270" t="str">
        <f>"3930579 FEB. 2020"</f>
        <v>3930579 FEB. 2020</v>
      </c>
      <c r="I2270" t="str">
        <f>"FRONTIER"</f>
        <v>FRONTIER</v>
      </c>
    </row>
    <row r="2271" spans="1:9" x14ac:dyDescent="0.25">
      <c r="E2271" s="7"/>
      <c r="F2271" t="s">
        <v>20</v>
      </c>
      <c r="G2271" t="s">
        <v>21</v>
      </c>
      <c r="H2271" t="str">
        <f>"3933108 FEB.2020"</f>
        <v>3933108 FEB.2020</v>
      </c>
      <c r="I2271" t="str">
        <f>"FRONTIER"</f>
        <v>FRONTIER</v>
      </c>
    </row>
    <row r="2272" spans="1:9" x14ac:dyDescent="0.25">
      <c r="E2272" s="7"/>
      <c r="F2272" t="s">
        <v>20</v>
      </c>
      <c r="G2272" t="s">
        <v>21</v>
      </c>
      <c r="H2272" t="str">
        <f>"3939791 FEB.2020"</f>
        <v>3939791 FEB.2020</v>
      </c>
      <c r="I2272" t="str">
        <f>"FRONTIER"</f>
        <v>FRONTIER</v>
      </c>
    </row>
    <row r="2273" spans="1:9" x14ac:dyDescent="0.25">
      <c r="E2273" s="7"/>
      <c r="F2273" t="s">
        <v>20</v>
      </c>
      <c r="G2273" t="s">
        <v>21</v>
      </c>
      <c r="H2273" t="str">
        <f>"8301970025 FEB.20"</f>
        <v>8301970025 FEB.20</v>
      </c>
      <c r="I2273" t="str">
        <f>"FRONTIER"</f>
        <v>FRONTIER</v>
      </c>
    </row>
    <row r="2274" spans="1:9" x14ac:dyDescent="0.25">
      <c r="A2274" s="6">
        <v>43880</v>
      </c>
      <c r="B2274" t="s">
        <v>26</v>
      </c>
      <c r="C2274">
        <v>63413</v>
      </c>
      <c r="D2274" t="s">
        <v>311</v>
      </c>
      <c r="E2274" s="7">
        <v>4280.8999999999996</v>
      </c>
      <c r="F2274" t="s">
        <v>20</v>
      </c>
      <c r="G2274" t="s">
        <v>21</v>
      </c>
      <c r="H2274" t="str">
        <f>"26255880"</f>
        <v>26255880</v>
      </c>
      <c r="I2274" t="s">
        <v>267</v>
      </c>
    </row>
    <row r="2275" spans="1:9" x14ac:dyDescent="0.25">
      <c r="E2275" s="7"/>
      <c r="F2275" t="s">
        <v>20</v>
      </c>
      <c r="G2275" t="s">
        <v>21</v>
      </c>
      <c r="H2275" t="str">
        <f>"ML-000099792 2/20"</f>
        <v>ML-000099792 2/20</v>
      </c>
      <c r="I2275" t="str">
        <f>"TIB - The Independent BankersB"</f>
        <v>TIB - The Independent BankersB</v>
      </c>
    </row>
    <row r="2276" spans="1:9" x14ac:dyDescent="0.25">
      <c r="A2276" s="6">
        <v>43880</v>
      </c>
      <c r="B2276" t="s">
        <v>26</v>
      </c>
      <c r="C2276">
        <v>63414</v>
      </c>
      <c r="D2276" t="s">
        <v>132</v>
      </c>
      <c r="E2276" s="7">
        <v>43.83</v>
      </c>
      <c r="F2276" t="s">
        <v>20</v>
      </c>
      <c r="G2276" t="s">
        <v>21</v>
      </c>
      <c r="H2276" t="str">
        <f>"2887 JAN.2020"</f>
        <v>2887 JAN.2020</v>
      </c>
      <c r="I2276" t="str">
        <f>"SPARKLETTS &amp; SIERRA SPRINGS"</f>
        <v>SPARKLETTS &amp; SIERRA SPRINGS</v>
      </c>
    </row>
    <row r="2277" spans="1:9" x14ac:dyDescent="0.25">
      <c r="A2277" s="6">
        <v>43880</v>
      </c>
      <c r="B2277" t="s">
        <v>26</v>
      </c>
      <c r="C2277">
        <v>63415</v>
      </c>
      <c r="D2277" t="s">
        <v>326</v>
      </c>
      <c r="E2277" s="7">
        <v>35</v>
      </c>
      <c r="F2277" t="s">
        <v>20</v>
      </c>
      <c r="G2277" t="s">
        <v>21</v>
      </c>
      <c r="H2277" t="str">
        <f>"21141041"</f>
        <v>21141041</v>
      </c>
      <c r="I2277" t="str">
        <f>"MATHESON TRI-GAS INC"</f>
        <v>MATHESON TRI-GAS INC</v>
      </c>
    </row>
    <row r="2278" spans="1:9" x14ac:dyDescent="0.25">
      <c r="A2278" s="6">
        <v>43880</v>
      </c>
      <c r="B2278" t="s">
        <v>26</v>
      </c>
      <c r="C2278">
        <v>63416</v>
      </c>
      <c r="D2278" t="s">
        <v>195</v>
      </c>
      <c r="E2278" s="7">
        <v>3379.06</v>
      </c>
      <c r="F2278" t="s">
        <v>20</v>
      </c>
      <c r="G2278" t="s">
        <v>21</v>
      </c>
      <c r="H2278" t="str">
        <f>"1565202002"</f>
        <v>1565202002</v>
      </c>
      <c r="I2278" t="str">
        <f>"ARISTA INFORMATION SYSTEMS  IN"</f>
        <v>ARISTA INFORMATION SYSTEMS  IN</v>
      </c>
    </row>
    <row r="2279" spans="1:9" x14ac:dyDescent="0.25">
      <c r="E2279" s="7"/>
      <c r="F2279" t="s">
        <v>20</v>
      </c>
      <c r="G2279" t="s">
        <v>21</v>
      </c>
      <c r="H2279" t="str">
        <f>"29130"</f>
        <v>29130</v>
      </c>
      <c r="I2279" t="str">
        <f>"ARISTA INFORMATION SYSTEMS  IN"</f>
        <v>ARISTA INFORMATION SYSTEMS  IN</v>
      </c>
    </row>
    <row r="2280" spans="1:9" x14ac:dyDescent="0.25">
      <c r="A2280" s="6">
        <v>43880</v>
      </c>
      <c r="B2280" t="s">
        <v>26</v>
      </c>
      <c r="C2280">
        <v>63417</v>
      </c>
      <c r="D2280" t="s">
        <v>313</v>
      </c>
      <c r="E2280" s="7">
        <v>13644.75</v>
      </c>
      <c r="F2280" t="s">
        <v>20</v>
      </c>
      <c r="G2280" t="s">
        <v>21</v>
      </c>
      <c r="H2280" t="str">
        <f>"9943000953000I"</f>
        <v>9943000953000I</v>
      </c>
      <c r="I2280" t="s">
        <v>267</v>
      </c>
    </row>
    <row r="2281" spans="1:9" x14ac:dyDescent="0.25">
      <c r="A2281" s="6">
        <v>43880</v>
      </c>
      <c r="B2281" t="s">
        <v>26</v>
      </c>
      <c r="C2281">
        <v>63418</v>
      </c>
      <c r="D2281" t="s">
        <v>345</v>
      </c>
      <c r="E2281" s="7">
        <v>308</v>
      </c>
      <c r="F2281" t="s">
        <v>20</v>
      </c>
      <c r="G2281" t="s">
        <v>21</v>
      </c>
      <c r="H2281" t="str">
        <f>"2/18/2020"</f>
        <v>2/18/2020</v>
      </c>
      <c r="I2281" t="str">
        <f>"MICHAEL ISAAC MARTINEZ"</f>
        <v>MICHAEL ISAAC MARTINEZ</v>
      </c>
    </row>
    <row r="2282" spans="1:9" x14ac:dyDescent="0.25">
      <c r="A2282" s="6">
        <v>43880</v>
      </c>
      <c r="B2282" t="s">
        <v>26</v>
      </c>
      <c r="C2282">
        <v>63419</v>
      </c>
      <c r="D2282" t="s">
        <v>443</v>
      </c>
      <c r="E2282" s="7">
        <v>12750</v>
      </c>
      <c r="F2282" t="s">
        <v>20</v>
      </c>
      <c r="G2282" t="s">
        <v>21</v>
      </c>
      <c r="H2282" t="str">
        <f>"10640"</f>
        <v>10640</v>
      </c>
      <c r="I2282" t="str">
        <f>"RIOJAS TURF CARE  LLC"</f>
        <v>RIOJAS TURF CARE  LLC</v>
      </c>
    </row>
    <row r="2283" spans="1:9" x14ac:dyDescent="0.25">
      <c r="A2283" s="6">
        <v>43880</v>
      </c>
      <c r="B2283" t="s">
        <v>26</v>
      </c>
      <c r="C2283">
        <v>63420</v>
      </c>
      <c r="D2283" t="s">
        <v>447</v>
      </c>
      <c r="E2283" s="7">
        <v>276</v>
      </c>
      <c r="F2283" t="s">
        <v>20</v>
      </c>
      <c r="G2283" t="s">
        <v>21</v>
      </c>
      <c r="H2283" t="str">
        <f>"CLASS 2/23-28/20"</f>
        <v>CLASS 2/23-28/20</v>
      </c>
      <c r="I2283" t="str">
        <f>"VICTOR FAVELLA"</f>
        <v>VICTOR FAVELLA</v>
      </c>
    </row>
    <row r="2284" spans="1:9" x14ac:dyDescent="0.25">
      <c r="A2284" s="6">
        <v>43880</v>
      </c>
      <c r="B2284" t="s">
        <v>26</v>
      </c>
      <c r="C2284">
        <v>63421</v>
      </c>
      <c r="D2284" t="s">
        <v>644</v>
      </c>
      <c r="E2284" s="7">
        <v>653.02</v>
      </c>
      <c r="F2284" t="s">
        <v>20</v>
      </c>
      <c r="G2284" t="s">
        <v>21</v>
      </c>
      <c r="H2284" t="str">
        <f>"8213424408"</f>
        <v>8213424408</v>
      </c>
      <c r="I2284" t="str">
        <f t="shared" ref="I2284:I2290" si="41">"UNIFIRST CORPORATION"</f>
        <v>UNIFIRST CORPORATION</v>
      </c>
    </row>
    <row r="2285" spans="1:9" x14ac:dyDescent="0.25">
      <c r="E2285" s="7"/>
      <c r="F2285" t="s">
        <v>20</v>
      </c>
      <c r="G2285" t="s">
        <v>21</v>
      </c>
      <c r="H2285" t="str">
        <f>"8213424409"</f>
        <v>8213424409</v>
      </c>
      <c r="I2285" t="str">
        <f t="shared" si="41"/>
        <v>UNIFIRST CORPORATION</v>
      </c>
    </row>
    <row r="2286" spans="1:9" x14ac:dyDescent="0.25">
      <c r="E2286" s="7"/>
      <c r="F2286" t="s">
        <v>20</v>
      </c>
      <c r="G2286" t="s">
        <v>21</v>
      </c>
      <c r="H2286" t="str">
        <f>"8213424410"</f>
        <v>8213424410</v>
      </c>
      <c r="I2286" t="str">
        <f t="shared" si="41"/>
        <v>UNIFIRST CORPORATION</v>
      </c>
    </row>
    <row r="2287" spans="1:9" x14ac:dyDescent="0.25">
      <c r="E2287" s="7"/>
      <c r="F2287" t="s">
        <v>20</v>
      </c>
      <c r="G2287" t="s">
        <v>21</v>
      </c>
      <c r="H2287" t="str">
        <f>"8213424411"</f>
        <v>8213424411</v>
      </c>
      <c r="I2287" t="str">
        <f t="shared" si="41"/>
        <v>UNIFIRST CORPORATION</v>
      </c>
    </row>
    <row r="2288" spans="1:9" x14ac:dyDescent="0.25">
      <c r="E2288" s="7"/>
      <c r="F2288" t="s">
        <v>20</v>
      </c>
      <c r="G2288" t="s">
        <v>21</v>
      </c>
      <c r="H2288" t="str">
        <f>"8213424412"</f>
        <v>8213424412</v>
      </c>
      <c r="I2288" t="str">
        <f t="shared" si="41"/>
        <v>UNIFIRST CORPORATION</v>
      </c>
    </row>
    <row r="2289" spans="1:9" x14ac:dyDescent="0.25">
      <c r="E2289" s="7"/>
      <c r="F2289" t="s">
        <v>20</v>
      </c>
      <c r="G2289" t="s">
        <v>21</v>
      </c>
      <c r="H2289" t="str">
        <f>"8213424413"</f>
        <v>8213424413</v>
      </c>
      <c r="I2289" t="str">
        <f t="shared" si="41"/>
        <v>UNIFIRST CORPORATION</v>
      </c>
    </row>
    <row r="2290" spans="1:9" x14ac:dyDescent="0.25">
      <c r="E2290" s="7"/>
      <c r="F2290" t="s">
        <v>20</v>
      </c>
      <c r="G2290" t="s">
        <v>21</v>
      </c>
      <c r="H2290" t="str">
        <f>"8213424414"</f>
        <v>8213424414</v>
      </c>
      <c r="I2290" t="str">
        <f t="shared" si="41"/>
        <v>UNIFIRST CORPORATION</v>
      </c>
    </row>
    <row r="2291" spans="1:9" x14ac:dyDescent="0.25">
      <c r="A2291" s="6">
        <v>43880</v>
      </c>
      <c r="B2291" t="s">
        <v>26</v>
      </c>
      <c r="C2291">
        <v>63423</v>
      </c>
      <c r="D2291" t="s">
        <v>647</v>
      </c>
      <c r="E2291" s="7">
        <v>2045</v>
      </c>
      <c r="F2291" t="s">
        <v>20</v>
      </c>
      <c r="G2291" t="s">
        <v>21</v>
      </c>
      <c r="H2291" t="str">
        <f>"26445065"</f>
        <v>26445065</v>
      </c>
      <c r="I2291" t="str">
        <f>"DOCUMATION  INC."</f>
        <v>DOCUMATION  INC.</v>
      </c>
    </row>
    <row r="2292" spans="1:9" x14ac:dyDescent="0.25">
      <c r="A2292" s="6">
        <v>43880</v>
      </c>
      <c r="B2292" t="s">
        <v>26</v>
      </c>
      <c r="C2292">
        <v>63424</v>
      </c>
      <c r="D2292" t="s">
        <v>696</v>
      </c>
      <c r="E2292" s="7">
        <v>95</v>
      </c>
      <c r="F2292" t="s">
        <v>20</v>
      </c>
      <c r="G2292" t="s">
        <v>21</v>
      </c>
      <c r="H2292" t="str">
        <f>"2/16/2020"</f>
        <v>2/16/2020</v>
      </c>
      <c r="I2292" t="str">
        <f>"ANGEL G. ROSAS"</f>
        <v>ANGEL G. ROSAS</v>
      </c>
    </row>
    <row r="2293" spans="1:9" x14ac:dyDescent="0.25">
      <c r="A2293" s="6">
        <v>43880</v>
      </c>
      <c r="B2293" t="s">
        <v>26</v>
      </c>
      <c r="C2293">
        <v>63425</v>
      </c>
      <c r="D2293" t="s">
        <v>752</v>
      </c>
      <c r="E2293" s="7">
        <v>150</v>
      </c>
      <c r="F2293" t="s">
        <v>20</v>
      </c>
      <c r="G2293" t="s">
        <v>21</v>
      </c>
      <c r="H2293" t="str">
        <f>"2/16/2020"</f>
        <v>2/16/2020</v>
      </c>
      <c r="I2293" t="str">
        <f>"BLANCA PEREZ"</f>
        <v>BLANCA PEREZ</v>
      </c>
    </row>
    <row r="2294" spans="1:9" x14ac:dyDescent="0.25">
      <c r="A2294" s="6">
        <v>43880</v>
      </c>
      <c r="B2294" t="s">
        <v>26</v>
      </c>
      <c r="C2294">
        <v>63426</v>
      </c>
      <c r="D2294" t="s">
        <v>814</v>
      </c>
      <c r="E2294" s="7">
        <v>70</v>
      </c>
      <c r="F2294" t="s">
        <v>20</v>
      </c>
      <c r="G2294" t="s">
        <v>21</v>
      </c>
      <c r="H2294" t="str">
        <f>"2/18/2020"</f>
        <v>2/18/2020</v>
      </c>
      <c r="I2294" t="str">
        <f>"RACHEL GARCIA"</f>
        <v>RACHEL GARCIA</v>
      </c>
    </row>
    <row r="2295" spans="1:9" x14ac:dyDescent="0.25">
      <c r="A2295" s="6">
        <v>43880</v>
      </c>
      <c r="B2295" t="s">
        <v>26</v>
      </c>
      <c r="C2295">
        <v>63427</v>
      </c>
      <c r="D2295" t="s">
        <v>824</v>
      </c>
      <c r="E2295" s="7">
        <v>145</v>
      </c>
      <c r="F2295" t="s">
        <v>20</v>
      </c>
      <c r="G2295" t="s">
        <v>21</v>
      </c>
      <c r="H2295" t="str">
        <f>"2/16/2020"</f>
        <v>2/16/2020</v>
      </c>
      <c r="I2295" t="str">
        <f>"MALLORY R. NELSON"</f>
        <v>MALLORY R. NELSON</v>
      </c>
    </row>
    <row r="2296" spans="1:9" x14ac:dyDescent="0.25">
      <c r="A2296" s="6">
        <v>43880</v>
      </c>
      <c r="B2296" t="s">
        <v>26</v>
      </c>
      <c r="C2296">
        <v>63428</v>
      </c>
      <c r="D2296" t="s">
        <v>836</v>
      </c>
      <c r="E2296" s="7">
        <v>10993</v>
      </c>
      <c r="F2296" t="s">
        <v>20</v>
      </c>
      <c r="G2296" t="s">
        <v>21</v>
      </c>
      <c r="H2296" t="str">
        <f>"60743"</f>
        <v>60743</v>
      </c>
      <c r="I2296" t="str">
        <f>"BARCOM TECHNOLOGY SOLUTIONS  I"</f>
        <v>BARCOM TECHNOLOGY SOLUTIONS  I</v>
      </c>
    </row>
    <row r="2297" spans="1:9" x14ac:dyDescent="0.25">
      <c r="E2297" s="7"/>
      <c r="F2297" t="s">
        <v>20</v>
      </c>
      <c r="G2297" t="s">
        <v>21</v>
      </c>
      <c r="H2297" t="str">
        <f>"60873"</f>
        <v>60873</v>
      </c>
      <c r="I2297" t="str">
        <f>"BARCOM TECHNOLOGY SOLUTIONS  I"</f>
        <v>BARCOM TECHNOLOGY SOLUTIONS  I</v>
      </c>
    </row>
    <row r="2298" spans="1:9" x14ac:dyDescent="0.25">
      <c r="A2298" s="6">
        <v>43881</v>
      </c>
      <c r="B2298" t="s">
        <v>26</v>
      </c>
      <c r="C2298">
        <v>63430</v>
      </c>
      <c r="D2298" t="s">
        <v>240</v>
      </c>
      <c r="E2298" s="7">
        <v>441.19</v>
      </c>
      <c r="F2298" t="s">
        <v>20</v>
      </c>
      <c r="G2298" t="s">
        <v>21</v>
      </c>
      <c r="H2298" t="str">
        <f>"0182995-IN"</f>
        <v>0182995-IN</v>
      </c>
      <c r="I2298" t="str">
        <f>"PO- HYDEN UNIFORMS"</f>
        <v>PO- HYDEN UNIFORMS</v>
      </c>
    </row>
    <row r="2299" spans="1:9" x14ac:dyDescent="0.25">
      <c r="E2299" s="7"/>
      <c r="F2299" t="s">
        <v>20</v>
      </c>
      <c r="G2299" t="s">
        <v>21</v>
      </c>
      <c r="H2299" t="str">
        <f>"0183703-IN"</f>
        <v>0183703-IN</v>
      </c>
      <c r="I2299" t="str">
        <f>"NARDIS PUBLIC SAFETY"</f>
        <v>NARDIS PUBLIC SAFETY</v>
      </c>
    </row>
    <row r="2300" spans="1:9" x14ac:dyDescent="0.25">
      <c r="E2300" s="7"/>
      <c r="F2300" t="s">
        <v>20</v>
      </c>
      <c r="G2300" t="s">
        <v>21</v>
      </c>
      <c r="H2300" t="str">
        <f>"0184062-IN"</f>
        <v>0184062-IN</v>
      </c>
      <c r="I2300" t="str">
        <f>"NARDIS PUBLIC SAFETY"</f>
        <v>NARDIS PUBLIC SAFETY</v>
      </c>
    </row>
    <row r="2301" spans="1:9" x14ac:dyDescent="0.25">
      <c r="E2301" s="7"/>
      <c r="F2301" t="s">
        <v>20</v>
      </c>
      <c r="G2301" t="s">
        <v>21</v>
      </c>
      <c r="H2301" t="str">
        <f>"0184140-IN"</f>
        <v>0184140-IN</v>
      </c>
      <c r="I2301" t="str">
        <f>"NARDIS PUBLIC SAFETY"</f>
        <v>NARDIS PUBLIC SAFETY</v>
      </c>
    </row>
    <row r="2302" spans="1:9" x14ac:dyDescent="0.25">
      <c r="E2302" s="7"/>
      <c r="F2302" t="s">
        <v>20</v>
      </c>
      <c r="G2302" t="s">
        <v>21</v>
      </c>
      <c r="H2302" t="str">
        <f>"193967R-IN"</f>
        <v>193967R-IN</v>
      </c>
      <c r="I2302" t="str">
        <f>"NARDIS PUBLIC SAFETY"</f>
        <v>NARDIS PUBLIC SAFETY</v>
      </c>
    </row>
    <row r="2303" spans="1:9" x14ac:dyDescent="0.25">
      <c r="A2303" s="6">
        <v>43881</v>
      </c>
      <c r="B2303" t="s">
        <v>26</v>
      </c>
      <c r="C2303">
        <v>63431</v>
      </c>
      <c r="D2303" t="s">
        <v>169</v>
      </c>
      <c r="E2303" s="7">
        <v>35.1</v>
      </c>
      <c r="F2303" t="s">
        <v>20</v>
      </c>
      <c r="G2303" t="s">
        <v>21</v>
      </c>
      <c r="H2303" t="str">
        <f>"129616"</f>
        <v>129616</v>
      </c>
      <c r="I2303" t="str">
        <f>"THE POLICE AND SHERIFFS PRESS"</f>
        <v>THE POLICE AND SHERIFFS PRESS</v>
      </c>
    </row>
    <row r="2304" spans="1:9" x14ac:dyDescent="0.25">
      <c r="E2304" s="7"/>
      <c r="F2304" t="s">
        <v>20</v>
      </c>
      <c r="G2304" t="s">
        <v>21</v>
      </c>
      <c r="H2304" t="str">
        <f>"129950"</f>
        <v>129950</v>
      </c>
      <c r="I2304" t="str">
        <f>"THE POLICE AND SHERIFFS PRESS"</f>
        <v>THE POLICE AND SHERIFFS PRESS</v>
      </c>
    </row>
    <row r="2305" spans="1:9" x14ac:dyDescent="0.25">
      <c r="A2305" s="6">
        <v>43881</v>
      </c>
      <c r="B2305" t="s">
        <v>26</v>
      </c>
      <c r="C2305">
        <v>63432</v>
      </c>
      <c r="D2305" t="s">
        <v>792</v>
      </c>
      <c r="E2305" s="7">
        <v>90</v>
      </c>
      <c r="F2305" t="s">
        <v>20</v>
      </c>
      <c r="G2305" t="s">
        <v>21</v>
      </c>
      <c r="H2305" t="str">
        <f>"133795"</f>
        <v>133795</v>
      </c>
      <c r="I2305" t="str">
        <f>"ABANDONED VEHICLE LABLE"</f>
        <v>ABANDONED VEHICLE LABLE</v>
      </c>
    </row>
    <row r="2306" spans="1:9" x14ac:dyDescent="0.25">
      <c r="A2306" s="6">
        <v>43881</v>
      </c>
      <c r="B2306" t="s">
        <v>26</v>
      </c>
      <c r="C2306">
        <v>63433</v>
      </c>
      <c r="D2306" t="s">
        <v>194</v>
      </c>
      <c r="E2306" s="7">
        <v>217.86</v>
      </c>
      <c r="F2306" t="s">
        <v>20</v>
      </c>
      <c r="G2306" t="s">
        <v>21</v>
      </c>
      <c r="H2306" t="str">
        <f>"14991234"</f>
        <v>14991234</v>
      </c>
      <c r="I2306" t="str">
        <f>"P HYDEN UNIFORMS"</f>
        <v>P HYDEN UNIFORMS</v>
      </c>
    </row>
    <row r="2307" spans="1:9" x14ac:dyDescent="0.25">
      <c r="E2307" s="7"/>
      <c r="F2307" t="s">
        <v>20</v>
      </c>
      <c r="G2307" t="s">
        <v>21</v>
      </c>
      <c r="H2307" t="str">
        <f>"BC1036649"</f>
        <v>BC1036649</v>
      </c>
      <c r="I2307" t="str">
        <f>"GALLS  LLC-D.B.A. STERLING'S U"</f>
        <v>GALLS  LLC-D.B.A. STERLING'S U</v>
      </c>
    </row>
    <row r="2308" spans="1:9" x14ac:dyDescent="0.25">
      <c r="A2308" s="6">
        <v>43881</v>
      </c>
      <c r="B2308" t="s">
        <v>26</v>
      </c>
      <c r="C2308">
        <v>63434</v>
      </c>
      <c r="D2308" t="s">
        <v>892</v>
      </c>
      <c r="E2308" s="7">
        <v>500</v>
      </c>
      <c r="F2308" t="s">
        <v>20</v>
      </c>
      <c r="G2308" t="s">
        <v>21</v>
      </c>
      <c r="H2308" t="str">
        <f>"6822"</f>
        <v>6822</v>
      </c>
      <c r="I2308" t="str">
        <f>"HITS  INC"</f>
        <v>HITS  INC</v>
      </c>
    </row>
    <row r="2309" spans="1:9" x14ac:dyDescent="0.25">
      <c r="A2309" s="6">
        <v>43881</v>
      </c>
      <c r="B2309" t="s">
        <v>26</v>
      </c>
      <c r="C2309">
        <v>63435</v>
      </c>
      <c r="D2309" t="s">
        <v>336</v>
      </c>
      <c r="E2309" s="7">
        <v>276</v>
      </c>
      <c r="F2309" t="s">
        <v>20</v>
      </c>
      <c r="G2309" t="s">
        <v>21</v>
      </c>
      <c r="H2309" t="str">
        <f>"2/23-28/2020 CLASS"</f>
        <v>2/23-28/2020 CLASS</v>
      </c>
      <c r="I2309" t="str">
        <f>"BILLY HERRERA"</f>
        <v>BILLY HERRERA</v>
      </c>
    </row>
    <row r="2310" spans="1:9" x14ac:dyDescent="0.25">
      <c r="A2310" s="6">
        <v>43881</v>
      </c>
      <c r="B2310" t="s">
        <v>26</v>
      </c>
      <c r="C2310">
        <v>63436</v>
      </c>
      <c r="D2310" t="s">
        <v>618</v>
      </c>
      <c r="E2310" s="7">
        <v>279.5</v>
      </c>
      <c r="F2310" t="s">
        <v>20</v>
      </c>
      <c r="G2310" t="s">
        <v>21</v>
      </c>
      <c r="H2310" t="str">
        <f>"2/14/2020 ELECTION"</f>
        <v>2/14/2020 ELECTION</v>
      </c>
      <c r="I2310" t="str">
        <f>"SYLVIA TREVINO"</f>
        <v>SYLVIA TREVINO</v>
      </c>
    </row>
    <row r="2311" spans="1:9" x14ac:dyDescent="0.25">
      <c r="A2311" s="6">
        <v>43881</v>
      </c>
      <c r="B2311" t="s">
        <v>26</v>
      </c>
      <c r="C2311">
        <v>63437</v>
      </c>
      <c r="D2311" t="s">
        <v>647</v>
      </c>
      <c r="E2311" s="7">
        <v>2045</v>
      </c>
      <c r="F2311" t="s">
        <v>20</v>
      </c>
      <c r="G2311" t="s">
        <v>21</v>
      </c>
      <c r="H2311" t="str">
        <f>"26255880*"</f>
        <v>26255880*</v>
      </c>
      <c r="I2311" t="str">
        <f>"DOCUMATION  INC."</f>
        <v>DOCUMATION  INC.</v>
      </c>
    </row>
    <row r="2312" spans="1:9" x14ac:dyDescent="0.25">
      <c r="A2312" s="6">
        <v>43881</v>
      </c>
      <c r="B2312" t="s">
        <v>26</v>
      </c>
      <c r="C2312">
        <v>63438</v>
      </c>
      <c r="D2312" t="s">
        <v>739</v>
      </c>
      <c r="E2312" s="7">
        <v>95.82</v>
      </c>
      <c r="F2312" t="s">
        <v>20</v>
      </c>
      <c r="G2312" t="s">
        <v>21</v>
      </c>
      <c r="H2312" t="str">
        <f>"287291275286X12720"</f>
        <v>287291275286X12720</v>
      </c>
      <c r="I2312" t="str">
        <f>"FIRSTNET/AT&amp;T MOBILITY LLC"</f>
        <v>FIRSTNET/AT&amp;T MOBILITY LLC</v>
      </c>
    </row>
    <row r="2313" spans="1:9" x14ac:dyDescent="0.25">
      <c r="A2313" s="6">
        <v>43881</v>
      </c>
      <c r="B2313" t="s">
        <v>26</v>
      </c>
      <c r="C2313">
        <v>63439</v>
      </c>
      <c r="D2313" t="s">
        <v>336</v>
      </c>
      <c r="E2313" s="7">
        <v>547.99</v>
      </c>
      <c r="F2313" t="s">
        <v>20</v>
      </c>
      <c r="G2313" t="s">
        <v>21</v>
      </c>
      <c r="H2313" t="str">
        <f>"HOTEL CLASS 2/2020"</f>
        <v>HOTEL CLASS 2/2020</v>
      </c>
      <c r="I2313" t="str">
        <f>"BILLY HERRERA"</f>
        <v>BILLY HERRERA</v>
      </c>
    </row>
    <row r="2314" spans="1:9" x14ac:dyDescent="0.25">
      <c r="A2314" s="6">
        <v>43881</v>
      </c>
      <c r="B2314" t="s">
        <v>26</v>
      </c>
      <c r="C2314">
        <v>63440</v>
      </c>
      <c r="D2314" t="s">
        <v>447</v>
      </c>
      <c r="E2314" s="7">
        <v>547.99</v>
      </c>
      <c r="F2314" t="s">
        <v>20</v>
      </c>
      <c r="G2314" t="s">
        <v>21</v>
      </c>
      <c r="H2314" t="str">
        <f>"HOTEL CLASS 2/20"</f>
        <v>HOTEL CLASS 2/20</v>
      </c>
      <c r="I2314" t="str">
        <f>"VICTOR FAVELLA"</f>
        <v>VICTOR FAVELLA</v>
      </c>
    </row>
    <row r="2315" spans="1:9" x14ac:dyDescent="0.25">
      <c r="A2315" s="6">
        <v>43886</v>
      </c>
      <c r="B2315" t="s">
        <v>26</v>
      </c>
      <c r="C2315">
        <v>63448</v>
      </c>
      <c r="D2315" t="s">
        <v>51</v>
      </c>
      <c r="E2315" s="7">
        <v>346.31</v>
      </c>
      <c r="F2315" t="s">
        <v>20</v>
      </c>
      <c r="G2315" t="s">
        <v>21</v>
      </c>
      <c r="H2315" t="str">
        <f>"CLE202002258563"</f>
        <v>CLE202002258563</v>
      </c>
      <c r="I2315" t="str">
        <f>"CLEAT ONLY DUES"</f>
        <v>CLEAT ONLY DUES</v>
      </c>
    </row>
    <row r="2316" spans="1:9" x14ac:dyDescent="0.25">
      <c r="E2316" s="7"/>
      <c r="F2316" t="s">
        <v>20</v>
      </c>
      <c r="G2316" t="s">
        <v>21</v>
      </c>
      <c r="H2316" t="str">
        <f>"PDD202002258563"</f>
        <v>PDD202002258563</v>
      </c>
      <c r="I2316" t="str">
        <f>"POLICE OFFICERS ASSOC DUES"</f>
        <v>POLICE OFFICERS ASSOC DUES</v>
      </c>
    </row>
    <row r="2317" spans="1:9" x14ac:dyDescent="0.25">
      <c r="A2317" s="6">
        <v>43886</v>
      </c>
      <c r="B2317" t="s">
        <v>91</v>
      </c>
      <c r="C2317">
        <v>63449</v>
      </c>
      <c r="D2317" t="s">
        <v>90</v>
      </c>
      <c r="E2317" s="7">
        <v>101.1</v>
      </c>
      <c r="F2317" t="s">
        <v>20</v>
      </c>
      <c r="G2317" t="s">
        <v>21</v>
      </c>
      <c r="H2317" t="str">
        <f>"AFS202002258563"</f>
        <v>AFS202002258563</v>
      </c>
      <c r="I2317" t="str">
        <f>"AFLAC STD"</f>
        <v>AFLAC STD</v>
      </c>
    </row>
    <row r="2318" spans="1:9" x14ac:dyDescent="0.25">
      <c r="A2318" s="6">
        <v>43886</v>
      </c>
      <c r="B2318" t="s">
        <v>91</v>
      </c>
      <c r="C2318">
        <v>63449</v>
      </c>
      <c r="D2318" t="s">
        <v>90</v>
      </c>
      <c r="E2318" s="7">
        <v>101.1</v>
      </c>
      <c r="F2318" t="s">
        <v>20</v>
      </c>
      <c r="G2318" t="s">
        <v>93</v>
      </c>
      <c r="H2318" t="str">
        <f>"CHECK"</f>
        <v>CHECK</v>
      </c>
      <c r="I2318" t="str">
        <f>""</f>
        <v/>
      </c>
    </row>
    <row r="2319" spans="1:9" x14ac:dyDescent="0.25">
      <c r="A2319" s="6">
        <v>43886</v>
      </c>
      <c r="B2319" t="s">
        <v>26</v>
      </c>
      <c r="C2319">
        <v>63450</v>
      </c>
      <c r="D2319" t="s">
        <v>52</v>
      </c>
      <c r="E2319" s="7">
        <v>971.53</v>
      </c>
      <c r="F2319" t="s">
        <v>20</v>
      </c>
      <c r="G2319" t="s">
        <v>21</v>
      </c>
      <c r="H2319" t="str">
        <f>"CA1202002258563"</f>
        <v>CA1202002258563</v>
      </c>
      <c r="I2319" t="str">
        <f>"K RAMIREZ 001200229510060343CV"</f>
        <v>K RAMIREZ 001200229510060343CV</v>
      </c>
    </row>
    <row r="2320" spans="1:9" x14ac:dyDescent="0.25">
      <c r="E2320" s="7"/>
      <c r="F2320" t="s">
        <v>20</v>
      </c>
      <c r="G2320" t="s">
        <v>21</v>
      </c>
      <c r="H2320" t="str">
        <f>"CA2202002258563"</f>
        <v>CA2202002258563</v>
      </c>
      <c r="I2320" t="str">
        <f>"L HERNANDEZ 001016025203080354"</f>
        <v>L HERNANDEZ 001016025203080354</v>
      </c>
    </row>
    <row r="2321" spans="1:9" x14ac:dyDescent="0.25">
      <c r="E2321" s="7"/>
      <c r="F2321" t="s">
        <v>20</v>
      </c>
      <c r="G2321" t="s">
        <v>21</v>
      </c>
      <c r="H2321" t="str">
        <f>"CPS202002258563"</f>
        <v>CPS202002258563</v>
      </c>
      <c r="I2321" t="str">
        <f>"G MENDOZA 00123012032010EM5054"</f>
        <v>G MENDOZA 00123012032010EM5054</v>
      </c>
    </row>
    <row r="2322" spans="1:9" x14ac:dyDescent="0.25">
      <c r="E2322" s="7"/>
      <c r="F2322" t="s">
        <v>20</v>
      </c>
      <c r="G2322" t="s">
        <v>21</v>
      </c>
      <c r="H2322" t="str">
        <f>"CS 202002258563"</f>
        <v>CS 202002258563</v>
      </c>
      <c r="I2322" t="str">
        <f>"CAUSE#98EM504113 PEGGY RIVAS"</f>
        <v>CAUSE#98EM504113 PEGGY RIVAS</v>
      </c>
    </row>
    <row r="2323" spans="1:9" x14ac:dyDescent="0.25">
      <c r="E2323" s="7"/>
      <c r="F2323" t="s">
        <v>20</v>
      </c>
      <c r="G2323" t="s">
        <v>21</v>
      </c>
      <c r="H2323" t="str">
        <f>"CSA202002258563"</f>
        <v>CSA202002258563</v>
      </c>
      <c r="I2323" t="str">
        <f>"S RODRIGUEZ 001281730413050336"</f>
        <v>S RODRIGUEZ 001281730413050336</v>
      </c>
    </row>
    <row r="2324" spans="1:9" x14ac:dyDescent="0.25">
      <c r="A2324" s="6">
        <v>43886</v>
      </c>
      <c r="B2324" t="s">
        <v>26</v>
      </c>
      <c r="C2324">
        <v>63451</v>
      </c>
      <c r="D2324" t="s">
        <v>54</v>
      </c>
      <c r="E2324" s="7">
        <v>1200.24</v>
      </c>
      <c r="F2324" t="s">
        <v>20</v>
      </c>
      <c r="G2324" t="s">
        <v>21</v>
      </c>
      <c r="H2324" t="str">
        <f>"457202002258563"</f>
        <v>457202002258563</v>
      </c>
      <c r="I2324" t="str">
        <f>"CASE # 180-60751 457B DEDUCT"</f>
        <v>CASE # 180-60751 457B DEDUCT</v>
      </c>
    </row>
    <row r="2325" spans="1:9" x14ac:dyDescent="0.25">
      <c r="A2325" s="6">
        <v>43888</v>
      </c>
      <c r="B2325" t="s">
        <v>26</v>
      </c>
      <c r="C2325">
        <v>63452</v>
      </c>
      <c r="D2325" t="s">
        <v>63</v>
      </c>
      <c r="E2325" s="7">
        <v>752.95</v>
      </c>
      <c r="F2325" t="s">
        <v>20</v>
      </c>
      <c r="G2325" t="s">
        <v>21</v>
      </c>
      <c r="H2325" t="str">
        <f>"4042132651"</f>
        <v>4042132651</v>
      </c>
      <c r="I2325" t="str">
        <f t="shared" ref="I2325:I2332" si="42">"CINTAS CORPORATION"</f>
        <v>CINTAS CORPORATION</v>
      </c>
    </row>
    <row r="2326" spans="1:9" x14ac:dyDescent="0.25">
      <c r="E2326" s="7"/>
      <c r="F2326" t="s">
        <v>20</v>
      </c>
      <c r="G2326" t="s">
        <v>21</v>
      </c>
      <c r="H2326" t="str">
        <f>"4042132681"</f>
        <v>4042132681</v>
      </c>
      <c r="I2326" t="str">
        <f t="shared" si="42"/>
        <v>CINTAS CORPORATION</v>
      </c>
    </row>
    <row r="2327" spans="1:9" x14ac:dyDescent="0.25">
      <c r="E2327" s="7"/>
      <c r="F2327" t="s">
        <v>20</v>
      </c>
      <c r="G2327" t="s">
        <v>21</v>
      </c>
      <c r="H2327" t="str">
        <f>"4042132706"</f>
        <v>4042132706</v>
      </c>
      <c r="I2327" t="str">
        <f t="shared" si="42"/>
        <v>CINTAS CORPORATION</v>
      </c>
    </row>
    <row r="2328" spans="1:9" x14ac:dyDescent="0.25">
      <c r="E2328" s="7"/>
      <c r="F2328" t="s">
        <v>20</v>
      </c>
      <c r="G2328" t="s">
        <v>21</v>
      </c>
      <c r="H2328" t="str">
        <f>"4042132823"</f>
        <v>4042132823</v>
      </c>
      <c r="I2328" t="str">
        <f t="shared" si="42"/>
        <v>CINTAS CORPORATION</v>
      </c>
    </row>
    <row r="2329" spans="1:9" x14ac:dyDescent="0.25">
      <c r="E2329" s="7"/>
      <c r="F2329" t="s">
        <v>20</v>
      </c>
      <c r="G2329" t="s">
        <v>21</v>
      </c>
      <c r="H2329" t="str">
        <f>"4042769226"</f>
        <v>4042769226</v>
      </c>
      <c r="I2329" t="str">
        <f t="shared" si="42"/>
        <v>CINTAS CORPORATION</v>
      </c>
    </row>
    <row r="2330" spans="1:9" x14ac:dyDescent="0.25">
      <c r="E2330" s="7"/>
      <c r="F2330" t="s">
        <v>20</v>
      </c>
      <c r="G2330" t="s">
        <v>21</v>
      </c>
      <c r="H2330" t="str">
        <f>"4042769262"</f>
        <v>4042769262</v>
      </c>
      <c r="I2330" t="str">
        <f t="shared" si="42"/>
        <v>CINTAS CORPORATION</v>
      </c>
    </row>
    <row r="2331" spans="1:9" x14ac:dyDescent="0.25">
      <c r="E2331" s="7"/>
      <c r="F2331" t="s">
        <v>20</v>
      </c>
      <c r="G2331" t="s">
        <v>21</v>
      </c>
      <c r="H2331" t="str">
        <f>"4042769265"</f>
        <v>4042769265</v>
      </c>
      <c r="I2331" t="str">
        <f t="shared" si="42"/>
        <v>CINTAS CORPORATION</v>
      </c>
    </row>
    <row r="2332" spans="1:9" x14ac:dyDescent="0.25">
      <c r="E2332" s="7"/>
      <c r="F2332" t="s">
        <v>20</v>
      </c>
      <c r="G2332" t="s">
        <v>21</v>
      </c>
      <c r="H2332" t="str">
        <f>"4042769314"</f>
        <v>4042769314</v>
      </c>
      <c r="I2332" t="str">
        <f t="shared" si="42"/>
        <v>CINTAS CORPORATION</v>
      </c>
    </row>
    <row r="2333" spans="1:9" x14ac:dyDescent="0.25">
      <c r="A2333" s="6">
        <v>43888</v>
      </c>
      <c r="B2333" t="s">
        <v>26</v>
      </c>
      <c r="C2333">
        <v>63454</v>
      </c>
      <c r="D2333" t="s">
        <v>71</v>
      </c>
      <c r="E2333" s="7">
        <v>1020.64</v>
      </c>
      <c r="F2333" t="s">
        <v>20</v>
      </c>
      <c r="G2333" t="s">
        <v>21</v>
      </c>
      <c r="H2333" t="str">
        <f>"4027179263"</f>
        <v>4027179263</v>
      </c>
      <c r="I2333" t="str">
        <f>"CINTAS CORPORATION #087"</f>
        <v>CINTAS CORPORATION #087</v>
      </c>
    </row>
    <row r="2334" spans="1:9" x14ac:dyDescent="0.25">
      <c r="E2334" s="7"/>
      <c r="F2334" t="s">
        <v>20</v>
      </c>
      <c r="G2334" t="s">
        <v>21</v>
      </c>
      <c r="H2334" t="str">
        <f>"4027663809"</f>
        <v>4027663809</v>
      </c>
      <c r="I2334" t="str">
        <f>"CINTAS CORPORATION #087"</f>
        <v>CINTAS CORPORATION #087</v>
      </c>
    </row>
    <row r="2335" spans="1:9" x14ac:dyDescent="0.25">
      <c r="E2335" s="7"/>
      <c r="F2335" t="s">
        <v>20</v>
      </c>
      <c r="G2335" t="s">
        <v>21</v>
      </c>
      <c r="H2335" t="str">
        <f>"4032283569"</f>
        <v>4032283569</v>
      </c>
      <c r="I2335" t="str">
        <f>"CINTAS CORPORATION #087"</f>
        <v>CINTAS CORPORATION #087</v>
      </c>
    </row>
    <row r="2336" spans="1:9" x14ac:dyDescent="0.25">
      <c r="E2336" s="7"/>
      <c r="F2336" t="s">
        <v>20</v>
      </c>
      <c r="G2336" t="s">
        <v>21</v>
      </c>
      <c r="H2336" t="str">
        <f>"4039741292"</f>
        <v>4039741292</v>
      </c>
      <c r="I2336" t="str">
        <f>"CINTAS CORPORATION #087"</f>
        <v>CINTAS CORPORATION #087</v>
      </c>
    </row>
    <row r="2337" spans="1:9" x14ac:dyDescent="0.25">
      <c r="A2337" s="6">
        <v>43888</v>
      </c>
      <c r="B2337" t="s">
        <v>26</v>
      </c>
      <c r="C2337">
        <v>63455</v>
      </c>
      <c r="D2337" t="s">
        <v>81</v>
      </c>
      <c r="E2337" s="7">
        <v>353.07</v>
      </c>
      <c r="F2337" t="s">
        <v>20</v>
      </c>
      <c r="G2337" t="s">
        <v>21</v>
      </c>
      <c r="H2337" t="str">
        <f>"A.MARTINEZ 2/20"</f>
        <v>A.MARTINEZ 2/20</v>
      </c>
      <c r="I2337" t="str">
        <f>"CITY OF FLORESVILLE -PETTY CAS"</f>
        <v>CITY OF FLORESVILLE -PETTY CAS</v>
      </c>
    </row>
    <row r="2338" spans="1:9" x14ac:dyDescent="0.25">
      <c r="E2338" s="7"/>
      <c r="F2338" t="s">
        <v>20</v>
      </c>
      <c r="G2338" t="s">
        <v>21</v>
      </c>
      <c r="H2338" t="str">
        <f>"A.MONTOYA 2/25/20"</f>
        <v>A.MONTOYA 2/25/20</v>
      </c>
      <c r="I2338" t="str">
        <f>"CITY OF FLORESVILLE -PETTY CAS"</f>
        <v>CITY OF FLORESVILLE -PETTY CAS</v>
      </c>
    </row>
    <row r="2339" spans="1:9" x14ac:dyDescent="0.25">
      <c r="A2339" s="6">
        <v>43888</v>
      </c>
      <c r="B2339" t="s">
        <v>26</v>
      </c>
      <c r="C2339">
        <v>63457</v>
      </c>
      <c r="D2339" t="s">
        <v>893</v>
      </c>
      <c r="E2339" s="7">
        <v>550</v>
      </c>
      <c r="F2339" t="s">
        <v>20</v>
      </c>
      <c r="G2339" t="s">
        <v>21</v>
      </c>
      <c r="H2339" t="str">
        <f>"DEP REFUND 6.5.20"</f>
        <v>DEP REFUND 6.5.20</v>
      </c>
      <c r="I2339" t="str">
        <f>"CRYSTAL GAUNA"</f>
        <v>CRYSTAL GAUNA</v>
      </c>
    </row>
    <row r="2340" spans="1:9" x14ac:dyDescent="0.25">
      <c r="A2340" s="6">
        <v>43888</v>
      </c>
      <c r="B2340" t="s">
        <v>26</v>
      </c>
      <c r="C2340">
        <v>63458</v>
      </c>
      <c r="D2340" t="s">
        <v>872</v>
      </c>
      <c r="E2340" s="7">
        <v>120</v>
      </c>
      <c r="F2340" t="s">
        <v>20</v>
      </c>
      <c r="G2340" t="s">
        <v>21</v>
      </c>
      <c r="H2340" t="str">
        <f>"02/23/2020"</f>
        <v>02/23/2020</v>
      </c>
      <c r="I2340" t="str">
        <f>"DEVIN BENAVIDES"</f>
        <v>DEVIN BENAVIDES</v>
      </c>
    </row>
    <row r="2341" spans="1:9" x14ac:dyDescent="0.25">
      <c r="A2341" s="6">
        <v>43888</v>
      </c>
      <c r="B2341" t="s">
        <v>26</v>
      </c>
      <c r="C2341">
        <v>63459</v>
      </c>
      <c r="D2341" t="s">
        <v>103</v>
      </c>
      <c r="E2341" s="7">
        <v>93703.17</v>
      </c>
      <c r="F2341" t="s">
        <v>20</v>
      </c>
      <c r="G2341" t="s">
        <v>21</v>
      </c>
      <c r="H2341" t="str">
        <f>"FEBRUARY SALES TAX"</f>
        <v>FEBRUARY SALES TAX</v>
      </c>
      <c r="I2341" t="str">
        <f>"F. E. D. C."</f>
        <v>F. E. D. C.</v>
      </c>
    </row>
    <row r="2342" spans="1:9" x14ac:dyDescent="0.25">
      <c r="A2342" s="6">
        <v>43888</v>
      </c>
      <c r="B2342" t="s">
        <v>26</v>
      </c>
      <c r="C2342">
        <v>63460</v>
      </c>
      <c r="D2342" t="s">
        <v>85</v>
      </c>
      <c r="E2342" s="7">
        <v>346.41</v>
      </c>
      <c r="F2342" t="s">
        <v>20</v>
      </c>
      <c r="G2342" t="s">
        <v>21</v>
      </c>
      <c r="H2342" t="str">
        <f>"2162733 FEB.2020"</f>
        <v>2162733 FEB.2020</v>
      </c>
      <c r="I2342" t="str">
        <f>"FRONTIER"</f>
        <v>FRONTIER</v>
      </c>
    </row>
    <row r="2343" spans="1:9" x14ac:dyDescent="0.25">
      <c r="E2343" s="7"/>
      <c r="F2343" t="s">
        <v>20</v>
      </c>
      <c r="G2343" t="s">
        <v>21</v>
      </c>
      <c r="H2343" t="str">
        <f>"2162755 FEB.2020"</f>
        <v>2162755 FEB.2020</v>
      </c>
      <c r="I2343" t="str">
        <f>"FRONTIER"</f>
        <v>FRONTIER</v>
      </c>
    </row>
    <row r="2344" spans="1:9" x14ac:dyDescent="0.25">
      <c r="E2344" s="7"/>
      <c r="F2344" t="s">
        <v>20</v>
      </c>
      <c r="G2344" t="s">
        <v>21</v>
      </c>
      <c r="H2344" t="str">
        <f>"3932804 FEB.2020"</f>
        <v>3932804 FEB.2020</v>
      </c>
      <c r="I2344" t="str">
        <f>"FRONTIER"</f>
        <v>FRONTIER</v>
      </c>
    </row>
    <row r="2345" spans="1:9" x14ac:dyDescent="0.25">
      <c r="E2345" s="7"/>
      <c r="F2345" t="s">
        <v>20</v>
      </c>
      <c r="G2345" t="s">
        <v>21</v>
      </c>
      <c r="H2345" t="str">
        <f>"3936794 FEB.2020"</f>
        <v>3936794 FEB.2020</v>
      </c>
      <c r="I2345" t="str">
        <f>"FRONTIER"</f>
        <v>FRONTIER</v>
      </c>
    </row>
    <row r="2346" spans="1:9" x14ac:dyDescent="0.25">
      <c r="E2346" s="7"/>
      <c r="F2346" t="s">
        <v>20</v>
      </c>
      <c r="G2346" t="s">
        <v>21</v>
      </c>
      <c r="H2346" t="str">
        <f>"3938193 FEB.2020"</f>
        <v>3938193 FEB.2020</v>
      </c>
      <c r="I2346" t="str">
        <f>"FRONTIER"</f>
        <v>FRONTIER</v>
      </c>
    </row>
    <row r="2347" spans="1:9" x14ac:dyDescent="0.25">
      <c r="A2347" s="6">
        <v>43888</v>
      </c>
      <c r="B2347" t="s">
        <v>26</v>
      </c>
      <c r="C2347">
        <v>63461</v>
      </c>
      <c r="D2347" t="s">
        <v>824</v>
      </c>
      <c r="E2347" s="7">
        <v>210</v>
      </c>
      <c r="F2347" t="s">
        <v>20</v>
      </c>
      <c r="G2347" t="s">
        <v>21</v>
      </c>
      <c r="H2347" t="str">
        <f>"02/23/2020"</f>
        <v>02/23/2020</v>
      </c>
      <c r="I2347" t="str">
        <f>"MALLORY R. NELSON"</f>
        <v>MALLORY R. NELSON</v>
      </c>
    </row>
    <row r="2348" spans="1:9" x14ac:dyDescent="0.25">
      <c r="A2348" s="6">
        <v>43888</v>
      </c>
      <c r="B2348" t="s">
        <v>26</v>
      </c>
      <c r="C2348">
        <v>63462</v>
      </c>
      <c r="D2348" t="s">
        <v>345</v>
      </c>
      <c r="E2348" s="7">
        <v>242</v>
      </c>
      <c r="F2348" t="s">
        <v>20</v>
      </c>
      <c r="G2348" t="s">
        <v>21</v>
      </c>
      <c r="H2348" t="str">
        <f>"02/24/2020"</f>
        <v>02/24/2020</v>
      </c>
      <c r="I2348" t="str">
        <f>"MICHAEL ISAAC MARTINEZ"</f>
        <v>MICHAEL ISAAC MARTINEZ</v>
      </c>
    </row>
    <row r="2349" spans="1:9" x14ac:dyDescent="0.25">
      <c r="A2349" s="6">
        <v>43888</v>
      </c>
      <c r="B2349" t="s">
        <v>26</v>
      </c>
      <c r="C2349">
        <v>63463</v>
      </c>
      <c r="D2349" t="s">
        <v>134</v>
      </c>
      <c r="E2349" s="7">
        <v>1782.57</v>
      </c>
      <c r="F2349" t="s">
        <v>20</v>
      </c>
      <c r="G2349" t="s">
        <v>21</v>
      </c>
      <c r="H2349" t="str">
        <f>"2017-118.20"</f>
        <v>2017-118.20</v>
      </c>
      <c r="I2349" t="str">
        <f>"MOODY ENGINEERING GROUP INC."</f>
        <v>MOODY ENGINEERING GROUP INC.</v>
      </c>
    </row>
    <row r="2350" spans="1:9" x14ac:dyDescent="0.25">
      <c r="A2350" s="6">
        <v>43888</v>
      </c>
      <c r="B2350" t="s">
        <v>26</v>
      </c>
      <c r="C2350">
        <v>63464</v>
      </c>
      <c r="D2350" t="s">
        <v>123</v>
      </c>
      <c r="E2350" s="7">
        <v>551.85</v>
      </c>
      <c r="F2350" t="s">
        <v>20</v>
      </c>
      <c r="G2350" t="s">
        <v>21</v>
      </c>
      <c r="H2350" t="str">
        <f>"437658397001"</f>
        <v>437658397001</v>
      </c>
      <c r="I2350" t="str">
        <f>"OFFICE SUPPLIES"</f>
        <v>OFFICE SUPPLIES</v>
      </c>
    </row>
    <row r="2351" spans="1:9" x14ac:dyDescent="0.25">
      <c r="E2351" s="7"/>
      <c r="F2351" t="s">
        <v>20</v>
      </c>
      <c r="G2351" t="s">
        <v>21</v>
      </c>
      <c r="H2351" t="str">
        <f>"438460772001"</f>
        <v>438460772001</v>
      </c>
      <c r="I2351" t="str">
        <f>"PARKS SUPPLIES"</f>
        <v>PARKS SUPPLIES</v>
      </c>
    </row>
    <row r="2352" spans="1:9" x14ac:dyDescent="0.25">
      <c r="E2352" s="7"/>
      <c r="F2352" t="s">
        <v>20</v>
      </c>
      <c r="G2352" t="s">
        <v>21</v>
      </c>
      <c r="H2352" t="str">
        <f>"439259104001"</f>
        <v>439259104001</v>
      </c>
      <c r="I2352" t="str">
        <f>"OFFICE SUPPLIES- MARGARET"</f>
        <v>OFFICE SUPPLIES- MARGARET</v>
      </c>
    </row>
    <row r="2353" spans="1:9" x14ac:dyDescent="0.25">
      <c r="E2353" s="7"/>
      <c r="F2353" t="s">
        <v>20</v>
      </c>
      <c r="G2353" t="s">
        <v>21</v>
      </c>
      <c r="H2353" t="str">
        <f>"439259912001"</f>
        <v>439259912001</v>
      </c>
      <c r="I2353" t="str">
        <f>"OFFICE SUPPLIES- MARGARET"</f>
        <v>OFFICE SUPPLIES- MARGARET</v>
      </c>
    </row>
    <row r="2354" spans="1:9" x14ac:dyDescent="0.25">
      <c r="E2354" s="7"/>
      <c r="F2354" t="s">
        <v>20</v>
      </c>
      <c r="G2354" t="s">
        <v>21</v>
      </c>
      <c r="H2354" t="str">
        <f>"441820404001"</f>
        <v>441820404001</v>
      </c>
      <c r="I2354" t="str">
        <f>"PUBLIC WORKS COFFEE"</f>
        <v>PUBLIC WORKS COFFEE</v>
      </c>
    </row>
    <row r="2355" spans="1:9" x14ac:dyDescent="0.25">
      <c r="A2355" s="6">
        <v>43888</v>
      </c>
      <c r="B2355" t="s">
        <v>26</v>
      </c>
      <c r="C2355">
        <v>63466</v>
      </c>
      <c r="D2355" t="s">
        <v>273</v>
      </c>
      <c r="E2355" s="7">
        <v>6891.02</v>
      </c>
      <c r="F2355" t="s">
        <v>20</v>
      </c>
      <c r="G2355" t="s">
        <v>21</v>
      </c>
      <c r="H2355" t="str">
        <f>"5119-000092167"</f>
        <v>5119-000092167</v>
      </c>
      <c r="I2355" t="str">
        <f>"REPUBLIC SERVICES TESSMAN ROAD"</f>
        <v>REPUBLIC SERVICES TESSMAN ROAD</v>
      </c>
    </row>
    <row r="2356" spans="1:9" x14ac:dyDescent="0.25">
      <c r="A2356" s="6">
        <v>43888</v>
      </c>
      <c r="B2356" t="s">
        <v>26</v>
      </c>
      <c r="C2356">
        <v>63467</v>
      </c>
      <c r="D2356" t="s">
        <v>76</v>
      </c>
      <c r="E2356" s="7">
        <v>2393.2199999999998</v>
      </c>
      <c r="F2356" t="s">
        <v>20</v>
      </c>
      <c r="G2356" t="s">
        <v>21</v>
      </c>
      <c r="H2356" t="str">
        <f>"1092"</f>
        <v>1092</v>
      </c>
      <c r="I2356" t="str">
        <f>"WILSON COUNTY TAX COLLECTOR"</f>
        <v>WILSON COUNTY TAX COLLECTOR</v>
      </c>
    </row>
    <row r="2357" spans="1:9" x14ac:dyDescent="0.25">
      <c r="A2357" s="6">
        <v>43888</v>
      </c>
      <c r="B2357" t="s">
        <v>26</v>
      </c>
      <c r="C2357">
        <v>63468</v>
      </c>
      <c r="D2357" t="s">
        <v>894</v>
      </c>
      <c r="E2357" s="7">
        <v>400</v>
      </c>
      <c r="F2357" t="s">
        <v>20</v>
      </c>
      <c r="G2357" t="s">
        <v>21</v>
      </c>
      <c r="H2357" t="str">
        <f>"39596"</f>
        <v>39596</v>
      </c>
      <c r="I2357" t="str">
        <f>"ABEL TORRES"</f>
        <v>ABEL TORRES</v>
      </c>
    </row>
    <row r="2358" spans="1:9" x14ac:dyDescent="0.25">
      <c r="A2358" s="6">
        <v>43888</v>
      </c>
      <c r="B2358" t="s">
        <v>26</v>
      </c>
      <c r="C2358">
        <v>63469</v>
      </c>
      <c r="D2358" t="s">
        <v>125</v>
      </c>
      <c r="E2358" s="7">
        <v>15000</v>
      </c>
      <c r="F2358" t="s">
        <v>20</v>
      </c>
      <c r="G2358" t="s">
        <v>21</v>
      </c>
      <c r="H2358" t="str">
        <f>"39596"</f>
        <v>39596</v>
      </c>
      <c r="I2358" t="str">
        <f>"INTREPID SURVEYING CORPORATION"</f>
        <v>INTREPID SURVEYING CORPORATION</v>
      </c>
    </row>
    <row r="2359" spans="1:9" x14ac:dyDescent="0.25">
      <c r="A2359" s="6">
        <v>43888</v>
      </c>
      <c r="B2359" t="s">
        <v>26</v>
      </c>
      <c r="C2359">
        <v>63470</v>
      </c>
      <c r="D2359" t="s">
        <v>346</v>
      </c>
      <c r="E2359" s="7">
        <v>13750</v>
      </c>
      <c r="F2359" t="s">
        <v>20</v>
      </c>
      <c r="G2359" t="s">
        <v>21</v>
      </c>
      <c r="H2359" t="str">
        <f>"01/11-02/11/2020"</f>
        <v>01/11-02/11/2020</v>
      </c>
      <c r="I2359" t="str">
        <f>"SYLVIA RODRIGUEZ"</f>
        <v>SYLVIA RODRIGUEZ</v>
      </c>
    </row>
    <row r="2360" spans="1:9" x14ac:dyDescent="0.25">
      <c r="A2360" s="6">
        <v>43889</v>
      </c>
      <c r="B2360" t="s">
        <v>26</v>
      </c>
      <c r="C2360">
        <v>63471</v>
      </c>
      <c r="D2360" t="s">
        <v>178</v>
      </c>
      <c r="E2360" s="7">
        <v>14895.07</v>
      </c>
      <c r="F2360" t="s">
        <v>20</v>
      </c>
      <c r="G2360" t="s">
        <v>21</v>
      </c>
      <c r="H2360" t="str">
        <f>"HB005850"</f>
        <v>HB005850</v>
      </c>
      <c r="I2360" t="str">
        <f>"2017 MAHENDRA SIDE BY SID"</f>
        <v>2017 MAHENDRA SIDE BY SID</v>
      </c>
    </row>
    <row r="2361" spans="1:9" x14ac:dyDescent="0.25">
      <c r="E2361" s="7"/>
      <c r="F2361" t="s">
        <v>20</v>
      </c>
      <c r="G2361" t="s">
        <v>21</v>
      </c>
      <c r="H2361" t="str">
        <f>"JK000158"</f>
        <v>JK000158</v>
      </c>
      <c r="I2361" t="str">
        <f>"2018 CAN-AM DEFENDER"</f>
        <v>2018 CAN-AM DEFENDER</v>
      </c>
    </row>
    <row r="2362" spans="1:9" x14ac:dyDescent="0.25">
      <c r="A2362" s="6">
        <v>43889</v>
      </c>
      <c r="B2362" t="s">
        <v>91</v>
      </c>
      <c r="C2362">
        <v>63472</v>
      </c>
      <c r="D2362" t="s">
        <v>90</v>
      </c>
      <c r="E2362" s="7">
        <v>840.88</v>
      </c>
      <c r="F2362" t="s">
        <v>20</v>
      </c>
      <c r="G2362" t="s">
        <v>21</v>
      </c>
      <c r="H2362" t="str">
        <f>"ACA202002258563"</f>
        <v>ACA202002258563</v>
      </c>
      <c r="I2362" t="str">
        <f>"AFLAC INSURANCE"</f>
        <v>AFLAC INSURANCE</v>
      </c>
    </row>
    <row r="2363" spans="1:9" x14ac:dyDescent="0.25">
      <c r="E2363" s="7"/>
      <c r="F2363" t="s">
        <v>20</v>
      </c>
      <c r="G2363" t="s">
        <v>21</v>
      </c>
      <c r="H2363" t="str">
        <f>"AD2202002258563"</f>
        <v>AD2202002258563</v>
      </c>
      <c r="I2363" t="str">
        <f>"AFLAC INSURANCE"</f>
        <v>AFLAC INSURANCE</v>
      </c>
    </row>
    <row r="2364" spans="1:9" x14ac:dyDescent="0.25">
      <c r="E2364" s="7"/>
      <c r="F2364" t="s">
        <v>20</v>
      </c>
      <c r="G2364" t="s">
        <v>21</v>
      </c>
      <c r="H2364" t="str">
        <f>"ADR202002258563"</f>
        <v>ADR202002258563</v>
      </c>
      <c r="I2364" t="str">
        <f>"INSURANCE"</f>
        <v>INSURANCE</v>
      </c>
    </row>
    <row r="2365" spans="1:9" x14ac:dyDescent="0.25">
      <c r="E2365" s="7"/>
      <c r="F2365" t="s">
        <v>20</v>
      </c>
      <c r="G2365" t="s">
        <v>21</v>
      </c>
      <c r="H2365" t="str">
        <f>"AF1202002258563"</f>
        <v>AF1202002258563</v>
      </c>
      <c r="I2365" t="str">
        <f>"AFLAC INSURANCE"</f>
        <v>AFLAC INSURANCE</v>
      </c>
    </row>
    <row r="2366" spans="1:9" x14ac:dyDescent="0.25">
      <c r="E2366" s="7"/>
      <c r="F2366" t="s">
        <v>20</v>
      </c>
      <c r="G2366" t="s">
        <v>21</v>
      </c>
      <c r="H2366" t="str">
        <f>"ASP202002258563"</f>
        <v>ASP202002258563</v>
      </c>
      <c r="I2366" t="str">
        <f>"AFLAC INSURANCE"</f>
        <v>AFLAC INSURANCE</v>
      </c>
    </row>
    <row r="2367" spans="1:9" x14ac:dyDescent="0.25">
      <c r="E2367" s="7"/>
      <c r="F2367" t="s">
        <v>20</v>
      </c>
      <c r="G2367" t="s">
        <v>21</v>
      </c>
      <c r="H2367" t="str">
        <f>"HCO202002258563"</f>
        <v>HCO202002258563</v>
      </c>
      <c r="I2367" t="str">
        <f>"AFLAC INSURANCE"</f>
        <v>AFLAC INSURANCE</v>
      </c>
    </row>
    <row r="2368" spans="1:9" x14ac:dyDescent="0.25">
      <c r="A2368" s="6">
        <v>43889</v>
      </c>
      <c r="B2368" t="s">
        <v>91</v>
      </c>
      <c r="C2368">
        <v>63472</v>
      </c>
      <c r="D2368" t="s">
        <v>90</v>
      </c>
      <c r="E2368" s="7">
        <v>840.88</v>
      </c>
      <c r="F2368" t="s">
        <v>20</v>
      </c>
      <c r="G2368" t="s">
        <v>93</v>
      </c>
      <c r="H2368" t="str">
        <f>"CHECK"</f>
        <v>CHECK</v>
      </c>
      <c r="I2368" t="str">
        <f>""</f>
        <v/>
      </c>
    </row>
    <row r="2369" spans="1:9" x14ac:dyDescent="0.25">
      <c r="A2369" s="6">
        <v>43889</v>
      </c>
      <c r="B2369" t="s">
        <v>91</v>
      </c>
      <c r="C2369">
        <v>63475</v>
      </c>
      <c r="D2369" t="s">
        <v>92</v>
      </c>
      <c r="E2369" s="7">
        <v>20522.68</v>
      </c>
      <c r="F2369" t="s">
        <v>20</v>
      </c>
      <c r="G2369" t="s">
        <v>21</v>
      </c>
      <c r="H2369" t="str">
        <f>"RET202002258563"</f>
        <v>RET202002258563</v>
      </c>
      <c r="I2369" t="str">
        <f>"TMRS CITY OF FLORESVILLE"</f>
        <v>TMRS CITY OF FLORESVILLE</v>
      </c>
    </row>
    <row r="2370" spans="1:9" x14ac:dyDescent="0.25">
      <c r="A2370" s="6">
        <v>43889</v>
      </c>
      <c r="B2370" t="s">
        <v>91</v>
      </c>
      <c r="C2370">
        <v>63475</v>
      </c>
      <c r="D2370" t="s">
        <v>92</v>
      </c>
      <c r="E2370" s="7">
        <v>20522.68</v>
      </c>
      <c r="F2370" t="s">
        <v>20</v>
      </c>
      <c r="G2370" t="s">
        <v>93</v>
      </c>
      <c r="H2370" t="str">
        <f>"CHECK"</f>
        <v>CHECK</v>
      </c>
      <c r="I2370" t="str">
        <f>""</f>
        <v/>
      </c>
    </row>
    <row r="2371" spans="1:9" x14ac:dyDescent="0.25">
      <c r="A2371" s="6">
        <v>43889</v>
      </c>
      <c r="B2371" t="s">
        <v>91</v>
      </c>
      <c r="C2371">
        <v>63477</v>
      </c>
      <c r="D2371" t="s">
        <v>95</v>
      </c>
      <c r="E2371" s="7">
        <v>29.99</v>
      </c>
      <c r="F2371" t="s">
        <v>20</v>
      </c>
      <c r="G2371" t="s">
        <v>21</v>
      </c>
      <c r="H2371" t="str">
        <f>"LEA202002258563"</f>
        <v>LEA202002258563</v>
      </c>
      <c r="I2371" t="str">
        <f>"INSURANCE"</f>
        <v>INSURANCE</v>
      </c>
    </row>
    <row r="2372" spans="1:9" x14ac:dyDescent="0.25">
      <c r="A2372" s="6">
        <v>43889</v>
      </c>
      <c r="B2372" t="s">
        <v>91</v>
      </c>
      <c r="C2372">
        <v>63477</v>
      </c>
      <c r="D2372" t="s">
        <v>95</v>
      </c>
      <c r="E2372" s="7">
        <v>29.99</v>
      </c>
      <c r="F2372" t="s">
        <v>20</v>
      </c>
      <c r="G2372" t="s">
        <v>93</v>
      </c>
      <c r="H2372" t="str">
        <f>"CHECK"</f>
        <v>CHECK</v>
      </c>
      <c r="I2372" t="str">
        <f>""</f>
        <v/>
      </c>
    </row>
    <row r="2373" spans="1:9" x14ac:dyDescent="0.25">
      <c r="A2373" s="6">
        <v>43889</v>
      </c>
      <c r="B2373" t="s">
        <v>91</v>
      </c>
      <c r="C2373">
        <v>63478</v>
      </c>
      <c r="D2373" t="s">
        <v>96</v>
      </c>
      <c r="E2373" s="7">
        <v>155.88</v>
      </c>
      <c r="F2373" t="s">
        <v>20</v>
      </c>
      <c r="G2373" t="s">
        <v>21</v>
      </c>
      <c r="H2373" t="str">
        <f>"PPL202002258563"</f>
        <v>PPL202002258563</v>
      </c>
      <c r="I2373" t="str">
        <f>"INSURANCE"</f>
        <v>INSURANCE</v>
      </c>
    </row>
    <row r="2374" spans="1:9" x14ac:dyDescent="0.25">
      <c r="A2374" s="6">
        <v>43889</v>
      </c>
      <c r="B2374" t="s">
        <v>91</v>
      </c>
      <c r="C2374">
        <v>63478</v>
      </c>
      <c r="D2374" t="s">
        <v>96</v>
      </c>
      <c r="E2374" s="7">
        <v>155.88</v>
      </c>
      <c r="F2374" t="s">
        <v>20</v>
      </c>
      <c r="G2374" t="s">
        <v>93</v>
      </c>
      <c r="H2374" t="str">
        <f>"CHECK"</f>
        <v>CHECK</v>
      </c>
      <c r="I2374" t="str">
        <f>""</f>
        <v/>
      </c>
    </row>
    <row r="2375" spans="1:9" x14ac:dyDescent="0.25">
      <c r="A2375" s="6">
        <v>43889</v>
      </c>
      <c r="B2375" t="s">
        <v>91</v>
      </c>
      <c r="C2375">
        <v>63479</v>
      </c>
      <c r="D2375" t="s">
        <v>97</v>
      </c>
      <c r="E2375" s="7">
        <v>39256</v>
      </c>
      <c r="F2375" t="s">
        <v>20</v>
      </c>
      <c r="G2375" t="s">
        <v>21</v>
      </c>
      <c r="H2375" t="str">
        <f>"DEN202002258563"</f>
        <v>DEN202002258563</v>
      </c>
      <c r="I2375" t="str">
        <f>"DENTAL INSURANCE"</f>
        <v>DENTAL INSURANCE</v>
      </c>
    </row>
    <row r="2376" spans="1:9" x14ac:dyDescent="0.25">
      <c r="E2376" s="7"/>
      <c r="F2376" t="s">
        <v>20</v>
      </c>
      <c r="G2376" t="s">
        <v>21</v>
      </c>
      <c r="H2376" t="str">
        <f>"MED202002258563"</f>
        <v>MED202002258563</v>
      </c>
      <c r="I2376" t="str">
        <f>"HEALTH &amp; DENTAL INSURANCE"</f>
        <v>HEALTH &amp; DENTAL INSURANCE</v>
      </c>
    </row>
    <row r="2377" spans="1:9" x14ac:dyDescent="0.25">
      <c r="A2377" s="6">
        <v>43889</v>
      </c>
      <c r="B2377" t="s">
        <v>91</v>
      </c>
      <c r="C2377">
        <v>63479</v>
      </c>
      <c r="D2377" t="s">
        <v>97</v>
      </c>
      <c r="E2377" s="7">
        <v>39256</v>
      </c>
      <c r="F2377" t="s">
        <v>20</v>
      </c>
      <c r="G2377" t="s">
        <v>93</v>
      </c>
      <c r="H2377" t="str">
        <f>"CHECK"</f>
        <v>CHECK</v>
      </c>
      <c r="I2377" t="str">
        <f>""</f>
        <v/>
      </c>
    </row>
    <row r="2378" spans="1:9" x14ac:dyDescent="0.25">
      <c r="A2378" s="6">
        <v>43889</v>
      </c>
      <c r="B2378" t="s">
        <v>91</v>
      </c>
      <c r="C2378">
        <v>63481</v>
      </c>
      <c r="D2378" t="s">
        <v>98</v>
      </c>
      <c r="E2378" s="7">
        <v>2011.03</v>
      </c>
      <c r="F2378" t="s">
        <v>20</v>
      </c>
      <c r="G2378" t="s">
        <v>21</v>
      </c>
      <c r="H2378" t="str">
        <f>"LIF202002258563"</f>
        <v>LIF202002258563</v>
      </c>
      <c r="I2378" t="str">
        <f>"INSURANCE"</f>
        <v>INSURANCE</v>
      </c>
    </row>
    <row r="2379" spans="1:9" x14ac:dyDescent="0.25">
      <c r="E2379" s="7"/>
      <c r="F2379" t="s">
        <v>20</v>
      </c>
      <c r="G2379" t="s">
        <v>21</v>
      </c>
      <c r="H2379" t="str">
        <f>"STD202002258563"</f>
        <v>STD202002258563</v>
      </c>
      <c r="I2379" t="str">
        <f>"SHORT TERM DISABILITY"</f>
        <v>SHORT TERM DISABILITY</v>
      </c>
    </row>
    <row r="2380" spans="1:9" x14ac:dyDescent="0.25">
      <c r="E2380" s="7"/>
      <c r="F2380" t="s">
        <v>20</v>
      </c>
      <c r="G2380" t="s">
        <v>21</v>
      </c>
      <c r="H2380" t="str">
        <f>"VIS202002258563"</f>
        <v>VIS202002258563</v>
      </c>
      <c r="I2380" t="str">
        <f>"VISION INSURANCE"</f>
        <v>VISION INSURANCE</v>
      </c>
    </row>
    <row r="2381" spans="1:9" x14ac:dyDescent="0.25">
      <c r="E2381" s="7"/>
      <c r="F2381" t="s">
        <v>20</v>
      </c>
      <c r="G2381" t="s">
        <v>21</v>
      </c>
      <c r="H2381" t="str">
        <f>"VLC202002258563"</f>
        <v>VLC202002258563</v>
      </c>
      <c r="I2381" t="str">
        <f>"CHILD LIFE INSURANCE"</f>
        <v>CHILD LIFE INSURANCE</v>
      </c>
    </row>
    <row r="2382" spans="1:9" x14ac:dyDescent="0.25">
      <c r="E2382" s="7"/>
      <c r="F2382" t="s">
        <v>20</v>
      </c>
      <c r="G2382" t="s">
        <v>21</v>
      </c>
      <c r="H2382" t="str">
        <f>"VLS202002258563"</f>
        <v>VLS202002258563</v>
      </c>
      <c r="I2382" t="str">
        <f>"SPOUSE LIFE"</f>
        <v>SPOUSE LIFE</v>
      </c>
    </row>
    <row r="2383" spans="1:9" x14ac:dyDescent="0.25">
      <c r="E2383" s="7"/>
      <c r="F2383" t="s">
        <v>20</v>
      </c>
      <c r="G2383" t="s">
        <v>21</v>
      </c>
      <c r="H2383" t="str">
        <f>"VOE202002258563"</f>
        <v>VOE202002258563</v>
      </c>
      <c r="I2383" t="str">
        <f>"EMPLOYEE LIFE"</f>
        <v>EMPLOYEE LIFE</v>
      </c>
    </row>
    <row r="2384" spans="1:9" x14ac:dyDescent="0.25">
      <c r="E2384" s="7"/>
      <c r="F2384" t="s">
        <v>20</v>
      </c>
      <c r="G2384" t="s">
        <v>21</v>
      </c>
      <c r="H2384" t="str">
        <f>"VOL202002258563"</f>
        <v>VOL202002258563</v>
      </c>
      <c r="I2384" t="str">
        <f>"LIFE"</f>
        <v>LIFE</v>
      </c>
    </row>
    <row r="2385" spans="1:9" x14ac:dyDescent="0.25">
      <c r="A2385" s="6">
        <v>43889</v>
      </c>
      <c r="B2385" t="s">
        <v>91</v>
      </c>
      <c r="C2385">
        <v>63481</v>
      </c>
      <c r="D2385" t="s">
        <v>98</v>
      </c>
      <c r="E2385" s="7">
        <v>2011.03</v>
      </c>
      <c r="F2385" t="s">
        <v>20</v>
      </c>
      <c r="G2385" t="s">
        <v>93</v>
      </c>
      <c r="H2385" t="str">
        <f>"CHECK"</f>
        <v>CHECK</v>
      </c>
      <c r="I2385" t="str">
        <f>""</f>
        <v/>
      </c>
    </row>
    <row r="2386" spans="1:9" x14ac:dyDescent="0.25">
      <c r="A2386" s="6">
        <v>43893</v>
      </c>
      <c r="B2386" t="s">
        <v>26</v>
      </c>
      <c r="C2386">
        <v>63486</v>
      </c>
      <c r="D2386" t="s">
        <v>47</v>
      </c>
      <c r="E2386" s="7">
        <v>78422.44</v>
      </c>
      <c r="F2386" t="s">
        <v>20</v>
      </c>
      <c r="G2386" t="s">
        <v>21</v>
      </c>
      <c r="H2386" t="str">
        <f>"COFEP182020"</f>
        <v>COFEP182020</v>
      </c>
      <c r="I2386" t="str">
        <f>"HEARTLAND PARK &amp; RECREATION  L"</f>
        <v>HEARTLAND PARK &amp; RECREATION  L</v>
      </c>
    </row>
    <row r="2387" spans="1:9" x14ac:dyDescent="0.25">
      <c r="A2387" s="6">
        <v>43894</v>
      </c>
      <c r="B2387" t="s">
        <v>26</v>
      </c>
      <c r="C2387">
        <v>63487</v>
      </c>
      <c r="D2387" t="s">
        <v>56</v>
      </c>
      <c r="E2387" s="7">
        <v>41.38</v>
      </c>
      <c r="F2387" t="s">
        <v>20</v>
      </c>
      <c r="G2387" t="s">
        <v>21</v>
      </c>
      <c r="H2387" t="str">
        <f>"180568"</f>
        <v>180568</v>
      </c>
      <c r="I2387" t="str">
        <f>"GERALD LUBIANSKI ENTERPRISES"</f>
        <v>GERALD LUBIANSKI ENTERPRISES</v>
      </c>
    </row>
    <row r="2388" spans="1:9" x14ac:dyDescent="0.25">
      <c r="A2388" s="6">
        <v>43894</v>
      </c>
      <c r="B2388" t="s">
        <v>26</v>
      </c>
      <c r="C2388">
        <v>63488</v>
      </c>
      <c r="D2388" t="s">
        <v>57</v>
      </c>
      <c r="E2388" s="7">
        <v>24111.61</v>
      </c>
      <c r="F2388" t="s">
        <v>20</v>
      </c>
      <c r="G2388" t="s">
        <v>21</v>
      </c>
      <c r="H2388" t="str">
        <f>"11617 FEBRUARY 20"</f>
        <v>11617 FEBRUARY 20</v>
      </c>
      <c r="I2388" t="str">
        <f>"F.E.L.P.S."</f>
        <v>F.E.L.P.S.</v>
      </c>
    </row>
    <row r="2389" spans="1:9" x14ac:dyDescent="0.25">
      <c r="A2389" s="6">
        <v>43894</v>
      </c>
      <c r="B2389" t="s">
        <v>26</v>
      </c>
      <c r="C2389">
        <v>63489</v>
      </c>
      <c r="D2389" t="s">
        <v>59</v>
      </c>
      <c r="E2389" s="7">
        <v>5983.95</v>
      </c>
      <c r="F2389" t="s">
        <v>20</v>
      </c>
      <c r="G2389" t="s">
        <v>21</v>
      </c>
      <c r="H2389" t="str">
        <f>"1049892-2"</f>
        <v>1049892-2</v>
      </c>
      <c r="I2389" t="str">
        <f>"HYDRANT AND MISC STOCK"</f>
        <v>HYDRANT AND MISC STOCK</v>
      </c>
    </row>
    <row r="2390" spans="1:9" x14ac:dyDescent="0.25">
      <c r="E2390" s="7"/>
      <c r="F2390" t="s">
        <v>20</v>
      </c>
      <c r="G2390" t="s">
        <v>21</v>
      </c>
      <c r="H2390" t="str">
        <f>"1049930"</f>
        <v>1049930</v>
      </c>
      <c r="I2390" t="str">
        <f>"HYDRANT AND MISC STOCK"</f>
        <v>HYDRANT AND MISC STOCK</v>
      </c>
    </row>
    <row r="2391" spans="1:9" x14ac:dyDescent="0.25">
      <c r="A2391" s="6">
        <v>43894</v>
      </c>
      <c r="B2391" t="s">
        <v>26</v>
      </c>
      <c r="C2391">
        <v>63490</v>
      </c>
      <c r="D2391" t="s">
        <v>105</v>
      </c>
      <c r="E2391" s="7">
        <v>28</v>
      </c>
      <c r="F2391" t="s">
        <v>20</v>
      </c>
      <c r="G2391" t="s">
        <v>21</v>
      </c>
      <c r="H2391" t="str">
        <f>"347997"</f>
        <v>347997</v>
      </c>
      <c r="I2391" t="str">
        <f>"STATE INSPECTIONS"</f>
        <v>STATE INSPECTIONS</v>
      </c>
    </row>
    <row r="2392" spans="1:9" x14ac:dyDescent="0.25">
      <c r="E2392" s="7"/>
      <c r="F2392" t="s">
        <v>20</v>
      </c>
      <c r="G2392" t="s">
        <v>21</v>
      </c>
      <c r="H2392" t="str">
        <f>"348005"</f>
        <v>348005</v>
      </c>
      <c r="I2392" t="str">
        <f>"STATE INSPECTIONS"</f>
        <v>STATE INSPECTIONS</v>
      </c>
    </row>
    <row r="2393" spans="1:9" x14ac:dyDescent="0.25">
      <c r="E2393" s="7"/>
      <c r="F2393" t="s">
        <v>20</v>
      </c>
      <c r="G2393" t="s">
        <v>21</v>
      </c>
      <c r="H2393" t="str">
        <f>"348012"</f>
        <v>348012</v>
      </c>
      <c r="I2393" t="str">
        <f>"STATE INSPECTIONS"</f>
        <v>STATE INSPECTIONS</v>
      </c>
    </row>
    <row r="2394" spans="1:9" x14ac:dyDescent="0.25">
      <c r="E2394" s="7"/>
      <c r="F2394" t="s">
        <v>20</v>
      </c>
      <c r="G2394" t="s">
        <v>21</v>
      </c>
      <c r="H2394" t="str">
        <f>"348039"</f>
        <v>348039</v>
      </c>
      <c r="I2394" t="str">
        <f>"STATE INSPECTIONS"</f>
        <v>STATE INSPECTIONS</v>
      </c>
    </row>
    <row r="2395" spans="1:9" x14ac:dyDescent="0.25">
      <c r="A2395" s="6">
        <v>43894</v>
      </c>
      <c r="B2395" t="s">
        <v>26</v>
      </c>
      <c r="C2395">
        <v>63491</v>
      </c>
      <c r="D2395" t="s">
        <v>179</v>
      </c>
      <c r="E2395" s="7">
        <v>49</v>
      </c>
      <c r="F2395" t="s">
        <v>20</v>
      </c>
      <c r="G2395" t="s">
        <v>21</v>
      </c>
      <c r="H2395" t="str">
        <f>"59701"</f>
        <v>59701</v>
      </c>
      <c r="I2395" t="str">
        <f>"UNIT 502- PARKS SHIFT CAB"</f>
        <v>UNIT 502- PARKS SHIFT CAB</v>
      </c>
    </row>
    <row r="2396" spans="1:9" x14ac:dyDescent="0.25">
      <c r="A2396" s="6">
        <v>43894</v>
      </c>
      <c r="B2396" t="s">
        <v>26</v>
      </c>
      <c r="C2396">
        <v>63492</v>
      </c>
      <c r="D2396" t="s">
        <v>180</v>
      </c>
      <c r="E2396" s="7">
        <v>27.74</v>
      </c>
      <c r="F2396" t="s">
        <v>20</v>
      </c>
      <c r="G2396" t="s">
        <v>21</v>
      </c>
      <c r="H2396" t="str">
        <f>"131175"</f>
        <v>131175</v>
      </c>
      <c r="I2396" t="str">
        <f>"GLUE &amp; FITTINGS"</f>
        <v>GLUE &amp; FITTINGS</v>
      </c>
    </row>
    <row r="2397" spans="1:9" x14ac:dyDescent="0.25">
      <c r="A2397" s="6">
        <v>43894</v>
      </c>
      <c r="B2397" t="s">
        <v>26</v>
      </c>
      <c r="C2397">
        <v>63493</v>
      </c>
      <c r="D2397" t="s">
        <v>108</v>
      </c>
      <c r="E2397" s="7">
        <v>1485.2</v>
      </c>
      <c r="F2397" t="s">
        <v>20</v>
      </c>
      <c r="G2397" t="s">
        <v>21</v>
      </c>
      <c r="H2397" t="str">
        <f>"041295643740"</f>
        <v>041295643740</v>
      </c>
      <c r="I2397" t="str">
        <f>"POOLSURE"</f>
        <v>POOLSURE</v>
      </c>
    </row>
    <row r="2398" spans="1:9" x14ac:dyDescent="0.25">
      <c r="A2398" s="6">
        <v>43894</v>
      </c>
      <c r="B2398" t="s">
        <v>26</v>
      </c>
      <c r="C2398">
        <v>63494</v>
      </c>
      <c r="D2398" t="s">
        <v>240</v>
      </c>
      <c r="E2398" s="7">
        <v>1136.8</v>
      </c>
      <c r="F2398" t="s">
        <v>20</v>
      </c>
      <c r="G2398" t="s">
        <v>21</v>
      </c>
      <c r="H2398" t="str">
        <f>"0185333-IN"</f>
        <v>0185333-IN</v>
      </c>
      <c r="I2398" t="str">
        <f>"NARDIS PUBLIC SAFETY"</f>
        <v>NARDIS PUBLIC SAFETY</v>
      </c>
    </row>
    <row r="2399" spans="1:9" x14ac:dyDescent="0.25">
      <c r="E2399" s="7"/>
      <c r="F2399" t="s">
        <v>20</v>
      </c>
      <c r="G2399" t="s">
        <v>21</v>
      </c>
      <c r="H2399" t="str">
        <f>"0185446-IN"</f>
        <v>0185446-IN</v>
      </c>
      <c r="I2399" t="str">
        <f>"CHIEF HERRERA- UNIFORM"</f>
        <v>CHIEF HERRERA- UNIFORM</v>
      </c>
    </row>
    <row r="2400" spans="1:9" x14ac:dyDescent="0.25">
      <c r="E2400" s="7"/>
      <c r="F2400" t="s">
        <v>20</v>
      </c>
      <c r="G2400" t="s">
        <v>21</v>
      </c>
      <c r="H2400" t="str">
        <f>"0185590-IN"</f>
        <v>0185590-IN</v>
      </c>
      <c r="I2400" t="str">
        <f>"NARDIS PUBLIC SAFETY"</f>
        <v>NARDIS PUBLIC SAFETY</v>
      </c>
    </row>
    <row r="2401" spans="1:9" x14ac:dyDescent="0.25">
      <c r="E2401" s="7"/>
      <c r="F2401" t="s">
        <v>20</v>
      </c>
      <c r="G2401" t="s">
        <v>21</v>
      </c>
      <c r="H2401" t="str">
        <f>"0185603-IN"</f>
        <v>0185603-IN</v>
      </c>
      <c r="I2401" t="str">
        <f>"NARDIS PUBLIC SAFETY"</f>
        <v>NARDIS PUBLIC SAFETY</v>
      </c>
    </row>
    <row r="2402" spans="1:9" x14ac:dyDescent="0.25">
      <c r="A2402" s="6">
        <v>43894</v>
      </c>
      <c r="B2402" t="s">
        <v>26</v>
      </c>
      <c r="C2402">
        <v>63495</v>
      </c>
      <c r="D2402" t="s">
        <v>181</v>
      </c>
      <c r="E2402" s="7">
        <v>43.61</v>
      </c>
      <c r="F2402" t="s">
        <v>20</v>
      </c>
      <c r="G2402" t="s">
        <v>21</v>
      </c>
      <c r="H2402" t="str">
        <f>"3933186 FEB 2020"</f>
        <v>3933186 FEB 2020</v>
      </c>
      <c r="I2402" t="str">
        <f>"AT&amp;T"</f>
        <v>AT&amp;T</v>
      </c>
    </row>
    <row r="2403" spans="1:9" x14ac:dyDescent="0.25">
      <c r="A2403" s="6">
        <v>43894</v>
      </c>
      <c r="B2403" t="s">
        <v>26</v>
      </c>
      <c r="C2403">
        <v>63496</v>
      </c>
      <c r="D2403" t="s">
        <v>895</v>
      </c>
      <c r="E2403" s="7">
        <v>200</v>
      </c>
      <c r="F2403" t="s">
        <v>20</v>
      </c>
      <c r="G2403" t="s">
        <v>21</v>
      </c>
      <c r="H2403" t="str">
        <f>"DSPT RFD 10/2020"</f>
        <v>DSPT RFD 10/2020</v>
      </c>
      <c r="I2403" t="str">
        <f>"REFUN"</f>
        <v>REFUN</v>
      </c>
    </row>
    <row r="2404" spans="1:9" x14ac:dyDescent="0.25">
      <c r="A2404" s="6">
        <v>43894</v>
      </c>
      <c r="B2404" t="s">
        <v>26</v>
      </c>
      <c r="C2404">
        <v>63497</v>
      </c>
      <c r="D2404" t="s">
        <v>61</v>
      </c>
      <c r="E2404" s="7">
        <v>1941.47</v>
      </c>
      <c r="F2404" t="s">
        <v>20</v>
      </c>
      <c r="G2404" t="s">
        <v>21</v>
      </c>
      <c r="H2404" t="str">
        <f>"025-287453"</f>
        <v>025-287453</v>
      </c>
      <c r="I2404" t="str">
        <f>"TYLER TECHNOLOGIES  INC."</f>
        <v>TYLER TECHNOLOGIES  INC.</v>
      </c>
    </row>
    <row r="2405" spans="1:9" x14ac:dyDescent="0.25">
      <c r="E2405" s="7"/>
      <c r="F2405" t="s">
        <v>20</v>
      </c>
      <c r="G2405" t="s">
        <v>21</v>
      </c>
      <c r="H2405" t="str">
        <f>"025-287952"</f>
        <v>025-287952</v>
      </c>
      <c r="I2405" t="str">
        <f>"TYLER TECHNOLOGIES  INC."</f>
        <v>TYLER TECHNOLOGIES  INC.</v>
      </c>
    </row>
    <row r="2406" spans="1:9" x14ac:dyDescent="0.25">
      <c r="A2406" s="6">
        <v>43894</v>
      </c>
      <c r="B2406" t="s">
        <v>26</v>
      </c>
      <c r="C2406">
        <v>63498</v>
      </c>
      <c r="D2406" t="s">
        <v>0</v>
      </c>
      <c r="E2406" s="7">
        <v>3628.97</v>
      </c>
      <c r="F2406" t="s">
        <v>20</v>
      </c>
      <c r="G2406" t="s">
        <v>21</v>
      </c>
      <c r="H2406" t="str">
        <f>"01-0195-00FEB2020"</f>
        <v>01-0195-00FEB2020</v>
      </c>
      <c r="I2406" t="str">
        <f>"CITY OF FLORESVILLE"</f>
        <v>CITY OF FLORESVILLE</v>
      </c>
    </row>
    <row r="2407" spans="1:9" x14ac:dyDescent="0.25">
      <c r="A2407" s="6">
        <v>43894</v>
      </c>
      <c r="B2407" t="s">
        <v>26</v>
      </c>
      <c r="C2407">
        <v>63499</v>
      </c>
      <c r="D2407" t="s">
        <v>115</v>
      </c>
      <c r="E2407" s="7">
        <v>414.61</v>
      </c>
      <c r="F2407" t="s">
        <v>20</v>
      </c>
      <c r="G2407" t="s">
        <v>21</v>
      </c>
      <c r="H2407" t="str">
        <f>"3547619850"</f>
        <v>3547619850</v>
      </c>
      <c r="I2407" t="str">
        <f>"PD UNIT 321"</f>
        <v>PD UNIT 321</v>
      </c>
    </row>
    <row r="2408" spans="1:9" x14ac:dyDescent="0.25">
      <c r="E2408" s="7"/>
      <c r="F2408" t="s">
        <v>20</v>
      </c>
      <c r="G2408" t="s">
        <v>21</v>
      </c>
      <c r="H2408" t="str">
        <f>"3547619851"</f>
        <v>3547619851</v>
      </c>
      <c r="I2408" t="str">
        <f>"OIL DRY FOR THE SHOP"</f>
        <v>OIL DRY FOR THE SHOP</v>
      </c>
    </row>
    <row r="2409" spans="1:9" x14ac:dyDescent="0.25">
      <c r="E2409" s="7"/>
      <c r="F2409" t="s">
        <v>20</v>
      </c>
      <c r="G2409" t="s">
        <v>21</v>
      </c>
      <c r="H2409" t="str">
        <f>"3547620174"</f>
        <v>3547620174</v>
      </c>
      <c r="I2409" t="str">
        <f>"BATTERIES FLATBED- STREET"</f>
        <v>BATTERIES FLATBED- STREET</v>
      </c>
    </row>
    <row r="2410" spans="1:9" x14ac:dyDescent="0.25">
      <c r="A2410" s="6">
        <v>43894</v>
      </c>
      <c r="B2410" t="s">
        <v>26</v>
      </c>
      <c r="C2410">
        <v>63500</v>
      </c>
      <c r="D2410" t="s">
        <v>63</v>
      </c>
      <c r="E2410" s="7">
        <v>2064.09</v>
      </c>
      <c r="F2410" t="s">
        <v>20</v>
      </c>
      <c r="G2410" t="s">
        <v>21</v>
      </c>
      <c r="H2410" t="str">
        <f>"8404494089"</f>
        <v>8404494089</v>
      </c>
      <c r="I2410" t="str">
        <f>"CINTAS CORPORATION"</f>
        <v>CINTAS CORPORATION</v>
      </c>
    </row>
    <row r="2411" spans="1:9" x14ac:dyDescent="0.25">
      <c r="E2411" s="7"/>
      <c r="F2411" t="s">
        <v>20</v>
      </c>
      <c r="G2411" t="s">
        <v>21</v>
      </c>
      <c r="H2411" t="str">
        <f>"8404508446"</f>
        <v>8404508446</v>
      </c>
      <c r="I2411" t="str">
        <f>"CINTAS CORPORATION"</f>
        <v>CINTAS CORPORATION</v>
      </c>
    </row>
    <row r="2412" spans="1:9" x14ac:dyDescent="0.25">
      <c r="E2412" s="7"/>
      <c r="F2412" t="s">
        <v>20</v>
      </c>
      <c r="G2412" t="s">
        <v>21</v>
      </c>
      <c r="H2412" t="str">
        <f>"8404516840"</f>
        <v>8404516840</v>
      </c>
      <c r="I2412" t="str">
        <f>"CINTAS CORPORATION"</f>
        <v>CINTAS CORPORATION</v>
      </c>
    </row>
    <row r="2413" spans="1:9" x14ac:dyDescent="0.25">
      <c r="A2413" s="6">
        <v>43894</v>
      </c>
      <c r="B2413" t="s">
        <v>26</v>
      </c>
      <c r="C2413">
        <v>63501</v>
      </c>
      <c r="D2413" t="s">
        <v>117</v>
      </c>
      <c r="E2413" s="7">
        <v>1858.73</v>
      </c>
      <c r="F2413" t="s">
        <v>20</v>
      </c>
      <c r="G2413" t="s">
        <v>21</v>
      </c>
      <c r="H2413" t="str">
        <f>"JANUARY 2020"</f>
        <v>JANUARY 2020</v>
      </c>
      <c r="I2413" t="str">
        <f>"LINEBARGER GOGGAN BLAIR &amp; SAMP"</f>
        <v>LINEBARGER GOGGAN BLAIR &amp; SAMP</v>
      </c>
    </row>
    <row r="2414" spans="1:9" x14ac:dyDescent="0.25">
      <c r="E2414" s="7"/>
      <c r="F2414" t="s">
        <v>20</v>
      </c>
      <c r="G2414" t="s">
        <v>21</v>
      </c>
      <c r="H2414" t="str">
        <f>"MC JANUARY 2020"</f>
        <v>MC JANUARY 2020</v>
      </c>
      <c r="I2414" t="str">
        <f>"LINEBARGER GOGGAN BLAIR &amp; SAMP"</f>
        <v>LINEBARGER GOGGAN BLAIR &amp; SAMP</v>
      </c>
    </row>
    <row r="2415" spans="1:9" x14ac:dyDescent="0.25">
      <c r="A2415" s="6">
        <v>43894</v>
      </c>
      <c r="B2415" t="s">
        <v>26</v>
      </c>
      <c r="C2415">
        <v>63502</v>
      </c>
      <c r="D2415" t="s">
        <v>186</v>
      </c>
      <c r="E2415" s="7">
        <v>7612.42</v>
      </c>
      <c r="F2415" t="s">
        <v>20</v>
      </c>
      <c r="G2415" t="s">
        <v>21</v>
      </c>
      <c r="H2415" t="str">
        <f>"2ND QRT 4/1-6/30"</f>
        <v>2ND QRT 4/1-6/30</v>
      </c>
      <c r="I2415" t="str">
        <f>"WILSON COUNTY APPRAISAL DISTRI"</f>
        <v>WILSON COUNTY APPRAISAL DISTRI</v>
      </c>
    </row>
    <row r="2416" spans="1:9" x14ac:dyDescent="0.25">
      <c r="A2416" s="6">
        <v>43894</v>
      </c>
      <c r="B2416" t="s">
        <v>26</v>
      </c>
      <c r="C2416">
        <v>63503</v>
      </c>
      <c r="D2416" t="s">
        <v>213</v>
      </c>
      <c r="E2416" s="7">
        <v>5900.37</v>
      </c>
      <c r="F2416" t="s">
        <v>20</v>
      </c>
      <c r="G2416" t="s">
        <v>21</v>
      </c>
      <c r="H2416" t="str">
        <f>"MARCH 2020"</f>
        <v>MARCH 2020</v>
      </c>
      <c r="I2416" t="str">
        <f>"RIVER BEND COMMUNITY DEVELOPME"</f>
        <v>RIVER BEND COMMUNITY DEVELOPME</v>
      </c>
    </row>
    <row r="2417" spans="1:9" x14ac:dyDescent="0.25">
      <c r="A2417" s="6">
        <v>43894</v>
      </c>
      <c r="B2417" t="s">
        <v>26</v>
      </c>
      <c r="C2417">
        <v>63504</v>
      </c>
      <c r="D2417" t="s">
        <v>254</v>
      </c>
      <c r="E2417" s="7">
        <v>3761.71</v>
      </c>
      <c r="F2417" t="s">
        <v>20</v>
      </c>
      <c r="G2417" t="s">
        <v>21</v>
      </c>
      <c r="H2417" t="str">
        <f>"071 QRTND 12/31/19"</f>
        <v>071 QRTND 12/31/19</v>
      </c>
      <c r="I2417" t="str">
        <f>"TEXAS WORKFORCE COMMISSION"</f>
        <v>TEXAS WORKFORCE COMMISSION</v>
      </c>
    </row>
    <row r="2418" spans="1:9" x14ac:dyDescent="0.25">
      <c r="A2418" s="6">
        <v>43894</v>
      </c>
      <c r="B2418" t="s">
        <v>26</v>
      </c>
      <c r="C2418">
        <v>63505</v>
      </c>
      <c r="D2418" t="s">
        <v>120</v>
      </c>
      <c r="E2418" s="7">
        <v>1826.1</v>
      </c>
      <c r="F2418" t="s">
        <v>20</v>
      </c>
      <c r="G2418" t="s">
        <v>21</v>
      </c>
      <c r="H2418" t="str">
        <f>"71359932"</f>
        <v>71359932</v>
      </c>
      <c r="I2418" t="str">
        <f>"VERIZON BUSINESS"</f>
        <v>VERIZON BUSINESS</v>
      </c>
    </row>
    <row r="2419" spans="1:9" x14ac:dyDescent="0.25">
      <c r="E2419" s="7"/>
      <c r="F2419" t="s">
        <v>20</v>
      </c>
      <c r="G2419" t="s">
        <v>21</v>
      </c>
      <c r="H2419" t="str">
        <f>"71364802"</f>
        <v>71364802</v>
      </c>
      <c r="I2419" t="str">
        <f>"VERIZON BUSINESS"</f>
        <v>VERIZON BUSINESS</v>
      </c>
    </row>
    <row r="2420" spans="1:9" x14ac:dyDescent="0.25">
      <c r="A2420" s="6">
        <v>43894</v>
      </c>
      <c r="B2420" t="s">
        <v>26</v>
      </c>
      <c r="C2420">
        <v>63506</v>
      </c>
      <c r="D2420" t="s">
        <v>146</v>
      </c>
      <c r="E2420" s="7">
        <v>350</v>
      </c>
      <c r="F2420" t="s">
        <v>20</v>
      </c>
      <c r="G2420" t="s">
        <v>21</v>
      </c>
      <c r="H2420" t="str">
        <f>"066753"</f>
        <v>066753</v>
      </c>
      <c r="I2420" t="str">
        <f>"LARRY SRALLA ELECTRIC"</f>
        <v>LARRY SRALLA ELECTRIC</v>
      </c>
    </row>
    <row r="2421" spans="1:9" x14ac:dyDescent="0.25">
      <c r="A2421" s="6">
        <v>43894</v>
      </c>
      <c r="B2421" t="s">
        <v>26</v>
      </c>
      <c r="C2421">
        <v>63507</v>
      </c>
      <c r="D2421" t="s">
        <v>29</v>
      </c>
      <c r="E2421" s="7">
        <v>17626.47</v>
      </c>
      <c r="F2421" t="s">
        <v>20</v>
      </c>
      <c r="G2421" t="s">
        <v>21</v>
      </c>
      <c r="H2421" t="str">
        <f>"41338"</f>
        <v>41338</v>
      </c>
      <c r="I2421" t="str">
        <f t="shared" ref="I2421:I2426" si="43">"M &amp; S ENGINEERING  LLC"</f>
        <v>M &amp; S ENGINEERING  LLC</v>
      </c>
    </row>
    <row r="2422" spans="1:9" x14ac:dyDescent="0.25">
      <c r="E2422" s="7"/>
      <c r="F2422" t="s">
        <v>20</v>
      </c>
      <c r="G2422" t="s">
        <v>21</v>
      </c>
      <c r="H2422" t="str">
        <f>"42010"</f>
        <v>42010</v>
      </c>
      <c r="I2422" t="str">
        <f t="shared" si="43"/>
        <v>M &amp; S ENGINEERING  LLC</v>
      </c>
    </row>
    <row r="2423" spans="1:9" x14ac:dyDescent="0.25">
      <c r="E2423" s="7"/>
      <c r="F2423" t="s">
        <v>20</v>
      </c>
      <c r="G2423" t="s">
        <v>21</v>
      </c>
      <c r="H2423" t="str">
        <f>"42156"</f>
        <v>42156</v>
      </c>
      <c r="I2423" t="str">
        <f t="shared" si="43"/>
        <v>M &amp; S ENGINEERING  LLC</v>
      </c>
    </row>
    <row r="2424" spans="1:9" x14ac:dyDescent="0.25">
      <c r="E2424" s="7"/>
      <c r="F2424" t="s">
        <v>20</v>
      </c>
      <c r="G2424" t="s">
        <v>21</v>
      </c>
      <c r="H2424" t="str">
        <f>"42542"</f>
        <v>42542</v>
      </c>
      <c r="I2424" t="str">
        <f t="shared" si="43"/>
        <v>M &amp; S ENGINEERING  LLC</v>
      </c>
    </row>
    <row r="2425" spans="1:9" x14ac:dyDescent="0.25">
      <c r="E2425" s="7"/>
      <c r="F2425" t="s">
        <v>20</v>
      </c>
      <c r="G2425" t="s">
        <v>21</v>
      </c>
      <c r="H2425" t="str">
        <f>"42547"</f>
        <v>42547</v>
      </c>
      <c r="I2425" t="str">
        <f t="shared" si="43"/>
        <v>M &amp; S ENGINEERING  LLC</v>
      </c>
    </row>
    <row r="2426" spans="1:9" x14ac:dyDescent="0.25">
      <c r="E2426" s="7"/>
      <c r="F2426" t="s">
        <v>20</v>
      </c>
      <c r="G2426" t="s">
        <v>21</v>
      </c>
      <c r="H2426" t="str">
        <f>"42548"</f>
        <v>42548</v>
      </c>
      <c r="I2426" t="str">
        <f t="shared" si="43"/>
        <v>M &amp; S ENGINEERING  LLC</v>
      </c>
    </row>
    <row r="2427" spans="1:9" x14ac:dyDescent="0.25">
      <c r="A2427" s="6">
        <v>43894</v>
      </c>
      <c r="B2427" t="s">
        <v>26</v>
      </c>
      <c r="C2427">
        <v>63508</v>
      </c>
      <c r="D2427" t="s">
        <v>71</v>
      </c>
      <c r="E2427" s="7">
        <v>2790.72</v>
      </c>
      <c r="F2427" t="s">
        <v>20</v>
      </c>
      <c r="G2427" t="s">
        <v>21</v>
      </c>
      <c r="H2427" t="str">
        <f>"4032283387"</f>
        <v>4032283387</v>
      </c>
      <c r="I2427" t="str">
        <f t="shared" ref="I2427:I2447" si="44">"CINTAS CORPORATION #087"</f>
        <v>CINTAS CORPORATION #087</v>
      </c>
    </row>
    <row r="2428" spans="1:9" x14ac:dyDescent="0.25">
      <c r="E2428" s="7"/>
      <c r="F2428" t="s">
        <v>20</v>
      </c>
      <c r="G2428" t="s">
        <v>21</v>
      </c>
      <c r="H2428" t="str">
        <f>"4039741185"</f>
        <v>4039741185</v>
      </c>
      <c r="I2428" t="str">
        <f t="shared" si="44"/>
        <v>CINTAS CORPORATION #087</v>
      </c>
    </row>
    <row r="2429" spans="1:9" x14ac:dyDescent="0.25">
      <c r="E2429" s="7"/>
      <c r="F2429" t="s">
        <v>20</v>
      </c>
      <c r="G2429" t="s">
        <v>21</v>
      </c>
      <c r="H2429" t="str">
        <f>"4040306917"</f>
        <v>4040306917</v>
      </c>
      <c r="I2429" t="str">
        <f t="shared" si="44"/>
        <v>CINTAS CORPORATION #087</v>
      </c>
    </row>
    <row r="2430" spans="1:9" x14ac:dyDescent="0.25">
      <c r="E2430" s="7"/>
      <c r="F2430" t="s">
        <v>20</v>
      </c>
      <c r="G2430" t="s">
        <v>21</v>
      </c>
      <c r="H2430" t="str">
        <f>"4040802786"</f>
        <v>4040802786</v>
      </c>
      <c r="I2430" t="str">
        <f t="shared" si="44"/>
        <v>CINTAS CORPORATION #087</v>
      </c>
    </row>
    <row r="2431" spans="1:9" x14ac:dyDescent="0.25">
      <c r="E2431" s="7"/>
      <c r="F2431" t="s">
        <v>20</v>
      </c>
      <c r="G2431" t="s">
        <v>21</v>
      </c>
      <c r="H2431" t="str">
        <f>"4041530536"</f>
        <v>4041530536</v>
      </c>
      <c r="I2431" t="str">
        <f t="shared" si="44"/>
        <v>CINTAS CORPORATION #087</v>
      </c>
    </row>
    <row r="2432" spans="1:9" x14ac:dyDescent="0.25">
      <c r="E2432" s="7"/>
      <c r="F2432" t="s">
        <v>20</v>
      </c>
      <c r="G2432" t="s">
        <v>21</v>
      </c>
      <c r="H2432" t="str">
        <f>"4042132756"</f>
        <v>4042132756</v>
      </c>
      <c r="I2432" t="str">
        <f t="shared" si="44"/>
        <v>CINTAS CORPORATION #087</v>
      </c>
    </row>
    <row r="2433" spans="1:9" x14ac:dyDescent="0.25">
      <c r="E2433" s="7"/>
      <c r="F2433" t="s">
        <v>20</v>
      </c>
      <c r="G2433" t="s">
        <v>21</v>
      </c>
      <c r="H2433" t="str">
        <f>"4042132766"</f>
        <v>4042132766</v>
      </c>
      <c r="I2433" t="str">
        <f t="shared" si="44"/>
        <v>CINTAS CORPORATION #087</v>
      </c>
    </row>
    <row r="2434" spans="1:9" x14ac:dyDescent="0.25">
      <c r="E2434" s="7"/>
      <c r="F2434" t="s">
        <v>20</v>
      </c>
      <c r="G2434" t="s">
        <v>21</v>
      </c>
      <c r="H2434" t="str">
        <f>"4042769264"</f>
        <v>4042769264</v>
      </c>
      <c r="I2434" t="str">
        <f t="shared" si="44"/>
        <v>CINTAS CORPORATION #087</v>
      </c>
    </row>
    <row r="2435" spans="1:9" x14ac:dyDescent="0.25">
      <c r="E2435" s="7"/>
      <c r="F2435" t="s">
        <v>20</v>
      </c>
      <c r="G2435" t="s">
        <v>21</v>
      </c>
      <c r="H2435" t="str">
        <f>"4043359257"</f>
        <v>4043359257</v>
      </c>
      <c r="I2435" t="str">
        <f t="shared" si="44"/>
        <v>CINTAS CORPORATION #087</v>
      </c>
    </row>
    <row r="2436" spans="1:9" x14ac:dyDescent="0.25">
      <c r="E2436" s="7"/>
      <c r="F2436" t="s">
        <v>20</v>
      </c>
      <c r="G2436" t="s">
        <v>21</v>
      </c>
      <c r="H2436" t="str">
        <f>"4043359274"</f>
        <v>4043359274</v>
      </c>
      <c r="I2436" t="str">
        <f t="shared" si="44"/>
        <v>CINTAS CORPORATION #087</v>
      </c>
    </row>
    <row r="2437" spans="1:9" x14ac:dyDescent="0.25">
      <c r="E2437" s="7"/>
      <c r="F2437" t="s">
        <v>20</v>
      </c>
      <c r="G2437" t="s">
        <v>21</v>
      </c>
      <c r="H2437" t="str">
        <f>"4043359313"</f>
        <v>4043359313</v>
      </c>
      <c r="I2437" t="str">
        <f t="shared" si="44"/>
        <v>CINTAS CORPORATION #087</v>
      </c>
    </row>
    <row r="2438" spans="1:9" x14ac:dyDescent="0.25">
      <c r="E2438" s="7"/>
      <c r="F2438" t="s">
        <v>20</v>
      </c>
      <c r="G2438" t="s">
        <v>21</v>
      </c>
      <c r="H2438" t="str">
        <f>"4043359331"</f>
        <v>4043359331</v>
      </c>
      <c r="I2438" t="str">
        <f t="shared" si="44"/>
        <v>CINTAS CORPORATION #087</v>
      </c>
    </row>
    <row r="2439" spans="1:9" x14ac:dyDescent="0.25">
      <c r="E2439" s="7"/>
      <c r="F2439" t="s">
        <v>20</v>
      </c>
      <c r="G2439" t="s">
        <v>21</v>
      </c>
      <c r="H2439" t="str">
        <f>"4043359366"</f>
        <v>4043359366</v>
      </c>
      <c r="I2439" t="str">
        <f t="shared" si="44"/>
        <v>CINTAS CORPORATION #087</v>
      </c>
    </row>
    <row r="2440" spans="1:9" x14ac:dyDescent="0.25">
      <c r="E2440" s="7"/>
      <c r="F2440" t="s">
        <v>20</v>
      </c>
      <c r="G2440" t="s">
        <v>21</v>
      </c>
      <c r="H2440" t="str">
        <f>"4043359385"</f>
        <v>4043359385</v>
      </c>
      <c r="I2440" t="str">
        <f t="shared" si="44"/>
        <v>CINTAS CORPORATION #087</v>
      </c>
    </row>
    <row r="2441" spans="1:9" x14ac:dyDescent="0.25">
      <c r="E2441" s="7"/>
      <c r="F2441" t="s">
        <v>20</v>
      </c>
      <c r="G2441" t="s">
        <v>21</v>
      </c>
      <c r="H2441" t="str">
        <f>"4043532748"</f>
        <v>4043532748</v>
      </c>
      <c r="I2441" t="str">
        <f t="shared" si="44"/>
        <v>CINTAS CORPORATION #087</v>
      </c>
    </row>
    <row r="2442" spans="1:9" x14ac:dyDescent="0.25">
      <c r="E2442" s="7"/>
      <c r="F2442" t="s">
        <v>20</v>
      </c>
      <c r="G2442" t="s">
        <v>21</v>
      </c>
      <c r="H2442" t="str">
        <f>"4043532752"</f>
        <v>4043532752</v>
      </c>
      <c r="I2442" t="str">
        <f t="shared" si="44"/>
        <v>CINTAS CORPORATION #087</v>
      </c>
    </row>
    <row r="2443" spans="1:9" x14ac:dyDescent="0.25">
      <c r="E2443" s="7"/>
      <c r="F2443" t="s">
        <v>20</v>
      </c>
      <c r="G2443" t="s">
        <v>21</v>
      </c>
      <c r="H2443" t="str">
        <f>"4044052775"</f>
        <v>4044052775</v>
      </c>
      <c r="I2443" t="str">
        <f t="shared" si="44"/>
        <v>CINTAS CORPORATION #087</v>
      </c>
    </row>
    <row r="2444" spans="1:9" x14ac:dyDescent="0.25">
      <c r="E2444" s="7"/>
      <c r="F2444" t="s">
        <v>20</v>
      </c>
      <c r="G2444" t="s">
        <v>21</v>
      </c>
      <c r="H2444" t="str">
        <f>"4044052787"</f>
        <v>4044052787</v>
      </c>
      <c r="I2444" t="str">
        <f t="shared" si="44"/>
        <v>CINTAS CORPORATION #087</v>
      </c>
    </row>
    <row r="2445" spans="1:9" x14ac:dyDescent="0.25">
      <c r="E2445" s="7"/>
      <c r="F2445" t="s">
        <v>20</v>
      </c>
      <c r="G2445" t="s">
        <v>21</v>
      </c>
      <c r="H2445" t="str">
        <f>"4044052807"</f>
        <v>4044052807</v>
      </c>
      <c r="I2445" t="str">
        <f t="shared" si="44"/>
        <v>CINTAS CORPORATION #087</v>
      </c>
    </row>
    <row r="2446" spans="1:9" x14ac:dyDescent="0.25">
      <c r="E2446" s="7"/>
      <c r="F2446" t="s">
        <v>20</v>
      </c>
      <c r="G2446" t="s">
        <v>21</v>
      </c>
      <c r="H2446" t="str">
        <f>"4044052813"</f>
        <v>4044052813</v>
      </c>
      <c r="I2446" t="str">
        <f t="shared" si="44"/>
        <v>CINTAS CORPORATION #087</v>
      </c>
    </row>
    <row r="2447" spans="1:9" x14ac:dyDescent="0.25">
      <c r="E2447" s="7"/>
      <c r="F2447" t="s">
        <v>20</v>
      </c>
      <c r="G2447" t="s">
        <v>21</v>
      </c>
      <c r="H2447" t="str">
        <f>"4044052815"</f>
        <v>4044052815</v>
      </c>
      <c r="I2447" t="str">
        <f t="shared" si="44"/>
        <v>CINTAS CORPORATION #087</v>
      </c>
    </row>
    <row r="2448" spans="1:9" x14ac:dyDescent="0.25">
      <c r="A2448" s="6">
        <v>43894</v>
      </c>
      <c r="B2448" t="s">
        <v>26</v>
      </c>
      <c r="C2448">
        <v>63513</v>
      </c>
      <c r="D2448" t="s">
        <v>74</v>
      </c>
      <c r="E2448" s="7">
        <v>92.44</v>
      </c>
      <c r="F2448" t="s">
        <v>20</v>
      </c>
      <c r="G2448" t="s">
        <v>21</v>
      </c>
      <c r="H2448" t="str">
        <f>"9849060452"</f>
        <v>9849060452</v>
      </c>
      <c r="I2448" t="str">
        <f>"VERIZON WIRELESS"</f>
        <v>VERIZON WIRELESS</v>
      </c>
    </row>
    <row r="2449" spans="1:9" x14ac:dyDescent="0.25">
      <c r="A2449" s="6">
        <v>43894</v>
      </c>
      <c r="B2449" t="s">
        <v>26</v>
      </c>
      <c r="C2449">
        <v>63514</v>
      </c>
      <c r="D2449" t="s">
        <v>215</v>
      </c>
      <c r="E2449" s="7">
        <v>139.06</v>
      </c>
      <c r="F2449" t="s">
        <v>20</v>
      </c>
      <c r="G2449" t="s">
        <v>21</v>
      </c>
      <c r="H2449" t="str">
        <f>"623073"</f>
        <v>623073</v>
      </c>
      <c r="I2449" t="str">
        <f>"FUSES"</f>
        <v>FUSES</v>
      </c>
    </row>
    <row r="2450" spans="1:9" x14ac:dyDescent="0.25">
      <c r="A2450" s="6">
        <v>43894</v>
      </c>
      <c r="B2450" t="s">
        <v>26</v>
      </c>
      <c r="C2450">
        <v>63515</v>
      </c>
      <c r="D2450" t="s">
        <v>123</v>
      </c>
      <c r="E2450" s="7">
        <v>629.44000000000005</v>
      </c>
      <c r="F2450" t="s">
        <v>20</v>
      </c>
      <c r="G2450" t="s">
        <v>21</v>
      </c>
      <c r="H2450" t="str">
        <f>"265119120001*"</f>
        <v>265119120001*</v>
      </c>
      <c r="I2450" t="str">
        <f>"OFFICE DEPOT  INC."</f>
        <v>OFFICE DEPOT  INC.</v>
      </c>
    </row>
    <row r="2451" spans="1:9" x14ac:dyDescent="0.25">
      <c r="E2451" s="7"/>
      <c r="F2451" t="s">
        <v>20</v>
      </c>
      <c r="G2451" t="s">
        <v>21</v>
      </c>
      <c r="H2451" t="str">
        <f>"429016731001*"</f>
        <v>429016731001*</v>
      </c>
      <c r="I2451" t="str">
        <f>"OFFICE DEPOT  INC."</f>
        <v>OFFICE DEPOT  INC.</v>
      </c>
    </row>
    <row r="2452" spans="1:9" x14ac:dyDescent="0.25">
      <c r="E2452" s="7"/>
      <c r="F2452" t="s">
        <v>20</v>
      </c>
      <c r="G2452" t="s">
        <v>21</v>
      </c>
      <c r="H2452" t="str">
        <f>"430434490001*"</f>
        <v>430434490001*</v>
      </c>
      <c r="I2452" t="str">
        <f>"OFFICE DEPOT  INC."</f>
        <v>OFFICE DEPOT  INC.</v>
      </c>
    </row>
    <row r="2453" spans="1:9" x14ac:dyDescent="0.25">
      <c r="E2453" s="7"/>
      <c r="F2453" t="s">
        <v>20</v>
      </c>
      <c r="G2453" t="s">
        <v>21</v>
      </c>
      <c r="H2453" t="str">
        <f>"430434490001-1"</f>
        <v>430434490001-1</v>
      </c>
      <c r="I2453" t="str">
        <f>"OFFICE DEPOT  INC."</f>
        <v>OFFICE DEPOT  INC.</v>
      </c>
    </row>
    <row r="2454" spans="1:9" x14ac:dyDescent="0.25">
      <c r="E2454" s="7"/>
      <c r="F2454" t="s">
        <v>20</v>
      </c>
      <c r="G2454" t="s">
        <v>21</v>
      </c>
      <c r="H2454" t="str">
        <f>"444980671001"</f>
        <v>444980671001</v>
      </c>
      <c r="I2454" t="str">
        <f>"OFFICE SUPPLIES"</f>
        <v>OFFICE SUPPLIES</v>
      </c>
    </row>
    <row r="2455" spans="1:9" x14ac:dyDescent="0.25">
      <c r="E2455" s="7"/>
      <c r="F2455" t="s">
        <v>20</v>
      </c>
      <c r="G2455" t="s">
        <v>21</v>
      </c>
      <c r="H2455" t="str">
        <f>"444980672001"</f>
        <v>444980672001</v>
      </c>
      <c r="I2455" t="str">
        <f>"OFFICE SUPPLIES"</f>
        <v>OFFICE SUPPLIES</v>
      </c>
    </row>
    <row r="2456" spans="1:9" x14ac:dyDescent="0.25">
      <c r="E2456" s="7"/>
      <c r="F2456" t="s">
        <v>20</v>
      </c>
      <c r="G2456" t="s">
        <v>21</v>
      </c>
      <c r="H2456" t="str">
        <f>"445074963001"</f>
        <v>445074963001</v>
      </c>
      <c r="I2456" t="str">
        <f>"BINDERS"</f>
        <v>BINDERS</v>
      </c>
    </row>
    <row r="2457" spans="1:9" x14ac:dyDescent="0.25">
      <c r="E2457" s="7"/>
      <c r="F2457" t="s">
        <v>20</v>
      </c>
      <c r="G2457" t="s">
        <v>21</v>
      </c>
      <c r="H2457" t="str">
        <f>"446408227001"</f>
        <v>446408227001</v>
      </c>
      <c r="I2457" t="str">
        <f>"OFFICE SUPPLIES"</f>
        <v>OFFICE SUPPLIES</v>
      </c>
    </row>
    <row r="2458" spans="1:9" x14ac:dyDescent="0.25">
      <c r="E2458" s="7"/>
      <c r="F2458" t="s">
        <v>20</v>
      </c>
      <c r="G2458" t="s">
        <v>21</v>
      </c>
      <c r="H2458" t="str">
        <f>"446468325001"</f>
        <v>446468325001</v>
      </c>
      <c r="I2458" t="str">
        <f>"BUSINESS CARDS- HELEN"</f>
        <v>BUSINESS CARDS- HELEN</v>
      </c>
    </row>
    <row r="2459" spans="1:9" x14ac:dyDescent="0.25">
      <c r="A2459" s="6">
        <v>43894</v>
      </c>
      <c r="B2459" t="s">
        <v>26</v>
      </c>
      <c r="C2459">
        <v>63518</v>
      </c>
      <c r="D2459" t="s">
        <v>77</v>
      </c>
      <c r="E2459" s="7">
        <v>2347.85</v>
      </c>
      <c r="F2459" t="s">
        <v>20</v>
      </c>
      <c r="G2459" t="s">
        <v>21</v>
      </c>
      <c r="H2459" t="str">
        <f>"857000240-20"</f>
        <v>857000240-20</v>
      </c>
      <c r="I2459" t="str">
        <f>"CHLORINE"</f>
        <v>CHLORINE</v>
      </c>
    </row>
    <row r="2460" spans="1:9" x14ac:dyDescent="0.25">
      <c r="E2460" s="7"/>
      <c r="F2460" t="s">
        <v>20</v>
      </c>
      <c r="G2460" t="s">
        <v>21</v>
      </c>
      <c r="H2460" t="str">
        <f>"DE85000214-20 RNTL"</f>
        <v>DE85000214-20 RNTL</v>
      </c>
      <c r="I2460" t="str">
        <f>"DPC INDUSTRIES  INC."</f>
        <v>DPC INDUSTRIES  INC.</v>
      </c>
    </row>
    <row r="2461" spans="1:9" x14ac:dyDescent="0.25">
      <c r="A2461" s="6">
        <v>43894</v>
      </c>
      <c r="B2461" t="s">
        <v>26</v>
      </c>
      <c r="C2461">
        <v>63519</v>
      </c>
      <c r="D2461" t="s">
        <v>124</v>
      </c>
      <c r="E2461" s="7">
        <v>454</v>
      </c>
      <c r="F2461" t="s">
        <v>20</v>
      </c>
      <c r="G2461" t="s">
        <v>21</v>
      </c>
      <c r="H2461" t="str">
        <f>"11183773"</f>
        <v>11183773</v>
      </c>
      <c r="I2461" t="str">
        <f>"3/4 X100' COMM DTY HOSE"</f>
        <v>3/4 X100' COMM DTY HOSE</v>
      </c>
    </row>
    <row r="2462" spans="1:9" x14ac:dyDescent="0.25">
      <c r="E2462" s="7"/>
      <c r="F2462" t="s">
        <v>20</v>
      </c>
      <c r="G2462" t="s">
        <v>21</v>
      </c>
      <c r="H2462" t="str">
        <f>"11183846"</f>
        <v>11183846</v>
      </c>
      <c r="I2462" t="str">
        <f>"BUILDING REPAIRS -OFFICE"</f>
        <v>BUILDING REPAIRS -OFFICE</v>
      </c>
    </row>
    <row r="2463" spans="1:9" x14ac:dyDescent="0.25">
      <c r="E2463" s="7"/>
      <c r="F2463" t="s">
        <v>20</v>
      </c>
      <c r="G2463" t="s">
        <v>21</v>
      </c>
      <c r="H2463" t="str">
        <f>"11183849"</f>
        <v>11183849</v>
      </c>
      <c r="I2463" t="str">
        <f>"STRIPING SPRAY/LIME"</f>
        <v>STRIPING SPRAY/LIME</v>
      </c>
    </row>
    <row r="2464" spans="1:9" x14ac:dyDescent="0.25">
      <c r="E2464" s="7"/>
      <c r="F2464" t="s">
        <v>20</v>
      </c>
      <c r="G2464" t="s">
        <v>21</v>
      </c>
      <c r="H2464" t="str">
        <f>"11183873"</f>
        <v>11183873</v>
      </c>
      <c r="I2464" t="str">
        <f>"STRIPING SPRAY/LIME"</f>
        <v>STRIPING SPRAY/LIME</v>
      </c>
    </row>
    <row r="2465" spans="1:9" x14ac:dyDescent="0.25">
      <c r="A2465" s="6">
        <v>43894</v>
      </c>
      <c r="B2465" t="s">
        <v>26</v>
      </c>
      <c r="C2465">
        <v>63521</v>
      </c>
      <c r="D2465" t="s">
        <v>319</v>
      </c>
      <c r="E2465" s="7">
        <v>1362.5</v>
      </c>
      <c r="F2465" t="s">
        <v>20</v>
      </c>
      <c r="G2465" t="s">
        <v>21</v>
      </c>
      <c r="H2465" t="str">
        <f>"l9052884 3/2020"</f>
        <v>l9052884 3/2020</v>
      </c>
      <c r="I2465" t="str">
        <f>"PRUDENTIAL INSURANCE COMPANY"</f>
        <v>PRUDENTIAL INSURANCE COMPANY</v>
      </c>
    </row>
    <row r="2466" spans="1:9" x14ac:dyDescent="0.25">
      <c r="A2466" s="6">
        <v>43894</v>
      </c>
      <c r="B2466" t="s">
        <v>26</v>
      </c>
      <c r="C2466">
        <v>63522</v>
      </c>
      <c r="D2466" t="s">
        <v>125</v>
      </c>
      <c r="E2466" s="7">
        <v>6625</v>
      </c>
      <c r="F2466" t="s">
        <v>20</v>
      </c>
      <c r="G2466" t="s">
        <v>21</v>
      </c>
      <c r="H2466" t="str">
        <f>"18-0202 JAN.2020"</f>
        <v>18-0202 JAN.2020</v>
      </c>
      <c r="I2466" t="str">
        <f>"INTREPID SURVEYING CORPORATION"</f>
        <v>INTREPID SURVEYING CORPORATION</v>
      </c>
    </row>
    <row r="2467" spans="1:9" x14ac:dyDescent="0.25">
      <c r="E2467" s="7"/>
      <c r="F2467" t="s">
        <v>20</v>
      </c>
      <c r="G2467" t="s">
        <v>21</v>
      </c>
      <c r="H2467" t="str">
        <f>"19-0176 JAN.2020"</f>
        <v>19-0176 JAN.2020</v>
      </c>
      <c r="I2467" t="str">
        <f>"INTREPID SURVEYING CORPORATION"</f>
        <v>INTREPID SURVEYING CORPORATION</v>
      </c>
    </row>
    <row r="2468" spans="1:9" x14ac:dyDescent="0.25">
      <c r="E2468" s="7"/>
      <c r="F2468" t="s">
        <v>20</v>
      </c>
      <c r="G2468" t="s">
        <v>21</v>
      </c>
      <c r="H2468" t="str">
        <f>"19-0359 AUG.2019"</f>
        <v>19-0359 AUG.2019</v>
      </c>
      <c r="I2468" t="str">
        <f>"INTREPID SURVEYING CORPORATION"</f>
        <v>INTREPID SURVEYING CORPORATION</v>
      </c>
    </row>
    <row r="2469" spans="1:9" x14ac:dyDescent="0.25">
      <c r="E2469" s="7"/>
      <c r="F2469" t="s">
        <v>20</v>
      </c>
      <c r="G2469" t="s">
        <v>21</v>
      </c>
      <c r="H2469" t="str">
        <f>"20-0063 JAN.2020"</f>
        <v>20-0063 JAN.2020</v>
      </c>
      <c r="I2469" t="str">
        <f>"INTREPID SURVEYING CORPORATION"</f>
        <v>INTREPID SURVEYING CORPORATION</v>
      </c>
    </row>
    <row r="2470" spans="1:9" x14ac:dyDescent="0.25">
      <c r="A2470" s="6">
        <v>43894</v>
      </c>
      <c r="B2470" t="s">
        <v>26</v>
      </c>
      <c r="C2470">
        <v>63523</v>
      </c>
      <c r="D2470" t="s">
        <v>79</v>
      </c>
      <c r="E2470" s="7">
        <v>56.76</v>
      </c>
      <c r="F2470" t="s">
        <v>20</v>
      </c>
      <c r="G2470" t="s">
        <v>21</v>
      </c>
      <c r="H2470" t="str">
        <f>"6-933-79882"</f>
        <v>6-933-79882</v>
      </c>
      <c r="I2470" t="str">
        <f>"FEDEX"</f>
        <v>FEDEX</v>
      </c>
    </row>
    <row r="2471" spans="1:9" x14ac:dyDescent="0.25">
      <c r="A2471" s="6">
        <v>43894</v>
      </c>
      <c r="B2471" t="s">
        <v>26</v>
      </c>
      <c r="C2471">
        <v>63524</v>
      </c>
      <c r="D2471" t="s">
        <v>335</v>
      </c>
      <c r="E2471" s="7">
        <v>46</v>
      </c>
      <c r="F2471" t="s">
        <v>20</v>
      </c>
      <c r="G2471" t="s">
        <v>21</v>
      </c>
      <c r="H2471" t="str">
        <f>"TACT 1ST AID3/6/20"</f>
        <v>TACT 1ST AID3/6/20</v>
      </c>
      <c r="I2471" t="str">
        <f>"DEVIN KEEN"</f>
        <v>DEVIN KEEN</v>
      </c>
    </row>
    <row r="2472" spans="1:9" x14ac:dyDescent="0.25">
      <c r="A2472" s="6">
        <v>43894</v>
      </c>
      <c r="B2472" t="s">
        <v>26</v>
      </c>
      <c r="C2472">
        <v>63525</v>
      </c>
      <c r="D2472" t="s">
        <v>821</v>
      </c>
      <c r="E2472" s="7">
        <v>1590.04</v>
      </c>
      <c r="F2472" t="s">
        <v>20</v>
      </c>
      <c r="G2472" t="s">
        <v>21</v>
      </c>
      <c r="H2472" t="str">
        <f>"FRI7644"</f>
        <v>FRI7644</v>
      </c>
      <c r="I2472" t="str">
        <f>"RIVERBEND LIFT STATION"</f>
        <v>RIVERBEND LIFT STATION</v>
      </c>
    </row>
    <row r="2473" spans="1:9" x14ac:dyDescent="0.25">
      <c r="A2473" s="6">
        <v>43894</v>
      </c>
      <c r="B2473" t="s">
        <v>26</v>
      </c>
      <c r="C2473">
        <v>63526</v>
      </c>
      <c r="D2473" t="s">
        <v>308</v>
      </c>
      <c r="E2473" s="7">
        <v>161.04</v>
      </c>
      <c r="F2473" t="s">
        <v>20</v>
      </c>
      <c r="G2473" t="s">
        <v>21</v>
      </c>
      <c r="H2473" t="str">
        <f>"TEEX WATER 3/27/20"</f>
        <v>TEEX WATER 3/27/20</v>
      </c>
      <c r="I2473" t="str">
        <f>"JOHNNY VILLARREAL"</f>
        <v>JOHNNY VILLARREAL</v>
      </c>
    </row>
    <row r="2474" spans="1:9" x14ac:dyDescent="0.25">
      <c r="A2474" s="6">
        <v>43894</v>
      </c>
      <c r="B2474" t="s">
        <v>26</v>
      </c>
      <c r="C2474">
        <v>63527</v>
      </c>
      <c r="D2474" t="s">
        <v>131</v>
      </c>
      <c r="E2474" s="7">
        <v>42.13</v>
      </c>
      <c r="F2474" t="s">
        <v>20</v>
      </c>
      <c r="G2474" t="s">
        <v>21</v>
      </c>
      <c r="H2474" t="str">
        <f>"047970"</f>
        <v>047970</v>
      </c>
      <c r="I2474" t="str">
        <f>"DURAPATCH STEET DEPT"</f>
        <v>DURAPATCH STEET DEPT</v>
      </c>
    </row>
    <row r="2475" spans="1:9" x14ac:dyDescent="0.25">
      <c r="A2475" s="6">
        <v>43894</v>
      </c>
      <c r="B2475" t="s">
        <v>26</v>
      </c>
      <c r="C2475">
        <v>63528</v>
      </c>
      <c r="D2475" t="s">
        <v>84</v>
      </c>
      <c r="E2475" s="7">
        <v>555</v>
      </c>
      <c r="F2475" t="s">
        <v>20</v>
      </c>
      <c r="G2475" t="s">
        <v>21</v>
      </c>
      <c r="H2475" t="str">
        <f>"1614879"</f>
        <v>1614879</v>
      </c>
      <c r="I2475" t="str">
        <f>"STANTEC CONSULTING SERVICES IN"</f>
        <v>STANTEC CONSULTING SERVICES IN</v>
      </c>
    </row>
    <row r="2476" spans="1:9" x14ac:dyDescent="0.25">
      <c r="A2476" s="6">
        <v>43894</v>
      </c>
      <c r="B2476" t="s">
        <v>26</v>
      </c>
      <c r="C2476">
        <v>63529</v>
      </c>
      <c r="D2476" t="s">
        <v>85</v>
      </c>
      <c r="E2476" s="7">
        <v>612.21</v>
      </c>
      <c r="F2476" t="s">
        <v>20</v>
      </c>
      <c r="G2476" t="s">
        <v>21</v>
      </c>
      <c r="H2476" t="str">
        <f>"2162691 FEB.2020"</f>
        <v>2162691 FEB.2020</v>
      </c>
      <c r="I2476" t="str">
        <f>"FRONTIER"</f>
        <v>FRONTIER</v>
      </c>
    </row>
    <row r="2477" spans="1:9" x14ac:dyDescent="0.25">
      <c r="E2477" s="7"/>
      <c r="F2477" t="s">
        <v>20</v>
      </c>
      <c r="G2477" t="s">
        <v>21</v>
      </c>
      <c r="H2477" t="str">
        <f>"3933718 JAN.2020"</f>
        <v>3933718 JAN.2020</v>
      </c>
      <c r="I2477" t="str">
        <f>"FRONTIER"</f>
        <v>FRONTIER</v>
      </c>
    </row>
    <row r="2478" spans="1:9" x14ac:dyDescent="0.25">
      <c r="E2478" s="7"/>
      <c r="F2478" t="s">
        <v>20</v>
      </c>
      <c r="G2478" t="s">
        <v>21</v>
      </c>
      <c r="H2478" t="str">
        <f>"8301970046 2/2020"</f>
        <v>8301970046 2/2020</v>
      </c>
      <c r="I2478" t="str">
        <f>"FRONTIER"</f>
        <v>FRONTIER</v>
      </c>
    </row>
    <row r="2479" spans="1:9" x14ac:dyDescent="0.25">
      <c r="A2479" s="6">
        <v>43894</v>
      </c>
      <c r="B2479" t="s">
        <v>26</v>
      </c>
      <c r="C2479">
        <v>63530</v>
      </c>
      <c r="D2479" t="s">
        <v>503</v>
      </c>
      <c r="E2479" s="7">
        <v>259.25</v>
      </c>
      <c r="F2479" t="s">
        <v>20</v>
      </c>
      <c r="G2479" t="s">
        <v>21</v>
      </c>
      <c r="H2479" t="str">
        <f>"01606931"</f>
        <v>01606931</v>
      </c>
      <c r="I2479" t="str">
        <f>"LIGHT BULB DEPOT 14 LLC"</f>
        <v>LIGHT BULB DEPOT 14 LLC</v>
      </c>
    </row>
    <row r="2480" spans="1:9" x14ac:dyDescent="0.25">
      <c r="A2480" s="6">
        <v>43894</v>
      </c>
      <c r="B2480" t="s">
        <v>26</v>
      </c>
      <c r="C2480">
        <v>63531</v>
      </c>
      <c r="D2480" t="s">
        <v>345</v>
      </c>
      <c r="E2480" s="7">
        <v>319</v>
      </c>
      <c r="F2480" t="s">
        <v>20</v>
      </c>
      <c r="G2480" t="s">
        <v>21</v>
      </c>
      <c r="H2480" t="str">
        <f>"03/02/2020"</f>
        <v>03/02/2020</v>
      </c>
      <c r="I2480" t="str">
        <f>"MICHAEL ISAAC MARTINEZ"</f>
        <v>MICHAEL ISAAC MARTINEZ</v>
      </c>
    </row>
    <row r="2481" spans="1:9" x14ac:dyDescent="0.25">
      <c r="A2481" s="6">
        <v>43894</v>
      </c>
      <c r="B2481" t="s">
        <v>26</v>
      </c>
      <c r="C2481">
        <v>63532</v>
      </c>
      <c r="D2481" t="s">
        <v>27</v>
      </c>
      <c r="E2481" s="7">
        <v>185.4</v>
      </c>
      <c r="F2481" t="s">
        <v>20</v>
      </c>
      <c r="G2481" t="s">
        <v>21</v>
      </c>
      <c r="H2481" t="str">
        <f>"TEEX WATER 3/27/20"</f>
        <v>TEEX WATER 3/27/20</v>
      </c>
      <c r="I2481" t="str">
        <f>"RICARDO CARRASCO"</f>
        <v>RICARDO CARRASCO</v>
      </c>
    </row>
    <row r="2482" spans="1:9" x14ac:dyDescent="0.25">
      <c r="A2482" s="6">
        <v>43894</v>
      </c>
      <c r="B2482" t="s">
        <v>26</v>
      </c>
      <c r="C2482">
        <v>63533</v>
      </c>
      <c r="D2482" t="s">
        <v>48</v>
      </c>
      <c r="E2482" s="7">
        <v>5113.17</v>
      </c>
      <c r="F2482" t="s">
        <v>20</v>
      </c>
      <c r="G2482" t="s">
        <v>21</v>
      </c>
      <c r="H2482" t="str">
        <f>"1788"</f>
        <v>1788</v>
      </c>
      <c r="I2482" t="str">
        <f>"RANDY HOLLAR  LLC"</f>
        <v>RANDY HOLLAR  LLC</v>
      </c>
    </row>
    <row r="2483" spans="1:9" x14ac:dyDescent="0.25">
      <c r="A2483" s="6">
        <v>43894</v>
      </c>
      <c r="B2483" t="s">
        <v>26</v>
      </c>
      <c r="C2483">
        <v>63534</v>
      </c>
      <c r="D2483" t="s">
        <v>233</v>
      </c>
      <c r="E2483" s="7">
        <v>424.74</v>
      </c>
      <c r="F2483" t="s">
        <v>20</v>
      </c>
      <c r="G2483" t="s">
        <v>21</v>
      </c>
      <c r="H2483" t="str">
        <f>"TRWA CLASS 3/20"</f>
        <v>TRWA CLASS 3/20</v>
      </c>
      <c r="I2483" t="str">
        <f>"STEFANO CANTU"</f>
        <v>STEFANO CANTU</v>
      </c>
    </row>
    <row r="2484" spans="1:9" x14ac:dyDescent="0.25">
      <c r="E2484" s="7"/>
      <c r="F2484" t="s">
        <v>20</v>
      </c>
      <c r="G2484" t="s">
        <v>21</v>
      </c>
      <c r="H2484" t="str">
        <f>"TRWA WATER 3/20"</f>
        <v>TRWA WATER 3/20</v>
      </c>
      <c r="I2484" t="str">
        <f>"STEFANO CANTU"</f>
        <v>STEFANO CANTU</v>
      </c>
    </row>
    <row r="2485" spans="1:9" x14ac:dyDescent="0.25">
      <c r="A2485" s="6">
        <v>43894</v>
      </c>
      <c r="B2485" t="s">
        <v>91</v>
      </c>
      <c r="C2485">
        <v>63535</v>
      </c>
      <c r="D2485" t="s">
        <v>446</v>
      </c>
      <c r="E2485" s="7">
        <v>276</v>
      </c>
      <c r="F2485" t="s">
        <v>20</v>
      </c>
      <c r="G2485" t="s">
        <v>21</v>
      </c>
      <c r="H2485" t="str">
        <f>"INTERM CSI 3/30"</f>
        <v>INTERM CSI 3/30</v>
      </c>
      <c r="I2485" t="str">
        <f>"ISAIAH BARRIENTEZ"</f>
        <v>ISAIAH BARRIENTEZ</v>
      </c>
    </row>
    <row r="2486" spans="1:9" x14ac:dyDescent="0.25">
      <c r="E2486" s="7"/>
      <c r="F2486" t="s">
        <v>20</v>
      </c>
      <c r="G2486" t="s">
        <v>21</v>
      </c>
      <c r="H2486" t="str">
        <f>"TACT.1STAID 3/6/20"</f>
        <v>TACT.1STAID 3/6/20</v>
      </c>
      <c r="I2486" t="str">
        <f>"ISAIAH BARRIENTEZ"</f>
        <v>ISAIAH BARRIENTEZ</v>
      </c>
    </row>
    <row r="2487" spans="1:9" x14ac:dyDescent="0.25">
      <c r="A2487" s="6">
        <v>43894</v>
      </c>
      <c r="B2487" t="s">
        <v>91</v>
      </c>
      <c r="C2487">
        <v>63536</v>
      </c>
      <c r="D2487" t="s">
        <v>447</v>
      </c>
      <c r="E2487" s="7">
        <v>230</v>
      </c>
      <c r="F2487" t="s">
        <v>20</v>
      </c>
      <c r="G2487" t="s">
        <v>21</v>
      </c>
      <c r="H2487" t="str">
        <f>"INTERM CLASS 3/30"</f>
        <v>INTERM CLASS 3/30</v>
      </c>
      <c r="I2487" t="str">
        <f>"VICTOR FAVELLA"</f>
        <v>VICTOR FAVELLA</v>
      </c>
    </row>
    <row r="2488" spans="1:9" x14ac:dyDescent="0.25">
      <c r="A2488" s="6">
        <v>43894</v>
      </c>
      <c r="B2488" t="s">
        <v>26</v>
      </c>
      <c r="C2488">
        <v>63537</v>
      </c>
      <c r="D2488" t="s">
        <v>528</v>
      </c>
      <c r="E2488" s="7">
        <v>206.2</v>
      </c>
      <c r="F2488" t="s">
        <v>20</v>
      </c>
      <c r="G2488" t="s">
        <v>21</v>
      </c>
      <c r="H2488" t="str">
        <f>"10210928"</f>
        <v>10210928</v>
      </c>
      <c r="I2488" t="str">
        <f>"PROSTAR SERVICES INC"</f>
        <v>PROSTAR SERVICES INC</v>
      </c>
    </row>
    <row r="2489" spans="1:9" x14ac:dyDescent="0.25">
      <c r="A2489" s="6">
        <v>43894</v>
      </c>
      <c r="B2489" t="s">
        <v>26</v>
      </c>
      <c r="C2489">
        <v>63538</v>
      </c>
      <c r="D2489" t="s">
        <v>644</v>
      </c>
      <c r="E2489" s="7">
        <v>2524.37</v>
      </c>
      <c r="F2489" t="s">
        <v>20</v>
      </c>
      <c r="G2489" t="s">
        <v>21</v>
      </c>
      <c r="H2489" t="str">
        <f>"8213404849"</f>
        <v>8213404849</v>
      </c>
      <c r="I2489" t="str">
        <f t="shared" ref="I2489:I2515" si="45">"UNIFIRST CORPORATION"</f>
        <v>UNIFIRST CORPORATION</v>
      </c>
    </row>
    <row r="2490" spans="1:9" x14ac:dyDescent="0.25">
      <c r="E2490" s="7"/>
      <c r="F2490" t="s">
        <v>20</v>
      </c>
      <c r="G2490" t="s">
        <v>21</v>
      </c>
      <c r="H2490" t="str">
        <f>"8213404850"</f>
        <v>8213404850</v>
      </c>
      <c r="I2490" t="str">
        <f t="shared" si="45"/>
        <v>UNIFIRST CORPORATION</v>
      </c>
    </row>
    <row r="2491" spans="1:9" x14ac:dyDescent="0.25">
      <c r="E2491" s="7"/>
      <c r="F2491" t="s">
        <v>20</v>
      </c>
      <c r="G2491" t="s">
        <v>21</v>
      </c>
      <c r="H2491" t="str">
        <f>"8213404851"</f>
        <v>8213404851</v>
      </c>
      <c r="I2491" t="str">
        <f t="shared" si="45"/>
        <v>UNIFIRST CORPORATION</v>
      </c>
    </row>
    <row r="2492" spans="1:9" x14ac:dyDescent="0.25">
      <c r="E2492" s="7"/>
      <c r="F2492" t="s">
        <v>20</v>
      </c>
      <c r="G2492" t="s">
        <v>21</v>
      </c>
      <c r="H2492" t="str">
        <f>"8213404852"</f>
        <v>8213404852</v>
      </c>
      <c r="I2492" t="str">
        <f t="shared" si="45"/>
        <v>UNIFIRST CORPORATION</v>
      </c>
    </row>
    <row r="2493" spans="1:9" x14ac:dyDescent="0.25">
      <c r="E2493" s="7"/>
      <c r="F2493" t="s">
        <v>20</v>
      </c>
      <c r="G2493" t="s">
        <v>21</v>
      </c>
      <c r="H2493" t="str">
        <f>"8213404853"</f>
        <v>8213404853</v>
      </c>
      <c r="I2493" t="str">
        <f t="shared" si="45"/>
        <v>UNIFIRST CORPORATION</v>
      </c>
    </row>
    <row r="2494" spans="1:9" x14ac:dyDescent="0.25">
      <c r="E2494" s="7"/>
      <c r="F2494" t="s">
        <v>20</v>
      </c>
      <c r="G2494" t="s">
        <v>21</v>
      </c>
      <c r="H2494" t="str">
        <f>"8213404854"</f>
        <v>8213404854</v>
      </c>
      <c r="I2494" t="str">
        <f t="shared" si="45"/>
        <v>UNIFIRST CORPORATION</v>
      </c>
    </row>
    <row r="2495" spans="1:9" x14ac:dyDescent="0.25">
      <c r="E2495" s="7"/>
      <c r="F2495" t="s">
        <v>20</v>
      </c>
      <c r="G2495" t="s">
        <v>21</v>
      </c>
      <c r="H2495" t="str">
        <f>"8213427198"</f>
        <v>8213427198</v>
      </c>
      <c r="I2495" t="str">
        <f t="shared" si="45"/>
        <v>UNIFIRST CORPORATION</v>
      </c>
    </row>
    <row r="2496" spans="1:9" x14ac:dyDescent="0.25">
      <c r="E2496" s="7"/>
      <c r="F2496" t="s">
        <v>20</v>
      </c>
      <c r="G2496" t="s">
        <v>21</v>
      </c>
      <c r="H2496" t="str">
        <f>"8213427199"</f>
        <v>8213427199</v>
      </c>
      <c r="I2496" t="str">
        <f t="shared" si="45"/>
        <v>UNIFIRST CORPORATION</v>
      </c>
    </row>
    <row r="2497" spans="5:9" x14ac:dyDescent="0.25">
      <c r="E2497" s="7"/>
      <c r="F2497" t="s">
        <v>20</v>
      </c>
      <c r="G2497" t="s">
        <v>21</v>
      </c>
      <c r="H2497" t="str">
        <f>"8213427200"</f>
        <v>8213427200</v>
      </c>
      <c r="I2497" t="str">
        <f t="shared" si="45"/>
        <v>UNIFIRST CORPORATION</v>
      </c>
    </row>
    <row r="2498" spans="5:9" x14ac:dyDescent="0.25">
      <c r="E2498" s="7"/>
      <c r="F2498" t="s">
        <v>20</v>
      </c>
      <c r="G2498" t="s">
        <v>21</v>
      </c>
      <c r="H2498" t="str">
        <f>"8213427201"</f>
        <v>8213427201</v>
      </c>
      <c r="I2498" t="str">
        <f t="shared" si="45"/>
        <v>UNIFIRST CORPORATION</v>
      </c>
    </row>
    <row r="2499" spans="5:9" x14ac:dyDescent="0.25">
      <c r="E2499" s="7"/>
      <c r="F2499" t="s">
        <v>20</v>
      </c>
      <c r="G2499" t="s">
        <v>21</v>
      </c>
      <c r="H2499" t="str">
        <f>"8213427202"</f>
        <v>8213427202</v>
      </c>
      <c r="I2499" t="str">
        <f t="shared" si="45"/>
        <v>UNIFIRST CORPORATION</v>
      </c>
    </row>
    <row r="2500" spans="5:9" x14ac:dyDescent="0.25">
      <c r="E2500" s="7"/>
      <c r="F2500" t="s">
        <v>20</v>
      </c>
      <c r="G2500" t="s">
        <v>21</v>
      </c>
      <c r="H2500" t="str">
        <f>"8213427203"</f>
        <v>8213427203</v>
      </c>
      <c r="I2500" t="str">
        <f t="shared" si="45"/>
        <v>UNIFIRST CORPORATION</v>
      </c>
    </row>
    <row r="2501" spans="5:9" x14ac:dyDescent="0.25">
      <c r="E2501" s="7"/>
      <c r="F2501" t="s">
        <v>20</v>
      </c>
      <c r="G2501" t="s">
        <v>21</v>
      </c>
      <c r="H2501" t="str">
        <f>"8213427204"</f>
        <v>8213427204</v>
      </c>
      <c r="I2501" t="str">
        <f t="shared" si="45"/>
        <v>UNIFIRST CORPORATION</v>
      </c>
    </row>
    <row r="2502" spans="5:9" x14ac:dyDescent="0.25">
      <c r="E2502" s="7"/>
      <c r="F2502" t="s">
        <v>20</v>
      </c>
      <c r="G2502" t="s">
        <v>21</v>
      </c>
      <c r="H2502" t="str">
        <f>"8213429988"</f>
        <v>8213429988</v>
      </c>
      <c r="I2502" t="str">
        <f t="shared" si="45"/>
        <v>UNIFIRST CORPORATION</v>
      </c>
    </row>
    <row r="2503" spans="5:9" x14ac:dyDescent="0.25">
      <c r="E2503" s="7"/>
      <c r="F2503" t="s">
        <v>20</v>
      </c>
      <c r="G2503" t="s">
        <v>21</v>
      </c>
      <c r="H2503" t="str">
        <f>"8213429989"</f>
        <v>8213429989</v>
      </c>
      <c r="I2503" t="str">
        <f t="shared" si="45"/>
        <v>UNIFIRST CORPORATION</v>
      </c>
    </row>
    <row r="2504" spans="5:9" x14ac:dyDescent="0.25">
      <c r="E2504" s="7"/>
      <c r="F2504" t="s">
        <v>20</v>
      </c>
      <c r="G2504" t="s">
        <v>21</v>
      </c>
      <c r="H2504" t="str">
        <f>"8213429990"</f>
        <v>8213429990</v>
      </c>
      <c r="I2504" t="str">
        <f t="shared" si="45"/>
        <v>UNIFIRST CORPORATION</v>
      </c>
    </row>
    <row r="2505" spans="5:9" x14ac:dyDescent="0.25">
      <c r="E2505" s="7"/>
      <c r="F2505" t="s">
        <v>20</v>
      </c>
      <c r="G2505" t="s">
        <v>21</v>
      </c>
      <c r="H2505" t="str">
        <f>"8213429991"</f>
        <v>8213429991</v>
      </c>
      <c r="I2505" t="str">
        <f t="shared" si="45"/>
        <v>UNIFIRST CORPORATION</v>
      </c>
    </row>
    <row r="2506" spans="5:9" x14ac:dyDescent="0.25">
      <c r="E2506" s="7"/>
      <c r="F2506" t="s">
        <v>20</v>
      </c>
      <c r="G2506" t="s">
        <v>21</v>
      </c>
      <c r="H2506" t="str">
        <f>"8213429992"</f>
        <v>8213429992</v>
      </c>
      <c r="I2506" t="str">
        <f t="shared" si="45"/>
        <v>UNIFIRST CORPORATION</v>
      </c>
    </row>
    <row r="2507" spans="5:9" x14ac:dyDescent="0.25">
      <c r="E2507" s="7"/>
      <c r="F2507" t="s">
        <v>20</v>
      </c>
      <c r="G2507" t="s">
        <v>21</v>
      </c>
      <c r="H2507" t="str">
        <f>"8213429993"</f>
        <v>8213429993</v>
      </c>
      <c r="I2507" t="str">
        <f t="shared" si="45"/>
        <v>UNIFIRST CORPORATION</v>
      </c>
    </row>
    <row r="2508" spans="5:9" x14ac:dyDescent="0.25">
      <c r="E2508" s="7"/>
      <c r="F2508" t="s">
        <v>20</v>
      </c>
      <c r="G2508" t="s">
        <v>21</v>
      </c>
      <c r="H2508" t="str">
        <f>"8213429994"</f>
        <v>8213429994</v>
      </c>
      <c r="I2508" t="str">
        <f t="shared" si="45"/>
        <v>UNIFIRST CORPORATION</v>
      </c>
    </row>
    <row r="2509" spans="5:9" x14ac:dyDescent="0.25">
      <c r="E2509" s="7"/>
      <c r="F2509" t="s">
        <v>20</v>
      </c>
      <c r="G2509" t="s">
        <v>21</v>
      </c>
      <c r="H2509" t="str">
        <f>"8213432723"</f>
        <v>8213432723</v>
      </c>
      <c r="I2509" t="str">
        <f t="shared" si="45"/>
        <v>UNIFIRST CORPORATION</v>
      </c>
    </row>
    <row r="2510" spans="5:9" x14ac:dyDescent="0.25">
      <c r="E2510" s="7"/>
      <c r="F2510" t="s">
        <v>20</v>
      </c>
      <c r="G2510" t="s">
        <v>21</v>
      </c>
      <c r="H2510" t="str">
        <f>"8213432724"</f>
        <v>8213432724</v>
      </c>
      <c r="I2510" t="str">
        <f t="shared" si="45"/>
        <v>UNIFIRST CORPORATION</v>
      </c>
    </row>
    <row r="2511" spans="5:9" x14ac:dyDescent="0.25">
      <c r="E2511" s="7"/>
      <c r="F2511" t="s">
        <v>20</v>
      </c>
      <c r="G2511" t="s">
        <v>21</v>
      </c>
      <c r="H2511" t="str">
        <f>"8213432725"</f>
        <v>8213432725</v>
      </c>
      <c r="I2511" t="str">
        <f t="shared" si="45"/>
        <v>UNIFIRST CORPORATION</v>
      </c>
    </row>
    <row r="2512" spans="5:9" x14ac:dyDescent="0.25">
      <c r="E2512" s="7"/>
      <c r="F2512" t="s">
        <v>20</v>
      </c>
      <c r="G2512" t="s">
        <v>21</v>
      </c>
      <c r="H2512" t="str">
        <f>"8213432726"</f>
        <v>8213432726</v>
      </c>
      <c r="I2512" t="str">
        <f t="shared" si="45"/>
        <v>UNIFIRST CORPORATION</v>
      </c>
    </row>
    <row r="2513" spans="1:9" x14ac:dyDescent="0.25">
      <c r="E2513" s="7"/>
      <c r="F2513" t="s">
        <v>20</v>
      </c>
      <c r="G2513" t="s">
        <v>21</v>
      </c>
      <c r="H2513" t="str">
        <f>"8213432727"</f>
        <v>8213432727</v>
      </c>
      <c r="I2513" t="str">
        <f t="shared" si="45"/>
        <v>UNIFIRST CORPORATION</v>
      </c>
    </row>
    <row r="2514" spans="1:9" x14ac:dyDescent="0.25">
      <c r="E2514" s="7"/>
      <c r="F2514" t="s">
        <v>20</v>
      </c>
      <c r="G2514" t="s">
        <v>21</v>
      </c>
      <c r="H2514" t="str">
        <f>"8213432728"</f>
        <v>8213432728</v>
      </c>
      <c r="I2514" t="str">
        <f t="shared" si="45"/>
        <v>UNIFIRST CORPORATION</v>
      </c>
    </row>
    <row r="2515" spans="1:9" x14ac:dyDescent="0.25">
      <c r="E2515" s="7"/>
      <c r="F2515" t="s">
        <v>20</v>
      </c>
      <c r="G2515" t="s">
        <v>21</v>
      </c>
      <c r="H2515" t="str">
        <f>"8213432729"</f>
        <v>8213432729</v>
      </c>
      <c r="I2515" t="str">
        <f t="shared" si="45"/>
        <v>UNIFIRST CORPORATION</v>
      </c>
    </row>
    <row r="2516" spans="1:9" x14ac:dyDescent="0.25">
      <c r="A2516" s="6">
        <v>43894</v>
      </c>
      <c r="B2516" t="s">
        <v>26</v>
      </c>
      <c r="C2516">
        <v>63544</v>
      </c>
      <c r="D2516" t="s">
        <v>696</v>
      </c>
      <c r="E2516" s="7">
        <v>185</v>
      </c>
      <c r="F2516" t="s">
        <v>20</v>
      </c>
      <c r="G2516" t="s">
        <v>21</v>
      </c>
      <c r="H2516" t="str">
        <f>"2/24/2020"</f>
        <v>2/24/2020</v>
      </c>
      <c r="I2516" t="str">
        <f>"ANGEL G. ROSAS"</f>
        <v>ANGEL G. ROSAS</v>
      </c>
    </row>
    <row r="2517" spans="1:9" x14ac:dyDescent="0.25">
      <c r="A2517" s="6">
        <v>43894</v>
      </c>
      <c r="B2517" t="s">
        <v>26</v>
      </c>
      <c r="C2517">
        <v>63545</v>
      </c>
      <c r="D2517" t="s">
        <v>878</v>
      </c>
      <c r="E2517" s="7">
        <v>68.150000000000006</v>
      </c>
      <c r="F2517" t="s">
        <v>20</v>
      </c>
      <c r="G2517" t="s">
        <v>21</v>
      </c>
      <c r="H2517" t="str">
        <f>"79916"</f>
        <v>79916</v>
      </c>
      <c r="I2517" t="str">
        <f>"ANIMAL CONTROL SUPPLIES"</f>
        <v>ANIMAL CONTROL SUPPLIES</v>
      </c>
    </row>
    <row r="2518" spans="1:9" x14ac:dyDescent="0.25">
      <c r="A2518" s="6">
        <v>43894</v>
      </c>
      <c r="B2518" t="s">
        <v>26</v>
      </c>
      <c r="C2518">
        <v>63546</v>
      </c>
      <c r="D2518" t="s">
        <v>736</v>
      </c>
      <c r="E2518" s="7">
        <v>46</v>
      </c>
      <c r="F2518" t="s">
        <v>20</v>
      </c>
      <c r="G2518" t="s">
        <v>21</v>
      </c>
      <c r="H2518" t="str">
        <f>"TACT.1ST AID3/6/20"</f>
        <v>TACT.1ST AID3/6/20</v>
      </c>
      <c r="I2518" t="str">
        <f>"BRIAN ZUNIGA"</f>
        <v>BRIAN ZUNIGA</v>
      </c>
    </row>
    <row r="2519" spans="1:9" x14ac:dyDescent="0.25">
      <c r="A2519" s="6">
        <v>43894</v>
      </c>
      <c r="B2519" t="s">
        <v>26</v>
      </c>
      <c r="C2519">
        <v>63547</v>
      </c>
      <c r="D2519" t="s">
        <v>737</v>
      </c>
      <c r="E2519" s="7">
        <v>46</v>
      </c>
      <c r="F2519" t="s">
        <v>20</v>
      </c>
      <c r="G2519" t="s">
        <v>21</v>
      </c>
      <c r="H2519" t="str">
        <f>"TACT.1STAID 3/6/20"</f>
        <v>TACT.1STAID 3/6/20</v>
      </c>
      <c r="I2519" t="str">
        <f>"REUBEN GARCIA"</f>
        <v>REUBEN GARCIA</v>
      </c>
    </row>
    <row r="2520" spans="1:9" x14ac:dyDescent="0.25">
      <c r="A2520" s="6">
        <v>43894</v>
      </c>
      <c r="B2520" t="s">
        <v>26</v>
      </c>
      <c r="C2520">
        <v>63548</v>
      </c>
      <c r="D2520" t="s">
        <v>738</v>
      </c>
      <c r="E2520" s="7">
        <v>46</v>
      </c>
      <c r="F2520" t="s">
        <v>20</v>
      </c>
      <c r="G2520" t="s">
        <v>21</v>
      </c>
      <c r="H2520" t="str">
        <f>"TACT 1STAID 3/6/20"</f>
        <v>TACT 1STAID 3/6/20</v>
      </c>
      <c r="I2520" t="str">
        <f>"PATRICIO BARRERA HERNANDEZ"</f>
        <v>PATRICIO BARRERA HERNANDEZ</v>
      </c>
    </row>
    <row r="2521" spans="1:9" x14ac:dyDescent="0.25">
      <c r="A2521" s="6">
        <v>43894</v>
      </c>
      <c r="B2521" t="s">
        <v>26</v>
      </c>
      <c r="C2521">
        <v>63549</v>
      </c>
      <c r="D2521" t="s">
        <v>752</v>
      </c>
      <c r="E2521" s="7">
        <v>185</v>
      </c>
      <c r="F2521" t="s">
        <v>20</v>
      </c>
      <c r="G2521" t="s">
        <v>21</v>
      </c>
      <c r="H2521" t="str">
        <f>"2/24/2020"</f>
        <v>2/24/2020</v>
      </c>
      <c r="I2521" t="str">
        <f>"BLANCA PEREZ"</f>
        <v>BLANCA PEREZ</v>
      </c>
    </row>
    <row r="2522" spans="1:9" x14ac:dyDescent="0.25">
      <c r="A2522" s="6">
        <v>43894</v>
      </c>
      <c r="B2522" t="s">
        <v>26</v>
      </c>
      <c r="C2522">
        <v>63550</v>
      </c>
      <c r="D2522" t="s">
        <v>816</v>
      </c>
      <c r="E2522" s="7">
        <v>105</v>
      </c>
      <c r="F2522" t="s">
        <v>20</v>
      </c>
      <c r="G2522" t="s">
        <v>21</v>
      </c>
      <c r="H2522" t="str">
        <f>"3/6/2020 FLAG FBAL"</f>
        <v>3/6/2020 FLAG FBAL</v>
      </c>
      <c r="I2522" t="str">
        <f>"MEGAN K ANDERSON"</f>
        <v>MEGAN K ANDERSON</v>
      </c>
    </row>
    <row r="2523" spans="1:9" x14ac:dyDescent="0.25">
      <c r="A2523" s="6">
        <v>43894</v>
      </c>
      <c r="B2523" t="s">
        <v>26</v>
      </c>
      <c r="C2523">
        <v>63551</v>
      </c>
      <c r="D2523" t="s">
        <v>836</v>
      </c>
      <c r="E2523" s="7">
        <v>825</v>
      </c>
      <c r="F2523" t="s">
        <v>20</v>
      </c>
      <c r="G2523" t="s">
        <v>21</v>
      </c>
      <c r="H2523" t="str">
        <f>"60545"</f>
        <v>60545</v>
      </c>
      <c r="I2523" t="str">
        <f>"BARCOM TECHNOLOGY SOLUTIONS  I"</f>
        <v>BARCOM TECHNOLOGY SOLUTIONS  I</v>
      </c>
    </row>
    <row r="2524" spans="1:9" x14ac:dyDescent="0.25">
      <c r="A2524" s="6">
        <v>43894</v>
      </c>
      <c r="B2524" t="s">
        <v>91</v>
      </c>
      <c r="C2524">
        <v>63552</v>
      </c>
      <c r="D2524" t="s">
        <v>882</v>
      </c>
      <c r="E2524" s="7">
        <v>230</v>
      </c>
      <c r="F2524" t="s">
        <v>20</v>
      </c>
      <c r="G2524" t="s">
        <v>21</v>
      </c>
      <c r="H2524" t="str">
        <f>"INTERM CSI CLS3/30"</f>
        <v>INTERM CSI CLS3/30</v>
      </c>
      <c r="I2524" t="str">
        <f>"KEVIN PENA"</f>
        <v>KEVIN PENA</v>
      </c>
    </row>
    <row r="2525" spans="1:9" x14ac:dyDescent="0.25">
      <c r="A2525" s="6">
        <v>43894</v>
      </c>
      <c r="B2525" t="s">
        <v>26</v>
      </c>
      <c r="C2525">
        <v>63553</v>
      </c>
      <c r="D2525" t="s">
        <v>896</v>
      </c>
      <c r="E2525" s="7">
        <v>390</v>
      </c>
      <c r="F2525" t="s">
        <v>20</v>
      </c>
      <c r="G2525" t="s">
        <v>21</v>
      </c>
      <c r="H2525" t="str">
        <f>"03-2020"</f>
        <v>03-2020</v>
      </c>
      <c r="I2525" t="str">
        <f>"TRAINING CLASS FOR 3 OFFI"</f>
        <v>TRAINING CLASS FOR 3 OFFI</v>
      </c>
    </row>
    <row r="2526" spans="1:9" x14ac:dyDescent="0.25">
      <c r="A2526" s="6">
        <v>43894</v>
      </c>
      <c r="B2526" t="s">
        <v>26</v>
      </c>
      <c r="C2526">
        <v>63554</v>
      </c>
      <c r="D2526" t="s">
        <v>897</v>
      </c>
      <c r="E2526" s="7">
        <v>50</v>
      </c>
      <c r="F2526" t="s">
        <v>20</v>
      </c>
      <c r="G2526" t="s">
        <v>21</v>
      </c>
      <c r="H2526" t="str">
        <f>"3/2/2020"</f>
        <v>3/2/2020</v>
      </c>
      <c r="I2526" t="str">
        <f>"MAKAYLA GONZALES"</f>
        <v>MAKAYLA GONZALES</v>
      </c>
    </row>
    <row r="2527" spans="1:9" x14ac:dyDescent="0.25">
      <c r="A2527" s="6">
        <v>43894</v>
      </c>
      <c r="B2527" t="s">
        <v>26</v>
      </c>
      <c r="C2527">
        <v>63555</v>
      </c>
      <c r="D2527" t="s">
        <v>898</v>
      </c>
      <c r="E2527" s="7">
        <v>1290</v>
      </c>
      <c r="F2527" t="s">
        <v>20</v>
      </c>
      <c r="G2527" t="s">
        <v>21</v>
      </c>
      <c r="H2527" t="str">
        <f>"EXP1089"</f>
        <v>EXP1089</v>
      </c>
      <c r="I2527" t="str">
        <f>"EXPO 15 &amp; 16"</f>
        <v>EXPO 15 &amp; 16</v>
      </c>
    </row>
    <row r="2528" spans="1:9" x14ac:dyDescent="0.25">
      <c r="A2528" s="6">
        <v>43894</v>
      </c>
      <c r="B2528" t="s">
        <v>26</v>
      </c>
      <c r="C2528">
        <v>63556</v>
      </c>
      <c r="D2528" t="s">
        <v>899</v>
      </c>
      <c r="E2528" s="7">
        <v>46</v>
      </c>
      <c r="F2528" t="s">
        <v>20</v>
      </c>
      <c r="G2528" t="s">
        <v>21</v>
      </c>
      <c r="H2528" t="str">
        <f>"TACT.1STAID 3/6/20"</f>
        <v>TACT.1STAID 3/6/20</v>
      </c>
      <c r="I2528" t="str">
        <f>"DANNY ROMERO"</f>
        <v>DANNY ROMERO</v>
      </c>
    </row>
    <row r="2529" spans="1:9" x14ac:dyDescent="0.25">
      <c r="A2529" s="6">
        <v>43894</v>
      </c>
      <c r="B2529" t="s">
        <v>26</v>
      </c>
      <c r="C2529">
        <v>63563</v>
      </c>
      <c r="D2529" t="s">
        <v>90</v>
      </c>
      <c r="E2529" s="7">
        <v>1997.82</v>
      </c>
      <c r="F2529" t="s">
        <v>20</v>
      </c>
      <c r="G2529" t="s">
        <v>21</v>
      </c>
      <c r="H2529" t="str">
        <f>"459169   FEB.2020"</f>
        <v>459169   FEB.2020</v>
      </c>
      <c r="I2529" t="str">
        <f>"AFLAC"</f>
        <v>AFLAC</v>
      </c>
    </row>
    <row r="2530" spans="1:9" x14ac:dyDescent="0.25">
      <c r="A2530" s="6">
        <v>43894</v>
      </c>
      <c r="B2530" t="s">
        <v>26</v>
      </c>
      <c r="C2530">
        <v>63564</v>
      </c>
      <c r="D2530" t="s">
        <v>637</v>
      </c>
      <c r="E2530" s="7">
        <v>75</v>
      </c>
      <c r="F2530" t="s">
        <v>20</v>
      </c>
      <c r="G2530" t="s">
        <v>21</v>
      </c>
      <c r="H2530" t="str">
        <f>"MARCH 2020"</f>
        <v>MARCH 2020</v>
      </c>
      <c r="I2530" t="str">
        <f>"GLORIA MARTINEZ"</f>
        <v>GLORIA MARTINEZ</v>
      </c>
    </row>
    <row r="2531" spans="1:9" x14ac:dyDescent="0.25">
      <c r="A2531" s="6">
        <v>43894</v>
      </c>
      <c r="B2531" t="s">
        <v>91</v>
      </c>
      <c r="C2531">
        <v>63565</v>
      </c>
      <c r="D2531" t="s">
        <v>0</v>
      </c>
      <c r="E2531" s="7">
        <v>52500.47</v>
      </c>
      <c r="F2531" t="s">
        <v>20</v>
      </c>
      <c r="G2531" t="s">
        <v>21</v>
      </c>
      <c r="H2531" t="str">
        <f>"103 10/1-1/31/2020"</f>
        <v>103 10/1-1/31/2020</v>
      </c>
      <c r="I2531" t="str">
        <f>"CITY OF FLORESVILLE"</f>
        <v>CITY OF FLORESVILLE</v>
      </c>
    </row>
    <row r="2532" spans="1:9" x14ac:dyDescent="0.25">
      <c r="A2532" s="6">
        <v>43894</v>
      </c>
      <c r="B2532" t="s">
        <v>91</v>
      </c>
      <c r="C2532">
        <v>63565</v>
      </c>
      <c r="D2532" t="s">
        <v>0</v>
      </c>
      <c r="E2532" s="7">
        <v>52500.47</v>
      </c>
      <c r="F2532" t="s">
        <v>20</v>
      </c>
      <c r="G2532" t="s">
        <v>93</v>
      </c>
      <c r="H2532" t="str">
        <f>"CHECK"</f>
        <v>CHECK</v>
      </c>
      <c r="I2532" t="str">
        <f>""</f>
        <v/>
      </c>
    </row>
    <row r="2533" spans="1:9" x14ac:dyDescent="0.25">
      <c r="A2533" s="6">
        <v>43894</v>
      </c>
      <c r="B2533" t="s">
        <v>26</v>
      </c>
      <c r="C2533">
        <v>63566</v>
      </c>
      <c r="D2533" t="s">
        <v>95</v>
      </c>
      <c r="E2533" s="7">
        <v>64.959999999999994</v>
      </c>
      <c r="F2533" t="s">
        <v>20</v>
      </c>
      <c r="G2533" t="s">
        <v>21</v>
      </c>
      <c r="H2533" t="str">
        <f>"19607"</f>
        <v>19607</v>
      </c>
      <c r="I2533" t="str">
        <f>"LEGAL PLANS"</f>
        <v>LEGAL PLANS</v>
      </c>
    </row>
    <row r="2534" spans="1:9" x14ac:dyDescent="0.25">
      <c r="A2534" s="6">
        <v>43894</v>
      </c>
      <c r="B2534" t="s">
        <v>26</v>
      </c>
      <c r="C2534">
        <v>63567</v>
      </c>
      <c r="D2534" t="s">
        <v>96</v>
      </c>
      <c r="E2534" s="7">
        <v>457.35</v>
      </c>
      <c r="F2534" t="s">
        <v>20</v>
      </c>
      <c r="G2534" t="s">
        <v>21</v>
      </c>
      <c r="H2534" t="str">
        <f>"FEB. 2020"</f>
        <v>FEB. 2020</v>
      </c>
      <c r="I2534" t="str">
        <f>"LEGALSHIELD"</f>
        <v>LEGALSHIELD</v>
      </c>
    </row>
    <row r="2535" spans="1:9" x14ac:dyDescent="0.25">
      <c r="A2535" s="6">
        <v>43894</v>
      </c>
      <c r="B2535" t="s">
        <v>26</v>
      </c>
      <c r="C2535">
        <v>63568</v>
      </c>
      <c r="D2535" t="s">
        <v>74</v>
      </c>
      <c r="E2535" s="7">
        <v>4770.4399999999996</v>
      </c>
      <c r="F2535" t="s">
        <v>20</v>
      </c>
      <c r="G2535" t="s">
        <v>21</v>
      </c>
      <c r="H2535" t="str">
        <f>"9849060451"</f>
        <v>9849060451</v>
      </c>
      <c r="I2535" t="str">
        <f>"VERIZON WIRELESS"</f>
        <v>VERIZON WIRELESS</v>
      </c>
    </row>
    <row r="2536" spans="1:9" x14ac:dyDescent="0.25">
      <c r="A2536" s="6">
        <v>43894</v>
      </c>
      <c r="B2536" t="s">
        <v>26</v>
      </c>
      <c r="C2536">
        <v>63569</v>
      </c>
      <c r="D2536" t="s">
        <v>223</v>
      </c>
      <c r="E2536" s="7">
        <v>75</v>
      </c>
      <c r="F2536" t="s">
        <v>20</v>
      </c>
      <c r="G2536" t="s">
        <v>21</v>
      </c>
      <c r="H2536" t="str">
        <f>"MARCH 2020"</f>
        <v>MARCH 2020</v>
      </c>
      <c r="I2536" t="str">
        <f>"JUAN ORTIZ"</f>
        <v>JUAN ORTIZ</v>
      </c>
    </row>
    <row r="2537" spans="1:9" x14ac:dyDescent="0.25">
      <c r="A2537" s="6">
        <v>43894</v>
      </c>
      <c r="B2537" t="s">
        <v>26</v>
      </c>
      <c r="C2537">
        <v>63570</v>
      </c>
      <c r="D2537" t="s">
        <v>81</v>
      </c>
      <c r="E2537" s="7">
        <v>158.91</v>
      </c>
      <c r="F2537" t="s">
        <v>20</v>
      </c>
      <c r="G2537" t="s">
        <v>21</v>
      </c>
      <c r="H2537" t="str">
        <f>"A.MARTINEZ 3/4/20"</f>
        <v>A.MARTINEZ 3/4/20</v>
      </c>
      <c r="I2537" t="str">
        <f>"CITY OF FLORESVILLE -PETTY CAS"</f>
        <v>CITY OF FLORESVILLE -PETTY CAS</v>
      </c>
    </row>
    <row r="2538" spans="1:9" x14ac:dyDescent="0.25">
      <c r="A2538" s="6">
        <v>43894</v>
      </c>
      <c r="B2538" t="s">
        <v>26</v>
      </c>
      <c r="C2538">
        <v>63571</v>
      </c>
      <c r="D2538" t="s">
        <v>97</v>
      </c>
      <c r="E2538" s="7">
        <v>45822.15</v>
      </c>
      <c r="F2538" t="s">
        <v>20</v>
      </c>
      <c r="G2538" t="s">
        <v>21</v>
      </c>
      <c r="H2538" t="str">
        <f>"FEB. 2020 HEALTH"</f>
        <v>FEB. 2020 HEALTH</v>
      </c>
      <c r="I2538" t="str">
        <f>"HEALTH CARE SERVICE CORPORATIO"</f>
        <v>HEALTH CARE SERVICE CORPORATIO</v>
      </c>
    </row>
    <row r="2539" spans="1:9" x14ac:dyDescent="0.25">
      <c r="E2539" s="7"/>
      <c r="F2539" t="s">
        <v>20</v>
      </c>
      <c r="G2539" t="s">
        <v>21</v>
      </c>
      <c r="H2539" t="str">
        <f>"FEB.2020 DEARBORN"</f>
        <v>FEB.2020 DEARBORN</v>
      </c>
      <c r="I2539" t="str">
        <f>"HEALTH CARE SERVICE CORPORATIO"</f>
        <v>HEALTH CARE SERVICE CORPORATIO</v>
      </c>
    </row>
    <row r="2540" spans="1:9" x14ac:dyDescent="0.25">
      <c r="A2540" s="6">
        <v>43894</v>
      </c>
      <c r="B2540" t="s">
        <v>26</v>
      </c>
      <c r="C2540">
        <v>63574</v>
      </c>
      <c r="D2540" t="s">
        <v>285</v>
      </c>
      <c r="E2540" s="7">
        <v>150</v>
      </c>
      <c r="F2540" t="s">
        <v>20</v>
      </c>
      <c r="G2540" t="s">
        <v>21</v>
      </c>
      <c r="H2540" t="str">
        <f>"SI815175"</f>
        <v>SI815175</v>
      </c>
      <c r="I2540" t="str">
        <f>"VICTOR O. SCHINNERER &amp; CO. INC"</f>
        <v>VICTOR O. SCHINNERER &amp; CO. INC</v>
      </c>
    </row>
    <row r="2541" spans="1:9" x14ac:dyDescent="0.25">
      <c r="A2541" s="6">
        <v>43894</v>
      </c>
      <c r="B2541" t="s">
        <v>26</v>
      </c>
      <c r="C2541">
        <v>63575</v>
      </c>
      <c r="D2541" t="s">
        <v>36</v>
      </c>
      <c r="E2541" s="7">
        <v>75</v>
      </c>
      <c r="F2541" t="s">
        <v>20</v>
      </c>
      <c r="G2541" t="s">
        <v>21</v>
      </c>
      <c r="H2541" t="str">
        <f>"MARCH 2020"</f>
        <v>MARCH 2020</v>
      </c>
      <c r="I2541" t="str">
        <f>"GLORIA M. CANTU"</f>
        <v>GLORIA M. CANTU</v>
      </c>
    </row>
    <row r="2542" spans="1:9" x14ac:dyDescent="0.25">
      <c r="A2542" s="6">
        <v>43894</v>
      </c>
      <c r="B2542" t="s">
        <v>26</v>
      </c>
      <c r="C2542">
        <v>63576</v>
      </c>
      <c r="D2542" t="s">
        <v>38</v>
      </c>
      <c r="E2542" s="7">
        <v>100</v>
      </c>
      <c r="F2542" t="s">
        <v>20</v>
      </c>
      <c r="G2542" t="s">
        <v>21</v>
      </c>
      <c r="H2542" t="str">
        <f>"MARCH 2020"</f>
        <v>MARCH 2020</v>
      </c>
      <c r="I2542" t="str">
        <f>"CECELIA GONZALEZ-DIPPEL"</f>
        <v>CECELIA GONZALEZ-DIPPEL</v>
      </c>
    </row>
    <row r="2543" spans="1:9" x14ac:dyDescent="0.25">
      <c r="A2543" s="6">
        <v>43894</v>
      </c>
      <c r="B2543" t="s">
        <v>26</v>
      </c>
      <c r="C2543">
        <v>63577</v>
      </c>
      <c r="D2543" t="s">
        <v>558</v>
      </c>
      <c r="E2543" s="7">
        <v>75</v>
      </c>
      <c r="F2543" t="s">
        <v>20</v>
      </c>
      <c r="G2543" t="s">
        <v>21</v>
      </c>
      <c r="H2543" t="str">
        <f>"MARCH 2020"</f>
        <v>MARCH 2020</v>
      </c>
      <c r="I2543" t="str">
        <f>"MARISSA XIMENEZ"</f>
        <v>MARISSA XIMENEZ</v>
      </c>
    </row>
    <row r="2544" spans="1:9" x14ac:dyDescent="0.25">
      <c r="A2544" s="6">
        <v>43894</v>
      </c>
      <c r="B2544" t="s">
        <v>26</v>
      </c>
      <c r="C2544">
        <v>63578</v>
      </c>
      <c r="D2544" t="s">
        <v>889</v>
      </c>
      <c r="E2544" s="7">
        <v>75</v>
      </c>
      <c r="F2544" t="s">
        <v>20</v>
      </c>
      <c r="G2544" t="s">
        <v>21</v>
      </c>
      <c r="H2544" t="str">
        <f>"MARCH 2020"</f>
        <v>MARCH 2020</v>
      </c>
      <c r="I2544" t="str">
        <f>"JADE JIMENEZ"</f>
        <v>JADE JIMENEZ</v>
      </c>
    </row>
    <row r="2545" spans="1:9" x14ac:dyDescent="0.25">
      <c r="A2545" s="6">
        <v>43896</v>
      </c>
      <c r="B2545" t="s">
        <v>26</v>
      </c>
      <c r="C2545">
        <v>63579</v>
      </c>
      <c r="D2545" t="s">
        <v>900</v>
      </c>
      <c r="E2545" s="7">
        <v>70</v>
      </c>
      <c r="F2545" t="s">
        <v>20</v>
      </c>
      <c r="G2545" t="s">
        <v>21</v>
      </c>
      <c r="H2545" t="str">
        <f>"3/2/2020"</f>
        <v>3/2/2020</v>
      </c>
      <c r="I2545" t="str">
        <f>"GILBERT SALINAS"</f>
        <v>GILBERT SALINAS</v>
      </c>
    </row>
    <row r="2546" spans="1:9" x14ac:dyDescent="0.25">
      <c r="A2546" s="6">
        <v>43900</v>
      </c>
      <c r="B2546" t="s">
        <v>26</v>
      </c>
      <c r="C2546">
        <v>63587</v>
      </c>
      <c r="D2546" t="s">
        <v>419</v>
      </c>
      <c r="E2546" s="7">
        <v>128</v>
      </c>
      <c r="F2546" t="s">
        <v>20</v>
      </c>
      <c r="G2546" t="s">
        <v>21</v>
      </c>
      <c r="H2546" t="str">
        <f>"3/12/2020 CLASS"</f>
        <v>3/12/2020 CLASS</v>
      </c>
      <c r="I2546" t="str">
        <f>"GEORGE ORTIZ"</f>
        <v>GEORGE ORTIZ</v>
      </c>
    </row>
    <row r="2547" spans="1:9" x14ac:dyDescent="0.25">
      <c r="A2547" s="6">
        <v>43900</v>
      </c>
      <c r="B2547" t="s">
        <v>26</v>
      </c>
      <c r="C2547">
        <v>63588</v>
      </c>
      <c r="D2547" t="s">
        <v>555</v>
      </c>
      <c r="E2547" s="7">
        <v>128</v>
      </c>
      <c r="F2547" t="s">
        <v>20</v>
      </c>
      <c r="G2547" t="s">
        <v>21</v>
      </c>
      <c r="H2547" t="str">
        <f>"3/12/2020 CLASS"</f>
        <v>3/12/2020 CLASS</v>
      </c>
      <c r="I2547" t="str">
        <f>"PERRY HYDEN"</f>
        <v>PERRY HYDEN</v>
      </c>
    </row>
    <row r="2548" spans="1:9" x14ac:dyDescent="0.25">
      <c r="A2548" s="6">
        <v>43900</v>
      </c>
      <c r="B2548" t="s">
        <v>26</v>
      </c>
      <c r="C2548">
        <v>63589</v>
      </c>
      <c r="D2548" t="s">
        <v>447</v>
      </c>
      <c r="E2548" s="7">
        <v>128</v>
      </c>
      <c r="F2548" t="s">
        <v>20</v>
      </c>
      <c r="G2548" t="s">
        <v>21</v>
      </c>
      <c r="H2548" t="str">
        <f>"3/12/2020 CLASS"</f>
        <v>3/12/2020 CLASS</v>
      </c>
      <c r="I2548" t="str">
        <f>"VICTOR FAVELLA"</f>
        <v>VICTOR FAVELLA</v>
      </c>
    </row>
    <row r="2549" spans="1:9" x14ac:dyDescent="0.25">
      <c r="A2549" s="6">
        <v>43900</v>
      </c>
      <c r="B2549" t="s">
        <v>26</v>
      </c>
      <c r="C2549">
        <v>63590</v>
      </c>
      <c r="D2549" t="s">
        <v>51</v>
      </c>
      <c r="E2549" s="7">
        <v>346.31</v>
      </c>
      <c r="F2549" t="s">
        <v>20</v>
      </c>
      <c r="G2549" t="s">
        <v>21</v>
      </c>
      <c r="H2549" t="str">
        <f>"CLE202003108564"</f>
        <v>CLE202003108564</v>
      </c>
      <c r="I2549" t="str">
        <f>"CLEAT ONLY DUES"</f>
        <v>CLEAT ONLY DUES</v>
      </c>
    </row>
    <row r="2550" spans="1:9" x14ac:dyDescent="0.25">
      <c r="E2550" s="7"/>
      <c r="F2550" t="s">
        <v>20</v>
      </c>
      <c r="G2550" t="s">
        <v>21</v>
      </c>
      <c r="H2550" t="str">
        <f>"PDD202003108564"</f>
        <v>PDD202003108564</v>
      </c>
      <c r="I2550" t="str">
        <f>"POLICE OFFICERS ASSOC DUES"</f>
        <v>POLICE OFFICERS ASSOC DUES</v>
      </c>
    </row>
    <row r="2551" spans="1:9" x14ac:dyDescent="0.25">
      <c r="A2551" s="6">
        <v>43900</v>
      </c>
      <c r="B2551" t="s">
        <v>91</v>
      </c>
      <c r="C2551">
        <v>63591</v>
      </c>
      <c r="D2551" t="s">
        <v>90</v>
      </c>
      <c r="E2551" s="7">
        <v>101.1</v>
      </c>
      <c r="F2551" t="s">
        <v>20</v>
      </c>
      <c r="G2551" t="s">
        <v>21</v>
      </c>
      <c r="H2551" t="str">
        <f>"AFS202003108564"</f>
        <v>AFS202003108564</v>
      </c>
      <c r="I2551" t="str">
        <f>"AFLAC STD"</f>
        <v>AFLAC STD</v>
      </c>
    </row>
    <row r="2552" spans="1:9" x14ac:dyDescent="0.25">
      <c r="A2552" s="6">
        <v>43900</v>
      </c>
      <c r="B2552" t="s">
        <v>91</v>
      </c>
      <c r="C2552">
        <v>63591</v>
      </c>
      <c r="D2552" t="s">
        <v>90</v>
      </c>
      <c r="E2552" s="7">
        <v>101.1</v>
      </c>
      <c r="F2552" t="s">
        <v>20</v>
      </c>
      <c r="G2552" t="s">
        <v>93</v>
      </c>
      <c r="H2552" t="str">
        <f>"CHECK"</f>
        <v>CHECK</v>
      </c>
      <c r="I2552" t="str">
        <f>""</f>
        <v/>
      </c>
    </row>
    <row r="2553" spans="1:9" x14ac:dyDescent="0.25">
      <c r="A2553" s="6">
        <v>43900</v>
      </c>
      <c r="B2553" t="s">
        <v>26</v>
      </c>
      <c r="C2553">
        <v>63592</v>
      </c>
      <c r="D2553" t="s">
        <v>52</v>
      </c>
      <c r="E2553" s="7">
        <v>971.53</v>
      </c>
      <c r="F2553" t="s">
        <v>20</v>
      </c>
      <c r="G2553" t="s">
        <v>21</v>
      </c>
      <c r="H2553" t="str">
        <f>"CA1202003108564"</f>
        <v>CA1202003108564</v>
      </c>
      <c r="I2553" t="str">
        <f>"K RAMIREZ 001200229510060343CV"</f>
        <v>K RAMIREZ 001200229510060343CV</v>
      </c>
    </row>
    <row r="2554" spans="1:9" x14ac:dyDescent="0.25">
      <c r="E2554" s="7"/>
      <c r="F2554" t="s">
        <v>20</v>
      </c>
      <c r="G2554" t="s">
        <v>21</v>
      </c>
      <c r="H2554" t="str">
        <f>"CA2202003108564"</f>
        <v>CA2202003108564</v>
      </c>
      <c r="I2554" t="str">
        <f>"L HERNANDEZ 001016025203080354"</f>
        <v>L HERNANDEZ 001016025203080354</v>
      </c>
    </row>
    <row r="2555" spans="1:9" x14ac:dyDescent="0.25">
      <c r="E2555" s="7"/>
      <c r="F2555" t="s">
        <v>20</v>
      </c>
      <c r="G2555" t="s">
        <v>21</v>
      </c>
      <c r="H2555" t="str">
        <f>"CPS202003108564"</f>
        <v>CPS202003108564</v>
      </c>
      <c r="I2555" t="str">
        <f>"G MENDOZA 00123012032010EM5054"</f>
        <v>G MENDOZA 00123012032010EM5054</v>
      </c>
    </row>
    <row r="2556" spans="1:9" x14ac:dyDescent="0.25">
      <c r="E2556" s="7"/>
      <c r="F2556" t="s">
        <v>20</v>
      </c>
      <c r="G2556" t="s">
        <v>21</v>
      </c>
      <c r="H2556" t="str">
        <f>"CS 202003108564"</f>
        <v>CS 202003108564</v>
      </c>
      <c r="I2556" t="str">
        <f>"CAUSE#98EM504113 PEGGY RIVAS"</f>
        <v>CAUSE#98EM504113 PEGGY RIVAS</v>
      </c>
    </row>
    <row r="2557" spans="1:9" x14ac:dyDescent="0.25">
      <c r="E2557" s="7"/>
      <c r="F2557" t="s">
        <v>20</v>
      </c>
      <c r="G2557" t="s">
        <v>21</v>
      </c>
      <c r="H2557" t="str">
        <f>"CSA202003108564"</f>
        <v>CSA202003108564</v>
      </c>
      <c r="I2557" t="str">
        <f>"S RODRIGUEZ 001281730413050336"</f>
        <v>S RODRIGUEZ 001281730413050336</v>
      </c>
    </row>
    <row r="2558" spans="1:9" x14ac:dyDescent="0.25">
      <c r="A2558" s="6">
        <v>43900</v>
      </c>
      <c r="B2558" t="s">
        <v>26</v>
      </c>
      <c r="C2558">
        <v>63593</v>
      </c>
      <c r="D2558" t="s">
        <v>54</v>
      </c>
      <c r="E2558" s="7">
        <v>1200.24</v>
      </c>
      <c r="F2558" t="s">
        <v>20</v>
      </c>
      <c r="G2558" t="s">
        <v>21</v>
      </c>
      <c r="H2558" t="str">
        <f>"457202003108564"</f>
        <v>457202003108564</v>
      </c>
      <c r="I2558" t="str">
        <f>"CASE # 180-60751 457B DEDUCT"</f>
        <v>CASE # 180-60751 457B DEDUCT</v>
      </c>
    </row>
    <row r="2559" spans="1:9" x14ac:dyDescent="0.25">
      <c r="A2559" s="6">
        <v>43901</v>
      </c>
      <c r="B2559" t="s">
        <v>91</v>
      </c>
      <c r="C2559">
        <v>63594</v>
      </c>
      <c r="D2559" t="s">
        <v>90</v>
      </c>
      <c r="E2559" s="7">
        <v>840.88</v>
      </c>
      <c r="F2559" t="s">
        <v>20</v>
      </c>
      <c r="G2559" t="s">
        <v>21</v>
      </c>
      <c r="H2559" t="str">
        <f>"ACA202003108564"</f>
        <v>ACA202003108564</v>
      </c>
      <c r="I2559" t="str">
        <f>"AFLAC INSURANCE"</f>
        <v>AFLAC INSURANCE</v>
      </c>
    </row>
    <row r="2560" spans="1:9" x14ac:dyDescent="0.25">
      <c r="E2560" s="7"/>
      <c r="F2560" t="s">
        <v>20</v>
      </c>
      <c r="G2560" t="s">
        <v>21</v>
      </c>
      <c r="H2560" t="str">
        <f>"AD2202003108564"</f>
        <v>AD2202003108564</v>
      </c>
      <c r="I2560" t="str">
        <f>"AFLAC INSURANCE"</f>
        <v>AFLAC INSURANCE</v>
      </c>
    </row>
    <row r="2561" spans="1:9" x14ac:dyDescent="0.25">
      <c r="E2561" s="7"/>
      <c r="F2561" t="s">
        <v>20</v>
      </c>
      <c r="G2561" t="s">
        <v>21</v>
      </c>
      <c r="H2561" t="str">
        <f>"ADR202003108564"</f>
        <v>ADR202003108564</v>
      </c>
      <c r="I2561" t="str">
        <f>"INSURANCE"</f>
        <v>INSURANCE</v>
      </c>
    </row>
    <row r="2562" spans="1:9" x14ac:dyDescent="0.25">
      <c r="E2562" s="7"/>
      <c r="F2562" t="s">
        <v>20</v>
      </c>
      <c r="G2562" t="s">
        <v>21</v>
      </c>
      <c r="H2562" t="str">
        <f>"AF1202003108564"</f>
        <v>AF1202003108564</v>
      </c>
      <c r="I2562" t="str">
        <f>"AFLAC INSURANCE"</f>
        <v>AFLAC INSURANCE</v>
      </c>
    </row>
    <row r="2563" spans="1:9" x14ac:dyDescent="0.25">
      <c r="E2563" s="7"/>
      <c r="F2563" t="s">
        <v>20</v>
      </c>
      <c r="G2563" t="s">
        <v>21</v>
      </c>
      <c r="H2563" t="str">
        <f>"ASP202003108564"</f>
        <v>ASP202003108564</v>
      </c>
      <c r="I2563" t="str">
        <f>"AFLAC INSURANCE"</f>
        <v>AFLAC INSURANCE</v>
      </c>
    </row>
    <row r="2564" spans="1:9" x14ac:dyDescent="0.25">
      <c r="E2564" s="7"/>
      <c r="F2564" t="s">
        <v>20</v>
      </c>
      <c r="G2564" t="s">
        <v>21</v>
      </c>
      <c r="H2564" t="str">
        <f>"HCO202003108564"</f>
        <v>HCO202003108564</v>
      </c>
      <c r="I2564" t="str">
        <f>"AFLAC INSURANCE"</f>
        <v>AFLAC INSURANCE</v>
      </c>
    </row>
    <row r="2565" spans="1:9" x14ac:dyDescent="0.25">
      <c r="A2565" s="6">
        <v>43901</v>
      </c>
      <c r="B2565" t="s">
        <v>91</v>
      </c>
      <c r="C2565">
        <v>63594</v>
      </c>
      <c r="D2565" t="s">
        <v>90</v>
      </c>
      <c r="E2565" s="7">
        <v>840.88</v>
      </c>
      <c r="F2565" t="s">
        <v>20</v>
      </c>
      <c r="G2565" t="s">
        <v>93</v>
      </c>
      <c r="H2565" t="str">
        <f>"CHECK"</f>
        <v>CHECK</v>
      </c>
      <c r="I2565" t="str">
        <f>""</f>
        <v/>
      </c>
    </row>
    <row r="2566" spans="1:9" x14ac:dyDescent="0.25">
      <c r="A2566" s="6">
        <v>43901</v>
      </c>
      <c r="B2566" t="s">
        <v>91</v>
      </c>
      <c r="C2566">
        <v>63597</v>
      </c>
      <c r="D2566" t="s">
        <v>92</v>
      </c>
      <c r="E2566" s="7">
        <v>20244.46</v>
      </c>
      <c r="F2566" t="s">
        <v>20</v>
      </c>
      <c r="G2566" t="s">
        <v>21</v>
      </c>
      <c r="H2566" t="str">
        <f>"RET202003108564"</f>
        <v>RET202003108564</v>
      </c>
      <c r="I2566" t="str">
        <f>"TMRS CITY OF FLORESVILLE"</f>
        <v>TMRS CITY OF FLORESVILLE</v>
      </c>
    </row>
    <row r="2567" spans="1:9" x14ac:dyDescent="0.25">
      <c r="A2567" s="6">
        <v>43901</v>
      </c>
      <c r="B2567" t="s">
        <v>91</v>
      </c>
      <c r="C2567">
        <v>63597</v>
      </c>
      <c r="D2567" t="s">
        <v>92</v>
      </c>
      <c r="E2567" s="7">
        <v>20244.46</v>
      </c>
      <c r="F2567" t="s">
        <v>20</v>
      </c>
      <c r="G2567" t="s">
        <v>93</v>
      </c>
      <c r="H2567" t="str">
        <f>"CHECK"</f>
        <v>CHECK</v>
      </c>
      <c r="I2567" t="str">
        <f>""</f>
        <v/>
      </c>
    </row>
    <row r="2568" spans="1:9" x14ac:dyDescent="0.25">
      <c r="A2568" s="6">
        <v>43901</v>
      </c>
      <c r="B2568" t="s">
        <v>91</v>
      </c>
      <c r="C2568">
        <v>63599</v>
      </c>
      <c r="D2568" t="s">
        <v>95</v>
      </c>
      <c r="E2568" s="7">
        <v>29.99</v>
      </c>
      <c r="F2568" t="s">
        <v>20</v>
      </c>
      <c r="G2568" t="s">
        <v>21</v>
      </c>
      <c r="H2568" t="str">
        <f>"LEA202003108564"</f>
        <v>LEA202003108564</v>
      </c>
      <c r="I2568" t="str">
        <f>"INSURANCE"</f>
        <v>INSURANCE</v>
      </c>
    </row>
    <row r="2569" spans="1:9" x14ac:dyDescent="0.25">
      <c r="A2569" s="6">
        <v>43901</v>
      </c>
      <c r="B2569" t="s">
        <v>91</v>
      </c>
      <c r="C2569">
        <v>63599</v>
      </c>
      <c r="D2569" t="s">
        <v>95</v>
      </c>
      <c r="E2569" s="7">
        <v>29.99</v>
      </c>
      <c r="F2569" t="s">
        <v>20</v>
      </c>
      <c r="G2569" t="s">
        <v>93</v>
      </c>
      <c r="H2569" t="str">
        <f>"CHECK"</f>
        <v>CHECK</v>
      </c>
      <c r="I2569" t="str">
        <f>""</f>
        <v/>
      </c>
    </row>
    <row r="2570" spans="1:9" x14ac:dyDescent="0.25">
      <c r="A2570" s="6">
        <v>43901</v>
      </c>
      <c r="B2570" t="s">
        <v>91</v>
      </c>
      <c r="C2570">
        <v>63600</v>
      </c>
      <c r="D2570" t="s">
        <v>96</v>
      </c>
      <c r="E2570" s="7">
        <v>155.88</v>
      </c>
      <c r="F2570" t="s">
        <v>20</v>
      </c>
      <c r="G2570" t="s">
        <v>21</v>
      </c>
      <c r="H2570" t="str">
        <f>"PPL202003108564"</f>
        <v>PPL202003108564</v>
      </c>
      <c r="I2570" t="str">
        <f>"INSURANCE"</f>
        <v>INSURANCE</v>
      </c>
    </row>
    <row r="2571" spans="1:9" x14ac:dyDescent="0.25">
      <c r="A2571" s="6">
        <v>43901</v>
      </c>
      <c r="B2571" t="s">
        <v>91</v>
      </c>
      <c r="C2571">
        <v>63600</v>
      </c>
      <c r="D2571" t="s">
        <v>96</v>
      </c>
      <c r="E2571" s="7">
        <v>155.88</v>
      </c>
      <c r="F2571" t="s">
        <v>20</v>
      </c>
      <c r="G2571" t="s">
        <v>93</v>
      </c>
      <c r="H2571" t="str">
        <f>"CHECK"</f>
        <v>CHECK</v>
      </c>
      <c r="I2571" t="str">
        <f>""</f>
        <v/>
      </c>
    </row>
    <row r="2572" spans="1:9" x14ac:dyDescent="0.25">
      <c r="A2572" s="6">
        <v>43901</v>
      </c>
      <c r="B2572" t="s">
        <v>91</v>
      </c>
      <c r="C2572">
        <v>63601</v>
      </c>
      <c r="D2572" t="s">
        <v>97</v>
      </c>
      <c r="E2572" s="7">
        <v>39256</v>
      </c>
      <c r="F2572" t="s">
        <v>20</v>
      </c>
      <c r="G2572" t="s">
        <v>21</v>
      </c>
      <c r="H2572" t="str">
        <f>"DEN202003108564"</f>
        <v>DEN202003108564</v>
      </c>
      <c r="I2572" t="str">
        <f>"DENTAL INSURANCE"</f>
        <v>DENTAL INSURANCE</v>
      </c>
    </row>
    <row r="2573" spans="1:9" x14ac:dyDescent="0.25">
      <c r="E2573" s="7"/>
      <c r="F2573" t="s">
        <v>20</v>
      </c>
      <c r="G2573" t="s">
        <v>21</v>
      </c>
      <c r="H2573" t="str">
        <f>"MED202003108564"</f>
        <v>MED202003108564</v>
      </c>
      <c r="I2573" t="str">
        <f>"HEALTH &amp; DENTAL INSURANCE"</f>
        <v>HEALTH &amp; DENTAL INSURANCE</v>
      </c>
    </row>
    <row r="2574" spans="1:9" x14ac:dyDescent="0.25">
      <c r="A2574" s="6">
        <v>43901</v>
      </c>
      <c r="B2574" t="s">
        <v>91</v>
      </c>
      <c r="C2574">
        <v>63601</v>
      </c>
      <c r="D2574" t="s">
        <v>97</v>
      </c>
      <c r="E2574" s="7">
        <v>39256</v>
      </c>
      <c r="F2574" t="s">
        <v>20</v>
      </c>
      <c r="G2574" t="s">
        <v>93</v>
      </c>
      <c r="H2574" t="str">
        <f>"CHECK"</f>
        <v>CHECK</v>
      </c>
      <c r="I2574" t="str">
        <f>""</f>
        <v/>
      </c>
    </row>
    <row r="2575" spans="1:9" x14ac:dyDescent="0.25">
      <c r="A2575" s="6">
        <v>43901</v>
      </c>
      <c r="B2575" t="s">
        <v>91</v>
      </c>
      <c r="C2575">
        <v>63603</v>
      </c>
      <c r="D2575" t="s">
        <v>98</v>
      </c>
      <c r="E2575" s="7">
        <v>2011.03</v>
      </c>
      <c r="F2575" t="s">
        <v>20</v>
      </c>
      <c r="G2575" t="s">
        <v>21</v>
      </c>
      <c r="H2575" t="str">
        <f>"LIF202003108564"</f>
        <v>LIF202003108564</v>
      </c>
      <c r="I2575" t="str">
        <f>"INSURANCE"</f>
        <v>INSURANCE</v>
      </c>
    </row>
    <row r="2576" spans="1:9" x14ac:dyDescent="0.25">
      <c r="E2576" s="7"/>
      <c r="F2576" t="s">
        <v>20</v>
      </c>
      <c r="G2576" t="s">
        <v>21</v>
      </c>
      <c r="H2576" t="str">
        <f>"STD202003108564"</f>
        <v>STD202003108564</v>
      </c>
      <c r="I2576" t="str">
        <f>"SHORT TERM DISABILITY"</f>
        <v>SHORT TERM DISABILITY</v>
      </c>
    </row>
    <row r="2577" spans="1:9" x14ac:dyDescent="0.25">
      <c r="E2577" s="7"/>
      <c r="F2577" t="s">
        <v>20</v>
      </c>
      <c r="G2577" t="s">
        <v>21</v>
      </c>
      <c r="H2577" t="str">
        <f>"VIS202003108564"</f>
        <v>VIS202003108564</v>
      </c>
      <c r="I2577" t="str">
        <f>"VISION INSURANCE"</f>
        <v>VISION INSURANCE</v>
      </c>
    </row>
    <row r="2578" spans="1:9" x14ac:dyDescent="0.25">
      <c r="E2578" s="7"/>
      <c r="F2578" t="s">
        <v>20</v>
      </c>
      <c r="G2578" t="s">
        <v>21</v>
      </c>
      <c r="H2578" t="str">
        <f>"VLC202003108564"</f>
        <v>VLC202003108564</v>
      </c>
      <c r="I2578" t="str">
        <f>"CHILD LIFE INSURANCE"</f>
        <v>CHILD LIFE INSURANCE</v>
      </c>
    </row>
    <row r="2579" spans="1:9" x14ac:dyDescent="0.25">
      <c r="E2579" s="7"/>
      <c r="F2579" t="s">
        <v>20</v>
      </c>
      <c r="G2579" t="s">
        <v>21</v>
      </c>
      <c r="H2579" t="str">
        <f>"VLS202003108564"</f>
        <v>VLS202003108564</v>
      </c>
      <c r="I2579" t="str">
        <f>"SPOUSE LIFE"</f>
        <v>SPOUSE LIFE</v>
      </c>
    </row>
    <row r="2580" spans="1:9" x14ac:dyDescent="0.25">
      <c r="E2580" s="7"/>
      <c r="F2580" t="s">
        <v>20</v>
      </c>
      <c r="G2580" t="s">
        <v>21</v>
      </c>
      <c r="H2580" t="str">
        <f>"VOE202003108564"</f>
        <v>VOE202003108564</v>
      </c>
      <c r="I2580" t="str">
        <f>"EMPLOYEE LIFE"</f>
        <v>EMPLOYEE LIFE</v>
      </c>
    </row>
    <row r="2581" spans="1:9" x14ac:dyDescent="0.25">
      <c r="E2581" s="7"/>
      <c r="F2581" t="s">
        <v>20</v>
      </c>
      <c r="G2581" t="s">
        <v>21</v>
      </c>
      <c r="H2581" t="str">
        <f>"VOL202003108564"</f>
        <v>VOL202003108564</v>
      </c>
      <c r="I2581" t="str">
        <f>"LIFE"</f>
        <v>LIFE</v>
      </c>
    </row>
    <row r="2582" spans="1:9" x14ac:dyDescent="0.25">
      <c r="A2582" s="6">
        <v>43901</v>
      </c>
      <c r="B2582" t="s">
        <v>91</v>
      </c>
      <c r="C2582">
        <v>63603</v>
      </c>
      <c r="D2582" t="s">
        <v>98</v>
      </c>
      <c r="E2582" s="7">
        <v>2011.03</v>
      </c>
      <c r="F2582" t="s">
        <v>20</v>
      </c>
      <c r="G2582" t="s">
        <v>93</v>
      </c>
      <c r="H2582" t="str">
        <f>"CHECK"</f>
        <v>CHECK</v>
      </c>
      <c r="I2582" t="str">
        <f>""</f>
        <v/>
      </c>
    </row>
    <row r="2583" spans="1:9" x14ac:dyDescent="0.25">
      <c r="A2583" s="6">
        <v>43901</v>
      </c>
      <c r="B2583" t="s">
        <v>26</v>
      </c>
      <c r="C2583">
        <v>63608</v>
      </c>
      <c r="D2583" t="s">
        <v>58</v>
      </c>
      <c r="E2583" s="7">
        <v>114</v>
      </c>
      <c r="F2583" t="s">
        <v>20</v>
      </c>
      <c r="G2583" t="s">
        <v>21</v>
      </c>
      <c r="H2583" t="str">
        <f>"14211* 3/11/2020"</f>
        <v>14211* 3/11/2020</v>
      </c>
      <c r="I2583" t="str">
        <f>"XJECTE- FOR DART GUN"</f>
        <v>XJECTE- FOR DART GUN</v>
      </c>
    </row>
    <row r="2584" spans="1:9" x14ac:dyDescent="0.25">
      <c r="A2584" s="6">
        <v>43901</v>
      </c>
      <c r="B2584" t="s">
        <v>26</v>
      </c>
      <c r="C2584">
        <v>63609</v>
      </c>
      <c r="D2584" t="s">
        <v>104</v>
      </c>
      <c r="E2584" s="7">
        <v>1716.1</v>
      </c>
      <c r="F2584" t="s">
        <v>20</v>
      </c>
      <c r="G2584" t="s">
        <v>21</v>
      </c>
      <c r="H2584" t="str">
        <f>"1414990205"</f>
        <v>1414990205</v>
      </c>
      <c r="I2584" t="str">
        <f>"WILSON COUNTY NEWS"</f>
        <v>WILSON COUNTY NEWS</v>
      </c>
    </row>
    <row r="2585" spans="1:9" x14ac:dyDescent="0.25">
      <c r="E2585" s="7"/>
      <c r="F2585" t="s">
        <v>20</v>
      </c>
      <c r="G2585" t="s">
        <v>21</v>
      </c>
      <c r="H2585" t="str">
        <f>"1414990212"</f>
        <v>1414990212</v>
      </c>
      <c r="I2585" t="str">
        <f>"WILSON COUNTY NEWS"</f>
        <v>WILSON COUNTY NEWS</v>
      </c>
    </row>
    <row r="2586" spans="1:9" x14ac:dyDescent="0.25">
      <c r="E2586" s="7"/>
      <c r="F2586" t="s">
        <v>20</v>
      </c>
      <c r="G2586" t="s">
        <v>21</v>
      </c>
      <c r="H2586" t="str">
        <f>"1416350219"</f>
        <v>1416350219</v>
      </c>
      <c r="I2586" t="str">
        <f>"WILSON COUNTY NEWS"</f>
        <v>WILSON COUNTY NEWS</v>
      </c>
    </row>
    <row r="2587" spans="1:9" x14ac:dyDescent="0.25">
      <c r="E2587" s="7"/>
      <c r="F2587" t="s">
        <v>20</v>
      </c>
      <c r="G2587" t="s">
        <v>21</v>
      </c>
      <c r="H2587" t="str">
        <f>"1416360219"</f>
        <v>1416360219</v>
      </c>
      <c r="I2587" t="str">
        <f>"WILSON COUNTY NEWS"</f>
        <v>WILSON COUNTY NEWS</v>
      </c>
    </row>
    <row r="2588" spans="1:9" x14ac:dyDescent="0.25">
      <c r="E2588" s="7"/>
      <c r="F2588" t="s">
        <v>20</v>
      </c>
      <c r="G2588" t="s">
        <v>21</v>
      </c>
      <c r="H2588" t="str">
        <f>"5027004262"</f>
        <v>5027004262</v>
      </c>
      <c r="I2588" t="str">
        <f>"ENVELOPES"</f>
        <v>ENVELOPES</v>
      </c>
    </row>
    <row r="2589" spans="1:9" x14ac:dyDescent="0.25">
      <c r="A2589" s="6">
        <v>43901</v>
      </c>
      <c r="B2589" t="s">
        <v>26</v>
      </c>
      <c r="C2589">
        <v>63610</v>
      </c>
      <c r="D2589" t="s">
        <v>202</v>
      </c>
      <c r="E2589" s="7">
        <v>1593.93</v>
      </c>
      <c r="F2589" t="s">
        <v>20</v>
      </c>
      <c r="G2589" t="s">
        <v>21</v>
      </c>
      <c r="H2589" t="str">
        <f>"62063998"</f>
        <v>62063998</v>
      </c>
      <c r="I2589" t="str">
        <f>"COLD MIX"</f>
        <v>COLD MIX</v>
      </c>
    </row>
    <row r="2590" spans="1:9" x14ac:dyDescent="0.25">
      <c r="A2590" s="6">
        <v>43901</v>
      </c>
      <c r="B2590" t="s">
        <v>26</v>
      </c>
      <c r="C2590">
        <v>63611</v>
      </c>
      <c r="D2590" t="s">
        <v>180</v>
      </c>
      <c r="E2590" s="7">
        <v>125.65</v>
      </c>
      <c r="F2590" t="s">
        <v>20</v>
      </c>
      <c r="G2590" t="s">
        <v>21</v>
      </c>
      <c r="H2590" t="str">
        <f>"30140519"</f>
        <v>30140519</v>
      </c>
      <c r="I2590" t="str">
        <f>"MONUMENT LIGHTS AT CITY H"</f>
        <v>MONUMENT LIGHTS AT CITY H</v>
      </c>
    </row>
    <row r="2591" spans="1:9" x14ac:dyDescent="0.25">
      <c r="E2591" s="7"/>
      <c r="F2591" t="s">
        <v>20</v>
      </c>
      <c r="G2591" t="s">
        <v>21</v>
      </c>
      <c r="H2591" t="str">
        <f>"30140532"</f>
        <v>30140532</v>
      </c>
      <c r="I2591" t="str">
        <f>"LIGHT BULBS PECAN PARK"</f>
        <v>LIGHT BULBS PECAN PARK</v>
      </c>
    </row>
    <row r="2592" spans="1:9" x14ac:dyDescent="0.25">
      <c r="E2592" s="7"/>
      <c r="F2592" t="s">
        <v>20</v>
      </c>
      <c r="G2592" t="s">
        <v>21</v>
      </c>
      <c r="H2592" t="str">
        <f>"30140541"</f>
        <v>30140541</v>
      </c>
      <c r="I2592" t="str">
        <f>"DITTMAR LUMBER CO."</f>
        <v>DITTMAR LUMBER CO.</v>
      </c>
    </row>
    <row r="2593" spans="1:9" x14ac:dyDescent="0.25">
      <c r="A2593" s="6">
        <v>43901</v>
      </c>
      <c r="B2593" t="s">
        <v>26</v>
      </c>
      <c r="C2593">
        <v>63612</v>
      </c>
      <c r="D2593" t="s">
        <v>203</v>
      </c>
      <c r="E2593" s="7">
        <v>168.62</v>
      </c>
      <c r="F2593" t="s">
        <v>20</v>
      </c>
      <c r="G2593" t="s">
        <v>21</v>
      </c>
      <c r="H2593" t="str">
        <f>"152073"</f>
        <v>152073</v>
      </c>
      <c r="I2593" t="str">
        <f>"LAB NECESSITIES"</f>
        <v>LAB NECESSITIES</v>
      </c>
    </row>
    <row r="2594" spans="1:9" x14ac:dyDescent="0.25">
      <c r="A2594" s="6">
        <v>43901</v>
      </c>
      <c r="B2594" t="s">
        <v>26</v>
      </c>
      <c r="C2594">
        <v>63613</v>
      </c>
      <c r="D2594" t="s">
        <v>110</v>
      </c>
      <c r="E2594" s="7">
        <v>8981.52</v>
      </c>
      <c r="F2594" t="s">
        <v>20</v>
      </c>
      <c r="G2594" t="s">
        <v>21</v>
      </c>
      <c r="H2594" t="str">
        <f>"1517100"</f>
        <v>1517100</v>
      </c>
      <c r="I2594" t="str">
        <f>"BUREAU VERITAS NORTH AMERICA"</f>
        <v>BUREAU VERITAS NORTH AMERICA</v>
      </c>
    </row>
    <row r="2595" spans="1:9" x14ac:dyDescent="0.25">
      <c r="E2595" s="7"/>
      <c r="F2595" t="s">
        <v>20</v>
      </c>
      <c r="G2595" t="s">
        <v>21</v>
      </c>
      <c r="H2595" t="str">
        <f>"1517101"</f>
        <v>1517101</v>
      </c>
      <c r="I2595" t="str">
        <f>"BUREAU VERITAS NORTH AMERICA"</f>
        <v>BUREAU VERITAS NORTH AMERICA</v>
      </c>
    </row>
    <row r="2596" spans="1:9" x14ac:dyDescent="0.25">
      <c r="E2596" s="7"/>
      <c r="F2596" t="s">
        <v>20</v>
      </c>
      <c r="G2596" t="s">
        <v>21</v>
      </c>
      <c r="H2596" t="str">
        <f>"1517102"</f>
        <v>1517102</v>
      </c>
      <c r="I2596" t="str">
        <f>"BUREAU VERITAS NORTH AMERICA"</f>
        <v>BUREAU VERITAS NORTH AMERICA</v>
      </c>
    </row>
    <row r="2597" spans="1:9" x14ac:dyDescent="0.25">
      <c r="E2597" s="7"/>
      <c r="F2597" t="s">
        <v>20</v>
      </c>
      <c r="G2597" t="s">
        <v>21</v>
      </c>
      <c r="H2597" t="str">
        <f>"1517103"</f>
        <v>1517103</v>
      </c>
      <c r="I2597" t="str">
        <f>"BUREAU VERITAS NORTH AMERICA"</f>
        <v>BUREAU VERITAS NORTH AMERICA</v>
      </c>
    </row>
    <row r="2598" spans="1:9" x14ac:dyDescent="0.25">
      <c r="E2598" s="7"/>
      <c r="F2598" t="s">
        <v>20</v>
      </c>
      <c r="G2598" t="s">
        <v>21</v>
      </c>
      <c r="H2598" t="str">
        <f>"1517104"</f>
        <v>1517104</v>
      </c>
      <c r="I2598" t="str">
        <f>"BUREAU VERITAS NORTH AMERICA"</f>
        <v>BUREAU VERITAS NORTH AMERICA</v>
      </c>
    </row>
    <row r="2599" spans="1:9" x14ac:dyDescent="0.25">
      <c r="A2599" s="6">
        <v>43901</v>
      </c>
      <c r="B2599" t="s">
        <v>26</v>
      </c>
      <c r="C2599">
        <v>63614</v>
      </c>
      <c r="D2599" t="s">
        <v>62</v>
      </c>
      <c r="E2599" s="7">
        <v>413</v>
      </c>
      <c r="F2599" t="s">
        <v>20</v>
      </c>
      <c r="G2599" t="s">
        <v>21</v>
      </c>
      <c r="H2599" t="str">
        <f>"66988"</f>
        <v>66988</v>
      </c>
      <c r="I2599" t="str">
        <f>"PROFICIENT BENEFIT SOLUTIONS"</f>
        <v>PROFICIENT BENEFIT SOLUTIONS</v>
      </c>
    </row>
    <row r="2600" spans="1:9" x14ac:dyDescent="0.25">
      <c r="E2600" s="7"/>
      <c r="F2600" t="s">
        <v>20</v>
      </c>
      <c r="G2600" t="s">
        <v>21</v>
      </c>
      <c r="H2600" t="str">
        <f>"67376"</f>
        <v>67376</v>
      </c>
      <c r="I2600" t="str">
        <f>"PROFICIENT BENEFIT SOLUTIONS"</f>
        <v>PROFICIENT BENEFIT SOLUTIONS</v>
      </c>
    </row>
    <row r="2601" spans="1:9" x14ac:dyDescent="0.25">
      <c r="A2601" s="6">
        <v>43901</v>
      </c>
      <c r="B2601" t="s">
        <v>26</v>
      </c>
      <c r="C2601">
        <v>63615</v>
      </c>
      <c r="D2601" t="s">
        <v>63</v>
      </c>
      <c r="E2601" s="7">
        <v>193.23</v>
      </c>
      <c r="F2601" t="s">
        <v>20</v>
      </c>
      <c r="G2601" t="s">
        <v>21</v>
      </c>
      <c r="H2601" t="str">
        <f>"8404529986"</f>
        <v>8404529986</v>
      </c>
      <c r="I2601" t="str">
        <f>"CINTAS CORPORATION"</f>
        <v>CINTAS CORPORATION</v>
      </c>
    </row>
    <row r="2602" spans="1:9" x14ac:dyDescent="0.25">
      <c r="A2602" s="6">
        <v>43901</v>
      </c>
      <c r="B2602" t="s">
        <v>26</v>
      </c>
      <c r="C2602">
        <v>63616</v>
      </c>
      <c r="D2602" t="s">
        <v>64</v>
      </c>
      <c r="E2602" s="7">
        <v>2596</v>
      </c>
      <c r="F2602" t="s">
        <v>20</v>
      </c>
      <c r="G2602" t="s">
        <v>21</v>
      </c>
      <c r="H2602" t="str">
        <f>"8086"</f>
        <v>8086</v>
      </c>
      <c r="I2602" t="str">
        <f>"DREWA DESIGNS  INC."</f>
        <v>DREWA DESIGNS  INC.</v>
      </c>
    </row>
    <row r="2603" spans="1:9" x14ac:dyDescent="0.25">
      <c r="A2603" s="6">
        <v>43901</v>
      </c>
      <c r="B2603" t="s">
        <v>26</v>
      </c>
      <c r="C2603">
        <v>63617</v>
      </c>
      <c r="D2603" t="s">
        <v>66</v>
      </c>
      <c r="E2603" s="7">
        <v>340</v>
      </c>
      <c r="F2603" t="s">
        <v>20</v>
      </c>
      <c r="G2603" t="s">
        <v>21</v>
      </c>
      <c r="H2603" t="str">
        <f>"57415"</f>
        <v>57415</v>
      </c>
      <c r="I2603" t="str">
        <f>"LOPEZ EXTERMINATING SERVICE  I"</f>
        <v>LOPEZ EXTERMINATING SERVICE  I</v>
      </c>
    </row>
    <row r="2604" spans="1:9" x14ac:dyDescent="0.25">
      <c r="A2604" s="6">
        <v>43901</v>
      </c>
      <c r="B2604" t="s">
        <v>26</v>
      </c>
      <c r="C2604">
        <v>63618</v>
      </c>
      <c r="D2604" t="s">
        <v>419</v>
      </c>
      <c r="E2604" s="7">
        <v>114.15</v>
      </c>
      <c r="F2604" t="s">
        <v>20</v>
      </c>
      <c r="G2604" t="s">
        <v>21</v>
      </c>
      <c r="H2604" t="str">
        <f>"AACOG 11/20-21/19"</f>
        <v>AACOG 11/20-21/19</v>
      </c>
      <c r="I2604" t="str">
        <f>"GEORGE ORTIZ"</f>
        <v>GEORGE ORTIZ</v>
      </c>
    </row>
    <row r="2605" spans="1:9" x14ac:dyDescent="0.25">
      <c r="E2605" s="7"/>
      <c r="F2605" t="s">
        <v>20</v>
      </c>
      <c r="G2605" t="s">
        <v>21</v>
      </c>
      <c r="H2605" t="str">
        <f>"CLASS 2/3/2020"</f>
        <v>CLASS 2/3/2020</v>
      </c>
      <c r="I2605" t="str">
        <f>"GEORGE ORTIZ"</f>
        <v>GEORGE ORTIZ</v>
      </c>
    </row>
    <row r="2606" spans="1:9" x14ac:dyDescent="0.25">
      <c r="A2606" s="6">
        <v>43901</v>
      </c>
      <c r="B2606" t="s">
        <v>26</v>
      </c>
      <c r="C2606">
        <v>63619</v>
      </c>
      <c r="D2606" t="s">
        <v>69</v>
      </c>
      <c r="E2606" s="7">
        <v>137.9</v>
      </c>
      <c r="F2606" t="s">
        <v>20</v>
      </c>
      <c r="G2606" t="s">
        <v>21</v>
      </c>
      <c r="H2606" t="str">
        <f>"3304117"</f>
        <v>3304117</v>
      </c>
      <c r="I2606" t="str">
        <f>"CHAINSAW BLADES"</f>
        <v>CHAINSAW BLADES</v>
      </c>
    </row>
    <row r="2607" spans="1:9" x14ac:dyDescent="0.25">
      <c r="E2607" s="7"/>
      <c r="F2607" t="s">
        <v>20</v>
      </c>
      <c r="G2607" t="s">
        <v>21</v>
      </c>
      <c r="H2607" t="str">
        <f>"3304525"</f>
        <v>3304525</v>
      </c>
      <c r="I2607" t="str">
        <f>"SUPPLIES"</f>
        <v>SUPPLIES</v>
      </c>
    </row>
    <row r="2608" spans="1:9" x14ac:dyDescent="0.25">
      <c r="A2608" s="6">
        <v>43901</v>
      </c>
      <c r="B2608" t="s">
        <v>26</v>
      </c>
      <c r="C2608">
        <v>63620</v>
      </c>
      <c r="D2608" t="s">
        <v>159</v>
      </c>
      <c r="E2608" s="7">
        <v>77.91</v>
      </c>
      <c r="F2608" t="s">
        <v>20</v>
      </c>
      <c r="G2608" t="s">
        <v>21</v>
      </c>
      <c r="H2608" t="str">
        <f>"2-3015"</f>
        <v>2-3015</v>
      </c>
      <c r="I2608" t="str">
        <f>"PHOTOGRAPHS BY JIM"</f>
        <v>PHOTOGRAPHS BY JIM</v>
      </c>
    </row>
    <row r="2609" spans="1:9" x14ac:dyDescent="0.25">
      <c r="E2609" s="7"/>
      <c r="F2609" t="s">
        <v>20</v>
      </c>
      <c r="G2609" t="s">
        <v>21</v>
      </c>
      <c r="H2609" t="str">
        <f>"2-3048"</f>
        <v>2-3048</v>
      </c>
      <c r="I2609" t="str">
        <f>"PHOTOGRAPHS BY JIM"</f>
        <v>PHOTOGRAPHS BY JIM</v>
      </c>
    </row>
    <row r="2610" spans="1:9" x14ac:dyDescent="0.25">
      <c r="A2610" s="6">
        <v>43901</v>
      </c>
      <c r="B2610" t="s">
        <v>26</v>
      </c>
      <c r="C2610">
        <v>63621</v>
      </c>
      <c r="D2610" t="s">
        <v>71</v>
      </c>
      <c r="E2610" s="7">
        <v>1020.14</v>
      </c>
      <c r="F2610" t="s">
        <v>20</v>
      </c>
      <c r="G2610" t="s">
        <v>21</v>
      </c>
      <c r="H2610" t="str">
        <f>"4043532697"</f>
        <v>4043532697</v>
      </c>
      <c r="I2610" t="str">
        <f t="shared" ref="I2610:I2616" si="46">"CINTAS CORPORATION #087"</f>
        <v>CINTAS CORPORATION #087</v>
      </c>
    </row>
    <row r="2611" spans="1:9" x14ac:dyDescent="0.25">
      <c r="E2611" s="7"/>
      <c r="F2611" t="s">
        <v>20</v>
      </c>
      <c r="G2611" t="s">
        <v>21</v>
      </c>
      <c r="H2611" t="str">
        <f>"4044656119"</f>
        <v>4044656119</v>
      </c>
      <c r="I2611" t="str">
        <f t="shared" si="46"/>
        <v>CINTAS CORPORATION #087</v>
      </c>
    </row>
    <row r="2612" spans="1:9" x14ac:dyDescent="0.25">
      <c r="E2612" s="7"/>
      <c r="F2612" t="s">
        <v>20</v>
      </c>
      <c r="G2612" t="s">
        <v>21</v>
      </c>
      <c r="H2612" t="str">
        <f>"4044656160"</f>
        <v>4044656160</v>
      </c>
      <c r="I2612" t="str">
        <f t="shared" si="46"/>
        <v>CINTAS CORPORATION #087</v>
      </c>
    </row>
    <row r="2613" spans="1:9" x14ac:dyDescent="0.25">
      <c r="E2613" s="7"/>
      <c r="F2613" t="s">
        <v>20</v>
      </c>
      <c r="G2613" t="s">
        <v>21</v>
      </c>
      <c r="H2613" t="str">
        <f>"4044656180"</f>
        <v>4044656180</v>
      </c>
      <c r="I2613" t="str">
        <f t="shared" si="46"/>
        <v>CINTAS CORPORATION #087</v>
      </c>
    </row>
    <row r="2614" spans="1:9" x14ac:dyDescent="0.25">
      <c r="E2614" s="7"/>
      <c r="F2614" t="s">
        <v>20</v>
      </c>
      <c r="G2614" t="s">
        <v>21</v>
      </c>
      <c r="H2614" t="str">
        <f>"4044656196"</f>
        <v>4044656196</v>
      </c>
      <c r="I2614" t="str">
        <f t="shared" si="46"/>
        <v>CINTAS CORPORATION #087</v>
      </c>
    </row>
    <row r="2615" spans="1:9" x14ac:dyDescent="0.25">
      <c r="E2615" s="7"/>
      <c r="F2615" t="s">
        <v>20</v>
      </c>
      <c r="G2615" t="s">
        <v>21</v>
      </c>
      <c r="H2615" t="str">
        <f>"4044656268"</f>
        <v>4044656268</v>
      </c>
      <c r="I2615" t="str">
        <f t="shared" si="46"/>
        <v>CINTAS CORPORATION #087</v>
      </c>
    </row>
    <row r="2616" spans="1:9" x14ac:dyDescent="0.25">
      <c r="E2616" s="7"/>
      <c r="F2616" t="s">
        <v>20</v>
      </c>
      <c r="G2616" t="s">
        <v>21</v>
      </c>
      <c r="H2616" t="str">
        <f>"4044656279"</f>
        <v>4044656279</v>
      </c>
      <c r="I2616" t="str">
        <f t="shared" si="46"/>
        <v>CINTAS CORPORATION #087</v>
      </c>
    </row>
    <row r="2617" spans="1:9" x14ac:dyDescent="0.25">
      <c r="A2617" s="6">
        <v>43901</v>
      </c>
      <c r="B2617" t="s">
        <v>26</v>
      </c>
      <c r="C2617">
        <v>63623</v>
      </c>
      <c r="D2617" t="s">
        <v>123</v>
      </c>
      <c r="E2617" s="7">
        <v>281.27999999999997</v>
      </c>
      <c r="F2617" t="s">
        <v>20</v>
      </c>
      <c r="G2617" t="s">
        <v>21</v>
      </c>
      <c r="H2617" t="str">
        <f>"444979947001"</f>
        <v>444979947001</v>
      </c>
      <c r="I2617" t="str">
        <f>"OFFICE SUPPLIES"</f>
        <v>OFFICE SUPPLIES</v>
      </c>
    </row>
    <row r="2618" spans="1:9" x14ac:dyDescent="0.25">
      <c r="E2618" s="7"/>
      <c r="F2618" t="s">
        <v>20</v>
      </c>
      <c r="G2618" t="s">
        <v>21</v>
      </c>
      <c r="H2618" t="str">
        <f>"446467199001"</f>
        <v>446467199001</v>
      </c>
      <c r="I2618" t="str">
        <f>"BUSINESS CARDS- HELEN"</f>
        <v>BUSINESS CARDS- HELEN</v>
      </c>
    </row>
    <row r="2619" spans="1:9" x14ac:dyDescent="0.25">
      <c r="E2619" s="7"/>
      <c r="F2619" t="s">
        <v>20</v>
      </c>
      <c r="G2619" t="s">
        <v>21</v>
      </c>
      <c r="H2619" t="str">
        <f>"448503584001"</f>
        <v>448503584001</v>
      </c>
      <c r="I2619" t="str">
        <f>"OFFICE SUPPLIES"</f>
        <v>OFFICE SUPPLIES</v>
      </c>
    </row>
    <row r="2620" spans="1:9" x14ac:dyDescent="0.25">
      <c r="E2620" s="7"/>
      <c r="F2620" t="s">
        <v>20</v>
      </c>
      <c r="G2620" t="s">
        <v>21</v>
      </c>
      <c r="H2620" t="str">
        <f>"448512744001"</f>
        <v>448512744001</v>
      </c>
      <c r="I2620" t="str">
        <f>"OFFICE SUPPLIES"</f>
        <v>OFFICE SUPPLIES</v>
      </c>
    </row>
    <row r="2621" spans="1:9" x14ac:dyDescent="0.25">
      <c r="A2621" s="6">
        <v>43901</v>
      </c>
      <c r="B2621" t="s">
        <v>26</v>
      </c>
      <c r="C2621">
        <v>63625</v>
      </c>
      <c r="D2621" t="s">
        <v>75</v>
      </c>
      <c r="E2621" s="7">
        <v>32.979999999999997</v>
      </c>
      <c r="F2621" t="s">
        <v>20</v>
      </c>
      <c r="G2621" t="s">
        <v>21</v>
      </c>
      <c r="H2621" t="str">
        <f>"8184 MARCH 2020"</f>
        <v>8184 MARCH 2020</v>
      </c>
      <c r="I2621" t="str">
        <f>"BROOM AND SHOVEL"</f>
        <v>BROOM AND SHOVEL</v>
      </c>
    </row>
    <row r="2622" spans="1:9" x14ac:dyDescent="0.25">
      <c r="A2622" s="6">
        <v>43901</v>
      </c>
      <c r="B2622" t="s">
        <v>26</v>
      </c>
      <c r="C2622">
        <v>63626</v>
      </c>
      <c r="D2622" t="s">
        <v>77</v>
      </c>
      <c r="E2622" s="7">
        <v>894.2</v>
      </c>
      <c r="F2622" t="s">
        <v>20</v>
      </c>
      <c r="G2622" t="s">
        <v>21</v>
      </c>
      <c r="H2622" t="str">
        <f>"857000363-20"</f>
        <v>857000363-20</v>
      </c>
      <c r="I2622" t="str">
        <f>"CHLORINE ORDER"</f>
        <v>CHLORINE ORDER</v>
      </c>
    </row>
    <row r="2623" spans="1:9" x14ac:dyDescent="0.25">
      <c r="A2623" s="6">
        <v>43901</v>
      </c>
      <c r="B2623" t="s">
        <v>26</v>
      </c>
      <c r="C2623">
        <v>63627</v>
      </c>
      <c r="D2623" t="s">
        <v>124</v>
      </c>
      <c r="E2623" s="7">
        <v>141.08000000000001</v>
      </c>
      <c r="F2623" t="s">
        <v>20</v>
      </c>
      <c r="G2623" t="s">
        <v>21</v>
      </c>
      <c r="H2623" t="str">
        <f>"11184045"</f>
        <v>11184045</v>
      </c>
      <c r="I2623" t="str">
        <f>"LAWN EQUIPMENT"</f>
        <v>LAWN EQUIPMENT</v>
      </c>
    </row>
    <row r="2624" spans="1:9" x14ac:dyDescent="0.25">
      <c r="A2624" s="6">
        <v>43901</v>
      </c>
      <c r="B2624" t="s">
        <v>26</v>
      </c>
      <c r="C2624">
        <v>63628</v>
      </c>
      <c r="D2624" t="s">
        <v>534</v>
      </c>
      <c r="E2624" s="7">
        <v>107.17</v>
      </c>
      <c r="F2624" t="s">
        <v>20</v>
      </c>
      <c r="G2624" t="s">
        <v>21</v>
      </c>
      <c r="H2624" t="str">
        <f>"8404537100"</f>
        <v>8404537100</v>
      </c>
      <c r="I2624" t="str">
        <f>"CINTAS CORPORATION NO. 2"</f>
        <v>CINTAS CORPORATION NO. 2</v>
      </c>
    </row>
    <row r="2625" spans="1:9" x14ac:dyDescent="0.25">
      <c r="A2625" s="6">
        <v>43901</v>
      </c>
      <c r="B2625" t="s">
        <v>26</v>
      </c>
      <c r="C2625">
        <v>63629</v>
      </c>
      <c r="D2625" t="s">
        <v>126</v>
      </c>
      <c r="E2625" s="7">
        <v>80701.67</v>
      </c>
      <c r="F2625" t="s">
        <v>20</v>
      </c>
      <c r="G2625" t="s">
        <v>21</v>
      </c>
      <c r="H2625" t="str">
        <f>"0859-002503130"</f>
        <v>0859-002503130</v>
      </c>
      <c r="I2625" t="str">
        <f>"REPUBLIC SERVICES #859"</f>
        <v>REPUBLIC SERVICES #859</v>
      </c>
    </row>
    <row r="2626" spans="1:9" x14ac:dyDescent="0.25">
      <c r="A2626" s="6">
        <v>43901</v>
      </c>
      <c r="B2626" t="s">
        <v>26</v>
      </c>
      <c r="C2626">
        <v>63630</v>
      </c>
      <c r="D2626" t="s">
        <v>147</v>
      </c>
      <c r="E2626" s="7">
        <v>369.51</v>
      </c>
      <c r="F2626" t="s">
        <v>20</v>
      </c>
      <c r="G2626" t="s">
        <v>21</v>
      </c>
      <c r="H2626" t="str">
        <f>"1496"</f>
        <v>1496</v>
      </c>
      <c r="I2626" t="str">
        <f>"SRALLA ELECTRIC"</f>
        <v>SRALLA ELECTRIC</v>
      </c>
    </row>
    <row r="2627" spans="1:9" x14ac:dyDescent="0.25">
      <c r="E2627" s="7"/>
      <c r="F2627" t="s">
        <v>20</v>
      </c>
      <c r="G2627" t="s">
        <v>21</v>
      </c>
      <c r="H2627" t="str">
        <f>"1512"</f>
        <v>1512</v>
      </c>
      <c r="I2627" t="str">
        <f>"SRALLA ELECTRIC"</f>
        <v>SRALLA ELECTRIC</v>
      </c>
    </row>
    <row r="2628" spans="1:9" x14ac:dyDescent="0.25">
      <c r="A2628" s="6">
        <v>43901</v>
      </c>
      <c r="B2628" t="s">
        <v>26</v>
      </c>
      <c r="C2628">
        <v>63631</v>
      </c>
      <c r="D2628" t="s">
        <v>79</v>
      </c>
      <c r="E2628" s="7">
        <v>18.21</v>
      </c>
      <c r="F2628" t="s">
        <v>20</v>
      </c>
      <c r="G2628" t="s">
        <v>21</v>
      </c>
      <c r="H2628" t="str">
        <f>"6-941-12883"</f>
        <v>6-941-12883</v>
      </c>
      <c r="I2628" t="str">
        <f>"FEDEX"</f>
        <v>FEDEX</v>
      </c>
    </row>
    <row r="2629" spans="1:9" x14ac:dyDescent="0.25">
      <c r="A2629" s="6">
        <v>43901</v>
      </c>
      <c r="B2629" t="s">
        <v>26</v>
      </c>
      <c r="C2629">
        <v>63632</v>
      </c>
      <c r="D2629" t="s">
        <v>80</v>
      </c>
      <c r="E2629" s="7">
        <v>1500</v>
      </c>
      <c r="F2629" t="s">
        <v>20</v>
      </c>
      <c r="G2629" t="s">
        <v>21</v>
      </c>
      <c r="H2629" t="str">
        <f>"1648-20200301-1"</f>
        <v>1648-20200301-1</v>
      </c>
      <c r="I2629" t="str">
        <f>"LVWIFI.COM"</f>
        <v>LVWIFI.COM</v>
      </c>
    </row>
    <row r="2630" spans="1:9" x14ac:dyDescent="0.25">
      <c r="E2630" s="7"/>
      <c r="F2630" t="s">
        <v>20</v>
      </c>
      <c r="G2630" t="s">
        <v>21</v>
      </c>
      <c r="H2630" t="str">
        <f>"2313-20200301-1"</f>
        <v>2313-20200301-1</v>
      </c>
      <c r="I2630" t="str">
        <f>"LVWIFI.COM"</f>
        <v>LVWIFI.COM</v>
      </c>
    </row>
    <row r="2631" spans="1:9" x14ac:dyDescent="0.25">
      <c r="A2631" s="6">
        <v>43901</v>
      </c>
      <c r="B2631" t="s">
        <v>26</v>
      </c>
      <c r="C2631">
        <v>63633</v>
      </c>
      <c r="D2631" t="s">
        <v>139</v>
      </c>
      <c r="E2631" s="7">
        <v>65</v>
      </c>
      <c r="F2631" t="s">
        <v>20</v>
      </c>
      <c r="G2631" t="s">
        <v>21</v>
      </c>
      <c r="H2631" t="str">
        <f>"28662"</f>
        <v>28662</v>
      </c>
      <c r="I2631" t="str">
        <f>"ANGEL FIRE &amp; SAFETY"</f>
        <v>ANGEL FIRE &amp; SAFETY</v>
      </c>
    </row>
    <row r="2632" spans="1:9" x14ac:dyDescent="0.25">
      <c r="A2632" s="6">
        <v>43901</v>
      </c>
      <c r="B2632" t="s">
        <v>26</v>
      </c>
      <c r="C2632">
        <v>63634</v>
      </c>
      <c r="D2632" t="s">
        <v>31</v>
      </c>
      <c r="E2632" s="7">
        <v>2000</v>
      </c>
      <c r="F2632" t="s">
        <v>20</v>
      </c>
      <c r="G2632" t="s">
        <v>21</v>
      </c>
      <c r="H2632" t="str">
        <f>"14211"</f>
        <v>14211</v>
      </c>
      <c r="I2632" t="str">
        <f>"THE LAW OFFICE OF TOM CALDWELL"</f>
        <v>THE LAW OFFICE OF TOM CALDWELL</v>
      </c>
    </row>
    <row r="2633" spans="1:9" x14ac:dyDescent="0.25">
      <c r="A2633" s="6">
        <v>43901</v>
      </c>
      <c r="B2633" t="s">
        <v>26</v>
      </c>
      <c r="C2633">
        <v>63635</v>
      </c>
      <c r="D2633" t="s">
        <v>81</v>
      </c>
      <c r="E2633" s="7">
        <v>221.91</v>
      </c>
      <c r="F2633" t="s">
        <v>20</v>
      </c>
      <c r="G2633" t="s">
        <v>21</v>
      </c>
      <c r="H2633" t="str">
        <f>"A.MONTOYA3/11/2020"</f>
        <v>A.MONTOYA3/11/2020</v>
      </c>
      <c r="I2633" t="str">
        <f>"CITY OF FLORESVILLE -PETTY CAS"</f>
        <v>CITY OF FLORESVILLE -PETTY CAS</v>
      </c>
    </row>
    <row r="2634" spans="1:9" x14ac:dyDescent="0.25">
      <c r="A2634" s="6">
        <v>43901</v>
      </c>
      <c r="B2634" t="s">
        <v>26</v>
      </c>
      <c r="C2634">
        <v>63636</v>
      </c>
      <c r="D2634" t="s">
        <v>761</v>
      </c>
      <c r="E2634" s="7">
        <v>42.5</v>
      </c>
      <c r="F2634" t="s">
        <v>20</v>
      </c>
      <c r="G2634" t="s">
        <v>21</v>
      </c>
      <c r="H2634" t="str">
        <f>"102-108654"</f>
        <v>102-108654</v>
      </c>
      <c r="I2634" t="str">
        <f>"SET UP BUCKETS"</f>
        <v>SET UP BUCKETS</v>
      </c>
    </row>
    <row r="2635" spans="1:9" x14ac:dyDescent="0.25">
      <c r="A2635" s="6">
        <v>43901</v>
      </c>
      <c r="B2635" t="s">
        <v>91</v>
      </c>
      <c r="C2635">
        <v>63637</v>
      </c>
      <c r="D2635" t="s">
        <v>901</v>
      </c>
      <c r="E2635" s="7">
        <v>1270</v>
      </c>
      <c r="F2635" t="s">
        <v>20</v>
      </c>
      <c r="G2635" t="s">
        <v>21</v>
      </c>
      <c r="H2635" t="str">
        <f>"FRI7683"</f>
        <v>FRI7683</v>
      </c>
      <c r="I2635" t="str">
        <f>"AAW"</f>
        <v>AAW</v>
      </c>
    </row>
    <row r="2636" spans="1:9" x14ac:dyDescent="0.25">
      <c r="A2636" s="6">
        <v>43901</v>
      </c>
      <c r="B2636" t="s">
        <v>26</v>
      </c>
      <c r="C2636">
        <v>63638</v>
      </c>
      <c r="D2636" t="s">
        <v>85</v>
      </c>
      <c r="E2636" s="7">
        <v>2252.09</v>
      </c>
      <c r="F2636" t="s">
        <v>20</v>
      </c>
      <c r="G2636" t="s">
        <v>21</v>
      </c>
      <c r="H2636" t="str">
        <f>"3937070 FEB.2020"</f>
        <v>3937070 FEB.2020</v>
      </c>
      <c r="I2636" t="str">
        <f>"FRONTIER"</f>
        <v>FRONTIER</v>
      </c>
    </row>
    <row r="2637" spans="1:9" x14ac:dyDescent="0.25">
      <c r="E2637" s="7"/>
      <c r="F2637" t="s">
        <v>20</v>
      </c>
      <c r="G2637" t="s">
        <v>21</v>
      </c>
      <c r="H2637" t="str">
        <f>"9837110024"</f>
        <v>9837110024</v>
      </c>
      <c r="I2637" t="str">
        <f>"FRONTIER"</f>
        <v>FRONTIER</v>
      </c>
    </row>
    <row r="2638" spans="1:9" x14ac:dyDescent="0.25">
      <c r="A2638" s="6">
        <v>43901</v>
      </c>
      <c r="B2638" t="s">
        <v>26</v>
      </c>
      <c r="C2638">
        <v>63639</v>
      </c>
      <c r="D2638" t="s">
        <v>132</v>
      </c>
      <c r="E2638" s="7">
        <v>71.099999999999994</v>
      </c>
      <c r="F2638" t="s">
        <v>20</v>
      </c>
      <c r="G2638" t="s">
        <v>21</v>
      </c>
      <c r="H2638" t="str">
        <f>"16992887 022720"</f>
        <v>16992887 022720</v>
      </c>
      <c r="I2638" t="str">
        <f>"SPARKLETTS &amp; SIERRA SPRINGS"</f>
        <v>SPARKLETTS &amp; SIERRA SPRINGS</v>
      </c>
    </row>
    <row r="2639" spans="1:9" x14ac:dyDescent="0.25">
      <c r="A2639" s="6">
        <v>43901</v>
      </c>
      <c r="B2639" t="s">
        <v>26</v>
      </c>
      <c r="C2639">
        <v>63640</v>
      </c>
      <c r="D2639" t="s">
        <v>642</v>
      </c>
      <c r="E2639" s="7">
        <v>193.36</v>
      </c>
      <c r="F2639" t="s">
        <v>20</v>
      </c>
      <c r="G2639" t="s">
        <v>21</v>
      </c>
      <c r="H2639" t="str">
        <f>"5333551355"</f>
        <v>5333551355</v>
      </c>
      <c r="I2639" t="str">
        <f>"KARCHER NORTH AMERICA"</f>
        <v>KARCHER NORTH AMERICA</v>
      </c>
    </row>
    <row r="2640" spans="1:9" x14ac:dyDescent="0.25">
      <c r="A2640" s="6">
        <v>43901</v>
      </c>
      <c r="B2640" t="s">
        <v>26</v>
      </c>
      <c r="C2640">
        <v>63641</v>
      </c>
      <c r="D2640" t="s">
        <v>345</v>
      </c>
      <c r="E2640" s="7">
        <v>275</v>
      </c>
      <c r="F2640" t="s">
        <v>20</v>
      </c>
      <c r="G2640" t="s">
        <v>21</v>
      </c>
      <c r="H2640" t="str">
        <f>"3/9/2020"</f>
        <v>3/9/2020</v>
      </c>
      <c r="I2640" t="str">
        <f>"MICHAEL ISAAC MARTINEZ"</f>
        <v>MICHAEL ISAAC MARTINEZ</v>
      </c>
    </row>
    <row r="2641" spans="1:9" x14ac:dyDescent="0.25">
      <c r="A2641" s="6">
        <v>43901</v>
      </c>
      <c r="B2641" t="s">
        <v>26</v>
      </c>
      <c r="C2641">
        <v>63642</v>
      </c>
      <c r="D2641" t="s">
        <v>315</v>
      </c>
      <c r="E2641" s="7">
        <v>495</v>
      </c>
      <c r="F2641" t="s">
        <v>20</v>
      </c>
      <c r="G2641" t="s">
        <v>21</v>
      </c>
      <c r="H2641" t="str">
        <f>"841259"</f>
        <v>841259</v>
      </c>
      <c r="I2641" t="str">
        <f>"PRIME TIME ADVERTISING"</f>
        <v>PRIME TIME ADVERTISING</v>
      </c>
    </row>
    <row r="2642" spans="1:9" x14ac:dyDescent="0.25">
      <c r="A2642" s="6">
        <v>43901</v>
      </c>
      <c r="B2642" t="s">
        <v>26</v>
      </c>
      <c r="C2642">
        <v>63643</v>
      </c>
      <c r="D2642" t="s">
        <v>398</v>
      </c>
      <c r="E2642" s="7">
        <v>55</v>
      </c>
      <c r="F2642" t="s">
        <v>20</v>
      </c>
      <c r="G2642" t="s">
        <v>21</v>
      </c>
      <c r="H2642" t="str">
        <f>"20200303"</f>
        <v>20200303</v>
      </c>
      <c r="I2642" t="str">
        <f>"INTERCEPTOR TECHNOLOGY GROUP L"</f>
        <v>INTERCEPTOR TECHNOLOGY GROUP L</v>
      </c>
    </row>
    <row r="2643" spans="1:9" x14ac:dyDescent="0.25">
      <c r="A2643" s="6">
        <v>43901</v>
      </c>
      <c r="B2643" t="s">
        <v>26</v>
      </c>
      <c r="C2643">
        <v>63644</v>
      </c>
      <c r="D2643" t="s">
        <v>447</v>
      </c>
      <c r="E2643" s="7">
        <v>230</v>
      </c>
      <c r="F2643" t="s">
        <v>20</v>
      </c>
      <c r="G2643" t="s">
        <v>21</v>
      </c>
      <c r="H2643" t="str">
        <f>"INTER CSI 4/3/2020"</f>
        <v>INTER CSI 4/3/2020</v>
      </c>
      <c r="I2643" t="str">
        <f>"VICTOR FAVELLA"</f>
        <v>VICTOR FAVELLA</v>
      </c>
    </row>
    <row r="2644" spans="1:9" x14ac:dyDescent="0.25">
      <c r="A2644" s="6">
        <v>43901</v>
      </c>
      <c r="B2644" t="s">
        <v>26</v>
      </c>
      <c r="C2644">
        <v>63645</v>
      </c>
      <c r="D2644" t="s">
        <v>528</v>
      </c>
      <c r="E2644" s="7">
        <v>81.14</v>
      </c>
      <c r="F2644" t="s">
        <v>20</v>
      </c>
      <c r="G2644" t="s">
        <v>21</v>
      </c>
      <c r="H2644" t="str">
        <f>"10064182"</f>
        <v>10064182</v>
      </c>
      <c r="I2644" t="str">
        <f>"PROSTAR SERVICES INC"</f>
        <v>PROSTAR SERVICES INC</v>
      </c>
    </row>
    <row r="2645" spans="1:9" x14ac:dyDescent="0.25">
      <c r="A2645" s="6">
        <v>43901</v>
      </c>
      <c r="B2645" t="s">
        <v>26</v>
      </c>
      <c r="C2645">
        <v>63646</v>
      </c>
      <c r="D2645" t="s">
        <v>568</v>
      </c>
      <c r="E2645" s="7">
        <v>1319.14</v>
      </c>
      <c r="F2645" t="s">
        <v>20</v>
      </c>
      <c r="G2645" t="s">
        <v>21</v>
      </c>
      <c r="H2645" t="str">
        <f>"12740342"</f>
        <v>12740342</v>
      </c>
      <c r="I2645" t="str">
        <f>"2 PD TIRES"</f>
        <v>2 PD TIRES</v>
      </c>
    </row>
    <row r="2646" spans="1:9" x14ac:dyDescent="0.25">
      <c r="E2646" s="7"/>
      <c r="F2646" t="s">
        <v>20</v>
      </c>
      <c r="G2646" t="s">
        <v>21</v>
      </c>
      <c r="H2646" t="str">
        <f>"12941874"</f>
        <v>12941874</v>
      </c>
      <c r="I2646" t="str">
        <f>"STREETS UNIT 504"</f>
        <v>STREETS UNIT 504</v>
      </c>
    </row>
    <row r="2647" spans="1:9" x14ac:dyDescent="0.25">
      <c r="A2647" s="6">
        <v>43901</v>
      </c>
      <c r="B2647" t="s">
        <v>26</v>
      </c>
      <c r="C2647">
        <v>63647</v>
      </c>
      <c r="D2647" t="s">
        <v>696</v>
      </c>
      <c r="E2647" s="7">
        <v>165</v>
      </c>
      <c r="F2647" t="s">
        <v>20</v>
      </c>
      <c r="G2647" t="s">
        <v>21</v>
      </c>
      <c r="H2647" t="str">
        <f>"03/8/2020"</f>
        <v>03/8/2020</v>
      </c>
      <c r="I2647" t="str">
        <f>"ANGEL G. ROSAS"</f>
        <v>ANGEL G. ROSAS</v>
      </c>
    </row>
    <row r="2648" spans="1:9" x14ac:dyDescent="0.25">
      <c r="A2648" s="6">
        <v>43901</v>
      </c>
      <c r="B2648" t="s">
        <v>26</v>
      </c>
      <c r="C2648">
        <v>63648</v>
      </c>
      <c r="D2648" t="s">
        <v>738</v>
      </c>
      <c r="E2648" s="7">
        <v>46</v>
      </c>
      <c r="F2648" t="s">
        <v>20</v>
      </c>
      <c r="G2648" t="s">
        <v>21</v>
      </c>
      <c r="H2648" t="str">
        <f>"TACT.1ST AID3/6/20"</f>
        <v>TACT.1ST AID3/6/20</v>
      </c>
      <c r="I2648" t="str">
        <f>"PATRICIO BARRERA HERNANDEZ"</f>
        <v>PATRICIO BARRERA HERNANDEZ</v>
      </c>
    </row>
    <row r="2649" spans="1:9" x14ac:dyDescent="0.25">
      <c r="A2649" s="6">
        <v>43901</v>
      </c>
      <c r="B2649" t="s">
        <v>26</v>
      </c>
      <c r="C2649">
        <v>63649</v>
      </c>
      <c r="D2649" t="s">
        <v>739</v>
      </c>
      <c r="E2649" s="7">
        <v>191.64</v>
      </c>
      <c r="F2649" t="s">
        <v>20</v>
      </c>
      <c r="G2649" t="s">
        <v>21</v>
      </c>
      <c r="H2649" t="str">
        <f>"5286X 02272020"</f>
        <v>5286X 02272020</v>
      </c>
      <c r="I2649" t="str">
        <f>"FIRSTNET/AT&amp;T MOBILITY LLC"</f>
        <v>FIRSTNET/AT&amp;T MOBILITY LLC</v>
      </c>
    </row>
    <row r="2650" spans="1:9" x14ac:dyDescent="0.25">
      <c r="A2650" s="6">
        <v>43901</v>
      </c>
      <c r="B2650" t="s">
        <v>26</v>
      </c>
      <c r="C2650">
        <v>63650</v>
      </c>
      <c r="D2650" t="s">
        <v>752</v>
      </c>
      <c r="E2650" s="7">
        <v>155</v>
      </c>
      <c r="F2650" t="s">
        <v>20</v>
      </c>
      <c r="G2650" t="s">
        <v>21</v>
      </c>
      <c r="H2650" t="str">
        <f>"3/8/2020"</f>
        <v>3/8/2020</v>
      </c>
      <c r="I2650" t="str">
        <f>"BLANCA PEREZ"</f>
        <v>BLANCA PEREZ</v>
      </c>
    </row>
    <row r="2651" spans="1:9" x14ac:dyDescent="0.25">
      <c r="A2651" s="6">
        <v>43901</v>
      </c>
      <c r="B2651" t="s">
        <v>91</v>
      </c>
      <c r="C2651">
        <v>63651</v>
      </c>
      <c r="D2651" t="s">
        <v>848</v>
      </c>
      <c r="E2651" s="7">
        <v>399.6</v>
      </c>
      <c r="F2651" t="s">
        <v>20</v>
      </c>
      <c r="G2651" t="s">
        <v>21</v>
      </c>
      <c r="H2651" t="str">
        <f>"EVENT 3/17/2020"</f>
        <v>EVENT 3/17/2020</v>
      </c>
      <c r="I2651" t="str">
        <f>"FLUFF'S WHITE HOUSE CAFE"</f>
        <v>FLUFF'S WHITE HOUSE CAFE</v>
      </c>
    </row>
    <row r="2652" spans="1:9" x14ac:dyDescent="0.25">
      <c r="A2652" s="6">
        <v>43901</v>
      </c>
      <c r="B2652" t="s">
        <v>91</v>
      </c>
      <c r="C2652">
        <v>63651</v>
      </c>
      <c r="D2652" t="s">
        <v>848</v>
      </c>
      <c r="E2652" s="7">
        <v>399.6</v>
      </c>
      <c r="F2652" t="s">
        <v>20</v>
      </c>
      <c r="G2652" t="s">
        <v>93</v>
      </c>
      <c r="H2652" t="str">
        <f>"CHECK"</f>
        <v>CHECK</v>
      </c>
      <c r="I2652" t="str">
        <f>""</f>
        <v/>
      </c>
    </row>
    <row r="2653" spans="1:9" x14ac:dyDescent="0.25">
      <c r="A2653" s="6">
        <v>43901</v>
      </c>
      <c r="B2653" t="s">
        <v>26</v>
      </c>
      <c r="C2653">
        <v>63652</v>
      </c>
      <c r="D2653" t="s">
        <v>814</v>
      </c>
      <c r="E2653" s="7">
        <v>115</v>
      </c>
      <c r="F2653" t="s">
        <v>20</v>
      </c>
      <c r="G2653" t="s">
        <v>21</v>
      </c>
      <c r="H2653" t="str">
        <f>"3/9/2020"</f>
        <v>3/9/2020</v>
      </c>
      <c r="I2653" t="str">
        <f>"RACHEL GARCIA"</f>
        <v>RACHEL GARCIA</v>
      </c>
    </row>
    <row r="2654" spans="1:9" x14ac:dyDescent="0.25">
      <c r="A2654" s="6">
        <v>43901</v>
      </c>
      <c r="B2654" t="s">
        <v>26</v>
      </c>
      <c r="C2654">
        <v>63653</v>
      </c>
      <c r="D2654" t="s">
        <v>824</v>
      </c>
      <c r="E2654" s="7">
        <v>200</v>
      </c>
      <c r="F2654" t="s">
        <v>20</v>
      </c>
      <c r="G2654" t="s">
        <v>21</v>
      </c>
      <c r="H2654" t="str">
        <f>"03/08/2020"</f>
        <v>03/08/2020</v>
      </c>
      <c r="I2654" t="str">
        <f>"MALLORY R. NELSON"</f>
        <v>MALLORY R. NELSON</v>
      </c>
    </row>
    <row r="2655" spans="1:9" x14ac:dyDescent="0.25">
      <c r="A2655" s="6">
        <v>43901</v>
      </c>
      <c r="B2655" t="s">
        <v>26</v>
      </c>
      <c r="C2655">
        <v>63654</v>
      </c>
      <c r="D2655" t="s">
        <v>836</v>
      </c>
      <c r="E2655" s="7">
        <v>5467</v>
      </c>
      <c r="F2655" t="s">
        <v>20</v>
      </c>
      <c r="G2655" t="s">
        <v>21</v>
      </c>
      <c r="H2655" t="str">
        <f>"61756"</f>
        <v>61756</v>
      </c>
      <c r="I2655" t="str">
        <f>"BARCOM TECHNOLOGY SOLUTIONS  I"</f>
        <v>BARCOM TECHNOLOGY SOLUTIONS  I</v>
      </c>
    </row>
    <row r="2656" spans="1:9" x14ac:dyDescent="0.25">
      <c r="E2656" s="7"/>
      <c r="F2656" t="s">
        <v>20</v>
      </c>
      <c r="G2656" t="s">
        <v>21</v>
      </c>
      <c r="H2656" t="str">
        <f>"61757"</f>
        <v>61757</v>
      </c>
      <c r="I2656" t="str">
        <f>"BARCOM TECHNOLOGY SOLUTIONS  I"</f>
        <v>BARCOM TECHNOLOGY SOLUTIONS  I</v>
      </c>
    </row>
    <row r="2657" spans="1:9" x14ac:dyDescent="0.25">
      <c r="A2657" s="6">
        <v>43901</v>
      </c>
      <c r="B2657" t="s">
        <v>26</v>
      </c>
      <c r="C2657">
        <v>63656</v>
      </c>
      <c r="D2657" t="s">
        <v>900</v>
      </c>
      <c r="E2657" s="7">
        <v>320</v>
      </c>
      <c r="F2657" t="s">
        <v>20</v>
      </c>
      <c r="G2657" t="s">
        <v>21</v>
      </c>
      <c r="H2657" t="str">
        <f>"3/10/2020"</f>
        <v>3/10/2020</v>
      </c>
      <c r="I2657" t="str">
        <f>"GILBERT SALINAS"</f>
        <v>GILBERT SALINAS</v>
      </c>
    </row>
    <row r="2658" spans="1:9" x14ac:dyDescent="0.25">
      <c r="A2658" s="6">
        <v>43908</v>
      </c>
      <c r="B2658" t="s">
        <v>26</v>
      </c>
      <c r="C2658">
        <v>63657</v>
      </c>
      <c r="D2658" t="s">
        <v>56</v>
      </c>
      <c r="E2658" s="7">
        <v>45</v>
      </c>
      <c r="F2658" t="s">
        <v>20</v>
      </c>
      <c r="G2658" t="s">
        <v>21</v>
      </c>
      <c r="H2658" t="str">
        <f>"181409"</f>
        <v>181409</v>
      </c>
      <c r="I2658" t="str">
        <f>"DOG FOOD"</f>
        <v>DOG FOOD</v>
      </c>
    </row>
    <row r="2659" spans="1:9" x14ac:dyDescent="0.25">
      <c r="A2659" s="6">
        <v>43908</v>
      </c>
      <c r="B2659" t="s">
        <v>26</v>
      </c>
      <c r="C2659">
        <v>63658</v>
      </c>
      <c r="D2659" t="s">
        <v>102</v>
      </c>
      <c r="E2659" s="7">
        <v>288.89999999999998</v>
      </c>
      <c r="F2659" t="s">
        <v>20</v>
      </c>
      <c r="G2659" t="s">
        <v>21</v>
      </c>
      <c r="H2659" t="str">
        <f>"1120 D.ST MAR2020"</f>
        <v>1120 D.ST MAR2020</v>
      </c>
      <c r="I2659" t="str">
        <f>"CENTERPOINT ENERGY ENTEX"</f>
        <v>CENTERPOINT ENERGY ENTEX</v>
      </c>
    </row>
    <row r="2660" spans="1:9" x14ac:dyDescent="0.25">
      <c r="E2660" s="7"/>
      <c r="F2660" t="s">
        <v>20</v>
      </c>
      <c r="G2660" t="s">
        <v>21</v>
      </c>
      <c r="H2660" t="str">
        <f>"1200 1ST. MAR2020"</f>
        <v>1200 1ST. MAR2020</v>
      </c>
      <c r="I2660" t="str">
        <f>"CENTERPOINT ENERGY ENTEX"</f>
        <v>CENTERPOINT ENERGY ENTEX</v>
      </c>
    </row>
    <row r="2661" spans="1:9" x14ac:dyDescent="0.25">
      <c r="E2661" s="7"/>
      <c r="F2661" t="s">
        <v>20</v>
      </c>
      <c r="G2661" t="s">
        <v>21</v>
      </c>
      <c r="H2661" t="str">
        <f>"920 C. ST MAR.2020"</f>
        <v>920 C. ST MAR.2020</v>
      </c>
      <c r="I2661" t="str">
        <f>"CENTERPOINT ENERGY ENTEX"</f>
        <v>CENTERPOINT ENERGY ENTEX</v>
      </c>
    </row>
    <row r="2662" spans="1:9" x14ac:dyDescent="0.25">
      <c r="A2662" s="6">
        <v>43908</v>
      </c>
      <c r="B2662" t="s">
        <v>26</v>
      </c>
      <c r="C2662">
        <v>63659</v>
      </c>
      <c r="D2662" t="s">
        <v>57</v>
      </c>
      <c r="E2662" s="7">
        <v>8693.33</v>
      </c>
      <c r="F2662" t="s">
        <v>20</v>
      </c>
      <c r="G2662" t="s">
        <v>21</v>
      </c>
      <c r="H2662" t="str">
        <f>"11617 MAR.2020"</f>
        <v>11617 MAR.2020</v>
      </c>
      <c r="I2662" t="str">
        <f>"F.E.L.P.S."</f>
        <v>F.E.L.P.S.</v>
      </c>
    </row>
    <row r="2663" spans="1:9" x14ac:dyDescent="0.25">
      <c r="E2663" s="7"/>
      <c r="F2663" t="s">
        <v>20</v>
      </c>
      <c r="G2663" t="s">
        <v>21</v>
      </c>
      <c r="H2663" t="str">
        <f>"33062 MAR.2020"</f>
        <v>33062 MAR.2020</v>
      </c>
      <c r="I2663" t="str">
        <f>"F.E.L.P.S."</f>
        <v>F.E.L.P.S.</v>
      </c>
    </row>
    <row r="2664" spans="1:9" x14ac:dyDescent="0.25">
      <c r="A2664" s="6">
        <v>43908</v>
      </c>
      <c r="B2664" t="s">
        <v>26</v>
      </c>
      <c r="C2664">
        <v>63660</v>
      </c>
      <c r="D2664" t="s">
        <v>143</v>
      </c>
      <c r="E2664" s="7">
        <v>439.04</v>
      </c>
      <c r="F2664" t="s">
        <v>20</v>
      </c>
      <c r="G2664" t="s">
        <v>21</v>
      </c>
      <c r="H2664" t="str">
        <f>"9402209458"</f>
        <v>9402209458</v>
      </c>
      <c r="I2664" t="str">
        <f>"200 GALLONS OF OIL"</f>
        <v>200 GALLONS OF OIL</v>
      </c>
    </row>
    <row r="2665" spans="1:9" x14ac:dyDescent="0.25">
      <c r="A2665" s="6">
        <v>43908</v>
      </c>
      <c r="B2665" t="s">
        <v>26</v>
      </c>
      <c r="C2665">
        <v>63661</v>
      </c>
      <c r="D2665" t="s">
        <v>203</v>
      </c>
      <c r="E2665" s="7">
        <v>3139.09</v>
      </c>
      <c r="F2665" t="s">
        <v>20</v>
      </c>
      <c r="G2665" t="s">
        <v>21</v>
      </c>
      <c r="H2665" t="str">
        <f>"014576*"</f>
        <v>014576*</v>
      </c>
      <c r="I2665" t="str">
        <f>"USA BLUEBOOK"</f>
        <v>USA BLUEBOOK</v>
      </c>
    </row>
    <row r="2666" spans="1:9" x14ac:dyDescent="0.25">
      <c r="E2666" s="7"/>
      <c r="F2666" t="s">
        <v>20</v>
      </c>
      <c r="G2666" t="s">
        <v>21</v>
      </c>
      <c r="H2666" t="str">
        <f>"167146"</f>
        <v>167146</v>
      </c>
      <c r="I2666" t="str">
        <f>"SAFETY GEAR"</f>
        <v>SAFETY GEAR</v>
      </c>
    </row>
    <row r="2667" spans="1:9" x14ac:dyDescent="0.25">
      <c r="E2667" s="7"/>
      <c r="F2667" t="s">
        <v>20</v>
      </c>
      <c r="G2667" t="s">
        <v>21</v>
      </c>
      <c r="H2667" t="str">
        <f>"167823"</f>
        <v>167823</v>
      </c>
      <c r="I2667" t="str">
        <f>"SAFETY SUPPLIES"</f>
        <v>SAFETY SUPPLIES</v>
      </c>
    </row>
    <row r="2668" spans="1:9" x14ac:dyDescent="0.25">
      <c r="E2668" s="7"/>
      <c r="F2668" t="s">
        <v>20</v>
      </c>
      <c r="G2668" t="s">
        <v>21</v>
      </c>
      <c r="H2668" t="str">
        <f>"167840"</f>
        <v>167840</v>
      </c>
      <c r="I2668" t="str">
        <f>"SAFETY GEAR"</f>
        <v>SAFETY GEAR</v>
      </c>
    </row>
    <row r="2669" spans="1:9" x14ac:dyDescent="0.25">
      <c r="E2669" s="7"/>
      <c r="F2669" t="s">
        <v>20</v>
      </c>
      <c r="G2669" t="s">
        <v>21</v>
      </c>
      <c r="H2669" t="str">
        <f>"168609"</f>
        <v>168609</v>
      </c>
      <c r="I2669" t="str">
        <f>"NEW WATER TESTING METERS"</f>
        <v>NEW WATER TESTING METERS</v>
      </c>
    </row>
    <row r="2670" spans="1:9" x14ac:dyDescent="0.25">
      <c r="E2670" s="7"/>
      <c r="F2670" t="s">
        <v>20</v>
      </c>
      <c r="G2670" t="s">
        <v>21</v>
      </c>
      <c r="H2670" t="str">
        <f>"898143*"</f>
        <v>898143*</v>
      </c>
      <c r="I2670" t="str">
        <f>"USA BLUEBOOK"</f>
        <v>USA BLUEBOOK</v>
      </c>
    </row>
    <row r="2671" spans="1:9" x14ac:dyDescent="0.25">
      <c r="A2671" s="6">
        <v>43908</v>
      </c>
      <c r="B2671" t="s">
        <v>26</v>
      </c>
      <c r="C2671">
        <v>63664</v>
      </c>
      <c r="D2671" t="s">
        <v>902</v>
      </c>
      <c r="E2671" s="7">
        <v>50</v>
      </c>
      <c r="F2671" t="s">
        <v>20</v>
      </c>
      <c r="G2671" t="s">
        <v>21</v>
      </c>
      <c r="H2671" t="str">
        <f>"DPST RFD 3/5/2020"</f>
        <v>DPST RFD 3/5/2020</v>
      </c>
      <c r="I2671" t="str">
        <f>"REFUND"</f>
        <v>REFUND</v>
      </c>
    </row>
    <row r="2672" spans="1:9" x14ac:dyDescent="0.25">
      <c r="A2672" s="6">
        <v>43908</v>
      </c>
      <c r="B2672" t="s">
        <v>26</v>
      </c>
      <c r="C2672">
        <v>63665</v>
      </c>
      <c r="D2672" t="s">
        <v>115</v>
      </c>
      <c r="E2672" s="7">
        <v>355.36</v>
      </c>
      <c r="F2672" t="s">
        <v>20</v>
      </c>
      <c r="G2672" t="s">
        <v>21</v>
      </c>
      <c r="H2672" t="str">
        <f>"3547628694"</f>
        <v>3547628694</v>
      </c>
      <c r="I2672" t="str">
        <f>"LAWN MOWER REPAIR-PARKS"</f>
        <v>LAWN MOWER REPAIR-PARKS</v>
      </c>
    </row>
    <row r="2673" spans="1:9" x14ac:dyDescent="0.25">
      <c r="E2673" s="7"/>
      <c r="F2673" t="s">
        <v>20</v>
      </c>
      <c r="G2673" t="s">
        <v>21</v>
      </c>
      <c r="H2673" t="str">
        <f>"3547628958"</f>
        <v>3547628958</v>
      </c>
      <c r="I2673" t="str">
        <f>"BATTERY UNIT 326-PD"</f>
        <v>BATTERY UNIT 326-PD</v>
      </c>
    </row>
    <row r="2674" spans="1:9" x14ac:dyDescent="0.25">
      <c r="E2674" s="7"/>
      <c r="F2674" t="s">
        <v>20</v>
      </c>
      <c r="G2674" t="s">
        <v>21</v>
      </c>
      <c r="H2674" t="str">
        <f>"3547629438"</f>
        <v>3547629438</v>
      </c>
      <c r="I2674" t="str">
        <f>"PD UNIT 325"</f>
        <v>PD UNIT 325</v>
      </c>
    </row>
    <row r="2675" spans="1:9" x14ac:dyDescent="0.25">
      <c r="A2675" s="6">
        <v>43908</v>
      </c>
      <c r="B2675" t="s">
        <v>26</v>
      </c>
      <c r="C2675">
        <v>63666</v>
      </c>
      <c r="D2675" t="s">
        <v>63</v>
      </c>
      <c r="E2675" s="7">
        <v>687.86</v>
      </c>
      <c r="F2675" t="s">
        <v>20</v>
      </c>
      <c r="G2675" t="s">
        <v>21</v>
      </c>
      <c r="H2675" t="str">
        <f>"8404547771"</f>
        <v>8404547771</v>
      </c>
      <c r="I2675" t="str">
        <f>"CINTAS CORPORATION"</f>
        <v>CINTAS CORPORATION</v>
      </c>
    </row>
    <row r="2676" spans="1:9" x14ac:dyDescent="0.25">
      <c r="A2676" s="6">
        <v>43908</v>
      </c>
      <c r="B2676" t="s">
        <v>26</v>
      </c>
      <c r="C2676">
        <v>63667</v>
      </c>
      <c r="D2676" t="s">
        <v>117</v>
      </c>
      <c r="E2676" s="7">
        <v>383.33</v>
      </c>
      <c r="F2676" t="s">
        <v>20</v>
      </c>
      <c r="G2676" t="s">
        <v>21</v>
      </c>
      <c r="H2676" t="str">
        <f>"FEBRUARY 2020"</f>
        <v>FEBRUARY 2020</v>
      </c>
      <c r="I2676" t="str">
        <f>"LINEBARGER GOGGAN BLAIR &amp; SAMP"</f>
        <v>LINEBARGER GOGGAN BLAIR &amp; SAMP</v>
      </c>
    </row>
    <row r="2677" spans="1:9" x14ac:dyDescent="0.25">
      <c r="A2677" s="6">
        <v>43908</v>
      </c>
      <c r="B2677" t="s">
        <v>91</v>
      </c>
      <c r="C2677">
        <v>63668</v>
      </c>
      <c r="D2677" t="s">
        <v>903</v>
      </c>
      <c r="E2677" s="7">
        <v>2000</v>
      </c>
      <c r="F2677" t="s">
        <v>20</v>
      </c>
      <c r="G2677" t="s">
        <v>21</v>
      </c>
      <c r="H2677" t="str">
        <f>"2019TRUJILLO"</f>
        <v>2019TRUJILLO</v>
      </c>
      <c r="I2677" t="str">
        <f>"FELIPE WANERES RODRIGUEZ"</f>
        <v>FELIPE WANERES RODRIGUEZ</v>
      </c>
    </row>
    <row r="2678" spans="1:9" x14ac:dyDescent="0.25">
      <c r="A2678" s="6">
        <v>43908</v>
      </c>
      <c r="B2678" t="s">
        <v>26</v>
      </c>
      <c r="C2678">
        <v>63669</v>
      </c>
      <c r="D2678" t="s">
        <v>120</v>
      </c>
      <c r="E2678" s="7">
        <v>1826.1</v>
      </c>
      <c r="F2678" t="s">
        <v>20</v>
      </c>
      <c r="G2678" t="s">
        <v>21</v>
      </c>
      <c r="H2678" t="str">
        <f>"71387091"</f>
        <v>71387091</v>
      </c>
      <c r="I2678" t="str">
        <f>"VERIZON BUSINESS"</f>
        <v>VERIZON BUSINESS</v>
      </c>
    </row>
    <row r="2679" spans="1:9" x14ac:dyDescent="0.25">
      <c r="E2679" s="7"/>
      <c r="F2679" t="s">
        <v>20</v>
      </c>
      <c r="G2679" t="s">
        <v>21</v>
      </c>
      <c r="H2679" t="str">
        <f>"71392839"</f>
        <v>71392839</v>
      </c>
      <c r="I2679" t="str">
        <f>"VERIZON BUSINESS"</f>
        <v>VERIZON BUSINESS</v>
      </c>
    </row>
    <row r="2680" spans="1:9" x14ac:dyDescent="0.25">
      <c r="A2680" s="6">
        <v>43908</v>
      </c>
      <c r="B2680" t="s">
        <v>26</v>
      </c>
      <c r="C2680">
        <v>63670</v>
      </c>
      <c r="D2680" t="s">
        <v>426</v>
      </c>
      <c r="E2680" s="7">
        <v>446.25</v>
      </c>
      <c r="F2680" t="s">
        <v>20</v>
      </c>
      <c r="G2680" t="s">
        <v>21</v>
      </c>
      <c r="H2680" t="str">
        <f>"INV0755260"</f>
        <v>INV0755260</v>
      </c>
      <c r="I2680" t="str">
        <f>"FIRE AMMO"</f>
        <v>FIRE AMMO</v>
      </c>
    </row>
    <row r="2681" spans="1:9" x14ac:dyDescent="0.25">
      <c r="A2681" s="6">
        <v>43908</v>
      </c>
      <c r="B2681" t="s">
        <v>26</v>
      </c>
      <c r="C2681">
        <v>63671</v>
      </c>
      <c r="D2681" t="s">
        <v>248</v>
      </c>
      <c r="E2681" s="7">
        <v>1027.54</v>
      </c>
      <c r="F2681" t="s">
        <v>20</v>
      </c>
      <c r="G2681" t="s">
        <v>21</v>
      </c>
      <c r="H2681" t="str">
        <f>"1015197167"</f>
        <v>1015197167</v>
      </c>
      <c r="I2681" t="str">
        <f>"PITNEY BOWES"</f>
        <v>PITNEY BOWES</v>
      </c>
    </row>
    <row r="2682" spans="1:9" x14ac:dyDescent="0.25">
      <c r="E2682" s="7"/>
      <c r="F2682" t="s">
        <v>20</v>
      </c>
      <c r="G2682" t="s">
        <v>21</v>
      </c>
      <c r="H2682" t="str">
        <f>"1015202689"</f>
        <v>1015202689</v>
      </c>
      <c r="I2682" t="str">
        <f>"PITNEY BOWES"</f>
        <v>PITNEY BOWES</v>
      </c>
    </row>
    <row r="2683" spans="1:9" x14ac:dyDescent="0.25">
      <c r="E2683" s="7"/>
      <c r="F2683" t="s">
        <v>20</v>
      </c>
      <c r="G2683" t="s">
        <v>21</v>
      </c>
      <c r="H2683" t="str">
        <f>"9567 FEB.2020"</f>
        <v>9567 FEB.2020</v>
      </c>
      <c r="I2683" t="str">
        <f>"PITNEY BOWES"</f>
        <v>PITNEY BOWES</v>
      </c>
    </row>
    <row r="2684" spans="1:9" x14ac:dyDescent="0.25">
      <c r="A2684" s="6">
        <v>43908</v>
      </c>
      <c r="B2684" t="s">
        <v>26</v>
      </c>
      <c r="C2684">
        <v>63673</v>
      </c>
      <c r="D2684" t="s">
        <v>146</v>
      </c>
      <c r="E2684" s="7">
        <v>1690</v>
      </c>
      <c r="F2684" t="s">
        <v>20</v>
      </c>
      <c r="G2684" t="s">
        <v>21</v>
      </c>
      <c r="H2684" t="str">
        <f>"066757"</f>
        <v>066757</v>
      </c>
      <c r="I2684" t="str">
        <f>"LARRY SRALLA ELECTRIC"</f>
        <v>LARRY SRALLA ELECTRIC</v>
      </c>
    </row>
    <row r="2685" spans="1:9" x14ac:dyDescent="0.25">
      <c r="E2685" s="7"/>
      <c r="F2685" t="s">
        <v>20</v>
      </c>
      <c r="G2685" t="s">
        <v>21</v>
      </c>
      <c r="H2685" t="str">
        <f>"066758"</f>
        <v>066758</v>
      </c>
      <c r="I2685" t="str">
        <f>"LARRY SRALLA ELECTRIC"</f>
        <v>LARRY SRALLA ELECTRIC</v>
      </c>
    </row>
    <row r="2686" spans="1:9" x14ac:dyDescent="0.25">
      <c r="E2686" s="7"/>
      <c r="F2686" t="s">
        <v>20</v>
      </c>
      <c r="G2686" t="s">
        <v>21</v>
      </c>
      <c r="H2686" t="str">
        <f>"066759"</f>
        <v>066759</v>
      </c>
      <c r="I2686" t="str">
        <f>"LARRY SRALLA ELECTRIC"</f>
        <v>LARRY SRALLA ELECTRIC</v>
      </c>
    </row>
    <row r="2687" spans="1:9" x14ac:dyDescent="0.25">
      <c r="E2687" s="7"/>
      <c r="F2687" t="s">
        <v>20</v>
      </c>
      <c r="G2687" t="s">
        <v>21</v>
      </c>
      <c r="H2687" t="str">
        <f>"066761"</f>
        <v>066761</v>
      </c>
      <c r="I2687" t="str">
        <f>"LARRY SRALLA ELECTRIC"</f>
        <v>LARRY SRALLA ELECTRIC</v>
      </c>
    </row>
    <row r="2688" spans="1:9" x14ac:dyDescent="0.25">
      <c r="E2688" s="7"/>
      <c r="F2688" t="s">
        <v>20</v>
      </c>
      <c r="G2688" t="s">
        <v>21</v>
      </c>
      <c r="H2688" t="str">
        <f>"066764"</f>
        <v>066764</v>
      </c>
      <c r="I2688" t="str">
        <f>"LARRY SRALLA ELECTRIC"</f>
        <v>LARRY SRALLA ELECTRIC</v>
      </c>
    </row>
    <row r="2689" spans="1:9" x14ac:dyDescent="0.25">
      <c r="A2689" s="6">
        <v>43908</v>
      </c>
      <c r="B2689" t="s">
        <v>26</v>
      </c>
      <c r="C2689">
        <v>63674</v>
      </c>
      <c r="D2689" t="s">
        <v>71</v>
      </c>
      <c r="E2689" s="7">
        <v>697.26</v>
      </c>
      <c r="F2689" t="s">
        <v>20</v>
      </c>
      <c r="G2689" t="s">
        <v>21</v>
      </c>
      <c r="H2689" t="str">
        <f>"4045300325"</f>
        <v>4045300325</v>
      </c>
      <c r="I2689" t="str">
        <f>"CINTAS CORPORATION #087"</f>
        <v>CINTAS CORPORATION #087</v>
      </c>
    </row>
    <row r="2690" spans="1:9" x14ac:dyDescent="0.25">
      <c r="E2690" s="7"/>
      <c r="F2690" t="s">
        <v>20</v>
      </c>
      <c r="G2690" t="s">
        <v>21</v>
      </c>
      <c r="H2690" t="str">
        <f>"4045300355"</f>
        <v>4045300355</v>
      </c>
      <c r="I2690" t="str">
        <f>"CINTAS CORPORATION #087"</f>
        <v>CINTAS CORPORATION #087</v>
      </c>
    </row>
    <row r="2691" spans="1:9" x14ac:dyDescent="0.25">
      <c r="E2691" s="7"/>
      <c r="F2691" t="s">
        <v>20</v>
      </c>
      <c r="G2691" t="s">
        <v>21</v>
      </c>
      <c r="H2691" t="str">
        <f>"4045300362"</f>
        <v>4045300362</v>
      </c>
      <c r="I2691" t="str">
        <f>"CINTAS CORPORATION #087"</f>
        <v>CINTAS CORPORATION #087</v>
      </c>
    </row>
    <row r="2692" spans="1:9" x14ac:dyDescent="0.25">
      <c r="E2692" s="7"/>
      <c r="F2692" t="s">
        <v>20</v>
      </c>
      <c r="G2692" t="s">
        <v>21</v>
      </c>
      <c r="H2692" t="str">
        <f>"4045300412"</f>
        <v>4045300412</v>
      </c>
      <c r="I2692" t="str">
        <f>"CINTAS CORPORATION #087"</f>
        <v>CINTAS CORPORATION #087</v>
      </c>
    </row>
    <row r="2693" spans="1:9" x14ac:dyDescent="0.25">
      <c r="E2693" s="7"/>
      <c r="F2693" t="s">
        <v>20</v>
      </c>
      <c r="G2693" t="s">
        <v>21</v>
      </c>
      <c r="H2693" t="str">
        <f>"4045300443"</f>
        <v>4045300443</v>
      </c>
      <c r="I2693" t="str">
        <f>"CINTAS CORPORATION #087"</f>
        <v>CINTAS CORPORATION #087</v>
      </c>
    </row>
    <row r="2694" spans="1:9" x14ac:dyDescent="0.25">
      <c r="A2694" s="6">
        <v>43908</v>
      </c>
      <c r="B2694" t="s">
        <v>26</v>
      </c>
      <c r="C2694">
        <v>63675</v>
      </c>
      <c r="D2694" t="s">
        <v>282</v>
      </c>
      <c r="E2694" s="7">
        <v>14400</v>
      </c>
      <c r="F2694" t="s">
        <v>20</v>
      </c>
      <c r="G2694" t="s">
        <v>21</v>
      </c>
      <c r="H2694" t="str">
        <f>"3949"</f>
        <v>3949</v>
      </c>
      <c r="I2694" t="str">
        <f>"LANGFORD COMMUNITY MANAGEMENT"</f>
        <v>LANGFORD COMMUNITY MANAGEMENT</v>
      </c>
    </row>
    <row r="2695" spans="1:9" x14ac:dyDescent="0.25">
      <c r="A2695" s="6">
        <v>43908</v>
      </c>
      <c r="B2695" t="s">
        <v>91</v>
      </c>
      <c r="C2695">
        <v>63676</v>
      </c>
      <c r="D2695" t="s">
        <v>122</v>
      </c>
      <c r="E2695" s="7">
        <v>368</v>
      </c>
      <c r="F2695" t="s">
        <v>20</v>
      </c>
      <c r="G2695" t="s">
        <v>21</v>
      </c>
      <c r="H2695" t="str">
        <f>"704405"</f>
        <v>704405</v>
      </c>
      <c r="I2695" t="str">
        <f t="shared" ref="I2695:I2704" si="47">"VILLA TIRES"</f>
        <v>VILLA TIRES</v>
      </c>
    </row>
    <row r="2696" spans="1:9" x14ac:dyDescent="0.25">
      <c r="E2696" s="7"/>
      <c r="F2696" t="s">
        <v>20</v>
      </c>
      <c r="G2696" t="s">
        <v>21</v>
      </c>
      <c r="H2696" t="str">
        <f>"704408"</f>
        <v>704408</v>
      </c>
      <c r="I2696" t="str">
        <f t="shared" si="47"/>
        <v>VILLA TIRES</v>
      </c>
    </row>
    <row r="2697" spans="1:9" x14ac:dyDescent="0.25">
      <c r="E2697" s="7"/>
      <c r="F2697" t="s">
        <v>20</v>
      </c>
      <c r="G2697" t="s">
        <v>21</v>
      </c>
      <c r="H2697" t="str">
        <f>"704415"</f>
        <v>704415</v>
      </c>
      <c r="I2697" t="str">
        <f t="shared" si="47"/>
        <v>VILLA TIRES</v>
      </c>
    </row>
    <row r="2698" spans="1:9" x14ac:dyDescent="0.25">
      <c r="E2698" s="7"/>
      <c r="F2698" t="s">
        <v>20</v>
      </c>
      <c r="G2698" t="s">
        <v>21</v>
      </c>
      <c r="H2698" t="str">
        <f>"704427"</f>
        <v>704427</v>
      </c>
      <c r="I2698" t="str">
        <f t="shared" si="47"/>
        <v>VILLA TIRES</v>
      </c>
    </row>
    <row r="2699" spans="1:9" x14ac:dyDescent="0.25">
      <c r="E2699" s="7"/>
      <c r="F2699" t="s">
        <v>20</v>
      </c>
      <c r="G2699" t="s">
        <v>21</v>
      </c>
      <c r="H2699" t="str">
        <f>"704430"</f>
        <v>704430</v>
      </c>
      <c r="I2699" t="str">
        <f t="shared" si="47"/>
        <v>VILLA TIRES</v>
      </c>
    </row>
    <row r="2700" spans="1:9" x14ac:dyDescent="0.25">
      <c r="E2700" s="7"/>
      <c r="F2700" t="s">
        <v>20</v>
      </c>
      <c r="G2700" t="s">
        <v>21</v>
      </c>
      <c r="H2700" t="str">
        <f>"704436"</f>
        <v>704436</v>
      </c>
      <c r="I2700" t="str">
        <f t="shared" si="47"/>
        <v>VILLA TIRES</v>
      </c>
    </row>
    <row r="2701" spans="1:9" x14ac:dyDescent="0.25">
      <c r="E2701" s="7"/>
      <c r="F2701" t="s">
        <v>20</v>
      </c>
      <c r="G2701" t="s">
        <v>21</v>
      </c>
      <c r="H2701" t="str">
        <f>"704441"</f>
        <v>704441</v>
      </c>
      <c r="I2701" t="str">
        <f t="shared" si="47"/>
        <v>VILLA TIRES</v>
      </c>
    </row>
    <row r="2702" spans="1:9" x14ac:dyDescent="0.25">
      <c r="E2702" s="7"/>
      <c r="F2702" t="s">
        <v>20</v>
      </c>
      <c r="G2702" t="s">
        <v>21</v>
      </c>
      <c r="H2702" t="str">
        <f>"704442"</f>
        <v>704442</v>
      </c>
      <c r="I2702" t="str">
        <f t="shared" si="47"/>
        <v>VILLA TIRES</v>
      </c>
    </row>
    <row r="2703" spans="1:9" x14ac:dyDescent="0.25">
      <c r="E2703" s="7"/>
      <c r="F2703" t="s">
        <v>20</v>
      </c>
      <c r="G2703" t="s">
        <v>21</v>
      </c>
      <c r="H2703" t="str">
        <f>"704443"</f>
        <v>704443</v>
      </c>
      <c r="I2703" t="str">
        <f t="shared" si="47"/>
        <v>VILLA TIRES</v>
      </c>
    </row>
    <row r="2704" spans="1:9" x14ac:dyDescent="0.25">
      <c r="E2704" s="7"/>
      <c r="F2704" t="s">
        <v>20</v>
      </c>
      <c r="G2704" t="s">
        <v>21</v>
      </c>
      <c r="H2704" t="str">
        <f>"704446"</f>
        <v>704446</v>
      </c>
      <c r="I2704" t="str">
        <f t="shared" si="47"/>
        <v>VILLA TIRES</v>
      </c>
    </row>
    <row r="2705" spans="1:9" x14ac:dyDescent="0.25">
      <c r="A2705" s="6">
        <v>43908</v>
      </c>
      <c r="B2705" t="s">
        <v>26</v>
      </c>
      <c r="C2705">
        <v>63678</v>
      </c>
      <c r="D2705" t="s">
        <v>170</v>
      </c>
      <c r="E2705" s="7">
        <v>2651.72</v>
      </c>
      <c r="F2705" t="s">
        <v>20</v>
      </c>
      <c r="G2705" t="s">
        <v>21</v>
      </c>
      <c r="H2705" t="str">
        <f>"0000031600"</f>
        <v>0000031600</v>
      </c>
      <c r="I2705" t="str">
        <f>"BARRETT &amp; SONS  INC."</f>
        <v>BARRETT &amp; SONS  INC.</v>
      </c>
    </row>
    <row r="2706" spans="1:9" x14ac:dyDescent="0.25">
      <c r="A2706" s="6">
        <v>43908</v>
      </c>
      <c r="B2706" t="s">
        <v>26</v>
      </c>
      <c r="C2706">
        <v>63679</v>
      </c>
      <c r="D2706" t="s">
        <v>215</v>
      </c>
      <c r="E2706" s="7">
        <v>1193.8</v>
      </c>
      <c r="F2706" t="s">
        <v>20</v>
      </c>
      <c r="G2706" t="s">
        <v>21</v>
      </c>
      <c r="H2706" t="str">
        <f>"624555"</f>
        <v>624555</v>
      </c>
      <c r="I2706" t="str">
        <f>"RECYCLED WATER PUMP"</f>
        <v>RECYCLED WATER PUMP</v>
      </c>
    </row>
    <row r="2707" spans="1:9" x14ac:dyDescent="0.25">
      <c r="A2707" s="6">
        <v>43908</v>
      </c>
      <c r="B2707" t="s">
        <v>26</v>
      </c>
      <c r="C2707">
        <v>63680</v>
      </c>
      <c r="D2707" t="s">
        <v>123</v>
      </c>
      <c r="E2707" s="7">
        <v>538</v>
      </c>
      <c r="F2707" t="s">
        <v>20</v>
      </c>
      <c r="G2707" t="s">
        <v>21</v>
      </c>
      <c r="H2707" t="str">
        <f>"449740538001"</f>
        <v>449740538001</v>
      </c>
      <c r="I2707" t="str">
        <f>"CABLE SLEEVE AND CLIPS"</f>
        <v>CABLE SLEEVE AND CLIPS</v>
      </c>
    </row>
    <row r="2708" spans="1:9" x14ac:dyDescent="0.25">
      <c r="E2708" s="7"/>
      <c r="F2708" t="s">
        <v>20</v>
      </c>
      <c r="G2708" t="s">
        <v>21</v>
      </c>
      <c r="H2708" t="str">
        <f>"449740757001"</f>
        <v>449740757001</v>
      </c>
      <c r="I2708" t="str">
        <f>"CABLE SLEEVE AND CLIPS"</f>
        <v>CABLE SLEEVE AND CLIPS</v>
      </c>
    </row>
    <row r="2709" spans="1:9" x14ac:dyDescent="0.25">
      <c r="E2709" s="7"/>
      <c r="F2709" t="s">
        <v>20</v>
      </c>
      <c r="G2709" t="s">
        <v>21</v>
      </c>
      <c r="H2709" t="str">
        <f>"450019164001"</f>
        <v>450019164001</v>
      </c>
      <c r="I2709" t="str">
        <f>"OFFICE SUPPLIES"</f>
        <v>OFFICE SUPPLIES</v>
      </c>
    </row>
    <row r="2710" spans="1:9" x14ac:dyDescent="0.25">
      <c r="E2710" s="7"/>
      <c r="F2710" t="s">
        <v>20</v>
      </c>
      <c r="G2710" t="s">
        <v>21</v>
      </c>
      <c r="H2710" t="str">
        <f>"450640975001"</f>
        <v>450640975001</v>
      </c>
      <c r="I2710" t="str">
        <f>"OFFICE DEPOT  INC."</f>
        <v>OFFICE DEPOT  INC.</v>
      </c>
    </row>
    <row r="2711" spans="1:9" x14ac:dyDescent="0.25">
      <c r="E2711" s="7"/>
      <c r="F2711" t="s">
        <v>20</v>
      </c>
      <c r="G2711" t="s">
        <v>21</v>
      </c>
      <c r="H2711" t="str">
        <f>"450642294001"</f>
        <v>450642294001</v>
      </c>
      <c r="I2711" t="str">
        <f>"OFFICE DEPOT  INC."</f>
        <v>OFFICE DEPOT  INC.</v>
      </c>
    </row>
    <row r="2712" spans="1:9" x14ac:dyDescent="0.25">
      <c r="E2712" s="7"/>
      <c r="F2712" t="s">
        <v>20</v>
      </c>
      <c r="G2712" t="s">
        <v>21</v>
      </c>
      <c r="H2712" t="str">
        <f>"450642295001"</f>
        <v>450642295001</v>
      </c>
      <c r="I2712" t="str">
        <f>"OFFICE DEPOT  INC."</f>
        <v>OFFICE DEPOT  INC.</v>
      </c>
    </row>
    <row r="2713" spans="1:9" x14ac:dyDescent="0.25">
      <c r="E2713" s="7"/>
      <c r="F2713" t="s">
        <v>20</v>
      </c>
      <c r="G2713" t="s">
        <v>21</v>
      </c>
      <c r="H2713" t="str">
        <f>"450730965001"</f>
        <v>450730965001</v>
      </c>
      <c r="I2713" t="str">
        <f>"OFFICE SUPPLIES"</f>
        <v>OFFICE SUPPLIES</v>
      </c>
    </row>
    <row r="2714" spans="1:9" x14ac:dyDescent="0.25">
      <c r="E2714" s="7"/>
      <c r="F2714" t="s">
        <v>20</v>
      </c>
      <c r="G2714" t="s">
        <v>21</v>
      </c>
      <c r="H2714" t="str">
        <f>"450731426001"</f>
        <v>450731426001</v>
      </c>
      <c r="I2714" t="str">
        <f>"OFFICE SUPPLIES"</f>
        <v>OFFICE SUPPLIES</v>
      </c>
    </row>
    <row r="2715" spans="1:9" x14ac:dyDescent="0.25">
      <c r="E2715" s="7"/>
      <c r="F2715" t="s">
        <v>20</v>
      </c>
      <c r="G2715" t="s">
        <v>21</v>
      </c>
      <c r="H2715" t="str">
        <f>"450814653001"</f>
        <v>450814653001</v>
      </c>
      <c r="I2715" t="str">
        <f>"OFFICE SUPPLIES"</f>
        <v>OFFICE SUPPLIES</v>
      </c>
    </row>
    <row r="2716" spans="1:9" x14ac:dyDescent="0.25">
      <c r="E2716" s="7"/>
      <c r="F2716" t="s">
        <v>20</v>
      </c>
      <c r="G2716" t="s">
        <v>21</v>
      </c>
      <c r="H2716" t="str">
        <f>"450821242001"</f>
        <v>450821242001</v>
      </c>
      <c r="I2716" t="str">
        <f>"OFFICE SUPPLIES"</f>
        <v>OFFICE SUPPLIES</v>
      </c>
    </row>
    <row r="2717" spans="1:9" x14ac:dyDescent="0.25">
      <c r="E2717" s="7"/>
      <c r="F2717" t="s">
        <v>20</v>
      </c>
      <c r="G2717" t="s">
        <v>21</v>
      </c>
      <c r="H2717" t="str">
        <f>"450821243001"</f>
        <v>450821243001</v>
      </c>
      <c r="I2717" t="str">
        <f>"OFFICE SUPPLIES"</f>
        <v>OFFICE SUPPLIES</v>
      </c>
    </row>
    <row r="2718" spans="1:9" x14ac:dyDescent="0.25">
      <c r="E2718" s="7"/>
      <c r="F2718" t="s">
        <v>20</v>
      </c>
      <c r="G2718" t="s">
        <v>21</v>
      </c>
      <c r="H2718" t="str">
        <f>"451703350001"</f>
        <v>451703350001</v>
      </c>
      <c r="I2718" t="str">
        <f>"CLEANING SUPPLIES CITY HA"</f>
        <v>CLEANING SUPPLIES CITY HA</v>
      </c>
    </row>
    <row r="2719" spans="1:9" x14ac:dyDescent="0.25">
      <c r="E2719" s="7"/>
      <c r="F2719" t="s">
        <v>20</v>
      </c>
      <c r="G2719" t="s">
        <v>21</v>
      </c>
      <c r="H2719" t="str">
        <f>"451704248001"</f>
        <v>451704248001</v>
      </c>
      <c r="I2719" t="str">
        <f>"CLEANING SUPPLIES CITY HA"</f>
        <v>CLEANING SUPPLIES CITY HA</v>
      </c>
    </row>
    <row r="2720" spans="1:9" x14ac:dyDescent="0.25">
      <c r="A2720" s="6">
        <v>43908</v>
      </c>
      <c r="B2720" t="s">
        <v>26</v>
      </c>
      <c r="C2720">
        <v>63683</v>
      </c>
      <c r="D2720" t="s">
        <v>77</v>
      </c>
      <c r="E2720" s="7">
        <v>50</v>
      </c>
      <c r="F2720" t="s">
        <v>20</v>
      </c>
      <c r="G2720" t="s">
        <v>21</v>
      </c>
      <c r="H2720" t="str">
        <f>"DE85000271-20"</f>
        <v>DE85000271-20</v>
      </c>
      <c r="I2720" t="str">
        <f>"DPC INDUSTRIES  INC."</f>
        <v>DPC INDUSTRIES  INC.</v>
      </c>
    </row>
    <row r="2721" spans="1:9" x14ac:dyDescent="0.25">
      <c r="A2721" s="6">
        <v>43908</v>
      </c>
      <c r="B2721" t="s">
        <v>26</v>
      </c>
      <c r="C2721">
        <v>63684</v>
      </c>
      <c r="D2721" t="s">
        <v>125</v>
      </c>
      <c r="E2721" s="7">
        <v>180</v>
      </c>
      <c r="F2721" t="s">
        <v>20</v>
      </c>
      <c r="G2721" t="s">
        <v>21</v>
      </c>
      <c r="H2721" t="str">
        <f>"20-0098 FEB.2020"</f>
        <v>20-0098 FEB.2020</v>
      </c>
      <c r="I2721" t="str">
        <f>"INTREPID SURVEYING CORPORATION"</f>
        <v>INTREPID SURVEYING CORPORATION</v>
      </c>
    </row>
    <row r="2722" spans="1:9" x14ac:dyDescent="0.25">
      <c r="A2722" s="6">
        <v>43908</v>
      </c>
      <c r="B2722" t="s">
        <v>26</v>
      </c>
      <c r="C2722">
        <v>63685</v>
      </c>
      <c r="D2722" t="s">
        <v>126</v>
      </c>
      <c r="E2722" s="7">
        <v>560.58000000000004</v>
      </c>
      <c r="F2722" t="s">
        <v>20</v>
      </c>
      <c r="G2722" t="s">
        <v>21</v>
      </c>
      <c r="H2722" t="str">
        <f>"0859-002498862"</f>
        <v>0859-002498862</v>
      </c>
      <c r="I2722" t="str">
        <f>"REPUBLIC SERVICES #859"</f>
        <v>REPUBLIC SERVICES #859</v>
      </c>
    </row>
    <row r="2723" spans="1:9" x14ac:dyDescent="0.25">
      <c r="A2723" s="6">
        <v>43908</v>
      </c>
      <c r="B2723" t="s">
        <v>26</v>
      </c>
      <c r="C2723">
        <v>63686</v>
      </c>
      <c r="D2723" t="s">
        <v>79</v>
      </c>
      <c r="E2723" s="7">
        <v>65.069999999999993</v>
      </c>
      <c r="F2723" t="s">
        <v>20</v>
      </c>
      <c r="G2723" t="s">
        <v>21</v>
      </c>
      <c r="H2723" t="str">
        <f>"6-948-10990"</f>
        <v>6-948-10990</v>
      </c>
      <c r="I2723" t="str">
        <f>"FEDEX"</f>
        <v>FEDEX</v>
      </c>
    </row>
    <row r="2724" spans="1:9" x14ac:dyDescent="0.25">
      <c r="E2724" s="7"/>
      <c r="F2724" t="s">
        <v>20</v>
      </c>
      <c r="G2724" t="s">
        <v>21</v>
      </c>
      <c r="H2724" t="str">
        <f>"6-955-45851"</f>
        <v>6-955-45851</v>
      </c>
      <c r="I2724" t="str">
        <f>"FEDEX"</f>
        <v>FEDEX</v>
      </c>
    </row>
    <row r="2725" spans="1:9" x14ac:dyDescent="0.25">
      <c r="A2725" s="6">
        <v>43908</v>
      </c>
      <c r="B2725" t="s">
        <v>26</v>
      </c>
      <c r="C2725">
        <v>63687</v>
      </c>
      <c r="D2725" t="s">
        <v>395</v>
      </c>
      <c r="E2725" s="7">
        <v>195.7</v>
      </c>
      <c r="F2725" t="s">
        <v>20</v>
      </c>
      <c r="G2725" t="s">
        <v>21</v>
      </c>
      <c r="H2725" t="str">
        <f>"117699727"</f>
        <v>117699727</v>
      </c>
      <c r="I2725" t="str">
        <f>"ULINE"</f>
        <v>ULINE</v>
      </c>
    </row>
    <row r="2726" spans="1:9" x14ac:dyDescent="0.25">
      <c r="A2726" s="6">
        <v>43908</v>
      </c>
      <c r="B2726" t="s">
        <v>26</v>
      </c>
      <c r="C2726">
        <v>63688</v>
      </c>
      <c r="D2726" t="s">
        <v>131</v>
      </c>
      <c r="E2726" s="7">
        <v>41.94</v>
      </c>
      <c r="F2726" t="s">
        <v>20</v>
      </c>
      <c r="G2726" t="s">
        <v>21</v>
      </c>
      <c r="H2726" t="str">
        <f>"048602"</f>
        <v>048602</v>
      </c>
      <c r="I2726" t="str">
        <f>"BLUE DEF- SHOP SUPPLIES"</f>
        <v>BLUE DEF- SHOP SUPPLIES</v>
      </c>
    </row>
    <row r="2727" spans="1:9" x14ac:dyDescent="0.25">
      <c r="A2727" s="6">
        <v>43908</v>
      </c>
      <c r="B2727" t="s">
        <v>26</v>
      </c>
      <c r="C2727">
        <v>63689</v>
      </c>
      <c r="D2727" t="s">
        <v>83</v>
      </c>
      <c r="E2727" s="7">
        <v>1044.3</v>
      </c>
      <c r="F2727" t="s">
        <v>20</v>
      </c>
      <c r="G2727" t="s">
        <v>21</v>
      </c>
      <c r="H2727" t="str">
        <f>"1074428"</f>
        <v>1074428</v>
      </c>
      <c r="I2727" t="str">
        <f>"APPRIVER"</f>
        <v>APPRIVER</v>
      </c>
    </row>
    <row r="2728" spans="1:9" x14ac:dyDescent="0.25">
      <c r="A2728" s="6">
        <v>43908</v>
      </c>
      <c r="B2728" t="s">
        <v>26</v>
      </c>
      <c r="C2728">
        <v>63690</v>
      </c>
      <c r="D2728" t="s">
        <v>85</v>
      </c>
      <c r="E2728" s="7">
        <v>194.21</v>
      </c>
      <c r="F2728" t="s">
        <v>20</v>
      </c>
      <c r="G2728" t="s">
        <v>21</v>
      </c>
      <c r="H2728" t="str">
        <f>"3930579 MAR.2020"</f>
        <v>3930579 MAR.2020</v>
      </c>
      <c r="I2728" t="str">
        <f>"FRONTIER"</f>
        <v>FRONTIER</v>
      </c>
    </row>
    <row r="2729" spans="1:9" x14ac:dyDescent="0.25">
      <c r="E2729" s="7"/>
      <c r="F2729" t="s">
        <v>20</v>
      </c>
      <c r="G2729" t="s">
        <v>21</v>
      </c>
      <c r="H2729" t="str">
        <f>"39333108 MAR.2020"</f>
        <v>39333108 MAR.2020</v>
      </c>
      <c r="I2729" t="str">
        <f>"FRONTIER"</f>
        <v>FRONTIER</v>
      </c>
    </row>
    <row r="2730" spans="1:9" x14ac:dyDescent="0.25">
      <c r="E2730" s="7"/>
      <c r="F2730" t="s">
        <v>20</v>
      </c>
      <c r="G2730" t="s">
        <v>21</v>
      </c>
      <c r="H2730" t="str">
        <f>"3939791 MAR.2020"</f>
        <v>3939791 MAR.2020</v>
      </c>
      <c r="I2730" t="str">
        <f>"FRONTIER"</f>
        <v>FRONTIER</v>
      </c>
    </row>
    <row r="2731" spans="1:9" x14ac:dyDescent="0.25">
      <c r="A2731" s="6">
        <v>43908</v>
      </c>
      <c r="B2731" t="s">
        <v>26</v>
      </c>
      <c r="C2731">
        <v>63691</v>
      </c>
      <c r="D2731" t="s">
        <v>326</v>
      </c>
      <c r="E2731" s="7">
        <v>35</v>
      </c>
      <c r="F2731" t="s">
        <v>20</v>
      </c>
      <c r="G2731" t="s">
        <v>21</v>
      </c>
      <c r="H2731" t="str">
        <f>"21305823"</f>
        <v>21305823</v>
      </c>
      <c r="I2731" t="str">
        <f>"MATHESON TRI-GAS INC"</f>
        <v>MATHESON TRI-GAS INC</v>
      </c>
    </row>
    <row r="2732" spans="1:9" x14ac:dyDescent="0.25">
      <c r="A2732" s="6">
        <v>43908</v>
      </c>
      <c r="B2732" t="s">
        <v>26</v>
      </c>
      <c r="C2732">
        <v>63692</v>
      </c>
      <c r="D2732" t="s">
        <v>715</v>
      </c>
      <c r="E2732" s="7">
        <v>950</v>
      </c>
      <c r="F2732" t="s">
        <v>20</v>
      </c>
      <c r="G2732" t="s">
        <v>21</v>
      </c>
      <c r="H2732" t="str">
        <f>"20030901"</f>
        <v>20030901</v>
      </c>
      <c r="I2732" t="str">
        <f>"CAPRISK CONSULTING GROUP"</f>
        <v>CAPRISK CONSULTING GROUP</v>
      </c>
    </row>
    <row r="2733" spans="1:9" x14ac:dyDescent="0.25">
      <c r="A2733" s="6">
        <v>43908</v>
      </c>
      <c r="B2733" t="s">
        <v>26</v>
      </c>
      <c r="C2733">
        <v>63693</v>
      </c>
      <c r="D2733" t="s">
        <v>536</v>
      </c>
      <c r="E2733" s="7">
        <v>726.57</v>
      </c>
      <c r="F2733" t="s">
        <v>20</v>
      </c>
      <c r="G2733" t="s">
        <v>21</v>
      </c>
      <c r="H2733" t="str">
        <f>"03/17/2020"</f>
        <v>03/17/2020</v>
      </c>
      <c r="I2733" t="str">
        <f>"COCA-COLA SOUTHWEST BEVERAGES"</f>
        <v>COCA-COLA SOUTHWEST BEVERAGES</v>
      </c>
    </row>
    <row r="2734" spans="1:9" x14ac:dyDescent="0.25">
      <c r="A2734" s="6">
        <v>43908</v>
      </c>
      <c r="B2734" t="s">
        <v>26</v>
      </c>
      <c r="C2734">
        <v>63694</v>
      </c>
      <c r="D2734" t="s">
        <v>345</v>
      </c>
      <c r="E2734" s="7">
        <v>297</v>
      </c>
      <c r="F2734" t="s">
        <v>20</v>
      </c>
      <c r="G2734" t="s">
        <v>21</v>
      </c>
      <c r="H2734" t="str">
        <f>"3/16/2020"</f>
        <v>3/16/2020</v>
      </c>
      <c r="I2734" t="str">
        <f>"MICHAEL ISAAC MARTINEZ"</f>
        <v>MICHAEL ISAAC MARTINEZ</v>
      </c>
    </row>
    <row r="2735" spans="1:9" x14ac:dyDescent="0.25">
      <c r="A2735" s="6">
        <v>43908</v>
      </c>
      <c r="B2735" t="s">
        <v>26</v>
      </c>
      <c r="C2735">
        <v>63695</v>
      </c>
      <c r="D2735" t="s">
        <v>346</v>
      </c>
      <c r="E2735" s="7">
        <v>13750</v>
      </c>
      <c r="F2735" t="s">
        <v>20</v>
      </c>
      <c r="G2735" t="s">
        <v>21</v>
      </c>
      <c r="H2735" t="str">
        <f>"2/11-3/11/2020"</f>
        <v>2/11-3/11/2020</v>
      </c>
      <c r="I2735" t="str">
        <f>"SYLVIA RODRIGUEZ"</f>
        <v>SYLVIA RODRIGUEZ</v>
      </c>
    </row>
    <row r="2736" spans="1:9" x14ac:dyDescent="0.25">
      <c r="A2736" s="6">
        <v>43908</v>
      </c>
      <c r="B2736" t="s">
        <v>26</v>
      </c>
      <c r="C2736">
        <v>63696</v>
      </c>
      <c r="D2736" t="s">
        <v>423</v>
      </c>
      <c r="E2736" s="7">
        <v>224</v>
      </c>
      <c r="F2736" t="s">
        <v>20</v>
      </c>
      <c r="G2736" t="s">
        <v>21</v>
      </c>
      <c r="H2736" t="str">
        <f>"7001772035 2/2020"</f>
        <v>7001772035 2/2020</v>
      </c>
      <c r="I2736" t="str">
        <f>"AMERICAN WATER WORKS ASSOCIATI"</f>
        <v>AMERICAN WATER WORKS ASSOCIATI</v>
      </c>
    </row>
    <row r="2737" spans="1:9" x14ac:dyDescent="0.25">
      <c r="A2737" s="6">
        <v>43908</v>
      </c>
      <c r="B2737" t="s">
        <v>26</v>
      </c>
      <c r="C2737">
        <v>63697</v>
      </c>
      <c r="D2737" t="s">
        <v>618</v>
      </c>
      <c r="E2737" s="7">
        <v>247</v>
      </c>
      <c r="F2737" t="s">
        <v>20</v>
      </c>
      <c r="G2737" t="s">
        <v>21</v>
      </c>
      <c r="H2737" t="str">
        <f>"3/17/2020"</f>
        <v>3/17/2020</v>
      </c>
      <c r="I2737" t="str">
        <f>"SYLVIA TREVINO"</f>
        <v>SYLVIA TREVINO</v>
      </c>
    </row>
    <row r="2738" spans="1:9" x14ac:dyDescent="0.25">
      <c r="A2738" s="6">
        <v>43908</v>
      </c>
      <c r="B2738" t="s">
        <v>26</v>
      </c>
      <c r="C2738">
        <v>63698</v>
      </c>
      <c r="D2738" t="s">
        <v>644</v>
      </c>
      <c r="E2738" s="7">
        <v>1249.93</v>
      </c>
      <c r="F2738" t="s">
        <v>20</v>
      </c>
      <c r="G2738" t="s">
        <v>21</v>
      </c>
      <c r="H2738" t="str">
        <f>"8213435454"</f>
        <v>8213435454</v>
      </c>
      <c r="I2738" t="str">
        <f t="shared" ref="I2738:I2751" si="48">"UNIFIRST CORPORATION"</f>
        <v>UNIFIRST CORPORATION</v>
      </c>
    </row>
    <row r="2739" spans="1:9" x14ac:dyDescent="0.25">
      <c r="E2739" s="7"/>
      <c r="F2739" t="s">
        <v>20</v>
      </c>
      <c r="G2739" t="s">
        <v>21</v>
      </c>
      <c r="H2739" t="str">
        <f>"8213435455"</f>
        <v>8213435455</v>
      </c>
      <c r="I2739" t="str">
        <f t="shared" si="48"/>
        <v>UNIFIRST CORPORATION</v>
      </c>
    </row>
    <row r="2740" spans="1:9" x14ac:dyDescent="0.25">
      <c r="E2740" s="7"/>
      <c r="F2740" t="s">
        <v>20</v>
      </c>
      <c r="G2740" t="s">
        <v>21</v>
      </c>
      <c r="H2740" t="str">
        <f>"8213435456"</f>
        <v>8213435456</v>
      </c>
      <c r="I2740" t="str">
        <f t="shared" si="48"/>
        <v>UNIFIRST CORPORATION</v>
      </c>
    </row>
    <row r="2741" spans="1:9" x14ac:dyDescent="0.25">
      <c r="E2741" s="7"/>
      <c r="F2741" t="s">
        <v>20</v>
      </c>
      <c r="G2741" t="s">
        <v>21</v>
      </c>
      <c r="H2741" t="str">
        <f>"8213435457"</f>
        <v>8213435457</v>
      </c>
      <c r="I2741" t="str">
        <f t="shared" si="48"/>
        <v>UNIFIRST CORPORATION</v>
      </c>
    </row>
    <row r="2742" spans="1:9" x14ac:dyDescent="0.25">
      <c r="E2742" s="7"/>
      <c r="F2742" t="s">
        <v>20</v>
      </c>
      <c r="G2742" t="s">
        <v>21</v>
      </c>
      <c r="H2742" t="str">
        <f>"8213435458"</f>
        <v>8213435458</v>
      </c>
      <c r="I2742" t="str">
        <f t="shared" si="48"/>
        <v>UNIFIRST CORPORATION</v>
      </c>
    </row>
    <row r="2743" spans="1:9" x14ac:dyDescent="0.25">
      <c r="E2743" s="7"/>
      <c r="F2743" t="s">
        <v>20</v>
      </c>
      <c r="G2743" t="s">
        <v>21</v>
      </c>
      <c r="H2743" t="str">
        <f>"8213435459"</f>
        <v>8213435459</v>
      </c>
      <c r="I2743" t="str">
        <f t="shared" si="48"/>
        <v>UNIFIRST CORPORATION</v>
      </c>
    </row>
    <row r="2744" spans="1:9" x14ac:dyDescent="0.25">
      <c r="E2744" s="7"/>
      <c r="F2744" t="s">
        <v>20</v>
      </c>
      <c r="G2744" t="s">
        <v>21</v>
      </c>
      <c r="H2744" t="str">
        <f>"8213435460"</f>
        <v>8213435460</v>
      </c>
      <c r="I2744" t="str">
        <f t="shared" si="48"/>
        <v>UNIFIRST CORPORATION</v>
      </c>
    </row>
    <row r="2745" spans="1:9" x14ac:dyDescent="0.25">
      <c r="E2745" s="7"/>
      <c r="F2745" t="s">
        <v>20</v>
      </c>
      <c r="G2745" t="s">
        <v>21</v>
      </c>
      <c r="H2745" t="str">
        <f>"8213438121"</f>
        <v>8213438121</v>
      </c>
      <c r="I2745" t="str">
        <f t="shared" si="48"/>
        <v>UNIFIRST CORPORATION</v>
      </c>
    </row>
    <row r="2746" spans="1:9" x14ac:dyDescent="0.25">
      <c r="E2746" s="7"/>
      <c r="F2746" t="s">
        <v>20</v>
      </c>
      <c r="G2746" t="s">
        <v>21</v>
      </c>
      <c r="H2746" t="str">
        <f>"8213438210"</f>
        <v>8213438210</v>
      </c>
      <c r="I2746" t="str">
        <f t="shared" si="48"/>
        <v>UNIFIRST CORPORATION</v>
      </c>
    </row>
    <row r="2747" spans="1:9" x14ac:dyDescent="0.25">
      <c r="E2747" s="7"/>
      <c r="F2747" t="s">
        <v>20</v>
      </c>
      <c r="G2747" t="s">
        <v>21</v>
      </c>
      <c r="H2747" t="str">
        <f>"8213438211"</f>
        <v>8213438211</v>
      </c>
      <c r="I2747" t="str">
        <f t="shared" si="48"/>
        <v>UNIFIRST CORPORATION</v>
      </c>
    </row>
    <row r="2748" spans="1:9" x14ac:dyDescent="0.25">
      <c r="E2748" s="7"/>
      <c r="F2748" t="s">
        <v>20</v>
      </c>
      <c r="G2748" t="s">
        <v>21</v>
      </c>
      <c r="H2748" t="str">
        <f>"8213438212"</f>
        <v>8213438212</v>
      </c>
      <c r="I2748" t="str">
        <f t="shared" si="48"/>
        <v>UNIFIRST CORPORATION</v>
      </c>
    </row>
    <row r="2749" spans="1:9" x14ac:dyDescent="0.25">
      <c r="E2749" s="7"/>
      <c r="F2749" t="s">
        <v>20</v>
      </c>
      <c r="G2749" t="s">
        <v>21</v>
      </c>
      <c r="H2749" t="str">
        <f>"8213438213"</f>
        <v>8213438213</v>
      </c>
      <c r="I2749" t="str">
        <f t="shared" si="48"/>
        <v>UNIFIRST CORPORATION</v>
      </c>
    </row>
    <row r="2750" spans="1:9" x14ac:dyDescent="0.25">
      <c r="E2750" s="7"/>
      <c r="F2750" t="s">
        <v>20</v>
      </c>
      <c r="G2750" t="s">
        <v>21</v>
      </c>
      <c r="H2750" t="str">
        <f>"8213438214"</f>
        <v>8213438214</v>
      </c>
      <c r="I2750" t="str">
        <f t="shared" si="48"/>
        <v>UNIFIRST CORPORATION</v>
      </c>
    </row>
    <row r="2751" spans="1:9" x14ac:dyDescent="0.25">
      <c r="E2751" s="7"/>
      <c r="F2751" t="s">
        <v>20</v>
      </c>
      <c r="G2751" t="s">
        <v>21</v>
      </c>
      <c r="H2751" t="str">
        <f>"8213438215"</f>
        <v>8213438215</v>
      </c>
      <c r="I2751" t="str">
        <f t="shared" si="48"/>
        <v>UNIFIRST CORPORATION</v>
      </c>
    </row>
    <row r="2752" spans="1:9" x14ac:dyDescent="0.25">
      <c r="A2752" s="6">
        <v>43908</v>
      </c>
      <c r="B2752" t="s">
        <v>26</v>
      </c>
      <c r="C2752">
        <v>63701</v>
      </c>
      <c r="D2752" t="s">
        <v>648</v>
      </c>
      <c r="E2752" s="7">
        <v>2905.76</v>
      </c>
      <c r="F2752" t="s">
        <v>20</v>
      </c>
      <c r="G2752" t="s">
        <v>21</v>
      </c>
      <c r="H2752" t="str">
        <f>"CP161 12/31/19"</f>
        <v>CP161 12/31/19</v>
      </c>
      <c r="I2752" t="str">
        <f>"UNITED STATES TREASURY- IRS"</f>
        <v>UNITED STATES TREASURY- IRS</v>
      </c>
    </row>
    <row r="2753" spans="1:9" x14ac:dyDescent="0.25">
      <c r="A2753" s="6">
        <v>43908</v>
      </c>
      <c r="B2753" t="s">
        <v>26</v>
      </c>
      <c r="C2753">
        <v>63703</v>
      </c>
      <c r="D2753" t="s">
        <v>698</v>
      </c>
      <c r="E2753" s="7">
        <v>160</v>
      </c>
      <c r="F2753" t="s">
        <v>20</v>
      </c>
      <c r="G2753" t="s">
        <v>21</v>
      </c>
      <c r="H2753" t="str">
        <f>"3/16/2020"</f>
        <v>3/16/2020</v>
      </c>
      <c r="I2753" t="str">
        <f>"TRACY ORTIZ"</f>
        <v>TRACY ORTIZ</v>
      </c>
    </row>
    <row r="2754" spans="1:9" x14ac:dyDescent="0.25">
      <c r="A2754" s="6">
        <v>43908</v>
      </c>
      <c r="B2754" t="s">
        <v>26</v>
      </c>
      <c r="C2754">
        <v>63704</v>
      </c>
      <c r="D2754" t="s">
        <v>752</v>
      </c>
      <c r="E2754" s="7">
        <v>365</v>
      </c>
      <c r="F2754" t="s">
        <v>20</v>
      </c>
      <c r="G2754" t="s">
        <v>21</v>
      </c>
      <c r="H2754" t="str">
        <f>"3/17/2020"</f>
        <v>3/17/2020</v>
      </c>
      <c r="I2754" t="str">
        <f>"BLANCA PEREZ"</f>
        <v>BLANCA PEREZ</v>
      </c>
    </row>
    <row r="2755" spans="1:9" x14ac:dyDescent="0.25">
      <c r="A2755" s="6">
        <v>43908</v>
      </c>
      <c r="B2755" t="s">
        <v>26</v>
      </c>
      <c r="C2755">
        <v>63705</v>
      </c>
      <c r="D2755" t="s">
        <v>781</v>
      </c>
      <c r="E2755" s="7">
        <v>160</v>
      </c>
      <c r="F2755" t="s">
        <v>20</v>
      </c>
      <c r="G2755" t="s">
        <v>21</v>
      </c>
      <c r="H2755" t="str">
        <f>"3/16/2020"</f>
        <v>3/16/2020</v>
      </c>
      <c r="I2755" t="str">
        <f>"ASHLEY MARTINEZ"</f>
        <v>ASHLEY MARTINEZ</v>
      </c>
    </row>
    <row r="2756" spans="1:9" x14ac:dyDescent="0.25">
      <c r="A2756" s="6">
        <v>43908</v>
      </c>
      <c r="B2756" t="s">
        <v>26</v>
      </c>
      <c r="C2756">
        <v>63706</v>
      </c>
      <c r="D2756" t="s">
        <v>814</v>
      </c>
      <c r="E2756" s="7">
        <v>60</v>
      </c>
      <c r="F2756" t="s">
        <v>20</v>
      </c>
      <c r="G2756" t="s">
        <v>21</v>
      </c>
      <c r="H2756" t="str">
        <f>"3/16/2020"</f>
        <v>3/16/2020</v>
      </c>
      <c r="I2756" t="str">
        <f>"RACHEL GARCIA"</f>
        <v>RACHEL GARCIA</v>
      </c>
    </row>
    <row r="2757" spans="1:9" x14ac:dyDescent="0.25">
      <c r="A2757" s="6">
        <v>43908</v>
      </c>
      <c r="B2757" t="s">
        <v>26</v>
      </c>
      <c r="C2757">
        <v>63707</v>
      </c>
      <c r="D2757" t="s">
        <v>824</v>
      </c>
      <c r="E2757" s="7">
        <v>360</v>
      </c>
      <c r="F2757" t="s">
        <v>20</v>
      </c>
      <c r="G2757" t="s">
        <v>21</v>
      </c>
      <c r="H2757" t="str">
        <f>"3/17/2020"</f>
        <v>3/17/2020</v>
      </c>
      <c r="I2757" t="str">
        <f>"MALLORY R. NELSON"</f>
        <v>MALLORY R. NELSON</v>
      </c>
    </row>
    <row r="2758" spans="1:9" x14ac:dyDescent="0.25">
      <c r="A2758" s="6">
        <v>43908</v>
      </c>
      <c r="B2758" t="s">
        <v>91</v>
      </c>
      <c r="C2758">
        <v>63708</v>
      </c>
      <c r="D2758" t="s">
        <v>874</v>
      </c>
      <c r="E2758" s="7">
        <v>1375</v>
      </c>
      <c r="F2758" t="s">
        <v>20</v>
      </c>
      <c r="G2758" t="s">
        <v>21</v>
      </c>
      <c r="H2758" t="str">
        <f>"#3  2/1-3/112020"</f>
        <v>#3  2/1-3/112020</v>
      </c>
      <c r="I2758" t="str">
        <f>"GARZA GOLANDO MORAN"</f>
        <v>GARZA GOLANDO MORAN</v>
      </c>
    </row>
    <row r="2759" spans="1:9" x14ac:dyDescent="0.25">
      <c r="A2759" s="6">
        <v>43908</v>
      </c>
      <c r="B2759" t="s">
        <v>91</v>
      </c>
      <c r="C2759">
        <v>63708</v>
      </c>
      <c r="D2759" t="s">
        <v>874</v>
      </c>
      <c r="E2759" s="7">
        <v>1375</v>
      </c>
      <c r="F2759" t="s">
        <v>20</v>
      </c>
      <c r="G2759" t="s">
        <v>93</v>
      </c>
      <c r="H2759" t="str">
        <f>"CHECK"</f>
        <v>CHECK</v>
      </c>
      <c r="I2759" t="str">
        <f>""</f>
        <v/>
      </c>
    </row>
    <row r="2760" spans="1:9" x14ac:dyDescent="0.25">
      <c r="A2760" s="6">
        <v>43908</v>
      </c>
      <c r="B2760" t="s">
        <v>26</v>
      </c>
      <c r="C2760">
        <v>63709</v>
      </c>
      <c r="D2760" t="s">
        <v>900</v>
      </c>
      <c r="E2760" s="7">
        <v>340</v>
      </c>
      <c r="F2760" t="s">
        <v>20</v>
      </c>
      <c r="G2760" t="s">
        <v>21</v>
      </c>
      <c r="H2760" t="str">
        <f>"3/16/2020"</f>
        <v>3/16/2020</v>
      </c>
      <c r="I2760" t="str">
        <f>"GILBERT SALINAS"</f>
        <v>GILBERT SALINAS</v>
      </c>
    </row>
    <row r="2761" spans="1:9" x14ac:dyDescent="0.25">
      <c r="A2761" s="6">
        <v>43908</v>
      </c>
      <c r="B2761" t="s">
        <v>26</v>
      </c>
      <c r="C2761">
        <v>63710</v>
      </c>
      <c r="D2761" t="s">
        <v>904</v>
      </c>
      <c r="E2761" s="7">
        <v>1500</v>
      </c>
      <c r="F2761" t="s">
        <v>20</v>
      </c>
      <c r="G2761" t="s">
        <v>21</v>
      </c>
      <c r="H2761" t="str">
        <f>"0000-0010"</f>
        <v>0000-0010</v>
      </c>
      <c r="I2761" t="str">
        <f>"KARNES COUNTY"</f>
        <v>KARNES COUNTY</v>
      </c>
    </row>
    <row r="2762" spans="1:9" x14ac:dyDescent="0.25">
      <c r="A2762" s="6">
        <v>43909</v>
      </c>
      <c r="B2762" t="s">
        <v>26</v>
      </c>
      <c r="C2762">
        <v>63711</v>
      </c>
      <c r="D2762" t="s">
        <v>874</v>
      </c>
      <c r="E2762" s="7">
        <v>18917.080000000002</v>
      </c>
      <c r="F2762" t="s">
        <v>20</v>
      </c>
      <c r="G2762" t="s">
        <v>21</v>
      </c>
      <c r="H2762" t="str">
        <f>"2/1-3/11/2020 #3*"</f>
        <v>2/1-3/11/2020 #3*</v>
      </c>
      <c r="I2762" t="str">
        <f>"GARZA GOLANDO MORAN"</f>
        <v>GARZA GOLANDO MORAN</v>
      </c>
    </row>
    <row r="2763" spans="1:9" x14ac:dyDescent="0.25">
      <c r="A2763" s="6">
        <v>43913</v>
      </c>
      <c r="B2763" t="s">
        <v>26</v>
      </c>
      <c r="C2763">
        <v>63712</v>
      </c>
      <c r="D2763" t="s">
        <v>536</v>
      </c>
      <c r="E2763" s="7">
        <v>726.57</v>
      </c>
      <c r="F2763" t="s">
        <v>20</v>
      </c>
      <c r="G2763" t="s">
        <v>21</v>
      </c>
      <c r="H2763" t="str">
        <f>"3/17/2020 reissued"</f>
        <v>3/17/2020 reissued</v>
      </c>
      <c r="I2763" t="str">
        <f>"COCA-COLA SOUTHWEST BEVERAGES"</f>
        <v>COCA-COLA SOUTHWEST BEVERAGES</v>
      </c>
    </row>
    <row r="2764" spans="1:9" x14ac:dyDescent="0.25">
      <c r="A2764" s="6">
        <v>43913</v>
      </c>
      <c r="B2764" t="s">
        <v>26</v>
      </c>
      <c r="C2764">
        <v>63720</v>
      </c>
      <c r="D2764" t="s">
        <v>51</v>
      </c>
      <c r="E2764" s="7">
        <v>346.31</v>
      </c>
      <c r="F2764" t="s">
        <v>20</v>
      </c>
      <c r="G2764" t="s">
        <v>21</v>
      </c>
      <c r="H2764" t="str">
        <f>"CLE202003238566"</f>
        <v>CLE202003238566</v>
      </c>
      <c r="I2764" t="str">
        <f>"CLEAT ONLY DUES"</f>
        <v>CLEAT ONLY DUES</v>
      </c>
    </row>
    <row r="2765" spans="1:9" x14ac:dyDescent="0.25">
      <c r="E2765" s="7"/>
      <c r="F2765" t="s">
        <v>20</v>
      </c>
      <c r="G2765" t="s">
        <v>21</v>
      </c>
      <c r="H2765" t="str">
        <f>"PDD202003238566"</f>
        <v>PDD202003238566</v>
      </c>
      <c r="I2765" t="str">
        <f>"POLICE OFFICERS ASSOC DUES"</f>
        <v>POLICE OFFICERS ASSOC DUES</v>
      </c>
    </row>
    <row r="2766" spans="1:9" x14ac:dyDescent="0.25">
      <c r="A2766" s="6">
        <v>43913</v>
      </c>
      <c r="B2766" t="s">
        <v>91</v>
      </c>
      <c r="C2766">
        <v>63721</v>
      </c>
      <c r="D2766" t="s">
        <v>90</v>
      </c>
      <c r="E2766" s="7">
        <v>101.1</v>
      </c>
      <c r="F2766" t="s">
        <v>20</v>
      </c>
      <c r="G2766" t="s">
        <v>21</v>
      </c>
      <c r="H2766" t="str">
        <f>"AFS202003238566"</f>
        <v>AFS202003238566</v>
      </c>
      <c r="I2766" t="str">
        <f>"AFLAC STD"</f>
        <v>AFLAC STD</v>
      </c>
    </row>
    <row r="2767" spans="1:9" x14ac:dyDescent="0.25">
      <c r="A2767" s="6">
        <v>43913</v>
      </c>
      <c r="B2767" t="s">
        <v>91</v>
      </c>
      <c r="C2767">
        <v>63721</v>
      </c>
      <c r="D2767" t="s">
        <v>90</v>
      </c>
      <c r="E2767" s="7">
        <v>101.1</v>
      </c>
      <c r="F2767" t="s">
        <v>20</v>
      </c>
      <c r="G2767" t="s">
        <v>93</v>
      </c>
      <c r="H2767" t="str">
        <f>"CHECK"</f>
        <v>CHECK</v>
      </c>
      <c r="I2767" t="str">
        <f>""</f>
        <v/>
      </c>
    </row>
    <row r="2768" spans="1:9" x14ac:dyDescent="0.25">
      <c r="A2768" s="6">
        <v>43913</v>
      </c>
      <c r="B2768" t="s">
        <v>26</v>
      </c>
      <c r="C2768">
        <v>63722</v>
      </c>
      <c r="D2768" t="s">
        <v>52</v>
      </c>
      <c r="E2768" s="7">
        <v>971.53</v>
      </c>
      <c r="F2768" t="s">
        <v>20</v>
      </c>
      <c r="G2768" t="s">
        <v>21</v>
      </c>
      <c r="H2768" t="str">
        <f>"CA1202003238566"</f>
        <v>CA1202003238566</v>
      </c>
      <c r="I2768" t="str">
        <f>"K RAMIREZ 001200229510060343CV"</f>
        <v>K RAMIREZ 001200229510060343CV</v>
      </c>
    </row>
    <row r="2769" spans="1:9" x14ac:dyDescent="0.25">
      <c r="E2769" s="7"/>
      <c r="F2769" t="s">
        <v>20</v>
      </c>
      <c r="G2769" t="s">
        <v>21</v>
      </c>
      <c r="H2769" t="str">
        <f>"CA2202003238566"</f>
        <v>CA2202003238566</v>
      </c>
      <c r="I2769" t="str">
        <f>"L HERNANDEZ 001016025203080354"</f>
        <v>L HERNANDEZ 001016025203080354</v>
      </c>
    </row>
    <row r="2770" spans="1:9" x14ac:dyDescent="0.25">
      <c r="E2770" s="7"/>
      <c r="F2770" t="s">
        <v>20</v>
      </c>
      <c r="G2770" t="s">
        <v>21</v>
      </c>
      <c r="H2770" t="str">
        <f>"CPS202003238566"</f>
        <v>CPS202003238566</v>
      </c>
      <c r="I2770" t="str">
        <f>"G MENDOZA 00123012032010EM5054"</f>
        <v>G MENDOZA 00123012032010EM5054</v>
      </c>
    </row>
    <row r="2771" spans="1:9" x14ac:dyDescent="0.25">
      <c r="E2771" s="7"/>
      <c r="F2771" t="s">
        <v>20</v>
      </c>
      <c r="G2771" t="s">
        <v>21</v>
      </c>
      <c r="H2771" t="str">
        <f>"CS 202003238566"</f>
        <v>CS 202003238566</v>
      </c>
      <c r="I2771" t="str">
        <f>"CAUSE#98EM504113 PEGGY RIVAS"</f>
        <v>CAUSE#98EM504113 PEGGY RIVAS</v>
      </c>
    </row>
    <row r="2772" spans="1:9" x14ac:dyDescent="0.25">
      <c r="E2772" s="7"/>
      <c r="F2772" t="s">
        <v>20</v>
      </c>
      <c r="G2772" t="s">
        <v>21</v>
      </c>
      <c r="H2772" t="str">
        <f>"CSA202003238566"</f>
        <v>CSA202003238566</v>
      </c>
      <c r="I2772" t="str">
        <f>"S RODRIGUEZ 001281730413050336"</f>
        <v>S RODRIGUEZ 001281730413050336</v>
      </c>
    </row>
    <row r="2773" spans="1:9" x14ac:dyDescent="0.25">
      <c r="A2773" s="6">
        <v>43913</v>
      </c>
      <c r="B2773" t="s">
        <v>26</v>
      </c>
      <c r="C2773">
        <v>63723</v>
      </c>
      <c r="D2773" t="s">
        <v>54</v>
      </c>
      <c r="E2773" s="7">
        <v>1200.24</v>
      </c>
      <c r="F2773" t="s">
        <v>20</v>
      </c>
      <c r="G2773" t="s">
        <v>21</v>
      </c>
      <c r="H2773" t="str">
        <f>"457202003238566"</f>
        <v>457202003238566</v>
      </c>
      <c r="I2773" t="str">
        <f>"CASE # 180-60751 457B DEDUCT"</f>
        <v>CASE # 180-60751 457B DEDUCT</v>
      </c>
    </row>
    <row r="2774" spans="1:9" x14ac:dyDescent="0.25">
      <c r="A2774" s="6">
        <v>43915</v>
      </c>
      <c r="B2774" t="s">
        <v>26</v>
      </c>
      <c r="C2774">
        <v>63724</v>
      </c>
      <c r="D2774" t="s">
        <v>345</v>
      </c>
      <c r="E2774" s="7">
        <v>264</v>
      </c>
      <c r="F2774" t="s">
        <v>20</v>
      </c>
      <c r="G2774" t="s">
        <v>21</v>
      </c>
      <c r="H2774" t="str">
        <f>"3/20/2020"</f>
        <v>3/20/2020</v>
      </c>
      <c r="I2774" t="str">
        <f>"MICHAEL ISAAC MARTINEZ"</f>
        <v>MICHAEL ISAAC MARTINEZ</v>
      </c>
    </row>
    <row r="2775" spans="1:9" x14ac:dyDescent="0.25">
      <c r="A2775" s="6">
        <v>43915</v>
      </c>
      <c r="B2775" t="s">
        <v>26</v>
      </c>
      <c r="C2775">
        <v>63725</v>
      </c>
      <c r="D2775" t="s">
        <v>900</v>
      </c>
      <c r="E2775" s="7">
        <v>240</v>
      </c>
      <c r="F2775" t="s">
        <v>20</v>
      </c>
      <c r="G2775" t="s">
        <v>21</v>
      </c>
      <c r="H2775" t="str">
        <f>"03/20/2020"</f>
        <v>03/20/2020</v>
      </c>
      <c r="I2775" t="str">
        <f>"GILBERT SALINAS"</f>
        <v>GILBERT SALINAS</v>
      </c>
    </row>
    <row r="2776" spans="1:9" x14ac:dyDescent="0.25">
      <c r="A2776" s="6">
        <v>43915</v>
      </c>
      <c r="B2776" t="s">
        <v>26</v>
      </c>
      <c r="C2776">
        <v>63726</v>
      </c>
      <c r="D2776" t="s">
        <v>92</v>
      </c>
      <c r="E2776" s="7">
        <v>20340.3</v>
      </c>
      <c r="F2776" t="s">
        <v>20</v>
      </c>
      <c r="G2776" t="s">
        <v>21</v>
      </c>
      <c r="H2776" t="str">
        <f>"TMRS FEB.2020"</f>
        <v>TMRS FEB.2020</v>
      </c>
      <c r="I2776" t="str">
        <f>"TEXAS MUNICIPAL RETIREMENT SYS"</f>
        <v>TEXAS MUNICIPAL RETIREMENT SYS</v>
      </c>
    </row>
    <row r="2777" spans="1:9" x14ac:dyDescent="0.25">
      <c r="A2777" s="6">
        <v>43920</v>
      </c>
      <c r="B2777" t="s">
        <v>26</v>
      </c>
      <c r="C2777">
        <v>63728</v>
      </c>
      <c r="D2777" t="s">
        <v>103</v>
      </c>
      <c r="E2777" s="7">
        <v>58089.01</v>
      </c>
      <c r="F2777" t="s">
        <v>20</v>
      </c>
      <c r="G2777" t="s">
        <v>21</v>
      </c>
      <c r="H2777" t="str">
        <f>"SALES TAX MAR 2020"</f>
        <v>SALES TAX MAR 2020</v>
      </c>
      <c r="I2777" t="str">
        <f>"F. E. D. C."</f>
        <v>F. E. D. C.</v>
      </c>
    </row>
    <row r="2778" spans="1:9" x14ac:dyDescent="0.25">
      <c r="A2778" s="6">
        <v>43922</v>
      </c>
      <c r="B2778" t="s">
        <v>26</v>
      </c>
      <c r="C2778">
        <v>63729</v>
      </c>
      <c r="D2778" t="s">
        <v>57</v>
      </c>
      <c r="E2778" s="7">
        <v>22723.72</v>
      </c>
      <c r="F2778" t="s">
        <v>20</v>
      </c>
      <c r="G2778" t="s">
        <v>21</v>
      </c>
      <c r="H2778" t="str">
        <f>"11617 MARCH 2020"</f>
        <v>11617 MARCH 2020</v>
      </c>
      <c r="I2778" t="str">
        <f>"F.E.L.P.S."</f>
        <v>F.E.L.P.S.</v>
      </c>
    </row>
    <row r="2779" spans="1:9" x14ac:dyDescent="0.25">
      <c r="A2779" s="6">
        <v>43922</v>
      </c>
      <c r="B2779" t="s">
        <v>26</v>
      </c>
      <c r="C2779">
        <v>63730</v>
      </c>
      <c r="D2779" t="s">
        <v>561</v>
      </c>
      <c r="E2779" s="7">
        <v>1455.3</v>
      </c>
      <c r="F2779" t="s">
        <v>20</v>
      </c>
      <c r="G2779" t="s">
        <v>21</v>
      </c>
      <c r="H2779" t="str">
        <f>"079217"</f>
        <v>079217</v>
      </c>
      <c r="I2779" t="str">
        <f>"ELECTION SUPPLIES"</f>
        <v>ELECTION SUPPLIES</v>
      </c>
    </row>
    <row r="2780" spans="1:9" x14ac:dyDescent="0.25">
      <c r="A2780" s="6">
        <v>43922</v>
      </c>
      <c r="B2780" t="s">
        <v>26</v>
      </c>
      <c r="C2780">
        <v>63732</v>
      </c>
      <c r="D2780" t="s">
        <v>59</v>
      </c>
      <c r="E2780" s="7">
        <v>1498.34</v>
      </c>
      <c r="F2780" t="s">
        <v>20</v>
      </c>
      <c r="G2780" t="s">
        <v>21</v>
      </c>
      <c r="H2780" t="str">
        <f>"WS038882"</f>
        <v>WS038882</v>
      </c>
      <c r="I2780" t="str">
        <f>"BUTTERCUP EMERGENCY WORK"</f>
        <v>BUTTERCUP EMERGENCY WORK</v>
      </c>
    </row>
    <row r="2781" spans="1:9" x14ac:dyDescent="0.25">
      <c r="E2781" s="7"/>
      <c r="F2781" t="s">
        <v>20</v>
      </c>
      <c r="G2781" t="s">
        <v>21</v>
      </c>
      <c r="H2781" t="str">
        <f>"WS038882-1"</f>
        <v>WS038882-1</v>
      </c>
      <c r="I2781" t="str">
        <f>"FERGUSON WATERWORKS - MUNICIPA"</f>
        <v>FERGUSON WATERWORKS - MUNICIPA</v>
      </c>
    </row>
    <row r="2782" spans="1:9" x14ac:dyDescent="0.25">
      <c r="A2782" s="6">
        <v>43922</v>
      </c>
      <c r="B2782" t="s">
        <v>91</v>
      </c>
      <c r="C2782">
        <v>63733</v>
      </c>
      <c r="D2782" t="s">
        <v>90</v>
      </c>
      <c r="E2782" s="7">
        <v>840.88</v>
      </c>
      <c r="F2782" t="s">
        <v>20</v>
      </c>
      <c r="G2782" t="s">
        <v>21</v>
      </c>
      <c r="H2782" t="str">
        <f>"ACA202003238566"</f>
        <v>ACA202003238566</v>
      </c>
      <c r="I2782" t="str">
        <f>"AFLAC INSURANCE"</f>
        <v>AFLAC INSURANCE</v>
      </c>
    </row>
    <row r="2783" spans="1:9" x14ac:dyDescent="0.25">
      <c r="E2783" s="7"/>
      <c r="F2783" t="s">
        <v>20</v>
      </c>
      <c r="G2783" t="s">
        <v>21</v>
      </c>
      <c r="H2783" t="str">
        <f>"AD2202003238566"</f>
        <v>AD2202003238566</v>
      </c>
      <c r="I2783" t="str">
        <f>"AFLAC INSURANCE"</f>
        <v>AFLAC INSURANCE</v>
      </c>
    </row>
    <row r="2784" spans="1:9" x14ac:dyDescent="0.25">
      <c r="E2784" s="7"/>
      <c r="F2784" t="s">
        <v>20</v>
      </c>
      <c r="G2784" t="s">
        <v>21</v>
      </c>
      <c r="H2784" t="str">
        <f>"ADR202003238566"</f>
        <v>ADR202003238566</v>
      </c>
      <c r="I2784" t="str">
        <f>"INSURANCE"</f>
        <v>INSURANCE</v>
      </c>
    </row>
    <row r="2785" spans="1:9" x14ac:dyDescent="0.25">
      <c r="E2785" s="7"/>
      <c r="F2785" t="s">
        <v>20</v>
      </c>
      <c r="G2785" t="s">
        <v>21</v>
      </c>
      <c r="H2785" t="str">
        <f>"AF1202003238566"</f>
        <v>AF1202003238566</v>
      </c>
      <c r="I2785" t="str">
        <f>"AFLAC INSURANCE"</f>
        <v>AFLAC INSURANCE</v>
      </c>
    </row>
    <row r="2786" spans="1:9" x14ac:dyDescent="0.25">
      <c r="E2786" s="7"/>
      <c r="F2786" t="s">
        <v>20</v>
      </c>
      <c r="G2786" t="s">
        <v>21</v>
      </c>
      <c r="H2786" t="str">
        <f>"ASP202003238566"</f>
        <v>ASP202003238566</v>
      </c>
      <c r="I2786" t="str">
        <f>"AFLAC INSURANCE"</f>
        <v>AFLAC INSURANCE</v>
      </c>
    </row>
    <row r="2787" spans="1:9" x14ac:dyDescent="0.25">
      <c r="E2787" s="7"/>
      <c r="F2787" t="s">
        <v>20</v>
      </c>
      <c r="G2787" t="s">
        <v>21</v>
      </c>
      <c r="H2787" t="str">
        <f>"HCO202003238566"</f>
        <v>HCO202003238566</v>
      </c>
      <c r="I2787" t="str">
        <f>"AFLAC INSURANCE"</f>
        <v>AFLAC INSURANCE</v>
      </c>
    </row>
    <row r="2788" spans="1:9" x14ac:dyDescent="0.25">
      <c r="A2788" s="6">
        <v>43922</v>
      </c>
      <c r="B2788" t="s">
        <v>91</v>
      </c>
      <c r="C2788">
        <v>63733</v>
      </c>
      <c r="D2788" t="s">
        <v>90</v>
      </c>
      <c r="E2788" s="7">
        <v>840.88</v>
      </c>
      <c r="F2788" t="s">
        <v>20</v>
      </c>
      <c r="G2788" t="s">
        <v>93</v>
      </c>
      <c r="H2788" t="str">
        <f>"CHECK"</f>
        <v>CHECK</v>
      </c>
      <c r="I2788" t="str">
        <f>""</f>
        <v/>
      </c>
    </row>
    <row r="2789" spans="1:9" x14ac:dyDescent="0.25">
      <c r="A2789" s="6">
        <v>43922</v>
      </c>
      <c r="B2789" t="s">
        <v>26</v>
      </c>
      <c r="C2789">
        <v>63736</v>
      </c>
      <c r="D2789" t="s">
        <v>273</v>
      </c>
      <c r="E2789" s="7">
        <v>1805.53</v>
      </c>
      <c r="F2789" t="s">
        <v>20</v>
      </c>
      <c r="G2789" t="s">
        <v>21</v>
      </c>
      <c r="H2789" t="str">
        <f>"5119-0000092336"</f>
        <v>5119-0000092336</v>
      </c>
      <c r="I2789" t="str">
        <f>"REPUBLIC SERVICES TESSMAN ROAD"</f>
        <v>REPUBLIC SERVICES TESSMAN ROAD</v>
      </c>
    </row>
    <row r="2790" spans="1:9" x14ac:dyDescent="0.25">
      <c r="A2790" s="6">
        <v>43922</v>
      </c>
      <c r="B2790" t="s">
        <v>26</v>
      </c>
      <c r="C2790">
        <v>63737</v>
      </c>
      <c r="D2790" t="s">
        <v>180</v>
      </c>
      <c r="E2790" s="7">
        <v>418.64</v>
      </c>
      <c r="F2790" t="s">
        <v>20</v>
      </c>
      <c r="G2790" t="s">
        <v>21</v>
      </c>
      <c r="H2790" t="str">
        <f>"132058"</f>
        <v>132058</v>
      </c>
      <c r="I2790" t="str">
        <f>"COVID-19 WATER HEATER"</f>
        <v>COVID-19 WATER HEATER</v>
      </c>
    </row>
    <row r="2791" spans="1:9" x14ac:dyDescent="0.25">
      <c r="E2791" s="7"/>
      <c r="F2791" t="s">
        <v>20</v>
      </c>
      <c r="G2791" t="s">
        <v>21</v>
      </c>
      <c r="H2791" t="str">
        <f>"30141310"</f>
        <v>30141310</v>
      </c>
      <c r="I2791" t="str">
        <f>"DOOR KNOB AND KEYS"</f>
        <v>DOOR KNOB AND KEYS</v>
      </c>
    </row>
    <row r="2792" spans="1:9" x14ac:dyDescent="0.25">
      <c r="A2792" s="6">
        <v>43922</v>
      </c>
      <c r="B2792" t="s">
        <v>26</v>
      </c>
      <c r="C2792">
        <v>63738</v>
      </c>
      <c r="D2792" t="s">
        <v>108</v>
      </c>
      <c r="E2792" s="7">
        <v>2435.58</v>
      </c>
      <c r="F2792" t="s">
        <v>20</v>
      </c>
      <c r="G2792" t="s">
        <v>21</v>
      </c>
      <c r="H2792" t="str">
        <f>"041295645846"</f>
        <v>041295645846</v>
      </c>
      <c r="I2792" t="str">
        <f>"POOLSURE"</f>
        <v>POOLSURE</v>
      </c>
    </row>
    <row r="2793" spans="1:9" x14ac:dyDescent="0.25">
      <c r="A2793" s="6">
        <v>43922</v>
      </c>
      <c r="B2793" t="s">
        <v>26</v>
      </c>
      <c r="C2793">
        <v>63739</v>
      </c>
      <c r="D2793" t="s">
        <v>203</v>
      </c>
      <c r="E2793" s="7">
        <v>107.94</v>
      </c>
      <c r="F2793" t="s">
        <v>20</v>
      </c>
      <c r="G2793" t="s">
        <v>21</v>
      </c>
      <c r="H2793" t="str">
        <f>"171413"</f>
        <v>171413</v>
      </c>
      <c r="I2793" t="str">
        <f>"SAFETY SUPPLIES"</f>
        <v>SAFETY SUPPLIES</v>
      </c>
    </row>
    <row r="2794" spans="1:9" x14ac:dyDescent="0.25">
      <c r="A2794" s="6">
        <v>43922</v>
      </c>
      <c r="B2794" t="s">
        <v>26</v>
      </c>
      <c r="C2794">
        <v>63740</v>
      </c>
      <c r="D2794" t="s">
        <v>240</v>
      </c>
      <c r="E2794" s="7">
        <v>1154.23</v>
      </c>
      <c r="F2794" t="s">
        <v>20</v>
      </c>
      <c r="G2794" t="s">
        <v>21</v>
      </c>
      <c r="H2794" t="str">
        <f>"0177221-IN"</f>
        <v>0177221-IN</v>
      </c>
      <c r="I2794" t="str">
        <f>"NARDIS PUBLIC SAFETY"</f>
        <v>NARDIS PUBLIC SAFETY</v>
      </c>
    </row>
    <row r="2795" spans="1:9" x14ac:dyDescent="0.25">
      <c r="E2795" s="7"/>
      <c r="F2795" t="s">
        <v>20</v>
      </c>
      <c r="G2795" t="s">
        <v>21</v>
      </c>
      <c r="H2795" t="str">
        <f>"0180607-IN"</f>
        <v>0180607-IN</v>
      </c>
      <c r="I2795" t="str">
        <f>"UNIFORM OFFICER FAVELLA"</f>
        <v>UNIFORM OFFICER FAVELLA</v>
      </c>
    </row>
    <row r="2796" spans="1:9" x14ac:dyDescent="0.25">
      <c r="E2796" s="7"/>
      <c r="F2796" t="s">
        <v>20</v>
      </c>
      <c r="G2796" t="s">
        <v>21</v>
      </c>
      <c r="H2796" t="str">
        <f>"0182194-IN"</f>
        <v>0182194-IN</v>
      </c>
      <c r="I2796" t="str">
        <f>"NARDIS PUBLIC SAFETY"</f>
        <v>NARDIS PUBLIC SAFETY</v>
      </c>
    </row>
    <row r="2797" spans="1:9" x14ac:dyDescent="0.25">
      <c r="E2797" s="7"/>
      <c r="F2797" t="s">
        <v>20</v>
      </c>
      <c r="G2797" t="s">
        <v>21</v>
      </c>
      <c r="H2797" t="str">
        <f>"0184285-IN"</f>
        <v>0184285-IN</v>
      </c>
      <c r="I2797" t="str">
        <f>"NARDIS PUBLIC SAFETY"</f>
        <v>NARDIS PUBLIC SAFETY</v>
      </c>
    </row>
    <row r="2798" spans="1:9" x14ac:dyDescent="0.25">
      <c r="E2798" s="7"/>
      <c r="F2798" t="s">
        <v>20</v>
      </c>
      <c r="G2798" t="s">
        <v>21</v>
      </c>
      <c r="H2798" t="str">
        <f>"0185964-IN"</f>
        <v>0185964-IN</v>
      </c>
      <c r="I2798" t="str">
        <f>"NARDIS PUBLIC SAFETY"</f>
        <v>NARDIS PUBLIC SAFETY</v>
      </c>
    </row>
    <row r="2799" spans="1:9" x14ac:dyDescent="0.25">
      <c r="E2799" s="7"/>
      <c r="F2799" t="s">
        <v>20</v>
      </c>
      <c r="G2799" t="s">
        <v>21</v>
      </c>
      <c r="H2799" t="str">
        <f>"01861969-IN"</f>
        <v>01861969-IN</v>
      </c>
      <c r="I2799" t="str">
        <f>"NARDIS PUBLIC SAFETY"</f>
        <v>NARDIS PUBLIC SAFETY</v>
      </c>
    </row>
    <row r="2800" spans="1:9" x14ac:dyDescent="0.25">
      <c r="E2800" s="7"/>
      <c r="F2800" t="s">
        <v>20</v>
      </c>
      <c r="G2800" t="s">
        <v>21</v>
      </c>
      <c r="H2800" t="str">
        <f>"0187090-IN"</f>
        <v>0187090-IN</v>
      </c>
      <c r="I2800" t="str">
        <f>"NARDIS PUBLIC SAFETY"</f>
        <v>NARDIS PUBLIC SAFETY</v>
      </c>
    </row>
    <row r="2801" spans="1:9" x14ac:dyDescent="0.25">
      <c r="A2801" s="6">
        <v>43922</v>
      </c>
      <c r="B2801" t="s">
        <v>26</v>
      </c>
      <c r="C2801">
        <v>63742</v>
      </c>
      <c r="D2801" t="s">
        <v>181</v>
      </c>
      <c r="E2801" s="7">
        <v>43.61</v>
      </c>
      <c r="F2801" t="s">
        <v>20</v>
      </c>
      <c r="G2801" t="s">
        <v>21</v>
      </c>
      <c r="H2801" t="str">
        <f>"3933186 MARCH2020"</f>
        <v>3933186 MARCH2020</v>
      </c>
      <c r="I2801" t="str">
        <f>"AT&amp;T"</f>
        <v>AT&amp;T</v>
      </c>
    </row>
    <row r="2802" spans="1:9" x14ac:dyDescent="0.25">
      <c r="A2802" s="6">
        <v>43922</v>
      </c>
      <c r="B2802" t="s">
        <v>26</v>
      </c>
      <c r="C2802">
        <v>63743</v>
      </c>
      <c r="D2802" t="s">
        <v>184</v>
      </c>
      <c r="E2802" s="7">
        <v>952</v>
      </c>
      <c r="F2802" t="s">
        <v>20</v>
      </c>
      <c r="G2802" t="s">
        <v>21</v>
      </c>
      <c r="H2802" t="str">
        <f>"1058-269"</f>
        <v>1058-269</v>
      </c>
      <c r="I2802" t="str">
        <f>"POLLUTION CONTROL SERVICES"</f>
        <v>POLLUTION CONTROL SERVICES</v>
      </c>
    </row>
    <row r="2803" spans="1:9" x14ac:dyDescent="0.25">
      <c r="E2803" s="7"/>
      <c r="F2803" t="s">
        <v>20</v>
      </c>
      <c r="G2803" t="s">
        <v>21</v>
      </c>
      <c r="H2803" t="str">
        <f>"1058-270"</f>
        <v>1058-270</v>
      </c>
      <c r="I2803" t="str">
        <f>"POLLUTION CONTROL SERVICES"</f>
        <v>POLLUTION CONTROL SERVICES</v>
      </c>
    </row>
    <row r="2804" spans="1:9" x14ac:dyDescent="0.25">
      <c r="A2804" s="6">
        <v>43922</v>
      </c>
      <c r="B2804" t="s">
        <v>91</v>
      </c>
      <c r="C2804">
        <v>63744</v>
      </c>
      <c r="D2804" t="s">
        <v>95</v>
      </c>
      <c r="E2804" s="7">
        <v>29.99</v>
      </c>
      <c r="F2804" t="s">
        <v>20</v>
      </c>
      <c r="G2804" t="s">
        <v>21</v>
      </c>
      <c r="H2804" t="str">
        <f>"LEA202003238566"</f>
        <v>LEA202003238566</v>
      </c>
      <c r="I2804" t="str">
        <f>"INSURANCE"</f>
        <v>INSURANCE</v>
      </c>
    </row>
    <row r="2805" spans="1:9" x14ac:dyDescent="0.25">
      <c r="A2805" s="6">
        <v>43922</v>
      </c>
      <c r="B2805" t="s">
        <v>91</v>
      </c>
      <c r="C2805">
        <v>63744</v>
      </c>
      <c r="D2805" t="s">
        <v>95</v>
      </c>
      <c r="E2805" s="7">
        <v>29.99</v>
      </c>
      <c r="F2805" t="s">
        <v>20</v>
      </c>
      <c r="G2805" t="s">
        <v>93</v>
      </c>
      <c r="H2805" t="str">
        <f>"CHECK"</f>
        <v>CHECK</v>
      </c>
      <c r="I2805" t="str">
        <f>""</f>
        <v/>
      </c>
    </row>
    <row r="2806" spans="1:9" x14ac:dyDescent="0.25">
      <c r="A2806" s="6">
        <v>43922</v>
      </c>
      <c r="B2806" t="s">
        <v>26</v>
      </c>
      <c r="C2806">
        <v>63745</v>
      </c>
      <c r="D2806" t="s">
        <v>426</v>
      </c>
      <c r="E2806" s="7">
        <v>918.5</v>
      </c>
      <c r="F2806" t="s">
        <v>20</v>
      </c>
      <c r="G2806" t="s">
        <v>21</v>
      </c>
      <c r="H2806" t="str">
        <f>"INV0757892"</f>
        <v>INV0757892</v>
      </c>
      <c r="I2806" t="str">
        <f>"FIRE AMMO"</f>
        <v>FIRE AMMO</v>
      </c>
    </row>
    <row r="2807" spans="1:9" x14ac:dyDescent="0.25">
      <c r="A2807" s="6">
        <v>43922</v>
      </c>
      <c r="B2807" t="s">
        <v>26</v>
      </c>
      <c r="C2807">
        <v>63746</v>
      </c>
      <c r="D2807" t="s">
        <v>29</v>
      </c>
      <c r="E2807" s="7">
        <v>11155.05</v>
      </c>
      <c r="F2807" t="s">
        <v>20</v>
      </c>
      <c r="G2807" t="s">
        <v>21</v>
      </c>
      <c r="H2807" t="str">
        <f>"42623"</f>
        <v>42623</v>
      </c>
      <c r="I2807" t="str">
        <f>"M &amp; S ENGINEERING  LLC"</f>
        <v>M &amp; S ENGINEERING  LLC</v>
      </c>
    </row>
    <row r="2808" spans="1:9" x14ac:dyDescent="0.25">
      <c r="E2808" s="7"/>
      <c r="F2808" t="s">
        <v>20</v>
      </c>
      <c r="G2808" t="s">
        <v>21</v>
      </c>
      <c r="H2808" t="str">
        <f>"42628"</f>
        <v>42628</v>
      </c>
      <c r="I2808" t="str">
        <f>"M &amp; S ENGINEERING  LLC"</f>
        <v>M &amp; S ENGINEERING  LLC</v>
      </c>
    </row>
    <row r="2809" spans="1:9" x14ac:dyDescent="0.25">
      <c r="E2809" s="7"/>
      <c r="F2809" t="s">
        <v>20</v>
      </c>
      <c r="G2809" t="s">
        <v>21</v>
      </c>
      <c r="H2809" t="str">
        <f>"42630"</f>
        <v>42630</v>
      </c>
      <c r="I2809" t="str">
        <f>"M &amp; S ENGINEERING  LLC"</f>
        <v>M &amp; S ENGINEERING  LLC</v>
      </c>
    </row>
    <row r="2810" spans="1:9" x14ac:dyDescent="0.25">
      <c r="A2810" s="6">
        <v>43922</v>
      </c>
      <c r="B2810" t="s">
        <v>91</v>
      </c>
      <c r="C2810">
        <v>63747</v>
      </c>
      <c r="D2810" t="s">
        <v>96</v>
      </c>
      <c r="E2810" s="7">
        <v>143.93</v>
      </c>
      <c r="F2810" t="s">
        <v>20</v>
      </c>
      <c r="G2810" t="s">
        <v>21</v>
      </c>
      <c r="H2810" t="str">
        <f>"PPL202003238566"</f>
        <v>PPL202003238566</v>
      </c>
      <c r="I2810" t="str">
        <f>"INSURANCE"</f>
        <v>INSURANCE</v>
      </c>
    </row>
    <row r="2811" spans="1:9" x14ac:dyDescent="0.25">
      <c r="A2811" s="6">
        <v>43922</v>
      </c>
      <c r="B2811" t="s">
        <v>91</v>
      </c>
      <c r="C2811">
        <v>63747</v>
      </c>
      <c r="D2811" t="s">
        <v>96</v>
      </c>
      <c r="E2811" s="7">
        <v>143.93</v>
      </c>
      <c r="F2811" t="s">
        <v>20</v>
      </c>
      <c r="G2811" t="s">
        <v>93</v>
      </c>
      <c r="H2811" t="str">
        <f>"CHECK"</f>
        <v>CHECK</v>
      </c>
      <c r="I2811" t="str">
        <f>""</f>
        <v/>
      </c>
    </row>
    <row r="2812" spans="1:9" x14ac:dyDescent="0.25">
      <c r="A2812" s="6">
        <v>43922</v>
      </c>
      <c r="B2812" t="s">
        <v>26</v>
      </c>
      <c r="C2812">
        <v>63748</v>
      </c>
      <c r="D2812" t="s">
        <v>71</v>
      </c>
      <c r="E2812" s="7">
        <v>298.57</v>
      </c>
      <c r="F2812" t="s">
        <v>20</v>
      </c>
      <c r="G2812" t="s">
        <v>21</v>
      </c>
      <c r="H2812" t="str">
        <f>"1901185206"</f>
        <v>1901185206</v>
      </c>
      <c r="I2812" t="str">
        <f>"CINTAS CORPORATION #087"</f>
        <v>CINTAS CORPORATION #087</v>
      </c>
    </row>
    <row r="2813" spans="1:9" x14ac:dyDescent="0.25">
      <c r="E2813" s="7"/>
      <c r="F2813" t="s">
        <v>20</v>
      </c>
      <c r="G2813" t="s">
        <v>21</v>
      </c>
      <c r="H2813" t="str">
        <f>"4045940957"</f>
        <v>4045940957</v>
      </c>
      <c r="I2813" t="str">
        <f>"CINTAS CORPORATION #087"</f>
        <v>CINTAS CORPORATION #087</v>
      </c>
    </row>
    <row r="2814" spans="1:9" x14ac:dyDescent="0.25">
      <c r="A2814" s="6">
        <v>43922</v>
      </c>
      <c r="B2814" t="s">
        <v>26</v>
      </c>
      <c r="C2814">
        <v>63749</v>
      </c>
      <c r="D2814" t="s">
        <v>123</v>
      </c>
      <c r="E2814" s="7">
        <v>139.91999999999999</v>
      </c>
      <c r="F2814" t="s">
        <v>20</v>
      </c>
      <c r="G2814" t="s">
        <v>21</v>
      </c>
      <c r="H2814" t="str">
        <f>"455523365001"</f>
        <v>455523365001</v>
      </c>
      <c r="I2814" t="str">
        <f>"WATER &amp; WW CLEANING SUPP"</f>
        <v>WATER &amp; WW CLEANING SUPP</v>
      </c>
    </row>
    <row r="2815" spans="1:9" x14ac:dyDescent="0.25">
      <c r="E2815" s="7"/>
      <c r="F2815" t="s">
        <v>20</v>
      </c>
      <c r="G2815" t="s">
        <v>21</v>
      </c>
      <c r="H2815" t="str">
        <f>"455763642001"</f>
        <v>455763642001</v>
      </c>
      <c r="I2815" t="str">
        <f>"ELECTION SUPPLIES"</f>
        <v>ELECTION SUPPLIES</v>
      </c>
    </row>
    <row r="2816" spans="1:9" x14ac:dyDescent="0.25">
      <c r="E2816" s="7"/>
      <c r="F2816" t="s">
        <v>20</v>
      </c>
      <c r="G2816" t="s">
        <v>21</v>
      </c>
      <c r="H2816" t="str">
        <f>"455764806001"</f>
        <v>455764806001</v>
      </c>
      <c r="I2816" t="str">
        <f>"ELECTION SUPPLIES"</f>
        <v>ELECTION SUPPLIES</v>
      </c>
    </row>
    <row r="2817" spans="1:9" x14ac:dyDescent="0.25">
      <c r="A2817" s="6">
        <v>43922</v>
      </c>
      <c r="B2817" t="s">
        <v>26</v>
      </c>
      <c r="C2817">
        <v>63750</v>
      </c>
      <c r="D2817" t="s">
        <v>137</v>
      </c>
      <c r="E2817" s="7">
        <v>191.85</v>
      </c>
      <c r="F2817" t="s">
        <v>20</v>
      </c>
      <c r="G2817" t="s">
        <v>21</v>
      </c>
      <c r="H2817" t="str">
        <f>"10024"</f>
        <v>10024</v>
      </c>
      <c r="I2817" t="str">
        <f>"OMNIBUS-M  INC.D.B.A."</f>
        <v>OMNIBUS-M  INC.D.B.A.</v>
      </c>
    </row>
    <row r="2818" spans="1:9" x14ac:dyDescent="0.25">
      <c r="E2818" s="7"/>
      <c r="F2818" t="s">
        <v>20</v>
      </c>
      <c r="G2818" t="s">
        <v>21</v>
      </c>
      <c r="H2818" t="str">
        <f>"10025"</f>
        <v>10025</v>
      </c>
      <c r="I2818" t="str">
        <f>"OMNIBUS-M  INC.D.B.A."</f>
        <v>OMNIBUS-M  INC.D.B.A.</v>
      </c>
    </row>
    <row r="2819" spans="1:9" x14ac:dyDescent="0.25">
      <c r="E2819" s="7"/>
      <c r="F2819" t="s">
        <v>20</v>
      </c>
      <c r="G2819" t="s">
        <v>21</v>
      </c>
      <c r="H2819" t="str">
        <f>"8963"</f>
        <v>8963</v>
      </c>
      <c r="I2819" t="str">
        <f>"OMNIBUS-M  INC.D.B.A."</f>
        <v>OMNIBUS-M  INC.D.B.A.</v>
      </c>
    </row>
    <row r="2820" spans="1:9" x14ac:dyDescent="0.25">
      <c r="A2820" s="6">
        <v>43922</v>
      </c>
      <c r="B2820" t="s">
        <v>26</v>
      </c>
      <c r="C2820">
        <v>63751</v>
      </c>
      <c r="D2820" t="s">
        <v>77</v>
      </c>
      <c r="E2820" s="7">
        <v>2768.43</v>
      </c>
      <c r="F2820" t="s">
        <v>20</v>
      </c>
      <c r="G2820" t="s">
        <v>21</v>
      </c>
      <c r="H2820" t="str">
        <f>"857000241-20"</f>
        <v>857000241-20</v>
      </c>
      <c r="I2820" t="str">
        <f>"DPC INDUSTRIES  INC."</f>
        <v>DPC INDUSTRIES  INC.</v>
      </c>
    </row>
    <row r="2821" spans="1:9" x14ac:dyDescent="0.25">
      <c r="E2821" s="7"/>
      <c r="F2821" t="s">
        <v>20</v>
      </c>
      <c r="G2821" t="s">
        <v>21</v>
      </c>
      <c r="H2821" t="str">
        <f>"857000242-20"</f>
        <v>857000242-20</v>
      </c>
      <c r="I2821" t="str">
        <f>"DPC INDUSTRIES  INC."</f>
        <v>DPC INDUSTRIES  INC.</v>
      </c>
    </row>
    <row r="2822" spans="1:9" x14ac:dyDescent="0.25">
      <c r="E2822" s="7"/>
      <c r="F2822" t="s">
        <v>20</v>
      </c>
      <c r="G2822" t="s">
        <v>21</v>
      </c>
      <c r="H2822" t="str">
        <f>"857000484-20"</f>
        <v>857000484-20</v>
      </c>
      <c r="I2822" t="str">
        <f>"CHLORINE"</f>
        <v>CHLORINE</v>
      </c>
    </row>
    <row r="2823" spans="1:9" x14ac:dyDescent="0.25">
      <c r="E2823" s="7"/>
      <c r="F2823" t="s">
        <v>20</v>
      </c>
      <c r="G2823" t="s">
        <v>21</v>
      </c>
      <c r="H2823" t="str">
        <f>"857000490-20"</f>
        <v>857000490-20</v>
      </c>
      <c r="I2823" t="str">
        <f>"CHLORINE BUCKETS"</f>
        <v>CHLORINE BUCKETS</v>
      </c>
    </row>
    <row r="2824" spans="1:9" x14ac:dyDescent="0.25">
      <c r="A2824" s="6">
        <v>43922</v>
      </c>
      <c r="B2824" t="s">
        <v>26</v>
      </c>
      <c r="C2824">
        <v>63752</v>
      </c>
      <c r="D2824" t="s">
        <v>124</v>
      </c>
      <c r="E2824" s="7">
        <v>133.74</v>
      </c>
      <c r="F2824" t="s">
        <v>20</v>
      </c>
      <c r="G2824" t="s">
        <v>21</v>
      </c>
      <c r="H2824" t="str">
        <f>"11184424"</f>
        <v>11184424</v>
      </c>
      <c r="I2824" t="str">
        <f>"GROUND MAINTENANCE"</f>
        <v>GROUND MAINTENANCE</v>
      </c>
    </row>
    <row r="2825" spans="1:9" x14ac:dyDescent="0.25">
      <c r="A2825" s="6">
        <v>43922</v>
      </c>
      <c r="B2825" t="s">
        <v>26</v>
      </c>
      <c r="C2825">
        <v>63753</v>
      </c>
      <c r="D2825" t="s">
        <v>79</v>
      </c>
      <c r="E2825" s="7">
        <v>21.46</v>
      </c>
      <c r="F2825" t="s">
        <v>20</v>
      </c>
      <c r="G2825" t="s">
        <v>21</v>
      </c>
      <c r="H2825" t="str">
        <f>"6-962-136285"</f>
        <v>6-962-136285</v>
      </c>
      <c r="I2825" t="str">
        <f>"FEDEX"</f>
        <v>FEDEX</v>
      </c>
    </row>
    <row r="2826" spans="1:9" x14ac:dyDescent="0.25">
      <c r="A2826" s="6">
        <v>43922</v>
      </c>
      <c r="B2826" t="s">
        <v>26</v>
      </c>
      <c r="C2826">
        <v>63754</v>
      </c>
      <c r="D2826" t="s">
        <v>236</v>
      </c>
      <c r="E2826" s="7">
        <v>669.58</v>
      </c>
      <c r="F2826" t="s">
        <v>20</v>
      </c>
      <c r="G2826" t="s">
        <v>21</v>
      </c>
      <c r="H2826" t="str">
        <f>"71536556"</f>
        <v>71536556</v>
      </c>
      <c r="I2826" t="str">
        <f>"SAFETY SUPPLIES"</f>
        <v>SAFETY SUPPLIES</v>
      </c>
    </row>
    <row r="2827" spans="1:9" x14ac:dyDescent="0.25">
      <c r="A2827" s="6">
        <v>43922</v>
      </c>
      <c r="B2827" t="s">
        <v>26</v>
      </c>
      <c r="C2827">
        <v>63755</v>
      </c>
      <c r="D2827" t="s">
        <v>369</v>
      </c>
      <c r="E2827" s="7">
        <v>1295</v>
      </c>
      <c r="F2827" t="s">
        <v>20</v>
      </c>
      <c r="G2827" t="s">
        <v>21</v>
      </c>
      <c r="H2827" t="str">
        <f>"00336829"</f>
        <v>00336829</v>
      </c>
      <c r="I2827" t="str">
        <f>"MUNICODE"</f>
        <v>MUNICODE</v>
      </c>
    </row>
    <row r="2828" spans="1:9" x14ac:dyDescent="0.25">
      <c r="A2828" s="6">
        <v>43922</v>
      </c>
      <c r="B2828" t="s">
        <v>91</v>
      </c>
      <c r="C2828">
        <v>63756</v>
      </c>
      <c r="D2828" t="s">
        <v>97</v>
      </c>
      <c r="E2828" s="7">
        <v>38710.269999999997</v>
      </c>
      <c r="F2828" t="s">
        <v>20</v>
      </c>
      <c r="G2828" t="s">
        <v>21</v>
      </c>
      <c r="H2828" t="str">
        <f>"DEN202003238566"</f>
        <v>DEN202003238566</v>
      </c>
      <c r="I2828" t="str">
        <f>"DENTAL INSURANCE"</f>
        <v>DENTAL INSURANCE</v>
      </c>
    </row>
    <row r="2829" spans="1:9" x14ac:dyDescent="0.25">
      <c r="E2829" s="7"/>
      <c r="F2829" t="s">
        <v>20</v>
      </c>
      <c r="G2829" t="s">
        <v>21</v>
      </c>
      <c r="H2829" t="str">
        <f>"MED202003238566"</f>
        <v>MED202003238566</v>
      </c>
      <c r="I2829" t="str">
        <f>"HEALTH &amp; DENTAL INSURANCE"</f>
        <v>HEALTH &amp; DENTAL INSURANCE</v>
      </c>
    </row>
    <row r="2830" spans="1:9" x14ac:dyDescent="0.25">
      <c r="A2830" s="6">
        <v>43922</v>
      </c>
      <c r="B2830" t="s">
        <v>91</v>
      </c>
      <c r="C2830">
        <v>63756</v>
      </c>
      <c r="D2830" t="s">
        <v>97</v>
      </c>
      <c r="E2830" s="7">
        <v>38710.269999999997</v>
      </c>
      <c r="F2830" t="s">
        <v>20</v>
      </c>
      <c r="G2830" t="s">
        <v>93</v>
      </c>
      <c r="H2830" t="str">
        <f>"CHECK"</f>
        <v>CHECK</v>
      </c>
      <c r="I2830" t="str">
        <f>""</f>
        <v/>
      </c>
    </row>
    <row r="2831" spans="1:9" x14ac:dyDescent="0.25">
      <c r="A2831" s="6">
        <v>43922</v>
      </c>
      <c r="B2831" t="s">
        <v>91</v>
      </c>
      <c r="C2831">
        <v>63758</v>
      </c>
      <c r="D2831" t="s">
        <v>98</v>
      </c>
      <c r="E2831" s="7">
        <v>1937.77</v>
      </c>
      <c r="F2831" t="s">
        <v>20</v>
      </c>
      <c r="G2831" t="s">
        <v>21</v>
      </c>
      <c r="H2831" t="str">
        <f>"LIF202003238566"</f>
        <v>LIF202003238566</v>
      </c>
      <c r="I2831" t="str">
        <f>"INSURANCE"</f>
        <v>INSURANCE</v>
      </c>
    </row>
    <row r="2832" spans="1:9" x14ac:dyDescent="0.25">
      <c r="E2832" s="7"/>
      <c r="F2832" t="s">
        <v>20</v>
      </c>
      <c r="G2832" t="s">
        <v>21</v>
      </c>
      <c r="H2832" t="str">
        <f>"STD202003238566"</f>
        <v>STD202003238566</v>
      </c>
      <c r="I2832" t="str">
        <f>"SHORT TERM DISABILITY"</f>
        <v>SHORT TERM DISABILITY</v>
      </c>
    </row>
    <row r="2833" spans="1:9" x14ac:dyDescent="0.25">
      <c r="E2833" s="7"/>
      <c r="F2833" t="s">
        <v>20</v>
      </c>
      <c r="G2833" t="s">
        <v>21</v>
      </c>
      <c r="H2833" t="str">
        <f>"VIS202003238566"</f>
        <v>VIS202003238566</v>
      </c>
      <c r="I2833" t="str">
        <f>"VISION INSURANCE"</f>
        <v>VISION INSURANCE</v>
      </c>
    </row>
    <row r="2834" spans="1:9" x14ac:dyDescent="0.25">
      <c r="E2834" s="7"/>
      <c r="F2834" t="s">
        <v>20</v>
      </c>
      <c r="G2834" t="s">
        <v>21</v>
      </c>
      <c r="H2834" t="str">
        <f>"VLC202003238566"</f>
        <v>VLC202003238566</v>
      </c>
      <c r="I2834" t="str">
        <f>"CHILD LIFE INSURANCE"</f>
        <v>CHILD LIFE INSURANCE</v>
      </c>
    </row>
    <row r="2835" spans="1:9" x14ac:dyDescent="0.25">
      <c r="E2835" s="7"/>
      <c r="F2835" t="s">
        <v>20</v>
      </c>
      <c r="G2835" t="s">
        <v>21</v>
      </c>
      <c r="H2835" t="str">
        <f>"VLS202003238566"</f>
        <v>VLS202003238566</v>
      </c>
      <c r="I2835" t="str">
        <f>"SPOUSE LIFE"</f>
        <v>SPOUSE LIFE</v>
      </c>
    </row>
    <row r="2836" spans="1:9" x14ac:dyDescent="0.25">
      <c r="E2836" s="7"/>
      <c r="F2836" t="s">
        <v>20</v>
      </c>
      <c r="G2836" t="s">
        <v>21</v>
      </c>
      <c r="H2836" t="str">
        <f>"VOE202003238566"</f>
        <v>VOE202003238566</v>
      </c>
      <c r="I2836" t="str">
        <f>"EMPLOYEE LIFE"</f>
        <v>EMPLOYEE LIFE</v>
      </c>
    </row>
    <row r="2837" spans="1:9" x14ac:dyDescent="0.25">
      <c r="E2837" s="7"/>
      <c r="F2837" t="s">
        <v>20</v>
      </c>
      <c r="G2837" t="s">
        <v>21</v>
      </c>
      <c r="H2837" t="str">
        <f>"VOL202003238566"</f>
        <v>VOL202003238566</v>
      </c>
      <c r="I2837" t="str">
        <f>"LIFE"</f>
        <v>LIFE</v>
      </c>
    </row>
    <row r="2838" spans="1:9" x14ac:dyDescent="0.25">
      <c r="A2838" s="6">
        <v>43922</v>
      </c>
      <c r="B2838" t="s">
        <v>91</v>
      </c>
      <c r="C2838">
        <v>63758</v>
      </c>
      <c r="D2838" t="s">
        <v>98</v>
      </c>
      <c r="E2838" s="7">
        <v>1937.77</v>
      </c>
      <c r="F2838" t="s">
        <v>20</v>
      </c>
      <c r="G2838" t="s">
        <v>93</v>
      </c>
      <c r="H2838" t="str">
        <f>"CHECK"</f>
        <v>CHECK</v>
      </c>
      <c r="I2838" t="str">
        <f>""</f>
        <v/>
      </c>
    </row>
    <row r="2839" spans="1:9" x14ac:dyDescent="0.25">
      <c r="A2839" s="6">
        <v>43922</v>
      </c>
      <c r="B2839" t="s">
        <v>26</v>
      </c>
      <c r="C2839">
        <v>63763</v>
      </c>
      <c r="D2839" t="s">
        <v>821</v>
      </c>
      <c r="E2839" s="7">
        <v>5768</v>
      </c>
      <c r="F2839" t="s">
        <v>20</v>
      </c>
      <c r="G2839" t="s">
        <v>21</v>
      </c>
      <c r="H2839" t="str">
        <f>"NSI10867"</f>
        <v>NSI10867</v>
      </c>
      <c r="I2839" t="str">
        <f>"EMERGENCY PUMP WORK"</f>
        <v>EMERGENCY PUMP WORK</v>
      </c>
    </row>
    <row r="2840" spans="1:9" x14ac:dyDescent="0.25">
      <c r="A2840" s="6">
        <v>43922</v>
      </c>
      <c r="B2840" t="s">
        <v>26</v>
      </c>
      <c r="C2840">
        <v>63764</v>
      </c>
      <c r="D2840" t="s">
        <v>309</v>
      </c>
      <c r="E2840" s="7">
        <v>342.89</v>
      </c>
      <c r="F2840" t="s">
        <v>20</v>
      </c>
      <c r="G2840" t="s">
        <v>21</v>
      </c>
      <c r="H2840" t="str">
        <f>"0162751/0162747"</f>
        <v>0162751/0162747</v>
      </c>
      <c r="I2840" t="str">
        <f>"COVID-19 -TY VECK SUITS"</f>
        <v>COVID-19 -TY VECK SUITS</v>
      </c>
    </row>
    <row r="2841" spans="1:9" x14ac:dyDescent="0.25">
      <c r="A2841" s="6">
        <v>43922</v>
      </c>
      <c r="B2841" t="s">
        <v>26</v>
      </c>
      <c r="C2841">
        <v>63765</v>
      </c>
      <c r="D2841" t="s">
        <v>83</v>
      </c>
      <c r="E2841" s="7">
        <v>1044</v>
      </c>
      <c r="F2841" t="s">
        <v>20</v>
      </c>
      <c r="G2841" t="s">
        <v>21</v>
      </c>
      <c r="H2841" t="str">
        <f>"1108014"</f>
        <v>1108014</v>
      </c>
      <c r="I2841" t="str">
        <f>"APPRIVER"</f>
        <v>APPRIVER</v>
      </c>
    </row>
    <row r="2842" spans="1:9" x14ac:dyDescent="0.25">
      <c r="A2842" s="6">
        <v>43922</v>
      </c>
      <c r="B2842" t="s">
        <v>26</v>
      </c>
      <c r="C2842">
        <v>63766</v>
      </c>
      <c r="D2842" t="s">
        <v>85</v>
      </c>
      <c r="E2842" s="7">
        <v>1155.68</v>
      </c>
      <c r="F2842" t="s">
        <v>20</v>
      </c>
      <c r="G2842" t="s">
        <v>21</v>
      </c>
      <c r="H2842" t="str">
        <f>"2162733 MAR2020"</f>
        <v>2162733 MAR2020</v>
      </c>
      <c r="I2842" t="str">
        <f t="shared" ref="I2842:I2851" si="49">"FRONTIER"</f>
        <v>FRONTIER</v>
      </c>
    </row>
    <row r="2843" spans="1:9" x14ac:dyDescent="0.25">
      <c r="E2843" s="7"/>
      <c r="F2843" t="s">
        <v>20</v>
      </c>
      <c r="G2843" t="s">
        <v>21</v>
      </c>
      <c r="H2843" t="str">
        <f>"2162755 MAR2020"</f>
        <v>2162755 MAR2020</v>
      </c>
      <c r="I2843" t="str">
        <f t="shared" si="49"/>
        <v>FRONTIER</v>
      </c>
    </row>
    <row r="2844" spans="1:9" x14ac:dyDescent="0.25">
      <c r="E2844" s="7"/>
      <c r="F2844" t="s">
        <v>20</v>
      </c>
      <c r="G2844" t="s">
        <v>21</v>
      </c>
      <c r="H2844" t="str">
        <f>"3932056 FEB2020"</f>
        <v>3932056 FEB2020</v>
      </c>
      <c r="I2844" t="str">
        <f t="shared" si="49"/>
        <v>FRONTIER</v>
      </c>
    </row>
    <row r="2845" spans="1:9" x14ac:dyDescent="0.25">
      <c r="E2845" s="7"/>
      <c r="F2845" t="s">
        <v>20</v>
      </c>
      <c r="G2845" t="s">
        <v>21</v>
      </c>
      <c r="H2845" t="str">
        <f>"3932804 MARCH2020"</f>
        <v>3932804 MARCH2020</v>
      </c>
      <c r="I2845" t="str">
        <f t="shared" si="49"/>
        <v>FRONTIER</v>
      </c>
    </row>
    <row r="2846" spans="1:9" x14ac:dyDescent="0.25">
      <c r="E2846" s="7"/>
      <c r="F2846" t="s">
        <v>20</v>
      </c>
      <c r="G2846" t="s">
        <v>21</v>
      </c>
      <c r="H2846" t="str">
        <f>"3933105 FEB 2020"</f>
        <v>3933105 FEB 2020</v>
      </c>
      <c r="I2846" t="str">
        <f t="shared" si="49"/>
        <v>FRONTIER</v>
      </c>
    </row>
    <row r="2847" spans="1:9" x14ac:dyDescent="0.25">
      <c r="E2847" s="7"/>
      <c r="F2847" t="s">
        <v>20</v>
      </c>
      <c r="G2847" t="s">
        <v>21</v>
      </c>
      <c r="H2847" t="str">
        <f>"3933186 MARCH 2020"</f>
        <v>3933186 MARCH 2020</v>
      </c>
      <c r="I2847" t="str">
        <f t="shared" si="49"/>
        <v>FRONTIER</v>
      </c>
    </row>
    <row r="2848" spans="1:9" x14ac:dyDescent="0.25">
      <c r="E2848" s="7"/>
      <c r="F2848" t="s">
        <v>20</v>
      </c>
      <c r="G2848" t="s">
        <v>21</v>
      </c>
      <c r="H2848" t="str">
        <f>"3936616 FEB2020"</f>
        <v>3936616 FEB2020</v>
      </c>
      <c r="I2848" t="str">
        <f t="shared" si="49"/>
        <v>FRONTIER</v>
      </c>
    </row>
    <row r="2849" spans="1:9" x14ac:dyDescent="0.25">
      <c r="E2849" s="7"/>
      <c r="F2849" t="s">
        <v>20</v>
      </c>
      <c r="G2849" t="s">
        <v>21</v>
      </c>
      <c r="H2849" t="str">
        <f>"3936794 MARCH2020"</f>
        <v>3936794 MARCH2020</v>
      </c>
      <c r="I2849" t="str">
        <f t="shared" si="49"/>
        <v>FRONTIER</v>
      </c>
    </row>
    <row r="2850" spans="1:9" x14ac:dyDescent="0.25">
      <c r="E2850" s="7"/>
      <c r="F2850" t="s">
        <v>20</v>
      </c>
      <c r="G2850" t="s">
        <v>21</v>
      </c>
      <c r="H2850" t="str">
        <f>"3938193 MAR2020"</f>
        <v>3938193 MAR2020</v>
      </c>
      <c r="I2850" t="str">
        <f t="shared" si="49"/>
        <v>FRONTIER</v>
      </c>
    </row>
    <row r="2851" spans="1:9" x14ac:dyDescent="0.25">
      <c r="E2851" s="7"/>
      <c r="F2851" t="s">
        <v>20</v>
      </c>
      <c r="G2851" t="s">
        <v>21</v>
      </c>
      <c r="H2851" t="str">
        <f>"3939456 MARCH 2020"</f>
        <v>3939456 MARCH 2020</v>
      </c>
      <c r="I2851" t="str">
        <f t="shared" si="49"/>
        <v>FRONTIER</v>
      </c>
    </row>
    <row r="2852" spans="1:9" x14ac:dyDescent="0.25">
      <c r="A2852" s="6">
        <v>43922</v>
      </c>
      <c r="B2852" t="s">
        <v>26</v>
      </c>
      <c r="C2852">
        <v>63768</v>
      </c>
      <c r="D2852" t="s">
        <v>47</v>
      </c>
      <c r="E2852" s="7">
        <v>129609.53</v>
      </c>
      <c r="F2852" t="s">
        <v>20</v>
      </c>
      <c r="G2852" t="s">
        <v>21</v>
      </c>
      <c r="H2852" t="str">
        <f>"COFEP3312020"</f>
        <v>COFEP3312020</v>
      </c>
      <c r="I2852" t="str">
        <f>"HEARTLAND PARK &amp; RECREATION  L"</f>
        <v>HEARTLAND PARK &amp; RECREATION  L</v>
      </c>
    </row>
    <row r="2853" spans="1:9" x14ac:dyDescent="0.25">
      <c r="A2853" s="6">
        <v>43922</v>
      </c>
      <c r="B2853" t="s">
        <v>26</v>
      </c>
      <c r="C2853">
        <v>63769</v>
      </c>
      <c r="D2853" t="s">
        <v>345</v>
      </c>
      <c r="E2853" s="7">
        <v>330</v>
      </c>
      <c r="F2853" t="s">
        <v>20</v>
      </c>
      <c r="G2853" t="s">
        <v>21</v>
      </c>
      <c r="H2853" t="str">
        <f>"3/30/2020"</f>
        <v>3/30/2020</v>
      </c>
      <c r="I2853" t="str">
        <f>"MICHAEL ISAAC MARTINEZ"</f>
        <v>MICHAEL ISAAC MARTINEZ</v>
      </c>
    </row>
    <row r="2854" spans="1:9" x14ac:dyDescent="0.25">
      <c r="A2854" s="6">
        <v>43922</v>
      </c>
      <c r="B2854" t="s">
        <v>26</v>
      </c>
      <c r="C2854">
        <v>63770</v>
      </c>
      <c r="D2854" t="s">
        <v>528</v>
      </c>
      <c r="E2854" s="7">
        <v>103.53</v>
      </c>
      <c r="F2854" t="s">
        <v>20</v>
      </c>
      <c r="G2854" t="s">
        <v>21</v>
      </c>
      <c r="H2854" t="str">
        <f>"10238126"</f>
        <v>10238126</v>
      </c>
      <c r="I2854" t="str">
        <f>"PROSTAR SERVICES INC"</f>
        <v>PROSTAR SERVICES INC</v>
      </c>
    </row>
    <row r="2855" spans="1:9" x14ac:dyDescent="0.25">
      <c r="A2855" s="6">
        <v>43922</v>
      </c>
      <c r="B2855" t="s">
        <v>26</v>
      </c>
      <c r="C2855">
        <v>63771</v>
      </c>
      <c r="D2855" t="s">
        <v>630</v>
      </c>
      <c r="E2855" s="7">
        <v>10073.75</v>
      </c>
      <c r="F2855" t="s">
        <v>20</v>
      </c>
      <c r="G2855" t="s">
        <v>21</v>
      </c>
      <c r="H2855" t="str">
        <f>"26570"</f>
        <v>26570</v>
      </c>
      <c r="I2855" t="str">
        <f>"METERS/REGISTERS"</f>
        <v>METERS/REGISTERS</v>
      </c>
    </row>
    <row r="2856" spans="1:9" x14ac:dyDescent="0.25">
      <c r="A2856" s="6">
        <v>43922</v>
      </c>
      <c r="B2856" t="s">
        <v>26</v>
      </c>
      <c r="C2856">
        <v>63772</v>
      </c>
      <c r="D2856" t="s">
        <v>644</v>
      </c>
      <c r="E2856" s="7">
        <v>438.96</v>
      </c>
      <c r="F2856" t="s">
        <v>20</v>
      </c>
      <c r="G2856" t="s">
        <v>21</v>
      </c>
      <c r="H2856" t="str">
        <f>"8213438209"</f>
        <v>8213438209</v>
      </c>
      <c r="I2856" t="str">
        <f>"UNIFIRST CORPORATION"</f>
        <v>UNIFIRST CORPORATION</v>
      </c>
    </row>
    <row r="2857" spans="1:9" x14ac:dyDescent="0.25">
      <c r="E2857" s="7"/>
      <c r="F2857" t="s">
        <v>20</v>
      </c>
      <c r="G2857" t="s">
        <v>21</v>
      </c>
      <c r="H2857" t="str">
        <f>"8213440864"</f>
        <v>8213440864</v>
      </c>
      <c r="I2857" t="str">
        <f>"UNIFIRST CORPORATION"</f>
        <v>UNIFIRST CORPORATION</v>
      </c>
    </row>
    <row r="2858" spans="1:9" x14ac:dyDescent="0.25">
      <c r="A2858" s="6">
        <v>43922</v>
      </c>
      <c r="B2858" t="s">
        <v>26</v>
      </c>
      <c r="C2858">
        <v>63773</v>
      </c>
      <c r="D2858" t="s">
        <v>647</v>
      </c>
      <c r="E2858" s="7">
        <v>2490</v>
      </c>
      <c r="F2858" t="s">
        <v>20</v>
      </c>
      <c r="G2858" t="s">
        <v>21</v>
      </c>
      <c r="H2858" t="str">
        <f>"26641742"</f>
        <v>26641742</v>
      </c>
      <c r="I2858" t="str">
        <f>"DOCUMATION  INC."</f>
        <v>DOCUMATION  INC.</v>
      </c>
    </row>
    <row r="2859" spans="1:9" x14ac:dyDescent="0.25">
      <c r="A2859" s="6">
        <v>43922</v>
      </c>
      <c r="B2859" t="s">
        <v>26</v>
      </c>
      <c r="C2859">
        <v>63774</v>
      </c>
      <c r="D2859" t="s">
        <v>752</v>
      </c>
      <c r="E2859" s="7">
        <v>80</v>
      </c>
      <c r="F2859" t="s">
        <v>20</v>
      </c>
      <c r="G2859" t="s">
        <v>21</v>
      </c>
      <c r="H2859" t="str">
        <f>"3/27/2020"</f>
        <v>3/27/2020</v>
      </c>
      <c r="I2859" t="str">
        <f>"BLANCA PEREZ"</f>
        <v>BLANCA PEREZ</v>
      </c>
    </row>
    <row r="2860" spans="1:9" x14ac:dyDescent="0.25">
      <c r="A2860" s="6">
        <v>43922</v>
      </c>
      <c r="B2860" t="s">
        <v>26</v>
      </c>
      <c r="C2860">
        <v>63775</v>
      </c>
      <c r="D2860" t="s">
        <v>824</v>
      </c>
      <c r="E2860" s="7">
        <v>80</v>
      </c>
      <c r="F2860" t="s">
        <v>20</v>
      </c>
      <c r="G2860" t="s">
        <v>21</v>
      </c>
      <c r="H2860" t="str">
        <f>"3/27/2020"</f>
        <v>3/27/2020</v>
      </c>
      <c r="I2860" t="str">
        <f>"MALLORY R. NELSON"</f>
        <v>MALLORY R. NELSON</v>
      </c>
    </row>
    <row r="2861" spans="1:9" x14ac:dyDescent="0.25">
      <c r="A2861" s="6">
        <v>43922</v>
      </c>
      <c r="B2861" t="s">
        <v>26</v>
      </c>
      <c r="C2861">
        <v>63776</v>
      </c>
      <c r="D2861" t="s">
        <v>905</v>
      </c>
      <c r="E2861" s="7">
        <v>761.5</v>
      </c>
      <c r="F2861" t="s">
        <v>20</v>
      </c>
      <c r="G2861" t="s">
        <v>21</v>
      </c>
      <c r="H2861" t="str">
        <f>"58805"</f>
        <v>58805</v>
      </c>
      <c r="I2861" t="str">
        <f>"MID-WEST PRINTING COMPANY"</f>
        <v>MID-WEST PRINTING COMPANY</v>
      </c>
    </row>
    <row r="2862" spans="1:9" x14ac:dyDescent="0.25">
      <c r="A2862" s="6">
        <v>43922</v>
      </c>
      <c r="B2862" t="s">
        <v>26</v>
      </c>
      <c r="C2862">
        <v>63777</v>
      </c>
      <c r="D2862" t="s">
        <v>90</v>
      </c>
      <c r="E2862" s="7">
        <v>1997.82</v>
      </c>
      <c r="F2862" t="s">
        <v>20</v>
      </c>
      <c r="G2862" t="s">
        <v>21</v>
      </c>
      <c r="H2862" t="str">
        <f>"876344"</f>
        <v>876344</v>
      </c>
      <c r="I2862" t="str">
        <f>"AFLAC"</f>
        <v>AFLAC</v>
      </c>
    </row>
    <row r="2863" spans="1:9" x14ac:dyDescent="0.25">
      <c r="A2863" s="6">
        <v>43922</v>
      </c>
      <c r="B2863" t="s">
        <v>26</v>
      </c>
      <c r="C2863">
        <v>63778</v>
      </c>
      <c r="D2863" t="s">
        <v>0</v>
      </c>
      <c r="E2863" s="7">
        <v>3025.32</v>
      </c>
      <c r="F2863" t="s">
        <v>20</v>
      </c>
      <c r="G2863" t="s">
        <v>21</v>
      </c>
      <c r="H2863" t="str">
        <f>"MARCH 2020"</f>
        <v>MARCH 2020</v>
      </c>
      <c r="I2863" t="str">
        <f>"CITY OF FLORESVILLE"</f>
        <v>CITY OF FLORESVILLE</v>
      </c>
    </row>
    <row r="2864" spans="1:9" x14ac:dyDescent="0.25">
      <c r="A2864" s="6">
        <v>43922</v>
      </c>
      <c r="B2864" t="s">
        <v>26</v>
      </c>
      <c r="C2864">
        <v>63779</v>
      </c>
      <c r="D2864" t="s">
        <v>95</v>
      </c>
      <c r="E2864" s="7">
        <v>64.959999999999994</v>
      </c>
      <c r="F2864" t="s">
        <v>20</v>
      </c>
      <c r="G2864" t="s">
        <v>21</v>
      </c>
      <c r="H2864" t="str">
        <f>"202003016"</f>
        <v>202003016</v>
      </c>
      <c r="I2864" t="str">
        <f>"LEGAL PLANS"</f>
        <v>LEGAL PLANS</v>
      </c>
    </row>
    <row r="2865" spans="1:9" x14ac:dyDescent="0.25">
      <c r="A2865" s="6">
        <v>43922</v>
      </c>
      <c r="B2865" t="s">
        <v>26</v>
      </c>
      <c r="C2865">
        <v>63780</v>
      </c>
      <c r="D2865" t="s">
        <v>96</v>
      </c>
      <c r="E2865" s="7">
        <v>457.35</v>
      </c>
      <c r="F2865" t="s">
        <v>20</v>
      </c>
      <c r="G2865" t="s">
        <v>21</v>
      </c>
      <c r="H2865" t="str">
        <f>"MARCH 2020"</f>
        <v>MARCH 2020</v>
      </c>
      <c r="I2865" t="str">
        <f>"LEGALSHIELD"</f>
        <v>LEGALSHIELD</v>
      </c>
    </row>
    <row r="2866" spans="1:9" x14ac:dyDescent="0.25">
      <c r="A2866" s="6">
        <v>43922</v>
      </c>
      <c r="B2866" t="s">
        <v>91</v>
      </c>
      <c r="C2866">
        <v>63781</v>
      </c>
      <c r="D2866" t="s">
        <v>97</v>
      </c>
      <c r="E2866" s="7">
        <v>41290.22</v>
      </c>
      <c r="F2866" t="s">
        <v>20</v>
      </c>
      <c r="G2866" t="s">
        <v>21</v>
      </c>
      <c r="H2866" t="str">
        <f>"MARCH 2020"</f>
        <v>MARCH 2020</v>
      </c>
      <c r="I2866" t="str">
        <f>"HEALTH CARE SERVICE CORPORATIO"</f>
        <v>HEALTH CARE SERVICE CORPORATIO</v>
      </c>
    </row>
    <row r="2867" spans="1:9" x14ac:dyDescent="0.25">
      <c r="A2867" s="6">
        <v>43922</v>
      </c>
      <c r="B2867" t="s">
        <v>91</v>
      </c>
      <c r="C2867">
        <v>63781</v>
      </c>
      <c r="D2867" t="s">
        <v>97</v>
      </c>
      <c r="E2867" s="7">
        <v>41290.22</v>
      </c>
      <c r="F2867" t="s">
        <v>20</v>
      </c>
      <c r="G2867" t="s">
        <v>93</v>
      </c>
      <c r="H2867" t="str">
        <f>"CHECK"</f>
        <v>CHECK</v>
      </c>
      <c r="I2867" t="str">
        <f>""</f>
        <v/>
      </c>
    </row>
    <row r="2868" spans="1:9" x14ac:dyDescent="0.25">
      <c r="A2868" s="6">
        <v>43927</v>
      </c>
      <c r="B2868" t="s">
        <v>26</v>
      </c>
      <c r="C2868">
        <v>63790</v>
      </c>
      <c r="D2868" t="s">
        <v>51</v>
      </c>
      <c r="E2868" s="7">
        <v>346.31</v>
      </c>
      <c r="F2868" t="s">
        <v>20</v>
      </c>
      <c r="G2868" t="s">
        <v>21</v>
      </c>
      <c r="H2868" t="str">
        <f>"CLE202004068567"</f>
        <v>CLE202004068567</v>
      </c>
      <c r="I2868" t="str">
        <f>"CLEAT ONLY DUES"</f>
        <v>CLEAT ONLY DUES</v>
      </c>
    </row>
    <row r="2869" spans="1:9" x14ac:dyDescent="0.25">
      <c r="E2869" s="7"/>
      <c r="F2869" t="s">
        <v>20</v>
      </c>
      <c r="G2869" t="s">
        <v>21</v>
      </c>
      <c r="H2869" t="str">
        <f>"PDD202004068567"</f>
        <v>PDD202004068567</v>
      </c>
      <c r="I2869" t="str">
        <f>"POLICE OFFICERS ASSOC DUES"</f>
        <v>POLICE OFFICERS ASSOC DUES</v>
      </c>
    </row>
    <row r="2870" spans="1:9" x14ac:dyDescent="0.25">
      <c r="A2870" s="6">
        <v>43927</v>
      </c>
      <c r="B2870" t="s">
        <v>91</v>
      </c>
      <c r="C2870">
        <v>63791</v>
      </c>
      <c r="D2870" t="s">
        <v>90</v>
      </c>
      <c r="E2870" s="7">
        <v>101.1</v>
      </c>
      <c r="F2870" t="s">
        <v>20</v>
      </c>
      <c r="G2870" t="s">
        <v>21</v>
      </c>
      <c r="H2870" t="str">
        <f>"AFS202004068567"</f>
        <v>AFS202004068567</v>
      </c>
      <c r="I2870" t="str">
        <f>"AFLAC STD"</f>
        <v>AFLAC STD</v>
      </c>
    </row>
    <row r="2871" spans="1:9" x14ac:dyDescent="0.25">
      <c r="A2871" s="6">
        <v>43927</v>
      </c>
      <c r="B2871" t="s">
        <v>91</v>
      </c>
      <c r="C2871">
        <v>63791</v>
      </c>
      <c r="D2871" t="s">
        <v>90</v>
      </c>
      <c r="E2871" s="7">
        <v>101.1</v>
      </c>
      <c r="F2871" t="s">
        <v>20</v>
      </c>
      <c r="G2871" t="s">
        <v>93</v>
      </c>
      <c r="H2871" t="str">
        <f>"CHECK"</f>
        <v>CHECK</v>
      </c>
      <c r="I2871" t="str">
        <f>""</f>
        <v/>
      </c>
    </row>
    <row r="2872" spans="1:9" x14ac:dyDescent="0.25">
      <c r="A2872" s="6">
        <v>43927</v>
      </c>
      <c r="B2872" t="s">
        <v>26</v>
      </c>
      <c r="C2872">
        <v>63792</v>
      </c>
      <c r="D2872" t="s">
        <v>52</v>
      </c>
      <c r="E2872" s="7">
        <v>971.53</v>
      </c>
      <c r="F2872" t="s">
        <v>20</v>
      </c>
      <c r="G2872" t="s">
        <v>21</v>
      </c>
      <c r="H2872" t="str">
        <f>"CA1202004068567"</f>
        <v>CA1202004068567</v>
      </c>
      <c r="I2872" t="str">
        <f>"K RAMIREZ 001200229510060343CV"</f>
        <v>K RAMIREZ 001200229510060343CV</v>
      </c>
    </row>
    <row r="2873" spans="1:9" x14ac:dyDescent="0.25">
      <c r="E2873" s="7"/>
      <c r="F2873" t="s">
        <v>20</v>
      </c>
      <c r="G2873" t="s">
        <v>21</v>
      </c>
      <c r="H2873" t="str">
        <f>"CA2202004068567"</f>
        <v>CA2202004068567</v>
      </c>
      <c r="I2873" t="str">
        <f>"L HERNANDEZ 001016025203080354"</f>
        <v>L HERNANDEZ 001016025203080354</v>
      </c>
    </row>
    <row r="2874" spans="1:9" x14ac:dyDescent="0.25">
      <c r="E2874" s="7"/>
      <c r="F2874" t="s">
        <v>20</v>
      </c>
      <c r="G2874" t="s">
        <v>21</v>
      </c>
      <c r="H2874" t="str">
        <f>"CPS202004068567"</f>
        <v>CPS202004068567</v>
      </c>
      <c r="I2874" t="str">
        <f>"G MENDOZA 00123012032010EM5054"</f>
        <v>G MENDOZA 00123012032010EM5054</v>
      </c>
    </row>
    <row r="2875" spans="1:9" x14ac:dyDescent="0.25">
      <c r="E2875" s="7"/>
      <c r="F2875" t="s">
        <v>20</v>
      </c>
      <c r="G2875" t="s">
        <v>21</v>
      </c>
      <c r="H2875" t="str">
        <f>"CS 202004068567"</f>
        <v>CS 202004068567</v>
      </c>
      <c r="I2875" t="str">
        <f>"CAUSE#98EM504113 PEGGY RIVAS"</f>
        <v>CAUSE#98EM504113 PEGGY RIVAS</v>
      </c>
    </row>
    <row r="2876" spans="1:9" x14ac:dyDescent="0.25">
      <c r="E2876" s="7"/>
      <c r="F2876" t="s">
        <v>20</v>
      </c>
      <c r="G2876" t="s">
        <v>21</v>
      </c>
      <c r="H2876" t="str">
        <f>"CSA202004068567"</f>
        <v>CSA202004068567</v>
      </c>
      <c r="I2876" t="str">
        <f>"S RODRIGUEZ 001281730413050336"</f>
        <v>S RODRIGUEZ 001281730413050336</v>
      </c>
    </row>
    <row r="2877" spans="1:9" x14ac:dyDescent="0.25">
      <c r="A2877" s="6">
        <v>43927</v>
      </c>
      <c r="B2877" t="s">
        <v>26</v>
      </c>
      <c r="C2877">
        <v>63793</v>
      </c>
      <c r="D2877" t="s">
        <v>54</v>
      </c>
      <c r="E2877" s="7">
        <v>1200.24</v>
      </c>
      <c r="F2877" t="s">
        <v>20</v>
      </c>
      <c r="G2877" t="s">
        <v>21</v>
      </c>
      <c r="H2877" t="str">
        <f>"457202004068567"</f>
        <v>457202004068567</v>
      </c>
      <c r="I2877" t="str">
        <f>"CASE # 180-60751 457B DEDUCT"</f>
        <v>CASE # 180-60751 457B DEDUCT</v>
      </c>
    </row>
    <row r="2878" spans="1:9" x14ac:dyDescent="0.25">
      <c r="A2878" s="6">
        <v>43929</v>
      </c>
      <c r="B2878" t="s">
        <v>26</v>
      </c>
      <c r="C2878">
        <v>63794</v>
      </c>
      <c r="D2878" t="s">
        <v>637</v>
      </c>
      <c r="E2878" s="7">
        <v>75</v>
      </c>
      <c r="F2878" t="s">
        <v>20</v>
      </c>
      <c r="G2878" t="s">
        <v>21</v>
      </c>
      <c r="H2878" t="str">
        <f>"APRIL 2020"</f>
        <v>APRIL 2020</v>
      </c>
      <c r="I2878" t="str">
        <f>"GLORIA MARTINEZ"</f>
        <v>GLORIA MARTINEZ</v>
      </c>
    </row>
    <row r="2879" spans="1:9" x14ac:dyDescent="0.25">
      <c r="A2879" s="6">
        <v>43929</v>
      </c>
      <c r="B2879" t="s">
        <v>26</v>
      </c>
      <c r="C2879">
        <v>63795</v>
      </c>
      <c r="D2879" t="s">
        <v>74</v>
      </c>
      <c r="E2879" s="7">
        <v>3220.33</v>
      </c>
      <c r="F2879" t="s">
        <v>20</v>
      </c>
      <c r="G2879" t="s">
        <v>21</v>
      </c>
      <c r="H2879" t="str">
        <f>"9851159479"</f>
        <v>9851159479</v>
      </c>
      <c r="I2879" t="str">
        <f>"VERIZON WIRELESS"</f>
        <v>VERIZON WIRELESS</v>
      </c>
    </row>
    <row r="2880" spans="1:9" x14ac:dyDescent="0.25">
      <c r="A2880" s="6">
        <v>43929</v>
      </c>
      <c r="B2880" t="s">
        <v>26</v>
      </c>
      <c r="C2880">
        <v>63796</v>
      </c>
      <c r="D2880" t="s">
        <v>223</v>
      </c>
      <c r="E2880" s="7">
        <v>75</v>
      </c>
      <c r="F2880" t="s">
        <v>20</v>
      </c>
      <c r="G2880" t="s">
        <v>21</v>
      </c>
      <c r="H2880" t="str">
        <f>"APRIL 2020"</f>
        <v>APRIL 2020</v>
      </c>
      <c r="I2880" t="str">
        <f>"JUAN ORTIZ"</f>
        <v>JUAN ORTIZ</v>
      </c>
    </row>
    <row r="2881" spans="1:9" x14ac:dyDescent="0.25">
      <c r="A2881" s="6">
        <v>43929</v>
      </c>
      <c r="B2881" t="s">
        <v>26</v>
      </c>
      <c r="C2881">
        <v>63797</v>
      </c>
      <c r="D2881" t="s">
        <v>85</v>
      </c>
      <c r="E2881" s="7">
        <v>616.24</v>
      </c>
      <c r="F2881" t="s">
        <v>20</v>
      </c>
      <c r="G2881" t="s">
        <v>21</v>
      </c>
      <c r="H2881" t="str">
        <f>"2162691 MAR.2020"</f>
        <v>2162691 MAR.2020</v>
      </c>
      <c r="I2881" t="str">
        <f>"FRONTIER"</f>
        <v>FRONTIER</v>
      </c>
    </row>
    <row r="2882" spans="1:9" x14ac:dyDescent="0.25">
      <c r="E2882" s="7"/>
      <c r="F2882" t="s">
        <v>20</v>
      </c>
      <c r="G2882" t="s">
        <v>21</v>
      </c>
      <c r="H2882" t="str">
        <f>"3933718 FEB.2020"</f>
        <v>3933718 FEB.2020</v>
      </c>
      <c r="I2882" t="str">
        <f>"FRONTIER"</f>
        <v>FRONTIER</v>
      </c>
    </row>
    <row r="2883" spans="1:9" x14ac:dyDescent="0.25">
      <c r="E2883" s="7"/>
      <c r="F2883" t="s">
        <v>20</v>
      </c>
      <c r="G2883" t="s">
        <v>21</v>
      </c>
      <c r="H2883" t="str">
        <f>"8301970046 3/2020"</f>
        <v>8301970046 3/2020</v>
      </c>
      <c r="I2883" t="str">
        <f>"FRONTIER"</f>
        <v>FRONTIER</v>
      </c>
    </row>
    <row r="2884" spans="1:9" x14ac:dyDescent="0.25">
      <c r="A2884" s="6">
        <v>43929</v>
      </c>
      <c r="B2884" t="s">
        <v>26</v>
      </c>
      <c r="C2884">
        <v>63798</v>
      </c>
      <c r="D2884" t="s">
        <v>36</v>
      </c>
      <c r="E2884" s="7">
        <v>75</v>
      </c>
      <c r="F2884" t="s">
        <v>20</v>
      </c>
      <c r="G2884" t="s">
        <v>21</v>
      </c>
      <c r="H2884" t="str">
        <f>"APRIL 2020"</f>
        <v>APRIL 2020</v>
      </c>
      <c r="I2884" t="str">
        <f>"GLORIA M. CANTU"</f>
        <v>GLORIA M. CANTU</v>
      </c>
    </row>
    <row r="2885" spans="1:9" x14ac:dyDescent="0.25">
      <c r="A2885" s="6">
        <v>43929</v>
      </c>
      <c r="B2885" t="s">
        <v>26</v>
      </c>
      <c r="C2885">
        <v>63799</v>
      </c>
      <c r="D2885" t="s">
        <v>38</v>
      </c>
      <c r="E2885" s="7">
        <v>100</v>
      </c>
      <c r="F2885" t="s">
        <v>20</v>
      </c>
      <c r="G2885" t="s">
        <v>21</v>
      </c>
      <c r="H2885" t="str">
        <f>"APRIL 2020"</f>
        <v>APRIL 2020</v>
      </c>
      <c r="I2885" t="str">
        <f>"CECELIA GONZALEZ-DIPPEL"</f>
        <v>CECELIA GONZALEZ-DIPPEL</v>
      </c>
    </row>
    <row r="2886" spans="1:9" x14ac:dyDescent="0.25">
      <c r="A2886" s="6">
        <v>43929</v>
      </c>
      <c r="B2886" t="s">
        <v>26</v>
      </c>
      <c r="C2886">
        <v>63800</v>
      </c>
      <c r="D2886" t="s">
        <v>345</v>
      </c>
      <c r="E2886" s="7">
        <v>286</v>
      </c>
      <c r="F2886" t="s">
        <v>20</v>
      </c>
      <c r="G2886" t="s">
        <v>21</v>
      </c>
      <c r="H2886" t="str">
        <f>"3/6/2020"</f>
        <v>3/6/2020</v>
      </c>
      <c r="I2886" t="str">
        <f>"MICHAEL ISAAC MARTINEZ"</f>
        <v>MICHAEL ISAAC MARTINEZ</v>
      </c>
    </row>
    <row r="2887" spans="1:9" x14ac:dyDescent="0.25">
      <c r="A2887" s="6">
        <v>43929</v>
      </c>
      <c r="B2887" t="s">
        <v>26</v>
      </c>
      <c r="C2887">
        <v>63801</v>
      </c>
      <c r="D2887" t="s">
        <v>48</v>
      </c>
      <c r="E2887" s="7">
        <v>1710</v>
      </c>
      <c r="F2887" t="s">
        <v>20</v>
      </c>
      <c r="G2887" t="s">
        <v>21</v>
      </c>
      <c r="H2887" t="str">
        <f>"1790"</f>
        <v>1790</v>
      </c>
      <c r="I2887" t="str">
        <f>"RANDY HOLLAR  LLC"</f>
        <v>RANDY HOLLAR  LLC</v>
      </c>
    </row>
    <row r="2888" spans="1:9" x14ac:dyDescent="0.25">
      <c r="A2888" s="6">
        <v>43929</v>
      </c>
      <c r="B2888" t="s">
        <v>26</v>
      </c>
      <c r="C2888">
        <v>63802</v>
      </c>
      <c r="D2888" t="s">
        <v>558</v>
      </c>
      <c r="E2888" s="7">
        <v>75</v>
      </c>
      <c r="F2888" t="s">
        <v>20</v>
      </c>
      <c r="G2888" t="s">
        <v>21</v>
      </c>
      <c r="H2888" t="str">
        <f>"APRIL 2020"</f>
        <v>APRIL 2020</v>
      </c>
      <c r="I2888" t="str">
        <f>"MARISSA XIMENEZ"</f>
        <v>MARISSA XIMENEZ</v>
      </c>
    </row>
    <row r="2889" spans="1:9" x14ac:dyDescent="0.25">
      <c r="A2889" s="6">
        <v>43929</v>
      </c>
      <c r="B2889" t="s">
        <v>26</v>
      </c>
      <c r="C2889">
        <v>63803</v>
      </c>
      <c r="D2889" t="s">
        <v>889</v>
      </c>
      <c r="E2889" s="7">
        <v>75</v>
      </c>
      <c r="F2889" t="s">
        <v>20</v>
      </c>
      <c r="G2889" t="s">
        <v>21</v>
      </c>
      <c r="H2889" t="str">
        <f>"APRIL 2020"</f>
        <v>APRIL 2020</v>
      </c>
      <c r="I2889" t="str">
        <f>"JADE JIMENEZ"</f>
        <v>JADE JIMENEZ</v>
      </c>
    </row>
    <row r="2890" spans="1:9" x14ac:dyDescent="0.25">
      <c r="A2890" s="6">
        <v>43929</v>
      </c>
      <c r="B2890" t="s">
        <v>26</v>
      </c>
      <c r="C2890">
        <v>63804</v>
      </c>
      <c r="D2890" t="s">
        <v>906</v>
      </c>
      <c r="E2890" s="7">
        <v>4500</v>
      </c>
      <c r="F2890" t="s">
        <v>20</v>
      </c>
      <c r="G2890" t="s">
        <v>21</v>
      </c>
      <c r="H2890" t="str">
        <f>"7978101566"</f>
        <v>7978101566</v>
      </c>
      <c r="I2890" t="str">
        <f>"STEPHEN BARRERA"</f>
        <v>STEPHEN BARRERA</v>
      </c>
    </row>
    <row r="2891" spans="1:9" x14ac:dyDescent="0.25">
      <c r="A2891" s="6">
        <v>43929</v>
      </c>
      <c r="B2891" t="s">
        <v>26</v>
      </c>
      <c r="C2891">
        <v>63805</v>
      </c>
      <c r="D2891" t="s">
        <v>65</v>
      </c>
      <c r="E2891" s="7">
        <v>1641.64</v>
      </c>
      <c r="F2891" t="s">
        <v>20</v>
      </c>
      <c r="G2891" t="s">
        <v>21</v>
      </c>
      <c r="H2891" t="str">
        <f>"7449 MARCH 2020"</f>
        <v>7449 MARCH 2020</v>
      </c>
      <c r="I2891" t="str">
        <f>"CONSESSION SUPPLIES"</f>
        <v>CONSESSION SUPPLIES</v>
      </c>
    </row>
    <row r="2892" spans="1:9" x14ac:dyDescent="0.25">
      <c r="A2892" s="6">
        <v>43941</v>
      </c>
      <c r="B2892" t="s">
        <v>26</v>
      </c>
      <c r="C2892">
        <v>63806</v>
      </c>
      <c r="D2892" t="s">
        <v>346</v>
      </c>
      <c r="E2892" s="7">
        <v>13750</v>
      </c>
      <c r="F2892" t="s">
        <v>20</v>
      </c>
      <c r="G2892" t="s">
        <v>21</v>
      </c>
      <c r="H2892" t="str">
        <f>"3/11-4/11/2020"</f>
        <v>3/11-4/11/2020</v>
      </c>
      <c r="I2892" t="str">
        <f>"SYLVIA RODRIGUEZ"</f>
        <v>SYLVIA RODRIGUEZ</v>
      </c>
    </row>
    <row r="2893" spans="1:9" x14ac:dyDescent="0.25">
      <c r="A2893" s="6">
        <v>43941</v>
      </c>
      <c r="B2893" t="s">
        <v>26</v>
      </c>
      <c r="C2893">
        <v>63807</v>
      </c>
      <c r="D2893" t="s">
        <v>907</v>
      </c>
      <c r="E2893" s="7">
        <v>1750</v>
      </c>
      <c r="F2893" t="s">
        <v>20</v>
      </c>
      <c r="G2893" t="s">
        <v>21</v>
      </c>
      <c r="H2893" t="str">
        <f>"1182"</f>
        <v>1182</v>
      </c>
      <c r="I2893" t="str">
        <f>"Solarize Tint"</f>
        <v>Solarize Tint</v>
      </c>
    </row>
    <row r="2894" spans="1:9" x14ac:dyDescent="0.25">
      <c r="A2894" s="6">
        <v>43942</v>
      </c>
      <c r="B2894" t="s">
        <v>26</v>
      </c>
      <c r="C2894">
        <v>63815</v>
      </c>
      <c r="D2894" t="s">
        <v>51</v>
      </c>
      <c r="E2894" s="7">
        <v>346.31</v>
      </c>
      <c r="F2894" t="s">
        <v>20</v>
      </c>
      <c r="G2894" t="s">
        <v>21</v>
      </c>
      <c r="H2894" t="str">
        <f>"CLE202004218568"</f>
        <v>CLE202004218568</v>
      </c>
      <c r="I2894" t="str">
        <f>"CLEAT ONLY DUES"</f>
        <v>CLEAT ONLY DUES</v>
      </c>
    </row>
    <row r="2895" spans="1:9" x14ac:dyDescent="0.25">
      <c r="E2895" s="7"/>
      <c r="F2895" t="s">
        <v>20</v>
      </c>
      <c r="G2895" t="s">
        <v>21</v>
      </c>
      <c r="H2895" t="str">
        <f>"PDD202004218568"</f>
        <v>PDD202004218568</v>
      </c>
      <c r="I2895" t="str">
        <f>"POLICE OFFICERS ASSOC DUES"</f>
        <v>POLICE OFFICERS ASSOC DUES</v>
      </c>
    </row>
    <row r="2896" spans="1:9" x14ac:dyDescent="0.25">
      <c r="A2896" s="6">
        <v>43942</v>
      </c>
      <c r="B2896" t="s">
        <v>26</v>
      </c>
      <c r="C2896">
        <v>63816</v>
      </c>
      <c r="D2896" t="s">
        <v>90</v>
      </c>
      <c r="E2896" s="7">
        <v>101.1</v>
      </c>
      <c r="F2896" t="s">
        <v>20</v>
      </c>
      <c r="G2896" t="s">
        <v>21</v>
      </c>
      <c r="H2896" t="str">
        <f>"AFS202004218568"</f>
        <v>AFS202004218568</v>
      </c>
      <c r="I2896" t="str">
        <f>"AFLAC STD"</f>
        <v>AFLAC STD</v>
      </c>
    </row>
    <row r="2897" spans="1:9" x14ac:dyDescent="0.25">
      <c r="A2897" s="6">
        <v>43942</v>
      </c>
      <c r="B2897" t="s">
        <v>26</v>
      </c>
      <c r="C2897">
        <v>63817</v>
      </c>
      <c r="D2897" t="s">
        <v>52</v>
      </c>
      <c r="E2897" s="7">
        <v>971.53</v>
      </c>
      <c r="F2897" t="s">
        <v>20</v>
      </c>
      <c r="G2897" t="s">
        <v>21</v>
      </c>
      <c r="H2897" t="str">
        <f>"CA1202004218568"</f>
        <v>CA1202004218568</v>
      </c>
      <c r="I2897" t="str">
        <f>"K RAMIREZ 001200229510060343CV"</f>
        <v>K RAMIREZ 001200229510060343CV</v>
      </c>
    </row>
    <row r="2898" spans="1:9" x14ac:dyDescent="0.25">
      <c r="E2898" s="7"/>
      <c r="F2898" t="s">
        <v>20</v>
      </c>
      <c r="G2898" t="s">
        <v>21</v>
      </c>
      <c r="H2898" t="str">
        <f>"CA2202004218568"</f>
        <v>CA2202004218568</v>
      </c>
      <c r="I2898" t="str">
        <f>"L HERNANDEZ 001016025203080354"</f>
        <v>L HERNANDEZ 001016025203080354</v>
      </c>
    </row>
    <row r="2899" spans="1:9" x14ac:dyDescent="0.25">
      <c r="E2899" s="7"/>
      <c r="F2899" t="s">
        <v>20</v>
      </c>
      <c r="G2899" t="s">
        <v>21</v>
      </c>
      <c r="H2899" t="str">
        <f>"CPS202004218568"</f>
        <v>CPS202004218568</v>
      </c>
      <c r="I2899" t="str">
        <f>"G MENDOZA 00123012032010EM5054"</f>
        <v>G MENDOZA 00123012032010EM5054</v>
      </c>
    </row>
    <row r="2900" spans="1:9" x14ac:dyDescent="0.25">
      <c r="E2900" s="7"/>
      <c r="F2900" t="s">
        <v>20</v>
      </c>
      <c r="G2900" t="s">
        <v>21</v>
      </c>
      <c r="H2900" t="str">
        <f>"CS 202004218568"</f>
        <v>CS 202004218568</v>
      </c>
      <c r="I2900" t="str">
        <f>"CAUSE#98EM504113 PEGGY RIVAS"</f>
        <v>CAUSE#98EM504113 PEGGY RIVAS</v>
      </c>
    </row>
    <row r="2901" spans="1:9" x14ac:dyDescent="0.25">
      <c r="E2901" s="7"/>
      <c r="F2901" t="s">
        <v>20</v>
      </c>
      <c r="G2901" t="s">
        <v>21</v>
      </c>
      <c r="H2901" t="str">
        <f>"CSA202004218568"</f>
        <v>CSA202004218568</v>
      </c>
      <c r="I2901" t="str">
        <f>"S RODRIGUEZ 001281730413050336"</f>
        <v>S RODRIGUEZ 001281730413050336</v>
      </c>
    </row>
    <row r="2902" spans="1:9" x14ac:dyDescent="0.25">
      <c r="A2902" s="6">
        <v>43942</v>
      </c>
      <c r="B2902" t="s">
        <v>26</v>
      </c>
      <c r="C2902">
        <v>63818</v>
      </c>
      <c r="D2902" t="s">
        <v>54</v>
      </c>
      <c r="E2902" s="7">
        <v>1200.24</v>
      </c>
      <c r="F2902" t="s">
        <v>20</v>
      </c>
      <c r="G2902" t="s">
        <v>21</v>
      </c>
      <c r="H2902" t="str">
        <f>"457202004218568"</f>
        <v>457202004218568</v>
      </c>
      <c r="I2902" t="str">
        <f>"CASE # 180-60751 457B DEDUCT"</f>
        <v>CASE # 180-60751 457B DEDUCT</v>
      </c>
    </row>
    <row r="2903" spans="1:9" x14ac:dyDescent="0.25">
      <c r="A2903" s="6">
        <v>43943</v>
      </c>
      <c r="B2903" t="s">
        <v>26</v>
      </c>
      <c r="C2903">
        <v>63819</v>
      </c>
      <c r="D2903" t="s">
        <v>56</v>
      </c>
      <c r="E2903" s="7">
        <v>92.5</v>
      </c>
      <c r="F2903" t="s">
        <v>20</v>
      </c>
      <c r="G2903" t="s">
        <v>21</v>
      </c>
      <c r="H2903" t="str">
        <f>"181137"</f>
        <v>181137</v>
      </c>
      <c r="I2903" t="str">
        <f>"5 GALLON CREDIT XTRA"</f>
        <v>5 GALLON CREDIT XTRA</v>
      </c>
    </row>
    <row r="2904" spans="1:9" x14ac:dyDescent="0.25">
      <c r="A2904" s="6">
        <v>43943</v>
      </c>
      <c r="B2904" t="s">
        <v>26</v>
      </c>
      <c r="C2904">
        <v>63820</v>
      </c>
      <c r="D2904" t="s">
        <v>57</v>
      </c>
      <c r="E2904" s="7">
        <v>8511.99</v>
      </c>
      <c r="F2904" t="s">
        <v>20</v>
      </c>
      <c r="G2904" t="s">
        <v>21</v>
      </c>
      <c r="H2904" t="str">
        <f>"11617 APRIL 2020"</f>
        <v>11617 APRIL 2020</v>
      </c>
      <c r="I2904" t="str">
        <f>"F.E.L.P.S."</f>
        <v>F.E.L.P.S.</v>
      </c>
    </row>
    <row r="2905" spans="1:9" x14ac:dyDescent="0.25">
      <c r="E2905" s="7"/>
      <c r="F2905" t="s">
        <v>20</v>
      </c>
      <c r="G2905" t="s">
        <v>21</v>
      </c>
      <c r="H2905" t="str">
        <f>"33062 APRIL 2020"</f>
        <v>33062 APRIL 2020</v>
      </c>
      <c r="I2905" t="str">
        <f>"F.E.L.P.S."</f>
        <v>F.E.L.P.S.</v>
      </c>
    </row>
    <row r="2906" spans="1:9" x14ac:dyDescent="0.25">
      <c r="A2906" s="6">
        <v>43943</v>
      </c>
      <c r="B2906" t="s">
        <v>26</v>
      </c>
      <c r="C2906">
        <v>63821</v>
      </c>
      <c r="D2906" t="s">
        <v>58</v>
      </c>
      <c r="E2906" s="7">
        <v>850.73</v>
      </c>
      <c r="F2906" t="s">
        <v>20</v>
      </c>
      <c r="G2906" t="s">
        <v>21</v>
      </c>
      <c r="H2906" t="str">
        <f>"592900"</f>
        <v>592900</v>
      </c>
      <c r="I2906" t="str">
        <f>"DEASON ANIMAL HOSPITAL"</f>
        <v>DEASON ANIMAL HOSPITAL</v>
      </c>
    </row>
    <row r="2907" spans="1:9" x14ac:dyDescent="0.25">
      <c r="E2907" s="7"/>
      <c r="F2907" t="s">
        <v>20</v>
      </c>
      <c r="G2907" t="s">
        <v>21</v>
      </c>
      <c r="H2907" t="str">
        <f>"594449"</f>
        <v>594449</v>
      </c>
      <c r="I2907" t="str">
        <f>"DEASON ANIMAL HOSPITAL"</f>
        <v>DEASON ANIMAL HOSPITAL</v>
      </c>
    </row>
    <row r="2908" spans="1:9" x14ac:dyDescent="0.25">
      <c r="E2908" s="7"/>
      <c r="F2908" t="s">
        <v>20</v>
      </c>
      <c r="G2908" t="s">
        <v>21</v>
      </c>
      <c r="H2908" t="str">
        <f>"594672"</f>
        <v>594672</v>
      </c>
      <c r="I2908" t="str">
        <f>"DEASON ANIMAL HOSPITAL"</f>
        <v>DEASON ANIMAL HOSPITAL</v>
      </c>
    </row>
    <row r="2909" spans="1:9" x14ac:dyDescent="0.25">
      <c r="A2909" s="6">
        <v>43943</v>
      </c>
      <c r="B2909" t="s">
        <v>26</v>
      </c>
      <c r="C2909">
        <v>63822</v>
      </c>
      <c r="D2909" t="s">
        <v>104</v>
      </c>
      <c r="E2909" s="7">
        <v>142.97999999999999</v>
      </c>
      <c r="F2909" t="s">
        <v>20</v>
      </c>
      <c r="G2909" t="s">
        <v>21</v>
      </c>
      <c r="H2909" t="str">
        <f>"1419240301"</f>
        <v>1419240301</v>
      </c>
      <c r="I2909" t="str">
        <f>"WILSON COUNTY NEWS"</f>
        <v>WILSON COUNTY NEWS</v>
      </c>
    </row>
    <row r="2910" spans="1:9" x14ac:dyDescent="0.25">
      <c r="E2910" s="7"/>
      <c r="F2910" t="s">
        <v>20</v>
      </c>
      <c r="G2910" t="s">
        <v>21</v>
      </c>
      <c r="H2910" t="str">
        <f>"1419240311"</f>
        <v>1419240311</v>
      </c>
      <c r="I2910" t="str">
        <f>"WILSON COUNTY NEWS"</f>
        <v>WILSON COUNTY NEWS</v>
      </c>
    </row>
    <row r="2911" spans="1:9" x14ac:dyDescent="0.25">
      <c r="E2911" s="7"/>
      <c r="F2911" t="s">
        <v>20</v>
      </c>
      <c r="G2911" t="s">
        <v>21</v>
      </c>
      <c r="H2911" t="str">
        <f>"1419240318"</f>
        <v>1419240318</v>
      </c>
      <c r="I2911" t="str">
        <f>"WILSON COUNTY NEWS"</f>
        <v>WILSON COUNTY NEWS</v>
      </c>
    </row>
    <row r="2912" spans="1:9" x14ac:dyDescent="0.25">
      <c r="E2912" s="7"/>
      <c r="F2912" t="s">
        <v>20</v>
      </c>
      <c r="G2912" t="s">
        <v>21</v>
      </c>
      <c r="H2912" t="str">
        <f>"1419240325"</f>
        <v>1419240325</v>
      </c>
      <c r="I2912" t="str">
        <f>"WILSON COUNTY NEWS"</f>
        <v>WILSON COUNTY NEWS</v>
      </c>
    </row>
    <row r="2913" spans="1:9" x14ac:dyDescent="0.25">
      <c r="E2913" s="7"/>
      <c r="F2913" t="s">
        <v>20</v>
      </c>
      <c r="G2913" t="s">
        <v>21</v>
      </c>
      <c r="H2913" t="str">
        <f>"1420200311"</f>
        <v>1420200311</v>
      </c>
      <c r="I2913" t="str">
        <f>"WILSON COUNTY NEWS"</f>
        <v>WILSON COUNTY NEWS</v>
      </c>
    </row>
    <row r="2914" spans="1:9" x14ac:dyDescent="0.25">
      <c r="A2914" s="6">
        <v>43943</v>
      </c>
      <c r="B2914" t="s">
        <v>26</v>
      </c>
      <c r="C2914">
        <v>63823</v>
      </c>
      <c r="D2914" t="s">
        <v>273</v>
      </c>
      <c r="E2914" s="7">
        <v>8921.94</v>
      </c>
      <c r="F2914" t="s">
        <v>20</v>
      </c>
      <c r="G2914" t="s">
        <v>21</v>
      </c>
      <c r="H2914" t="str">
        <f>"5119-000092549"</f>
        <v>5119-000092549</v>
      </c>
      <c r="I2914" t="str">
        <f>"REPUBLIC SERVICES TESSMAN ROAD"</f>
        <v>REPUBLIC SERVICES TESSMAN ROAD</v>
      </c>
    </row>
    <row r="2915" spans="1:9" x14ac:dyDescent="0.25">
      <c r="E2915" s="7"/>
      <c r="F2915" t="s">
        <v>20</v>
      </c>
      <c r="G2915" t="s">
        <v>21</v>
      </c>
      <c r="H2915" t="str">
        <f>"5119-000092714"</f>
        <v>5119-000092714</v>
      </c>
      <c r="I2915" t="str">
        <f>"REPUBLIC SERVICES TESSMAN ROAD"</f>
        <v>REPUBLIC SERVICES TESSMAN ROAD</v>
      </c>
    </row>
    <row r="2916" spans="1:9" x14ac:dyDescent="0.25">
      <c r="A2916" s="6">
        <v>43943</v>
      </c>
      <c r="B2916" t="s">
        <v>26</v>
      </c>
      <c r="C2916">
        <v>63824</v>
      </c>
      <c r="D2916" t="s">
        <v>180</v>
      </c>
      <c r="E2916" s="7">
        <v>399.99</v>
      </c>
      <c r="F2916" t="s">
        <v>20</v>
      </c>
      <c r="G2916" t="s">
        <v>21</v>
      </c>
      <c r="H2916" t="str">
        <f>"30141524"</f>
        <v>30141524</v>
      </c>
      <c r="I2916" t="str">
        <f>"DITTMAR LUMBER CO."</f>
        <v>DITTMAR LUMBER CO.</v>
      </c>
    </row>
    <row r="2917" spans="1:9" x14ac:dyDescent="0.25">
      <c r="A2917" s="6">
        <v>43943</v>
      </c>
      <c r="B2917" t="s">
        <v>26</v>
      </c>
      <c r="C2917">
        <v>63825</v>
      </c>
      <c r="D2917" t="s">
        <v>240</v>
      </c>
      <c r="E2917" s="7">
        <v>286.87</v>
      </c>
      <c r="F2917" t="s">
        <v>20</v>
      </c>
      <c r="G2917" t="s">
        <v>21</v>
      </c>
      <c r="H2917" t="str">
        <f>"0188276-IN"</f>
        <v>0188276-IN</v>
      </c>
      <c r="I2917" t="str">
        <f>"NARDIS PUBLIC SAFETY"</f>
        <v>NARDIS PUBLIC SAFETY</v>
      </c>
    </row>
    <row r="2918" spans="1:9" x14ac:dyDescent="0.25">
      <c r="E2918" s="7"/>
      <c r="F2918" t="s">
        <v>20</v>
      </c>
      <c r="G2918" t="s">
        <v>21</v>
      </c>
      <c r="H2918" t="str">
        <f>"0188277-IN"</f>
        <v>0188277-IN</v>
      </c>
      <c r="I2918" t="str">
        <f>"NARDIS PUBLIC SAFETY"</f>
        <v>NARDIS PUBLIC SAFETY</v>
      </c>
    </row>
    <row r="2919" spans="1:9" x14ac:dyDescent="0.25">
      <c r="A2919" s="6">
        <v>43943</v>
      </c>
      <c r="B2919" t="s">
        <v>26</v>
      </c>
      <c r="C2919">
        <v>63826</v>
      </c>
      <c r="D2919" t="s">
        <v>110</v>
      </c>
      <c r="E2919" s="7">
        <v>2864.55</v>
      </c>
      <c r="F2919" t="s">
        <v>20</v>
      </c>
      <c r="G2919" t="s">
        <v>21</v>
      </c>
      <c r="H2919" t="str">
        <f>"1521691"</f>
        <v>1521691</v>
      </c>
      <c r="I2919" t="str">
        <f>"BUREAU VERITAS NORTH AMERICA"</f>
        <v>BUREAU VERITAS NORTH AMERICA</v>
      </c>
    </row>
    <row r="2920" spans="1:9" x14ac:dyDescent="0.25">
      <c r="E2920" s="7"/>
      <c r="F2920" t="s">
        <v>20</v>
      </c>
      <c r="G2920" t="s">
        <v>21</v>
      </c>
      <c r="H2920" t="str">
        <f>"1521692"</f>
        <v>1521692</v>
      </c>
      <c r="I2920" t="str">
        <f>"BUREAU VERITAS NORTH AMERICA"</f>
        <v>BUREAU VERITAS NORTH AMERICA</v>
      </c>
    </row>
    <row r="2921" spans="1:9" x14ac:dyDescent="0.25">
      <c r="E2921" s="7"/>
      <c r="F2921" t="s">
        <v>20</v>
      </c>
      <c r="G2921" t="s">
        <v>21</v>
      </c>
      <c r="H2921" t="str">
        <f>"1521693"</f>
        <v>1521693</v>
      </c>
      <c r="I2921" t="str">
        <f>"BUREAU VERITAS NORTH AMERICA"</f>
        <v>BUREAU VERITAS NORTH AMERICA</v>
      </c>
    </row>
    <row r="2922" spans="1:9" x14ac:dyDescent="0.25">
      <c r="A2922" s="6">
        <v>43943</v>
      </c>
      <c r="B2922" t="s">
        <v>26</v>
      </c>
      <c r="C2922">
        <v>63827</v>
      </c>
      <c r="D2922" t="s">
        <v>61</v>
      </c>
      <c r="E2922" s="7">
        <v>14761.44</v>
      </c>
      <c r="F2922" t="s">
        <v>20</v>
      </c>
      <c r="G2922" t="s">
        <v>21</v>
      </c>
      <c r="H2922" t="str">
        <f>"025-289603"</f>
        <v>025-289603</v>
      </c>
      <c r="I2922" t="str">
        <f>"TYLER TECHNOLOGIES  INC."</f>
        <v>TYLER TECHNOLOGIES  INC.</v>
      </c>
    </row>
    <row r="2923" spans="1:9" x14ac:dyDescent="0.25">
      <c r="E2923" s="7"/>
      <c r="F2923" t="s">
        <v>20</v>
      </c>
      <c r="G2923" t="s">
        <v>21</v>
      </c>
      <c r="H2923" t="str">
        <f>"025-290050"</f>
        <v>025-290050</v>
      </c>
      <c r="I2923" t="str">
        <f>"TYLER TECHNOLOGIES  INC."</f>
        <v>TYLER TECHNOLOGIES  INC.</v>
      </c>
    </row>
    <row r="2924" spans="1:9" x14ac:dyDescent="0.25">
      <c r="E2924" s="7"/>
      <c r="F2924" t="s">
        <v>20</v>
      </c>
      <c r="G2924" t="s">
        <v>21</v>
      </c>
      <c r="H2924" t="str">
        <f>"025-290556"</f>
        <v>025-290556</v>
      </c>
      <c r="I2924" t="str">
        <f>"TYLER TECHNOLOGIES  INC."</f>
        <v>TYLER TECHNOLOGIES  INC.</v>
      </c>
    </row>
    <row r="2925" spans="1:9" x14ac:dyDescent="0.25">
      <c r="E2925" s="7"/>
      <c r="F2925" t="s">
        <v>20</v>
      </c>
      <c r="G2925" t="s">
        <v>21</v>
      </c>
      <c r="H2925" t="str">
        <f>"025-291643"</f>
        <v>025-291643</v>
      </c>
      <c r="I2925" t="str">
        <f>"TYLER TECHNOLOGIES  INC."</f>
        <v>TYLER TECHNOLOGIES  INC.</v>
      </c>
    </row>
    <row r="2926" spans="1:9" x14ac:dyDescent="0.25">
      <c r="A2926" s="6">
        <v>43943</v>
      </c>
      <c r="B2926" t="s">
        <v>26</v>
      </c>
      <c r="C2926">
        <v>63828</v>
      </c>
      <c r="D2926" t="s">
        <v>92</v>
      </c>
      <c r="E2926" s="7">
        <v>40515.910000000003</v>
      </c>
      <c r="F2926" t="s">
        <v>20</v>
      </c>
      <c r="G2926" t="s">
        <v>21</v>
      </c>
      <c r="H2926" t="str">
        <f>"MARCH 2020"</f>
        <v>MARCH 2020</v>
      </c>
      <c r="I2926" t="str">
        <f>"TEXAS MUNICIPAL RETIREMENT SYS"</f>
        <v>TEXAS MUNICIPAL RETIREMENT SYS</v>
      </c>
    </row>
    <row r="2927" spans="1:9" x14ac:dyDescent="0.25">
      <c r="A2927" s="6">
        <v>43943</v>
      </c>
      <c r="B2927" t="s">
        <v>26</v>
      </c>
      <c r="C2927">
        <v>63829</v>
      </c>
      <c r="D2927" t="s">
        <v>62</v>
      </c>
      <c r="E2927" s="7">
        <v>3011.56</v>
      </c>
      <c r="F2927" t="s">
        <v>20</v>
      </c>
      <c r="G2927" t="s">
        <v>21</v>
      </c>
      <c r="H2927" t="str">
        <f>"B.HERRERA 4/20"</f>
        <v>B.HERRERA 4/20</v>
      </c>
      <c r="I2927" t="str">
        <f>"PROFICIENT BENEFIT SOLUTIONS"</f>
        <v>PROFICIENT BENEFIT SOLUTIONS</v>
      </c>
    </row>
    <row r="2928" spans="1:9" x14ac:dyDescent="0.25">
      <c r="E2928" s="7"/>
      <c r="F2928" t="s">
        <v>20</v>
      </c>
      <c r="G2928" t="s">
        <v>21</v>
      </c>
      <c r="H2928" t="str">
        <f>"G.RODRIGUEZ 4/20"</f>
        <v>G.RODRIGUEZ 4/20</v>
      </c>
      <c r="I2928" t="str">
        <f>"PROFICIENT BENEFIT SOLUTIONS"</f>
        <v>PROFICIENT BENEFIT SOLUTIONS</v>
      </c>
    </row>
    <row r="2929" spans="1:9" x14ac:dyDescent="0.25">
      <c r="A2929" s="6">
        <v>43943</v>
      </c>
      <c r="B2929" t="s">
        <v>26</v>
      </c>
      <c r="C2929">
        <v>63830</v>
      </c>
      <c r="D2929" t="s">
        <v>63</v>
      </c>
      <c r="E2929" s="7">
        <v>1488.17</v>
      </c>
      <c r="F2929" t="s">
        <v>20</v>
      </c>
      <c r="G2929" t="s">
        <v>21</v>
      </c>
      <c r="H2929" t="str">
        <f>"8404562627"</f>
        <v>8404562627</v>
      </c>
      <c r="I2929" t="str">
        <f>"CINTAS CORPORATION"</f>
        <v>CINTAS CORPORATION</v>
      </c>
    </row>
    <row r="2930" spans="1:9" x14ac:dyDescent="0.25">
      <c r="E2930" s="7"/>
      <c r="F2930" t="s">
        <v>20</v>
      </c>
      <c r="G2930" t="s">
        <v>21</v>
      </c>
      <c r="H2930" t="str">
        <f>"8404569584"</f>
        <v>8404569584</v>
      </c>
      <c r="I2930" t="str">
        <f>"CINTAS CORPORATION"</f>
        <v>CINTAS CORPORATION</v>
      </c>
    </row>
    <row r="2931" spans="1:9" x14ac:dyDescent="0.25">
      <c r="A2931" s="6">
        <v>43943</v>
      </c>
      <c r="B2931" t="s">
        <v>26</v>
      </c>
      <c r="C2931">
        <v>63831</v>
      </c>
      <c r="D2931" t="s">
        <v>64</v>
      </c>
      <c r="E2931" s="7">
        <v>6864</v>
      </c>
      <c r="F2931" t="s">
        <v>20</v>
      </c>
      <c r="G2931" t="s">
        <v>21</v>
      </c>
      <c r="H2931" t="str">
        <f>"8098"</f>
        <v>8098</v>
      </c>
      <c r="I2931" t="str">
        <f>"DREWA DESIGNS  INC."</f>
        <v>DREWA DESIGNS  INC.</v>
      </c>
    </row>
    <row r="2932" spans="1:9" x14ac:dyDescent="0.25">
      <c r="A2932" s="6">
        <v>43943</v>
      </c>
      <c r="B2932" t="s">
        <v>26</v>
      </c>
      <c r="C2932">
        <v>63832</v>
      </c>
      <c r="D2932" t="s">
        <v>66</v>
      </c>
      <c r="E2932" s="7">
        <v>502.88</v>
      </c>
      <c r="F2932" t="s">
        <v>20</v>
      </c>
      <c r="G2932" t="s">
        <v>21</v>
      </c>
      <c r="H2932" t="str">
        <f>"57673"</f>
        <v>57673</v>
      </c>
      <c r="I2932" t="str">
        <f>"LOPEZ EXTERMINATING SERVICE  I"</f>
        <v>LOPEZ EXTERMINATING SERVICE  I</v>
      </c>
    </row>
    <row r="2933" spans="1:9" x14ac:dyDescent="0.25">
      <c r="A2933" s="6">
        <v>43943</v>
      </c>
      <c r="B2933" t="s">
        <v>26</v>
      </c>
      <c r="C2933">
        <v>63833</v>
      </c>
      <c r="D2933" t="s">
        <v>69</v>
      </c>
      <c r="E2933" s="7">
        <v>39.549999999999997</v>
      </c>
      <c r="F2933" t="s">
        <v>20</v>
      </c>
      <c r="G2933" t="s">
        <v>21</v>
      </c>
      <c r="H2933" t="str">
        <f>"3304855"</f>
        <v>3304855</v>
      </c>
      <c r="I2933" t="str">
        <f>"LAWN MOWER REPAIR"</f>
        <v>LAWN MOWER REPAIR</v>
      </c>
    </row>
    <row r="2934" spans="1:9" x14ac:dyDescent="0.25">
      <c r="A2934" s="6">
        <v>43943</v>
      </c>
      <c r="B2934" t="s">
        <v>26</v>
      </c>
      <c r="C2934">
        <v>63834</v>
      </c>
      <c r="D2934" t="s">
        <v>71</v>
      </c>
      <c r="E2934" s="7">
        <v>323.57</v>
      </c>
      <c r="F2934" t="s">
        <v>20</v>
      </c>
      <c r="G2934" t="s">
        <v>21</v>
      </c>
      <c r="H2934" t="str">
        <f>"1901206619"</f>
        <v>1901206619</v>
      </c>
      <c r="I2934" t="str">
        <f>"CINTAS CORPORATION #087"</f>
        <v>CINTAS CORPORATION #087</v>
      </c>
    </row>
    <row r="2935" spans="1:9" x14ac:dyDescent="0.25">
      <c r="E2935" s="7"/>
      <c r="F2935" t="s">
        <v>20</v>
      </c>
      <c r="G2935" t="s">
        <v>21</v>
      </c>
      <c r="H2935" t="str">
        <f>"4047161936"</f>
        <v>4047161936</v>
      </c>
      <c r="I2935" t="str">
        <f>"CINTAS CORPORATION #087"</f>
        <v>CINTAS CORPORATION #087</v>
      </c>
    </row>
    <row r="2936" spans="1:9" x14ac:dyDescent="0.25">
      <c r="A2936" s="6">
        <v>43943</v>
      </c>
      <c r="B2936" t="s">
        <v>26</v>
      </c>
      <c r="C2936">
        <v>63835</v>
      </c>
      <c r="D2936" t="s">
        <v>73</v>
      </c>
      <c r="E2936" s="7">
        <v>47135.25</v>
      </c>
      <c r="F2936" t="s">
        <v>20</v>
      </c>
      <c r="G2936" t="s">
        <v>21</v>
      </c>
      <c r="H2936" t="str">
        <f>"8027 4/1/2020"</f>
        <v>8027 4/1/2020</v>
      </c>
      <c r="I2936" t="str">
        <f>"TML INTERGOVERNMENTAL RISK POO"</f>
        <v>TML INTERGOVERNMENTAL RISK POO</v>
      </c>
    </row>
    <row r="2937" spans="1:9" x14ac:dyDescent="0.25">
      <c r="A2937" s="6">
        <v>43943</v>
      </c>
      <c r="B2937" t="s">
        <v>26</v>
      </c>
      <c r="C2937">
        <v>63836</v>
      </c>
      <c r="D2937" t="s">
        <v>74</v>
      </c>
      <c r="E2937" s="7">
        <v>92.44</v>
      </c>
      <c r="F2937" t="s">
        <v>20</v>
      </c>
      <c r="G2937" t="s">
        <v>21</v>
      </c>
      <c r="H2937" t="str">
        <f>"9851159480"</f>
        <v>9851159480</v>
      </c>
      <c r="I2937" t="str">
        <f>"VERIZON WIRELESS"</f>
        <v>VERIZON WIRELESS</v>
      </c>
    </row>
    <row r="2938" spans="1:9" x14ac:dyDescent="0.25">
      <c r="A2938" s="6">
        <v>43943</v>
      </c>
      <c r="B2938" t="s">
        <v>26</v>
      </c>
      <c r="C2938">
        <v>63837</v>
      </c>
      <c r="D2938" t="s">
        <v>170</v>
      </c>
      <c r="E2938" s="7">
        <v>2308</v>
      </c>
      <c r="F2938" t="s">
        <v>20</v>
      </c>
      <c r="G2938" t="s">
        <v>21</v>
      </c>
      <c r="H2938" t="str">
        <f>"0000032034"</f>
        <v>0000032034</v>
      </c>
      <c r="I2938" t="str">
        <f>"BARRETT &amp; SONS  INC."</f>
        <v>BARRETT &amp; SONS  INC.</v>
      </c>
    </row>
    <row r="2939" spans="1:9" x14ac:dyDescent="0.25">
      <c r="A2939" s="6">
        <v>43943</v>
      </c>
      <c r="B2939" t="s">
        <v>26</v>
      </c>
      <c r="C2939">
        <v>63838</v>
      </c>
      <c r="D2939" t="s">
        <v>123</v>
      </c>
      <c r="E2939" s="7">
        <v>346.9</v>
      </c>
      <c r="F2939" t="s">
        <v>20</v>
      </c>
      <c r="G2939" t="s">
        <v>21</v>
      </c>
      <c r="H2939" t="str">
        <f>"460207567001"</f>
        <v>460207567001</v>
      </c>
      <c r="I2939" t="str">
        <f>"COVID-19 GLOVES"</f>
        <v>COVID-19 GLOVES</v>
      </c>
    </row>
    <row r="2940" spans="1:9" x14ac:dyDescent="0.25">
      <c r="E2940" s="7"/>
      <c r="F2940" t="s">
        <v>20</v>
      </c>
      <c r="G2940" t="s">
        <v>21</v>
      </c>
      <c r="H2940" t="str">
        <f>"460207567002"</f>
        <v>460207567002</v>
      </c>
      <c r="I2940" t="str">
        <f>"COVID-19 GLOVES"</f>
        <v>COVID-19 GLOVES</v>
      </c>
    </row>
    <row r="2941" spans="1:9" x14ac:dyDescent="0.25">
      <c r="E2941" s="7"/>
      <c r="F2941" t="s">
        <v>20</v>
      </c>
      <c r="G2941" t="s">
        <v>21</v>
      </c>
      <c r="H2941" t="str">
        <f>"460211312001"</f>
        <v>460211312001</v>
      </c>
      <c r="I2941" t="str">
        <f>"COVID-19 GLOVES"</f>
        <v>COVID-19 GLOVES</v>
      </c>
    </row>
    <row r="2942" spans="1:9" x14ac:dyDescent="0.25">
      <c r="A2942" s="6">
        <v>43943</v>
      </c>
      <c r="B2942" t="s">
        <v>26</v>
      </c>
      <c r="C2942">
        <v>63839</v>
      </c>
      <c r="D2942" t="s">
        <v>137</v>
      </c>
      <c r="E2942" s="7">
        <v>121.9</v>
      </c>
      <c r="F2942" t="s">
        <v>20</v>
      </c>
      <c r="G2942" t="s">
        <v>21</v>
      </c>
      <c r="H2942" t="str">
        <f>"11116"</f>
        <v>11116</v>
      </c>
      <c r="I2942" t="str">
        <f>"OMNIBUS-M  INC.D.B.A."</f>
        <v>OMNIBUS-M  INC.D.B.A.</v>
      </c>
    </row>
    <row r="2943" spans="1:9" x14ac:dyDescent="0.25">
      <c r="E2943" s="7"/>
      <c r="F2943" t="s">
        <v>20</v>
      </c>
      <c r="G2943" t="s">
        <v>21</v>
      </c>
      <c r="H2943" t="str">
        <f>"1117"</f>
        <v>1117</v>
      </c>
      <c r="I2943" t="str">
        <f>"OMNIBUS-M  INC.D.B.A."</f>
        <v>OMNIBUS-M  INC.D.B.A.</v>
      </c>
    </row>
    <row r="2944" spans="1:9" x14ac:dyDescent="0.25">
      <c r="A2944" s="6">
        <v>43943</v>
      </c>
      <c r="B2944" t="s">
        <v>26</v>
      </c>
      <c r="C2944">
        <v>63840</v>
      </c>
      <c r="D2944" t="s">
        <v>77</v>
      </c>
      <c r="E2944" s="7">
        <v>2036.85</v>
      </c>
      <c r="F2944" t="s">
        <v>20</v>
      </c>
      <c r="G2944" t="s">
        <v>21</v>
      </c>
      <c r="H2944" t="str">
        <f>"857000600-20"</f>
        <v>857000600-20</v>
      </c>
      <c r="I2944" t="str">
        <f>"DPC INDUSTRIES  INC."</f>
        <v>DPC INDUSTRIES  INC.</v>
      </c>
    </row>
    <row r="2945" spans="1:9" x14ac:dyDescent="0.25">
      <c r="E2945" s="7"/>
      <c r="F2945" t="s">
        <v>20</v>
      </c>
      <c r="G2945" t="s">
        <v>21</v>
      </c>
      <c r="H2945" t="str">
        <f>"857000607-20"</f>
        <v>857000607-20</v>
      </c>
      <c r="I2945" t="str">
        <f>"CHLORINE BOTTLES"</f>
        <v>CHLORINE BOTTLES</v>
      </c>
    </row>
    <row r="2946" spans="1:9" x14ac:dyDescent="0.25">
      <c r="E2946" s="7"/>
      <c r="F2946" t="s">
        <v>20</v>
      </c>
      <c r="G2946" t="s">
        <v>21</v>
      </c>
      <c r="H2946" t="str">
        <f>"857000608-20"</f>
        <v>857000608-20</v>
      </c>
      <c r="I2946" t="str">
        <f>"CHLORINE BOTTLES"</f>
        <v>CHLORINE BOTTLES</v>
      </c>
    </row>
    <row r="2947" spans="1:9" x14ac:dyDescent="0.25">
      <c r="A2947" s="6">
        <v>43943</v>
      </c>
      <c r="B2947" t="s">
        <v>26</v>
      </c>
      <c r="C2947">
        <v>63841</v>
      </c>
      <c r="D2947" t="s">
        <v>534</v>
      </c>
      <c r="E2947" s="7">
        <v>107.17</v>
      </c>
      <c r="F2947" t="s">
        <v>20</v>
      </c>
      <c r="G2947" t="s">
        <v>21</v>
      </c>
      <c r="H2947" t="str">
        <f>"8404576573"</f>
        <v>8404576573</v>
      </c>
      <c r="I2947" t="str">
        <f>"CINTAS CORPORATION NO. 2"</f>
        <v>CINTAS CORPORATION NO. 2</v>
      </c>
    </row>
    <row r="2948" spans="1:9" x14ac:dyDescent="0.25">
      <c r="A2948" s="6">
        <v>43943</v>
      </c>
      <c r="B2948" t="s">
        <v>26</v>
      </c>
      <c r="C2948">
        <v>63842</v>
      </c>
      <c r="D2948" t="s">
        <v>125</v>
      </c>
      <c r="E2948" s="7">
        <v>5605</v>
      </c>
      <c r="F2948" t="s">
        <v>20</v>
      </c>
      <c r="G2948" t="s">
        <v>21</v>
      </c>
      <c r="H2948" t="str">
        <f>"19-0176 FEB 2020"</f>
        <v>19-0176 FEB 2020</v>
      </c>
      <c r="I2948" t="str">
        <f t="shared" ref="I2948:I2953" si="50">"INTREPID SURVEYING CORPORATION"</f>
        <v>INTREPID SURVEYING CORPORATION</v>
      </c>
    </row>
    <row r="2949" spans="1:9" x14ac:dyDescent="0.25">
      <c r="E2949" s="7"/>
      <c r="F2949" t="s">
        <v>20</v>
      </c>
      <c r="G2949" t="s">
        <v>21</v>
      </c>
      <c r="H2949" t="str">
        <f>"19-1178"</f>
        <v>19-1178</v>
      </c>
      <c r="I2949" t="str">
        <f t="shared" si="50"/>
        <v>INTREPID SURVEYING CORPORATION</v>
      </c>
    </row>
    <row r="2950" spans="1:9" x14ac:dyDescent="0.25">
      <c r="E2950" s="7"/>
      <c r="F2950" t="s">
        <v>20</v>
      </c>
      <c r="G2950" t="s">
        <v>21</v>
      </c>
      <c r="H2950" t="str">
        <f>"20-0063 FEB 2020"</f>
        <v>20-0063 FEB 2020</v>
      </c>
      <c r="I2950" t="str">
        <f t="shared" si="50"/>
        <v>INTREPID SURVEYING CORPORATION</v>
      </c>
    </row>
    <row r="2951" spans="1:9" x14ac:dyDescent="0.25">
      <c r="E2951" s="7"/>
      <c r="F2951" t="s">
        <v>20</v>
      </c>
      <c r="G2951" t="s">
        <v>21</v>
      </c>
      <c r="H2951" t="str">
        <f>"20-0072 FEB 2020"</f>
        <v>20-0072 FEB 2020</v>
      </c>
      <c r="I2951" t="str">
        <f t="shared" si="50"/>
        <v>INTREPID SURVEYING CORPORATION</v>
      </c>
    </row>
    <row r="2952" spans="1:9" x14ac:dyDescent="0.25">
      <c r="E2952" s="7"/>
      <c r="F2952" t="s">
        <v>20</v>
      </c>
      <c r="G2952" t="s">
        <v>21</v>
      </c>
      <c r="H2952" t="str">
        <f>"20-0072 MAR 2020"</f>
        <v>20-0072 MAR 2020</v>
      </c>
      <c r="I2952" t="str">
        <f t="shared" si="50"/>
        <v>INTREPID SURVEYING CORPORATION</v>
      </c>
    </row>
    <row r="2953" spans="1:9" x14ac:dyDescent="0.25">
      <c r="E2953" s="7"/>
      <c r="F2953" t="s">
        <v>20</v>
      </c>
      <c r="G2953" t="s">
        <v>21</v>
      </c>
      <c r="H2953" t="str">
        <f>"20-0254 MARCH 2020"</f>
        <v>20-0254 MARCH 2020</v>
      </c>
      <c r="I2953" t="str">
        <f t="shared" si="50"/>
        <v>INTREPID SURVEYING CORPORATION</v>
      </c>
    </row>
    <row r="2954" spans="1:9" x14ac:dyDescent="0.25">
      <c r="A2954" s="6">
        <v>43943</v>
      </c>
      <c r="B2954" t="s">
        <v>26</v>
      </c>
      <c r="C2954">
        <v>63843</v>
      </c>
      <c r="D2954" t="s">
        <v>126</v>
      </c>
      <c r="E2954" s="7">
        <v>216.8</v>
      </c>
      <c r="F2954" t="s">
        <v>20</v>
      </c>
      <c r="G2954" t="s">
        <v>21</v>
      </c>
      <c r="H2954" t="str">
        <f>"0859-002498861"</f>
        <v>0859-002498861</v>
      </c>
      <c r="I2954" t="str">
        <f>"REPUBLIC SERVICES #859"</f>
        <v>REPUBLIC SERVICES #859</v>
      </c>
    </row>
    <row r="2955" spans="1:9" x14ac:dyDescent="0.25">
      <c r="A2955" s="6">
        <v>43943</v>
      </c>
      <c r="B2955" t="s">
        <v>26</v>
      </c>
      <c r="C2955">
        <v>63844</v>
      </c>
      <c r="D2955" t="s">
        <v>79</v>
      </c>
      <c r="E2955" s="7">
        <v>27.59</v>
      </c>
      <c r="F2955" t="s">
        <v>20</v>
      </c>
      <c r="G2955" t="s">
        <v>21</v>
      </c>
      <c r="H2955" t="str">
        <f>"6-968-86720"</f>
        <v>6-968-86720</v>
      </c>
      <c r="I2955" t="str">
        <f>"FEDEX"</f>
        <v>FEDEX</v>
      </c>
    </row>
    <row r="2956" spans="1:9" x14ac:dyDescent="0.25">
      <c r="E2956" s="7"/>
      <c r="F2956" t="s">
        <v>20</v>
      </c>
      <c r="G2956" t="s">
        <v>21</v>
      </c>
      <c r="H2956" t="str">
        <f>"6-975-54676"</f>
        <v>6-975-54676</v>
      </c>
      <c r="I2956" t="str">
        <f>"FEDEX"</f>
        <v>FEDEX</v>
      </c>
    </row>
    <row r="2957" spans="1:9" x14ac:dyDescent="0.25">
      <c r="A2957" s="6">
        <v>43943</v>
      </c>
      <c r="B2957" t="s">
        <v>26</v>
      </c>
      <c r="C2957">
        <v>63845</v>
      </c>
      <c r="D2957" t="s">
        <v>80</v>
      </c>
      <c r="E2957" s="7">
        <v>1500</v>
      </c>
      <c r="F2957" t="s">
        <v>20</v>
      </c>
      <c r="G2957" t="s">
        <v>21</v>
      </c>
      <c r="H2957" t="str">
        <f>"1648-20200401-1"</f>
        <v>1648-20200401-1</v>
      </c>
      <c r="I2957" t="str">
        <f>"LVWIFI.COM"</f>
        <v>LVWIFI.COM</v>
      </c>
    </row>
    <row r="2958" spans="1:9" x14ac:dyDescent="0.25">
      <c r="E2958" s="7"/>
      <c r="F2958" t="s">
        <v>20</v>
      </c>
      <c r="G2958" t="s">
        <v>21</v>
      </c>
      <c r="H2958" t="str">
        <f>"2313-20200401-1"</f>
        <v>2313-20200401-1</v>
      </c>
      <c r="I2958" t="str">
        <f>"LVWIFI.COM"</f>
        <v>LVWIFI.COM</v>
      </c>
    </row>
    <row r="2959" spans="1:9" x14ac:dyDescent="0.25">
      <c r="A2959" s="6">
        <v>43943</v>
      </c>
      <c r="B2959" t="s">
        <v>26</v>
      </c>
      <c r="C2959">
        <v>63846</v>
      </c>
      <c r="D2959" t="s">
        <v>139</v>
      </c>
      <c r="E2959" s="7">
        <v>65</v>
      </c>
      <c r="F2959" t="s">
        <v>20</v>
      </c>
      <c r="G2959" t="s">
        <v>21</v>
      </c>
      <c r="H2959" t="str">
        <f>"28916"</f>
        <v>28916</v>
      </c>
      <c r="I2959" t="str">
        <f>"ANGEL FIRE &amp; SAFETY"</f>
        <v>ANGEL FIRE &amp; SAFETY</v>
      </c>
    </row>
    <row r="2960" spans="1:9" x14ac:dyDescent="0.25">
      <c r="A2960" s="6">
        <v>43943</v>
      </c>
      <c r="B2960" t="s">
        <v>26</v>
      </c>
      <c r="C2960">
        <v>63847</v>
      </c>
      <c r="D2960" t="s">
        <v>148</v>
      </c>
      <c r="E2960" s="7">
        <v>50</v>
      </c>
      <c r="F2960" t="s">
        <v>20</v>
      </c>
      <c r="G2960" t="s">
        <v>21</v>
      </c>
      <c r="H2960" t="str">
        <f>"T2E0002750"</f>
        <v>T2E0002750</v>
      </c>
      <c r="I2960" t="str">
        <f>"TEXAS COMMISSION ON ENVIRONMEN"</f>
        <v>TEXAS COMMISSION ON ENVIRONMEN</v>
      </c>
    </row>
    <row r="2961" spans="1:9" x14ac:dyDescent="0.25">
      <c r="A2961" s="6">
        <v>43943</v>
      </c>
      <c r="B2961" t="s">
        <v>26</v>
      </c>
      <c r="C2961">
        <v>63848</v>
      </c>
      <c r="D2961" t="s">
        <v>236</v>
      </c>
      <c r="E2961" s="7">
        <v>32.74</v>
      </c>
      <c r="F2961" t="s">
        <v>20</v>
      </c>
      <c r="G2961" t="s">
        <v>21</v>
      </c>
      <c r="H2961" t="str">
        <f>"71539627"</f>
        <v>71539627</v>
      </c>
      <c r="I2961" t="str">
        <f>"TIFCO INDUSTRIES  INC."</f>
        <v>TIFCO INDUSTRIES  INC.</v>
      </c>
    </row>
    <row r="2962" spans="1:9" x14ac:dyDescent="0.25">
      <c r="A2962" s="6">
        <v>43943</v>
      </c>
      <c r="B2962" t="s">
        <v>26</v>
      </c>
      <c r="C2962">
        <v>63849</v>
      </c>
      <c r="D2962" t="s">
        <v>98</v>
      </c>
      <c r="E2962" s="7">
        <v>8489.61</v>
      </c>
      <c r="F2962" t="s">
        <v>20</v>
      </c>
      <c r="G2962" t="s">
        <v>21</v>
      </c>
      <c r="H2962" t="str">
        <f>"FEB/MARCH 2020"</f>
        <v>FEB/MARCH 2020</v>
      </c>
      <c r="I2962" t="str">
        <f>"DEARBORN LIFE INSURANCE COMPAN"</f>
        <v>DEARBORN LIFE INSURANCE COMPAN</v>
      </c>
    </row>
    <row r="2963" spans="1:9" x14ac:dyDescent="0.25">
      <c r="A2963" s="6">
        <v>43943</v>
      </c>
      <c r="B2963" t="s">
        <v>26</v>
      </c>
      <c r="C2963">
        <v>63850</v>
      </c>
      <c r="D2963" t="s">
        <v>380</v>
      </c>
      <c r="E2963" s="7">
        <v>15519</v>
      </c>
      <c r="F2963" t="s">
        <v>20</v>
      </c>
      <c r="G2963" t="s">
        <v>21</v>
      </c>
      <c r="H2963" t="str">
        <f>"70393"</f>
        <v>70393</v>
      </c>
      <c r="I2963" t="str">
        <f>"ABIP CERTIFIED PUBLIC ACCOUNTA"</f>
        <v>ABIP CERTIFIED PUBLIC ACCOUNTA</v>
      </c>
    </row>
    <row r="2964" spans="1:9" x14ac:dyDescent="0.25">
      <c r="A2964" s="6">
        <v>43943</v>
      </c>
      <c r="B2964" t="s">
        <v>26</v>
      </c>
      <c r="C2964">
        <v>63851</v>
      </c>
      <c r="D2964" t="s">
        <v>84</v>
      </c>
      <c r="E2964" s="7">
        <v>751</v>
      </c>
      <c r="F2964" t="s">
        <v>20</v>
      </c>
      <c r="G2964" t="s">
        <v>21</v>
      </c>
      <c r="H2964" t="str">
        <f>"1623177"</f>
        <v>1623177</v>
      </c>
      <c r="I2964" t="str">
        <f>"STANTEC CONSULTING SERVICES IN"</f>
        <v>STANTEC CONSULTING SERVICES IN</v>
      </c>
    </row>
    <row r="2965" spans="1:9" x14ac:dyDescent="0.25">
      <c r="E2965" s="7"/>
      <c r="F2965" t="s">
        <v>20</v>
      </c>
      <c r="G2965" t="s">
        <v>21</v>
      </c>
      <c r="H2965" t="str">
        <f>"18-0202 FEB 2020"</f>
        <v>18-0202 FEB 2020</v>
      </c>
      <c r="I2965" t="str">
        <f>"STANTEC CONSULTING SERVICES IN"</f>
        <v>STANTEC CONSULTING SERVICES IN</v>
      </c>
    </row>
    <row r="2966" spans="1:9" x14ac:dyDescent="0.25">
      <c r="A2966" s="6">
        <v>43943</v>
      </c>
      <c r="B2966" t="s">
        <v>26</v>
      </c>
      <c r="C2966">
        <v>63852</v>
      </c>
      <c r="D2966" t="s">
        <v>85</v>
      </c>
      <c r="E2966" s="7">
        <v>2807.72</v>
      </c>
      <c r="F2966" t="s">
        <v>20</v>
      </c>
      <c r="G2966" t="s">
        <v>21</v>
      </c>
      <c r="H2966" t="str">
        <f>"3930579 APRIL 2020"</f>
        <v>3930579 APRIL 2020</v>
      </c>
      <c r="I2966" t="str">
        <f t="shared" ref="I2966:I2971" si="51">"FRONTIER"</f>
        <v>FRONTIER</v>
      </c>
    </row>
    <row r="2967" spans="1:9" x14ac:dyDescent="0.25">
      <c r="E2967" s="7"/>
      <c r="F2967" t="s">
        <v>20</v>
      </c>
      <c r="G2967" t="s">
        <v>21</v>
      </c>
      <c r="H2967" t="str">
        <f>"3933108 APRIL 2020"</f>
        <v>3933108 APRIL 2020</v>
      </c>
      <c r="I2967" t="str">
        <f t="shared" si="51"/>
        <v>FRONTIER</v>
      </c>
    </row>
    <row r="2968" spans="1:9" x14ac:dyDescent="0.25">
      <c r="E2968" s="7"/>
      <c r="F2968" t="s">
        <v>20</v>
      </c>
      <c r="G2968" t="s">
        <v>21</v>
      </c>
      <c r="H2968" t="str">
        <f>"3934055 APRIL 2020"</f>
        <v>3934055 APRIL 2020</v>
      </c>
      <c r="I2968" t="str">
        <f t="shared" si="51"/>
        <v>FRONTIER</v>
      </c>
    </row>
    <row r="2969" spans="1:9" x14ac:dyDescent="0.25">
      <c r="E2969" s="7"/>
      <c r="F2969" t="s">
        <v>20</v>
      </c>
      <c r="G2969" t="s">
        <v>21</v>
      </c>
      <c r="H2969" t="str">
        <f>"3937070 MARCH2020"</f>
        <v>3937070 MARCH2020</v>
      </c>
      <c r="I2969" t="str">
        <f t="shared" si="51"/>
        <v>FRONTIER</v>
      </c>
    </row>
    <row r="2970" spans="1:9" x14ac:dyDescent="0.25">
      <c r="E2970" s="7"/>
      <c r="F2970" t="s">
        <v>20</v>
      </c>
      <c r="G2970" t="s">
        <v>21</v>
      </c>
      <c r="H2970" t="str">
        <f>"3939791 APRIL 2020"</f>
        <v>3939791 APRIL 2020</v>
      </c>
      <c r="I2970" t="str">
        <f t="shared" si="51"/>
        <v>FRONTIER</v>
      </c>
    </row>
    <row r="2971" spans="1:9" x14ac:dyDescent="0.25">
      <c r="E2971" s="7"/>
      <c r="F2971" t="s">
        <v>20</v>
      </c>
      <c r="G2971" t="s">
        <v>21</v>
      </c>
      <c r="H2971" t="str">
        <f>"8301970025 4/2020"</f>
        <v>8301970025 4/2020</v>
      </c>
      <c r="I2971" t="str">
        <f t="shared" si="51"/>
        <v>FRONTIER</v>
      </c>
    </row>
    <row r="2972" spans="1:9" x14ac:dyDescent="0.25">
      <c r="A2972" s="6">
        <v>43943</v>
      </c>
      <c r="B2972" t="s">
        <v>26</v>
      </c>
      <c r="C2972">
        <v>63854</v>
      </c>
      <c r="D2972" t="s">
        <v>149</v>
      </c>
      <c r="E2972" s="7">
        <v>1656.74</v>
      </c>
      <c r="F2972" t="s">
        <v>20</v>
      </c>
      <c r="G2972" t="s">
        <v>21</v>
      </c>
      <c r="H2972" t="str">
        <f>"120151"</f>
        <v>120151</v>
      </c>
      <c r="I2972" t="str">
        <f>"SEWER PIPE CLEANING REPAI"</f>
        <v>SEWER PIPE CLEANING REPAI</v>
      </c>
    </row>
    <row r="2973" spans="1:9" x14ac:dyDescent="0.25">
      <c r="A2973" s="6">
        <v>43943</v>
      </c>
      <c r="B2973" t="s">
        <v>26</v>
      </c>
      <c r="C2973">
        <v>63855</v>
      </c>
      <c r="D2973" t="s">
        <v>388</v>
      </c>
      <c r="E2973" s="7">
        <v>1831</v>
      </c>
      <c r="F2973" t="s">
        <v>20</v>
      </c>
      <c r="G2973" t="s">
        <v>21</v>
      </c>
      <c r="H2973" t="str">
        <f>"C-1079 RENEWAL"</f>
        <v>C-1079 RENEWAL</v>
      </c>
      <c r="I2973" t="str">
        <f>"TML ADMINISTRATIVE SERVICES"</f>
        <v>TML ADMINISTRATIVE SERVICES</v>
      </c>
    </row>
    <row r="2974" spans="1:9" x14ac:dyDescent="0.25">
      <c r="A2974" s="6">
        <v>43943</v>
      </c>
      <c r="B2974" t="s">
        <v>26</v>
      </c>
      <c r="C2974">
        <v>63856</v>
      </c>
      <c r="D2974" t="s">
        <v>132</v>
      </c>
      <c r="E2974" s="7">
        <v>41.04</v>
      </c>
      <c r="F2974" t="s">
        <v>20</v>
      </c>
      <c r="G2974" t="s">
        <v>21</v>
      </c>
      <c r="H2974" t="str">
        <f>"16992887 032620"</f>
        <v>16992887 032620</v>
      </c>
      <c r="I2974" t="str">
        <f>"SPARKLETTS &amp; SIERRA SPRINGS"</f>
        <v>SPARKLETTS &amp; SIERRA SPRINGS</v>
      </c>
    </row>
    <row r="2975" spans="1:9" x14ac:dyDescent="0.25">
      <c r="A2975" s="6">
        <v>43943</v>
      </c>
      <c r="B2975" t="s">
        <v>26</v>
      </c>
      <c r="C2975">
        <v>63857</v>
      </c>
      <c r="D2975" t="s">
        <v>326</v>
      </c>
      <c r="E2975" s="7">
        <v>35</v>
      </c>
      <c r="F2975" t="s">
        <v>20</v>
      </c>
      <c r="G2975" t="s">
        <v>21</v>
      </c>
      <c r="H2975" t="str">
        <f>"21474330"</f>
        <v>21474330</v>
      </c>
      <c r="I2975" t="str">
        <f>"MATHESON TRI-GAS INC"</f>
        <v>MATHESON TRI-GAS INC</v>
      </c>
    </row>
    <row r="2976" spans="1:9" x14ac:dyDescent="0.25">
      <c r="A2976" s="6">
        <v>43943</v>
      </c>
      <c r="B2976" t="s">
        <v>26</v>
      </c>
      <c r="C2976">
        <v>63858</v>
      </c>
      <c r="D2976" t="s">
        <v>345</v>
      </c>
      <c r="E2976" s="7">
        <v>308</v>
      </c>
      <c r="F2976" t="s">
        <v>20</v>
      </c>
      <c r="G2976" t="s">
        <v>21</v>
      </c>
      <c r="H2976" t="str">
        <f>"4/9/2020"</f>
        <v>4/9/2020</v>
      </c>
      <c r="I2976" t="str">
        <f>"MICHAEL ISAAC MARTINEZ"</f>
        <v>MICHAEL ISAAC MARTINEZ</v>
      </c>
    </row>
    <row r="2977" spans="1:9" x14ac:dyDescent="0.25">
      <c r="A2977" s="6">
        <v>43943</v>
      </c>
      <c r="B2977" t="s">
        <v>26</v>
      </c>
      <c r="C2977">
        <v>63859</v>
      </c>
      <c r="D2977" t="s">
        <v>398</v>
      </c>
      <c r="E2977" s="7">
        <v>55</v>
      </c>
      <c r="F2977" t="s">
        <v>20</v>
      </c>
      <c r="G2977" t="s">
        <v>21</v>
      </c>
      <c r="H2977" t="str">
        <f>"20200410"</f>
        <v>20200410</v>
      </c>
      <c r="I2977" t="str">
        <f>"INTERCEPTOR TECHNOLOGY GROUP L"</f>
        <v>INTERCEPTOR TECHNOLOGY GROUP L</v>
      </c>
    </row>
    <row r="2978" spans="1:9" x14ac:dyDescent="0.25">
      <c r="A2978" s="6">
        <v>43943</v>
      </c>
      <c r="B2978" t="s">
        <v>26</v>
      </c>
      <c r="C2978">
        <v>63860</v>
      </c>
      <c r="D2978" t="s">
        <v>630</v>
      </c>
      <c r="E2978" s="7">
        <v>5085.68</v>
      </c>
      <c r="F2978" t="s">
        <v>20</v>
      </c>
      <c r="G2978" t="s">
        <v>21</v>
      </c>
      <c r="H2978" t="str">
        <f>"26619"</f>
        <v>26619</v>
      </c>
      <c r="I2978" t="str">
        <f>"RIVERBEND- WATER METERS"</f>
        <v>RIVERBEND- WATER METERS</v>
      </c>
    </row>
    <row r="2979" spans="1:9" x14ac:dyDescent="0.25">
      <c r="A2979" s="6">
        <v>43943</v>
      </c>
      <c r="B2979" t="s">
        <v>26</v>
      </c>
      <c r="C2979">
        <v>63861</v>
      </c>
      <c r="D2979" t="s">
        <v>644</v>
      </c>
      <c r="E2979" s="7">
        <v>442.25</v>
      </c>
      <c r="F2979" t="s">
        <v>20</v>
      </c>
      <c r="G2979" t="s">
        <v>21</v>
      </c>
      <c r="H2979" t="str">
        <f>"8213443628"</f>
        <v>8213443628</v>
      </c>
      <c r="I2979" t="str">
        <f>"UNIFIRST CORPORATION"</f>
        <v>UNIFIRST CORPORATION</v>
      </c>
    </row>
    <row r="2980" spans="1:9" x14ac:dyDescent="0.25">
      <c r="E2980" s="7"/>
      <c r="F2980" t="s">
        <v>20</v>
      </c>
      <c r="G2980" t="s">
        <v>21</v>
      </c>
      <c r="H2980" t="str">
        <f>"8213446316"</f>
        <v>8213446316</v>
      </c>
      <c r="I2980" t="str">
        <f>"UNIFIRST CORPORATION"</f>
        <v>UNIFIRST CORPORATION</v>
      </c>
    </row>
    <row r="2981" spans="1:9" x14ac:dyDescent="0.25">
      <c r="A2981" s="6">
        <v>43943</v>
      </c>
      <c r="B2981" t="s">
        <v>26</v>
      </c>
      <c r="C2981">
        <v>63862</v>
      </c>
      <c r="D2981" t="s">
        <v>685</v>
      </c>
      <c r="E2981" s="7">
        <v>936.12</v>
      </c>
      <c r="F2981" t="s">
        <v>20</v>
      </c>
      <c r="G2981" t="s">
        <v>21</v>
      </c>
      <c r="H2981" t="str">
        <f>"12132-5"</f>
        <v>12132-5</v>
      </c>
      <c r="I2981" t="str">
        <f>"BUTTERCUP EMERGENCY WORK"</f>
        <v>BUTTERCUP EMERGENCY WORK</v>
      </c>
    </row>
    <row r="2982" spans="1:9" x14ac:dyDescent="0.25">
      <c r="A2982" s="6">
        <v>43943</v>
      </c>
      <c r="B2982" t="s">
        <v>26</v>
      </c>
      <c r="C2982">
        <v>63863</v>
      </c>
      <c r="D2982" t="s">
        <v>868</v>
      </c>
      <c r="E2982" s="7">
        <v>1890</v>
      </c>
      <c r="F2982" t="s">
        <v>20</v>
      </c>
      <c r="G2982" t="s">
        <v>21</v>
      </c>
      <c r="H2982" t="str">
        <f>"CC19037-3"</f>
        <v>CC19037-3</v>
      </c>
      <c r="I2982" t="str">
        <f>"GONZALEZ-DE LA GARZA &amp; ASSOCIA"</f>
        <v>GONZALEZ-DE LA GARZA &amp; ASSOCIA</v>
      </c>
    </row>
    <row r="2983" spans="1:9" x14ac:dyDescent="0.25">
      <c r="A2983" s="6">
        <v>43943</v>
      </c>
      <c r="B2983" t="s">
        <v>26</v>
      </c>
      <c r="C2983">
        <v>63864</v>
      </c>
      <c r="D2983" t="s">
        <v>905</v>
      </c>
      <c r="E2983" s="7">
        <v>288</v>
      </c>
      <c r="F2983" t="s">
        <v>20</v>
      </c>
      <c r="G2983" t="s">
        <v>21</v>
      </c>
      <c r="H2983" t="str">
        <f>"58880"</f>
        <v>58880</v>
      </c>
      <c r="I2983" t="str">
        <f>"MID-WEST PRINTING COMPANY"</f>
        <v>MID-WEST PRINTING COMPANY</v>
      </c>
    </row>
    <row r="2984" spans="1:9" x14ac:dyDescent="0.25">
      <c r="A2984" s="6">
        <v>43943</v>
      </c>
      <c r="B2984" t="s">
        <v>26</v>
      </c>
      <c r="C2984">
        <v>63865</v>
      </c>
      <c r="D2984" t="s">
        <v>103</v>
      </c>
      <c r="E2984" s="7">
        <v>65150.41</v>
      </c>
      <c r="F2984" t="s">
        <v>20</v>
      </c>
      <c r="G2984" t="s">
        <v>21</v>
      </c>
      <c r="H2984" t="str">
        <f>"SALES TAX APR2020"</f>
        <v>SALES TAX APR2020</v>
      </c>
      <c r="I2984" t="str">
        <f>"F. E. D. C."</f>
        <v>F. E. D. C.</v>
      </c>
    </row>
    <row r="2985" spans="1:9" x14ac:dyDescent="0.25">
      <c r="A2985" s="6">
        <v>43950</v>
      </c>
      <c r="B2985" t="s">
        <v>26</v>
      </c>
      <c r="C2985">
        <v>63868</v>
      </c>
      <c r="D2985" t="s">
        <v>102</v>
      </c>
      <c r="E2985" s="7">
        <v>100.37</v>
      </c>
      <c r="F2985" t="s">
        <v>20</v>
      </c>
      <c r="G2985" t="s">
        <v>21</v>
      </c>
      <c r="H2985" t="str">
        <f>"1120 D.ST APR.2020"</f>
        <v>1120 D.ST APR.2020</v>
      </c>
      <c r="I2985" t="str">
        <f>"CENTERPOINT ENERGY ENTEX"</f>
        <v>CENTERPOINT ENERGY ENTEX</v>
      </c>
    </row>
    <row r="2986" spans="1:9" x14ac:dyDescent="0.25">
      <c r="E2986" s="7"/>
      <c r="F2986" t="s">
        <v>20</v>
      </c>
      <c r="G2986" t="s">
        <v>21</v>
      </c>
      <c r="H2986" t="str">
        <f>"1200 1ST.APR.2020"</f>
        <v>1200 1ST.APR.2020</v>
      </c>
      <c r="I2986" t="str">
        <f>"CENTERPOINT ENERGY ENTEX"</f>
        <v>CENTERPOINT ENERGY ENTEX</v>
      </c>
    </row>
    <row r="2987" spans="1:9" x14ac:dyDescent="0.25">
      <c r="E2987" s="7"/>
      <c r="F2987" t="s">
        <v>20</v>
      </c>
      <c r="G2987" t="s">
        <v>21</v>
      </c>
      <c r="H2987" t="str">
        <f>"920 C. ST."</f>
        <v>920 C. ST.</v>
      </c>
      <c r="I2987" t="str">
        <f>"CENTERPOINT ENERGY ENTEX"</f>
        <v>CENTERPOINT ENERGY ENTEX</v>
      </c>
    </row>
    <row r="2988" spans="1:9" x14ac:dyDescent="0.25">
      <c r="A2988" s="6">
        <v>43950</v>
      </c>
      <c r="B2988" t="s">
        <v>26</v>
      </c>
      <c r="C2988">
        <v>63869</v>
      </c>
      <c r="D2988" t="s">
        <v>166</v>
      </c>
      <c r="E2988" s="7">
        <v>657.3</v>
      </c>
      <c r="F2988" t="s">
        <v>20</v>
      </c>
      <c r="G2988" t="s">
        <v>21</v>
      </c>
      <c r="H2988" t="str">
        <f>"9567 4/30/2020"</f>
        <v>9567 4/30/2020</v>
      </c>
      <c r="I2988" t="str">
        <f>"PITNEY BOWES PURCHASE POWER"</f>
        <v>PITNEY BOWES PURCHASE POWER</v>
      </c>
    </row>
    <row r="2989" spans="1:9" x14ac:dyDescent="0.25">
      <c r="A2989" s="6">
        <v>43950</v>
      </c>
      <c r="B2989" t="s">
        <v>26</v>
      </c>
      <c r="C2989">
        <v>63870</v>
      </c>
      <c r="D2989" t="s">
        <v>181</v>
      </c>
      <c r="E2989" s="7">
        <v>43.03</v>
      </c>
      <c r="F2989" t="s">
        <v>20</v>
      </c>
      <c r="G2989" t="s">
        <v>21</v>
      </c>
      <c r="H2989" t="str">
        <f>"3933186 APR.2020"</f>
        <v>3933186 APR.2020</v>
      </c>
      <c r="I2989" t="str">
        <f>"AT&amp;T"</f>
        <v>AT&amp;T</v>
      </c>
    </row>
    <row r="2990" spans="1:9" x14ac:dyDescent="0.25">
      <c r="A2990" s="6">
        <v>43950</v>
      </c>
      <c r="B2990" t="s">
        <v>26</v>
      </c>
      <c r="C2990">
        <v>63871</v>
      </c>
      <c r="D2990" t="s">
        <v>184</v>
      </c>
      <c r="E2990" s="7">
        <v>1598</v>
      </c>
      <c r="F2990" t="s">
        <v>20</v>
      </c>
      <c r="G2990" t="s">
        <v>21</v>
      </c>
      <c r="H2990" t="str">
        <f>"1058-546"</f>
        <v>1058-546</v>
      </c>
      <c r="I2990" t="str">
        <f>"POLLUTION CONTROL SERVICES"</f>
        <v>POLLUTION CONTROL SERVICES</v>
      </c>
    </row>
    <row r="2991" spans="1:9" x14ac:dyDescent="0.25">
      <c r="E2991" s="7"/>
      <c r="F2991" t="s">
        <v>20</v>
      </c>
      <c r="G2991" t="s">
        <v>21</v>
      </c>
      <c r="H2991" t="str">
        <f>"1058-547"</f>
        <v>1058-547</v>
      </c>
      <c r="I2991" t="str">
        <f>"POLLUTION CONTROL SERVICES"</f>
        <v>POLLUTION CONTROL SERVICES</v>
      </c>
    </row>
    <row r="2992" spans="1:9" x14ac:dyDescent="0.25">
      <c r="A2992" s="6">
        <v>43950</v>
      </c>
      <c r="B2992" t="s">
        <v>91</v>
      </c>
      <c r="C2992">
        <v>63872</v>
      </c>
      <c r="D2992" t="s">
        <v>168</v>
      </c>
      <c r="E2992" s="7">
        <v>1099</v>
      </c>
      <c r="F2992" t="s">
        <v>20</v>
      </c>
      <c r="G2992" t="s">
        <v>21</v>
      </c>
      <c r="H2992" t="str">
        <f>"LI-6926"</f>
        <v>LI-6926</v>
      </c>
      <c r="I2992" t="str">
        <f t="shared" ref="I2992:I2998" si="52">"BEXAR COUNTY AUDITOR/ATTN:CRIM"</f>
        <v>BEXAR COUNTY AUDITOR/ATTN:CRIM</v>
      </c>
    </row>
    <row r="2993" spans="1:9" x14ac:dyDescent="0.25">
      <c r="E2993" s="7"/>
      <c r="F2993" t="s">
        <v>20</v>
      </c>
      <c r="G2993" t="s">
        <v>21</v>
      </c>
      <c r="H2993" t="str">
        <f>"LI-6987"</f>
        <v>LI-6987</v>
      </c>
      <c r="I2993" t="str">
        <f t="shared" si="52"/>
        <v>BEXAR COUNTY AUDITOR/ATTN:CRIM</v>
      </c>
    </row>
    <row r="2994" spans="1:9" x14ac:dyDescent="0.25">
      <c r="E2994" s="7"/>
      <c r="F2994" t="s">
        <v>20</v>
      </c>
      <c r="G2994" t="s">
        <v>21</v>
      </c>
      <c r="H2994" t="str">
        <f>"LI-6988"</f>
        <v>LI-6988</v>
      </c>
      <c r="I2994" t="str">
        <f t="shared" si="52"/>
        <v>BEXAR COUNTY AUDITOR/ATTN:CRIM</v>
      </c>
    </row>
    <row r="2995" spans="1:9" x14ac:dyDescent="0.25">
      <c r="E2995" s="7"/>
      <c r="F2995" t="s">
        <v>20</v>
      </c>
      <c r="G2995" t="s">
        <v>21</v>
      </c>
      <c r="H2995" t="str">
        <f>"LI-6989"</f>
        <v>LI-6989</v>
      </c>
      <c r="I2995" t="str">
        <f t="shared" si="52"/>
        <v>BEXAR COUNTY AUDITOR/ATTN:CRIM</v>
      </c>
    </row>
    <row r="2996" spans="1:9" x14ac:dyDescent="0.25">
      <c r="E2996" s="7"/>
      <c r="F2996" t="s">
        <v>20</v>
      </c>
      <c r="G2996" t="s">
        <v>21</v>
      </c>
      <c r="H2996" t="str">
        <f>"LI-6990"</f>
        <v>LI-6990</v>
      </c>
      <c r="I2996" t="str">
        <f t="shared" si="52"/>
        <v>BEXAR COUNTY AUDITOR/ATTN:CRIM</v>
      </c>
    </row>
    <row r="2997" spans="1:9" x14ac:dyDescent="0.25">
      <c r="E2997" s="7"/>
      <c r="F2997" t="s">
        <v>20</v>
      </c>
      <c r="G2997" t="s">
        <v>21</v>
      </c>
      <c r="H2997" t="str">
        <f>"LI-6991"</f>
        <v>LI-6991</v>
      </c>
      <c r="I2997" t="str">
        <f t="shared" si="52"/>
        <v>BEXAR COUNTY AUDITOR/ATTN:CRIM</v>
      </c>
    </row>
    <row r="2998" spans="1:9" x14ac:dyDescent="0.25">
      <c r="E2998" s="7"/>
      <c r="F2998" t="s">
        <v>20</v>
      </c>
      <c r="G2998" t="s">
        <v>21</v>
      </c>
      <c r="H2998" t="str">
        <f>"LI-6992"</f>
        <v>LI-6992</v>
      </c>
      <c r="I2998" t="str">
        <f t="shared" si="52"/>
        <v>BEXAR COUNTY AUDITOR/ATTN:CRIM</v>
      </c>
    </row>
    <row r="2999" spans="1:9" x14ac:dyDescent="0.25">
      <c r="A2999" s="6">
        <v>43950</v>
      </c>
      <c r="B2999" t="s">
        <v>91</v>
      </c>
      <c r="C2999">
        <v>63872</v>
      </c>
      <c r="D2999" t="s">
        <v>168</v>
      </c>
      <c r="E2999" s="7">
        <v>1099</v>
      </c>
      <c r="F2999" t="s">
        <v>20</v>
      </c>
      <c r="G2999" t="s">
        <v>93</v>
      </c>
      <c r="H2999" t="str">
        <f>"CHECK"</f>
        <v>CHECK</v>
      </c>
      <c r="I2999" t="str">
        <f>""</f>
        <v/>
      </c>
    </row>
    <row r="3000" spans="1:9" x14ac:dyDescent="0.25">
      <c r="A3000" s="6">
        <v>43950</v>
      </c>
      <c r="B3000" t="s">
        <v>26</v>
      </c>
      <c r="C3000">
        <v>63874</v>
      </c>
      <c r="D3000" t="s">
        <v>425</v>
      </c>
      <c r="E3000" s="7">
        <v>108.75</v>
      </c>
      <c r="F3000" t="s">
        <v>20</v>
      </c>
      <c r="G3000" t="s">
        <v>21</v>
      </c>
      <c r="H3000" t="str">
        <f>"397176"</f>
        <v>397176</v>
      </c>
      <c r="I3000" t="str">
        <f>"BADGE FOR ZUNIGA"</f>
        <v>BADGE FOR ZUNIGA</v>
      </c>
    </row>
    <row r="3001" spans="1:9" x14ac:dyDescent="0.25">
      <c r="A3001" s="6">
        <v>43950</v>
      </c>
      <c r="B3001" t="s">
        <v>26</v>
      </c>
      <c r="C3001">
        <v>63875</v>
      </c>
      <c r="D3001" t="s">
        <v>115</v>
      </c>
      <c r="E3001" s="7">
        <v>426.57</v>
      </c>
      <c r="F3001" t="s">
        <v>20</v>
      </c>
      <c r="G3001" t="s">
        <v>21</v>
      </c>
      <c r="H3001" t="str">
        <f>"3547637653"</f>
        <v>3547637653</v>
      </c>
      <c r="I3001" t="str">
        <f>"K-9 UNIT"</f>
        <v>K-9 UNIT</v>
      </c>
    </row>
    <row r="3002" spans="1:9" x14ac:dyDescent="0.25">
      <c r="E3002" s="7"/>
      <c r="F3002" t="s">
        <v>20</v>
      </c>
      <c r="G3002" t="s">
        <v>21</v>
      </c>
      <c r="H3002" t="str">
        <f>"3547642755"</f>
        <v>3547642755</v>
      </c>
      <c r="I3002" t="str">
        <f>"PD UNIT #323 REPAIR"</f>
        <v>PD UNIT #323 REPAIR</v>
      </c>
    </row>
    <row r="3003" spans="1:9" x14ac:dyDescent="0.25">
      <c r="E3003" s="7"/>
      <c r="F3003" t="s">
        <v>20</v>
      </c>
      <c r="G3003" t="s">
        <v>21</v>
      </c>
      <c r="H3003" t="str">
        <f>"3547645706"</f>
        <v>3547645706</v>
      </c>
      <c r="I3003" t="str">
        <f>"UNIT 334- PD"</f>
        <v>UNIT 334- PD</v>
      </c>
    </row>
    <row r="3004" spans="1:9" x14ac:dyDescent="0.25">
      <c r="E3004" s="7"/>
      <c r="F3004" t="s">
        <v>20</v>
      </c>
      <c r="G3004" t="s">
        <v>21</v>
      </c>
      <c r="H3004" t="str">
        <f>"3547645707"</f>
        <v>3547645707</v>
      </c>
      <c r="I3004" t="str">
        <f>"UNIT 325- PD"</f>
        <v>UNIT 325- PD</v>
      </c>
    </row>
    <row r="3005" spans="1:9" x14ac:dyDescent="0.25">
      <c r="A3005" s="6">
        <v>43950</v>
      </c>
      <c r="B3005" t="s">
        <v>26</v>
      </c>
      <c r="C3005">
        <v>63876</v>
      </c>
      <c r="D3005" t="s">
        <v>63</v>
      </c>
      <c r="E3005" s="7">
        <v>1036.7</v>
      </c>
      <c r="F3005" t="s">
        <v>20</v>
      </c>
      <c r="G3005" t="s">
        <v>21</v>
      </c>
      <c r="H3005" t="str">
        <f>"8404587619"</f>
        <v>8404587619</v>
      </c>
      <c r="I3005" t="str">
        <f>"CINTAS CORPORATION"</f>
        <v>CINTAS CORPORATION</v>
      </c>
    </row>
    <row r="3006" spans="1:9" x14ac:dyDescent="0.25">
      <c r="E3006" s="7"/>
      <c r="F3006" t="s">
        <v>20</v>
      </c>
      <c r="G3006" t="s">
        <v>21</v>
      </c>
      <c r="H3006" t="str">
        <f>"8404596369"</f>
        <v>8404596369</v>
      </c>
      <c r="I3006" t="str">
        <f>"CINTAS CORPORATION"</f>
        <v>CINTAS CORPORATION</v>
      </c>
    </row>
    <row r="3007" spans="1:9" x14ac:dyDescent="0.25">
      <c r="A3007" s="6">
        <v>43950</v>
      </c>
      <c r="B3007" t="s">
        <v>26</v>
      </c>
      <c r="C3007">
        <v>63877</v>
      </c>
      <c r="D3007" t="s">
        <v>64</v>
      </c>
      <c r="E3007" s="7">
        <v>8309</v>
      </c>
      <c r="F3007" t="s">
        <v>20</v>
      </c>
      <c r="G3007" t="s">
        <v>21</v>
      </c>
      <c r="H3007" t="str">
        <f>"26704"</f>
        <v>26704</v>
      </c>
      <c r="I3007" t="str">
        <f>"DREWA DESIGNS  INC."</f>
        <v>DREWA DESIGNS  INC.</v>
      </c>
    </row>
    <row r="3008" spans="1:9" x14ac:dyDescent="0.25">
      <c r="A3008" s="6">
        <v>43950</v>
      </c>
      <c r="B3008" t="s">
        <v>26</v>
      </c>
      <c r="C3008">
        <v>63878</v>
      </c>
      <c r="D3008" t="s">
        <v>117</v>
      </c>
      <c r="E3008" s="7">
        <v>845.93</v>
      </c>
      <c r="F3008" t="s">
        <v>20</v>
      </c>
      <c r="G3008" t="s">
        <v>21</v>
      </c>
      <c r="H3008" t="str">
        <f>"MARCH 2020"</f>
        <v>MARCH 2020</v>
      </c>
      <c r="I3008" t="str">
        <f>"LINEBARGER GOGGAN BLAIR &amp; SAMP"</f>
        <v>LINEBARGER GOGGAN BLAIR &amp; SAMP</v>
      </c>
    </row>
    <row r="3009" spans="1:9" x14ac:dyDescent="0.25">
      <c r="A3009" s="6">
        <v>43950</v>
      </c>
      <c r="B3009" t="s">
        <v>26</v>
      </c>
      <c r="C3009">
        <v>63879</v>
      </c>
      <c r="D3009" t="s">
        <v>65</v>
      </c>
      <c r="E3009" s="7">
        <v>45</v>
      </c>
      <c r="F3009" t="s">
        <v>20</v>
      </c>
      <c r="G3009" t="s">
        <v>21</v>
      </c>
      <c r="H3009" t="str">
        <f>"RENEWAL 4/2020"</f>
        <v>RENEWAL 4/2020</v>
      </c>
      <c r="I3009" t="str">
        <f>"SAM'S CLUB/SYNCHRONY BANK"</f>
        <v>SAM'S CLUB/SYNCHRONY BANK</v>
      </c>
    </row>
    <row r="3010" spans="1:9" x14ac:dyDescent="0.25">
      <c r="A3010" s="6">
        <v>43950</v>
      </c>
      <c r="B3010" t="s">
        <v>26</v>
      </c>
      <c r="C3010">
        <v>63880</v>
      </c>
      <c r="D3010" t="s">
        <v>118</v>
      </c>
      <c r="E3010" s="7">
        <v>1158.71</v>
      </c>
      <c r="F3010" t="s">
        <v>20</v>
      </c>
      <c r="G3010" t="s">
        <v>21</v>
      </c>
      <c r="H3010" t="str">
        <f>"11766"</f>
        <v>11766</v>
      </c>
      <c r="I3010" t="str">
        <f>"BRYAN AIR CONDITIONING &amp; HEATI"</f>
        <v>BRYAN AIR CONDITIONING &amp; HEATI</v>
      </c>
    </row>
    <row r="3011" spans="1:9" x14ac:dyDescent="0.25">
      <c r="E3011" s="7"/>
      <c r="F3011" t="s">
        <v>20</v>
      </c>
      <c r="G3011" t="s">
        <v>21</v>
      </c>
      <c r="H3011" t="str">
        <f>"11773"</f>
        <v>11773</v>
      </c>
      <c r="I3011" t="str">
        <f>"BRYAN AIR CONDITIONING &amp; HEATI"</f>
        <v>BRYAN AIR CONDITIONING &amp; HEATI</v>
      </c>
    </row>
    <row r="3012" spans="1:9" x14ac:dyDescent="0.25">
      <c r="A3012" s="6">
        <v>43950</v>
      </c>
      <c r="B3012" t="s">
        <v>26</v>
      </c>
      <c r="C3012">
        <v>63881</v>
      </c>
      <c r="D3012" t="s">
        <v>254</v>
      </c>
      <c r="E3012" s="7">
        <v>3479.31</v>
      </c>
      <c r="F3012" t="s">
        <v>20</v>
      </c>
      <c r="G3012" t="s">
        <v>21</v>
      </c>
      <c r="H3012" t="str">
        <f>"END WRT 3/31/2020"</f>
        <v>END WRT 3/31/2020</v>
      </c>
      <c r="I3012" t="str">
        <f>"TEXAS WORKFORCE COMMISSION"</f>
        <v>TEXAS WORKFORCE COMMISSION</v>
      </c>
    </row>
    <row r="3013" spans="1:9" x14ac:dyDescent="0.25">
      <c r="A3013" s="6">
        <v>43950</v>
      </c>
      <c r="B3013" t="s">
        <v>26</v>
      </c>
      <c r="C3013">
        <v>63882</v>
      </c>
      <c r="D3013" t="s">
        <v>495</v>
      </c>
      <c r="E3013" s="7">
        <v>619.70000000000005</v>
      </c>
      <c r="F3013" t="s">
        <v>20</v>
      </c>
      <c r="G3013" t="s">
        <v>21</v>
      </c>
      <c r="H3013" t="str">
        <f>"0439321-IN"</f>
        <v>0439321-IN</v>
      </c>
      <c r="I3013" t="str">
        <f>"PD SUPPLIES"</f>
        <v>PD SUPPLIES</v>
      </c>
    </row>
    <row r="3014" spans="1:9" x14ac:dyDescent="0.25">
      <c r="A3014" s="6">
        <v>43950</v>
      </c>
      <c r="B3014" t="s">
        <v>26</v>
      </c>
      <c r="C3014">
        <v>63883</v>
      </c>
      <c r="D3014" t="s">
        <v>120</v>
      </c>
      <c r="E3014" s="7">
        <v>1810.38</v>
      </c>
      <c r="F3014" t="s">
        <v>20</v>
      </c>
      <c r="G3014" t="s">
        <v>21</v>
      </c>
      <c r="H3014" t="str">
        <f>"71418903"</f>
        <v>71418903</v>
      </c>
      <c r="I3014" t="str">
        <f>"VERIZON BUSINESS"</f>
        <v>VERIZON BUSINESS</v>
      </c>
    </row>
    <row r="3015" spans="1:9" x14ac:dyDescent="0.25">
      <c r="E3015" s="7"/>
      <c r="F3015" t="s">
        <v>20</v>
      </c>
      <c r="G3015" t="s">
        <v>21</v>
      </c>
      <c r="H3015" t="str">
        <f>"71420265"</f>
        <v>71420265</v>
      </c>
      <c r="I3015" t="str">
        <f>"VERIZON BUSINESS"</f>
        <v>VERIZON BUSINESS</v>
      </c>
    </row>
    <row r="3016" spans="1:9" x14ac:dyDescent="0.25">
      <c r="A3016" s="6">
        <v>43950</v>
      </c>
      <c r="B3016" t="s">
        <v>26</v>
      </c>
      <c r="C3016">
        <v>63884</v>
      </c>
      <c r="D3016" t="s">
        <v>426</v>
      </c>
      <c r="E3016" s="7">
        <v>25</v>
      </c>
      <c r="F3016" t="s">
        <v>20</v>
      </c>
      <c r="G3016" t="s">
        <v>21</v>
      </c>
      <c r="H3016" t="str">
        <f>"INV0755260*"</f>
        <v>INV0755260*</v>
      </c>
      <c r="I3016" t="str">
        <f>"GT DISTRIBUTORS  INC."</f>
        <v>GT DISTRIBUTORS  INC.</v>
      </c>
    </row>
    <row r="3017" spans="1:9" x14ac:dyDescent="0.25">
      <c r="A3017" s="6">
        <v>43950</v>
      </c>
      <c r="B3017" t="s">
        <v>26</v>
      </c>
      <c r="C3017">
        <v>63885</v>
      </c>
      <c r="D3017" t="s">
        <v>29</v>
      </c>
      <c r="E3017" s="7">
        <v>24005</v>
      </c>
      <c r="F3017" t="s">
        <v>20</v>
      </c>
      <c r="G3017" t="s">
        <v>21</v>
      </c>
      <c r="H3017" t="str">
        <f>"43339"</f>
        <v>43339</v>
      </c>
      <c r="I3017" t="str">
        <f>"M &amp; S ENGINEERING  LLC"</f>
        <v>M &amp; S ENGINEERING  LLC</v>
      </c>
    </row>
    <row r="3018" spans="1:9" x14ac:dyDescent="0.25">
      <c r="E3018" s="7"/>
      <c r="F3018" t="s">
        <v>20</v>
      </c>
      <c r="G3018" t="s">
        <v>21</v>
      </c>
      <c r="H3018" t="str">
        <f>"43349"</f>
        <v>43349</v>
      </c>
      <c r="I3018" t="str">
        <f>"M &amp; S ENGINEERING  LLC"</f>
        <v>M &amp; S ENGINEERING  LLC</v>
      </c>
    </row>
    <row r="3019" spans="1:9" x14ac:dyDescent="0.25">
      <c r="E3019" s="7"/>
      <c r="F3019" t="s">
        <v>20</v>
      </c>
      <c r="G3019" t="s">
        <v>21</v>
      </c>
      <c r="H3019" t="str">
        <f>"43356"</f>
        <v>43356</v>
      </c>
      <c r="I3019" t="str">
        <f>"M &amp; S ENGINEERING  LLC"</f>
        <v>M &amp; S ENGINEERING  LLC</v>
      </c>
    </row>
    <row r="3020" spans="1:9" x14ac:dyDescent="0.25">
      <c r="E3020" s="7"/>
      <c r="F3020" t="s">
        <v>20</v>
      </c>
      <c r="G3020" t="s">
        <v>21</v>
      </c>
      <c r="H3020" t="str">
        <f>"43357"</f>
        <v>43357</v>
      </c>
      <c r="I3020" t="str">
        <f>"M &amp; S ENGINEERING  LLC"</f>
        <v>M &amp; S ENGINEERING  LLC</v>
      </c>
    </row>
    <row r="3021" spans="1:9" x14ac:dyDescent="0.25">
      <c r="A3021" s="6">
        <v>43950</v>
      </c>
      <c r="B3021" t="s">
        <v>26</v>
      </c>
      <c r="C3021">
        <v>63886</v>
      </c>
      <c r="D3021" t="s">
        <v>71</v>
      </c>
      <c r="E3021" s="7">
        <v>370.14</v>
      </c>
      <c r="F3021" t="s">
        <v>20</v>
      </c>
      <c r="G3021" t="s">
        <v>21</v>
      </c>
      <c r="H3021" t="str">
        <f>"4047734315"</f>
        <v>4047734315</v>
      </c>
      <c r="I3021" t="str">
        <f>"CINTAS CORPORATION #087"</f>
        <v>CINTAS CORPORATION #087</v>
      </c>
    </row>
    <row r="3022" spans="1:9" x14ac:dyDescent="0.25">
      <c r="E3022" s="7"/>
      <c r="F3022" t="s">
        <v>20</v>
      </c>
      <c r="G3022" t="s">
        <v>21</v>
      </c>
      <c r="H3022" t="str">
        <f>"4048874336"</f>
        <v>4048874336</v>
      </c>
      <c r="I3022" t="str">
        <f>"CINTAS CORPORATION #087"</f>
        <v>CINTAS CORPORATION #087</v>
      </c>
    </row>
    <row r="3023" spans="1:9" x14ac:dyDescent="0.25">
      <c r="A3023" s="6">
        <v>43950</v>
      </c>
      <c r="B3023" t="s">
        <v>26</v>
      </c>
      <c r="C3023">
        <v>63887</v>
      </c>
      <c r="D3023" t="s">
        <v>123</v>
      </c>
      <c r="E3023" s="7">
        <v>138.82</v>
      </c>
      <c r="F3023" t="s">
        <v>20</v>
      </c>
      <c r="G3023" t="s">
        <v>21</v>
      </c>
      <c r="H3023" t="str">
        <f>"469795960002"</f>
        <v>469795960002</v>
      </c>
      <c r="I3023" t="str">
        <f>"COVID-19 SUPPLIES"</f>
        <v>COVID-19 SUPPLIES</v>
      </c>
    </row>
    <row r="3024" spans="1:9" x14ac:dyDescent="0.25">
      <c r="E3024" s="7"/>
      <c r="F3024" t="s">
        <v>20</v>
      </c>
      <c r="G3024" t="s">
        <v>21</v>
      </c>
      <c r="H3024" t="str">
        <f>"469825795001"</f>
        <v>469825795001</v>
      </c>
      <c r="I3024" t="str">
        <f>"COVID-19 SUPPLIES"</f>
        <v>COVID-19 SUPPLIES</v>
      </c>
    </row>
    <row r="3025" spans="1:9" x14ac:dyDescent="0.25">
      <c r="E3025" s="7"/>
      <c r="F3025" t="s">
        <v>20</v>
      </c>
      <c r="G3025" t="s">
        <v>21</v>
      </c>
      <c r="H3025" t="str">
        <f>"470408468001"</f>
        <v>470408468001</v>
      </c>
      <c r="I3025" t="str">
        <f>"ENVELOPES #8 5/8"</f>
        <v>ENVELOPES #8 5/8</v>
      </c>
    </row>
    <row r="3026" spans="1:9" x14ac:dyDescent="0.25">
      <c r="A3026" s="6">
        <v>43950</v>
      </c>
      <c r="B3026" t="s">
        <v>26</v>
      </c>
      <c r="C3026">
        <v>63888</v>
      </c>
      <c r="D3026" t="s">
        <v>77</v>
      </c>
      <c r="E3026" s="7">
        <v>330</v>
      </c>
      <c r="F3026" t="s">
        <v>20</v>
      </c>
      <c r="G3026" t="s">
        <v>21</v>
      </c>
      <c r="H3026" t="str">
        <f>"DE85000520-20"</f>
        <v>DE85000520-20</v>
      </c>
      <c r="I3026" t="str">
        <f>"DPC INDUSTRIES  INC."</f>
        <v>DPC INDUSTRIES  INC.</v>
      </c>
    </row>
    <row r="3027" spans="1:9" x14ac:dyDescent="0.25">
      <c r="E3027" s="7"/>
      <c r="F3027" t="s">
        <v>20</v>
      </c>
      <c r="G3027" t="s">
        <v>21</v>
      </c>
      <c r="H3027" t="str">
        <f>"DE85000713-20"</f>
        <v>DE85000713-20</v>
      </c>
      <c r="I3027" t="str">
        <f>"DPC INDUSTRIES  INC."</f>
        <v>DPC INDUSTRIES  INC.</v>
      </c>
    </row>
    <row r="3028" spans="1:9" x14ac:dyDescent="0.25">
      <c r="A3028" s="6">
        <v>43950</v>
      </c>
      <c r="B3028" t="s">
        <v>26</v>
      </c>
      <c r="C3028">
        <v>63889</v>
      </c>
      <c r="D3028" t="s">
        <v>126</v>
      </c>
      <c r="E3028" s="7">
        <v>81286.53</v>
      </c>
      <c r="F3028" t="s">
        <v>20</v>
      </c>
      <c r="G3028" t="s">
        <v>21</v>
      </c>
      <c r="H3028" t="str">
        <f>"0589-002525713"</f>
        <v>0589-002525713</v>
      </c>
      <c r="I3028" t="str">
        <f>"REPUBLIC SERVICES #859"</f>
        <v>REPUBLIC SERVICES #859</v>
      </c>
    </row>
    <row r="3029" spans="1:9" x14ac:dyDescent="0.25">
      <c r="E3029" s="7"/>
      <c r="F3029" t="s">
        <v>20</v>
      </c>
      <c r="G3029" t="s">
        <v>21</v>
      </c>
      <c r="H3029" t="str">
        <f>"0859-002530146"</f>
        <v>0859-002530146</v>
      </c>
      <c r="I3029" t="str">
        <f>"REPUBLIC SERVICES #859"</f>
        <v>REPUBLIC SERVICES #859</v>
      </c>
    </row>
    <row r="3030" spans="1:9" x14ac:dyDescent="0.25">
      <c r="A3030" s="6">
        <v>43950</v>
      </c>
      <c r="B3030" t="s">
        <v>26</v>
      </c>
      <c r="C3030">
        <v>63890</v>
      </c>
      <c r="D3030" t="s">
        <v>79</v>
      </c>
      <c r="E3030" s="7">
        <v>98.08</v>
      </c>
      <c r="F3030" t="s">
        <v>20</v>
      </c>
      <c r="G3030" t="s">
        <v>21</v>
      </c>
      <c r="H3030" t="str">
        <f>"6-981-31673"</f>
        <v>6-981-31673</v>
      </c>
      <c r="I3030" t="str">
        <f>"FEDEX"</f>
        <v>FEDEX</v>
      </c>
    </row>
    <row r="3031" spans="1:9" x14ac:dyDescent="0.25">
      <c r="E3031" s="7"/>
      <c r="F3031" t="s">
        <v>20</v>
      </c>
      <c r="G3031" t="s">
        <v>21</v>
      </c>
      <c r="H3031" t="str">
        <f>"6-987-78280"</f>
        <v>6-987-78280</v>
      </c>
      <c r="I3031" t="str">
        <f>"FEDEX"</f>
        <v>FEDEX</v>
      </c>
    </row>
    <row r="3032" spans="1:9" x14ac:dyDescent="0.25">
      <c r="A3032" s="6">
        <v>43950</v>
      </c>
      <c r="B3032" t="s">
        <v>26</v>
      </c>
      <c r="C3032">
        <v>63891</v>
      </c>
      <c r="D3032" t="s">
        <v>191</v>
      </c>
      <c r="E3032" s="7">
        <v>1615.7</v>
      </c>
      <c r="F3032" t="s">
        <v>20</v>
      </c>
      <c r="G3032" t="s">
        <v>21</v>
      </c>
      <c r="H3032" t="str">
        <f>"INV06-008619"</f>
        <v>INV06-008619</v>
      </c>
      <c r="I3032" t="str">
        <f>"MUNISERVICES  LLC"</f>
        <v>MUNISERVICES  LLC</v>
      </c>
    </row>
    <row r="3033" spans="1:9" x14ac:dyDescent="0.25">
      <c r="A3033" s="6">
        <v>43950</v>
      </c>
      <c r="B3033" t="s">
        <v>26</v>
      </c>
      <c r="C3033">
        <v>63892</v>
      </c>
      <c r="D3033" t="s">
        <v>821</v>
      </c>
      <c r="E3033" s="7">
        <v>3871.31</v>
      </c>
      <c r="F3033" t="s">
        <v>20</v>
      </c>
      <c r="G3033" t="s">
        <v>21</v>
      </c>
      <c r="H3033" t="str">
        <f>"SR16432"</f>
        <v>SR16432</v>
      </c>
      <c r="I3033" t="str">
        <f>"GE PREMIUM EFF VSS MOTOR"</f>
        <v>GE PREMIUM EFF VSS MOTOR</v>
      </c>
    </row>
    <row r="3034" spans="1:9" x14ac:dyDescent="0.25">
      <c r="A3034" s="6">
        <v>43950</v>
      </c>
      <c r="B3034" t="s">
        <v>26</v>
      </c>
      <c r="C3034">
        <v>63893</v>
      </c>
      <c r="D3034" t="s">
        <v>83</v>
      </c>
      <c r="E3034" s="7">
        <v>1044</v>
      </c>
      <c r="F3034" t="s">
        <v>20</v>
      </c>
      <c r="G3034" t="s">
        <v>21</v>
      </c>
      <c r="H3034" t="str">
        <f>"1141359"</f>
        <v>1141359</v>
      </c>
      <c r="I3034" t="str">
        <f>"APPRIVER"</f>
        <v>APPRIVER</v>
      </c>
    </row>
    <row r="3035" spans="1:9" x14ac:dyDescent="0.25">
      <c r="A3035" s="6">
        <v>43950</v>
      </c>
      <c r="B3035" t="s">
        <v>26</v>
      </c>
      <c r="C3035">
        <v>63894</v>
      </c>
      <c r="D3035" t="s">
        <v>85</v>
      </c>
      <c r="E3035" s="7">
        <v>1499.96</v>
      </c>
      <c r="F3035" t="s">
        <v>20</v>
      </c>
      <c r="G3035" t="s">
        <v>21</v>
      </c>
      <c r="H3035" t="str">
        <f>"2162755 APR.2020"</f>
        <v>2162755 APR.2020</v>
      </c>
      <c r="I3035" t="str">
        <f t="shared" ref="I3035:I3040" si="53">"FRONTIER"</f>
        <v>FRONTIER</v>
      </c>
    </row>
    <row r="3036" spans="1:9" x14ac:dyDescent="0.25">
      <c r="E3036" s="7"/>
      <c r="F3036" t="s">
        <v>20</v>
      </c>
      <c r="G3036" t="s">
        <v>21</v>
      </c>
      <c r="H3036" t="str">
        <f>"3932733 APR.2020"</f>
        <v>3932733 APR.2020</v>
      </c>
      <c r="I3036" t="str">
        <f t="shared" si="53"/>
        <v>FRONTIER</v>
      </c>
    </row>
    <row r="3037" spans="1:9" x14ac:dyDescent="0.25">
      <c r="E3037" s="7"/>
      <c r="F3037" t="s">
        <v>20</v>
      </c>
      <c r="G3037" t="s">
        <v>21</v>
      </c>
      <c r="H3037" t="str">
        <f>"3932804 APR.2020"</f>
        <v>3932804 APR.2020</v>
      </c>
      <c r="I3037" t="str">
        <f t="shared" si="53"/>
        <v>FRONTIER</v>
      </c>
    </row>
    <row r="3038" spans="1:9" x14ac:dyDescent="0.25">
      <c r="E3038" s="7"/>
      <c r="F3038" t="s">
        <v>20</v>
      </c>
      <c r="G3038" t="s">
        <v>21</v>
      </c>
      <c r="H3038" t="str">
        <f>"3933105 MAR.2020"</f>
        <v>3933105 MAR.2020</v>
      </c>
      <c r="I3038" t="str">
        <f t="shared" si="53"/>
        <v>FRONTIER</v>
      </c>
    </row>
    <row r="3039" spans="1:9" x14ac:dyDescent="0.25">
      <c r="E3039" s="7"/>
      <c r="F3039" t="s">
        <v>20</v>
      </c>
      <c r="G3039" t="s">
        <v>21</v>
      </c>
      <c r="H3039" t="str">
        <f>"3936794 APR.2020"</f>
        <v>3936794 APR.2020</v>
      </c>
      <c r="I3039" t="str">
        <f t="shared" si="53"/>
        <v>FRONTIER</v>
      </c>
    </row>
    <row r="3040" spans="1:9" x14ac:dyDescent="0.25">
      <c r="E3040" s="7"/>
      <c r="F3040" t="s">
        <v>20</v>
      </c>
      <c r="G3040" t="s">
        <v>21</v>
      </c>
      <c r="H3040" t="str">
        <f>"3938193 APR.2020"</f>
        <v>3938193 APR.2020</v>
      </c>
      <c r="I3040" t="str">
        <f t="shared" si="53"/>
        <v>FRONTIER</v>
      </c>
    </row>
    <row r="3041" spans="1:9" x14ac:dyDescent="0.25">
      <c r="A3041" s="6">
        <v>43950</v>
      </c>
      <c r="B3041" t="s">
        <v>26</v>
      </c>
      <c r="C3041">
        <v>63896</v>
      </c>
      <c r="D3041" t="s">
        <v>313</v>
      </c>
      <c r="E3041" s="7">
        <v>63592</v>
      </c>
      <c r="F3041" t="s">
        <v>20</v>
      </c>
      <c r="G3041" t="s">
        <v>21</v>
      </c>
      <c r="H3041" t="str">
        <f>"EC BLD BND2017 APR"</f>
        <v>EC BLD BND2017 APR</v>
      </c>
      <c r="I3041" t="s">
        <v>498</v>
      </c>
    </row>
    <row r="3042" spans="1:9" x14ac:dyDescent="0.25">
      <c r="A3042" s="6">
        <v>43950</v>
      </c>
      <c r="B3042" t="s">
        <v>26</v>
      </c>
      <c r="C3042">
        <v>63897</v>
      </c>
      <c r="D3042" t="s">
        <v>345</v>
      </c>
      <c r="E3042" s="7">
        <v>308</v>
      </c>
      <c r="F3042" t="s">
        <v>20</v>
      </c>
      <c r="G3042" t="s">
        <v>21</v>
      </c>
      <c r="H3042" t="str">
        <f>"4/27/2020"</f>
        <v>4/27/2020</v>
      </c>
      <c r="I3042" t="str">
        <f>"MICHAEL ISAAC MARTINEZ"</f>
        <v>MICHAEL ISAAC MARTINEZ</v>
      </c>
    </row>
    <row r="3043" spans="1:9" x14ac:dyDescent="0.25">
      <c r="A3043" s="6">
        <v>43950</v>
      </c>
      <c r="B3043" t="s">
        <v>26</v>
      </c>
      <c r="C3043">
        <v>63898</v>
      </c>
      <c r="D3043" t="s">
        <v>134</v>
      </c>
      <c r="E3043" s="7">
        <v>700</v>
      </c>
      <c r="F3043" t="s">
        <v>20</v>
      </c>
      <c r="G3043" t="s">
        <v>21</v>
      </c>
      <c r="H3043" t="str">
        <f>"2017-118.21"</f>
        <v>2017-118.21</v>
      </c>
      <c r="I3043" t="str">
        <f>"MOODY ENGINEERING GROUP INC."</f>
        <v>MOODY ENGINEERING GROUP INC.</v>
      </c>
    </row>
    <row r="3044" spans="1:9" x14ac:dyDescent="0.25">
      <c r="A3044" s="6">
        <v>43950</v>
      </c>
      <c r="B3044" t="s">
        <v>26</v>
      </c>
      <c r="C3044">
        <v>63899</v>
      </c>
      <c r="D3044" t="s">
        <v>528</v>
      </c>
      <c r="E3044" s="7">
        <v>182.73</v>
      </c>
      <c r="F3044" t="s">
        <v>20</v>
      </c>
      <c r="G3044" t="s">
        <v>21</v>
      </c>
      <c r="H3044" t="str">
        <f>"10267893"</f>
        <v>10267893</v>
      </c>
      <c r="I3044" t="str">
        <f>"PROSTAR SERVICES INC"</f>
        <v>PROSTAR SERVICES INC</v>
      </c>
    </row>
    <row r="3045" spans="1:9" x14ac:dyDescent="0.25">
      <c r="A3045" s="6">
        <v>43950</v>
      </c>
      <c r="B3045" t="s">
        <v>26</v>
      </c>
      <c r="C3045">
        <v>63900</v>
      </c>
      <c r="D3045" t="s">
        <v>630</v>
      </c>
      <c r="E3045" s="7">
        <v>2181.84</v>
      </c>
      <c r="F3045" t="s">
        <v>20</v>
      </c>
      <c r="G3045" t="s">
        <v>21</v>
      </c>
      <c r="H3045" t="str">
        <f>"26704"</f>
        <v>26704</v>
      </c>
      <c r="I3045" t="str">
        <f>"METER REPLACEMENT"</f>
        <v>METER REPLACEMENT</v>
      </c>
    </row>
    <row r="3046" spans="1:9" x14ac:dyDescent="0.25">
      <c r="A3046" s="6">
        <v>43950</v>
      </c>
      <c r="B3046" t="s">
        <v>26</v>
      </c>
      <c r="C3046">
        <v>63901</v>
      </c>
      <c r="D3046" t="s">
        <v>644</v>
      </c>
      <c r="E3046" s="7">
        <v>1299.73</v>
      </c>
      <c r="F3046" t="s">
        <v>20</v>
      </c>
      <c r="G3046" t="s">
        <v>21</v>
      </c>
      <c r="H3046" t="str">
        <f>"82133446319"</f>
        <v>82133446319</v>
      </c>
      <c r="I3046" t="str">
        <f t="shared" ref="I3046:I3062" si="54">"UNIFIRST CORPORATION"</f>
        <v>UNIFIRST CORPORATION</v>
      </c>
    </row>
    <row r="3047" spans="1:9" x14ac:dyDescent="0.25">
      <c r="E3047" s="7"/>
      <c r="F3047" t="s">
        <v>20</v>
      </c>
      <c r="G3047" t="s">
        <v>21</v>
      </c>
      <c r="H3047" t="str">
        <f>"82133446320"</f>
        <v>82133446320</v>
      </c>
      <c r="I3047" t="str">
        <f t="shared" si="54"/>
        <v>UNIFIRST CORPORATION</v>
      </c>
    </row>
    <row r="3048" spans="1:9" x14ac:dyDescent="0.25">
      <c r="E3048" s="7"/>
      <c r="F3048" t="s">
        <v>20</v>
      </c>
      <c r="G3048" t="s">
        <v>21</v>
      </c>
      <c r="H3048" t="str">
        <f>"8213440865"</f>
        <v>8213440865</v>
      </c>
      <c r="I3048" t="str">
        <f t="shared" si="54"/>
        <v>UNIFIRST CORPORATION</v>
      </c>
    </row>
    <row r="3049" spans="1:9" x14ac:dyDescent="0.25">
      <c r="E3049" s="7"/>
      <c r="F3049" t="s">
        <v>20</v>
      </c>
      <c r="G3049" t="s">
        <v>21</v>
      </c>
      <c r="H3049" t="str">
        <f>"8213440866"</f>
        <v>8213440866</v>
      </c>
      <c r="I3049" t="str">
        <f t="shared" si="54"/>
        <v>UNIFIRST CORPORATION</v>
      </c>
    </row>
    <row r="3050" spans="1:9" x14ac:dyDescent="0.25">
      <c r="E3050" s="7"/>
      <c r="F3050" t="s">
        <v>20</v>
      </c>
      <c r="G3050" t="s">
        <v>21</v>
      </c>
      <c r="H3050" t="str">
        <f>"8213440867"</f>
        <v>8213440867</v>
      </c>
      <c r="I3050" t="str">
        <f t="shared" si="54"/>
        <v>UNIFIRST CORPORATION</v>
      </c>
    </row>
    <row r="3051" spans="1:9" x14ac:dyDescent="0.25">
      <c r="E3051" s="7"/>
      <c r="F3051" t="s">
        <v>20</v>
      </c>
      <c r="G3051" t="s">
        <v>21</v>
      </c>
      <c r="H3051" t="str">
        <f>"8213440868"</f>
        <v>8213440868</v>
      </c>
      <c r="I3051" t="str">
        <f t="shared" si="54"/>
        <v>UNIFIRST CORPORATION</v>
      </c>
    </row>
    <row r="3052" spans="1:9" x14ac:dyDescent="0.25">
      <c r="E3052" s="7"/>
      <c r="F3052" t="s">
        <v>20</v>
      </c>
      <c r="G3052" t="s">
        <v>21</v>
      </c>
      <c r="H3052" t="str">
        <f>"8213440869"</f>
        <v>8213440869</v>
      </c>
      <c r="I3052" t="str">
        <f t="shared" si="54"/>
        <v>UNIFIRST CORPORATION</v>
      </c>
    </row>
    <row r="3053" spans="1:9" x14ac:dyDescent="0.25">
      <c r="E3053" s="7"/>
      <c r="F3053" t="s">
        <v>20</v>
      </c>
      <c r="G3053" t="s">
        <v>21</v>
      </c>
      <c r="H3053" t="str">
        <f>"8213440870"</f>
        <v>8213440870</v>
      </c>
      <c r="I3053" t="str">
        <f t="shared" si="54"/>
        <v>UNIFIRST CORPORATION</v>
      </c>
    </row>
    <row r="3054" spans="1:9" x14ac:dyDescent="0.25">
      <c r="E3054" s="7"/>
      <c r="F3054" t="s">
        <v>20</v>
      </c>
      <c r="G3054" t="s">
        <v>21</v>
      </c>
      <c r="H3054" t="str">
        <f>"8213443629"</f>
        <v>8213443629</v>
      </c>
      <c r="I3054" t="str">
        <f t="shared" si="54"/>
        <v>UNIFIRST CORPORATION</v>
      </c>
    </row>
    <row r="3055" spans="1:9" x14ac:dyDescent="0.25">
      <c r="E3055" s="7"/>
      <c r="F3055" t="s">
        <v>20</v>
      </c>
      <c r="G3055" t="s">
        <v>21</v>
      </c>
      <c r="H3055" t="str">
        <f>"8213443630"</f>
        <v>8213443630</v>
      </c>
      <c r="I3055" t="str">
        <f t="shared" si="54"/>
        <v>UNIFIRST CORPORATION</v>
      </c>
    </row>
    <row r="3056" spans="1:9" x14ac:dyDescent="0.25">
      <c r="E3056" s="7"/>
      <c r="F3056" t="s">
        <v>20</v>
      </c>
      <c r="G3056" t="s">
        <v>21</v>
      </c>
      <c r="H3056" t="str">
        <f>"8213443631"</f>
        <v>8213443631</v>
      </c>
      <c r="I3056" t="str">
        <f t="shared" si="54"/>
        <v>UNIFIRST CORPORATION</v>
      </c>
    </row>
    <row r="3057" spans="1:9" x14ac:dyDescent="0.25">
      <c r="E3057" s="7"/>
      <c r="F3057" t="s">
        <v>20</v>
      </c>
      <c r="G3057" t="s">
        <v>21</v>
      </c>
      <c r="H3057" t="str">
        <f>"8213443633"</f>
        <v>8213443633</v>
      </c>
      <c r="I3057" t="str">
        <f t="shared" si="54"/>
        <v>UNIFIRST CORPORATION</v>
      </c>
    </row>
    <row r="3058" spans="1:9" x14ac:dyDescent="0.25">
      <c r="E3058" s="7"/>
      <c r="F3058" t="s">
        <v>20</v>
      </c>
      <c r="G3058" t="s">
        <v>21</v>
      </c>
      <c r="H3058" t="str">
        <f>"8213443634"</f>
        <v>8213443634</v>
      </c>
      <c r="I3058" t="str">
        <f t="shared" si="54"/>
        <v>UNIFIRST CORPORATION</v>
      </c>
    </row>
    <row r="3059" spans="1:9" x14ac:dyDescent="0.25">
      <c r="E3059" s="7"/>
      <c r="F3059" t="s">
        <v>20</v>
      </c>
      <c r="G3059" t="s">
        <v>21</v>
      </c>
      <c r="H3059" t="str">
        <f>"8213446317"</f>
        <v>8213446317</v>
      </c>
      <c r="I3059" t="str">
        <f t="shared" si="54"/>
        <v>UNIFIRST CORPORATION</v>
      </c>
    </row>
    <row r="3060" spans="1:9" x14ac:dyDescent="0.25">
      <c r="E3060" s="7"/>
      <c r="F3060" t="s">
        <v>20</v>
      </c>
      <c r="G3060" t="s">
        <v>21</v>
      </c>
      <c r="H3060" t="str">
        <f>"8213446318"</f>
        <v>8213446318</v>
      </c>
      <c r="I3060" t="str">
        <f t="shared" si="54"/>
        <v>UNIFIRST CORPORATION</v>
      </c>
    </row>
    <row r="3061" spans="1:9" x14ac:dyDescent="0.25">
      <c r="E3061" s="7"/>
      <c r="F3061" t="s">
        <v>20</v>
      </c>
      <c r="G3061" t="s">
        <v>21</v>
      </c>
      <c r="H3061" t="str">
        <f>"8213446321"</f>
        <v>8213446321</v>
      </c>
      <c r="I3061" t="str">
        <f t="shared" si="54"/>
        <v>UNIFIRST CORPORATION</v>
      </c>
    </row>
    <row r="3062" spans="1:9" x14ac:dyDescent="0.25">
      <c r="E3062" s="7"/>
      <c r="F3062" t="s">
        <v>20</v>
      </c>
      <c r="G3062" t="s">
        <v>21</v>
      </c>
      <c r="H3062" t="str">
        <f>"8213446322"</f>
        <v>8213446322</v>
      </c>
      <c r="I3062" t="str">
        <f t="shared" si="54"/>
        <v>UNIFIRST CORPORATION</v>
      </c>
    </row>
    <row r="3063" spans="1:9" x14ac:dyDescent="0.25">
      <c r="A3063" s="6">
        <v>43950</v>
      </c>
      <c r="B3063" t="s">
        <v>26</v>
      </c>
      <c r="C3063">
        <v>63905</v>
      </c>
      <c r="D3063" t="s">
        <v>647</v>
      </c>
      <c r="E3063" s="7">
        <v>2267.5</v>
      </c>
      <c r="F3063" t="s">
        <v>20</v>
      </c>
      <c r="G3063" t="s">
        <v>21</v>
      </c>
      <c r="H3063" t="str">
        <f>"26445065*"</f>
        <v>26445065*</v>
      </c>
      <c r="I3063" t="str">
        <f>"DOCUMATION  INC."</f>
        <v>DOCUMATION  INC.</v>
      </c>
    </row>
    <row r="3064" spans="1:9" x14ac:dyDescent="0.25">
      <c r="E3064" s="7"/>
      <c r="F3064" t="s">
        <v>20</v>
      </c>
      <c r="G3064" t="s">
        <v>21</v>
      </c>
      <c r="H3064" t="str">
        <f>"26822248"</f>
        <v>26822248</v>
      </c>
      <c r="I3064" t="str">
        <f>"DOCUMATION  INC."</f>
        <v>DOCUMATION  INC.</v>
      </c>
    </row>
    <row r="3065" spans="1:9" x14ac:dyDescent="0.25">
      <c r="A3065" s="6">
        <v>43950</v>
      </c>
      <c r="B3065" t="s">
        <v>26</v>
      </c>
      <c r="C3065">
        <v>63906</v>
      </c>
      <c r="D3065" t="s">
        <v>908</v>
      </c>
      <c r="E3065" s="7">
        <v>115.97</v>
      </c>
      <c r="F3065" t="s">
        <v>20</v>
      </c>
      <c r="G3065" t="s">
        <v>21</v>
      </c>
      <c r="H3065" t="str">
        <f>"4997640"</f>
        <v>4997640</v>
      </c>
      <c r="I3065" t="str">
        <f>"NEW MIC FOR UNIT #328"</f>
        <v>NEW MIC FOR UNIT #328</v>
      </c>
    </row>
    <row r="3066" spans="1:9" x14ac:dyDescent="0.25">
      <c r="A3066" s="6">
        <v>43950</v>
      </c>
      <c r="B3066" t="s">
        <v>26</v>
      </c>
      <c r="C3066">
        <v>63907</v>
      </c>
      <c r="D3066" t="s">
        <v>739</v>
      </c>
      <c r="E3066" s="7">
        <v>148.41999999999999</v>
      </c>
      <c r="F3066" t="s">
        <v>20</v>
      </c>
      <c r="G3066" t="s">
        <v>21</v>
      </c>
      <c r="H3066" t="str">
        <f>"5286X 03272020"</f>
        <v>5286X 03272020</v>
      </c>
      <c r="I3066" t="str">
        <f>"FIRSTNET/AT&amp;T MOBILITY LLC"</f>
        <v>FIRSTNET/AT&amp;T MOBILITY LLC</v>
      </c>
    </row>
    <row r="3067" spans="1:9" x14ac:dyDescent="0.25">
      <c r="A3067" s="6">
        <v>43950</v>
      </c>
      <c r="B3067" t="s">
        <v>26</v>
      </c>
      <c r="C3067">
        <v>63908</v>
      </c>
      <c r="D3067" t="s">
        <v>836</v>
      </c>
      <c r="E3067" s="7">
        <v>99</v>
      </c>
      <c r="F3067" t="s">
        <v>20</v>
      </c>
      <c r="G3067" t="s">
        <v>21</v>
      </c>
      <c r="H3067" t="str">
        <f>"61523"</f>
        <v>61523</v>
      </c>
      <c r="I3067" t="str">
        <f>"BARCOM TECHNOLOGY SOLUTIONS  I"</f>
        <v>BARCOM TECHNOLOGY SOLUTIONS  I</v>
      </c>
    </row>
    <row r="3068" spans="1:9" x14ac:dyDescent="0.25">
      <c r="A3068" s="6">
        <v>43956</v>
      </c>
      <c r="B3068" t="s">
        <v>26</v>
      </c>
      <c r="C3068">
        <v>63916</v>
      </c>
      <c r="D3068" t="s">
        <v>51</v>
      </c>
      <c r="E3068" s="7">
        <v>346.31</v>
      </c>
      <c r="F3068" t="s">
        <v>20</v>
      </c>
      <c r="G3068" t="s">
        <v>21</v>
      </c>
      <c r="H3068" t="str">
        <f>"CLE202005058571"</f>
        <v>CLE202005058571</v>
      </c>
      <c r="I3068" t="str">
        <f>"CLEAT ONLY DUES"</f>
        <v>CLEAT ONLY DUES</v>
      </c>
    </row>
    <row r="3069" spans="1:9" x14ac:dyDescent="0.25">
      <c r="E3069" s="7"/>
      <c r="F3069" t="s">
        <v>20</v>
      </c>
      <c r="G3069" t="s">
        <v>21</v>
      </c>
      <c r="H3069" t="str">
        <f>"PDD202005058571"</f>
        <v>PDD202005058571</v>
      </c>
      <c r="I3069" t="str">
        <f>"POLICE OFFICERS ASSOC DUES"</f>
        <v>POLICE OFFICERS ASSOC DUES</v>
      </c>
    </row>
    <row r="3070" spans="1:9" x14ac:dyDescent="0.25">
      <c r="A3070" s="6">
        <v>43956</v>
      </c>
      <c r="B3070" t="s">
        <v>91</v>
      </c>
      <c r="C3070">
        <v>63917</v>
      </c>
      <c r="D3070" t="s">
        <v>90</v>
      </c>
      <c r="E3070" s="7">
        <v>101.1</v>
      </c>
      <c r="F3070" t="s">
        <v>20</v>
      </c>
      <c r="G3070" t="s">
        <v>21</v>
      </c>
      <c r="H3070" t="str">
        <f>"AFS202005058571"</f>
        <v>AFS202005058571</v>
      </c>
      <c r="I3070" t="str">
        <f>"AFLAC STD"</f>
        <v>AFLAC STD</v>
      </c>
    </row>
    <row r="3071" spans="1:9" x14ac:dyDescent="0.25">
      <c r="A3071" s="6">
        <v>43956</v>
      </c>
      <c r="B3071" t="s">
        <v>91</v>
      </c>
      <c r="C3071">
        <v>63917</v>
      </c>
      <c r="D3071" t="s">
        <v>90</v>
      </c>
      <c r="E3071" s="7">
        <v>101.1</v>
      </c>
      <c r="F3071" t="s">
        <v>20</v>
      </c>
      <c r="G3071" t="s">
        <v>93</v>
      </c>
      <c r="H3071" t="str">
        <f>"CHECK"</f>
        <v>CHECK</v>
      </c>
      <c r="I3071" t="str">
        <f>""</f>
        <v/>
      </c>
    </row>
    <row r="3072" spans="1:9" x14ac:dyDescent="0.25">
      <c r="A3072" s="6">
        <v>43956</v>
      </c>
      <c r="B3072" t="s">
        <v>26</v>
      </c>
      <c r="C3072">
        <v>63918</v>
      </c>
      <c r="D3072" t="s">
        <v>52</v>
      </c>
      <c r="E3072" s="7">
        <v>971.53</v>
      </c>
      <c r="F3072" t="s">
        <v>20</v>
      </c>
      <c r="G3072" t="s">
        <v>21</v>
      </c>
      <c r="H3072" t="str">
        <f>"CA1202005058571"</f>
        <v>CA1202005058571</v>
      </c>
      <c r="I3072" t="str">
        <f>"K RAMIREZ 001200229510060343CV"</f>
        <v>K RAMIREZ 001200229510060343CV</v>
      </c>
    </row>
    <row r="3073" spans="1:9" x14ac:dyDescent="0.25">
      <c r="E3073" s="7"/>
      <c r="F3073" t="s">
        <v>20</v>
      </c>
      <c r="G3073" t="s">
        <v>21</v>
      </c>
      <c r="H3073" t="str">
        <f>"CA2202005058571"</f>
        <v>CA2202005058571</v>
      </c>
      <c r="I3073" t="str">
        <f>"L HERNANDEZ 001016025203080354"</f>
        <v>L HERNANDEZ 001016025203080354</v>
      </c>
    </row>
    <row r="3074" spans="1:9" x14ac:dyDescent="0.25">
      <c r="E3074" s="7"/>
      <c r="F3074" t="s">
        <v>20</v>
      </c>
      <c r="G3074" t="s">
        <v>21</v>
      </c>
      <c r="H3074" t="str">
        <f>"CPS202005058571"</f>
        <v>CPS202005058571</v>
      </c>
      <c r="I3074" t="str">
        <f>"G MENDOZA 00123012032010EM5054"</f>
        <v>G MENDOZA 00123012032010EM5054</v>
      </c>
    </row>
    <row r="3075" spans="1:9" x14ac:dyDescent="0.25">
      <c r="E3075" s="7"/>
      <c r="F3075" t="s">
        <v>20</v>
      </c>
      <c r="G3075" t="s">
        <v>21</v>
      </c>
      <c r="H3075" t="str">
        <f>"CS 202005058571"</f>
        <v>CS 202005058571</v>
      </c>
      <c r="I3075" t="str">
        <f>"CAUSE#98EM504113 PEGGY RIVAS"</f>
        <v>CAUSE#98EM504113 PEGGY RIVAS</v>
      </c>
    </row>
    <row r="3076" spans="1:9" x14ac:dyDescent="0.25">
      <c r="E3076" s="7"/>
      <c r="F3076" t="s">
        <v>20</v>
      </c>
      <c r="G3076" t="s">
        <v>21</v>
      </c>
      <c r="H3076" t="str">
        <f>"CSA202005058571"</f>
        <v>CSA202005058571</v>
      </c>
      <c r="I3076" t="str">
        <f>"S RODRIGUEZ 001281730413050336"</f>
        <v>S RODRIGUEZ 001281730413050336</v>
      </c>
    </row>
    <row r="3077" spans="1:9" x14ac:dyDescent="0.25">
      <c r="A3077" s="6">
        <v>43956</v>
      </c>
      <c r="B3077" t="s">
        <v>26</v>
      </c>
      <c r="C3077">
        <v>63919</v>
      </c>
      <c r="D3077" t="s">
        <v>54</v>
      </c>
      <c r="E3077" s="7">
        <v>1250.24</v>
      </c>
      <c r="F3077" t="s">
        <v>20</v>
      </c>
      <c r="G3077" t="s">
        <v>21</v>
      </c>
      <c r="H3077" t="str">
        <f>"457202005058571"</f>
        <v>457202005058571</v>
      </c>
      <c r="I3077" t="str">
        <f>"CASE # 180-60751 457B DEDUCT"</f>
        <v>CASE # 180-60751 457B DEDUCT</v>
      </c>
    </row>
    <row r="3078" spans="1:9" x14ac:dyDescent="0.25">
      <c r="A3078" s="6">
        <v>43957</v>
      </c>
      <c r="B3078" t="s">
        <v>26</v>
      </c>
      <c r="C3078">
        <v>63920</v>
      </c>
      <c r="D3078" t="s">
        <v>57</v>
      </c>
      <c r="E3078" s="7">
        <v>23608.91</v>
      </c>
      <c r="F3078" t="s">
        <v>20</v>
      </c>
      <c r="G3078" t="s">
        <v>21</v>
      </c>
      <c r="H3078" t="str">
        <f>"11617 APR.2020"</f>
        <v>11617 APR.2020</v>
      </c>
      <c r="I3078" t="str">
        <f>"F.E.L.P.S."</f>
        <v>F.E.L.P.S.</v>
      </c>
    </row>
    <row r="3079" spans="1:9" x14ac:dyDescent="0.25">
      <c r="A3079" s="6">
        <v>43957</v>
      </c>
      <c r="B3079" t="s">
        <v>26</v>
      </c>
      <c r="C3079">
        <v>63921</v>
      </c>
      <c r="D3079" t="s">
        <v>58</v>
      </c>
      <c r="E3079" s="7">
        <v>90</v>
      </c>
      <c r="F3079" t="s">
        <v>20</v>
      </c>
      <c r="G3079" t="s">
        <v>21</v>
      </c>
      <c r="H3079" t="str">
        <f>"595124"</f>
        <v>595124</v>
      </c>
      <c r="I3079" t="str">
        <f>"DEASON ANIMAL HOSPITAL"</f>
        <v>DEASON ANIMAL HOSPITAL</v>
      </c>
    </row>
    <row r="3080" spans="1:9" x14ac:dyDescent="0.25">
      <c r="A3080" s="6">
        <v>43957</v>
      </c>
      <c r="B3080" t="s">
        <v>26</v>
      </c>
      <c r="C3080">
        <v>63922</v>
      </c>
      <c r="D3080" t="s">
        <v>104</v>
      </c>
      <c r="E3080" s="7">
        <v>382.03</v>
      </c>
      <c r="F3080" t="s">
        <v>20</v>
      </c>
      <c r="G3080" t="s">
        <v>21</v>
      </c>
      <c r="H3080" t="str">
        <f>"1419480422"</f>
        <v>1419480422</v>
      </c>
      <c r="I3080" t="str">
        <f>"WILSON COUNTY NEWS"</f>
        <v>WILSON COUNTY NEWS</v>
      </c>
    </row>
    <row r="3081" spans="1:9" x14ac:dyDescent="0.25">
      <c r="E3081" s="7"/>
      <c r="F3081" t="s">
        <v>20</v>
      </c>
      <c r="G3081" t="s">
        <v>21</v>
      </c>
      <c r="H3081" t="str">
        <f>"1421740401"</f>
        <v>1421740401</v>
      </c>
      <c r="I3081" t="str">
        <f>"WILSON COUNTY NEWS"</f>
        <v>WILSON COUNTY NEWS</v>
      </c>
    </row>
    <row r="3082" spans="1:9" x14ac:dyDescent="0.25">
      <c r="E3082" s="7"/>
      <c r="F3082" t="s">
        <v>20</v>
      </c>
      <c r="G3082" t="s">
        <v>21</v>
      </c>
      <c r="H3082" t="str">
        <f>"1423190415"</f>
        <v>1423190415</v>
      </c>
      <c r="I3082" t="str">
        <f>"WILSON COUNTY NEWS"</f>
        <v>WILSON COUNTY NEWS</v>
      </c>
    </row>
    <row r="3083" spans="1:9" x14ac:dyDescent="0.25">
      <c r="E3083" s="7"/>
      <c r="F3083" t="s">
        <v>20</v>
      </c>
      <c r="G3083" t="s">
        <v>21</v>
      </c>
      <c r="H3083" t="str">
        <f>"1423870429"</f>
        <v>1423870429</v>
      </c>
      <c r="I3083" t="str">
        <f>"WILSON COUNTY NEWS"</f>
        <v>WILSON COUNTY NEWS</v>
      </c>
    </row>
    <row r="3084" spans="1:9" x14ac:dyDescent="0.25">
      <c r="A3084" s="6">
        <v>43957</v>
      </c>
      <c r="B3084" t="s">
        <v>26</v>
      </c>
      <c r="C3084">
        <v>63923</v>
      </c>
      <c r="D3084" t="s">
        <v>90</v>
      </c>
      <c r="E3084" s="7">
        <v>1933.74</v>
      </c>
      <c r="F3084" t="s">
        <v>20</v>
      </c>
      <c r="G3084" t="s">
        <v>21</v>
      </c>
      <c r="H3084" t="str">
        <f>"296963"</f>
        <v>296963</v>
      </c>
      <c r="I3084" t="str">
        <f>"AFLAC"</f>
        <v>AFLAC</v>
      </c>
    </row>
    <row r="3085" spans="1:9" x14ac:dyDescent="0.25">
      <c r="A3085" s="6">
        <v>43957</v>
      </c>
      <c r="B3085" t="s">
        <v>26</v>
      </c>
      <c r="C3085">
        <v>63924</v>
      </c>
      <c r="D3085" t="s">
        <v>273</v>
      </c>
      <c r="E3085" s="7">
        <v>3983.97</v>
      </c>
      <c r="F3085" t="s">
        <v>20</v>
      </c>
      <c r="G3085" t="s">
        <v>21</v>
      </c>
      <c r="H3085" t="str">
        <f>"5119-000092911"</f>
        <v>5119-000092911</v>
      </c>
      <c r="I3085" t="str">
        <f>"REPUBLIC SERVICES TESSMAN ROAD"</f>
        <v>REPUBLIC SERVICES TESSMAN ROAD</v>
      </c>
    </row>
    <row r="3086" spans="1:9" x14ac:dyDescent="0.25">
      <c r="A3086" s="6">
        <v>43957</v>
      </c>
      <c r="B3086" t="s">
        <v>26</v>
      </c>
      <c r="C3086">
        <v>63925</v>
      </c>
      <c r="D3086" t="s">
        <v>637</v>
      </c>
      <c r="E3086" s="7">
        <v>75</v>
      </c>
      <c r="F3086" t="s">
        <v>20</v>
      </c>
      <c r="G3086" t="s">
        <v>21</v>
      </c>
      <c r="H3086" t="str">
        <f>"MAY 2020"</f>
        <v>MAY 2020</v>
      </c>
      <c r="I3086" t="str">
        <f>"GLORIA MARTINEZ"</f>
        <v>GLORIA MARTINEZ</v>
      </c>
    </row>
    <row r="3087" spans="1:9" x14ac:dyDescent="0.25">
      <c r="A3087" s="6">
        <v>43957</v>
      </c>
      <c r="B3087" t="s">
        <v>26</v>
      </c>
      <c r="C3087">
        <v>63926</v>
      </c>
      <c r="D3087" t="s">
        <v>108</v>
      </c>
      <c r="E3087" s="7">
        <v>2435.58</v>
      </c>
      <c r="F3087" t="s">
        <v>20</v>
      </c>
      <c r="G3087" t="s">
        <v>21</v>
      </c>
      <c r="H3087" t="str">
        <f>"041295647872"</f>
        <v>041295647872</v>
      </c>
      <c r="I3087" t="str">
        <f>"POOLSURE"</f>
        <v>POOLSURE</v>
      </c>
    </row>
    <row r="3088" spans="1:9" x14ac:dyDescent="0.25">
      <c r="A3088" s="6">
        <v>43957</v>
      </c>
      <c r="B3088" t="s">
        <v>26</v>
      </c>
      <c r="C3088">
        <v>63927</v>
      </c>
      <c r="D3088" t="s">
        <v>240</v>
      </c>
      <c r="E3088" s="7">
        <v>224.98</v>
      </c>
      <c r="F3088" t="s">
        <v>20</v>
      </c>
      <c r="G3088" t="s">
        <v>21</v>
      </c>
      <c r="H3088" t="str">
        <f>"0188991-IN"</f>
        <v>0188991-IN</v>
      </c>
      <c r="I3088" t="str">
        <f>"NARDIS PUBLIC SAFETY"</f>
        <v>NARDIS PUBLIC SAFETY</v>
      </c>
    </row>
    <row r="3089" spans="1:9" x14ac:dyDescent="0.25">
      <c r="A3089" s="6">
        <v>43957</v>
      </c>
      <c r="B3089" t="s">
        <v>26</v>
      </c>
      <c r="C3089">
        <v>63928</v>
      </c>
      <c r="D3089" t="s">
        <v>909</v>
      </c>
      <c r="E3089" s="7">
        <v>1500</v>
      </c>
      <c r="F3089" t="s">
        <v>20</v>
      </c>
      <c r="G3089" t="s">
        <v>21</v>
      </c>
      <c r="H3089" t="str">
        <f>"REC#00400194 RFND"</f>
        <v>REC#00400194 RFND</v>
      </c>
      <c r="I3089" t="str">
        <f>"REFUND"</f>
        <v>REFUND</v>
      </c>
    </row>
    <row r="3090" spans="1:9" x14ac:dyDescent="0.25">
      <c r="A3090" s="6">
        <v>43957</v>
      </c>
      <c r="B3090" t="s">
        <v>26</v>
      </c>
      <c r="C3090">
        <v>63929</v>
      </c>
      <c r="D3090" t="s">
        <v>61</v>
      </c>
      <c r="E3090" s="7">
        <v>2610.42</v>
      </c>
      <c r="F3090" t="s">
        <v>20</v>
      </c>
      <c r="G3090" t="s">
        <v>21</v>
      </c>
      <c r="H3090" t="str">
        <f>"025-292184"</f>
        <v>025-292184</v>
      </c>
      <c r="I3090" t="str">
        <f>"TYLER TECHNOLOGIES  INC."</f>
        <v>TYLER TECHNOLOGIES  INC.</v>
      </c>
    </row>
    <row r="3091" spans="1:9" x14ac:dyDescent="0.25">
      <c r="E3091" s="7"/>
      <c r="F3091" t="s">
        <v>20</v>
      </c>
      <c r="G3091" t="s">
        <v>21</v>
      </c>
      <c r="H3091" t="str">
        <f>"025-293597"</f>
        <v>025-293597</v>
      </c>
      <c r="I3091" t="str">
        <f>"TYLER TECHNOLOGIES  INC."</f>
        <v>TYLER TECHNOLOGIES  INC.</v>
      </c>
    </row>
    <row r="3092" spans="1:9" x14ac:dyDescent="0.25">
      <c r="E3092" s="7"/>
      <c r="F3092" t="s">
        <v>20</v>
      </c>
      <c r="G3092" t="s">
        <v>21</v>
      </c>
      <c r="H3092" t="str">
        <f>"025-293976"</f>
        <v>025-293976</v>
      </c>
      <c r="I3092" t="str">
        <f>"TYLER TECHNOLOGIES  INC."</f>
        <v>TYLER TECHNOLOGIES  INC.</v>
      </c>
    </row>
    <row r="3093" spans="1:9" x14ac:dyDescent="0.25">
      <c r="A3093" s="6">
        <v>43957</v>
      </c>
      <c r="B3093" t="s">
        <v>26</v>
      </c>
      <c r="C3093">
        <v>63930</v>
      </c>
      <c r="D3093" t="s">
        <v>0</v>
      </c>
      <c r="E3093" s="7">
        <v>3402.74</v>
      </c>
      <c r="F3093" t="s">
        <v>20</v>
      </c>
      <c r="G3093" t="s">
        <v>21</v>
      </c>
      <c r="H3093" t="str">
        <f>"01-0195-00 APR.20"</f>
        <v>01-0195-00 APR.20</v>
      </c>
      <c r="I3093" t="str">
        <f>"CITY OF FLORESVILLE"</f>
        <v>CITY OF FLORESVILLE</v>
      </c>
    </row>
    <row r="3094" spans="1:9" x14ac:dyDescent="0.25">
      <c r="A3094" s="6">
        <v>43957</v>
      </c>
      <c r="B3094" t="s">
        <v>26</v>
      </c>
      <c r="C3094">
        <v>63931</v>
      </c>
      <c r="D3094" t="s">
        <v>42</v>
      </c>
      <c r="E3094" s="7">
        <v>128.63999999999999</v>
      </c>
      <c r="F3094" t="s">
        <v>20</v>
      </c>
      <c r="G3094" t="s">
        <v>21</v>
      </c>
      <c r="H3094" t="str">
        <f>"4/21/2020 COVD-19"</f>
        <v>4/21/2020 COVD-19</v>
      </c>
      <c r="I3094" t="str">
        <f>"MARGARET TEJADA"</f>
        <v>MARGARET TEJADA</v>
      </c>
    </row>
    <row r="3095" spans="1:9" x14ac:dyDescent="0.25">
      <c r="A3095" s="6">
        <v>43957</v>
      </c>
      <c r="B3095" t="s">
        <v>26</v>
      </c>
      <c r="C3095">
        <v>63932</v>
      </c>
      <c r="D3095" t="s">
        <v>63</v>
      </c>
      <c r="E3095" s="7">
        <v>54.17</v>
      </c>
      <c r="F3095" t="s">
        <v>20</v>
      </c>
      <c r="G3095" t="s">
        <v>21</v>
      </c>
      <c r="H3095" t="str">
        <f>"8404609822"</f>
        <v>8404609822</v>
      </c>
      <c r="I3095" t="str">
        <f>"CINTAS CORPORATION"</f>
        <v>CINTAS CORPORATION</v>
      </c>
    </row>
    <row r="3096" spans="1:9" x14ac:dyDescent="0.25">
      <c r="A3096" s="6">
        <v>43957</v>
      </c>
      <c r="B3096" t="s">
        <v>26</v>
      </c>
      <c r="C3096">
        <v>63933</v>
      </c>
      <c r="D3096" t="s">
        <v>213</v>
      </c>
      <c r="E3096" s="7">
        <v>3563.63</v>
      </c>
      <c r="F3096" t="s">
        <v>20</v>
      </c>
      <c r="G3096" t="s">
        <v>21</v>
      </c>
      <c r="H3096" t="str">
        <f>"MARCH 2020*"</f>
        <v>MARCH 2020*</v>
      </c>
      <c r="I3096" t="str">
        <f>"RIVER BEND COMMUNITY DEVELOPME"</f>
        <v>RIVER BEND COMMUNITY DEVELOPME</v>
      </c>
    </row>
    <row r="3097" spans="1:9" x14ac:dyDescent="0.25">
      <c r="A3097" s="6">
        <v>43957</v>
      </c>
      <c r="B3097" t="s">
        <v>26</v>
      </c>
      <c r="C3097">
        <v>63934</v>
      </c>
      <c r="D3097" t="s">
        <v>689</v>
      </c>
      <c r="E3097" s="7">
        <v>58320.21</v>
      </c>
      <c r="F3097" t="s">
        <v>20</v>
      </c>
      <c r="G3097" t="s">
        <v>21</v>
      </c>
      <c r="H3097" t="str">
        <f>"2600"</f>
        <v>2600</v>
      </c>
      <c r="I3097" t="str">
        <f>"MOY'S WATER WELL DRILLING &amp; SE"</f>
        <v>MOY'S WATER WELL DRILLING &amp; SE</v>
      </c>
    </row>
    <row r="3098" spans="1:9" x14ac:dyDescent="0.25">
      <c r="A3098" s="6">
        <v>43957</v>
      </c>
      <c r="B3098" t="s">
        <v>26</v>
      </c>
      <c r="C3098">
        <v>63935</v>
      </c>
      <c r="D3098" t="s">
        <v>95</v>
      </c>
      <c r="E3098" s="7">
        <v>64.959999999999994</v>
      </c>
      <c r="F3098" t="s">
        <v>20</v>
      </c>
      <c r="G3098" t="s">
        <v>21</v>
      </c>
      <c r="H3098" t="str">
        <f>"APRIL 2020"</f>
        <v>APRIL 2020</v>
      </c>
      <c r="I3098" t="str">
        <f>"LEGAL PLANS"</f>
        <v>LEGAL PLANS</v>
      </c>
    </row>
    <row r="3099" spans="1:9" x14ac:dyDescent="0.25">
      <c r="A3099" s="6">
        <v>43957</v>
      </c>
      <c r="B3099" t="s">
        <v>26</v>
      </c>
      <c r="C3099">
        <v>63936</v>
      </c>
      <c r="D3099" t="s">
        <v>189</v>
      </c>
      <c r="E3099" s="7">
        <v>509</v>
      </c>
      <c r="F3099" t="s">
        <v>20</v>
      </c>
      <c r="G3099" t="s">
        <v>21</v>
      </c>
      <c r="H3099" t="str">
        <f>"SWO10215-1"</f>
        <v>SWO10215-1</v>
      </c>
      <c r="I3099" t="str">
        <f>"ASCO"</f>
        <v>ASCO</v>
      </c>
    </row>
    <row r="3100" spans="1:9" x14ac:dyDescent="0.25">
      <c r="A3100" s="6">
        <v>43957</v>
      </c>
      <c r="B3100" t="s">
        <v>26</v>
      </c>
      <c r="C3100">
        <v>63937</v>
      </c>
      <c r="D3100" t="s">
        <v>96</v>
      </c>
      <c r="E3100" s="7">
        <v>431.45</v>
      </c>
      <c r="F3100" t="s">
        <v>20</v>
      </c>
      <c r="G3100" t="s">
        <v>21</v>
      </c>
      <c r="H3100" t="str">
        <f>"APRIL 2020"</f>
        <v>APRIL 2020</v>
      </c>
      <c r="I3100" t="str">
        <f>"LEGALSHIELD"</f>
        <v>LEGALSHIELD</v>
      </c>
    </row>
    <row r="3101" spans="1:9" x14ac:dyDescent="0.25">
      <c r="A3101" s="6">
        <v>43957</v>
      </c>
      <c r="B3101" t="s">
        <v>26</v>
      </c>
      <c r="C3101">
        <v>63938</v>
      </c>
      <c r="D3101" t="s">
        <v>74</v>
      </c>
      <c r="E3101" s="7">
        <v>92.44</v>
      </c>
      <c r="F3101" t="s">
        <v>20</v>
      </c>
      <c r="G3101" t="s">
        <v>21</v>
      </c>
      <c r="H3101" t="str">
        <f>"9853228151"</f>
        <v>9853228151</v>
      </c>
      <c r="I3101" t="str">
        <f>"VERIZON WIRELESS"</f>
        <v>VERIZON WIRELESS</v>
      </c>
    </row>
    <row r="3102" spans="1:9" x14ac:dyDescent="0.25">
      <c r="A3102" s="6">
        <v>43957</v>
      </c>
      <c r="B3102" t="s">
        <v>26</v>
      </c>
      <c r="C3102">
        <v>63939</v>
      </c>
      <c r="D3102" t="s">
        <v>534</v>
      </c>
      <c r="E3102" s="7">
        <v>107.17</v>
      </c>
      <c r="F3102" t="s">
        <v>20</v>
      </c>
      <c r="G3102" t="s">
        <v>21</v>
      </c>
      <c r="H3102" t="str">
        <f>"8404621785"</f>
        <v>8404621785</v>
      </c>
      <c r="I3102" t="str">
        <f>"CINTAS CORPORATION NO. 2"</f>
        <v>CINTAS CORPORATION NO. 2</v>
      </c>
    </row>
    <row r="3103" spans="1:9" x14ac:dyDescent="0.25">
      <c r="A3103" s="6">
        <v>43957</v>
      </c>
      <c r="B3103" t="s">
        <v>26</v>
      </c>
      <c r="C3103">
        <v>63940</v>
      </c>
      <c r="D3103" t="s">
        <v>79</v>
      </c>
      <c r="E3103" s="7">
        <v>23.57</v>
      </c>
      <c r="F3103" t="s">
        <v>20</v>
      </c>
      <c r="G3103" t="s">
        <v>21</v>
      </c>
      <c r="H3103" t="str">
        <f>"6-999-23729"</f>
        <v>6-999-23729</v>
      </c>
      <c r="I3103" t="str">
        <f>"FEDEX"</f>
        <v>FEDEX</v>
      </c>
    </row>
    <row r="3104" spans="1:9" x14ac:dyDescent="0.25">
      <c r="A3104" s="6">
        <v>43957</v>
      </c>
      <c r="B3104" t="s">
        <v>26</v>
      </c>
      <c r="C3104">
        <v>63941</v>
      </c>
      <c r="D3104" t="s">
        <v>223</v>
      </c>
      <c r="E3104" s="7">
        <v>75</v>
      </c>
      <c r="F3104" t="s">
        <v>20</v>
      </c>
      <c r="G3104" t="s">
        <v>21</v>
      </c>
      <c r="H3104" t="str">
        <f>"MAY 2020"</f>
        <v>MAY 2020</v>
      </c>
      <c r="I3104" t="str">
        <f>"JUAN ORTIZ"</f>
        <v>JUAN ORTIZ</v>
      </c>
    </row>
    <row r="3105" spans="1:9" x14ac:dyDescent="0.25">
      <c r="A3105" s="6">
        <v>43957</v>
      </c>
      <c r="B3105" t="s">
        <v>26</v>
      </c>
      <c r="C3105">
        <v>63942</v>
      </c>
      <c r="D3105" t="s">
        <v>80</v>
      </c>
      <c r="E3105" s="7">
        <v>750</v>
      </c>
      <c r="F3105" t="s">
        <v>20</v>
      </c>
      <c r="G3105" t="s">
        <v>21</v>
      </c>
      <c r="H3105" t="str">
        <f>"2313-20200501-1"</f>
        <v>2313-20200501-1</v>
      </c>
      <c r="I3105" t="str">
        <f>"LVWIFI.COM"</f>
        <v>LVWIFI.COM</v>
      </c>
    </row>
    <row r="3106" spans="1:9" x14ac:dyDescent="0.25">
      <c r="A3106" s="6">
        <v>43957</v>
      </c>
      <c r="B3106" t="s">
        <v>26</v>
      </c>
      <c r="C3106">
        <v>63943</v>
      </c>
      <c r="D3106" t="s">
        <v>139</v>
      </c>
      <c r="E3106" s="7">
        <v>65</v>
      </c>
      <c r="F3106" t="s">
        <v>20</v>
      </c>
      <c r="G3106" t="s">
        <v>21</v>
      </c>
      <c r="H3106" t="str">
        <f>"29210"</f>
        <v>29210</v>
      </c>
      <c r="I3106" t="str">
        <f>"ANGEL FIRE &amp; SAFETY"</f>
        <v>ANGEL FIRE &amp; SAFETY</v>
      </c>
    </row>
    <row r="3107" spans="1:9" x14ac:dyDescent="0.25">
      <c r="A3107" s="6">
        <v>43957</v>
      </c>
      <c r="B3107" t="s">
        <v>26</v>
      </c>
      <c r="C3107">
        <v>63944</v>
      </c>
      <c r="D3107" t="s">
        <v>31</v>
      </c>
      <c r="E3107" s="7">
        <v>4000</v>
      </c>
      <c r="F3107" t="s">
        <v>20</v>
      </c>
      <c r="G3107" t="s">
        <v>21</v>
      </c>
      <c r="H3107" t="str">
        <f>"2020241"</f>
        <v>2020241</v>
      </c>
      <c r="I3107" t="str">
        <f>"THE LAW OFFICE OF TOM CALDWELL"</f>
        <v>THE LAW OFFICE OF TOM CALDWELL</v>
      </c>
    </row>
    <row r="3108" spans="1:9" x14ac:dyDescent="0.25">
      <c r="A3108" s="6">
        <v>43957</v>
      </c>
      <c r="B3108" t="s">
        <v>26</v>
      </c>
      <c r="C3108">
        <v>63945</v>
      </c>
      <c r="D3108" t="s">
        <v>81</v>
      </c>
      <c r="E3108" s="7">
        <v>196.43</v>
      </c>
      <c r="F3108" t="s">
        <v>20</v>
      </c>
      <c r="G3108" t="s">
        <v>21</v>
      </c>
      <c r="H3108" t="str">
        <f>"A.MARTINEZ 4/2020"</f>
        <v>A.MARTINEZ 4/2020</v>
      </c>
      <c r="I3108" t="str">
        <f>"CITY OF FLORESVILLE -PETTY CAS"</f>
        <v>CITY OF FLORESVILLE -PETTY CAS</v>
      </c>
    </row>
    <row r="3109" spans="1:9" x14ac:dyDescent="0.25">
      <c r="A3109" s="6">
        <v>43957</v>
      </c>
      <c r="B3109" t="s">
        <v>26</v>
      </c>
      <c r="C3109">
        <v>63946</v>
      </c>
      <c r="D3109" t="s">
        <v>97</v>
      </c>
      <c r="E3109" s="7">
        <v>45278.73</v>
      </c>
      <c r="F3109" t="s">
        <v>20</v>
      </c>
      <c r="G3109" t="s">
        <v>21</v>
      </c>
      <c r="H3109" t="str">
        <f>"APRIL 2020"</f>
        <v>APRIL 2020</v>
      </c>
      <c r="I3109" t="str">
        <f>"HEALTH CARE SERVICE CORPORATIO"</f>
        <v>HEALTH CARE SERVICE CORPORATIO</v>
      </c>
    </row>
    <row r="3110" spans="1:9" x14ac:dyDescent="0.25">
      <c r="A3110" s="6">
        <v>43957</v>
      </c>
      <c r="B3110" t="s">
        <v>26</v>
      </c>
      <c r="C3110">
        <v>63947</v>
      </c>
      <c r="D3110" t="s">
        <v>98</v>
      </c>
      <c r="E3110" s="7">
        <v>3919.45</v>
      </c>
      <c r="F3110" t="s">
        <v>20</v>
      </c>
      <c r="G3110" t="s">
        <v>21</v>
      </c>
      <c r="H3110" t="str">
        <f>"APRIL 2020"</f>
        <v>APRIL 2020</v>
      </c>
      <c r="I3110" t="str">
        <f>"DEARBORN LIFE INSURANCE COMPAN"</f>
        <v>DEARBORN LIFE INSURANCE COMPAN</v>
      </c>
    </row>
    <row r="3111" spans="1:9" x14ac:dyDescent="0.25">
      <c r="A3111" s="6">
        <v>43957</v>
      </c>
      <c r="B3111" t="s">
        <v>26</v>
      </c>
      <c r="C3111">
        <v>63949</v>
      </c>
      <c r="D3111" t="s">
        <v>84</v>
      </c>
      <c r="E3111" s="7">
        <v>384</v>
      </c>
      <c r="F3111" t="s">
        <v>20</v>
      </c>
      <c r="G3111" t="s">
        <v>21</v>
      </c>
      <c r="H3111" t="str">
        <f>"1643268"</f>
        <v>1643268</v>
      </c>
      <c r="I3111" t="str">
        <f>"STANTEC CONSULTING SERVICES IN"</f>
        <v>STANTEC CONSULTING SERVICES IN</v>
      </c>
    </row>
    <row r="3112" spans="1:9" x14ac:dyDescent="0.25">
      <c r="A3112" s="6">
        <v>43957</v>
      </c>
      <c r="B3112" t="s">
        <v>26</v>
      </c>
      <c r="C3112">
        <v>63950</v>
      </c>
      <c r="D3112" t="s">
        <v>85</v>
      </c>
      <c r="E3112" s="7">
        <v>1520.22</v>
      </c>
      <c r="F3112" t="s">
        <v>20</v>
      </c>
      <c r="G3112" t="s">
        <v>21</v>
      </c>
      <c r="H3112" t="str">
        <f>"2162691 APR.2020"</f>
        <v>2162691 APR.2020</v>
      </c>
      <c r="I3112" t="str">
        <f t="shared" ref="I3112:I3120" si="55">"FRONTIER"</f>
        <v>FRONTIER</v>
      </c>
    </row>
    <row r="3113" spans="1:9" x14ac:dyDescent="0.25">
      <c r="E3113" s="7"/>
      <c r="F3113" t="s">
        <v>20</v>
      </c>
      <c r="G3113" t="s">
        <v>21</v>
      </c>
      <c r="H3113" t="str">
        <f>"3933186 APR.2020"</f>
        <v>3933186 APR.2020</v>
      </c>
      <c r="I3113" t="str">
        <f t="shared" si="55"/>
        <v>FRONTIER</v>
      </c>
    </row>
    <row r="3114" spans="1:9" x14ac:dyDescent="0.25">
      <c r="E3114" s="7"/>
      <c r="F3114" t="s">
        <v>20</v>
      </c>
      <c r="G3114" t="s">
        <v>21</v>
      </c>
      <c r="H3114" t="str">
        <f>"3933718 MARCH 2020"</f>
        <v>3933718 MARCH 2020</v>
      </c>
      <c r="I3114" t="str">
        <f t="shared" si="55"/>
        <v>FRONTIER</v>
      </c>
    </row>
    <row r="3115" spans="1:9" x14ac:dyDescent="0.25">
      <c r="E3115" s="7"/>
      <c r="F3115" t="s">
        <v>20</v>
      </c>
      <c r="G3115" t="s">
        <v>21</v>
      </c>
      <c r="H3115" t="str">
        <f>"3936616 MAR.2020"</f>
        <v>3936616 MAR.2020</v>
      </c>
      <c r="I3115" t="str">
        <f t="shared" si="55"/>
        <v>FRONTIER</v>
      </c>
    </row>
    <row r="3116" spans="1:9" x14ac:dyDescent="0.25">
      <c r="E3116" s="7"/>
      <c r="F3116" t="s">
        <v>20</v>
      </c>
      <c r="G3116" t="s">
        <v>21</v>
      </c>
      <c r="H3116" t="str">
        <f>"3937070 APRIL 2020"</f>
        <v>3937070 APRIL 2020</v>
      </c>
      <c r="I3116" t="str">
        <f t="shared" si="55"/>
        <v>FRONTIER</v>
      </c>
    </row>
    <row r="3117" spans="1:9" x14ac:dyDescent="0.25">
      <c r="E3117" s="7"/>
      <c r="F3117" t="s">
        <v>20</v>
      </c>
      <c r="G3117" t="s">
        <v>21</v>
      </c>
      <c r="H3117" t="str">
        <f>"3939456 APR.2020"</f>
        <v>3939456 APR.2020</v>
      </c>
      <c r="I3117" t="str">
        <f t="shared" si="55"/>
        <v>FRONTIER</v>
      </c>
    </row>
    <row r="3118" spans="1:9" x14ac:dyDescent="0.25">
      <c r="E3118" s="7"/>
      <c r="F3118" t="s">
        <v>20</v>
      </c>
      <c r="G3118" t="s">
        <v>21</v>
      </c>
      <c r="H3118" t="str">
        <f>"3939456 MAR.2020"</f>
        <v>3939456 MAR.2020</v>
      </c>
      <c r="I3118" t="str">
        <f t="shared" si="55"/>
        <v>FRONTIER</v>
      </c>
    </row>
    <row r="3119" spans="1:9" x14ac:dyDescent="0.25">
      <c r="E3119" s="7"/>
      <c r="F3119" t="s">
        <v>20</v>
      </c>
      <c r="G3119" t="s">
        <v>21</v>
      </c>
      <c r="H3119" t="str">
        <f>"8301970045 APR2020"</f>
        <v>8301970045 APR2020</v>
      </c>
      <c r="I3119" t="str">
        <f t="shared" si="55"/>
        <v>FRONTIER</v>
      </c>
    </row>
    <row r="3120" spans="1:9" x14ac:dyDescent="0.25">
      <c r="E3120" s="7"/>
      <c r="F3120" t="s">
        <v>20</v>
      </c>
      <c r="G3120" t="s">
        <v>21</v>
      </c>
      <c r="H3120" t="str">
        <f>"9837110018 APR2020"</f>
        <v>9837110018 APR2020</v>
      </c>
      <c r="I3120" t="str">
        <f t="shared" si="55"/>
        <v>FRONTIER</v>
      </c>
    </row>
    <row r="3121" spans="1:9" x14ac:dyDescent="0.25">
      <c r="A3121" s="6">
        <v>43957</v>
      </c>
      <c r="B3121" t="s">
        <v>26</v>
      </c>
      <c r="C3121">
        <v>63952</v>
      </c>
      <c r="D3121" t="s">
        <v>36</v>
      </c>
      <c r="E3121" s="7">
        <v>75</v>
      </c>
      <c r="F3121" t="s">
        <v>20</v>
      </c>
      <c r="G3121" t="s">
        <v>21</v>
      </c>
      <c r="H3121" t="str">
        <f>"MAY 2020"</f>
        <v>MAY 2020</v>
      </c>
      <c r="I3121" t="str">
        <f>"GLORIA M. CANTU"</f>
        <v>GLORIA M. CANTU</v>
      </c>
    </row>
    <row r="3122" spans="1:9" x14ac:dyDescent="0.25">
      <c r="A3122" s="6">
        <v>43957</v>
      </c>
      <c r="B3122" t="s">
        <v>26</v>
      </c>
      <c r="C3122">
        <v>63953</v>
      </c>
      <c r="D3122" t="s">
        <v>132</v>
      </c>
      <c r="E3122" s="7">
        <v>42.67</v>
      </c>
      <c r="F3122" t="s">
        <v>20</v>
      </c>
      <c r="G3122" t="s">
        <v>21</v>
      </c>
      <c r="H3122" t="str">
        <f>"16992887 042320"</f>
        <v>16992887 042320</v>
      </c>
      <c r="I3122" t="str">
        <f>"SPARKLETTS &amp; SIERRA SPRINGS"</f>
        <v>SPARKLETTS &amp; SIERRA SPRINGS</v>
      </c>
    </row>
    <row r="3123" spans="1:9" x14ac:dyDescent="0.25">
      <c r="A3123" s="6">
        <v>43957</v>
      </c>
      <c r="B3123" t="s">
        <v>26</v>
      </c>
      <c r="C3123">
        <v>63954</v>
      </c>
      <c r="D3123" t="s">
        <v>38</v>
      </c>
      <c r="E3123" s="7">
        <v>100</v>
      </c>
      <c r="F3123" t="s">
        <v>20</v>
      </c>
      <c r="G3123" t="s">
        <v>21</v>
      </c>
      <c r="H3123" t="str">
        <f>"MAY 2020"</f>
        <v>MAY 2020</v>
      </c>
      <c r="I3123" t="str">
        <f>"CECELIA GONZALEZ-DIPPEL"</f>
        <v>CECELIA GONZALEZ-DIPPEL</v>
      </c>
    </row>
    <row r="3124" spans="1:9" x14ac:dyDescent="0.25">
      <c r="A3124" s="6">
        <v>43957</v>
      </c>
      <c r="B3124" t="s">
        <v>26</v>
      </c>
      <c r="C3124">
        <v>63955</v>
      </c>
      <c r="D3124" t="s">
        <v>195</v>
      </c>
      <c r="E3124" s="7">
        <v>30.38</v>
      </c>
      <c r="F3124" t="s">
        <v>20</v>
      </c>
      <c r="G3124" t="s">
        <v>21</v>
      </c>
      <c r="H3124" t="str">
        <f>"1565202004"</f>
        <v>1565202004</v>
      </c>
      <c r="I3124" t="str">
        <f>"ARISTA INFORMATION SYSTEMS  IN"</f>
        <v>ARISTA INFORMATION SYSTEMS  IN</v>
      </c>
    </row>
    <row r="3125" spans="1:9" x14ac:dyDescent="0.25">
      <c r="A3125" s="6">
        <v>43957</v>
      </c>
      <c r="B3125" t="s">
        <v>26</v>
      </c>
      <c r="C3125">
        <v>63956</v>
      </c>
      <c r="D3125" t="s">
        <v>345</v>
      </c>
      <c r="E3125" s="7">
        <v>308</v>
      </c>
      <c r="F3125" t="s">
        <v>20</v>
      </c>
      <c r="G3125" t="s">
        <v>21</v>
      </c>
      <c r="H3125" t="str">
        <f>"5/4/2020"</f>
        <v>5/4/2020</v>
      </c>
      <c r="I3125" t="str">
        <f>"MICHAEL ISAAC MARTINEZ"</f>
        <v>MICHAEL ISAAC MARTINEZ</v>
      </c>
    </row>
    <row r="3126" spans="1:9" x14ac:dyDescent="0.25">
      <c r="A3126" s="6">
        <v>43957</v>
      </c>
      <c r="B3126" t="s">
        <v>26</v>
      </c>
      <c r="C3126">
        <v>63957</v>
      </c>
      <c r="D3126" t="s">
        <v>398</v>
      </c>
      <c r="E3126" s="7">
        <v>55</v>
      </c>
      <c r="F3126" t="s">
        <v>20</v>
      </c>
      <c r="G3126" t="s">
        <v>21</v>
      </c>
      <c r="H3126" t="str">
        <f>"20200502"</f>
        <v>20200502</v>
      </c>
      <c r="I3126" t="str">
        <f>"INTERCEPTOR TECHNOLOGY GROUP L"</f>
        <v>INTERCEPTOR TECHNOLOGY GROUP L</v>
      </c>
    </row>
    <row r="3127" spans="1:9" x14ac:dyDescent="0.25">
      <c r="A3127" s="6">
        <v>43957</v>
      </c>
      <c r="B3127" t="s">
        <v>26</v>
      </c>
      <c r="C3127">
        <v>63958</v>
      </c>
      <c r="D3127" t="s">
        <v>554</v>
      </c>
      <c r="E3127" s="7">
        <v>299.8</v>
      </c>
      <c r="F3127" t="s">
        <v>20</v>
      </c>
      <c r="G3127" t="s">
        <v>21</v>
      </c>
      <c r="H3127" t="str">
        <f>"AA605566"</f>
        <v>AA605566</v>
      </c>
      <c r="I3127" t="str">
        <f>"TEXAS WIRED MUSIC"</f>
        <v>TEXAS WIRED MUSIC</v>
      </c>
    </row>
    <row r="3128" spans="1:9" x14ac:dyDescent="0.25">
      <c r="E3128" s="7"/>
      <c r="F3128" t="s">
        <v>20</v>
      </c>
      <c r="G3128" t="s">
        <v>21</v>
      </c>
      <c r="H3128" t="str">
        <f>"AA60919"</f>
        <v>AA60919</v>
      </c>
      <c r="I3128" t="str">
        <f>"TEXAS WIRED MUSIC"</f>
        <v>TEXAS WIRED MUSIC</v>
      </c>
    </row>
    <row r="3129" spans="1:9" x14ac:dyDescent="0.25">
      <c r="E3129" s="7"/>
      <c r="F3129" t="s">
        <v>20</v>
      </c>
      <c r="G3129" t="s">
        <v>21</v>
      </c>
      <c r="H3129" t="str">
        <f>"AA70102"</f>
        <v>AA70102</v>
      </c>
      <c r="I3129" t="str">
        <f>"TEXAS WIRED MUSIC"</f>
        <v>TEXAS WIRED MUSIC</v>
      </c>
    </row>
    <row r="3130" spans="1:9" x14ac:dyDescent="0.25">
      <c r="E3130" s="7"/>
      <c r="F3130" t="s">
        <v>20</v>
      </c>
      <c r="G3130" t="s">
        <v>21</v>
      </c>
      <c r="H3130" t="str">
        <f>"AA74582"</f>
        <v>AA74582</v>
      </c>
      <c r="I3130" t="str">
        <f>"TEXAS WIRED MUSIC"</f>
        <v>TEXAS WIRED MUSIC</v>
      </c>
    </row>
    <row r="3131" spans="1:9" x14ac:dyDescent="0.25">
      <c r="A3131" s="6">
        <v>43957</v>
      </c>
      <c r="B3131" t="s">
        <v>26</v>
      </c>
      <c r="C3131">
        <v>63959</v>
      </c>
      <c r="D3131" t="s">
        <v>558</v>
      </c>
      <c r="E3131" s="7">
        <v>75</v>
      </c>
      <c r="F3131" t="s">
        <v>20</v>
      </c>
      <c r="G3131" t="s">
        <v>21</v>
      </c>
      <c r="H3131" t="str">
        <f>"MAY 2020"</f>
        <v>MAY 2020</v>
      </c>
      <c r="I3131" t="str">
        <f>"MARISSA XIMENEZ"</f>
        <v>MARISSA XIMENEZ</v>
      </c>
    </row>
    <row r="3132" spans="1:9" x14ac:dyDescent="0.25">
      <c r="A3132" s="6">
        <v>43957</v>
      </c>
      <c r="B3132" t="s">
        <v>26</v>
      </c>
      <c r="C3132">
        <v>63960</v>
      </c>
      <c r="D3132" t="s">
        <v>739</v>
      </c>
      <c r="E3132" s="7">
        <v>842.38</v>
      </c>
      <c r="F3132" t="s">
        <v>20</v>
      </c>
      <c r="G3132" t="s">
        <v>21</v>
      </c>
      <c r="H3132" t="str">
        <f>"5286X 04272020"</f>
        <v>5286X 04272020</v>
      </c>
      <c r="I3132" t="str">
        <f>"FIRSTNET/AT&amp;T MOBILITY LLC"</f>
        <v>FIRSTNET/AT&amp;T MOBILITY LLC</v>
      </c>
    </row>
    <row r="3133" spans="1:9" x14ac:dyDescent="0.25">
      <c r="A3133" s="6">
        <v>43957</v>
      </c>
      <c r="B3133" t="s">
        <v>26</v>
      </c>
      <c r="C3133">
        <v>63961</v>
      </c>
      <c r="D3133" t="s">
        <v>889</v>
      </c>
      <c r="E3133" s="7">
        <v>75</v>
      </c>
      <c r="F3133" t="s">
        <v>20</v>
      </c>
      <c r="G3133" t="s">
        <v>21</v>
      </c>
      <c r="H3133" t="str">
        <f>"MAY 2020"</f>
        <v>MAY 2020</v>
      </c>
      <c r="I3133" t="str">
        <f>"JADE JIMENEZ"</f>
        <v>JADE JIMENEZ</v>
      </c>
    </row>
    <row r="3134" spans="1:9" x14ac:dyDescent="0.25">
      <c r="A3134" s="6">
        <v>43957</v>
      </c>
      <c r="B3134" t="s">
        <v>26</v>
      </c>
      <c r="C3134">
        <v>63962</v>
      </c>
      <c r="D3134" t="s">
        <v>905</v>
      </c>
      <c r="E3134" s="7">
        <v>21.39</v>
      </c>
      <c r="F3134" t="s">
        <v>20</v>
      </c>
      <c r="G3134" t="s">
        <v>21</v>
      </c>
      <c r="H3134" t="str">
        <f>"5888-FREIGHT"</f>
        <v>5888-FREIGHT</v>
      </c>
      <c r="I3134" t="str">
        <f>"MID-WEST PRINTING COMPANY"</f>
        <v>MID-WEST PRINTING COMPANY</v>
      </c>
    </row>
    <row r="3135" spans="1:9" x14ac:dyDescent="0.25">
      <c r="A3135" s="6">
        <v>43957</v>
      </c>
      <c r="B3135" t="s">
        <v>26</v>
      </c>
      <c r="C3135">
        <v>63963</v>
      </c>
      <c r="D3135" t="s">
        <v>249</v>
      </c>
      <c r="E3135" s="7">
        <v>336.59</v>
      </c>
      <c r="F3135" t="s">
        <v>20</v>
      </c>
      <c r="G3135" t="s">
        <v>21</v>
      </c>
      <c r="H3135" t="str">
        <f>"64500"</f>
        <v>64500</v>
      </c>
      <c r="I3135" t="str">
        <f>"WW- SLUDGE TRUCK TIRE"</f>
        <v>WW- SLUDGE TRUCK TIRE</v>
      </c>
    </row>
    <row r="3136" spans="1:9" x14ac:dyDescent="0.25">
      <c r="A3136" s="6">
        <v>43957</v>
      </c>
      <c r="B3136" t="s">
        <v>91</v>
      </c>
      <c r="C3136">
        <v>63964</v>
      </c>
      <c r="D3136" t="s">
        <v>90</v>
      </c>
      <c r="E3136" s="7">
        <v>1681.76</v>
      </c>
      <c r="F3136" t="s">
        <v>20</v>
      </c>
      <c r="G3136" t="s">
        <v>21</v>
      </c>
      <c r="H3136" t="str">
        <f>"ACA202004068567"</f>
        <v>ACA202004068567</v>
      </c>
      <c r="I3136" t="str">
        <f>"AFLAC INSURANCE"</f>
        <v>AFLAC INSURANCE</v>
      </c>
    </row>
    <row r="3137" spans="1:9" x14ac:dyDescent="0.25">
      <c r="E3137" s="7"/>
      <c r="F3137" t="s">
        <v>20</v>
      </c>
      <c r="G3137" t="s">
        <v>21</v>
      </c>
      <c r="H3137" t="str">
        <f>"ACA202004218568"</f>
        <v>ACA202004218568</v>
      </c>
      <c r="I3137" t="str">
        <f>"AFLAC INSURANCE"</f>
        <v>AFLAC INSURANCE</v>
      </c>
    </row>
    <row r="3138" spans="1:9" x14ac:dyDescent="0.25">
      <c r="E3138" s="7"/>
      <c r="F3138" t="s">
        <v>20</v>
      </c>
      <c r="G3138" t="s">
        <v>21</v>
      </c>
      <c r="H3138" t="str">
        <f>"AD2202004068567"</f>
        <v>AD2202004068567</v>
      </c>
      <c r="I3138" t="str">
        <f>"AFLAC INSURANCE"</f>
        <v>AFLAC INSURANCE</v>
      </c>
    </row>
    <row r="3139" spans="1:9" x14ac:dyDescent="0.25">
      <c r="E3139" s="7"/>
      <c r="F3139" t="s">
        <v>20</v>
      </c>
      <c r="G3139" t="s">
        <v>21</v>
      </c>
      <c r="H3139" t="str">
        <f>"AD2202004218568"</f>
        <v>AD2202004218568</v>
      </c>
      <c r="I3139" t="str">
        <f>"AFLAC INSURANCE"</f>
        <v>AFLAC INSURANCE</v>
      </c>
    </row>
    <row r="3140" spans="1:9" x14ac:dyDescent="0.25">
      <c r="E3140" s="7"/>
      <c r="F3140" t="s">
        <v>20</v>
      </c>
      <c r="G3140" t="s">
        <v>21</v>
      </c>
      <c r="H3140" t="str">
        <f>"ADR202004068567"</f>
        <v>ADR202004068567</v>
      </c>
      <c r="I3140" t="str">
        <f>"INSURANCE"</f>
        <v>INSURANCE</v>
      </c>
    </row>
    <row r="3141" spans="1:9" x14ac:dyDescent="0.25">
      <c r="E3141" s="7"/>
      <c r="F3141" t="s">
        <v>20</v>
      </c>
      <c r="G3141" t="s">
        <v>21</v>
      </c>
      <c r="H3141" t="str">
        <f>"ADR202004218568"</f>
        <v>ADR202004218568</v>
      </c>
      <c r="I3141" t="str">
        <f>"INSURANCE"</f>
        <v>INSURANCE</v>
      </c>
    </row>
    <row r="3142" spans="1:9" x14ac:dyDescent="0.25">
      <c r="E3142" s="7"/>
      <c r="F3142" t="s">
        <v>20</v>
      </c>
      <c r="G3142" t="s">
        <v>21</v>
      </c>
      <c r="H3142" t="str">
        <f>"AF1202004068567"</f>
        <v>AF1202004068567</v>
      </c>
      <c r="I3142" t="str">
        <f t="shared" ref="I3142:I3147" si="56">"AFLAC INSURANCE"</f>
        <v>AFLAC INSURANCE</v>
      </c>
    </row>
    <row r="3143" spans="1:9" x14ac:dyDescent="0.25">
      <c r="E3143" s="7"/>
      <c r="F3143" t="s">
        <v>20</v>
      </c>
      <c r="G3143" t="s">
        <v>21</v>
      </c>
      <c r="H3143" t="str">
        <f>"AF1202004218568"</f>
        <v>AF1202004218568</v>
      </c>
      <c r="I3143" t="str">
        <f t="shared" si="56"/>
        <v>AFLAC INSURANCE</v>
      </c>
    </row>
    <row r="3144" spans="1:9" x14ac:dyDescent="0.25">
      <c r="E3144" s="7"/>
      <c r="F3144" t="s">
        <v>20</v>
      </c>
      <c r="G3144" t="s">
        <v>21</v>
      </c>
      <c r="H3144" t="str">
        <f>"ASP202004068567"</f>
        <v>ASP202004068567</v>
      </c>
      <c r="I3144" t="str">
        <f t="shared" si="56"/>
        <v>AFLAC INSURANCE</v>
      </c>
    </row>
    <row r="3145" spans="1:9" x14ac:dyDescent="0.25">
      <c r="E3145" s="7"/>
      <c r="F3145" t="s">
        <v>20</v>
      </c>
      <c r="G3145" t="s">
        <v>21</v>
      </c>
      <c r="H3145" t="str">
        <f>"ASP202004218568"</f>
        <v>ASP202004218568</v>
      </c>
      <c r="I3145" t="str">
        <f t="shared" si="56"/>
        <v>AFLAC INSURANCE</v>
      </c>
    </row>
    <row r="3146" spans="1:9" x14ac:dyDescent="0.25">
      <c r="E3146" s="7"/>
      <c r="F3146" t="s">
        <v>20</v>
      </c>
      <c r="G3146" t="s">
        <v>21</v>
      </c>
      <c r="H3146" t="str">
        <f>"HCO202004068567"</f>
        <v>HCO202004068567</v>
      </c>
      <c r="I3146" t="str">
        <f t="shared" si="56"/>
        <v>AFLAC INSURANCE</v>
      </c>
    </row>
    <row r="3147" spans="1:9" x14ac:dyDescent="0.25">
      <c r="E3147" s="7"/>
      <c r="F3147" t="s">
        <v>20</v>
      </c>
      <c r="G3147" t="s">
        <v>21</v>
      </c>
      <c r="H3147" t="str">
        <f>"HCO202004218568"</f>
        <v>HCO202004218568</v>
      </c>
      <c r="I3147" t="str">
        <f t="shared" si="56"/>
        <v>AFLAC INSURANCE</v>
      </c>
    </row>
    <row r="3148" spans="1:9" x14ac:dyDescent="0.25">
      <c r="A3148" s="6">
        <v>43957</v>
      </c>
      <c r="B3148" t="s">
        <v>91</v>
      </c>
      <c r="C3148">
        <v>63964</v>
      </c>
      <c r="D3148" t="s">
        <v>90</v>
      </c>
      <c r="E3148" s="7">
        <v>1681.76</v>
      </c>
      <c r="F3148" t="s">
        <v>20</v>
      </c>
      <c r="G3148" t="s">
        <v>93</v>
      </c>
      <c r="H3148" t="str">
        <f>"CHECK"</f>
        <v>CHECK</v>
      </c>
      <c r="I3148" t="str">
        <f>""</f>
        <v/>
      </c>
    </row>
    <row r="3149" spans="1:9" x14ac:dyDescent="0.25">
      <c r="A3149" s="6">
        <v>43957</v>
      </c>
      <c r="B3149" t="s">
        <v>26</v>
      </c>
      <c r="C3149">
        <v>63969</v>
      </c>
      <c r="D3149" t="s">
        <v>115</v>
      </c>
      <c r="E3149" s="7">
        <v>41.36</v>
      </c>
      <c r="F3149" t="s">
        <v>20</v>
      </c>
      <c r="G3149" t="s">
        <v>21</v>
      </c>
      <c r="H3149" t="str">
        <f>"3547659380"</f>
        <v>3547659380</v>
      </c>
      <c r="I3149" t="str">
        <f>"2 WAY TAPE FOR COVID SIGN"</f>
        <v>2 WAY TAPE FOR COVID SIGN</v>
      </c>
    </row>
    <row r="3150" spans="1:9" x14ac:dyDescent="0.25">
      <c r="A3150" s="6">
        <v>43957</v>
      </c>
      <c r="B3150" t="s">
        <v>26</v>
      </c>
      <c r="C3150">
        <v>63970</v>
      </c>
      <c r="D3150" t="s">
        <v>910</v>
      </c>
      <c r="E3150" s="7">
        <v>151.61000000000001</v>
      </c>
      <c r="F3150" t="s">
        <v>20</v>
      </c>
      <c r="G3150" t="s">
        <v>21</v>
      </c>
      <c r="H3150" t="str">
        <f>"F13427"</f>
        <v>F13427</v>
      </c>
      <c r="I3150" t="str">
        <f>"1/8 LEXAN ROUND 2 CORNERS"</f>
        <v>1/8 LEXAN ROUND 2 CORNERS</v>
      </c>
    </row>
    <row r="3151" spans="1:9" x14ac:dyDescent="0.25">
      <c r="A3151" s="6">
        <v>43957</v>
      </c>
      <c r="B3151" t="s">
        <v>91</v>
      </c>
      <c r="C3151">
        <v>63971</v>
      </c>
      <c r="D3151" t="s">
        <v>95</v>
      </c>
      <c r="E3151" s="7">
        <v>59.98</v>
      </c>
      <c r="F3151" t="s">
        <v>20</v>
      </c>
      <c r="G3151" t="s">
        <v>21</v>
      </c>
      <c r="H3151" t="str">
        <f>"LEA202004068567"</f>
        <v>LEA202004068567</v>
      </c>
      <c r="I3151" t="str">
        <f>"INSURANCE"</f>
        <v>INSURANCE</v>
      </c>
    </row>
    <row r="3152" spans="1:9" x14ac:dyDescent="0.25">
      <c r="E3152" s="7"/>
      <c r="F3152" t="s">
        <v>20</v>
      </c>
      <c r="G3152" t="s">
        <v>21</v>
      </c>
      <c r="H3152" t="str">
        <f>"LEA202004218568"</f>
        <v>LEA202004218568</v>
      </c>
      <c r="I3152" t="str">
        <f>"INSURANCE"</f>
        <v>INSURANCE</v>
      </c>
    </row>
    <row r="3153" spans="1:9" x14ac:dyDescent="0.25">
      <c r="A3153" s="6">
        <v>43957</v>
      </c>
      <c r="B3153" t="s">
        <v>91</v>
      </c>
      <c r="C3153">
        <v>63971</v>
      </c>
      <c r="D3153" t="s">
        <v>95</v>
      </c>
      <c r="E3153" s="7">
        <v>59.98</v>
      </c>
      <c r="F3153" t="s">
        <v>20</v>
      </c>
      <c r="G3153" t="s">
        <v>93</v>
      </c>
      <c r="H3153" t="str">
        <f>"CHECK"</f>
        <v>CHECK</v>
      </c>
      <c r="I3153" t="str">
        <f>""</f>
        <v/>
      </c>
    </row>
    <row r="3154" spans="1:9" x14ac:dyDescent="0.25">
      <c r="A3154" s="6">
        <v>43957</v>
      </c>
      <c r="B3154" t="s">
        <v>91</v>
      </c>
      <c r="C3154">
        <v>63972</v>
      </c>
      <c r="D3154" t="s">
        <v>96</v>
      </c>
      <c r="E3154" s="7">
        <v>311.76</v>
      </c>
      <c r="F3154" t="s">
        <v>20</v>
      </c>
      <c r="G3154" t="s">
        <v>21</v>
      </c>
      <c r="H3154" t="str">
        <f>"PPL202004068567"</f>
        <v>PPL202004068567</v>
      </c>
      <c r="I3154" t="str">
        <f>"INSURANCE"</f>
        <v>INSURANCE</v>
      </c>
    </row>
    <row r="3155" spans="1:9" x14ac:dyDescent="0.25">
      <c r="E3155" s="7"/>
      <c r="F3155" t="s">
        <v>20</v>
      </c>
      <c r="G3155" t="s">
        <v>21</v>
      </c>
      <c r="H3155" t="str">
        <f>"PPL202004218568"</f>
        <v>PPL202004218568</v>
      </c>
      <c r="I3155" t="str">
        <f>"INSURANCE"</f>
        <v>INSURANCE</v>
      </c>
    </row>
    <row r="3156" spans="1:9" x14ac:dyDescent="0.25">
      <c r="A3156" s="6">
        <v>43957</v>
      </c>
      <c r="B3156" t="s">
        <v>91</v>
      </c>
      <c r="C3156">
        <v>63972</v>
      </c>
      <c r="D3156" t="s">
        <v>96</v>
      </c>
      <c r="E3156" s="7">
        <v>311.76</v>
      </c>
      <c r="F3156" t="s">
        <v>20</v>
      </c>
      <c r="G3156" t="s">
        <v>93</v>
      </c>
      <c r="H3156" t="str">
        <f>"CHECK"</f>
        <v>CHECK</v>
      </c>
      <c r="I3156" t="str">
        <f>""</f>
        <v/>
      </c>
    </row>
    <row r="3157" spans="1:9" x14ac:dyDescent="0.25">
      <c r="A3157" s="6">
        <v>43957</v>
      </c>
      <c r="B3157" t="s">
        <v>26</v>
      </c>
      <c r="C3157">
        <v>63973</v>
      </c>
      <c r="D3157" t="s">
        <v>81</v>
      </c>
      <c r="E3157" s="7">
        <v>389.88</v>
      </c>
      <c r="F3157" t="s">
        <v>20</v>
      </c>
      <c r="G3157" t="s">
        <v>21</v>
      </c>
      <c r="H3157" t="str">
        <f>"C.PEREZ 4/2020"</f>
        <v>C.PEREZ 4/2020</v>
      </c>
      <c r="I3157" t="str">
        <f>"CITY OF FLORESVILLE -PETTY CAS"</f>
        <v>CITY OF FLORESVILLE -PETTY CAS</v>
      </c>
    </row>
    <row r="3158" spans="1:9" x14ac:dyDescent="0.25">
      <c r="A3158" s="6">
        <v>43957</v>
      </c>
      <c r="B3158" t="s">
        <v>26</v>
      </c>
      <c r="C3158">
        <v>63974</v>
      </c>
      <c r="D3158" t="s">
        <v>129</v>
      </c>
      <c r="E3158" s="7">
        <v>274.29000000000002</v>
      </c>
      <c r="F3158" t="s">
        <v>20</v>
      </c>
      <c r="G3158" t="s">
        <v>21</v>
      </c>
      <c r="H3158" t="str">
        <f>"P62587"</f>
        <v>P62587</v>
      </c>
      <c r="I3158" t="str">
        <f>"BELT FOR ZERO TURN"</f>
        <v>BELT FOR ZERO TURN</v>
      </c>
    </row>
    <row r="3159" spans="1:9" x14ac:dyDescent="0.25">
      <c r="E3159" s="7"/>
      <c r="F3159" t="s">
        <v>20</v>
      </c>
      <c r="G3159" t="s">
        <v>21</v>
      </c>
      <c r="H3159" t="str">
        <f>"P63681"</f>
        <v>P63681</v>
      </c>
      <c r="I3159" t="str">
        <f>"LAWMOWER BLADES"</f>
        <v>LAWMOWER BLADES</v>
      </c>
    </row>
    <row r="3160" spans="1:9" x14ac:dyDescent="0.25">
      <c r="A3160" s="6">
        <v>43957</v>
      </c>
      <c r="B3160" t="s">
        <v>91</v>
      </c>
      <c r="C3160">
        <v>63975</v>
      </c>
      <c r="D3160" t="s">
        <v>97</v>
      </c>
      <c r="E3160" s="7">
        <v>79057.73</v>
      </c>
      <c r="F3160" t="s">
        <v>20</v>
      </c>
      <c r="G3160" t="s">
        <v>21</v>
      </c>
      <c r="H3160" t="str">
        <f>"DEN202004068567"</f>
        <v>DEN202004068567</v>
      </c>
      <c r="I3160" t="str">
        <f>"DENTAL INSURANCE"</f>
        <v>DENTAL INSURANCE</v>
      </c>
    </row>
    <row r="3161" spans="1:9" x14ac:dyDescent="0.25">
      <c r="E3161" s="7"/>
      <c r="F3161" t="s">
        <v>20</v>
      </c>
      <c r="G3161" t="s">
        <v>21</v>
      </c>
      <c r="H3161" t="str">
        <f>"DEN202004218568"</f>
        <v>DEN202004218568</v>
      </c>
      <c r="I3161" t="str">
        <f>"DENTAL INSURANCE"</f>
        <v>DENTAL INSURANCE</v>
      </c>
    </row>
    <row r="3162" spans="1:9" x14ac:dyDescent="0.25">
      <c r="E3162" s="7"/>
      <c r="F3162" t="s">
        <v>20</v>
      </c>
      <c r="G3162" t="s">
        <v>21</v>
      </c>
      <c r="H3162" t="str">
        <f>"DEN202004288569"</f>
        <v>DEN202004288569</v>
      </c>
      <c r="I3162" t="str">
        <f>"DENTAL INSURANCE"</f>
        <v>DENTAL INSURANCE</v>
      </c>
    </row>
    <row r="3163" spans="1:9" x14ac:dyDescent="0.25">
      <c r="E3163" s="7"/>
      <c r="F3163" t="s">
        <v>20</v>
      </c>
      <c r="G3163" t="s">
        <v>21</v>
      </c>
      <c r="H3163" t="str">
        <f>"MED202004068567"</f>
        <v>MED202004068567</v>
      </c>
      <c r="I3163" t="str">
        <f>"HEALTH &amp; DENTAL INSURANCE"</f>
        <v>HEALTH &amp; DENTAL INSURANCE</v>
      </c>
    </row>
    <row r="3164" spans="1:9" x14ac:dyDescent="0.25">
      <c r="E3164" s="7"/>
      <c r="F3164" t="s">
        <v>20</v>
      </c>
      <c r="G3164" t="s">
        <v>21</v>
      </c>
      <c r="H3164" t="str">
        <f>"MED202004218568"</f>
        <v>MED202004218568</v>
      </c>
      <c r="I3164" t="str">
        <f>"HEALTH &amp; DENTAL INSURANCE"</f>
        <v>HEALTH &amp; DENTAL INSURANCE</v>
      </c>
    </row>
    <row r="3165" spans="1:9" x14ac:dyDescent="0.25">
      <c r="E3165" s="7"/>
      <c r="F3165" t="s">
        <v>20</v>
      </c>
      <c r="G3165" t="s">
        <v>21</v>
      </c>
      <c r="H3165" t="str">
        <f>"MED202004288569"</f>
        <v>MED202004288569</v>
      </c>
      <c r="I3165" t="str">
        <f>"HEALTH &amp; DENTAL INSURANCE"</f>
        <v>HEALTH &amp; DENTAL INSURANCE</v>
      </c>
    </row>
    <row r="3166" spans="1:9" x14ac:dyDescent="0.25">
      <c r="A3166" s="6">
        <v>43957</v>
      </c>
      <c r="B3166" t="s">
        <v>91</v>
      </c>
      <c r="C3166">
        <v>63975</v>
      </c>
      <c r="D3166" t="s">
        <v>97</v>
      </c>
      <c r="E3166" s="7">
        <v>79057.73</v>
      </c>
      <c r="F3166" t="s">
        <v>20</v>
      </c>
      <c r="G3166" t="s">
        <v>93</v>
      </c>
      <c r="H3166" t="str">
        <f>"CHECK"</f>
        <v>CHECK</v>
      </c>
      <c r="I3166" t="str">
        <f>""</f>
        <v/>
      </c>
    </row>
    <row r="3167" spans="1:9" x14ac:dyDescent="0.25">
      <c r="A3167" s="6">
        <v>43957</v>
      </c>
      <c r="B3167" t="s">
        <v>91</v>
      </c>
      <c r="C3167">
        <v>63980</v>
      </c>
      <c r="D3167" t="s">
        <v>98</v>
      </c>
      <c r="E3167" s="7">
        <v>4052.58</v>
      </c>
      <c r="F3167" t="s">
        <v>20</v>
      </c>
      <c r="G3167" t="s">
        <v>21</v>
      </c>
      <c r="H3167" t="str">
        <f>"LIF202004068567"</f>
        <v>LIF202004068567</v>
      </c>
      <c r="I3167" t="str">
        <f>"INSURANCE"</f>
        <v>INSURANCE</v>
      </c>
    </row>
    <row r="3168" spans="1:9" x14ac:dyDescent="0.25">
      <c r="E3168" s="7"/>
      <c r="F3168" t="s">
        <v>20</v>
      </c>
      <c r="G3168" t="s">
        <v>21</v>
      </c>
      <c r="H3168" t="str">
        <f>"LIF202004218568"</f>
        <v>LIF202004218568</v>
      </c>
      <c r="I3168" t="str">
        <f>"INSURANCE"</f>
        <v>INSURANCE</v>
      </c>
    </row>
    <row r="3169" spans="1:9" x14ac:dyDescent="0.25">
      <c r="E3169" s="7"/>
      <c r="F3169" t="s">
        <v>20</v>
      </c>
      <c r="G3169" t="s">
        <v>21</v>
      </c>
      <c r="H3169" t="str">
        <f>"STD202004068567"</f>
        <v>STD202004068567</v>
      </c>
      <c r="I3169" t="str">
        <f>"SHORT TERM DISABILITY"</f>
        <v>SHORT TERM DISABILITY</v>
      </c>
    </row>
    <row r="3170" spans="1:9" x14ac:dyDescent="0.25">
      <c r="E3170" s="7"/>
      <c r="F3170" t="s">
        <v>20</v>
      </c>
      <c r="G3170" t="s">
        <v>21</v>
      </c>
      <c r="H3170" t="str">
        <f>"STD202004218568"</f>
        <v>STD202004218568</v>
      </c>
      <c r="I3170" t="str">
        <f>"SHORT TERM DISABILITY"</f>
        <v>SHORT TERM DISABILITY</v>
      </c>
    </row>
    <row r="3171" spans="1:9" x14ac:dyDescent="0.25">
      <c r="E3171" s="7"/>
      <c r="F3171" t="s">
        <v>20</v>
      </c>
      <c r="G3171" t="s">
        <v>21</v>
      </c>
      <c r="H3171" t="str">
        <f>"STD202004288569"</f>
        <v>STD202004288569</v>
      </c>
      <c r="I3171" t="str">
        <f>"SHORT TERM DISABILITY"</f>
        <v>SHORT TERM DISABILITY</v>
      </c>
    </row>
    <row r="3172" spans="1:9" x14ac:dyDescent="0.25">
      <c r="E3172" s="7"/>
      <c r="F3172" t="s">
        <v>20</v>
      </c>
      <c r="G3172" t="s">
        <v>21</v>
      </c>
      <c r="H3172" t="str">
        <f>"VIS202004068567"</f>
        <v>VIS202004068567</v>
      </c>
      <c r="I3172" t="str">
        <f>"VISION INSURANCE"</f>
        <v>VISION INSURANCE</v>
      </c>
    </row>
    <row r="3173" spans="1:9" x14ac:dyDescent="0.25">
      <c r="E3173" s="7"/>
      <c r="F3173" t="s">
        <v>20</v>
      </c>
      <c r="G3173" t="s">
        <v>21</v>
      </c>
      <c r="H3173" t="str">
        <f>"VIS202004218568"</f>
        <v>VIS202004218568</v>
      </c>
      <c r="I3173" t="str">
        <f>"VISION INSURANCE"</f>
        <v>VISION INSURANCE</v>
      </c>
    </row>
    <row r="3174" spans="1:9" x14ac:dyDescent="0.25">
      <c r="E3174" s="7"/>
      <c r="F3174" t="s">
        <v>20</v>
      </c>
      <c r="G3174" t="s">
        <v>21</v>
      </c>
      <c r="H3174" t="str">
        <f>"VIS202004288569"</f>
        <v>VIS202004288569</v>
      </c>
      <c r="I3174" t="str">
        <f>"VISION INSURANCE"</f>
        <v>VISION INSURANCE</v>
      </c>
    </row>
    <row r="3175" spans="1:9" x14ac:dyDescent="0.25">
      <c r="E3175" s="7"/>
      <c r="F3175" t="s">
        <v>20</v>
      </c>
      <c r="G3175" t="s">
        <v>21</v>
      </c>
      <c r="H3175" t="str">
        <f>"VLC202004068567"</f>
        <v>VLC202004068567</v>
      </c>
      <c r="I3175" t="str">
        <f>"CHILD LIFE INSURANCE"</f>
        <v>CHILD LIFE INSURANCE</v>
      </c>
    </row>
    <row r="3176" spans="1:9" x14ac:dyDescent="0.25">
      <c r="E3176" s="7"/>
      <c r="F3176" t="s">
        <v>20</v>
      </c>
      <c r="G3176" t="s">
        <v>21</v>
      </c>
      <c r="H3176" t="str">
        <f>"VLC202004218568"</f>
        <v>VLC202004218568</v>
      </c>
      <c r="I3176" t="str">
        <f>"CHILD LIFE INSURANCE"</f>
        <v>CHILD LIFE INSURANCE</v>
      </c>
    </row>
    <row r="3177" spans="1:9" x14ac:dyDescent="0.25">
      <c r="E3177" s="7"/>
      <c r="F3177" t="s">
        <v>20</v>
      </c>
      <c r="G3177" t="s">
        <v>21</v>
      </c>
      <c r="H3177" t="str">
        <f>"VLS202004068567"</f>
        <v>VLS202004068567</v>
      </c>
      <c r="I3177" t="str">
        <f>"SPOUSE LIFE"</f>
        <v>SPOUSE LIFE</v>
      </c>
    </row>
    <row r="3178" spans="1:9" x14ac:dyDescent="0.25">
      <c r="E3178" s="7"/>
      <c r="F3178" t="s">
        <v>20</v>
      </c>
      <c r="G3178" t="s">
        <v>21</v>
      </c>
      <c r="H3178" t="str">
        <f>"VLS202004218568"</f>
        <v>VLS202004218568</v>
      </c>
      <c r="I3178" t="str">
        <f>"SPOUSE LIFE"</f>
        <v>SPOUSE LIFE</v>
      </c>
    </row>
    <row r="3179" spans="1:9" x14ac:dyDescent="0.25">
      <c r="E3179" s="7"/>
      <c r="F3179" t="s">
        <v>20</v>
      </c>
      <c r="G3179" t="s">
        <v>21</v>
      </c>
      <c r="H3179" t="str">
        <f>"VOE202004068567"</f>
        <v>VOE202004068567</v>
      </c>
      <c r="I3179" t="str">
        <f>"EMPLOYEE LIFE"</f>
        <v>EMPLOYEE LIFE</v>
      </c>
    </row>
    <row r="3180" spans="1:9" x14ac:dyDescent="0.25">
      <c r="E3180" s="7"/>
      <c r="F3180" t="s">
        <v>20</v>
      </c>
      <c r="G3180" t="s">
        <v>21</v>
      </c>
      <c r="H3180" t="str">
        <f>"VOE202004218568"</f>
        <v>VOE202004218568</v>
      </c>
      <c r="I3180" t="str">
        <f>"EMPLOYEE LIFE"</f>
        <v>EMPLOYEE LIFE</v>
      </c>
    </row>
    <row r="3181" spans="1:9" x14ac:dyDescent="0.25">
      <c r="E3181" s="7"/>
      <c r="F3181" t="s">
        <v>20</v>
      </c>
      <c r="G3181" t="s">
        <v>21</v>
      </c>
      <c r="H3181" t="str">
        <f>"VOE202004288569"</f>
        <v>VOE202004288569</v>
      </c>
      <c r="I3181" t="str">
        <f>"EMPLOYEE LIFE"</f>
        <v>EMPLOYEE LIFE</v>
      </c>
    </row>
    <row r="3182" spans="1:9" x14ac:dyDescent="0.25">
      <c r="E3182" s="7"/>
      <c r="F3182" t="s">
        <v>20</v>
      </c>
      <c r="G3182" t="s">
        <v>21</v>
      </c>
      <c r="H3182" t="str">
        <f>"VOL202004068567"</f>
        <v>VOL202004068567</v>
      </c>
      <c r="I3182" t="str">
        <f>"LIFE"</f>
        <v>LIFE</v>
      </c>
    </row>
    <row r="3183" spans="1:9" x14ac:dyDescent="0.25">
      <c r="E3183" s="7"/>
      <c r="F3183" t="s">
        <v>20</v>
      </c>
      <c r="G3183" t="s">
        <v>21</v>
      </c>
      <c r="H3183" t="str">
        <f>"VOL202004218568"</f>
        <v>VOL202004218568</v>
      </c>
      <c r="I3183" t="str">
        <f>"LIFE"</f>
        <v>LIFE</v>
      </c>
    </row>
    <row r="3184" spans="1:9" x14ac:dyDescent="0.25">
      <c r="A3184" s="6">
        <v>43957</v>
      </c>
      <c r="B3184" t="s">
        <v>91</v>
      </c>
      <c r="C3184">
        <v>63980</v>
      </c>
      <c r="D3184" t="s">
        <v>98</v>
      </c>
      <c r="E3184" s="7">
        <v>4052.58</v>
      </c>
      <c r="F3184" t="s">
        <v>20</v>
      </c>
      <c r="G3184" t="s">
        <v>93</v>
      </c>
      <c r="H3184" t="str">
        <f>"CHECK"</f>
        <v>CHECK</v>
      </c>
      <c r="I3184" t="str">
        <f>""</f>
        <v/>
      </c>
    </row>
    <row r="3185" spans="1:9" x14ac:dyDescent="0.25">
      <c r="A3185" s="6">
        <v>43957</v>
      </c>
      <c r="B3185" t="s">
        <v>26</v>
      </c>
      <c r="C3185">
        <v>63989</v>
      </c>
      <c r="D3185" t="s">
        <v>878</v>
      </c>
      <c r="E3185" s="7">
        <v>36.450000000000003</v>
      </c>
      <c r="F3185" t="s">
        <v>20</v>
      </c>
      <c r="G3185" t="s">
        <v>21</v>
      </c>
      <c r="H3185" t="str">
        <f>"80110"</f>
        <v>80110</v>
      </c>
      <c r="I3185" t="str">
        <f>"ANIMAL CONTROL SUPPLIES"</f>
        <v>ANIMAL CONTROL SUPPLIES</v>
      </c>
    </row>
    <row r="3186" spans="1:9" x14ac:dyDescent="0.25">
      <c r="A3186" s="6">
        <v>43958</v>
      </c>
      <c r="B3186" t="s">
        <v>26</v>
      </c>
      <c r="C3186">
        <v>63990</v>
      </c>
      <c r="D3186" t="s">
        <v>125</v>
      </c>
      <c r="E3186" s="7">
        <v>17000</v>
      </c>
      <c r="F3186" t="s">
        <v>20</v>
      </c>
      <c r="G3186" t="s">
        <v>21</v>
      </c>
      <c r="H3186" t="str">
        <f>"20-0322"</f>
        <v>20-0322</v>
      </c>
      <c r="I3186" t="str">
        <f>"INTREPID SURVEYING CORPORATION"</f>
        <v>INTREPID SURVEYING CORPORATION</v>
      </c>
    </row>
    <row r="3187" spans="1:9" x14ac:dyDescent="0.25">
      <c r="A3187" s="6">
        <v>43958</v>
      </c>
      <c r="B3187" t="s">
        <v>91</v>
      </c>
      <c r="C3187">
        <v>63991</v>
      </c>
      <c r="D3187" t="s">
        <v>911</v>
      </c>
      <c r="E3187" s="7">
        <v>500</v>
      </c>
      <c r="F3187" t="s">
        <v>20</v>
      </c>
      <c r="G3187" t="s">
        <v>21</v>
      </c>
      <c r="H3187" t="str">
        <f>"ROW AGRMNT 5/7/20"</f>
        <v>ROW AGRMNT 5/7/20</v>
      </c>
      <c r="I3187" t="str">
        <f>"DALE PAUL KOTZUR"</f>
        <v>DALE PAUL KOTZUR</v>
      </c>
    </row>
    <row r="3188" spans="1:9" x14ac:dyDescent="0.25">
      <c r="A3188" s="6">
        <v>43964</v>
      </c>
      <c r="B3188" t="s">
        <v>26</v>
      </c>
      <c r="C3188">
        <v>63992</v>
      </c>
      <c r="D3188" t="s">
        <v>57</v>
      </c>
      <c r="E3188" s="7">
        <v>8107.3</v>
      </c>
      <c r="F3188" t="s">
        <v>20</v>
      </c>
      <c r="G3188" t="s">
        <v>21</v>
      </c>
      <c r="H3188" t="str">
        <f>"11617 MAY 2020"</f>
        <v>11617 MAY 2020</v>
      </c>
      <c r="I3188" t="str">
        <f>"F.E.L.P.S."</f>
        <v>F.E.L.P.S.</v>
      </c>
    </row>
    <row r="3189" spans="1:9" x14ac:dyDescent="0.25">
      <c r="E3189" s="7"/>
      <c r="F3189" t="s">
        <v>20</v>
      </c>
      <c r="G3189" t="s">
        <v>21</v>
      </c>
      <c r="H3189" t="str">
        <f>"33062 MAY 2020"</f>
        <v>33062 MAY 2020</v>
      </c>
      <c r="I3189" t="str">
        <f>"F.E.L.P.S."</f>
        <v>F.E.L.P.S.</v>
      </c>
    </row>
    <row r="3190" spans="1:9" x14ac:dyDescent="0.25">
      <c r="A3190" s="6">
        <v>43964</v>
      </c>
      <c r="B3190" t="s">
        <v>26</v>
      </c>
      <c r="C3190">
        <v>63993</v>
      </c>
      <c r="D3190" t="s">
        <v>104</v>
      </c>
      <c r="E3190" s="7">
        <v>169.9</v>
      </c>
      <c r="F3190" t="s">
        <v>20</v>
      </c>
      <c r="G3190" t="s">
        <v>21</v>
      </c>
      <c r="H3190" t="str">
        <f>"1421780401"</f>
        <v>1421780401</v>
      </c>
      <c r="I3190" t="str">
        <f t="shared" ref="I3190:I3195" si="57">"WILSON COUNTY NEWS"</f>
        <v>WILSON COUNTY NEWS</v>
      </c>
    </row>
    <row r="3191" spans="1:9" x14ac:dyDescent="0.25">
      <c r="E3191" s="7"/>
      <c r="F3191" t="s">
        <v>20</v>
      </c>
      <c r="G3191" t="s">
        <v>21</v>
      </c>
      <c r="H3191" t="str">
        <f>"1423970429"</f>
        <v>1423970429</v>
      </c>
      <c r="I3191" t="str">
        <f t="shared" si="57"/>
        <v>WILSON COUNTY NEWS</v>
      </c>
    </row>
    <row r="3192" spans="1:9" x14ac:dyDescent="0.25">
      <c r="E3192" s="7"/>
      <c r="F3192" t="s">
        <v>20</v>
      </c>
      <c r="G3192" t="s">
        <v>21</v>
      </c>
      <c r="H3192" t="str">
        <f>"1424150506"</f>
        <v>1424150506</v>
      </c>
      <c r="I3192" t="str">
        <f t="shared" si="57"/>
        <v>WILSON COUNTY NEWS</v>
      </c>
    </row>
    <row r="3193" spans="1:9" x14ac:dyDescent="0.25">
      <c r="E3193" s="7"/>
      <c r="F3193" t="s">
        <v>20</v>
      </c>
      <c r="G3193" t="s">
        <v>21</v>
      </c>
      <c r="H3193" t="str">
        <f>"1424420513"</f>
        <v>1424420513</v>
      </c>
      <c r="I3193" t="str">
        <f t="shared" si="57"/>
        <v>WILSON COUNTY NEWS</v>
      </c>
    </row>
    <row r="3194" spans="1:9" x14ac:dyDescent="0.25">
      <c r="E3194" s="7"/>
      <c r="F3194" t="s">
        <v>20</v>
      </c>
      <c r="G3194" t="s">
        <v>21</v>
      </c>
      <c r="H3194" t="str">
        <f>"1424690520"</f>
        <v>1424690520</v>
      </c>
      <c r="I3194" t="str">
        <f t="shared" si="57"/>
        <v>WILSON COUNTY NEWS</v>
      </c>
    </row>
    <row r="3195" spans="1:9" x14ac:dyDescent="0.25">
      <c r="E3195" s="7"/>
      <c r="F3195" t="s">
        <v>20</v>
      </c>
      <c r="G3195" t="s">
        <v>21</v>
      </c>
      <c r="H3195" t="str">
        <f>"1424970527"</f>
        <v>1424970527</v>
      </c>
      <c r="I3195" t="str">
        <f t="shared" si="57"/>
        <v>WILSON COUNTY NEWS</v>
      </c>
    </row>
    <row r="3196" spans="1:9" x14ac:dyDescent="0.25">
      <c r="A3196" s="6">
        <v>43964</v>
      </c>
      <c r="B3196" t="s">
        <v>26</v>
      </c>
      <c r="C3196">
        <v>63994</v>
      </c>
      <c r="D3196" t="s">
        <v>166</v>
      </c>
      <c r="E3196" s="7">
        <v>52.01</v>
      </c>
      <c r="F3196" t="s">
        <v>20</v>
      </c>
      <c r="G3196" t="s">
        <v>21</v>
      </c>
      <c r="H3196" t="str">
        <f>"9567 5/11/2020"</f>
        <v>9567 5/11/2020</v>
      </c>
      <c r="I3196" t="str">
        <f>"PITNEY BOWES PURCHASE POWER"</f>
        <v>PITNEY BOWES PURCHASE POWER</v>
      </c>
    </row>
    <row r="3197" spans="1:9" x14ac:dyDescent="0.25">
      <c r="A3197" s="6">
        <v>43964</v>
      </c>
      <c r="B3197" t="s">
        <v>26</v>
      </c>
      <c r="C3197">
        <v>63995</v>
      </c>
      <c r="D3197" t="s">
        <v>912</v>
      </c>
      <c r="E3197" s="7">
        <v>50</v>
      </c>
      <c r="F3197" t="s">
        <v>20</v>
      </c>
      <c r="G3197" t="s">
        <v>21</v>
      </c>
      <c r="H3197" t="str">
        <f>"BW RFND 4/18/2020"</f>
        <v>BW RFND 4/18/2020</v>
      </c>
      <c r="I3197" t="str">
        <f>"REFUND"</f>
        <v>REFUND</v>
      </c>
    </row>
    <row r="3198" spans="1:9" x14ac:dyDescent="0.25">
      <c r="A3198" s="6">
        <v>43964</v>
      </c>
      <c r="B3198" t="s">
        <v>26</v>
      </c>
      <c r="C3198">
        <v>63996</v>
      </c>
      <c r="D3198" t="s">
        <v>114</v>
      </c>
      <c r="E3198" s="7">
        <v>32596.79</v>
      </c>
      <c r="F3198" t="s">
        <v>20</v>
      </c>
      <c r="G3198" t="s">
        <v>21</v>
      </c>
      <c r="H3198" t="str">
        <f>"1/1-3/31/2020"</f>
        <v>1/1-3/31/2020</v>
      </c>
      <c r="I3198" t="str">
        <f>"STATE COMPTROLLER"</f>
        <v>STATE COMPTROLLER</v>
      </c>
    </row>
    <row r="3199" spans="1:9" x14ac:dyDescent="0.25">
      <c r="A3199" s="6">
        <v>43964</v>
      </c>
      <c r="B3199" t="s">
        <v>26</v>
      </c>
      <c r="C3199">
        <v>63997</v>
      </c>
      <c r="D3199" t="s">
        <v>184</v>
      </c>
      <c r="E3199" s="7">
        <v>1847</v>
      </c>
      <c r="F3199" t="s">
        <v>20</v>
      </c>
      <c r="G3199" t="s">
        <v>21</v>
      </c>
      <c r="H3199" t="str">
        <f>"1058-777"</f>
        <v>1058-777</v>
      </c>
      <c r="I3199" t="str">
        <f>"POLLUTION CONTROL SERVICES"</f>
        <v>POLLUTION CONTROL SERVICES</v>
      </c>
    </row>
    <row r="3200" spans="1:9" x14ac:dyDescent="0.25">
      <c r="E3200" s="7"/>
      <c r="F3200" t="s">
        <v>20</v>
      </c>
      <c r="G3200" t="s">
        <v>21</v>
      </c>
      <c r="H3200" t="str">
        <f>"1058-788"</f>
        <v>1058-788</v>
      </c>
      <c r="I3200" t="str">
        <f>"POLLUTION CONTROL SERVICES"</f>
        <v>POLLUTION CONTROL SERVICES</v>
      </c>
    </row>
    <row r="3201" spans="1:9" x14ac:dyDescent="0.25">
      <c r="A3201" s="6">
        <v>43964</v>
      </c>
      <c r="B3201" t="s">
        <v>26</v>
      </c>
      <c r="C3201">
        <v>63998</v>
      </c>
      <c r="D3201" t="s">
        <v>115</v>
      </c>
      <c r="E3201" s="7">
        <v>217.26</v>
      </c>
      <c r="F3201" t="s">
        <v>20</v>
      </c>
      <c r="G3201" t="s">
        <v>21</v>
      </c>
      <c r="H3201" t="str">
        <f>"3547657497"</f>
        <v>3547657497</v>
      </c>
      <c r="I3201" t="str">
        <f>"BATTERY- STREETS UNIT 201"</f>
        <v>BATTERY- STREETS UNIT 201</v>
      </c>
    </row>
    <row r="3202" spans="1:9" x14ac:dyDescent="0.25">
      <c r="E3202" s="7"/>
      <c r="F3202" t="s">
        <v>20</v>
      </c>
      <c r="G3202" t="s">
        <v>21</v>
      </c>
      <c r="H3202" t="str">
        <f>"3547657498"</f>
        <v>3547657498</v>
      </c>
      <c r="I3202" t="str">
        <f>"PD UNIT 325 REPAIR"</f>
        <v>PD UNIT 325 REPAIR</v>
      </c>
    </row>
    <row r="3203" spans="1:9" x14ac:dyDescent="0.25">
      <c r="E3203" s="7"/>
      <c r="F3203" t="s">
        <v>20</v>
      </c>
      <c r="G3203" t="s">
        <v>21</v>
      </c>
      <c r="H3203" t="str">
        <f>"3547662913"</f>
        <v>3547662913</v>
      </c>
      <c r="I3203" t="str">
        <f>"PD UNIT325 REPAIR"</f>
        <v>PD UNIT325 REPAIR</v>
      </c>
    </row>
    <row r="3204" spans="1:9" x14ac:dyDescent="0.25">
      <c r="A3204" s="6">
        <v>43964</v>
      </c>
      <c r="B3204" t="s">
        <v>26</v>
      </c>
      <c r="C3204">
        <v>63999</v>
      </c>
      <c r="D3204" t="s">
        <v>63</v>
      </c>
      <c r="E3204" s="7">
        <v>6243.17</v>
      </c>
      <c r="F3204" t="s">
        <v>20</v>
      </c>
      <c r="G3204" t="s">
        <v>21</v>
      </c>
      <c r="H3204" t="str">
        <f>"8404620832"</f>
        <v>8404620832</v>
      </c>
      <c r="I3204" t="str">
        <f>"CINTAS CORPORATION"</f>
        <v>CINTAS CORPORATION</v>
      </c>
    </row>
    <row r="3205" spans="1:9" x14ac:dyDescent="0.25">
      <c r="E3205" s="7"/>
      <c r="F3205" t="s">
        <v>20</v>
      </c>
      <c r="G3205" t="s">
        <v>21</v>
      </c>
      <c r="H3205" t="str">
        <f>"8404620833"</f>
        <v>8404620833</v>
      </c>
      <c r="I3205" t="str">
        <f>"CINTAS CORPORATION"</f>
        <v>CINTAS CORPORATION</v>
      </c>
    </row>
    <row r="3206" spans="1:9" x14ac:dyDescent="0.25">
      <c r="A3206" s="6">
        <v>43964</v>
      </c>
      <c r="B3206" t="s">
        <v>26</v>
      </c>
      <c r="C3206">
        <v>64000</v>
      </c>
      <c r="D3206" t="s">
        <v>119</v>
      </c>
      <c r="E3206" s="7">
        <v>12.5</v>
      </c>
      <c r="F3206" t="s">
        <v>20</v>
      </c>
      <c r="G3206" t="s">
        <v>21</v>
      </c>
      <c r="H3206" t="str">
        <f>"64542"</f>
        <v>64542</v>
      </c>
      <c r="I3206" t="str">
        <f>"PRUSKI'S TIRE SHOP  L.L.C."</f>
        <v>PRUSKI'S TIRE SHOP  L.L.C.</v>
      </c>
    </row>
    <row r="3207" spans="1:9" x14ac:dyDescent="0.25">
      <c r="A3207" s="6">
        <v>43964</v>
      </c>
      <c r="B3207" t="s">
        <v>26</v>
      </c>
      <c r="C3207">
        <v>64001</v>
      </c>
      <c r="D3207" t="s">
        <v>69</v>
      </c>
      <c r="E3207" s="7">
        <v>343.32</v>
      </c>
      <c r="F3207" t="s">
        <v>20</v>
      </c>
      <c r="G3207" t="s">
        <v>21</v>
      </c>
      <c r="H3207" t="str">
        <f>"33065220"</f>
        <v>33065220</v>
      </c>
      <c r="I3207" t="str">
        <f>"LAWNMOWER REPAIR-PARKS"</f>
        <v>LAWNMOWER REPAIR-PARKS</v>
      </c>
    </row>
    <row r="3208" spans="1:9" x14ac:dyDescent="0.25">
      <c r="A3208" s="6">
        <v>43964</v>
      </c>
      <c r="B3208" t="s">
        <v>26</v>
      </c>
      <c r="C3208">
        <v>64002</v>
      </c>
      <c r="D3208" t="s">
        <v>281</v>
      </c>
      <c r="E3208" s="7">
        <v>425.82</v>
      </c>
      <c r="F3208" t="s">
        <v>20</v>
      </c>
      <c r="G3208" t="s">
        <v>21</v>
      </c>
      <c r="H3208" t="str">
        <f>"31042"</f>
        <v>31042</v>
      </c>
      <c r="I3208" t="str">
        <f>"2009 SUBURBAN AC REPAIR"</f>
        <v>2009 SUBURBAN AC REPAIR</v>
      </c>
    </row>
    <row r="3209" spans="1:9" x14ac:dyDescent="0.25">
      <c r="A3209" s="6">
        <v>43964</v>
      </c>
      <c r="B3209" t="s">
        <v>26</v>
      </c>
      <c r="C3209">
        <v>64003</v>
      </c>
      <c r="D3209" t="s">
        <v>71</v>
      </c>
      <c r="E3209" s="7">
        <v>414.91</v>
      </c>
      <c r="F3209" t="s">
        <v>20</v>
      </c>
      <c r="G3209" t="s">
        <v>21</v>
      </c>
      <c r="H3209" t="str">
        <f>"4049501504"</f>
        <v>4049501504</v>
      </c>
      <c r="I3209" t="str">
        <f>"CINTAS CORPORATION #087"</f>
        <v>CINTAS CORPORATION #087</v>
      </c>
    </row>
    <row r="3210" spans="1:9" x14ac:dyDescent="0.25">
      <c r="E3210" s="7"/>
      <c r="F3210" t="s">
        <v>20</v>
      </c>
      <c r="G3210" t="s">
        <v>21</v>
      </c>
      <c r="H3210" t="str">
        <f>"4049501510"</f>
        <v>4049501510</v>
      </c>
      <c r="I3210" t="str">
        <f>"CINTAS CORPORATION #087"</f>
        <v>CINTAS CORPORATION #087</v>
      </c>
    </row>
    <row r="3211" spans="1:9" x14ac:dyDescent="0.25">
      <c r="E3211" s="7"/>
      <c r="F3211" t="s">
        <v>20</v>
      </c>
      <c r="G3211" t="s">
        <v>21</v>
      </c>
      <c r="H3211" t="str">
        <f>"4049501574"</f>
        <v>4049501574</v>
      </c>
      <c r="I3211" t="str">
        <f>"CINTAS CORPORATION #087"</f>
        <v>CINTAS CORPORATION #087</v>
      </c>
    </row>
    <row r="3212" spans="1:9" x14ac:dyDescent="0.25">
      <c r="E3212" s="7"/>
      <c r="F3212" t="s">
        <v>20</v>
      </c>
      <c r="G3212" t="s">
        <v>21</v>
      </c>
      <c r="H3212" t="str">
        <f>"4049501593"</f>
        <v>4049501593</v>
      </c>
      <c r="I3212" t="str">
        <f>"CINTAS CORPORATION #087"</f>
        <v>CINTAS CORPORATION #087</v>
      </c>
    </row>
    <row r="3213" spans="1:9" x14ac:dyDescent="0.25">
      <c r="A3213" s="6">
        <v>43964</v>
      </c>
      <c r="B3213" t="s">
        <v>26</v>
      </c>
      <c r="C3213">
        <v>64004</v>
      </c>
      <c r="D3213" t="s">
        <v>122</v>
      </c>
      <c r="E3213" s="7">
        <v>243</v>
      </c>
      <c r="F3213" t="s">
        <v>20</v>
      </c>
      <c r="G3213" t="s">
        <v>21</v>
      </c>
      <c r="H3213" t="str">
        <f>"704450"</f>
        <v>704450</v>
      </c>
      <c r="I3213" t="str">
        <f>"TIRE FOR DUMP TRUCK"</f>
        <v>TIRE FOR DUMP TRUCK</v>
      </c>
    </row>
    <row r="3214" spans="1:9" x14ac:dyDescent="0.25">
      <c r="E3214" s="7"/>
      <c r="F3214" t="s">
        <v>20</v>
      </c>
      <c r="G3214" t="s">
        <v>21</v>
      </c>
      <c r="H3214" t="str">
        <f>"706310"</f>
        <v>706310</v>
      </c>
      <c r="I3214" t="str">
        <f>"VILLA TIRES"</f>
        <v>VILLA TIRES</v>
      </c>
    </row>
    <row r="3215" spans="1:9" x14ac:dyDescent="0.25">
      <c r="E3215" s="7"/>
      <c r="F3215" t="s">
        <v>20</v>
      </c>
      <c r="G3215" t="s">
        <v>21</v>
      </c>
      <c r="H3215" t="str">
        <f>"706313"</f>
        <v>706313</v>
      </c>
      <c r="I3215" t="str">
        <f>"VILLA TIRES"</f>
        <v>VILLA TIRES</v>
      </c>
    </row>
    <row r="3216" spans="1:9" x14ac:dyDescent="0.25">
      <c r="E3216" s="7"/>
      <c r="F3216" t="s">
        <v>20</v>
      </c>
      <c r="G3216" t="s">
        <v>21</v>
      </c>
      <c r="H3216" t="str">
        <f>"706321"</f>
        <v>706321</v>
      </c>
      <c r="I3216" t="str">
        <f>"VILLA TIRES"</f>
        <v>VILLA TIRES</v>
      </c>
    </row>
    <row r="3217" spans="1:9" x14ac:dyDescent="0.25">
      <c r="E3217" s="7"/>
      <c r="F3217" t="s">
        <v>20</v>
      </c>
      <c r="G3217" t="s">
        <v>21</v>
      </c>
      <c r="H3217" t="str">
        <f>"706344"</f>
        <v>706344</v>
      </c>
      <c r="I3217" t="str">
        <f>"VILLA TIRES"</f>
        <v>VILLA TIRES</v>
      </c>
    </row>
    <row r="3218" spans="1:9" x14ac:dyDescent="0.25">
      <c r="A3218" s="6">
        <v>43964</v>
      </c>
      <c r="B3218" t="s">
        <v>26</v>
      </c>
      <c r="C3218">
        <v>64005</v>
      </c>
      <c r="D3218" t="s">
        <v>74</v>
      </c>
      <c r="E3218" s="7">
        <v>4446.6099999999997</v>
      </c>
      <c r="F3218" t="s">
        <v>20</v>
      </c>
      <c r="G3218" t="s">
        <v>21</v>
      </c>
      <c r="H3218" t="str">
        <f>"9853228150"</f>
        <v>9853228150</v>
      </c>
      <c r="I3218" t="str">
        <f>"VERIZON WIRELESS"</f>
        <v>VERIZON WIRELESS</v>
      </c>
    </row>
    <row r="3219" spans="1:9" x14ac:dyDescent="0.25">
      <c r="A3219" s="6">
        <v>43964</v>
      </c>
      <c r="B3219" t="s">
        <v>26</v>
      </c>
      <c r="C3219">
        <v>64006</v>
      </c>
      <c r="D3219" t="s">
        <v>123</v>
      </c>
      <c r="E3219" s="7">
        <v>460.87</v>
      </c>
      <c r="F3219" t="s">
        <v>20</v>
      </c>
      <c r="G3219" t="s">
        <v>21</v>
      </c>
      <c r="H3219" t="str">
        <f>"485516167001"</f>
        <v>485516167001</v>
      </c>
      <c r="I3219" t="str">
        <f>"COPY PAPER"</f>
        <v>COPY PAPER</v>
      </c>
    </row>
    <row r="3220" spans="1:9" x14ac:dyDescent="0.25">
      <c r="A3220" s="6">
        <v>43964</v>
      </c>
      <c r="B3220" t="s">
        <v>26</v>
      </c>
      <c r="C3220">
        <v>64007</v>
      </c>
      <c r="D3220" t="s">
        <v>76</v>
      </c>
      <c r="E3220" s="7">
        <v>2393.2199999999998</v>
      </c>
      <c r="F3220" t="s">
        <v>20</v>
      </c>
      <c r="G3220" t="s">
        <v>21</v>
      </c>
      <c r="H3220" t="str">
        <f>"1109"</f>
        <v>1109</v>
      </c>
      <c r="I3220" t="str">
        <f>"WILSON COUNTY TAX COLLECTOR"</f>
        <v>WILSON COUNTY TAX COLLECTOR</v>
      </c>
    </row>
    <row r="3221" spans="1:9" x14ac:dyDescent="0.25">
      <c r="A3221" s="6">
        <v>43964</v>
      </c>
      <c r="B3221" t="s">
        <v>26</v>
      </c>
      <c r="C3221">
        <v>64008</v>
      </c>
      <c r="D3221" t="s">
        <v>77</v>
      </c>
      <c r="E3221" s="7">
        <v>3060</v>
      </c>
      <c r="F3221" t="s">
        <v>20</v>
      </c>
      <c r="G3221" t="s">
        <v>21</v>
      </c>
      <c r="H3221" t="str">
        <f>"857000810-20"</f>
        <v>857000810-20</v>
      </c>
      <c r="I3221" t="str">
        <f>"CHLORINE ORDER  WW"</f>
        <v>CHLORINE ORDER  WW</v>
      </c>
    </row>
    <row r="3222" spans="1:9" x14ac:dyDescent="0.25">
      <c r="E3222" s="7"/>
      <c r="F3222" t="s">
        <v>20</v>
      </c>
      <c r="G3222" t="s">
        <v>21</v>
      </c>
      <c r="H3222" t="str">
        <f>"857000832-20"</f>
        <v>857000832-20</v>
      </c>
      <c r="I3222" t="str">
        <f>"DPC INDUSTRIES  INC."</f>
        <v>DPC INDUSTRIES  INC.</v>
      </c>
    </row>
    <row r="3223" spans="1:9" x14ac:dyDescent="0.25">
      <c r="A3223" s="6">
        <v>43964</v>
      </c>
      <c r="B3223" t="s">
        <v>26</v>
      </c>
      <c r="C3223">
        <v>64009</v>
      </c>
      <c r="D3223" t="s">
        <v>125</v>
      </c>
      <c r="E3223" s="7">
        <v>360</v>
      </c>
      <c r="F3223" t="s">
        <v>20</v>
      </c>
      <c r="G3223" t="s">
        <v>21</v>
      </c>
      <c r="H3223" t="str">
        <f>"20-0383 MAY 2020"</f>
        <v>20-0383 MAY 2020</v>
      </c>
      <c r="I3223" t="str">
        <f>"INTREPID SURVEYING CORPORATION"</f>
        <v>INTREPID SURVEYING CORPORATION</v>
      </c>
    </row>
    <row r="3224" spans="1:9" x14ac:dyDescent="0.25">
      <c r="A3224" s="6">
        <v>43964</v>
      </c>
      <c r="B3224" t="s">
        <v>26</v>
      </c>
      <c r="C3224">
        <v>64010</v>
      </c>
      <c r="D3224" t="s">
        <v>821</v>
      </c>
      <c r="E3224" s="7">
        <v>675</v>
      </c>
      <c r="F3224" t="s">
        <v>20</v>
      </c>
      <c r="G3224" t="s">
        <v>21</v>
      </c>
      <c r="H3224" t="str">
        <f>"FRI7818"</f>
        <v>FRI7818</v>
      </c>
      <c r="I3224" t="str">
        <f>"REPAIR PAJARITO LIFT"</f>
        <v>REPAIR PAJARITO LIFT</v>
      </c>
    </row>
    <row r="3225" spans="1:9" x14ac:dyDescent="0.25">
      <c r="A3225" s="6">
        <v>43964</v>
      </c>
      <c r="B3225" t="s">
        <v>26</v>
      </c>
      <c r="C3225">
        <v>64011</v>
      </c>
      <c r="D3225" t="s">
        <v>153</v>
      </c>
      <c r="E3225" s="7">
        <v>1000</v>
      </c>
      <c r="F3225" t="s">
        <v>20</v>
      </c>
      <c r="G3225" t="s">
        <v>21</v>
      </c>
      <c r="H3225" t="s">
        <v>913</v>
      </c>
      <c r="I3225" t="s">
        <v>914</v>
      </c>
    </row>
    <row r="3226" spans="1:9" x14ac:dyDescent="0.25">
      <c r="A3226" s="6">
        <v>43964</v>
      </c>
      <c r="B3226" t="s">
        <v>26</v>
      </c>
      <c r="C3226">
        <v>64012</v>
      </c>
      <c r="D3226" t="s">
        <v>85</v>
      </c>
      <c r="E3226" s="7">
        <v>190.8</v>
      </c>
      <c r="F3226" t="s">
        <v>20</v>
      </c>
      <c r="G3226" t="s">
        <v>21</v>
      </c>
      <c r="H3226" t="str">
        <f>"3930579 MAY 2020"</f>
        <v>3930579 MAY 2020</v>
      </c>
      <c r="I3226" t="str">
        <f>"FRONTIER"</f>
        <v>FRONTIER</v>
      </c>
    </row>
    <row r="3227" spans="1:9" x14ac:dyDescent="0.25">
      <c r="E3227" s="7"/>
      <c r="F3227" t="s">
        <v>20</v>
      </c>
      <c r="G3227" t="s">
        <v>21</v>
      </c>
      <c r="H3227" t="str">
        <f>"3933108 MAY 2020"</f>
        <v>3933108 MAY 2020</v>
      </c>
      <c r="I3227" t="str">
        <f>"FRONTIER"</f>
        <v>FRONTIER</v>
      </c>
    </row>
    <row r="3228" spans="1:9" x14ac:dyDescent="0.25">
      <c r="E3228" s="7"/>
      <c r="F3228" t="s">
        <v>20</v>
      </c>
      <c r="G3228" t="s">
        <v>21</v>
      </c>
      <c r="H3228" t="str">
        <f>"3939791 MAY 2020"</f>
        <v>3939791 MAY 2020</v>
      </c>
      <c r="I3228" t="str">
        <f>"FRONTIER"</f>
        <v>FRONTIER</v>
      </c>
    </row>
    <row r="3229" spans="1:9" x14ac:dyDescent="0.25">
      <c r="A3229" s="6">
        <v>43964</v>
      </c>
      <c r="B3229" t="s">
        <v>26</v>
      </c>
      <c r="C3229">
        <v>64013</v>
      </c>
      <c r="D3229" t="s">
        <v>326</v>
      </c>
      <c r="E3229" s="7">
        <v>35</v>
      </c>
      <c r="F3229" t="s">
        <v>20</v>
      </c>
      <c r="G3229" t="s">
        <v>21</v>
      </c>
      <c r="H3229" t="str">
        <f>"21623334"</f>
        <v>21623334</v>
      </c>
      <c r="I3229" t="str">
        <f>"MATHESON TRI-GAS INC"</f>
        <v>MATHESON TRI-GAS INC</v>
      </c>
    </row>
    <row r="3230" spans="1:9" x14ac:dyDescent="0.25">
      <c r="A3230" s="6">
        <v>43964</v>
      </c>
      <c r="B3230" t="s">
        <v>26</v>
      </c>
      <c r="C3230">
        <v>64014</v>
      </c>
      <c r="D3230" t="s">
        <v>345</v>
      </c>
      <c r="E3230" s="7">
        <v>308</v>
      </c>
      <c r="F3230" t="s">
        <v>20</v>
      </c>
      <c r="G3230" t="s">
        <v>21</v>
      </c>
      <c r="H3230" t="str">
        <f>"4/11/2020"</f>
        <v>4/11/2020</v>
      </c>
      <c r="I3230" t="str">
        <f>"MICHAEL ISAAC MARTINEZ"</f>
        <v>MICHAEL ISAAC MARTINEZ</v>
      </c>
    </row>
    <row r="3231" spans="1:9" x14ac:dyDescent="0.25">
      <c r="A3231" s="6">
        <v>43964</v>
      </c>
      <c r="B3231" t="s">
        <v>26</v>
      </c>
      <c r="C3231">
        <v>64015</v>
      </c>
      <c r="D3231" t="s">
        <v>197</v>
      </c>
      <c r="E3231" s="7">
        <v>2700</v>
      </c>
      <c r="F3231" t="s">
        <v>20</v>
      </c>
      <c r="G3231" t="s">
        <v>21</v>
      </c>
      <c r="H3231" t="str">
        <f>"201615"</f>
        <v>201615</v>
      </c>
      <c r="I3231" t="str">
        <f>"TREATMENT CHEMICALS"</f>
        <v>TREATMENT CHEMICALS</v>
      </c>
    </row>
    <row r="3232" spans="1:9" x14ac:dyDescent="0.25">
      <c r="A3232" s="6">
        <v>43964</v>
      </c>
      <c r="B3232" t="s">
        <v>26</v>
      </c>
      <c r="C3232">
        <v>64016</v>
      </c>
      <c r="D3232" t="s">
        <v>218</v>
      </c>
      <c r="E3232" s="7">
        <v>190</v>
      </c>
      <c r="F3232" t="s">
        <v>20</v>
      </c>
      <c r="G3232" t="s">
        <v>21</v>
      </c>
      <c r="H3232" t="str">
        <f>"2598"</f>
        <v>2598</v>
      </c>
      <c r="I3232" t="str">
        <f>"TOWING- UNIT 602"</f>
        <v>TOWING- UNIT 602</v>
      </c>
    </row>
    <row r="3233" spans="1:9" x14ac:dyDescent="0.25">
      <c r="A3233" s="6">
        <v>43964</v>
      </c>
      <c r="B3233" t="s">
        <v>26</v>
      </c>
      <c r="C3233">
        <v>64017</v>
      </c>
      <c r="D3233" t="s">
        <v>398</v>
      </c>
      <c r="E3233" s="7">
        <v>49</v>
      </c>
      <c r="F3233" t="s">
        <v>20</v>
      </c>
      <c r="G3233" t="s">
        <v>21</v>
      </c>
      <c r="H3233" t="str">
        <f>"1665"</f>
        <v>1665</v>
      </c>
      <c r="I3233" t="str">
        <f>"INTERCEPTOR TECHNOLOGY GROUP L"</f>
        <v>INTERCEPTOR TECHNOLOGY GROUP L</v>
      </c>
    </row>
    <row r="3234" spans="1:9" x14ac:dyDescent="0.25">
      <c r="A3234" s="6">
        <v>43964</v>
      </c>
      <c r="B3234" t="s">
        <v>26</v>
      </c>
      <c r="C3234">
        <v>64018</v>
      </c>
      <c r="D3234" t="s">
        <v>644</v>
      </c>
      <c r="E3234" s="7">
        <v>986.25</v>
      </c>
      <c r="F3234" t="s">
        <v>20</v>
      </c>
      <c r="G3234" t="s">
        <v>21</v>
      </c>
      <c r="H3234" t="str">
        <f>"8213401925-3"</f>
        <v>8213401925-3</v>
      </c>
      <c r="I3234" t="str">
        <f t="shared" ref="I3234:I3246" si="58">"UNIFIRST CORPORATION"</f>
        <v>UNIFIRST CORPORATION</v>
      </c>
    </row>
    <row r="3235" spans="1:9" x14ac:dyDescent="0.25">
      <c r="E3235" s="7"/>
      <c r="F3235" t="s">
        <v>20</v>
      </c>
      <c r="G3235" t="s">
        <v>21</v>
      </c>
      <c r="H3235" t="str">
        <f>"8213443632"</f>
        <v>8213443632</v>
      </c>
      <c r="I3235" t="str">
        <f t="shared" si="58"/>
        <v>UNIFIRST CORPORATION</v>
      </c>
    </row>
    <row r="3236" spans="1:9" x14ac:dyDescent="0.25">
      <c r="E3236" s="7"/>
      <c r="F3236" t="s">
        <v>20</v>
      </c>
      <c r="G3236" t="s">
        <v>21</v>
      </c>
      <c r="H3236" t="str">
        <f>"8213457004"</f>
        <v>8213457004</v>
      </c>
      <c r="I3236" t="str">
        <f t="shared" si="58"/>
        <v>UNIFIRST CORPORATION</v>
      </c>
    </row>
    <row r="3237" spans="1:9" x14ac:dyDescent="0.25">
      <c r="E3237" s="7"/>
      <c r="F3237" t="s">
        <v>20</v>
      </c>
      <c r="G3237" t="s">
        <v>21</v>
      </c>
      <c r="H3237" t="str">
        <f>"8213457005"</f>
        <v>8213457005</v>
      </c>
      <c r="I3237" t="str">
        <f t="shared" si="58"/>
        <v>UNIFIRST CORPORATION</v>
      </c>
    </row>
    <row r="3238" spans="1:9" x14ac:dyDescent="0.25">
      <c r="E3238" s="7"/>
      <c r="F3238" t="s">
        <v>20</v>
      </c>
      <c r="G3238" t="s">
        <v>21</v>
      </c>
      <c r="H3238" t="str">
        <f>"8213457006"</f>
        <v>8213457006</v>
      </c>
      <c r="I3238" t="str">
        <f t="shared" si="58"/>
        <v>UNIFIRST CORPORATION</v>
      </c>
    </row>
    <row r="3239" spans="1:9" x14ac:dyDescent="0.25">
      <c r="E3239" s="7"/>
      <c r="F3239" t="s">
        <v>20</v>
      </c>
      <c r="G3239" t="s">
        <v>21</v>
      </c>
      <c r="H3239" t="str">
        <f>"8213457007"</f>
        <v>8213457007</v>
      </c>
      <c r="I3239" t="str">
        <f t="shared" si="58"/>
        <v>UNIFIRST CORPORATION</v>
      </c>
    </row>
    <row r="3240" spans="1:9" x14ac:dyDescent="0.25">
      <c r="E3240" s="7"/>
      <c r="F3240" t="s">
        <v>20</v>
      </c>
      <c r="G3240" t="s">
        <v>21</v>
      </c>
      <c r="H3240" t="str">
        <f>"8213457008"</f>
        <v>8213457008</v>
      </c>
      <c r="I3240" t="str">
        <f t="shared" si="58"/>
        <v>UNIFIRST CORPORATION</v>
      </c>
    </row>
    <row r="3241" spans="1:9" x14ac:dyDescent="0.25">
      <c r="E3241" s="7"/>
      <c r="F3241" t="s">
        <v>20</v>
      </c>
      <c r="G3241" t="s">
        <v>21</v>
      </c>
      <c r="H3241" t="str">
        <f>"8213459670"</f>
        <v>8213459670</v>
      </c>
      <c r="I3241" t="str">
        <f t="shared" si="58"/>
        <v>UNIFIRST CORPORATION</v>
      </c>
    </row>
    <row r="3242" spans="1:9" x14ac:dyDescent="0.25">
      <c r="E3242" s="7"/>
      <c r="F3242" t="s">
        <v>20</v>
      </c>
      <c r="G3242" t="s">
        <v>21</v>
      </c>
      <c r="H3242" t="str">
        <f>"8213459671"</f>
        <v>8213459671</v>
      </c>
      <c r="I3242" t="str">
        <f t="shared" si="58"/>
        <v>UNIFIRST CORPORATION</v>
      </c>
    </row>
    <row r="3243" spans="1:9" x14ac:dyDescent="0.25">
      <c r="E3243" s="7"/>
      <c r="F3243" t="s">
        <v>20</v>
      </c>
      <c r="G3243" t="s">
        <v>21</v>
      </c>
      <c r="H3243" t="str">
        <f>"8213459672"</f>
        <v>8213459672</v>
      </c>
      <c r="I3243" t="str">
        <f t="shared" si="58"/>
        <v>UNIFIRST CORPORATION</v>
      </c>
    </row>
    <row r="3244" spans="1:9" x14ac:dyDescent="0.25">
      <c r="E3244" s="7"/>
      <c r="F3244" t="s">
        <v>20</v>
      </c>
      <c r="G3244" t="s">
        <v>21</v>
      </c>
      <c r="H3244" t="str">
        <f>"8213459673"</f>
        <v>8213459673</v>
      </c>
      <c r="I3244" t="str">
        <f t="shared" si="58"/>
        <v>UNIFIRST CORPORATION</v>
      </c>
    </row>
    <row r="3245" spans="1:9" x14ac:dyDescent="0.25">
      <c r="E3245" s="7"/>
      <c r="F3245" t="s">
        <v>20</v>
      </c>
      <c r="G3245" t="s">
        <v>21</v>
      </c>
      <c r="H3245" t="str">
        <f>"8213459674"</f>
        <v>8213459674</v>
      </c>
      <c r="I3245" t="str">
        <f t="shared" si="58"/>
        <v>UNIFIRST CORPORATION</v>
      </c>
    </row>
    <row r="3246" spans="1:9" x14ac:dyDescent="0.25">
      <c r="E3246" s="7"/>
      <c r="F3246" t="s">
        <v>20</v>
      </c>
      <c r="G3246" t="s">
        <v>21</v>
      </c>
      <c r="H3246" t="str">
        <f>"8213459675"</f>
        <v>8213459675</v>
      </c>
      <c r="I3246" t="str">
        <f t="shared" si="58"/>
        <v>UNIFIRST CORPORATION</v>
      </c>
    </row>
    <row r="3247" spans="1:9" x14ac:dyDescent="0.25">
      <c r="A3247" s="6">
        <v>43964</v>
      </c>
      <c r="B3247" t="s">
        <v>26</v>
      </c>
      <c r="C3247">
        <v>64021</v>
      </c>
      <c r="D3247" t="s">
        <v>647</v>
      </c>
      <c r="E3247" s="7">
        <v>4083.49</v>
      </c>
      <c r="F3247" t="s">
        <v>20</v>
      </c>
      <c r="G3247" t="s">
        <v>21</v>
      </c>
      <c r="H3247" t="str">
        <f>"26846847"</f>
        <v>26846847</v>
      </c>
      <c r="I3247" t="str">
        <f>"DOCUMATION  INC."</f>
        <v>DOCUMATION  INC.</v>
      </c>
    </row>
    <row r="3248" spans="1:9" x14ac:dyDescent="0.25">
      <c r="E3248" s="7"/>
      <c r="F3248" t="s">
        <v>20</v>
      </c>
      <c r="G3248" t="s">
        <v>21</v>
      </c>
      <c r="H3248" t="str">
        <f>"27013666"</f>
        <v>27013666</v>
      </c>
      <c r="I3248" t="str">
        <f>"DOCUMATION  INC."</f>
        <v>DOCUMATION  INC.</v>
      </c>
    </row>
    <row r="3249" spans="1:9" x14ac:dyDescent="0.25">
      <c r="A3249" s="6">
        <v>43964</v>
      </c>
      <c r="B3249" t="s">
        <v>26</v>
      </c>
      <c r="C3249">
        <v>64022</v>
      </c>
      <c r="D3249" t="s">
        <v>915</v>
      </c>
      <c r="E3249" s="7">
        <v>178.48</v>
      </c>
      <c r="F3249" t="s">
        <v>20</v>
      </c>
      <c r="G3249" t="s">
        <v>21</v>
      </c>
      <c r="H3249" t="str">
        <f>"7973076"</f>
        <v>7973076</v>
      </c>
      <c r="I3249" t="str">
        <f>"COVID-19 PD COVERALLS"</f>
        <v>COVID-19 PD COVERALLS</v>
      </c>
    </row>
    <row r="3250" spans="1:9" x14ac:dyDescent="0.25">
      <c r="A3250" s="6">
        <v>43965</v>
      </c>
      <c r="B3250" t="s">
        <v>91</v>
      </c>
      <c r="C3250">
        <v>64023</v>
      </c>
      <c r="D3250" t="s">
        <v>152</v>
      </c>
      <c r="E3250" s="7">
        <v>216</v>
      </c>
      <c r="F3250" t="s">
        <v>20</v>
      </c>
      <c r="G3250" t="s">
        <v>21</v>
      </c>
      <c r="H3250" t="str">
        <f>"1905-01260"</f>
        <v>1905-01260</v>
      </c>
      <c r="I3250" t="str">
        <f>"81ST DISTRICT ATTORNEY"</f>
        <v>81ST DISTRICT ATTORNEY</v>
      </c>
    </row>
    <row r="3251" spans="1:9" x14ac:dyDescent="0.25">
      <c r="A3251" s="6">
        <v>43965</v>
      </c>
      <c r="B3251" t="s">
        <v>91</v>
      </c>
      <c r="C3251">
        <v>64023</v>
      </c>
      <c r="D3251" t="s">
        <v>152</v>
      </c>
      <c r="E3251" s="7">
        <v>216</v>
      </c>
      <c r="F3251" t="s">
        <v>20</v>
      </c>
      <c r="G3251" t="s">
        <v>93</v>
      </c>
      <c r="H3251" t="str">
        <f>"CHECK"</f>
        <v>CHECK</v>
      </c>
      <c r="I3251" t="str">
        <f>""</f>
        <v/>
      </c>
    </row>
    <row r="3252" spans="1:9" x14ac:dyDescent="0.25">
      <c r="A3252" s="6">
        <v>43965</v>
      </c>
      <c r="B3252" t="s">
        <v>26</v>
      </c>
      <c r="C3252">
        <v>64024</v>
      </c>
      <c r="D3252" t="s">
        <v>81</v>
      </c>
      <c r="E3252" s="7">
        <v>227.91</v>
      </c>
      <c r="F3252" t="s">
        <v>20</v>
      </c>
      <c r="G3252" t="s">
        <v>21</v>
      </c>
      <c r="H3252" t="str">
        <f>"A.MONTOYA 5/15/20"</f>
        <v>A.MONTOYA 5/15/20</v>
      </c>
      <c r="I3252" t="str">
        <f>"CITY OF FLORESVILLE -PETTY CAS"</f>
        <v>CITY OF FLORESVILLE -PETTY CAS</v>
      </c>
    </row>
    <row r="3253" spans="1:9" x14ac:dyDescent="0.25">
      <c r="A3253" s="6">
        <v>43965</v>
      </c>
      <c r="B3253" t="s">
        <v>26</v>
      </c>
      <c r="C3253">
        <v>64025</v>
      </c>
      <c r="D3253" t="s">
        <v>346</v>
      </c>
      <c r="E3253" s="7">
        <v>13750</v>
      </c>
      <c r="F3253" t="s">
        <v>20</v>
      </c>
      <c r="G3253" t="s">
        <v>21</v>
      </c>
      <c r="H3253" t="str">
        <f>"4/11-5/11/2020"</f>
        <v>4/11-5/11/2020</v>
      </c>
      <c r="I3253" t="str">
        <f>"SYLVIA RODRIGUEZ"</f>
        <v>SYLVIA RODRIGUEZ</v>
      </c>
    </row>
    <row r="3254" spans="1:9" x14ac:dyDescent="0.25">
      <c r="A3254" s="6">
        <v>43965</v>
      </c>
      <c r="B3254" t="s">
        <v>91</v>
      </c>
      <c r="C3254">
        <v>64026</v>
      </c>
      <c r="D3254" t="s">
        <v>874</v>
      </c>
      <c r="E3254" s="7">
        <v>8052</v>
      </c>
      <c r="F3254" t="s">
        <v>20</v>
      </c>
      <c r="G3254" t="s">
        <v>21</v>
      </c>
      <c r="H3254" t="str">
        <f>"3/12-4/30-2020"</f>
        <v>3/12-4/30-2020</v>
      </c>
      <c r="I3254" t="str">
        <f>"GARZA GOLANDO MORAN"</f>
        <v>GARZA GOLANDO MORAN</v>
      </c>
    </row>
    <row r="3255" spans="1:9" x14ac:dyDescent="0.25">
      <c r="A3255" s="6">
        <v>43965</v>
      </c>
      <c r="B3255" t="s">
        <v>91</v>
      </c>
      <c r="C3255">
        <v>64026</v>
      </c>
      <c r="D3255" t="s">
        <v>874</v>
      </c>
      <c r="E3255" s="7">
        <v>8052</v>
      </c>
      <c r="F3255" t="s">
        <v>20</v>
      </c>
      <c r="G3255" t="s">
        <v>93</v>
      </c>
      <c r="H3255" t="str">
        <f>"CHECK"</f>
        <v>CHECK</v>
      </c>
      <c r="I3255" t="str">
        <f>""</f>
        <v/>
      </c>
    </row>
    <row r="3256" spans="1:9" x14ac:dyDescent="0.25">
      <c r="A3256" s="6">
        <v>43965</v>
      </c>
      <c r="B3256" t="s">
        <v>26</v>
      </c>
      <c r="C3256">
        <v>64027</v>
      </c>
      <c r="D3256" t="s">
        <v>152</v>
      </c>
      <c r="E3256" s="7">
        <v>216</v>
      </c>
      <c r="F3256" t="s">
        <v>20</v>
      </c>
      <c r="G3256" t="s">
        <v>21</v>
      </c>
      <c r="H3256" t="str">
        <f>"1905-01260*"</f>
        <v>1905-01260*</v>
      </c>
      <c r="I3256" t="str">
        <f>"81ST DISTRICT ATTORNEY"</f>
        <v>81ST DISTRICT ATTORNEY</v>
      </c>
    </row>
    <row r="3257" spans="1:9" x14ac:dyDescent="0.25">
      <c r="A3257" s="6">
        <v>43970</v>
      </c>
      <c r="B3257" t="s">
        <v>26</v>
      </c>
      <c r="C3257">
        <v>64036</v>
      </c>
      <c r="D3257" t="s">
        <v>51</v>
      </c>
      <c r="E3257" s="7">
        <v>346.31</v>
      </c>
      <c r="F3257" t="s">
        <v>20</v>
      </c>
      <c r="G3257" t="s">
        <v>21</v>
      </c>
      <c r="H3257" t="str">
        <f>"CLE202005198572"</f>
        <v>CLE202005198572</v>
      </c>
      <c r="I3257" t="str">
        <f>"CLEAT ONLY DUES"</f>
        <v>CLEAT ONLY DUES</v>
      </c>
    </row>
    <row r="3258" spans="1:9" x14ac:dyDescent="0.25">
      <c r="E3258" s="7"/>
      <c r="F3258" t="s">
        <v>20</v>
      </c>
      <c r="G3258" t="s">
        <v>21</v>
      </c>
      <c r="H3258" t="str">
        <f>"PDD202005198572"</f>
        <v>PDD202005198572</v>
      </c>
      <c r="I3258" t="str">
        <f>"POLICE OFFICERS ASSOC DUES"</f>
        <v>POLICE OFFICERS ASSOC DUES</v>
      </c>
    </row>
    <row r="3259" spans="1:9" x14ac:dyDescent="0.25">
      <c r="A3259" s="6">
        <v>43970</v>
      </c>
      <c r="B3259" t="s">
        <v>91</v>
      </c>
      <c r="C3259">
        <v>64037</v>
      </c>
      <c r="D3259" t="s">
        <v>90</v>
      </c>
      <c r="E3259" s="7">
        <v>101.1</v>
      </c>
      <c r="F3259" t="s">
        <v>20</v>
      </c>
      <c r="G3259" t="s">
        <v>21</v>
      </c>
      <c r="H3259" t="str">
        <f>"AFS202005198572"</f>
        <v>AFS202005198572</v>
      </c>
      <c r="I3259" t="str">
        <f>"AFLAC STD"</f>
        <v>AFLAC STD</v>
      </c>
    </row>
    <row r="3260" spans="1:9" x14ac:dyDescent="0.25">
      <c r="A3260" s="6">
        <v>43970</v>
      </c>
      <c r="B3260" t="s">
        <v>91</v>
      </c>
      <c r="C3260">
        <v>64037</v>
      </c>
      <c r="D3260" t="s">
        <v>90</v>
      </c>
      <c r="E3260" s="7">
        <v>101.1</v>
      </c>
      <c r="F3260" t="s">
        <v>20</v>
      </c>
      <c r="G3260" t="s">
        <v>93</v>
      </c>
      <c r="H3260" t="str">
        <f>"CHECK"</f>
        <v>CHECK</v>
      </c>
      <c r="I3260" t="str">
        <f>""</f>
        <v/>
      </c>
    </row>
    <row r="3261" spans="1:9" x14ac:dyDescent="0.25">
      <c r="A3261" s="6">
        <v>43970</v>
      </c>
      <c r="B3261" t="s">
        <v>26</v>
      </c>
      <c r="C3261">
        <v>64038</v>
      </c>
      <c r="D3261" t="s">
        <v>52</v>
      </c>
      <c r="E3261" s="7">
        <v>971.53</v>
      </c>
      <c r="F3261" t="s">
        <v>20</v>
      </c>
      <c r="G3261" t="s">
        <v>21</v>
      </c>
      <c r="H3261" t="str">
        <f>"CA1202005198572"</f>
        <v>CA1202005198572</v>
      </c>
      <c r="I3261" t="str">
        <f>"K RAMIREZ 001200229510060343CV"</f>
        <v>K RAMIREZ 001200229510060343CV</v>
      </c>
    </row>
    <row r="3262" spans="1:9" x14ac:dyDescent="0.25">
      <c r="E3262" s="7"/>
      <c r="F3262" t="s">
        <v>20</v>
      </c>
      <c r="G3262" t="s">
        <v>21</v>
      </c>
      <c r="H3262" t="str">
        <f>"CA2202005198572"</f>
        <v>CA2202005198572</v>
      </c>
      <c r="I3262" t="str">
        <f>"L HERNANDEZ 001016025203080354"</f>
        <v>L HERNANDEZ 001016025203080354</v>
      </c>
    </row>
    <row r="3263" spans="1:9" x14ac:dyDescent="0.25">
      <c r="E3263" s="7"/>
      <c r="F3263" t="s">
        <v>20</v>
      </c>
      <c r="G3263" t="s">
        <v>21</v>
      </c>
      <c r="H3263" t="str">
        <f>"CPS202005198572"</f>
        <v>CPS202005198572</v>
      </c>
      <c r="I3263" t="str">
        <f>"G MENDOZA 00123012032010EM5054"</f>
        <v>G MENDOZA 00123012032010EM5054</v>
      </c>
    </row>
    <row r="3264" spans="1:9" x14ac:dyDescent="0.25">
      <c r="E3264" s="7"/>
      <c r="F3264" t="s">
        <v>20</v>
      </c>
      <c r="G3264" t="s">
        <v>21</v>
      </c>
      <c r="H3264" t="str">
        <f>"CS 202005198572"</f>
        <v>CS 202005198572</v>
      </c>
      <c r="I3264" t="str">
        <f>"CAUSE#98EM504113 PEGGY RIVAS"</f>
        <v>CAUSE#98EM504113 PEGGY RIVAS</v>
      </c>
    </row>
    <row r="3265" spans="1:9" x14ac:dyDescent="0.25">
      <c r="E3265" s="7"/>
      <c r="F3265" t="s">
        <v>20</v>
      </c>
      <c r="G3265" t="s">
        <v>21</v>
      </c>
      <c r="H3265" t="str">
        <f>"CSA202005198572"</f>
        <v>CSA202005198572</v>
      </c>
      <c r="I3265" t="str">
        <f>"S RODRIGUEZ 001281730413050336"</f>
        <v>S RODRIGUEZ 001281730413050336</v>
      </c>
    </row>
    <row r="3266" spans="1:9" x14ac:dyDescent="0.25">
      <c r="A3266" s="6">
        <v>43970</v>
      </c>
      <c r="B3266" t="s">
        <v>91</v>
      </c>
      <c r="C3266">
        <v>64039</v>
      </c>
      <c r="D3266" t="s">
        <v>54</v>
      </c>
      <c r="E3266" s="7">
        <v>1348.57</v>
      </c>
      <c r="F3266" t="s">
        <v>20</v>
      </c>
      <c r="G3266" t="s">
        <v>21</v>
      </c>
      <c r="H3266" t="str">
        <f>"457202005198572"</f>
        <v>457202005198572</v>
      </c>
      <c r="I3266" t="str">
        <f>"CASE # 180-60751 457B DEDUCT"</f>
        <v>CASE # 180-60751 457B DEDUCT</v>
      </c>
    </row>
    <row r="3267" spans="1:9" x14ac:dyDescent="0.25">
      <c r="A3267" s="6">
        <v>43970</v>
      </c>
      <c r="B3267" t="s">
        <v>91</v>
      </c>
      <c r="C3267">
        <v>64039</v>
      </c>
      <c r="D3267" t="s">
        <v>54</v>
      </c>
      <c r="E3267" s="7">
        <v>1348.57</v>
      </c>
      <c r="F3267" t="s">
        <v>20</v>
      </c>
      <c r="G3267" t="s">
        <v>93</v>
      </c>
      <c r="H3267" t="str">
        <f>"CHECK"</f>
        <v>CHECK</v>
      </c>
      <c r="I3267" t="str">
        <f>""</f>
        <v/>
      </c>
    </row>
    <row r="3268" spans="1:9" x14ac:dyDescent="0.25">
      <c r="A3268" s="6">
        <v>43971</v>
      </c>
      <c r="B3268" t="s">
        <v>26</v>
      </c>
      <c r="C3268">
        <v>64040</v>
      </c>
      <c r="D3268" t="s">
        <v>107</v>
      </c>
      <c r="E3268" s="7">
        <v>99.04</v>
      </c>
      <c r="F3268" t="s">
        <v>20</v>
      </c>
      <c r="G3268" t="s">
        <v>21</v>
      </c>
      <c r="H3268" t="str">
        <f>"1166960-20200229"</f>
        <v>1166960-20200229</v>
      </c>
      <c r="I3268" t="str">
        <f>"LEXISNEXIS RISK SOLUTIONS"</f>
        <v>LEXISNEXIS RISK SOLUTIONS</v>
      </c>
    </row>
    <row r="3269" spans="1:9" x14ac:dyDescent="0.25">
      <c r="A3269" s="6">
        <v>43971</v>
      </c>
      <c r="B3269" t="s">
        <v>26</v>
      </c>
      <c r="C3269">
        <v>64041</v>
      </c>
      <c r="D3269" t="s">
        <v>916</v>
      </c>
      <c r="E3269" s="7">
        <v>1275</v>
      </c>
      <c r="F3269" t="s">
        <v>20</v>
      </c>
      <c r="G3269" t="s">
        <v>21</v>
      </c>
      <c r="H3269" t="str">
        <f>"4"</f>
        <v>4</v>
      </c>
      <c r="I3269" t="str">
        <f>"ROLANDO L. RIOS  ESQ."</f>
        <v>ROLANDO L. RIOS  ESQ.</v>
      </c>
    </row>
    <row r="3270" spans="1:9" x14ac:dyDescent="0.25">
      <c r="A3270" s="6">
        <v>43971</v>
      </c>
      <c r="B3270" t="s">
        <v>26</v>
      </c>
      <c r="C3270">
        <v>64042</v>
      </c>
      <c r="D3270" t="s">
        <v>117</v>
      </c>
      <c r="E3270" s="7">
        <v>1487.95</v>
      </c>
      <c r="F3270" t="s">
        <v>20</v>
      </c>
      <c r="G3270" t="s">
        <v>21</v>
      </c>
      <c r="H3270" t="str">
        <f>"APRIL 2020"</f>
        <v>APRIL 2020</v>
      </c>
      <c r="I3270" t="str">
        <f>"LINEBARGER GOGGAN BLAIR &amp; SAMP"</f>
        <v>LINEBARGER GOGGAN BLAIR &amp; SAMP</v>
      </c>
    </row>
    <row r="3271" spans="1:9" x14ac:dyDescent="0.25">
      <c r="A3271" s="6">
        <v>43971</v>
      </c>
      <c r="B3271" t="s">
        <v>26</v>
      </c>
      <c r="C3271">
        <v>64043</v>
      </c>
      <c r="D3271" t="s">
        <v>66</v>
      </c>
      <c r="E3271" s="7">
        <v>50</v>
      </c>
      <c r="F3271" t="s">
        <v>20</v>
      </c>
      <c r="G3271" t="s">
        <v>21</v>
      </c>
      <c r="H3271" t="str">
        <f>"57966"</f>
        <v>57966</v>
      </c>
      <c r="I3271" t="str">
        <f>"LOPEZ EXTERMINATING SERVICE  I"</f>
        <v>LOPEZ EXTERMINATING SERVICE  I</v>
      </c>
    </row>
    <row r="3272" spans="1:9" x14ac:dyDescent="0.25">
      <c r="A3272" s="6">
        <v>43971</v>
      </c>
      <c r="B3272" t="s">
        <v>26</v>
      </c>
      <c r="C3272">
        <v>64044</v>
      </c>
      <c r="D3272" t="s">
        <v>71</v>
      </c>
      <c r="E3272" s="7">
        <v>1167.3900000000001</v>
      </c>
      <c r="F3272" t="s">
        <v>20</v>
      </c>
      <c r="G3272" t="s">
        <v>21</v>
      </c>
      <c r="H3272" t="str">
        <f>"4050083016"</f>
        <v>4050083016</v>
      </c>
      <c r="I3272" t="str">
        <f t="shared" ref="I3272:I3277" si="59">"CINTAS CORPORATION #087"</f>
        <v>CINTAS CORPORATION #087</v>
      </c>
    </row>
    <row r="3273" spans="1:9" x14ac:dyDescent="0.25">
      <c r="E3273" s="7"/>
      <c r="F3273" t="s">
        <v>20</v>
      </c>
      <c r="G3273" t="s">
        <v>21</v>
      </c>
      <c r="H3273" t="str">
        <f>"4050083020"</f>
        <v>4050083020</v>
      </c>
      <c r="I3273" t="str">
        <f t="shared" si="59"/>
        <v>CINTAS CORPORATION #087</v>
      </c>
    </row>
    <row r="3274" spans="1:9" x14ac:dyDescent="0.25">
      <c r="E3274" s="7"/>
      <c r="F3274" t="s">
        <v>20</v>
      </c>
      <c r="G3274" t="s">
        <v>21</v>
      </c>
      <c r="H3274" t="str">
        <f>"4050083055"</f>
        <v>4050083055</v>
      </c>
      <c r="I3274" t="str">
        <f t="shared" si="59"/>
        <v>CINTAS CORPORATION #087</v>
      </c>
    </row>
    <row r="3275" spans="1:9" x14ac:dyDescent="0.25">
      <c r="E3275" s="7"/>
      <c r="F3275" t="s">
        <v>20</v>
      </c>
      <c r="G3275" t="s">
        <v>21</v>
      </c>
      <c r="H3275" t="str">
        <f>"4050083060"</f>
        <v>4050083060</v>
      </c>
      <c r="I3275" t="str">
        <f t="shared" si="59"/>
        <v>CINTAS CORPORATION #087</v>
      </c>
    </row>
    <row r="3276" spans="1:9" x14ac:dyDescent="0.25">
      <c r="E3276" s="7"/>
      <c r="F3276" t="s">
        <v>20</v>
      </c>
      <c r="G3276" t="s">
        <v>21</v>
      </c>
      <c r="H3276" t="str">
        <f>"4050083065"</f>
        <v>4050083065</v>
      </c>
      <c r="I3276" t="str">
        <f t="shared" si="59"/>
        <v>CINTAS CORPORATION #087</v>
      </c>
    </row>
    <row r="3277" spans="1:9" x14ac:dyDescent="0.25">
      <c r="E3277" s="7"/>
      <c r="F3277" t="s">
        <v>20</v>
      </c>
      <c r="G3277" t="s">
        <v>21</v>
      </c>
      <c r="H3277" t="str">
        <f>"4050083107"</f>
        <v>4050083107</v>
      </c>
      <c r="I3277" t="str">
        <f t="shared" si="59"/>
        <v>CINTAS CORPORATION #087</v>
      </c>
    </row>
    <row r="3278" spans="1:9" x14ac:dyDescent="0.25">
      <c r="A3278" s="6">
        <v>43971</v>
      </c>
      <c r="B3278" t="s">
        <v>26</v>
      </c>
      <c r="C3278">
        <v>64045</v>
      </c>
      <c r="D3278" t="s">
        <v>126</v>
      </c>
      <c r="E3278" s="7">
        <v>244.28</v>
      </c>
      <c r="F3278" t="s">
        <v>20</v>
      </c>
      <c r="G3278" t="s">
        <v>21</v>
      </c>
      <c r="H3278" t="str">
        <f>"0859-002544222"</f>
        <v>0859-002544222</v>
      </c>
      <c r="I3278" t="str">
        <f>"REPUBLIC SERVICES #859"</f>
        <v>REPUBLIC SERVICES #859</v>
      </c>
    </row>
    <row r="3279" spans="1:9" x14ac:dyDescent="0.25">
      <c r="A3279" s="6">
        <v>43971</v>
      </c>
      <c r="B3279" t="s">
        <v>26</v>
      </c>
      <c r="C3279">
        <v>64046</v>
      </c>
      <c r="D3279" t="s">
        <v>79</v>
      </c>
      <c r="E3279" s="7">
        <v>56.38</v>
      </c>
      <c r="F3279" t="s">
        <v>20</v>
      </c>
      <c r="G3279" t="s">
        <v>21</v>
      </c>
      <c r="H3279" t="str">
        <f>"7-004-86358"</f>
        <v>7-004-86358</v>
      </c>
      <c r="I3279" t="str">
        <f>"FEDEX"</f>
        <v>FEDEX</v>
      </c>
    </row>
    <row r="3280" spans="1:9" x14ac:dyDescent="0.25">
      <c r="A3280" s="6">
        <v>43971</v>
      </c>
      <c r="B3280" t="s">
        <v>26</v>
      </c>
      <c r="C3280">
        <v>64047</v>
      </c>
      <c r="D3280" t="s">
        <v>80</v>
      </c>
      <c r="E3280" s="7">
        <v>750</v>
      </c>
      <c r="F3280" t="s">
        <v>20</v>
      </c>
      <c r="G3280" t="s">
        <v>21</v>
      </c>
      <c r="H3280" t="str">
        <f>"1648-20200501-1"</f>
        <v>1648-20200501-1</v>
      </c>
      <c r="I3280" t="str">
        <f>"LVWIFI.COM"</f>
        <v>LVWIFI.COM</v>
      </c>
    </row>
    <row r="3281" spans="1:9" x14ac:dyDescent="0.25">
      <c r="A3281" s="6">
        <v>43971</v>
      </c>
      <c r="B3281" t="s">
        <v>26</v>
      </c>
      <c r="C3281">
        <v>64048</v>
      </c>
      <c r="D3281" t="s">
        <v>85</v>
      </c>
      <c r="E3281" s="7">
        <v>104.18</v>
      </c>
      <c r="F3281" t="s">
        <v>20</v>
      </c>
      <c r="G3281" t="s">
        <v>21</v>
      </c>
      <c r="H3281" t="str">
        <f>"3938193 MAY 2020"</f>
        <v>3938193 MAY 2020</v>
      </c>
      <c r="I3281" t="str">
        <f>"FRONTIER"</f>
        <v>FRONTIER</v>
      </c>
    </row>
    <row r="3282" spans="1:9" x14ac:dyDescent="0.25">
      <c r="A3282" s="6">
        <v>43971</v>
      </c>
      <c r="B3282" t="s">
        <v>26</v>
      </c>
      <c r="C3282">
        <v>64049</v>
      </c>
      <c r="D3282" t="s">
        <v>345</v>
      </c>
      <c r="E3282" s="7">
        <v>352</v>
      </c>
      <c r="F3282" t="s">
        <v>20</v>
      </c>
      <c r="G3282" t="s">
        <v>21</v>
      </c>
      <c r="H3282" t="str">
        <f>"5/19/2020"</f>
        <v>5/19/2020</v>
      </c>
      <c r="I3282" t="str">
        <f>"MICHAEL ISAAC MARTINEZ"</f>
        <v>MICHAEL ISAAC MARTINEZ</v>
      </c>
    </row>
    <row r="3283" spans="1:9" x14ac:dyDescent="0.25">
      <c r="A3283" s="6">
        <v>43971</v>
      </c>
      <c r="B3283" t="s">
        <v>26</v>
      </c>
      <c r="C3283">
        <v>64050</v>
      </c>
      <c r="D3283" t="s">
        <v>874</v>
      </c>
      <c r="E3283" s="7">
        <v>8052</v>
      </c>
      <c r="F3283" t="s">
        <v>20</v>
      </c>
      <c r="G3283" t="s">
        <v>21</v>
      </c>
      <c r="H3283" t="str">
        <f>"3/11-04/30/2020"</f>
        <v>3/11-04/30/2020</v>
      </c>
      <c r="I3283" t="str">
        <f>"GARZA GOLANDO MORAN"</f>
        <v>GARZA GOLANDO MORAN</v>
      </c>
    </row>
    <row r="3284" spans="1:9" x14ac:dyDescent="0.25">
      <c r="A3284" s="6">
        <v>43971</v>
      </c>
      <c r="B3284" t="s">
        <v>26</v>
      </c>
      <c r="C3284">
        <v>64051</v>
      </c>
      <c r="D3284" t="s">
        <v>92</v>
      </c>
      <c r="E3284" s="7">
        <v>40557.81</v>
      </c>
      <c r="F3284" t="s">
        <v>20</v>
      </c>
      <c r="G3284" t="s">
        <v>21</v>
      </c>
      <c r="H3284" t="str">
        <f>"APRIL 2020"</f>
        <v>APRIL 2020</v>
      </c>
      <c r="I3284" t="str">
        <f>"TEXAS MUNICIPAL RETIREMENT SYS"</f>
        <v>TEXAS MUNICIPAL RETIREMENT SYS</v>
      </c>
    </row>
    <row r="3285" spans="1:9" x14ac:dyDescent="0.25">
      <c r="A3285" s="6">
        <v>43971</v>
      </c>
      <c r="B3285" t="s">
        <v>26</v>
      </c>
      <c r="C3285">
        <v>64053</v>
      </c>
      <c r="D3285" t="s">
        <v>191</v>
      </c>
      <c r="E3285" s="7">
        <v>1615.7</v>
      </c>
      <c r="F3285" t="s">
        <v>20</v>
      </c>
      <c r="G3285" t="s">
        <v>21</v>
      </c>
      <c r="H3285" t="str">
        <f>"INV06-008619*"</f>
        <v>INV06-008619*</v>
      </c>
      <c r="I3285" t="str">
        <f>"MUNISERVICES  LLC"</f>
        <v>MUNISERVICES  LLC</v>
      </c>
    </row>
    <row r="3286" spans="1:9" x14ac:dyDescent="0.25">
      <c r="A3286" s="6">
        <v>43972</v>
      </c>
      <c r="B3286" t="s">
        <v>26</v>
      </c>
      <c r="C3286">
        <v>64054</v>
      </c>
      <c r="D3286" t="s">
        <v>103</v>
      </c>
      <c r="E3286" s="7">
        <v>85927.63</v>
      </c>
      <c r="F3286" t="s">
        <v>20</v>
      </c>
      <c r="G3286" t="s">
        <v>21</v>
      </c>
      <c r="H3286" t="str">
        <f>"MAY 2020 SALES TX"</f>
        <v>MAY 2020 SALES TX</v>
      </c>
      <c r="I3286" t="str">
        <f>"F. E. D. C."</f>
        <v>F. E. D. C.</v>
      </c>
    </row>
    <row r="3287" spans="1:9" x14ac:dyDescent="0.25">
      <c r="A3287" s="6">
        <v>43978</v>
      </c>
      <c r="B3287" t="s">
        <v>26</v>
      </c>
      <c r="C3287">
        <v>64056</v>
      </c>
      <c r="D3287" t="s">
        <v>386</v>
      </c>
      <c r="E3287" s="7">
        <v>1124</v>
      </c>
      <c r="F3287" t="s">
        <v>20</v>
      </c>
      <c r="G3287" t="s">
        <v>21</v>
      </c>
      <c r="H3287" t="str">
        <f>"REISSUE BCA 5.27"</f>
        <v>REISSUE BCA 5.27</v>
      </c>
      <c r="I3287" t="str">
        <f>"HENRIETTA TURNER"</f>
        <v>HENRIETTA TURNER</v>
      </c>
    </row>
    <row r="3288" spans="1:9" x14ac:dyDescent="0.25">
      <c r="A3288" s="6">
        <v>43979</v>
      </c>
      <c r="B3288" t="s">
        <v>26</v>
      </c>
      <c r="C3288">
        <v>64057</v>
      </c>
      <c r="D3288" t="s">
        <v>102</v>
      </c>
      <c r="E3288" s="7">
        <v>93.53</v>
      </c>
      <c r="F3288" t="s">
        <v>20</v>
      </c>
      <c r="G3288" t="s">
        <v>21</v>
      </c>
      <c r="H3288" t="str">
        <f>"1120 D. ST MAY2020"</f>
        <v>1120 D. ST MAY2020</v>
      </c>
      <c r="I3288" t="str">
        <f>"CENTERPOINT ENERGY ENTEX"</f>
        <v>CENTERPOINT ENERGY ENTEX</v>
      </c>
    </row>
    <row r="3289" spans="1:9" x14ac:dyDescent="0.25">
      <c r="E3289" s="7"/>
      <c r="F3289" t="s">
        <v>20</v>
      </c>
      <c r="G3289" t="s">
        <v>21</v>
      </c>
      <c r="H3289" t="str">
        <f>"1200 1ST. MAY2020"</f>
        <v>1200 1ST. MAY2020</v>
      </c>
      <c r="I3289" t="str">
        <f>"CENTERPOINT ENERGY ENTEX"</f>
        <v>CENTERPOINT ENERGY ENTEX</v>
      </c>
    </row>
    <row r="3290" spans="1:9" x14ac:dyDescent="0.25">
      <c r="E3290" s="7"/>
      <c r="F3290" t="s">
        <v>20</v>
      </c>
      <c r="G3290" t="s">
        <v>21</v>
      </c>
      <c r="H3290" t="str">
        <f>"920 C. ST MAY2020"</f>
        <v>920 C. ST MAY2020</v>
      </c>
      <c r="I3290" t="str">
        <f>"CENTERPOINT ENERGY ENTEX"</f>
        <v>CENTERPOINT ENERGY ENTEX</v>
      </c>
    </row>
    <row r="3291" spans="1:9" x14ac:dyDescent="0.25">
      <c r="A3291" s="6">
        <v>43979</v>
      </c>
      <c r="B3291" t="s">
        <v>26</v>
      </c>
      <c r="C3291">
        <v>64058</v>
      </c>
      <c r="D3291" t="s">
        <v>471</v>
      </c>
      <c r="E3291" s="7">
        <v>1000</v>
      </c>
      <c r="F3291" t="s">
        <v>20</v>
      </c>
      <c r="G3291" t="s">
        <v>21</v>
      </c>
      <c r="H3291" t="str">
        <f>"7050"</f>
        <v>7050</v>
      </c>
      <c r="I3291" t="str">
        <f>"JOHNNY'S PAINT &amp; BODY"</f>
        <v>JOHNNY'S PAINT &amp; BODY</v>
      </c>
    </row>
    <row r="3292" spans="1:9" x14ac:dyDescent="0.25">
      <c r="A3292" s="6">
        <v>43979</v>
      </c>
      <c r="B3292" t="s">
        <v>26</v>
      </c>
      <c r="C3292">
        <v>64059</v>
      </c>
      <c r="D3292" t="s">
        <v>103</v>
      </c>
      <c r="E3292" s="7">
        <v>15000</v>
      </c>
      <c r="F3292" t="s">
        <v>20</v>
      </c>
      <c r="G3292" t="s">
        <v>21</v>
      </c>
      <c r="H3292" t="str">
        <f>"FW REFUND 2020"</f>
        <v>FW REFUND 2020</v>
      </c>
      <c r="I3292" t="str">
        <f>"F. E. D. C."</f>
        <v>F. E. D. C.</v>
      </c>
    </row>
    <row r="3293" spans="1:9" x14ac:dyDescent="0.25">
      <c r="A3293" s="6">
        <v>43979</v>
      </c>
      <c r="B3293" t="s">
        <v>91</v>
      </c>
      <c r="C3293">
        <v>64060</v>
      </c>
      <c r="D3293" t="s">
        <v>59</v>
      </c>
      <c r="E3293" s="7">
        <v>3220.39</v>
      </c>
      <c r="F3293" t="s">
        <v>20</v>
      </c>
      <c r="G3293" t="s">
        <v>21</v>
      </c>
      <c r="H3293" t="str">
        <f>"1064988"</f>
        <v>1064988</v>
      </c>
      <c r="I3293" t="str">
        <f>"WATER PART"</f>
        <v>WATER PART</v>
      </c>
    </row>
    <row r="3294" spans="1:9" x14ac:dyDescent="0.25">
      <c r="E3294" s="7"/>
      <c r="F3294" t="s">
        <v>20</v>
      </c>
      <c r="G3294" t="s">
        <v>21</v>
      </c>
      <c r="H3294" t="str">
        <f>"1065340"</f>
        <v>1065340</v>
      </c>
      <c r="I3294" t="str">
        <f>"ROAD PLATES W/D RING"</f>
        <v>ROAD PLATES W/D RING</v>
      </c>
    </row>
    <row r="3295" spans="1:9" x14ac:dyDescent="0.25">
      <c r="E3295" s="7"/>
      <c r="F3295" t="s">
        <v>20</v>
      </c>
      <c r="G3295" t="s">
        <v>21</v>
      </c>
      <c r="H3295" t="str">
        <f>"SO50945"</f>
        <v>SO50945</v>
      </c>
      <c r="I3295" t="str">
        <f>"FERGUSON WATERWORKS - MUNICIPA"</f>
        <v>FERGUSON WATERWORKS - MUNICIPA</v>
      </c>
    </row>
    <row r="3296" spans="1:9" x14ac:dyDescent="0.25">
      <c r="A3296" s="6">
        <v>43979</v>
      </c>
      <c r="B3296" t="s">
        <v>91</v>
      </c>
      <c r="C3296">
        <v>64060</v>
      </c>
      <c r="D3296" t="s">
        <v>59</v>
      </c>
      <c r="E3296" s="7">
        <v>3220.39</v>
      </c>
      <c r="F3296" t="s">
        <v>20</v>
      </c>
      <c r="G3296" t="s">
        <v>93</v>
      </c>
      <c r="H3296" t="str">
        <f>"CHECK"</f>
        <v>CHECK</v>
      </c>
      <c r="I3296" t="str">
        <f>""</f>
        <v/>
      </c>
    </row>
    <row r="3297" spans="1:9" x14ac:dyDescent="0.25">
      <c r="A3297" s="6">
        <v>43979</v>
      </c>
      <c r="B3297" t="s">
        <v>26</v>
      </c>
      <c r="C3297">
        <v>64061</v>
      </c>
      <c r="D3297" t="s">
        <v>105</v>
      </c>
      <c r="E3297" s="7">
        <v>63</v>
      </c>
      <c r="F3297" t="s">
        <v>20</v>
      </c>
      <c r="G3297" t="s">
        <v>21</v>
      </c>
      <c r="H3297" t="str">
        <f>"354791"</f>
        <v>354791</v>
      </c>
      <c r="I3297" t="str">
        <f t="shared" ref="I3297:I3305" si="60">"LUBE WORKS"</f>
        <v>LUBE WORKS</v>
      </c>
    </row>
    <row r="3298" spans="1:9" x14ac:dyDescent="0.25">
      <c r="E3298" s="7"/>
      <c r="F3298" t="s">
        <v>20</v>
      </c>
      <c r="G3298" t="s">
        <v>21</v>
      </c>
      <c r="H3298" t="str">
        <f>"354796"</f>
        <v>354796</v>
      </c>
      <c r="I3298" t="str">
        <f t="shared" si="60"/>
        <v>LUBE WORKS</v>
      </c>
    </row>
    <row r="3299" spans="1:9" x14ac:dyDescent="0.25">
      <c r="E3299" s="7"/>
      <c r="F3299" t="s">
        <v>20</v>
      </c>
      <c r="G3299" t="s">
        <v>21</v>
      </c>
      <c r="H3299" t="str">
        <f>"354797"</f>
        <v>354797</v>
      </c>
      <c r="I3299" t="str">
        <f t="shared" si="60"/>
        <v>LUBE WORKS</v>
      </c>
    </row>
    <row r="3300" spans="1:9" x14ac:dyDescent="0.25">
      <c r="E3300" s="7"/>
      <c r="F3300" t="s">
        <v>20</v>
      </c>
      <c r="G3300" t="s">
        <v>21</v>
      </c>
      <c r="H3300" t="str">
        <f>"354801"</f>
        <v>354801</v>
      </c>
      <c r="I3300" t="str">
        <f t="shared" si="60"/>
        <v>LUBE WORKS</v>
      </c>
    </row>
    <row r="3301" spans="1:9" x14ac:dyDescent="0.25">
      <c r="E3301" s="7"/>
      <c r="F3301" t="s">
        <v>20</v>
      </c>
      <c r="G3301" t="s">
        <v>21</v>
      </c>
      <c r="H3301" t="str">
        <f>"354806"</f>
        <v>354806</v>
      </c>
      <c r="I3301" t="str">
        <f t="shared" si="60"/>
        <v>LUBE WORKS</v>
      </c>
    </row>
    <row r="3302" spans="1:9" x14ac:dyDescent="0.25">
      <c r="E3302" s="7"/>
      <c r="F3302" t="s">
        <v>20</v>
      </c>
      <c r="G3302" t="s">
        <v>21</v>
      </c>
      <c r="H3302" t="str">
        <f>"354815"</f>
        <v>354815</v>
      </c>
      <c r="I3302" t="str">
        <f t="shared" si="60"/>
        <v>LUBE WORKS</v>
      </c>
    </row>
    <row r="3303" spans="1:9" x14ac:dyDescent="0.25">
      <c r="E3303" s="7"/>
      <c r="F3303" t="s">
        <v>20</v>
      </c>
      <c r="G3303" t="s">
        <v>21</v>
      </c>
      <c r="H3303" t="str">
        <f>"354816"</f>
        <v>354816</v>
      </c>
      <c r="I3303" t="str">
        <f t="shared" si="60"/>
        <v>LUBE WORKS</v>
      </c>
    </row>
    <row r="3304" spans="1:9" x14ac:dyDescent="0.25">
      <c r="E3304" s="7"/>
      <c r="F3304" t="s">
        <v>20</v>
      </c>
      <c r="G3304" t="s">
        <v>21</v>
      </c>
      <c r="H3304" t="str">
        <f>"354833"</f>
        <v>354833</v>
      </c>
      <c r="I3304" t="str">
        <f t="shared" si="60"/>
        <v>LUBE WORKS</v>
      </c>
    </row>
    <row r="3305" spans="1:9" x14ac:dyDescent="0.25">
      <c r="E3305" s="7"/>
      <c r="F3305" t="s">
        <v>20</v>
      </c>
      <c r="G3305" t="s">
        <v>21</v>
      </c>
      <c r="H3305" t="str">
        <f>"355020"</f>
        <v>355020</v>
      </c>
      <c r="I3305" t="str">
        <f t="shared" si="60"/>
        <v>LUBE WORKS</v>
      </c>
    </row>
    <row r="3306" spans="1:9" x14ac:dyDescent="0.25">
      <c r="A3306" s="6">
        <v>43979</v>
      </c>
      <c r="B3306" t="s">
        <v>26</v>
      </c>
      <c r="C3306">
        <v>64063</v>
      </c>
      <c r="D3306" t="s">
        <v>273</v>
      </c>
      <c r="E3306" s="7">
        <v>5855.48</v>
      </c>
      <c r="F3306" t="s">
        <v>20</v>
      </c>
      <c r="G3306" t="s">
        <v>21</v>
      </c>
      <c r="H3306" t="str">
        <f>"5111-000093272"</f>
        <v>5111-000093272</v>
      </c>
      <c r="I3306" t="str">
        <f>"REPUBLIC SERVICES TESSMAN ROAD"</f>
        <v>REPUBLIC SERVICES TESSMAN ROAD</v>
      </c>
    </row>
    <row r="3307" spans="1:9" x14ac:dyDescent="0.25">
      <c r="E3307" s="7"/>
      <c r="F3307" t="s">
        <v>20</v>
      </c>
      <c r="G3307" t="s">
        <v>21</v>
      </c>
      <c r="H3307" t="str">
        <f>"5119-000093082"</f>
        <v>5119-000093082</v>
      </c>
      <c r="I3307" t="str">
        <f>"REPUBLIC SERVICES TESSMAN ROAD"</f>
        <v>REPUBLIC SERVICES TESSMAN ROAD</v>
      </c>
    </row>
    <row r="3308" spans="1:9" x14ac:dyDescent="0.25">
      <c r="A3308" s="6">
        <v>43979</v>
      </c>
      <c r="B3308" t="s">
        <v>26</v>
      </c>
      <c r="C3308">
        <v>64064</v>
      </c>
      <c r="D3308" t="s">
        <v>108</v>
      </c>
      <c r="E3308" s="7">
        <v>2435.58</v>
      </c>
      <c r="F3308" t="s">
        <v>20</v>
      </c>
      <c r="G3308" t="s">
        <v>21</v>
      </c>
      <c r="H3308" t="str">
        <f>"041295650034"</f>
        <v>041295650034</v>
      </c>
      <c r="I3308" t="str">
        <f>"POOLSURE"</f>
        <v>POOLSURE</v>
      </c>
    </row>
    <row r="3309" spans="1:9" x14ac:dyDescent="0.25">
      <c r="A3309" s="6">
        <v>43979</v>
      </c>
      <c r="B3309" t="s">
        <v>26</v>
      </c>
      <c r="C3309">
        <v>64065</v>
      </c>
      <c r="D3309" t="s">
        <v>203</v>
      </c>
      <c r="E3309" s="7">
        <v>503.68</v>
      </c>
      <c r="F3309" t="s">
        <v>20</v>
      </c>
      <c r="G3309" t="s">
        <v>21</v>
      </c>
      <c r="H3309" t="str">
        <f>"231457"</f>
        <v>231457</v>
      </c>
      <c r="I3309" t="str">
        <f>"WW SUPPLIES"</f>
        <v>WW SUPPLIES</v>
      </c>
    </row>
    <row r="3310" spans="1:9" x14ac:dyDescent="0.25">
      <c r="E3310" s="7"/>
      <c r="F3310" t="s">
        <v>20</v>
      </c>
      <c r="G3310" t="s">
        <v>21</v>
      </c>
      <c r="H3310" t="str">
        <f>"233976"</f>
        <v>233976</v>
      </c>
      <c r="I3310" t="str">
        <f>"SUPPLIES FOR WW"</f>
        <v>SUPPLIES FOR WW</v>
      </c>
    </row>
    <row r="3311" spans="1:9" x14ac:dyDescent="0.25">
      <c r="E3311" s="7"/>
      <c r="F3311" t="s">
        <v>20</v>
      </c>
      <c r="G3311" t="s">
        <v>21</v>
      </c>
      <c r="H3311" t="str">
        <f>"234155"</f>
        <v>234155</v>
      </c>
      <c r="I3311" t="str">
        <f>"POWDER PILLOWS"</f>
        <v>POWDER PILLOWS</v>
      </c>
    </row>
    <row r="3312" spans="1:9" x14ac:dyDescent="0.25">
      <c r="E3312" s="7"/>
      <c r="F3312" t="s">
        <v>20</v>
      </c>
      <c r="G3312" t="s">
        <v>21</v>
      </c>
      <c r="H3312" t="str">
        <f>"234159"</f>
        <v>234159</v>
      </c>
      <c r="I3312" t="str">
        <f>"SUPPLIES FOR WW"</f>
        <v>SUPPLIES FOR WW</v>
      </c>
    </row>
    <row r="3313" spans="1:9" x14ac:dyDescent="0.25">
      <c r="A3313" s="6">
        <v>43979</v>
      </c>
      <c r="B3313" t="s">
        <v>26</v>
      </c>
      <c r="C3313">
        <v>64067</v>
      </c>
      <c r="D3313" t="s">
        <v>181</v>
      </c>
      <c r="E3313" s="7">
        <v>43.03</v>
      </c>
      <c r="F3313" t="s">
        <v>20</v>
      </c>
      <c r="G3313" t="s">
        <v>21</v>
      </c>
      <c r="H3313" t="str">
        <f>"3933186 MAY2020"</f>
        <v>3933186 MAY2020</v>
      </c>
      <c r="I3313" t="str">
        <f>"AT&amp;T"</f>
        <v>AT&amp;T</v>
      </c>
    </row>
    <row r="3314" spans="1:9" x14ac:dyDescent="0.25">
      <c r="A3314" s="6">
        <v>43979</v>
      </c>
      <c r="B3314" t="s">
        <v>26</v>
      </c>
      <c r="C3314">
        <v>64068</v>
      </c>
      <c r="D3314" t="s">
        <v>917</v>
      </c>
      <c r="E3314" s="7">
        <v>600</v>
      </c>
      <c r="F3314" t="s">
        <v>20</v>
      </c>
      <c r="G3314" t="s">
        <v>21</v>
      </c>
      <c r="H3314" t="str">
        <f>"PLOT RFND 00406150"</f>
        <v>PLOT RFND 00406150</v>
      </c>
      <c r="I3314" t="str">
        <f>"REFUND"</f>
        <v>REFUND</v>
      </c>
    </row>
    <row r="3315" spans="1:9" x14ac:dyDescent="0.25">
      <c r="A3315" s="6">
        <v>43979</v>
      </c>
      <c r="B3315" t="s">
        <v>26</v>
      </c>
      <c r="C3315">
        <v>64069</v>
      </c>
      <c r="D3315" t="s">
        <v>184</v>
      </c>
      <c r="E3315" s="7">
        <v>1026</v>
      </c>
      <c r="F3315" t="s">
        <v>20</v>
      </c>
      <c r="G3315" t="s">
        <v>21</v>
      </c>
      <c r="H3315" t="str">
        <f>"1058-903"</f>
        <v>1058-903</v>
      </c>
      <c r="I3315" t="str">
        <f>"POLLUTION CONTROL SERVICES"</f>
        <v>POLLUTION CONTROL SERVICES</v>
      </c>
    </row>
    <row r="3316" spans="1:9" x14ac:dyDescent="0.25">
      <c r="E3316" s="7"/>
      <c r="F3316" t="s">
        <v>20</v>
      </c>
      <c r="G3316" t="s">
        <v>21</v>
      </c>
      <c r="H3316" t="str">
        <f>"1058-904"</f>
        <v>1058-904</v>
      </c>
      <c r="I3316" t="str">
        <f>"POLLUTION CONTROL SERVICES"</f>
        <v>POLLUTION CONTROL SERVICES</v>
      </c>
    </row>
    <row r="3317" spans="1:9" x14ac:dyDescent="0.25">
      <c r="A3317" s="6">
        <v>43979</v>
      </c>
      <c r="B3317" t="s">
        <v>26</v>
      </c>
      <c r="C3317">
        <v>64070</v>
      </c>
      <c r="D3317" t="s">
        <v>168</v>
      </c>
      <c r="E3317" s="7">
        <v>506</v>
      </c>
      <c r="F3317" t="s">
        <v>20</v>
      </c>
      <c r="G3317" t="s">
        <v>21</v>
      </c>
      <c r="H3317" t="str">
        <f>"LI-7043"</f>
        <v>LI-7043</v>
      </c>
      <c r="I3317" t="str">
        <f>"BEXAR COUNTY AUDITOR/ATTN:CRIM"</f>
        <v>BEXAR COUNTY AUDITOR/ATTN:CRIM</v>
      </c>
    </row>
    <row r="3318" spans="1:9" x14ac:dyDescent="0.25">
      <c r="A3318" s="6">
        <v>43979</v>
      </c>
      <c r="B3318" t="s">
        <v>26</v>
      </c>
      <c r="C3318">
        <v>64071</v>
      </c>
      <c r="D3318" t="s">
        <v>62</v>
      </c>
      <c r="E3318" s="7">
        <v>215</v>
      </c>
      <c r="F3318" t="s">
        <v>20</v>
      </c>
      <c r="G3318" t="s">
        <v>21</v>
      </c>
      <c r="H3318" t="str">
        <f>"67778"</f>
        <v>67778</v>
      </c>
      <c r="I3318" t="str">
        <f>"PROFICIENT BENEFIT SOLUTIONS"</f>
        <v>PROFICIENT BENEFIT SOLUTIONS</v>
      </c>
    </row>
    <row r="3319" spans="1:9" x14ac:dyDescent="0.25">
      <c r="E3319" s="7"/>
      <c r="F3319" t="s">
        <v>20</v>
      </c>
      <c r="G3319" t="s">
        <v>21</v>
      </c>
      <c r="H3319" t="str">
        <f>"FC3552"</f>
        <v>FC3552</v>
      </c>
      <c r="I3319" t="str">
        <f>"PROFICIENT BENEFIT SOLUTIONS"</f>
        <v>PROFICIENT BENEFIT SOLUTIONS</v>
      </c>
    </row>
    <row r="3320" spans="1:9" x14ac:dyDescent="0.25">
      <c r="A3320" s="6">
        <v>43979</v>
      </c>
      <c r="B3320" t="s">
        <v>26</v>
      </c>
      <c r="C3320">
        <v>64072</v>
      </c>
      <c r="D3320" t="s">
        <v>169</v>
      </c>
      <c r="E3320" s="7">
        <v>414.65</v>
      </c>
      <c r="F3320" t="s">
        <v>20</v>
      </c>
      <c r="G3320" t="s">
        <v>21</v>
      </c>
      <c r="H3320" t="str">
        <f>"133562"</f>
        <v>133562</v>
      </c>
      <c r="I3320" t="str">
        <f>"THE POLICE AND SHERIFFS PRESS"</f>
        <v>THE POLICE AND SHERIFFS PRESS</v>
      </c>
    </row>
    <row r="3321" spans="1:9" x14ac:dyDescent="0.25">
      <c r="A3321" s="6">
        <v>43979</v>
      </c>
      <c r="B3321" t="s">
        <v>26</v>
      </c>
      <c r="C3321">
        <v>64073</v>
      </c>
      <c r="D3321" t="s">
        <v>115</v>
      </c>
      <c r="E3321" s="7">
        <v>280.5</v>
      </c>
      <c r="F3321" t="s">
        <v>20</v>
      </c>
      <c r="G3321" t="s">
        <v>21</v>
      </c>
      <c r="H3321" t="str">
        <f>"3547667114"</f>
        <v>3547667114</v>
      </c>
      <c r="I3321" t="str">
        <f>"LAWN MOWER BATTERY"</f>
        <v>LAWN MOWER BATTERY</v>
      </c>
    </row>
    <row r="3322" spans="1:9" x14ac:dyDescent="0.25">
      <c r="E3322" s="7"/>
      <c r="F3322" t="s">
        <v>20</v>
      </c>
      <c r="G3322" t="s">
        <v>21</v>
      </c>
      <c r="H3322" t="str">
        <f>"3547668687"</f>
        <v>3547668687</v>
      </c>
      <c r="I3322" t="str">
        <f>"FREON"</f>
        <v>FREON</v>
      </c>
    </row>
    <row r="3323" spans="1:9" x14ac:dyDescent="0.25">
      <c r="E3323" s="7"/>
      <c r="F3323" t="s">
        <v>20</v>
      </c>
      <c r="G3323" t="s">
        <v>21</v>
      </c>
      <c r="H3323" t="str">
        <f>"3547668688"</f>
        <v>3547668688</v>
      </c>
      <c r="I3323" t="str">
        <f>"WATER #203 HEATERHOSE"</f>
        <v>WATER #203 HEATERHOSE</v>
      </c>
    </row>
    <row r="3324" spans="1:9" x14ac:dyDescent="0.25">
      <c r="E3324" s="7"/>
      <c r="F3324" t="s">
        <v>20</v>
      </c>
      <c r="G3324" t="s">
        <v>21</v>
      </c>
      <c r="H3324" t="str">
        <f>"3547668714"</f>
        <v>3547668714</v>
      </c>
      <c r="I3324" t="str">
        <f>"BATTERY PARKS UNIT 501"</f>
        <v>BATTERY PARKS UNIT 501</v>
      </c>
    </row>
    <row r="3325" spans="1:9" x14ac:dyDescent="0.25">
      <c r="A3325" s="6">
        <v>43979</v>
      </c>
      <c r="B3325" t="s">
        <v>26</v>
      </c>
      <c r="C3325">
        <v>64074</v>
      </c>
      <c r="D3325" t="s">
        <v>63</v>
      </c>
      <c r="E3325" s="7">
        <v>706.1</v>
      </c>
      <c r="F3325" t="s">
        <v>20</v>
      </c>
      <c r="G3325" t="s">
        <v>21</v>
      </c>
      <c r="H3325" t="str">
        <f>"8404638193"</f>
        <v>8404638193</v>
      </c>
      <c r="I3325" t="str">
        <f>"CINTAS CORPORATION"</f>
        <v>CINTAS CORPORATION</v>
      </c>
    </row>
    <row r="3326" spans="1:9" x14ac:dyDescent="0.25">
      <c r="A3326" s="6">
        <v>43979</v>
      </c>
      <c r="B3326" t="s">
        <v>26</v>
      </c>
      <c r="C3326">
        <v>64075</v>
      </c>
      <c r="D3326" t="s">
        <v>689</v>
      </c>
      <c r="E3326" s="7">
        <v>65</v>
      </c>
      <c r="F3326" t="s">
        <v>20</v>
      </c>
      <c r="G3326" t="s">
        <v>21</v>
      </c>
      <c r="H3326" t="str">
        <f>"2694"</f>
        <v>2694</v>
      </c>
      <c r="I3326" t="str">
        <f>"MOY'S WATER WELL DRILLING &amp; SE"</f>
        <v>MOY'S WATER WELL DRILLING &amp; SE</v>
      </c>
    </row>
    <row r="3327" spans="1:9" x14ac:dyDescent="0.25">
      <c r="A3327" s="6">
        <v>43979</v>
      </c>
      <c r="B3327" t="s">
        <v>26</v>
      </c>
      <c r="C3327">
        <v>64076</v>
      </c>
      <c r="D3327" t="s">
        <v>120</v>
      </c>
      <c r="E3327" s="7">
        <v>1810.38</v>
      </c>
      <c r="F3327" t="s">
        <v>20</v>
      </c>
      <c r="G3327" t="s">
        <v>21</v>
      </c>
      <c r="H3327" t="str">
        <f>"71453642"</f>
        <v>71453642</v>
      </c>
      <c r="I3327" t="str">
        <f>"VERIZON BUSINESS"</f>
        <v>VERIZON BUSINESS</v>
      </c>
    </row>
    <row r="3328" spans="1:9" x14ac:dyDescent="0.25">
      <c r="E3328" s="7"/>
      <c r="F3328" t="s">
        <v>20</v>
      </c>
      <c r="G3328" t="s">
        <v>21</v>
      </c>
      <c r="H3328" t="str">
        <f>"71455185"</f>
        <v>71455185</v>
      </c>
      <c r="I3328" t="str">
        <f>"VERIZON BUSINESS"</f>
        <v>VERIZON BUSINESS</v>
      </c>
    </row>
    <row r="3329" spans="1:9" x14ac:dyDescent="0.25">
      <c r="A3329" s="6">
        <v>43979</v>
      </c>
      <c r="B3329" t="s">
        <v>26</v>
      </c>
      <c r="C3329">
        <v>64077</v>
      </c>
      <c r="D3329" t="s">
        <v>69</v>
      </c>
      <c r="E3329" s="7">
        <v>117</v>
      </c>
      <c r="F3329" t="s">
        <v>20</v>
      </c>
      <c r="G3329" t="s">
        <v>21</v>
      </c>
      <c r="H3329" t="str">
        <f>"3306204"</f>
        <v>3306204</v>
      </c>
      <c r="I3329" t="str">
        <f>"2 SETS OF MOWER BLADES"</f>
        <v>2 SETS OF MOWER BLADES</v>
      </c>
    </row>
    <row r="3330" spans="1:9" x14ac:dyDescent="0.25">
      <c r="A3330" s="6">
        <v>43979</v>
      </c>
      <c r="B3330" t="s">
        <v>26</v>
      </c>
      <c r="C3330">
        <v>64078</v>
      </c>
      <c r="D3330" t="s">
        <v>146</v>
      </c>
      <c r="E3330" s="7">
        <v>125</v>
      </c>
      <c r="F3330" t="s">
        <v>20</v>
      </c>
      <c r="G3330" t="s">
        <v>21</v>
      </c>
      <c r="H3330" t="str">
        <f>"066788"</f>
        <v>066788</v>
      </c>
      <c r="I3330" t="str">
        <f>"LARRY SRALLA ELECTRIC"</f>
        <v>LARRY SRALLA ELECTRIC</v>
      </c>
    </row>
    <row r="3331" spans="1:9" x14ac:dyDescent="0.25">
      <c r="A3331" s="6">
        <v>43979</v>
      </c>
      <c r="B3331" t="s">
        <v>26</v>
      </c>
      <c r="C3331">
        <v>64079</v>
      </c>
      <c r="D3331" t="s">
        <v>71</v>
      </c>
      <c r="E3331" s="7">
        <v>189.42</v>
      </c>
      <c r="F3331" t="s">
        <v>20</v>
      </c>
      <c r="G3331" t="s">
        <v>21</v>
      </c>
      <c r="H3331" t="str">
        <f>"40449501504"</f>
        <v>40449501504</v>
      </c>
      <c r="I3331" t="str">
        <f>"CINTAS CORPORATION #087"</f>
        <v>CINTAS CORPORATION #087</v>
      </c>
    </row>
    <row r="3332" spans="1:9" x14ac:dyDescent="0.25">
      <c r="E3332" s="7"/>
      <c r="F3332" t="s">
        <v>20</v>
      </c>
      <c r="G3332" t="s">
        <v>21</v>
      </c>
      <c r="H3332" t="str">
        <f>"4050674412"</f>
        <v>4050674412</v>
      </c>
      <c r="I3332" t="str">
        <f>"CINTAS CORPORATION #087"</f>
        <v>CINTAS CORPORATION #087</v>
      </c>
    </row>
    <row r="3333" spans="1:9" x14ac:dyDescent="0.25">
      <c r="A3333" s="6">
        <v>43979</v>
      </c>
      <c r="B3333" t="s">
        <v>26</v>
      </c>
      <c r="C3333">
        <v>64080</v>
      </c>
      <c r="D3333" t="s">
        <v>122</v>
      </c>
      <c r="E3333" s="7">
        <v>28</v>
      </c>
      <c r="F3333" t="s">
        <v>20</v>
      </c>
      <c r="G3333" t="s">
        <v>21</v>
      </c>
      <c r="H3333" t="str">
        <f>"48700704"</f>
        <v>48700704</v>
      </c>
      <c r="I3333" t="str">
        <f>"VILLA TIRES"</f>
        <v>VILLA TIRES</v>
      </c>
    </row>
    <row r="3334" spans="1:9" x14ac:dyDescent="0.25">
      <c r="E3334" s="7"/>
      <c r="F3334" t="s">
        <v>20</v>
      </c>
      <c r="G3334" t="s">
        <v>21</v>
      </c>
      <c r="H3334" t="str">
        <f>"706319"</f>
        <v>706319</v>
      </c>
      <c r="I3334" t="str">
        <f>"VILLA TIRES"</f>
        <v>VILLA TIRES</v>
      </c>
    </row>
    <row r="3335" spans="1:9" x14ac:dyDescent="0.25">
      <c r="E3335" s="7"/>
      <c r="F3335" t="s">
        <v>20</v>
      </c>
      <c r="G3335" t="s">
        <v>21</v>
      </c>
      <c r="H3335" t="str">
        <f>"706325"</f>
        <v>706325</v>
      </c>
      <c r="I3335" t="str">
        <f>"VILLA TIRES"</f>
        <v>VILLA TIRES</v>
      </c>
    </row>
    <row r="3336" spans="1:9" x14ac:dyDescent="0.25">
      <c r="A3336" s="6">
        <v>43979</v>
      </c>
      <c r="B3336" t="s">
        <v>26</v>
      </c>
      <c r="C3336">
        <v>64081</v>
      </c>
      <c r="D3336" t="s">
        <v>215</v>
      </c>
      <c r="E3336" s="7">
        <v>261.69</v>
      </c>
      <c r="F3336" t="s">
        <v>20</v>
      </c>
      <c r="G3336" t="s">
        <v>21</v>
      </c>
      <c r="H3336" t="str">
        <f>"630314"</f>
        <v>630314</v>
      </c>
      <c r="I3336" t="str">
        <f>"PACO SEAL REPLACEMENT"</f>
        <v>PACO SEAL REPLACEMENT</v>
      </c>
    </row>
    <row r="3337" spans="1:9" x14ac:dyDescent="0.25">
      <c r="A3337" s="6">
        <v>43979</v>
      </c>
      <c r="B3337" t="s">
        <v>26</v>
      </c>
      <c r="C3337">
        <v>64082</v>
      </c>
      <c r="D3337" t="s">
        <v>123</v>
      </c>
      <c r="E3337" s="7">
        <v>111.68</v>
      </c>
      <c r="F3337" t="s">
        <v>20</v>
      </c>
      <c r="G3337" t="s">
        <v>21</v>
      </c>
      <c r="H3337" t="str">
        <f>"489707898001"</f>
        <v>489707898001</v>
      </c>
      <c r="I3337" t="str">
        <f>"OFFICE SUPPLIES"</f>
        <v>OFFICE SUPPLIES</v>
      </c>
    </row>
    <row r="3338" spans="1:9" x14ac:dyDescent="0.25">
      <c r="E3338" s="7"/>
      <c r="F3338" t="s">
        <v>20</v>
      </c>
      <c r="G3338" t="s">
        <v>21</v>
      </c>
      <c r="H3338" t="str">
        <f>"489708554001"</f>
        <v>489708554001</v>
      </c>
      <c r="I3338" t="str">
        <f>"OFFICE SUPPLIES"</f>
        <v>OFFICE SUPPLIES</v>
      </c>
    </row>
    <row r="3339" spans="1:9" x14ac:dyDescent="0.25">
      <c r="E3339" s="7"/>
      <c r="F3339" t="s">
        <v>20</v>
      </c>
      <c r="G3339" t="s">
        <v>21</v>
      </c>
      <c r="H3339" t="str">
        <f>"489708555001"</f>
        <v>489708555001</v>
      </c>
      <c r="I3339" t="str">
        <f>"OFFICE SUPPLIES"</f>
        <v>OFFICE SUPPLIES</v>
      </c>
    </row>
    <row r="3340" spans="1:9" x14ac:dyDescent="0.25">
      <c r="E3340" s="7"/>
      <c r="F3340" t="s">
        <v>20</v>
      </c>
      <c r="G3340" t="s">
        <v>21</v>
      </c>
      <c r="H3340" t="str">
        <f>"492095804001"</f>
        <v>492095804001</v>
      </c>
      <c r="I3340" t="str">
        <f>"OFFICE SUPPLIES"</f>
        <v>OFFICE SUPPLIES</v>
      </c>
    </row>
    <row r="3341" spans="1:9" x14ac:dyDescent="0.25">
      <c r="A3341" s="6">
        <v>43979</v>
      </c>
      <c r="B3341" t="s">
        <v>26</v>
      </c>
      <c r="C3341">
        <v>64083</v>
      </c>
      <c r="D3341" t="s">
        <v>137</v>
      </c>
      <c r="E3341" s="7">
        <v>121.9</v>
      </c>
      <c r="F3341" t="s">
        <v>20</v>
      </c>
      <c r="G3341" t="s">
        <v>21</v>
      </c>
      <c r="H3341" t="str">
        <f>"12159"</f>
        <v>12159</v>
      </c>
      <c r="I3341" t="str">
        <f>"OMNIBUS-M  INC.D.B.A."</f>
        <v>OMNIBUS-M  INC.D.B.A.</v>
      </c>
    </row>
    <row r="3342" spans="1:9" x14ac:dyDescent="0.25">
      <c r="E3342" s="7"/>
      <c r="F3342" t="s">
        <v>20</v>
      </c>
      <c r="G3342" t="s">
        <v>21</v>
      </c>
      <c r="H3342" t="str">
        <f>"12160"</f>
        <v>12160</v>
      </c>
      <c r="I3342" t="str">
        <f>"OMNIBUS-M  INC.D.B.A."</f>
        <v>OMNIBUS-M  INC.D.B.A.</v>
      </c>
    </row>
    <row r="3343" spans="1:9" x14ac:dyDescent="0.25">
      <c r="A3343" s="6">
        <v>43979</v>
      </c>
      <c r="B3343" t="s">
        <v>26</v>
      </c>
      <c r="C3343">
        <v>64084</v>
      </c>
      <c r="D3343" t="s">
        <v>77</v>
      </c>
      <c r="E3343" s="7">
        <v>330</v>
      </c>
      <c r="F3343" t="s">
        <v>20</v>
      </c>
      <c r="G3343" t="s">
        <v>21</v>
      </c>
      <c r="H3343" t="str">
        <f>"DE85000770-20"</f>
        <v>DE85000770-20</v>
      </c>
      <c r="I3343" t="str">
        <f>"DPC INDUSTRIES  INC."</f>
        <v>DPC INDUSTRIES  INC.</v>
      </c>
    </row>
    <row r="3344" spans="1:9" x14ac:dyDescent="0.25">
      <c r="E3344" s="7"/>
      <c r="F3344" t="s">
        <v>20</v>
      </c>
      <c r="G3344" t="s">
        <v>21</v>
      </c>
      <c r="H3344" t="str">
        <f>"DE85000963-20"</f>
        <v>DE85000963-20</v>
      </c>
      <c r="I3344" t="str">
        <f>"DPC INDUSTRIES  INC."</f>
        <v>DPC INDUSTRIES  INC.</v>
      </c>
    </row>
    <row r="3345" spans="1:9" x14ac:dyDescent="0.25">
      <c r="A3345" s="6">
        <v>43979</v>
      </c>
      <c r="B3345" t="s">
        <v>26</v>
      </c>
      <c r="C3345">
        <v>64085</v>
      </c>
      <c r="D3345" t="s">
        <v>124</v>
      </c>
      <c r="E3345" s="7">
        <v>578.19000000000005</v>
      </c>
      <c r="F3345" t="s">
        <v>20</v>
      </c>
      <c r="G3345" t="s">
        <v>21</v>
      </c>
      <c r="H3345" t="str">
        <f>"11187990"</f>
        <v>11187990</v>
      </c>
      <c r="I3345" t="str">
        <f>"AC/HEATER UNIT"</f>
        <v>AC/HEATER UNIT</v>
      </c>
    </row>
    <row r="3346" spans="1:9" x14ac:dyDescent="0.25">
      <c r="A3346" s="6">
        <v>43979</v>
      </c>
      <c r="B3346" t="s">
        <v>26</v>
      </c>
      <c r="C3346">
        <v>64086</v>
      </c>
      <c r="D3346" t="s">
        <v>284</v>
      </c>
      <c r="E3346" s="7">
        <v>3610</v>
      </c>
      <c r="F3346" t="s">
        <v>20</v>
      </c>
      <c r="G3346" t="s">
        <v>21</v>
      </c>
      <c r="H3346" t="str">
        <f>"WARINV004107"</f>
        <v>WARINV004107</v>
      </c>
      <c r="I3346" t="str">
        <f>"WARRANTY  VISTA"</f>
        <v>WARRANTY  VISTA</v>
      </c>
    </row>
    <row r="3347" spans="1:9" x14ac:dyDescent="0.25">
      <c r="A3347" s="6">
        <v>43979</v>
      </c>
      <c r="B3347" t="s">
        <v>26</v>
      </c>
      <c r="C3347">
        <v>64087</v>
      </c>
      <c r="D3347" t="s">
        <v>126</v>
      </c>
      <c r="E3347" s="7">
        <v>91844.29</v>
      </c>
      <c r="F3347" t="s">
        <v>20</v>
      </c>
      <c r="G3347" t="s">
        <v>21</v>
      </c>
      <c r="H3347" t="str">
        <f>"5119-000093082"</f>
        <v>5119-000093082</v>
      </c>
      <c r="I3347" t="str">
        <f>"REPUBLIC SERVICES #859"</f>
        <v>REPUBLIC SERVICES #859</v>
      </c>
    </row>
    <row r="3348" spans="1:9" x14ac:dyDescent="0.25">
      <c r="A3348" s="6">
        <v>43979</v>
      </c>
      <c r="B3348" t="s">
        <v>26</v>
      </c>
      <c r="C3348">
        <v>64088</v>
      </c>
      <c r="D3348" t="s">
        <v>79</v>
      </c>
      <c r="E3348" s="7">
        <v>6.24</v>
      </c>
      <c r="F3348" t="s">
        <v>20</v>
      </c>
      <c r="G3348" t="s">
        <v>21</v>
      </c>
      <c r="H3348" t="str">
        <f>"7-011-31138"</f>
        <v>7-011-31138</v>
      </c>
      <c r="I3348" t="str">
        <f>"FEDEX"</f>
        <v>FEDEX</v>
      </c>
    </row>
    <row r="3349" spans="1:9" x14ac:dyDescent="0.25">
      <c r="A3349" s="6">
        <v>43979</v>
      </c>
      <c r="B3349" t="s">
        <v>26</v>
      </c>
      <c r="C3349">
        <v>64089</v>
      </c>
      <c r="D3349" t="s">
        <v>85</v>
      </c>
      <c r="E3349" s="7">
        <v>3269.8</v>
      </c>
      <c r="F3349" t="s">
        <v>20</v>
      </c>
      <c r="G3349" t="s">
        <v>21</v>
      </c>
      <c r="H3349" t="str">
        <f>"2162755 MAY2020"</f>
        <v>2162755 MAY2020</v>
      </c>
      <c r="I3349" t="str">
        <f t="shared" ref="I3349:I3355" si="61">"FRONTIER"</f>
        <v>FRONTIER</v>
      </c>
    </row>
    <row r="3350" spans="1:9" x14ac:dyDescent="0.25">
      <c r="E3350" s="7"/>
      <c r="F3350" t="s">
        <v>20</v>
      </c>
      <c r="G3350" t="s">
        <v>21</v>
      </c>
      <c r="H3350" t="str">
        <f>"3932733 MAY2020"</f>
        <v>3932733 MAY2020</v>
      </c>
      <c r="I3350" t="str">
        <f t="shared" si="61"/>
        <v>FRONTIER</v>
      </c>
    </row>
    <row r="3351" spans="1:9" x14ac:dyDescent="0.25">
      <c r="E3351" s="7"/>
      <c r="F3351" t="s">
        <v>20</v>
      </c>
      <c r="G3351" t="s">
        <v>21</v>
      </c>
      <c r="H3351" t="str">
        <f>"3932804 MAY2020"</f>
        <v>3932804 MAY2020</v>
      </c>
      <c r="I3351" t="str">
        <f t="shared" si="61"/>
        <v>FRONTIER</v>
      </c>
    </row>
    <row r="3352" spans="1:9" x14ac:dyDescent="0.25">
      <c r="E3352" s="7"/>
      <c r="F3352" t="s">
        <v>20</v>
      </c>
      <c r="G3352" t="s">
        <v>21</v>
      </c>
      <c r="H3352" t="str">
        <f>"3933105 MAY2020"</f>
        <v>3933105 MAY2020</v>
      </c>
      <c r="I3352" t="str">
        <f t="shared" si="61"/>
        <v>FRONTIER</v>
      </c>
    </row>
    <row r="3353" spans="1:9" x14ac:dyDescent="0.25">
      <c r="E3353" s="7"/>
      <c r="F3353" t="s">
        <v>20</v>
      </c>
      <c r="G3353" t="s">
        <v>21</v>
      </c>
      <c r="H3353" t="str">
        <f>"3936794 MAY2020"</f>
        <v>3936794 MAY2020</v>
      </c>
      <c r="I3353" t="str">
        <f t="shared" si="61"/>
        <v>FRONTIER</v>
      </c>
    </row>
    <row r="3354" spans="1:9" x14ac:dyDescent="0.25">
      <c r="E3354" s="7"/>
      <c r="F3354" t="s">
        <v>20</v>
      </c>
      <c r="G3354" t="s">
        <v>21</v>
      </c>
      <c r="H3354" t="str">
        <f>"8301970025 MAY2020"</f>
        <v>8301970025 MAY2020</v>
      </c>
      <c r="I3354" t="str">
        <f t="shared" si="61"/>
        <v>FRONTIER</v>
      </c>
    </row>
    <row r="3355" spans="1:9" x14ac:dyDescent="0.25">
      <c r="E3355" s="7"/>
      <c r="F3355" t="s">
        <v>20</v>
      </c>
      <c r="G3355" t="s">
        <v>21</v>
      </c>
      <c r="H3355" t="str">
        <f>"8303934055 MAY2020"</f>
        <v>8303934055 MAY2020</v>
      </c>
      <c r="I3355" t="str">
        <f t="shared" si="61"/>
        <v>FRONTIER</v>
      </c>
    </row>
    <row r="3356" spans="1:9" x14ac:dyDescent="0.25">
      <c r="A3356" s="6">
        <v>43979</v>
      </c>
      <c r="B3356" t="s">
        <v>26</v>
      </c>
      <c r="C3356">
        <v>64091</v>
      </c>
      <c r="D3356" t="s">
        <v>327</v>
      </c>
      <c r="E3356" s="7">
        <v>40.75</v>
      </c>
      <c r="F3356" t="s">
        <v>20</v>
      </c>
      <c r="G3356" t="s">
        <v>21</v>
      </c>
      <c r="H3356" t="str">
        <f>"1343*"</f>
        <v>1343*</v>
      </c>
      <c r="I3356" t="str">
        <f>"MOY'S WATER WELL SERVICES"</f>
        <v>MOY'S WATER WELL SERVICES</v>
      </c>
    </row>
    <row r="3357" spans="1:9" x14ac:dyDescent="0.25">
      <c r="A3357" s="6">
        <v>43979</v>
      </c>
      <c r="B3357" t="s">
        <v>26</v>
      </c>
      <c r="C3357">
        <v>64092</v>
      </c>
      <c r="D3357" t="s">
        <v>195</v>
      </c>
      <c r="E3357" s="7">
        <v>1523.98</v>
      </c>
      <c r="F3357" t="s">
        <v>20</v>
      </c>
      <c r="G3357" t="s">
        <v>21</v>
      </c>
      <c r="H3357" t="str">
        <f>"1565202005"</f>
        <v>1565202005</v>
      </c>
      <c r="I3357" t="str">
        <f>"ARISTA INFORMATION SYSTEMS  IN"</f>
        <v>ARISTA INFORMATION SYSTEMS  IN</v>
      </c>
    </row>
    <row r="3358" spans="1:9" x14ac:dyDescent="0.25">
      <c r="E3358" s="7"/>
      <c r="F3358" t="s">
        <v>20</v>
      </c>
      <c r="G3358" t="s">
        <v>21</v>
      </c>
      <c r="H3358" t="str">
        <f>"29681"</f>
        <v>29681</v>
      </c>
      <c r="I3358" t="str">
        <f>"ARISTA INFORMATION SYSTEMS  IN"</f>
        <v>ARISTA INFORMATION SYSTEMS  IN</v>
      </c>
    </row>
    <row r="3359" spans="1:9" x14ac:dyDescent="0.25">
      <c r="A3359" s="6">
        <v>43979</v>
      </c>
      <c r="B3359" t="s">
        <v>26</v>
      </c>
      <c r="C3359">
        <v>64093</v>
      </c>
      <c r="D3359" t="s">
        <v>644</v>
      </c>
      <c r="E3359" s="7">
        <v>439.91</v>
      </c>
      <c r="F3359" t="s">
        <v>20</v>
      </c>
      <c r="G3359" t="s">
        <v>21</v>
      </c>
      <c r="H3359" t="str">
        <f>"8213462287"</f>
        <v>8213462287</v>
      </c>
      <c r="I3359" t="str">
        <f t="shared" ref="I3359:I3364" si="62">"UNIFIRST CORPORATION"</f>
        <v>UNIFIRST CORPORATION</v>
      </c>
    </row>
    <row r="3360" spans="1:9" x14ac:dyDescent="0.25">
      <c r="E3360" s="7"/>
      <c r="F3360" t="s">
        <v>20</v>
      </c>
      <c r="G3360" t="s">
        <v>21</v>
      </c>
      <c r="H3360" t="str">
        <f>"8213462288"</f>
        <v>8213462288</v>
      </c>
      <c r="I3360" t="str">
        <f t="shared" si="62"/>
        <v>UNIFIRST CORPORATION</v>
      </c>
    </row>
    <row r="3361" spans="1:9" x14ac:dyDescent="0.25">
      <c r="E3361" s="7"/>
      <c r="F3361" t="s">
        <v>20</v>
      </c>
      <c r="G3361" t="s">
        <v>21</v>
      </c>
      <c r="H3361" t="str">
        <f>"8213462289"</f>
        <v>8213462289</v>
      </c>
      <c r="I3361" t="str">
        <f t="shared" si="62"/>
        <v>UNIFIRST CORPORATION</v>
      </c>
    </row>
    <row r="3362" spans="1:9" x14ac:dyDescent="0.25">
      <c r="E3362" s="7"/>
      <c r="F3362" t="s">
        <v>20</v>
      </c>
      <c r="G3362" t="s">
        <v>21</v>
      </c>
      <c r="H3362" t="str">
        <f>"8213462290"</f>
        <v>8213462290</v>
      </c>
      <c r="I3362" t="str">
        <f t="shared" si="62"/>
        <v>UNIFIRST CORPORATION</v>
      </c>
    </row>
    <row r="3363" spans="1:9" x14ac:dyDescent="0.25">
      <c r="E3363" s="7"/>
      <c r="F3363" t="s">
        <v>20</v>
      </c>
      <c r="G3363" t="s">
        <v>21</v>
      </c>
      <c r="H3363" t="str">
        <f>"8213462291"</f>
        <v>8213462291</v>
      </c>
      <c r="I3363" t="str">
        <f t="shared" si="62"/>
        <v>UNIFIRST CORPORATION</v>
      </c>
    </row>
    <row r="3364" spans="1:9" x14ac:dyDescent="0.25">
      <c r="E3364" s="7"/>
      <c r="F3364" t="s">
        <v>20</v>
      </c>
      <c r="G3364" t="s">
        <v>21</v>
      </c>
      <c r="H3364" t="str">
        <f>"8213462292"</f>
        <v>8213462292</v>
      </c>
      <c r="I3364" t="str">
        <f t="shared" si="62"/>
        <v>UNIFIRST CORPORATION</v>
      </c>
    </row>
    <row r="3365" spans="1:9" x14ac:dyDescent="0.25">
      <c r="A3365" s="6">
        <v>43979</v>
      </c>
      <c r="B3365" t="s">
        <v>26</v>
      </c>
      <c r="C3365">
        <v>64095</v>
      </c>
      <c r="D3365" t="s">
        <v>869</v>
      </c>
      <c r="E3365" s="7">
        <v>85</v>
      </c>
      <c r="F3365" t="s">
        <v>20</v>
      </c>
      <c r="G3365" t="s">
        <v>21</v>
      </c>
      <c r="H3365" t="str">
        <f>"12/21/19 REISSUE"</f>
        <v>12/21/19 REISSUE</v>
      </c>
      <c r="I3365" t="str">
        <f>"MIA ELISSE GARCIA"</f>
        <v>MIA ELISSE GARCIA</v>
      </c>
    </row>
    <row r="3366" spans="1:9" x14ac:dyDescent="0.25">
      <c r="A3366" s="6">
        <v>43979</v>
      </c>
      <c r="B3366" t="s">
        <v>26</v>
      </c>
      <c r="C3366">
        <v>64096</v>
      </c>
      <c r="D3366" t="s">
        <v>159</v>
      </c>
      <c r="E3366" s="7">
        <v>8458.08</v>
      </c>
      <c r="F3366" t="s">
        <v>20</v>
      </c>
      <c r="G3366" t="s">
        <v>21</v>
      </c>
      <c r="H3366" t="str">
        <f>"2-3205"</f>
        <v>2-3205</v>
      </c>
      <c r="I3366" t="str">
        <f>"PHOTOGRAPHS BY JIM"</f>
        <v>PHOTOGRAPHS BY JIM</v>
      </c>
    </row>
    <row r="3367" spans="1:9" x14ac:dyDescent="0.25">
      <c r="A3367" s="6">
        <v>43983</v>
      </c>
      <c r="B3367" t="s">
        <v>26</v>
      </c>
      <c r="C3367">
        <v>64097</v>
      </c>
      <c r="D3367" t="s">
        <v>471</v>
      </c>
      <c r="E3367" s="7">
        <v>1806.7</v>
      </c>
      <c r="F3367" t="s">
        <v>20</v>
      </c>
      <c r="G3367" t="s">
        <v>21</v>
      </c>
      <c r="H3367" t="str">
        <f>"7050*"</f>
        <v>7050*</v>
      </c>
      <c r="I3367" t="str">
        <f>"JOHNNY'S PAINT &amp; BODY"</f>
        <v>JOHNNY'S PAINT &amp; BODY</v>
      </c>
    </row>
    <row r="3368" spans="1:9" x14ac:dyDescent="0.25">
      <c r="A3368" s="6">
        <v>43984</v>
      </c>
      <c r="B3368" t="s">
        <v>26</v>
      </c>
      <c r="C3368">
        <v>64106</v>
      </c>
      <c r="D3368" t="s">
        <v>51</v>
      </c>
      <c r="E3368" s="7">
        <v>346.31</v>
      </c>
      <c r="F3368" t="s">
        <v>20</v>
      </c>
      <c r="G3368" t="s">
        <v>21</v>
      </c>
      <c r="H3368" t="str">
        <f>"CLE202006028573"</f>
        <v>CLE202006028573</v>
      </c>
      <c r="I3368" t="str">
        <f>"CLEAT ONLY DUES"</f>
        <v>CLEAT ONLY DUES</v>
      </c>
    </row>
    <row r="3369" spans="1:9" x14ac:dyDescent="0.25">
      <c r="E3369" s="7"/>
      <c r="F3369" t="s">
        <v>20</v>
      </c>
      <c r="G3369" t="s">
        <v>21</v>
      </c>
      <c r="H3369" t="str">
        <f>"PDD202006028573"</f>
        <v>PDD202006028573</v>
      </c>
      <c r="I3369" t="str">
        <f>"POLICE OFFICERS ASSOC DUES"</f>
        <v>POLICE OFFICERS ASSOC DUES</v>
      </c>
    </row>
    <row r="3370" spans="1:9" x14ac:dyDescent="0.25">
      <c r="A3370" s="6">
        <v>43984</v>
      </c>
      <c r="B3370" t="s">
        <v>91</v>
      </c>
      <c r="C3370">
        <v>64107</v>
      </c>
      <c r="D3370" t="s">
        <v>90</v>
      </c>
      <c r="E3370" s="7">
        <v>101.1</v>
      </c>
      <c r="F3370" t="s">
        <v>20</v>
      </c>
      <c r="G3370" t="s">
        <v>21</v>
      </c>
      <c r="H3370" t="str">
        <f>"AFS202006028573"</f>
        <v>AFS202006028573</v>
      </c>
      <c r="I3370" t="str">
        <f>"AFLAC STD"</f>
        <v>AFLAC STD</v>
      </c>
    </row>
    <row r="3371" spans="1:9" x14ac:dyDescent="0.25">
      <c r="A3371" s="6">
        <v>43984</v>
      </c>
      <c r="B3371" t="s">
        <v>91</v>
      </c>
      <c r="C3371">
        <v>64107</v>
      </c>
      <c r="D3371" t="s">
        <v>90</v>
      </c>
      <c r="E3371" s="7">
        <v>101.1</v>
      </c>
      <c r="F3371" t="s">
        <v>20</v>
      </c>
      <c r="G3371" t="s">
        <v>93</v>
      </c>
      <c r="H3371" t="str">
        <f>"CHECK"</f>
        <v>CHECK</v>
      </c>
      <c r="I3371" t="str">
        <f>""</f>
        <v/>
      </c>
    </row>
    <row r="3372" spans="1:9" x14ac:dyDescent="0.25">
      <c r="A3372" s="6">
        <v>43984</v>
      </c>
      <c r="B3372" t="s">
        <v>26</v>
      </c>
      <c r="C3372">
        <v>64108</v>
      </c>
      <c r="D3372" t="s">
        <v>52</v>
      </c>
      <c r="E3372" s="7">
        <v>677.07</v>
      </c>
      <c r="F3372" t="s">
        <v>20</v>
      </c>
      <c r="G3372" t="s">
        <v>21</v>
      </c>
      <c r="H3372" t="str">
        <f>"CA1202006028573"</f>
        <v>CA1202006028573</v>
      </c>
      <c r="I3372" t="str">
        <f>"K RAMIREZ 001200229510060343CV"</f>
        <v>K RAMIREZ 001200229510060343CV</v>
      </c>
    </row>
    <row r="3373" spans="1:9" x14ac:dyDescent="0.25">
      <c r="E3373" s="7"/>
      <c r="F3373" t="s">
        <v>20</v>
      </c>
      <c r="G3373" t="s">
        <v>21</v>
      </c>
      <c r="H3373" t="str">
        <f>"CA2202006028573"</f>
        <v>CA2202006028573</v>
      </c>
      <c r="I3373" t="str">
        <f>"L HERNANDEZ 001016025203080354"</f>
        <v>L HERNANDEZ 001016025203080354</v>
      </c>
    </row>
    <row r="3374" spans="1:9" x14ac:dyDescent="0.25">
      <c r="E3374" s="7"/>
      <c r="F3374" t="s">
        <v>20</v>
      </c>
      <c r="G3374" t="s">
        <v>21</v>
      </c>
      <c r="H3374" t="str">
        <f>"CPS202006028573"</f>
        <v>CPS202006028573</v>
      </c>
      <c r="I3374" t="str">
        <f>"G MENDOZA 00123012032010EM5054"</f>
        <v>G MENDOZA 00123012032010EM5054</v>
      </c>
    </row>
    <row r="3375" spans="1:9" x14ac:dyDescent="0.25">
      <c r="E3375" s="7"/>
      <c r="F3375" t="s">
        <v>20</v>
      </c>
      <c r="G3375" t="s">
        <v>21</v>
      </c>
      <c r="H3375" t="str">
        <f>"CSA202006028573"</f>
        <v>CSA202006028573</v>
      </c>
      <c r="I3375" t="str">
        <f>"S RODRIGUEZ 001281730413050336"</f>
        <v>S RODRIGUEZ 001281730413050336</v>
      </c>
    </row>
    <row r="3376" spans="1:9" x14ac:dyDescent="0.25">
      <c r="A3376" s="6">
        <v>43984</v>
      </c>
      <c r="B3376" t="s">
        <v>26</v>
      </c>
      <c r="C3376">
        <v>64109</v>
      </c>
      <c r="D3376" t="s">
        <v>54</v>
      </c>
      <c r="E3376" s="7">
        <v>1414.48</v>
      </c>
      <c r="F3376" t="s">
        <v>20</v>
      </c>
      <c r="G3376" t="s">
        <v>21</v>
      </c>
      <c r="H3376" t="str">
        <f>"457202006028573"</f>
        <v>457202006028573</v>
      </c>
      <c r="I3376" t="str">
        <f>"CASE # 180-60751 457B DEDUCT"</f>
        <v>CASE # 180-60751 457B DEDUCT</v>
      </c>
    </row>
    <row r="3377" spans="1:9" x14ac:dyDescent="0.25">
      <c r="A3377" s="6">
        <v>43985</v>
      </c>
      <c r="B3377" t="s">
        <v>26</v>
      </c>
      <c r="C3377">
        <v>64110</v>
      </c>
      <c r="D3377" t="s">
        <v>57</v>
      </c>
      <c r="E3377" s="7">
        <v>25519.94</v>
      </c>
      <c r="F3377" t="s">
        <v>20</v>
      </c>
      <c r="G3377" t="s">
        <v>21</v>
      </c>
      <c r="H3377" t="str">
        <f>"MAY 2020 11617"</f>
        <v>MAY 2020 11617</v>
      </c>
      <c r="I3377" t="str">
        <f>"F.E.L.P.S."</f>
        <v>F.E.L.P.S.</v>
      </c>
    </row>
    <row r="3378" spans="1:9" x14ac:dyDescent="0.25">
      <c r="A3378" s="6">
        <v>43985</v>
      </c>
      <c r="B3378" t="s">
        <v>26</v>
      </c>
      <c r="C3378">
        <v>64111</v>
      </c>
      <c r="D3378" t="s">
        <v>59</v>
      </c>
      <c r="E3378" s="7">
        <v>4653.0200000000004</v>
      </c>
      <c r="F3378" t="s">
        <v>20</v>
      </c>
      <c r="G3378" t="s">
        <v>21</v>
      </c>
      <c r="H3378" t="str">
        <f>"1040073-1*REISSUE"</f>
        <v>1040073-1*REISSUE</v>
      </c>
      <c r="I3378" t="str">
        <f t="shared" ref="I3378:I3383" si="63">"FERGUSON WATERWORKS - MUNICIPA"</f>
        <v>FERGUSON WATERWORKS - MUNICIPA</v>
      </c>
    </row>
    <row r="3379" spans="1:9" x14ac:dyDescent="0.25">
      <c r="E3379" s="7"/>
      <c r="F3379" t="s">
        <v>20</v>
      </c>
      <c r="G3379" t="s">
        <v>21</v>
      </c>
      <c r="H3379" t="str">
        <f>"1041129*REISSUE"</f>
        <v>1041129*REISSUE</v>
      </c>
      <c r="I3379" t="str">
        <f t="shared" si="63"/>
        <v>FERGUSON WATERWORKS - MUNICIPA</v>
      </c>
    </row>
    <row r="3380" spans="1:9" x14ac:dyDescent="0.25">
      <c r="E3380" s="7"/>
      <c r="F3380" t="s">
        <v>20</v>
      </c>
      <c r="G3380" t="s">
        <v>21</v>
      </c>
      <c r="H3380" t="str">
        <f>"1041130* REISSUE"</f>
        <v>1041130* REISSUE</v>
      </c>
      <c r="I3380" t="str">
        <f t="shared" si="63"/>
        <v>FERGUSON WATERWORKS - MUNICIPA</v>
      </c>
    </row>
    <row r="3381" spans="1:9" x14ac:dyDescent="0.25">
      <c r="E3381" s="7"/>
      <c r="F3381" t="s">
        <v>20</v>
      </c>
      <c r="G3381" t="s">
        <v>21</v>
      </c>
      <c r="H3381" t="str">
        <f>"1041252-1*REISSUE"</f>
        <v>1041252-1*REISSUE</v>
      </c>
      <c r="I3381" t="str">
        <f t="shared" si="63"/>
        <v>FERGUSON WATERWORKS - MUNICIPA</v>
      </c>
    </row>
    <row r="3382" spans="1:9" x14ac:dyDescent="0.25">
      <c r="E3382" s="7"/>
      <c r="F3382" t="s">
        <v>20</v>
      </c>
      <c r="G3382" t="s">
        <v>21</v>
      </c>
      <c r="H3382" t="str">
        <f>"1064988*REISSUE"</f>
        <v>1064988*REISSUE</v>
      </c>
      <c r="I3382" t="str">
        <f t="shared" si="63"/>
        <v>FERGUSON WATERWORKS - MUNICIPA</v>
      </c>
    </row>
    <row r="3383" spans="1:9" x14ac:dyDescent="0.25">
      <c r="E3383" s="7"/>
      <c r="F3383" t="s">
        <v>20</v>
      </c>
      <c r="G3383" t="s">
        <v>21</v>
      </c>
      <c r="H3383" t="str">
        <f>"1065340*REISSUE"</f>
        <v>1065340*REISSUE</v>
      </c>
      <c r="I3383" t="str">
        <f t="shared" si="63"/>
        <v>FERGUSON WATERWORKS - MUNICIPA</v>
      </c>
    </row>
    <row r="3384" spans="1:9" x14ac:dyDescent="0.25">
      <c r="A3384" s="6">
        <v>43985</v>
      </c>
      <c r="B3384" t="s">
        <v>26</v>
      </c>
      <c r="C3384">
        <v>64112</v>
      </c>
      <c r="D3384" t="s">
        <v>250</v>
      </c>
      <c r="E3384" s="7">
        <v>268.14999999999998</v>
      </c>
      <c r="F3384" t="s">
        <v>20</v>
      </c>
      <c r="G3384" t="s">
        <v>21</v>
      </c>
      <c r="H3384" t="str">
        <f>"SO50945"</f>
        <v>SO50945</v>
      </c>
      <c r="I3384" t="str">
        <f>"MATERA PAPER CO  LTD."</f>
        <v>MATERA PAPER CO  LTD.</v>
      </c>
    </row>
    <row r="3385" spans="1:9" x14ac:dyDescent="0.25">
      <c r="A3385" s="6">
        <v>43985</v>
      </c>
      <c r="B3385" t="s">
        <v>26</v>
      </c>
      <c r="C3385">
        <v>64113</v>
      </c>
      <c r="D3385" t="s">
        <v>90</v>
      </c>
      <c r="E3385" s="7">
        <v>2900.61</v>
      </c>
      <c r="F3385" t="s">
        <v>20</v>
      </c>
      <c r="G3385" t="s">
        <v>21</v>
      </c>
      <c r="H3385" t="str">
        <f>"724320"</f>
        <v>724320</v>
      </c>
      <c r="I3385" t="str">
        <f>"AFLAC"</f>
        <v>AFLAC</v>
      </c>
    </row>
    <row r="3386" spans="1:9" x14ac:dyDescent="0.25">
      <c r="A3386" s="6">
        <v>43985</v>
      </c>
      <c r="B3386" t="s">
        <v>26</v>
      </c>
      <c r="C3386">
        <v>64114</v>
      </c>
      <c r="D3386" t="s">
        <v>918</v>
      </c>
      <c r="E3386" s="7">
        <v>250</v>
      </c>
      <c r="F3386" t="s">
        <v>20</v>
      </c>
      <c r="G3386" t="s">
        <v>21</v>
      </c>
      <c r="H3386" t="str">
        <f>"RFND 10/11/20 WDNG"</f>
        <v>RFND 10/11/20 WDNG</v>
      </c>
      <c r="I3386" t="str">
        <f>"REFUND"</f>
        <v>REFUND</v>
      </c>
    </row>
    <row r="3387" spans="1:9" x14ac:dyDescent="0.25">
      <c r="A3387" s="6">
        <v>43985</v>
      </c>
      <c r="B3387" t="s">
        <v>26</v>
      </c>
      <c r="C3387">
        <v>64115</v>
      </c>
      <c r="D3387" t="s">
        <v>919</v>
      </c>
      <c r="E3387" s="7">
        <v>500</v>
      </c>
      <c r="F3387" t="s">
        <v>20</v>
      </c>
      <c r="G3387" t="s">
        <v>21</v>
      </c>
      <c r="H3387" t="str">
        <f>"RFND 10/3/20 WDNG"</f>
        <v>RFND 10/3/20 WDNG</v>
      </c>
      <c r="I3387" t="str">
        <f>"REFUND"</f>
        <v>REFUND</v>
      </c>
    </row>
    <row r="3388" spans="1:9" x14ac:dyDescent="0.25">
      <c r="A3388" s="6">
        <v>43985</v>
      </c>
      <c r="B3388" t="s">
        <v>26</v>
      </c>
      <c r="C3388">
        <v>64116</v>
      </c>
      <c r="D3388" t="s">
        <v>920</v>
      </c>
      <c r="E3388" s="7">
        <v>800</v>
      </c>
      <c r="F3388" t="s">
        <v>20</v>
      </c>
      <c r="G3388" t="s">
        <v>21</v>
      </c>
      <c r="H3388" t="str">
        <f>"RFND 6/20/20 WDNG"</f>
        <v>RFND 6/20/20 WDNG</v>
      </c>
      <c r="I3388" t="str">
        <f>"REFUND"</f>
        <v>REFUND</v>
      </c>
    </row>
    <row r="3389" spans="1:9" x14ac:dyDescent="0.25">
      <c r="A3389" s="6">
        <v>43985</v>
      </c>
      <c r="B3389" t="s">
        <v>26</v>
      </c>
      <c r="C3389">
        <v>64117</v>
      </c>
      <c r="D3389" t="s">
        <v>921</v>
      </c>
      <c r="E3389" s="7">
        <v>800</v>
      </c>
      <c r="F3389" t="s">
        <v>20</v>
      </c>
      <c r="G3389" t="s">
        <v>21</v>
      </c>
      <c r="H3389" t="str">
        <f>"RFND FISD 2020PROM"</f>
        <v>RFND FISD 2020PROM</v>
      </c>
      <c r="I3389" t="str">
        <f>"REFUND"</f>
        <v>REFUND</v>
      </c>
    </row>
    <row r="3390" spans="1:9" x14ac:dyDescent="0.25">
      <c r="A3390" s="6">
        <v>43985</v>
      </c>
      <c r="B3390" t="s">
        <v>26</v>
      </c>
      <c r="C3390">
        <v>64118</v>
      </c>
      <c r="D3390" t="s">
        <v>922</v>
      </c>
      <c r="E3390" s="7">
        <v>800</v>
      </c>
      <c r="F3390" t="s">
        <v>20</v>
      </c>
      <c r="G3390" t="s">
        <v>21</v>
      </c>
      <c r="H3390" t="str">
        <f>"RFND LVRNA PROM 20"</f>
        <v>RFND LVRNA PROM 20</v>
      </c>
      <c r="I3390" t="str">
        <f>"REFUND"</f>
        <v>REFUND</v>
      </c>
    </row>
    <row r="3391" spans="1:9" x14ac:dyDescent="0.25">
      <c r="A3391" s="6">
        <v>43985</v>
      </c>
      <c r="B3391" t="s">
        <v>26</v>
      </c>
      <c r="C3391">
        <v>64119</v>
      </c>
      <c r="D3391" t="s">
        <v>0</v>
      </c>
      <c r="E3391" s="7">
        <v>2679.61</v>
      </c>
      <c r="F3391" t="s">
        <v>20</v>
      </c>
      <c r="G3391" t="s">
        <v>21</v>
      </c>
      <c r="H3391" t="str">
        <f>"MAY 2020"</f>
        <v>MAY 2020</v>
      </c>
      <c r="I3391" t="str">
        <f>"CITY OF FLORESVILLE"</f>
        <v>CITY OF FLORESVILLE</v>
      </c>
    </row>
    <row r="3392" spans="1:9" x14ac:dyDescent="0.25">
      <c r="A3392" s="6">
        <v>43985</v>
      </c>
      <c r="B3392" t="s">
        <v>26</v>
      </c>
      <c r="C3392">
        <v>64120</v>
      </c>
      <c r="D3392" t="s">
        <v>64</v>
      </c>
      <c r="E3392" s="7">
        <v>5588</v>
      </c>
      <c r="F3392" t="s">
        <v>20</v>
      </c>
      <c r="G3392" t="s">
        <v>21</v>
      </c>
      <c r="H3392" t="str">
        <f>"8149"</f>
        <v>8149</v>
      </c>
      <c r="I3392" t="str">
        <f>"DREWA DESIGNS  INC."</f>
        <v>DREWA DESIGNS  INC.</v>
      </c>
    </row>
    <row r="3393" spans="1:9" x14ac:dyDescent="0.25">
      <c r="A3393" s="6">
        <v>43985</v>
      </c>
      <c r="B3393" t="s">
        <v>26</v>
      </c>
      <c r="C3393">
        <v>64121</v>
      </c>
      <c r="D3393" t="s">
        <v>186</v>
      </c>
      <c r="E3393" s="7">
        <v>7612.42</v>
      </c>
      <c r="F3393" t="s">
        <v>20</v>
      </c>
      <c r="G3393" t="s">
        <v>21</v>
      </c>
      <c r="H3393" t="str">
        <f>"3RD QRT7/1-9/30/20"</f>
        <v>3RD QRT7/1-9/30/20</v>
      </c>
      <c r="I3393" t="str">
        <f>"WILSON COUNTY APPRAISAL DISTRI"</f>
        <v>WILSON COUNTY APPRAISAL DISTRI</v>
      </c>
    </row>
    <row r="3394" spans="1:9" x14ac:dyDescent="0.25">
      <c r="A3394" s="6">
        <v>43985</v>
      </c>
      <c r="B3394" t="s">
        <v>26</v>
      </c>
      <c r="C3394">
        <v>64122</v>
      </c>
      <c r="D3394" t="s">
        <v>560</v>
      </c>
      <c r="E3394" s="7">
        <v>1072</v>
      </c>
      <c r="F3394" t="s">
        <v>20</v>
      </c>
      <c r="G3394" t="s">
        <v>21</v>
      </c>
      <c r="H3394" t="str">
        <f>"WS00314"</f>
        <v>WS00314</v>
      </c>
      <c r="I3394" t="str">
        <f>"KINLOCH EQUIPMENT &amp; SUPPLY  IN"</f>
        <v>KINLOCH EQUIPMENT &amp; SUPPLY  IN</v>
      </c>
    </row>
    <row r="3395" spans="1:9" x14ac:dyDescent="0.25">
      <c r="A3395" s="6">
        <v>43985</v>
      </c>
      <c r="B3395" t="s">
        <v>26</v>
      </c>
      <c r="C3395">
        <v>64123</v>
      </c>
      <c r="D3395" t="s">
        <v>95</v>
      </c>
      <c r="E3395" s="7">
        <v>64.959999999999994</v>
      </c>
      <c r="F3395" t="s">
        <v>20</v>
      </c>
      <c r="G3395" t="s">
        <v>21</v>
      </c>
      <c r="H3395" t="str">
        <f>"202005123"</f>
        <v>202005123</v>
      </c>
      <c r="I3395" t="str">
        <f>"LEGAL PLANS"</f>
        <v>LEGAL PLANS</v>
      </c>
    </row>
    <row r="3396" spans="1:9" x14ac:dyDescent="0.25">
      <c r="A3396" s="6">
        <v>43985</v>
      </c>
      <c r="B3396" t="s">
        <v>26</v>
      </c>
      <c r="C3396">
        <v>64124</v>
      </c>
      <c r="D3396" t="s">
        <v>74</v>
      </c>
      <c r="E3396" s="7">
        <v>3478.84</v>
      </c>
      <c r="F3396" t="s">
        <v>20</v>
      </c>
      <c r="G3396" t="s">
        <v>21</v>
      </c>
      <c r="H3396" t="str">
        <f>"9855280131"</f>
        <v>9855280131</v>
      </c>
      <c r="I3396" t="str">
        <f>"VERIZON WIRELESS"</f>
        <v>VERIZON WIRELESS</v>
      </c>
    </row>
    <row r="3397" spans="1:9" x14ac:dyDescent="0.25">
      <c r="A3397" s="6">
        <v>43985</v>
      </c>
      <c r="B3397" t="s">
        <v>26</v>
      </c>
      <c r="C3397">
        <v>64125</v>
      </c>
      <c r="D3397" t="s">
        <v>80</v>
      </c>
      <c r="E3397" s="7">
        <v>1500</v>
      </c>
      <c r="F3397" t="s">
        <v>20</v>
      </c>
      <c r="G3397" t="s">
        <v>21</v>
      </c>
      <c r="H3397" t="str">
        <f>"1648-20200601-1"</f>
        <v>1648-20200601-1</v>
      </c>
      <c r="I3397" t="str">
        <f>"LVWIFI.COM"</f>
        <v>LVWIFI.COM</v>
      </c>
    </row>
    <row r="3398" spans="1:9" x14ac:dyDescent="0.25">
      <c r="E3398" s="7"/>
      <c r="F3398" t="s">
        <v>20</v>
      </c>
      <c r="G3398" t="s">
        <v>21</v>
      </c>
      <c r="H3398" t="str">
        <f>"2313-20200601-1"</f>
        <v>2313-20200601-1</v>
      </c>
      <c r="I3398" t="str">
        <f>"LVWIFI.COM"</f>
        <v>LVWIFI.COM</v>
      </c>
    </row>
    <row r="3399" spans="1:9" x14ac:dyDescent="0.25">
      <c r="A3399" s="6">
        <v>43985</v>
      </c>
      <c r="B3399" t="s">
        <v>26</v>
      </c>
      <c r="C3399">
        <v>64126</v>
      </c>
      <c r="D3399" t="s">
        <v>98</v>
      </c>
      <c r="E3399" s="7">
        <v>4080.02</v>
      </c>
      <c r="F3399" t="s">
        <v>20</v>
      </c>
      <c r="G3399" t="s">
        <v>21</v>
      </c>
      <c r="H3399" t="str">
        <f>"JUNE 2020"</f>
        <v>JUNE 2020</v>
      </c>
      <c r="I3399" t="str">
        <f>"DEARBORN LIFE INSURANCE COMPAN"</f>
        <v>DEARBORN LIFE INSURANCE COMPAN</v>
      </c>
    </row>
    <row r="3400" spans="1:9" x14ac:dyDescent="0.25">
      <c r="A3400" s="6">
        <v>43985</v>
      </c>
      <c r="B3400" t="s">
        <v>26</v>
      </c>
      <c r="C3400">
        <v>64128</v>
      </c>
      <c r="D3400" t="s">
        <v>85</v>
      </c>
      <c r="E3400" s="7">
        <v>807.75</v>
      </c>
      <c r="F3400" t="s">
        <v>20</v>
      </c>
      <c r="G3400" t="s">
        <v>21</v>
      </c>
      <c r="H3400" t="str">
        <f>"2162691 MAY 2020"</f>
        <v>2162691 MAY 2020</v>
      </c>
      <c r="I3400" t="str">
        <f t="shared" ref="I3400:I3406" si="64">"FRONTIER"</f>
        <v>FRONTIER</v>
      </c>
    </row>
    <row r="3401" spans="1:9" x14ac:dyDescent="0.25">
      <c r="E3401" s="7"/>
      <c r="F3401" t="s">
        <v>20</v>
      </c>
      <c r="G3401" t="s">
        <v>21</v>
      </c>
      <c r="H3401" t="str">
        <f>"3932056 APR 2020"</f>
        <v>3932056 APR 2020</v>
      </c>
      <c r="I3401" t="str">
        <f t="shared" si="64"/>
        <v>FRONTIER</v>
      </c>
    </row>
    <row r="3402" spans="1:9" x14ac:dyDescent="0.25">
      <c r="E3402" s="7"/>
      <c r="F3402" t="s">
        <v>20</v>
      </c>
      <c r="G3402" t="s">
        <v>21</v>
      </c>
      <c r="H3402" t="str">
        <f>"3933186 MAY 2020"</f>
        <v>3933186 MAY 2020</v>
      </c>
      <c r="I3402" t="str">
        <f t="shared" si="64"/>
        <v>FRONTIER</v>
      </c>
    </row>
    <row r="3403" spans="1:9" x14ac:dyDescent="0.25">
      <c r="E3403" s="7"/>
      <c r="F3403" t="s">
        <v>20</v>
      </c>
      <c r="G3403" t="s">
        <v>21</v>
      </c>
      <c r="H3403" t="str">
        <f>"3933718 APR.2020"</f>
        <v>3933718 APR.2020</v>
      </c>
      <c r="I3403" t="str">
        <f t="shared" si="64"/>
        <v>FRONTIER</v>
      </c>
    </row>
    <row r="3404" spans="1:9" x14ac:dyDescent="0.25">
      <c r="E3404" s="7"/>
      <c r="F3404" t="s">
        <v>20</v>
      </c>
      <c r="G3404" t="s">
        <v>21</v>
      </c>
      <c r="H3404" t="str">
        <f>"3936616 APR 2020"</f>
        <v>3936616 APR 2020</v>
      </c>
      <c r="I3404" t="str">
        <f t="shared" si="64"/>
        <v>FRONTIER</v>
      </c>
    </row>
    <row r="3405" spans="1:9" x14ac:dyDescent="0.25">
      <c r="E3405" s="7"/>
      <c r="F3405" t="s">
        <v>20</v>
      </c>
      <c r="G3405" t="s">
        <v>21</v>
      </c>
      <c r="H3405" t="str">
        <f>"3939456 MAY 2020"</f>
        <v>3939456 MAY 2020</v>
      </c>
      <c r="I3405" t="str">
        <f t="shared" si="64"/>
        <v>FRONTIER</v>
      </c>
    </row>
    <row r="3406" spans="1:9" x14ac:dyDescent="0.25">
      <c r="E3406" s="7"/>
      <c r="F3406" t="s">
        <v>20</v>
      </c>
      <c r="G3406" t="s">
        <v>21</v>
      </c>
      <c r="H3406" t="str">
        <f>"8301970045 4/2020"</f>
        <v>8301970045 4/2020</v>
      </c>
      <c r="I3406" t="str">
        <f t="shared" si="64"/>
        <v>FRONTIER</v>
      </c>
    </row>
    <row r="3407" spans="1:9" x14ac:dyDescent="0.25">
      <c r="A3407" s="6">
        <v>43985</v>
      </c>
      <c r="B3407" t="s">
        <v>26</v>
      </c>
      <c r="C3407">
        <v>64130</v>
      </c>
      <c r="D3407" t="s">
        <v>48</v>
      </c>
      <c r="E3407" s="7">
        <v>855</v>
      </c>
      <c r="F3407" t="s">
        <v>20</v>
      </c>
      <c r="G3407" t="s">
        <v>21</v>
      </c>
      <c r="H3407" t="str">
        <f>"1812"</f>
        <v>1812</v>
      </c>
      <c r="I3407" t="str">
        <f>"RANDY HOLLAR  LLC"</f>
        <v>RANDY HOLLAR  LLC</v>
      </c>
    </row>
    <row r="3408" spans="1:9" x14ac:dyDescent="0.25">
      <c r="A3408" s="6">
        <v>43985</v>
      </c>
      <c r="B3408" t="s">
        <v>26</v>
      </c>
      <c r="C3408">
        <v>64131</v>
      </c>
      <c r="D3408" t="s">
        <v>644</v>
      </c>
      <c r="E3408" s="7">
        <v>659.39</v>
      </c>
      <c r="F3408" t="s">
        <v>20</v>
      </c>
      <c r="G3408" t="s">
        <v>21</v>
      </c>
      <c r="H3408" t="str">
        <f>"8213464933"</f>
        <v>8213464933</v>
      </c>
      <c r="I3408" t="str">
        <f t="shared" ref="I3408:I3414" si="65">"UNIFIRST CORPORATION"</f>
        <v>UNIFIRST CORPORATION</v>
      </c>
    </row>
    <row r="3409" spans="1:9" x14ac:dyDescent="0.25">
      <c r="E3409" s="7"/>
      <c r="F3409" t="s">
        <v>20</v>
      </c>
      <c r="G3409" t="s">
        <v>21</v>
      </c>
      <c r="H3409" t="str">
        <f>"8213464934"</f>
        <v>8213464934</v>
      </c>
      <c r="I3409" t="str">
        <f t="shared" si="65"/>
        <v>UNIFIRST CORPORATION</v>
      </c>
    </row>
    <row r="3410" spans="1:9" x14ac:dyDescent="0.25">
      <c r="E3410" s="7"/>
      <c r="F3410" t="s">
        <v>20</v>
      </c>
      <c r="G3410" t="s">
        <v>21</v>
      </c>
      <c r="H3410" t="str">
        <f>"8213464935"</f>
        <v>8213464935</v>
      </c>
      <c r="I3410" t="str">
        <f t="shared" si="65"/>
        <v>UNIFIRST CORPORATION</v>
      </c>
    </row>
    <row r="3411" spans="1:9" x14ac:dyDescent="0.25">
      <c r="E3411" s="7"/>
      <c r="F3411" t="s">
        <v>20</v>
      </c>
      <c r="G3411" t="s">
        <v>21</v>
      </c>
      <c r="H3411" t="str">
        <f>"8213464936"</f>
        <v>8213464936</v>
      </c>
      <c r="I3411" t="str">
        <f t="shared" si="65"/>
        <v>UNIFIRST CORPORATION</v>
      </c>
    </row>
    <row r="3412" spans="1:9" x14ac:dyDescent="0.25">
      <c r="E3412" s="7"/>
      <c r="F3412" t="s">
        <v>20</v>
      </c>
      <c r="G3412" t="s">
        <v>21</v>
      </c>
      <c r="H3412" t="str">
        <f>"8213464937"</f>
        <v>8213464937</v>
      </c>
      <c r="I3412" t="str">
        <f t="shared" si="65"/>
        <v>UNIFIRST CORPORATION</v>
      </c>
    </row>
    <row r="3413" spans="1:9" x14ac:dyDescent="0.25">
      <c r="E3413" s="7"/>
      <c r="F3413" t="s">
        <v>20</v>
      </c>
      <c r="G3413" t="s">
        <v>21</v>
      </c>
      <c r="H3413" t="str">
        <f>"8213464938"</f>
        <v>8213464938</v>
      </c>
      <c r="I3413" t="str">
        <f t="shared" si="65"/>
        <v>UNIFIRST CORPORATION</v>
      </c>
    </row>
    <row r="3414" spans="1:9" x14ac:dyDescent="0.25">
      <c r="E3414" s="7"/>
      <c r="F3414" t="s">
        <v>20</v>
      </c>
      <c r="G3414" t="s">
        <v>21</v>
      </c>
      <c r="H3414" t="str">
        <f>"8213464939"</f>
        <v>8213464939</v>
      </c>
      <c r="I3414" t="str">
        <f t="shared" si="65"/>
        <v>UNIFIRST CORPORATION</v>
      </c>
    </row>
    <row r="3415" spans="1:9" x14ac:dyDescent="0.25">
      <c r="A3415" s="6">
        <v>43986</v>
      </c>
      <c r="B3415" t="s">
        <v>91</v>
      </c>
      <c r="C3415">
        <v>64133</v>
      </c>
      <c r="D3415" t="s">
        <v>90</v>
      </c>
      <c r="E3415" s="7">
        <v>2084.73</v>
      </c>
      <c r="F3415" t="s">
        <v>20</v>
      </c>
      <c r="G3415" t="s">
        <v>21</v>
      </c>
      <c r="H3415" t="str">
        <f>"ACA202005058571"</f>
        <v>ACA202005058571</v>
      </c>
      <c r="I3415" t="str">
        <f t="shared" ref="I3415:I3420" si="66">"AFLAC INSURANCE"</f>
        <v>AFLAC INSURANCE</v>
      </c>
    </row>
    <row r="3416" spans="1:9" x14ac:dyDescent="0.25">
      <c r="E3416" s="7"/>
      <c r="F3416" t="s">
        <v>20</v>
      </c>
      <c r="G3416" t="s">
        <v>21</v>
      </c>
      <c r="H3416" t="str">
        <f>"ACA202005198572"</f>
        <v>ACA202005198572</v>
      </c>
      <c r="I3416" t="str">
        <f t="shared" si="66"/>
        <v>AFLAC INSURANCE</v>
      </c>
    </row>
    <row r="3417" spans="1:9" x14ac:dyDescent="0.25">
      <c r="E3417" s="7"/>
      <c r="F3417" t="s">
        <v>20</v>
      </c>
      <c r="G3417" t="s">
        <v>21</v>
      </c>
      <c r="H3417" t="str">
        <f>"ACA202006028573"</f>
        <v>ACA202006028573</v>
      </c>
      <c r="I3417" t="str">
        <f t="shared" si="66"/>
        <v>AFLAC INSURANCE</v>
      </c>
    </row>
    <row r="3418" spans="1:9" x14ac:dyDescent="0.25">
      <c r="E3418" s="7"/>
      <c r="F3418" t="s">
        <v>20</v>
      </c>
      <c r="G3418" t="s">
        <v>21</v>
      </c>
      <c r="H3418" t="str">
        <f>"AD2202005058571"</f>
        <v>AD2202005058571</v>
      </c>
      <c r="I3418" t="str">
        <f t="shared" si="66"/>
        <v>AFLAC INSURANCE</v>
      </c>
    </row>
    <row r="3419" spans="1:9" x14ac:dyDescent="0.25">
      <c r="E3419" s="7"/>
      <c r="F3419" t="s">
        <v>20</v>
      </c>
      <c r="G3419" t="s">
        <v>21</v>
      </c>
      <c r="H3419" t="str">
        <f>"AD2202005198572"</f>
        <v>AD2202005198572</v>
      </c>
      <c r="I3419" t="str">
        <f t="shared" si="66"/>
        <v>AFLAC INSURANCE</v>
      </c>
    </row>
    <row r="3420" spans="1:9" x14ac:dyDescent="0.25">
      <c r="E3420" s="7"/>
      <c r="F3420" t="s">
        <v>20</v>
      </c>
      <c r="G3420" t="s">
        <v>21</v>
      </c>
      <c r="H3420" t="str">
        <f>"AD2202006028573"</f>
        <v>AD2202006028573</v>
      </c>
      <c r="I3420" t="str">
        <f t="shared" si="66"/>
        <v>AFLAC INSURANCE</v>
      </c>
    </row>
    <row r="3421" spans="1:9" x14ac:dyDescent="0.25">
      <c r="E3421" s="7"/>
      <c r="F3421" t="s">
        <v>20</v>
      </c>
      <c r="G3421" t="s">
        <v>21</v>
      </c>
      <c r="H3421" t="str">
        <f>"ADR202005058571"</f>
        <v>ADR202005058571</v>
      </c>
      <c r="I3421" t="str">
        <f>"INSURANCE"</f>
        <v>INSURANCE</v>
      </c>
    </row>
    <row r="3422" spans="1:9" x14ac:dyDescent="0.25">
      <c r="E3422" s="7"/>
      <c r="F3422" t="s">
        <v>20</v>
      </c>
      <c r="G3422" t="s">
        <v>21</v>
      </c>
      <c r="H3422" t="str">
        <f>"ADR202005198572"</f>
        <v>ADR202005198572</v>
      </c>
      <c r="I3422" t="str">
        <f>"INSURANCE"</f>
        <v>INSURANCE</v>
      </c>
    </row>
    <row r="3423" spans="1:9" x14ac:dyDescent="0.25">
      <c r="E3423" s="7"/>
      <c r="F3423" t="s">
        <v>20</v>
      </c>
      <c r="G3423" t="s">
        <v>21</v>
      </c>
      <c r="H3423" t="str">
        <f>"ADR202006028573"</f>
        <v>ADR202006028573</v>
      </c>
      <c r="I3423" t="str">
        <f>"INSURANCE"</f>
        <v>INSURANCE</v>
      </c>
    </row>
    <row r="3424" spans="1:9" x14ac:dyDescent="0.25">
      <c r="E3424" s="7"/>
      <c r="F3424" t="s">
        <v>20</v>
      </c>
      <c r="G3424" t="s">
        <v>21</v>
      </c>
      <c r="H3424" t="str">
        <f>"AF1202005058571"</f>
        <v>AF1202005058571</v>
      </c>
      <c r="I3424" t="str">
        <f t="shared" ref="I3424:I3431" si="67">"AFLAC INSURANCE"</f>
        <v>AFLAC INSURANCE</v>
      </c>
    </row>
    <row r="3425" spans="1:9" x14ac:dyDescent="0.25">
      <c r="E3425" s="7"/>
      <c r="F3425" t="s">
        <v>20</v>
      </c>
      <c r="G3425" t="s">
        <v>21</v>
      </c>
      <c r="H3425" t="str">
        <f>"AF1202005198572"</f>
        <v>AF1202005198572</v>
      </c>
      <c r="I3425" t="str">
        <f t="shared" si="67"/>
        <v>AFLAC INSURANCE</v>
      </c>
    </row>
    <row r="3426" spans="1:9" x14ac:dyDescent="0.25">
      <c r="E3426" s="7"/>
      <c r="F3426" t="s">
        <v>20</v>
      </c>
      <c r="G3426" t="s">
        <v>21</v>
      </c>
      <c r="H3426" t="str">
        <f>"ASP202005058571"</f>
        <v>ASP202005058571</v>
      </c>
      <c r="I3426" t="str">
        <f t="shared" si="67"/>
        <v>AFLAC INSURANCE</v>
      </c>
    </row>
    <row r="3427" spans="1:9" x14ac:dyDescent="0.25">
      <c r="E3427" s="7"/>
      <c r="F3427" t="s">
        <v>20</v>
      </c>
      <c r="G3427" t="s">
        <v>21</v>
      </c>
      <c r="H3427" t="str">
        <f>"ASP202005198572"</f>
        <v>ASP202005198572</v>
      </c>
      <c r="I3427" t="str">
        <f t="shared" si="67"/>
        <v>AFLAC INSURANCE</v>
      </c>
    </row>
    <row r="3428" spans="1:9" x14ac:dyDescent="0.25">
      <c r="E3428" s="7"/>
      <c r="F3428" t="s">
        <v>20</v>
      </c>
      <c r="G3428" t="s">
        <v>21</v>
      </c>
      <c r="H3428" t="str">
        <f>"ASP202006028573"</f>
        <v>ASP202006028573</v>
      </c>
      <c r="I3428" t="str">
        <f t="shared" si="67"/>
        <v>AFLAC INSURANCE</v>
      </c>
    </row>
    <row r="3429" spans="1:9" x14ac:dyDescent="0.25">
      <c r="E3429" s="7"/>
      <c r="F3429" t="s">
        <v>20</v>
      </c>
      <c r="G3429" t="s">
        <v>21</v>
      </c>
      <c r="H3429" t="str">
        <f>"HCO202005058571"</f>
        <v>HCO202005058571</v>
      </c>
      <c r="I3429" t="str">
        <f t="shared" si="67"/>
        <v>AFLAC INSURANCE</v>
      </c>
    </row>
    <row r="3430" spans="1:9" x14ac:dyDescent="0.25">
      <c r="E3430" s="7"/>
      <c r="F3430" t="s">
        <v>20</v>
      </c>
      <c r="G3430" t="s">
        <v>21</v>
      </c>
      <c r="H3430" t="str">
        <f>"HCO202005198572"</f>
        <v>HCO202005198572</v>
      </c>
      <c r="I3430" t="str">
        <f t="shared" si="67"/>
        <v>AFLAC INSURANCE</v>
      </c>
    </row>
    <row r="3431" spans="1:9" x14ac:dyDescent="0.25">
      <c r="E3431" s="7"/>
      <c r="F3431" t="s">
        <v>20</v>
      </c>
      <c r="G3431" t="s">
        <v>21</v>
      </c>
      <c r="H3431" t="str">
        <f>"HCO202006028573"</f>
        <v>HCO202006028573</v>
      </c>
      <c r="I3431" t="str">
        <f t="shared" si="67"/>
        <v>AFLAC INSURANCE</v>
      </c>
    </row>
    <row r="3432" spans="1:9" x14ac:dyDescent="0.25">
      <c r="A3432" s="6">
        <v>43986</v>
      </c>
      <c r="B3432" t="s">
        <v>91</v>
      </c>
      <c r="C3432">
        <v>64133</v>
      </c>
      <c r="D3432" t="s">
        <v>90</v>
      </c>
      <c r="E3432" s="7">
        <v>2084.73</v>
      </c>
      <c r="F3432" t="s">
        <v>20</v>
      </c>
      <c r="G3432" t="s">
        <v>93</v>
      </c>
      <c r="H3432" t="str">
        <f>"CHECK"</f>
        <v>CHECK</v>
      </c>
      <c r="I3432" t="str">
        <f>""</f>
        <v/>
      </c>
    </row>
    <row r="3433" spans="1:9" x14ac:dyDescent="0.25">
      <c r="A3433" s="6">
        <v>43986</v>
      </c>
      <c r="B3433" t="s">
        <v>91</v>
      </c>
      <c r="C3433">
        <v>64140</v>
      </c>
      <c r="D3433" t="s">
        <v>95</v>
      </c>
      <c r="E3433" s="7">
        <v>59.98</v>
      </c>
      <c r="F3433" t="s">
        <v>20</v>
      </c>
      <c r="G3433" t="s">
        <v>21</v>
      </c>
      <c r="H3433" t="str">
        <f>"LEA202005058571"</f>
        <v>LEA202005058571</v>
      </c>
      <c r="I3433" t="str">
        <f>"INSURANCE"</f>
        <v>INSURANCE</v>
      </c>
    </row>
    <row r="3434" spans="1:9" x14ac:dyDescent="0.25">
      <c r="E3434" s="7"/>
      <c r="F3434" t="s">
        <v>20</v>
      </c>
      <c r="G3434" t="s">
        <v>21</v>
      </c>
      <c r="H3434" t="str">
        <f>"LEA202005198572"</f>
        <v>LEA202005198572</v>
      </c>
      <c r="I3434" t="str">
        <f>"INSURANCE"</f>
        <v>INSURANCE</v>
      </c>
    </row>
    <row r="3435" spans="1:9" x14ac:dyDescent="0.25">
      <c r="A3435" s="6">
        <v>43986</v>
      </c>
      <c r="B3435" t="s">
        <v>91</v>
      </c>
      <c r="C3435">
        <v>64140</v>
      </c>
      <c r="D3435" t="s">
        <v>95</v>
      </c>
      <c r="E3435" s="7">
        <v>59.98</v>
      </c>
      <c r="F3435" t="s">
        <v>20</v>
      </c>
      <c r="G3435" t="s">
        <v>93</v>
      </c>
      <c r="H3435" t="str">
        <f>"CHECK"</f>
        <v>CHECK</v>
      </c>
      <c r="I3435" t="str">
        <f>""</f>
        <v/>
      </c>
    </row>
    <row r="3436" spans="1:9" x14ac:dyDescent="0.25">
      <c r="A3436" s="6">
        <v>43986</v>
      </c>
      <c r="B3436" t="s">
        <v>91</v>
      </c>
      <c r="C3436">
        <v>64141</v>
      </c>
      <c r="D3436" t="s">
        <v>96</v>
      </c>
      <c r="E3436" s="7">
        <v>287.86</v>
      </c>
      <c r="F3436" t="s">
        <v>20</v>
      </c>
      <c r="G3436" t="s">
        <v>21</v>
      </c>
      <c r="H3436" t="str">
        <f>"PPL202005058571"</f>
        <v>PPL202005058571</v>
      </c>
      <c r="I3436" t="str">
        <f>"INSURANCE"</f>
        <v>INSURANCE</v>
      </c>
    </row>
    <row r="3437" spans="1:9" x14ac:dyDescent="0.25">
      <c r="E3437" s="7"/>
      <c r="F3437" t="s">
        <v>20</v>
      </c>
      <c r="G3437" t="s">
        <v>21</v>
      </c>
      <c r="H3437" t="str">
        <f>"PPL202005198572"</f>
        <v>PPL202005198572</v>
      </c>
      <c r="I3437" t="str">
        <f>"INSURANCE"</f>
        <v>INSURANCE</v>
      </c>
    </row>
    <row r="3438" spans="1:9" x14ac:dyDescent="0.25">
      <c r="A3438" s="6">
        <v>43986</v>
      </c>
      <c r="B3438" t="s">
        <v>91</v>
      </c>
      <c r="C3438">
        <v>64141</v>
      </c>
      <c r="D3438" t="s">
        <v>96</v>
      </c>
      <c r="E3438" s="7">
        <v>287.86</v>
      </c>
      <c r="F3438" t="s">
        <v>20</v>
      </c>
      <c r="G3438" t="s">
        <v>93</v>
      </c>
      <c r="H3438" t="str">
        <f>"CHECK"</f>
        <v>CHECK</v>
      </c>
      <c r="I3438" t="str">
        <f>""</f>
        <v/>
      </c>
    </row>
    <row r="3439" spans="1:9" x14ac:dyDescent="0.25">
      <c r="A3439" s="6">
        <v>43986</v>
      </c>
      <c r="B3439" t="s">
        <v>26</v>
      </c>
      <c r="C3439">
        <v>64142</v>
      </c>
      <c r="D3439" t="s">
        <v>74</v>
      </c>
      <c r="E3439" s="7">
        <v>92.44</v>
      </c>
      <c r="F3439" t="s">
        <v>20</v>
      </c>
      <c r="G3439" t="s">
        <v>21</v>
      </c>
      <c r="H3439" t="str">
        <f>"9855280132"</f>
        <v>9855280132</v>
      </c>
      <c r="I3439" t="str">
        <f>"VERIZON WIRELESS"</f>
        <v>VERIZON WIRELESS</v>
      </c>
    </row>
    <row r="3440" spans="1:9" x14ac:dyDescent="0.25">
      <c r="A3440" s="6">
        <v>43986</v>
      </c>
      <c r="B3440" t="s">
        <v>91</v>
      </c>
      <c r="C3440">
        <v>64143</v>
      </c>
      <c r="D3440" t="s">
        <v>97</v>
      </c>
      <c r="E3440" s="7">
        <v>77420.539999999994</v>
      </c>
      <c r="F3440" t="s">
        <v>20</v>
      </c>
      <c r="G3440" t="s">
        <v>21</v>
      </c>
      <c r="H3440" t="str">
        <f>"DEN202005058571"</f>
        <v>DEN202005058571</v>
      </c>
      <c r="I3440" t="str">
        <f>"DENTAL INSURANCE"</f>
        <v>DENTAL INSURANCE</v>
      </c>
    </row>
    <row r="3441" spans="1:9" x14ac:dyDescent="0.25">
      <c r="E3441" s="7"/>
      <c r="F3441" t="s">
        <v>20</v>
      </c>
      <c r="G3441" t="s">
        <v>21</v>
      </c>
      <c r="H3441" t="str">
        <f>"DEN202005198572"</f>
        <v>DEN202005198572</v>
      </c>
      <c r="I3441" t="str">
        <f>"DENTAL INSURANCE"</f>
        <v>DENTAL INSURANCE</v>
      </c>
    </row>
    <row r="3442" spans="1:9" x14ac:dyDescent="0.25">
      <c r="E3442" s="7"/>
      <c r="F3442" t="s">
        <v>20</v>
      </c>
      <c r="G3442" t="s">
        <v>21</v>
      </c>
      <c r="H3442" t="str">
        <f>"MED202005058571"</f>
        <v>MED202005058571</v>
      </c>
      <c r="I3442" t="str">
        <f>"HEALTH &amp; DENTAL INSURANCE"</f>
        <v>HEALTH &amp; DENTAL INSURANCE</v>
      </c>
    </row>
    <row r="3443" spans="1:9" x14ac:dyDescent="0.25">
      <c r="E3443" s="7"/>
      <c r="F3443" t="s">
        <v>20</v>
      </c>
      <c r="G3443" t="s">
        <v>21</v>
      </c>
      <c r="H3443" t="str">
        <f>"MED202005198572"</f>
        <v>MED202005198572</v>
      </c>
      <c r="I3443" t="str">
        <f>"HEALTH &amp; DENTAL INSURANCE"</f>
        <v>HEALTH &amp; DENTAL INSURANCE</v>
      </c>
    </row>
    <row r="3444" spans="1:9" x14ac:dyDescent="0.25">
      <c r="A3444" s="6">
        <v>43986</v>
      </c>
      <c r="B3444" t="s">
        <v>91</v>
      </c>
      <c r="C3444">
        <v>64143</v>
      </c>
      <c r="D3444" t="s">
        <v>97</v>
      </c>
      <c r="E3444" s="7">
        <v>77420.539999999994</v>
      </c>
      <c r="F3444" t="s">
        <v>20</v>
      </c>
      <c r="G3444" t="s">
        <v>93</v>
      </c>
      <c r="H3444" t="str">
        <f>"CHECK"</f>
        <v>CHECK</v>
      </c>
      <c r="I3444" t="str">
        <f>""</f>
        <v/>
      </c>
    </row>
    <row r="3445" spans="1:9" x14ac:dyDescent="0.25">
      <c r="A3445" s="6">
        <v>43986</v>
      </c>
      <c r="B3445" t="s">
        <v>26</v>
      </c>
      <c r="C3445">
        <v>64147</v>
      </c>
      <c r="D3445" t="s">
        <v>98</v>
      </c>
      <c r="E3445" s="7">
        <v>4080.02</v>
      </c>
      <c r="F3445" t="s">
        <v>20</v>
      </c>
      <c r="G3445" t="s">
        <v>21</v>
      </c>
      <c r="H3445" t="str">
        <f>"MAY 2020"</f>
        <v>MAY 2020</v>
      </c>
      <c r="I3445" t="str">
        <f>"DEARBORN LIFE INSURANCE COMPAN"</f>
        <v>DEARBORN LIFE INSURANCE COMPAN</v>
      </c>
    </row>
    <row r="3446" spans="1:9" x14ac:dyDescent="0.25">
      <c r="A3446" s="6">
        <v>43987</v>
      </c>
      <c r="B3446" t="s">
        <v>26</v>
      </c>
      <c r="C3446">
        <v>64149</v>
      </c>
      <c r="D3446" t="s">
        <v>637</v>
      </c>
      <c r="E3446" s="7">
        <v>75</v>
      </c>
      <c r="F3446" t="s">
        <v>20</v>
      </c>
      <c r="G3446" t="s">
        <v>21</v>
      </c>
      <c r="H3446" t="str">
        <f t="shared" ref="H3446:H3451" si="68">"JUNE 2020"</f>
        <v>JUNE 2020</v>
      </c>
      <c r="I3446" t="str">
        <f>"GLORIA MARTINEZ"</f>
        <v>GLORIA MARTINEZ</v>
      </c>
    </row>
    <row r="3447" spans="1:9" x14ac:dyDescent="0.25">
      <c r="A3447" s="6">
        <v>43987</v>
      </c>
      <c r="B3447" t="s">
        <v>26</v>
      </c>
      <c r="C3447">
        <v>64150</v>
      </c>
      <c r="D3447" t="s">
        <v>223</v>
      </c>
      <c r="E3447" s="7">
        <v>75</v>
      </c>
      <c r="F3447" t="s">
        <v>20</v>
      </c>
      <c r="G3447" t="s">
        <v>21</v>
      </c>
      <c r="H3447" t="str">
        <f t="shared" si="68"/>
        <v>JUNE 2020</v>
      </c>
      <c r="I3447" t="str">
        <f>"JUAN ORTIZ"</f>
        <v>JUAN ORTIZ</v>
      </c>
    </row>
    <row r="3448" spans="1:9" x14ac:dyDescent="0.25">
      <c r="A3448" s="6">
        <v>43987</v>
      </c>
      <c r="B3448" t="s">
        <v>26</v>
      </c>
      <c r="C3448">
        <v>64151</v>
      </c>
      <c r="D3448" t="s">
        <v>36</v>
      </c>
      <c r="E3448" s="7">
        <v>75</v>
      </c>
      <c r="F3448" t="s">
        <v>20</v>
      </c>
      <c r="G3448" t="s">
        <v>21</v>
      </c>
      <c r="H3448" t="str">
        <f t="shared" si="68"/>
        <v>JUNE 2020</v>
      </c>
      <c r="I3448" t="str">
        <f>"GLORIA M. CANTU"</f>
        <v>GLORIA M. CANTU</v>
      </c>
    </row>
    <row r="3449" spans="1:9" x14ac:dyDescent="0.25">
      <c r="A3449" s="6">
        <v>43987</v>
      </c>
      <c r="B3449" t="s">
        <v>26</v>
      </c>
      <c r="C3449">
        <v>64152</v>
      </c>
      <c r="D3449" t="s">
        <v>38</v>
      </c>
      <c r="E3449" s="7">
        <v>100</v>
      </c>
      <c r="F3449" t="s">
        <v>20</v>
      </c>
      <c r="G3449" t="s">
        <v>21</v>
      </c>
      <c r="H3449" t="str">
        <f t="shared" si="68"/>
        <v>JUNE 2020</v>
      </c>
      <c r="I3449" t="str">
        <f>"CECELIA GONZALEZ-DIPPEL"</f>
        <v>CECELIA GONZALEZ-DIPPEL</v>
      </c>
    </row>
    <row r="3450" spans="1:9" x14ac:dyDescent="0.25">
      <c r="A3450" s="6">
        <v>43987</v>
      </c>
      <c r="B3450" t="s">
        <v>26</v>
      </c>
      <c r="C3450">
        <v>64153</v>
      </c>
      <c r="D3450" t="s">
        <v>558</v>
      </c>
      <c r="E3450" s="7">
        <v>75</v>
      </c>
      <c r="F3450" t="s">
        <v>20</v>
      </c>
      <c r="G3450" t="s">
        <v>21</v>
      </c>
      <c r="H3450" t="str">
        <f t="shared" si="68"/>
        <v>JUNE 2020</v>
      </c>
      <c r="I3450" t="str">
        <f>"MARISSA XIMENEZ"</f>
        <v>MARISSA XIMENEZ</v>
      </c>
    </row>
    <row r="3451" spans="1:9" x14ac:dyDescent="0.25">
      <c r="A3451" s="6">
        <v>43987</v>
      </c>
      <c r="B3451" t="s">
        <v>26</v>
      </c>
      <c r="C3451">
        <v>64154</v>
      </c>
      <c r="D3451" t="s">
        <v>889</v>
      </c>
      <c r="E3451" s="7">
        <v>75</v>
      </c>
      <c r="F3451" t="s">
        <v>20</v>
      </c>
      <c r="G3451" t="s">
        <v>21</v>
      </c>
      <c r="H3451" t="str">
        <f t="shared" si="68"/>
        <v>JUNE 2020</v>
      </c>
      <c r="I3451" t="str">
        <f>"JADE JIMENEZ"</f>
        <v>JADE JIMENEZ</v>
      </c>
    </row>
    <row r="3452" spans="1:9" x14ac:dyDescent="0.25">
      <c r="A3452" s="6">
        <v>43991</v>
      </c>
      <c r="B3452" t="s">
        <v>26</v>
      </c>
      <c r="C3452">
        <v>64155</v>
      </c>
      <c r="D3452" t="s">
        <v>58</v>
      </c>
      <c r="E3452" s="7">
        <v>90</v>
      </c>
      <c r="F3452" t="s">
        <v>20</v>
      </c>
      <c r="G3452" t="s">
        <v>21</v>
      </c>
      <c r="H3452" t="str">
        <f>"599758"</f>
        <v>599758</v>
      </c>
      <c r="I3452" t="str">
        <f>"DEASON ANIMAL HOSPITAL"</f>
        <v>DEASON ANIMAL HOSPITAL</v>
      </c>
    </row>
    <row r="3453" spans="1:9" x14ac:dyDescent="0.25">
      <c r="E3453" s="7"/>
      <c r="F3453" t="s">
        <v>20</v>
      </c>
      <c r="G3453" t="s">
        <v>21</v>
      </c>
      <c r="H3453" t="str">
        <f>"601376"</f>
        <v>601376</v>
      </c>
      <c r="I3453" t="str">
        <f>"DEASON ANIMAL HOSPITAL"</f>
        <v>DEASON ANIMAL HOSPITAL</v>
      </c>
    </row>
    <row r="3454" spans="1:9" x14ac:dyDescent="0.25">
      <c r="A3454" s="6">
        <v>43991</v>
      </c>
      <c r="B3454" t="s">
        <v>26</v>
      </c>
      <c r="C3454">
        <v>64156</v>
      </c>
      <c r="D3454" t="s">
        <v>104</v>
      </c>
      <c r="E3454" s="7">
        <v>3734.92</v>
      </c>
      <c r="F3454" t="s">
        <v>20</v>
      </c>
      <c r="G3454" t="s">
        <v>21</v>
      </c>
      <c r="H3454" t="str">
        <f>"1424140506"</f>
        <v>1424140506</v>
      </c>
      <c r="I3454" t="str">
        <f t="shared" ref="I3454:I3460" si="69">"WILSON COUNTY NEWS"</f>
        <v>WILSON COUNTY NEWS</v>
      </c>
    </row>
    <row r="3455" spans="1:9" x14ac:dyDescent="0.25">
      <c r="E3455" s="7"/>
      <c r="F3455" t="s">
        <v>20</v>
      </c>
      <c r="G3455" t="s">
        <v>21</v>
      </c>
      <c r="H3455" t="str">
        <f>"1424410513"</f>
        <v>1424410513</v>
      </c>
      <c r="I3455" t="str">
        <f t="shared" si="69"/>
        <v>WILSON COUNTY NEWS</v>
      </c>
    </row>
    <row r="3456" spans="1:9" x14ac:dyDescent="0.25">
      <c r="E3456" s="7"/>
      <c r="F3456" t="s">
        <v>20</v>
      </c>
      <c r="G3456" t="s">
        <v>21</v>
      </c>
      <c r="H3456" t="str">
        <f>"1424680527"</f>
        <v>1424680527</v>
      </c>
      <c r="I3456" t="str">
        <f t="shared" si="69"/>
        <v>WILSON COUNTY NEWS</v>
      </c>
    </row>
    <row r="3457" spans="1:9" x14ac:dyDescent="0.25">
      <c r="E3457" s="7"/>
      <c r="F3457" t="s">
        <v>20</v>
      </c>
      <c r="G3457" t="s">
        <v>21</v>
      </c>
      <c r="H3457" t="str">
        <f>"1424960520"</f>
        <v>1424960520</v>
      </c>
      <c r="I3457" t="str">
        <f t="shared" si="69"/>
        <v>WILSON COUNTY NEWS</v>
      </c>
    </row>
    <row r="3458" spans="1:9" x14ac:dyDescent="0.25">
      <c r="E3458" s="7"/>
      <c r="F3458" t="s">
        <v>20</v>
      </c>
      <c r="G3458" t="s">
        <v>21</v>
      </c>
      <c r="H3458" t="str">
        <f>"1426240506"</f>
        <v>1426240506</v>
      </c>
      <c r="I3458" t="str">
        <f t="shared" si="69"/>
        <v>WILSON COUNTY NEWS</v>
      </c>
    </row>
    <row r="3459" spans="1:9" x14ac:dyDescent="0.25">
      <c r="E3459" s="7"/>
      <c r="F3459" t="s">
        <v>20</v>
      </c>
      <c r="G3459" t="s">
        <v>21</v>
      </c>
      <c r="H3459" t="str">
        <f>"5027007148"</f>
        <v>5027007148</v>
      </c>
      <c r="I3459" t="str">
        <f t="shared" si="69"/>
        <v>WILSON COUNTY NEWS</v>
      </c>
    </row>
    <row r="3460" spans="1:9" x14ac:dyDescent="0.25">
      <c r="E3460" s="7"/>
      <c r="F3460" t="s">
        <v>20</v>
      </c>
      <c r="G3460" t="s">
        <v>21</v>
      </c>
      <c r="H3460" t="str">
        <f>"5027007148-1"</f>
        <v>5027007148-1</v>
      </c>
      <c r="I3460" t="str">
        <f t="shared" si="69"/>
        <v>WILSON COUNTY NEWS</v>
      </c>
    </row>
    <row r="3461" spans="1:9" x14ac:dyDescent="0.25">
      <c r="A3461" s="6">
        <v>43991</v>
      </c>
      <c r="B3461" t="s">
        <v>26</v>
      </c>
      <c r="C3461">
        <v>64158</v>
      </c>
      <c r="D3461" t="s">
        <v>202</v>
      </c>
      <c r="E3461" s="7">
        <v>489.75</v>
      </c>
      <c r="F3461" t="s">
        <v>20</v>
      </c>
      <c r="G3461" t="s">
        <v>21</v>
      </c>
      <c r="H3461" t="str">
        <f>"62112900"</f>
        <v>62112900</v>
      </c>
      <c r="I3461" t="str">
        <f>"A-2 BASE &amp; COLD MIX"</f>
        <v>A-2 BASE &amp; COLD MIX</v>
      </c>
    </row>
    <row r="3462" spans="1:9" x14ac:dyDescent="0.25">
      <c r="A3462" s="6">
        <v>43991</v>
      </c>
      <c r="B3462" t="s">
        <v>26</v>
      </c>
      <c r="C3462">
        <v>64159</v>
      </c>
      <c r="D3462" t="s">
        <v>107</v>
      </c>
      <c r="E3462" s="7">
        <v>8.4700000000000006</v>
      </c>
      <c r="F3462" t="s">
        <v>20</v>
      </c>
      <c r="G3462" t="s">
        <v>21</v>
      </c>
      <c r="H3462" t="str">
        <f>"1166960-20200331"</f>
        <v>1166960-20200331</v>
      </c>
      <c r="I3462" t="str">
        <f>"LEXISNEXIS RISK SOLUTIONS"</f>
        <v>LEXISNEXIS RISK SOLUTIONS</v>
      </c>
    </row>
    <row r="3463" spans="1:9" x14ac:dyDescent="0.25">
      <c r="A3463" s="6">
        <v>43991</v>
      </c>
      <c r="B3463" t="s">
        <v>26</v>
      </c>
      <c r="C3463">
        <v>64160</v>
      </c>
      <c r="D3463" t="s">
        <v>180</v>
      </c>
      <c r="E3463" s="7">
        <v>44.4</v>
      </c>
      <c r="F3463" t="s">
        <v>20</v>
      </c>
      <c r="G3463" t="s">
        <v>21</v>
      </c>
      <c r="H3463" t="str">
        <f>"133486"</f>
        <v>133486</v>
      </c>
      <c r="I3463" t="str">
        <f>"COMPRESSOR REPAIR"</f>
        <v>COMPRESSOR REPAIR</v>
      </c>
    </row>
    <row r="3464" spans="1:9" x14ac:dyDescent="0.25">
      <c r="A3464" s="6">
        <v>43991</v>
      </c>
      <c r="B3464" t="s">
        <v>26</v>
      </c>
      <c r="C3464">
        <v>64161</v>
      </c>
      <c r="D3464" t="s">
        <v>203</v>
      </c>
      <c r="E3464" s="7">
        <v>653.91999999999996</v>
      </c>
      <c r="F3464" t="s">
        <v>20</v>
      </c>
      <c r="G3464" t="s">
        <v>21</v>
      </c>
      <c r="H3464" t="str">
        <f>"242457"</f>
        <v>242457</v>
      </c>
      <c r="I3464" t="str">
        <f>"SAFETY GEAR FOR WW"</f>
        <v>SAFETY GEAR FOR WW</v>
      </c>
    </row>
    <row r="3465" spans="1:9" x14ac:dyDescent="0.25">
      <c r="E3465" s="7"/>
      <c r="F3465" t="s">
        <v>20</v>
      </c>
      <c r="G3465" t="s">
        <v>21</v>
      </c>
      <c r="H3465" t="str">
        <f>"246779"</f>
        <v>246779</v>
      </c>
      <c r="I3465" t="str">
        <f>"SAFETY VEST'S AND GLOVES"</f>
        <v>SAFETY VEST'S AND GLOVES</v>
      </c>
    </row>
    <row r="3466" spans="1:9" x14ac:dyDescent="0.25">
      <c r="E3466" s="7"/>
      <c r="F3466" t="s">
        <v>20</v>
      </c>
      <c r="G3466" t="s">
        <v>21</v>
      </c>
      <c r="H3466" t="str">
        <f>"246951"</f>
        <v>246951</v>
      </c>
      <c r="I3466" t="str">
        <f>"SAFETY VEST'S AND GLOVES"</f>
        <v>SAFETY VEST'S AND GLOVES</v>
      </c>
    </row>
    <row r="3467" spans="1:9" x14ac:dyDescent="0.25">
      <c r="A3467" s="6">
        <v>43991</v>
      </c>
      <c r="B3467" t="s">
        <v>26</v>
      </c>
      <c r="C3467">
        <v>64163</v>
      </c>
      <c r="D3467" t="s">
        <v>110</v>
      </c>
      <c r="E3467" s="7">
        <v>1675.46</v>
      </c>
      <c r="F3467" t="s">
        <v>20</v>
      </c>
      <c r="G3467" t="s">
        <v>21</v>
      </c>
      <c r="H3467" t="str">
        <f>"1529622"</f>
        <v>1529622</v>
      </c>
      <c r="I3467" t="str">
        <f t="shared" ref="I3467:I3472" si="70">"BUREAU VERITAS NORTH AMERICA"</f>
        <v>BUREAU VERITAS NORTH AMERICA</v>
      </c>
    </row>
    <row r="3468" spans="1:9" x14ac:dyDescent="0.25">
      <c r="E3468" s="7"/>
      <c r="F3468" t="s">
        <v>20</v>
      </c>
      <c r="G3468" t="s">
        <v>21</v>
      </c>
      <c r="H3468" t="str">
        <f>"1529623"</f>
        <v>1529623</v>
      </c>
      <c r="I3468" t="str">
        <f t="shared" si="70"/>
        <v>BUREAU VERITAS NORTH AMERICA</v>
      </c>
    </row>
    <row r="3469" spans="1:9" x14ac:dyDescent="0.25">
      <c r="E3469" s="7"/>
      <c r="F3469" t="s">
        <v>20</v>
      </c>
      <c r="G3469" t="s">
        <v>21</v>
      </c>
      <c r="H3469" t="str">
        <f>"1529624"</f>
        <v>1529624</v>
      </c>
      <c r="I3469" t="str">
        <f t="shared" si="70"/>
        <v>BUREAU VERITAS NORTH AMERICA</v>
      </c>
    </row>
    <row r="3470" spans="1:9" x14ac:dyDescent="0.25">
      <c r="E3470" s="7"/>
      <c r="F3470" t="s">
        <v>20</v>
      </c>
      <c r="G3470" t="s">
        <v>21</v>
      </c>
      <c r="H3470" t="str">
        <f>"1529625"</f>
        <v>1529625</v>
      </c>
      <c r="I3470" t="str">
        <f t="shared" si="70"/>
        <v>BUREAU VERITAS NORTH AMERICA</v>
      </c>
    </row>
    <row r="3471" spans="1:9" x14ac:dyDescent="0.25">
      <c r="E3471" s="7"/>
      <c r="F3471" t="s">
        <v>20</v>
      </c>
      <c r="G3471" t="s">
        <v>21</v>
      </c>
      <c r="H3471" t="str">
        <f>"1529626"</f>
        <v>1529626</v>
      </c>
      <c r="I3471" t="str">
        <f t="shared" si="70"/>
        <v>BUREAU VERITAS NORTH AMERICA</v>
      </c>
    </row>
    <row r="3472" spans="1:9" x14ac:dyDescent="0.25">
      <c r="E3472" s="7"/>
      <c r="F3472" t="s">
        <v>20</v>
      </c>
      <c r="G3472" t="s">
        <v>21</v>
      </c>
      <c r="H3472" t="str">
        <f>"1529627"</f>
        <v>1529627</v>
      </c>
      <c r="I3472" t="str">
        <f t="shared" si="70"/>
        <v>BUREAU VERITAS NORTH AMERICA</v>
      </c>
    </row>
    <row r="3473" spans="1:9" x14ac:dyDescent="0.25">
      <c r="A3473" s="6">
        <v>43991</v>
      </c>
      <c r="B3473" t="s">
        <v>26</v>
      </c>
      <c r="C3473">
        <v>64164</v>
      </c>
      <c r="D3473" t="s">
        <v>115</v>
      </c>
      <c r="E3473" s="7">
        <v>868.88</v>
      </c>
      <c r="F3473" t="s">
        <v>20</v>
      </c>
      <c r="G3473" t="s">
        <v>21</v>
      </c>
      <c r="H3473" t="str">
        <f>"3547673792"</f>
        <v>3547673792</v>
      </c>
      <c r="I3473" t="str">
        <f>"PD UNIT 321 AND 329 REPAI"</f>
        <v>PD UNIT 321 AND 329 REPAI</v>
      </c>
    </row>
    <row r="3474" spans="1:9" x14ac:dyDescent="0.25">
      <c r="E3474" s="7"/>
      <c r="F3474" t="s">
        <v>20</v>
      </c>
      <c r="G3474" t="s">
        <v>21</v>
      </c>
      <c r="H3474" t="str">
        <f>"3547677287"</f>
        <v>3547677287</v>
      </c>
      <c r="I3474" t="str">
        <f>"FAN MOTOR- DUMP TRUCK"</f>
        <v>FAN MOTOR- DUMP TRUCK</v>
      </c>
    </row>
    <row r="3475" spans="1:9" x14ac:dyDescent="0.25">
      <c r="E3475" s="7"/>
      <c r="F3475" t="s">
        <v>20</v>
      </c>
      <c r="G3475" t="s">
        <v>21</v>
      </c>
      <c r="H3475" t="str">
        <f>"3547677291"</f>
        <v>3547677291</v>
      </c>
      <c r="I3475" t="str">
        <f>"WW- CRANE TRUCK"</f>
        <v>WW- CRANE TRUCK</v>
      </c>
    </row>
    <row r="3476" spans="1:9" x14ac:dyDescent="0.25">
      <c r="E3476" s="7"/>
      <c r="F3476" t="s">
        <v>20</v>
      </c>
      <c r="G3476" t="s">
        <v>21</v>
      </c>
      <c r="H3476" t="str">
        <f>"3547677477"</f>
        <v>3547677477</v>
      </c>
      <c r="I3476" t="str">
        <f>"PARKS UNIT 501"</f>
        <v>PARKS UNIT 501</v>
      </c>
    </row>
    <row r="3477" spans="1:9" x14ac:dyDescent="0.25">
      <c r="E3477" s="7"/>
      <c r="F3477" t="s">
        <v>20</v>
      </c>
      <c r="G3477" t="s">
        <v>21</v>
      </c>
      <c r="H3477" t="str">
        <f>"3547678184"</f>
        <v>3547678184</v>
      </c>
      <c r="I3477" t="str">
        <f>"WATER UNIT 205 REPAIR"</f>
        <v>WATER UNIT 205 REPAIR</v>
      </c>
    </row>
    <row r="3478" spans="1:9" x14ac:dyDescent="0.25">
      <c r="E3478" s="7"/>
      <c r="F3478" t="s">
        <v>20</v>
      </c>
      <c r="G3478" t="s">
        <v>21</v>
      </c>
      <c r="H3478" t="str">
        <f>"3547683020"</f>
        <v>3547683020</v>
      </c>
      <c r="I3478" t="str">
        <f>"2007 TOYOTA PRIUS"</f>
        <v>2007 TOYOTA PRIUS</v>
      </c>
    </row>
    <row r="3479" spans="1:9" x14ac:dyDescent="0.25">
      <c r="A3479" s="6">
        <v>43991</v>
      </c>
      <c r="B3479" t="s">
        <v>26</v>
      </c>
      <c r="C3479">
        <v>64166</v>
      </c>
      <c r="D3479" t="s">
        <v>63</v>
      </c>
      <c r="E3479" s="7">
        <v>116.96</v>
      </c>
      <c r="F3479" t="s">
        <v>20</v>
      </c>
      <c r="G3479" t="s">
        <v>21</v>
      </c>
      <c r="H3479" t="str">
        <f>"8404651977"</f>
        <v>8404651977</v>
      </c>
      <c r="I3479" t="str">
        <f>"CINTAS CORPORATION"</f>
        <v>CINTAS CORPORATION</v>
      </c>
    </row>
    <row r="3480" spans="1:9" x14ac:dyDescent="0.25">
      <c r="A3480" s="6">
        <v>43991</v>
      </c>
      <c r="B3480" t="s">
        <v>26</v>
      </c>
      <c r="C3480">
        <v>64167</v>
      </c>
      <c r="D3480" t="s">
        <v>118</v>
      </c>
      <c r="E3480" s="7">
        <v>105</v>
      </c>
      <c r="F3480" t="s">
        <v>20</v>
      </c>
      <c r="G3480" t="s">
        <v>21</v>
      </c>
      <c r="H3480" t="str">
        <f>"11821"</f>
        <v>11821</v>
      </c>
      <c r="I3480" t="str">
        <f>"BRYAN AIR CONDITIONING &amp; HEATI"</f>
        <v>BRYAN AIR CONDITIONING &amp; HEATI</v>
      </c>
    </row>
    <row r="3481" spans="1:9" x14ac:dyDescent="0.25">
      <c r="A3481" s="6">
        <v>43991</v>
      </c>
      <c r="B3481" t="s">
        <v>26</v>
      </c>
      <c r="C3481">
        <v>64168</v>
      </c>
      <c r="D3481" t="s">
        <v>119</v>
      </c>
      <c r="E3481" s="7">
        <v>1267.4000000000001</v>
      </c>
      <c r="F3481" t="s">
        <v>20</v>
      </c>
      <c r="G3481" t="s">
        <v>21</v>
      </c>
      <c r="H3481" t="str">
        <f>"65344"</f>
        <v>65344</v>
      </c>
      <c r="I3481" t="str">
        <f>"LOADER TIRE STREETS"</f>
        <v>LOADER TIRE STREETS</v>
      </c>
    </row>
    <row r="3482" spans="1:9" x14ac:dyDescent="0.25">
      <c r="A3482" s="6">
        <v>43991</v>
      </c>
      <c r="B3482" t="s">
        <v>26</v>
      </c>
      <c r="C3482">
        <v>64169</v>
      </c>
      <c r="D3482" t="s">
        <v>189</v>
      </c>
      <c r="E3482" s="7">
        <v>3729.06</v>
      </c>
      <c r="F3482" t="s">
        <v>20</v>
      </c>
      <c r="G3482" t="s">
        <v>21</v>
      </c>
      <c r="H3482" t="str">
        <f>"SWO107645-1"</f>
        <v>SWO107645-1</v>
      </c>
      <c r="I3482" t="str">
        <f>"ASCO"</f>
        <v>ASCO</v>
      </c>
    </row>
    <row r="3483" spans="1:9" x14ac:dyDescent="0.25">
      <c r="E3483" s="7"/>
      <c r="F3483" t="s">
        <v>20</v>
      </c>
      <c r="G3483" t="s">
        <v>21</v>
      </c>
      <c r="H3483" t="str">
        <f>"SWO108166-1"</f>
        <v>SWO108166-1</v>
      </c>
      <c r="I3483" t="str">
        <f>"ASCO"</f>
        <v>ASCO</v>
      </c>
    </row>
    <row r="3484" spans="1:9" x14ac:dyDescent="0.25">
      <c r="A3484" s="6">
        <v>43991</v>
      </c>
      <c r="B3484" t="s">
        <v>91</v>
      </c>
      <c r="C3484">
        <v>64170</v>
      </c>
      <c r="D3484" t="s">
        <v>69</v>
      </c>
      <c r="E3484" s="7">
        <v>16468.64</v>
      </c>
      <c r="F3484" t="s">
        <v>20</v>
      </c>
      <c r="G3484" t="s">
        <v>21</v>
      </c>
      <c r="H3484" t="str">
        <f>"3306522"</f>
        <v>3306522</v>
      </c>
      <c r="I3484" t="str">
        <f>"EWALD KUBOTA  INC."</f>
        <v>EWALD KUBOTA  INC.</v>
      </c>
    </row>
    <row r="3485" spans="1:9" x14ac:dyDescent="0.25">
      <c r="E3485" s="7"/>
      <c r="F3485" t="s">
        <v>20</v>
      </c>
      <c r="G3485" t="s">
        <v>21</v>
      </c>
      <c r="H3485" t="str">
        <f>"C01584"</f>
        <v>C01584</v>
      </c>
      <c r="I3485" t="str">
        <f>"EWALD KUBOTA  INC."</f>
        <v>EWALD KUBOTA  INC.</v>
      </c>
    </row>
    <row r="3486" spans="1:9" x14ac:dyDescent="0.25">
      <c r="A3486" s="6">
        <v>43991</v>
      </c>
      <c r="B3486" t="s">
        <v>91</v>
      </c>
      <c r="C3486">
        <v>64170</v>
      </c>
      <c r="D3486" t="s">
        <v>69</v>
      </c>
      <c r="E3486" s="7">
        <v>16468.64</v>
      </c>
      <c r="F3486" t="s">
        <v>20</v>
      </c>
      <c r="G3486" t="s">
        <v>93</v>
      </c>
      <c r="H3486" t="str">
        <f>"CHECK"</f>
        <v>CHECK</v>
      </c>
      <c r="I3486" t="str">
        <f>""</f>
        <v/>
      </c>
    </row>
    <row r="3487" spans="1:9" x14ac:dyDescent="0.25">
      <c r="A3487" s="6">
        <v>43991</v>
      </c>
      <c r="B3487" t="s">
        <v>26</v>
      </c>
      <c r="C3487">
        <v>64171</v>
      </c>
      <c r="D3487" t="s">
        <v>159</v>
      </c>
      <c r="E3487" s="7">
        <v>191.38</v>
      </c>
      <c r="F3487" t="s">
        <v>20</v>
      </c>
      <c r="G3487" t="s">
        <v>21</v>
      </c>
      <c r="H3487" t="str">
        <f>"2-3234"</f>
        <v>2-3234</v>
      </c>
      <c r="I3487" t="str">
        <f>"PHOTOGRAPHS BY JIM"</f>
        <v>PHOTOGRAPHS BY JIM</v>
      </c>
    </row>
    <row r="3488" spans="1:9" x14ac:dyDescent="0.25">
      <c r="A3488" s="6">
        <v>43991</v>
      </c>
      <c r="B3488" t="s">
        <v>26</v>
      </c>
      <c r="C3488">
        <v>64172</v>
      </c>
      <c r="D3488" t="s">
        <v>29</v>
      </c>
      <c r="E3488" s="7">
        <v>630</v>
      </c>
      <c r="F3488" t="s">
        <v>20</v>
      </c>
      <c r="G3488" t="s">
        <v>21</v>
      </c>
      <c r="H3488" t="str">
        <f>"43869"</f>
        <v>43869</v>
      </c>
      <c r="I3488" t="str">
        <f>"M &amp; S ENGINEERING  LLC"</f>
        <v>M &amp; S ENGINEERING  LLC</v>
      </c>
    </row>
    <row r="3489" spans="1:9" x14ac:dyDescent="0.25">
      <c r="A3489" s="6">
        <v>43991</v>
      </c>
      <c r="B3489" t="s">
        <v>26</v>
      </c>
      <c r="C3489">
        <v>64173</v>
      </c>
      <c r="D3489" t="s">
        <v>71</v>
      </c>
      <c r="E3489" s="7">
        <v>1365.05</v>
      </c>
      <c r="F3489" t="s">
        <v>20</v>
      </c>
      <c r="G3489" t="s">
        <v>21</v>
      </c>
      <c r="H3489" t="str">
        <f>"4051305989"</f>
        <v>4051305989</v>
      </c>
      <c r="I3489" t="str">
        <f t="shared" ref="I3489:I3499" si="71">"CINTAS CORPORATION #087"</f>
        <v>CINTAS CORPORATION #087</v>
      </c>
    </row>
    <row r="3490" spans="1:9" x14ac:dyDescent="0.25">
      <c r="E3490" s="7"/>
      <c r="F3490" t="s">
        <v>20</v>
      </c>
      <c r="G3490" t="s">
        <v>21</v>
      </c>
      <c r="H3490" t="str">
        <f>"4051306090"</f>
        <v>4051306090</v>
      </c>
      <c r="I3490" t="str">
        <f t="shared" si="71"/>
        <v>CINTAS CORPORATION #087</v>
      </c>
    </row>
    <row r="3491" spans="1:9" x14ac:dyDescent="0.25">
      <c r="E3491" s="7"/>
      <c r="F3491" t="s">
        <v>20</v>
      </c>
      <c r="G3491" t="s">
        <v>21</v>
      </c>
      <c r="H3491" t="str">
        <f>"4051306119"</f>
        <v>4051306119</v>
      </c>
      <c r="I3491" t="str">
        <f t="shared" si="71"/>
        <v>CINTAS CORPORATION #087</v>
      </c>
    </row>
    <row r="3492" spans="1:9" x14ac:dyDescent="0.25">
      <c r="E3492" s="7"/>
      <c r="F3492" t="s">
        <v>20</v>
      </c>
      <c r="G3492" t="s">
        <v>21</v>
      </c>
      <c r="H3492" t="str">
        <f>"4051306122"</f>
        <v>4051306122</v>
      </c>
      <c r="I3492" t="str">
        <f t="shared" si="71"/>
        <v>CINTAS CORPORATION #087</v>
      </c>
    </row>
    <row r="3493" spans="1:9" x14ac:dyDescent="0.25">
      <c r="E3493" s="7"/>
      <c r="F3493" t="s">
        <v>20</v>
      </c>
      <c r="G3493" t="s">
        <v>21</v>
      </c>
      <c r="H3493" t="str">
        <f>"4051306167"</f>
        <v>4051306167</v>
      </c>
      <c r="I3493" t="str">
        <f t="shared" si="71"/>
        <v>CINTAS CORPORATION #087</v>
      </c>
    </row>
    <row r="3494" spans="1:9" x14ac:dyDescent="0.25">
      <c r="E3494" s="7"/>
      <c r="F3494" t="s">
        <v>20</v>
      </c>
      <c r="G3494" t="s">
        <v>21</v>
      </c>
      <c r="H3494" t="str">
        <f>"4051306192"</f>
        <v>4051306192</v>
      </c>
      <c r="I3494" t="str">
        <f t="shared" si="71"/>
        <v>CINTAS CORPORATION #087</v>
      </c>
    </row>
    <row r="3495" spans="1:9" x14ac:dyDescent="0.25">
      <c r="E3495" s="7"/>
      <c r="F3495" t="s">
        <v>20</v>
      </c>
      <c r="G3495" t="s">
        <v>21</v>
      </c>
      <c r="H3495" t="str">
        <f>"4051874078"</f>
        <v>4051874078</v>
      </c>
      <c r="I3495" t="str">
        <f t="shared" si="71"/>
        <v>CINTAS CORPORATION #087</v>
      </c>
    </row>
    <row r="3496" spans="1:9" x14ac:dyDescent="0.25">
      <c r="E3496" s="7"/>
      <c r="F3496" t="s">
        <v>20</v>
      </c>
      <c r="G3496" t="s">
        <v>21</v>
      </c>
      <c r="H3496" t="str">
        <f>"4051874170"</f>
        <v>4051874170</v>
      </c>
      <c r="I3496" t="str">
        <f t="shared" si="71"/>
        <v>CINTAS CORPORATION #087</v>
      </c>
    </row>
    <row r="3497" spans="1:9" x14ac:dyDescent="0.25">
      <c r="E3497" s="7"/>
      <c r="F3497" t="s">
        <v>20</v>
      </c>
      <c r="G3497" t="s">
        <v>21</v>
      </c>
      <c r="H3497" t="str">
        <f>"4051874189"</f>
        <v>4051874189</v>
      </c>
      <c r="I3497" t="str">
        <f t="shared" si="71"/>
        <v>CINTAS CORPORATION #087</v>
      </c>
    </row>
    <row r="3498" spans="1:9" x14ac:dyDescent="0.25">
      <c r="E3498" s="7"/>
      <c r="F3498" t="s">
        <v>20</v>
      </c>
      <c r="G3498" t="s">
        <v>21</v>
      </c>
      <c r="H3498" t="str">
        <f>"4051874190"</f>
        <v>4051874190</v>
      </c>
      <c r="I3498" t="str">
        <f t="shared" si="71"/>
        <v>CINTAS CORPORATION #087</v>
      </c>
    </row>
    <row r="3499" spans="1:9" x14ac:dyDescent="0.25">
      <c r="E3499" s="7"/>
      <c r="F3499" t="s">
        <v>20</v>
      </c>
      <c r="G3499" t="s">
        <v>21</v>
      </c>
      <c r="H3499" t="str">
        <f>"4051874245"</f>
        <v>4051874245</v>
      </c>
      <c r="I3499" t="str">
        <f t="shared" si="71"/>
        <v>CINTAS CORPORATION #087</v>
      </c>
    </row>
    <row r="3500" spans="1:9" x14ac:dyDescent="0.25">
      <c r="A3500" s="6">
        <v>43991</v>
      </c>
      <c r="B3500" t="s">
        <v>26</v>
      </c>
      <c r="C3500">
        <v>64175</v>
      </c>
      <c r="D3500" t="s">
        <v>122</v>
      </c>
      <c r="E3500" s="7">
        <v>111</v>
      </c>
      <c r="F3500" t="s">
        <v>20</v>
      </c>
      <c r="G3500" t="s">
        <v>21</v>
      </c>
      <c r="H3500" t="str">
        <f>"00001"</f>
        <v>00001</v>
      </c>
      <c r="I3500" t="str">
        <f t="shared" ref="I3500:I3508" si="72">"VILLA TIRES"</f>
        <v>VILLA TIRES</v>
      </c>
    </row>
    <row r="3501" spans="1:9" x14ac:dyDescent="0.25">
      <c r="E3501" s="7"/>
      <c r="F3501" t="s">
        <v>20</v>
      </c>
      <c r="G3501" t="s">
        <v>21</v>
      </c>
      <c r="H3501" t="str">
        <f>"48700712"</f>
        <v>48700712</v>
      </c>
      <c r="I3501" t="str">
        <f t="shared" si="72"/>
        <v>VILLA TIRES</v>
      </c>
    </row>
    <row r="3502" spans="1:9" x14ac:dyDescent="0.25">
      <c r="E3502" s="7"/>
      <c r="F3502" t="s">
        <v>20</v>
      </c>
      <c r="G3502" t="s">
        <v>21</v>
      </c>
      <c r="H3502" t="str">
        <f>"48700715"</f>
        <v>48700715</v>
      </c>
      <c r="I3502" t="str">
        <f t="shared" si="72"/>
        <v>VILLA TIRES</v>
      </c>
    </row>
    <row r="3503" spans="1:9" x14ac:dyDescent="0.25">
      <c r="E3503" s="7"/>
      <c r="F3503" t="s">
        <v>20</v>
      </c>
      <c r="G3503" t="s">
        <v>21</v>
      </c>
      <c r="H3503" t="str">
        <f>"48700716"</f>
        <v>48700716</v>
      </c>
      <c r="I3503" t="str">
        <f t="shared" si="72"/>
        <v>VILLA TIRES</v>
      </c>
    </row>
    <row r="3504" spans="1:9" x14ac:dyDescent="0.25">
      <c r="E3504" s="7"/>
      <c r="F3504" t="s">
        <v>20</v>
      </c>
      <c r="G3504" t="s">
        <v>21</v>
      </c>
      <c r="H3504" t="str">
        <f>"48700719"</f>
        <v>48700719</v>
      </c>
      <c r="I3504" t="str">
        <f t="shared" si="72"/>
        <v>VILLA TIRES</v>
      </c>
    </row>
    <row r="3505" spans="1:9" x14ac:dyDescent="0.25">
      <c r="E3505" s="7"/>
      <c r="F3505" t="s">
        <v>20</v>
      </c>
      <c r="G3505" t="s">
        <v>21</v>
      </c>
      <c r="H3505" t="str">
        <f>"48700721"</f>
        <v>48700721</v>
      </c>
      <c r="I3505" t="str">
        <f t="shared" si="72"/>
        <v>VILLA TIRES</v>
      </c>
    </row>
    <row r="3506" spans="1:9" x14ac:dyDescent="0.25">
      <c r="E3506" s="7"/>
      <c r="F3506" t="s">
        <v>20</v>
      </c>
      <c r="G3506" t="s">
        <v>21</v>
      </c>
      <c r="H3506" t="str">
        <f>"713115"</f>
        <v>713115</v>
      </c>
      <c r="I3506" t="str">
        <f t="shared" si="72"/>
        <v>VILLA TIRES</v>
      </c>
    </row>
    <row r="3507" spans="1:9" x14ac:dyDescent="0.25">
      <c r="E3507" s="7"/>
      <c r="F3507" t="s">
        <v>20</v>
      </c>
      <c r="G3507" t="s">
        <v>21</v>
      </c>
      <c r="H3507" t="str">
        <f>"8890469"</f>
        <v>8890469</v>
      </c>
      <c r="I3507" t="str">
        <f t="shared" si="72"/>
        <v>VILLA TIRES</v>
      </c>
    </row>
    <row r="3508" spans="1:9" x14ac:dyDescent="0.25">
      <c r="E3508" s="7"/>
      <c r="F3508" t="s">
        <v>20</v>
      </c>
      <c r="G3508" t="s">
        <v>21</v>
      </c>
      <c r="H3508" t="str">
        <f>"890498"</f>
        <v>890498</v>
      </c>
      <c r="I3508" t="str">
        <f t="shared" si="72"/>
        <v>VILLA TIRES</v>
      </c>
    </row>
    <row r="3509" spans="1:9" x14ac:dyDescent="0.25">
      <c r="A3509" s="6">
        <v>43991</v>
      </c>
      <c r="B3509" t="s">
        <v>26</v>
      </c>
      <c r="C3509">
        <v>64177</v>
      </c>
      <c r="D3509" t="s">
        <v>215</v>
      </c>
      <c r="E3509" s="7">
        <v>465</v>
      </c>
      <c r="F3509" t="s">
        <v>20</v>
      </c>
      <c r="G3509" t="s">
        <v>21</v>
      </c>
      <c r="H3509" t="str">
        <f>"631913"</f>
        <v>631913</v>
      </c>
      <c r="I3509" t="str">
        <f>"REPLACE PACO SEAL"</f>
        <v>REPLACE PACO SEAL</v>
      </c>
    </row>
    <row r="3510" spans="1:9" x14ac:dyDescent="0.25">
      <c r="A3510" s="6">
        <v>43991</v>
      </c>
      <c r="B3510" t="s">
        <v>26</v>
      </c>
      <c r="C3510">
        <v>64178</v>
      </c>
      <c r="D3510" t="s">
        <v>75</v>
      </c>
      <c r="E3510" s="7">
        <v>389.98</v>
      </c>
      <c r="F3510" t="s">
        <v>20</v>
      </c>
      <c r="G3510" t="s">
        <v>21</v>
      </c>
      <c r="H3510" t="str">
        <f>"8184 JUNE 2020"</f>
        <v>8184 JUNE 2020</v>
      </c>
      <c r="I3510" t="str">
        <f>"PET CARRIER/KENNEL"</f>
        <v>PET CARRIER/KENNEL</v>
      </c>
    </row>
    <row r="3511" spans="1:9" x14ac:dyDescent="0.25">
      <c r="A3511" s="6">
        <v>43991</v>
      </c>
      <c r="B3511" t="s">
        <v>26</v>
      </c>
      <c r="C3511">
        <v>64179</v>
      </c>
      <c r="D3511" t="s">
        <v>77</v>
      </c>
      <c r="E3511" s="7">
        <v>2912.15</v>
      </c>
      <c r="F3511" t="s">
        <v>20</v>
      </c>
      <c r="G3511" t="s">
        <v>21</v>
      </c>
      <c r="H3511" t="str">
        <f>"857000708-20"</f>
        <v>857000708-20</v>
      </c>
      <c r="I3511" t="str">
        <f>"CHLORINE ORDER"</f>
        <v>CHLORINE ORDER</v>
      </c>
    </row>
    <row r="3512" spans="1:9" x14ac:dyDescent="0.25">
      <c r="E3512" s="7"/>
      <c r="F3512" t="s">
        <v>20</v>
      </c>
      <c r="G3512" t="s">
        <v>21</v>
      </c>
      <c r="H3512" t="str">
        <f>"857000969-20"</f>
        <v>857000969-20</v>
      </c>
      <c r="I3512" t="str">
        <f>"CHLORINE"</f>
        <v>CHLORINE</v>
      </c>
    </row>
    <row r="3513" spans="1:9" x14ac:dyDescent="0.25">
      <c r="E3513" s="7"/>
      <c r="F3513" t="s">
        <v>20</v>
      </c>
      <c r="G3513" t="s">
        <v>21</v>
      </c>
      <c r="H3513" t="str">
        <f>"857000970-20"</f>
        <v>857000970-20</v>
      </c>
      <c r="I3513" t="str">
        <f>"CHLORINE"</f>
        <v>CHLORINE</v>
      </c>
    </row>
    <row r="3514" spans="1:9" x14ac:dyDescent="0.25">
      <c r="E3514" s="7"/>
      <c r="F3514" t="s">
        <v>20</v>
      </c>
      <c r="G3514" t="s">
        <v>21</v>
      </c>
      <c r="H3514" t="str">
        <f>"857000971-20"</f>
        <v>857000971-20</v>
      </c>
      <c r="I3514" t="str">
        <f>"CHLORINE"</f>
        <v>CHLORINE</v>
      </c>
    </row>
    <row r="3515" spans="1:9" x14ac:dyDescent="0.25">
      <c r="A3515" s="6">
        <v>43991</v>
      </c>
      <c r="B3515" t="s">
        <v>26</v>
      </c>
      <c r="C3515">
        <v>64180</v>
      </c>
      <c r="D3515" t="s">
        <v>124</v>
      </c>
      <c r="E3515" s="7">
        <v>159.01</v>
      </c>
      <c r="F3515" t="s">
        <v>20</v>
      </c>
      <c r="G3515" t="s">
        <v>21</v>
      </c>
      <c r="H3515" t="str">
        <f>"11187956"</f>
        <v>11187956</v>
      </c>
      <c r="I3515" t="str">
        <f>"WW SUPPLIES"</f>
        <v>WW SUPPLIES</v>
      </c>
    </row>
    <row r="3516" spans="1:9" x14ac:dyDescent="0.25">
      <c r="E3516" s="7"/>
      <c r="F3516" t="s">
        <v>20</v>
      </c>
      <c r="G3516" t="s">
        <v>21</v>
      </c>
      <c r="H3516" t="str">
        <f>"11188859"</f>
        <v>11188859</v>
      </c>
      <c r="I3516" t="str">
        <f>"TRIMMER LINE"</f>
        <v>TRIMMER LINE</v>
      </c>
    </row>
    <row r="3517" spans="1:9" x14ac:dyDescent="0.25">
      <c r="A3517" s="6">
        <v>43991</v>
      </c>
      <c r="B3517" t="s">
        <v>26</v>
      </c>
      <c r="C3517">
        <v>64181</v>
      </c>
      <c r="D3517" t="s">
        <v>534</v>
      </c>
      <c r="E3517" s="7">
        <v>107.17</v>
      </c>
      <c r="F3517" t="s">
        <v>20</v>
      </c>
      <c r="G3517" t="s">
        <v>21</v>
      </c>
      <c r="H3517" t="str">
        <f>"8404665352"</f>
        <v>8404665352</v>
      </c>
      <c r="I3517" t="str">
        <f>"CINTAS CORPORATION NO. 2"</f>
        <v>CINTAS CORPORATION NO. 2</v>
      </c>
    </row>
    <row r="3518" spans="1:9" x14ac:dyDescent="0.25">
      <c r="A3518" s="6">
        <v>43991</v>
      </c>
      <c r="B3518" t="s">
        <v>26</v>
      </c>
      <c r="C3518">
        <v>64182</v>
      </c>
      <c r="D3518" t="s">
        <v>125</v>
      </c>
      <c r="E3518" s="7">
        <v>3540</v>
      </c>
      <c r="F3518" t="s">
        <v>20</v>
      </c>
      <c r="G3518" t="s">
        <v>21</v>
      </c>
      <c r="H3518" t="str">
        <f>"19-0318 MAY 2020"</f>
        <v>19-0318 MAY 2020</v>
      </c>
      <c r="I3518" t="str">
        <f>"INTREPID SURVEYING CORPORATION"</f>
        <v>INTREPID SURVEYING CORPORATION</v>
      </c>
    </row>
    <row r="3519" spans="1:9" x14ac:dyDescent="0.25">
      <c r="E3519" s="7"/>
      <c r="F3519" t="s">
        <v>20</v>
      </c>
      <c r="G3519" t="s">
        <v>21</v>
      </c>
      <c r="H3519" t="str">
        <f>"20-0383 MAY2020"</f>
        <v>20-0383 MAY2020</v>
      </c>
      <c r="I3519" t="str">
        <f>"INTREPID SURVEYING CORPORATION"</f>
        <v>INTREPID SURVEYING CORPORATION</v>
      </c>
    </row>
    <row r="3520" spans="1:9" x14ac:dyDescent="0.25">
      <c r="A3520" s="6">
        <v>43991</v>
      </c>
      <c r="B3520" t="s">
        <v>26</v>
      </c>
      <c r="C3520">
        <v>64183</v>
      </c>
      <c r="D3520" t="s">
        <v>79</v>
      </c>
      <c r="E3520" s="7">
        <v>6.24</v>
      </c>
      <c r="F3520" t="s">
        <v>20</v>
      </c>
      <c r="G3520" t="s">
        <v>21</v>
      </c>
      <c r="H3520" t="str">
        <f>"7-023-76448"</f>
        <v>7-023-76448</v>
      </c>
      <c r="I3520" t="str">
        <f>"FEDEX"</f>
        <v>FEDEX</v>
      </c>
    </row>
    <row r="3521" spans="1:9" x14ac:dyDescent="0.25">
      <c r="A3521" s="6">
        <v>43991</v>
      </c>
      <c r="B3521" t="s">
        <v>26</v>
      </c>
      <c r="C3521">
        <v>64184</v>
      </c>
      <c r="D3521" t="s">
        <v>139</v>
      </c>
      <c r="E3521" s="7">
        <v>65</v>
      </c>
      <c r="F3521" t="s">
        <v>20</v>
      </c>
      <c r="G3521" t="s">
        <v>21</v>
      </c>
      <c r="H3521" t="str">
        <f>"29341"</f>
        <v>29341</v>
      </c>
      <c r="I3521" t="str">
        <f>"ANGEL FIRE &amp; SAFETY"</f>
        <v>ANGEL FIRE &amp; SAFETY</v>
      </c>
    </row>
    <row r="3522" spans="1:9" x14ac:dyDescent="0.25">
      <c r="A3522" s="6">
        <v>43991</v>
      </c>
      <c r="B3522" t="s">
        <v>26</v>
      </c>
      <c r="C3522">
        <v>64185</v>
      </c>
      <c r="D3522" t="s">
        <v>31</v>
      </c>
      <c r="E3522" s="7">
        <v>3778.86</v>
      </c>
      <c r="F3522" t="s">
        <v>20</v>
      </c>
      <c r="G3522" t="s">
        <v>21</v>
      </c>
      <c r="H3522" t="str">
        <f>"2020242"</f>
        <v>2020242</v>
      </c>
      <c r="I3522" t="str">
        <f>"THE LAW OFFICE OF TOM CALDWELL"</f>
        <v>THE LAW OFFICE OF TOM CALDWELL</v>
      </c>
    </row>
    <row r="3523" spans="1:9" x14ac:dyDescent="0.25">
      <c r="A3523" s="6">
        <v>43991</v>
      </c>
      <c r="B3523" t="s">
        <v>26</v>
      </c>
      <c r="C3523">
        <v>64186</v>
      </c>
      <c r="D3523" t="s">
        <v>129</v>
      </c>
      <c r="E3523" s="7">
        <v>236.38</v>
      </c>
      <c r="F3523" t="s">
        <v>20</v>
      </c>
      <c r="G3523" t="s">
        <v>21</v>
      </c>
      <c r="H3523" t="str">
        <f>"P65649"</f>
        <v>P65649</v>
      </c>
      <c r="I3523" t="str">
        <f>"BELT FOR MOWER 60"</f>
        <v>BELT FOR MOWER 60</v>
      </c>
    </row>
    <row r="3524" spans="1:9" x14ac:dyDescent="0.25">
      <c r="E3524" s="7"/>
      <c r="F3524" t="s">
        <v>20</v>
      </c>
      <c r="G3524" t="s">
        <v>21</v>
      </c>
      <c r="H3524" t="str">
        <f>"P65807"</f>
        <v>P65807</v>
      </c>
      <c r="I3524" t="str">
        <f>"PARKS DEPT LAWNMOWER"</f>
        <v>PARKS DEPT LAWNMOWER</v>
      </c>
    </row>
    <row r="3525" spans="1:9" x14ac:dyDescent="0.25">
      <c r="A3525" s="6">
        <v>43991</v>
      </c>
      <c r="B3525" t="s">
        <v>26</v>
      </c>
      <c r="C3525">
        <v>64187</v>
      </c>
      <c r="D3525" t="s">
        <v>308</v>
      </c>
      <c r="E3525" s="7">
        <v>51.8</v>
      </c>
      <c r="F3525" t="s">
        <v>20</v>
      </c>
      <c r="G3525" t="s">
        <v>21</v>
      </c>
      <c r="H3525" t="str">
        <f>"TCEQ TEST 6/12/20"</f>
        <v>TCEQ TEST 6/12/20</v>
      </c>
      <c r="I3525" t="str">
        <f>"JOHNNY VILLARREAL"</f>
        <v>JOHNNY VILLARREAL</v>
      </c>
    </row>
    <row r="3526" spans="1:9" x14ac:dyDescent="0.25">
      <c r="A3526" s="6">
        <v>43991</v>
      </c>
      <c r="B3526" t="s">
        <v>26</v>
      </c>
      <c r="C3526">
        <v>64188</v>
      </c>
      <c r="D3526" t="s">
        <v>131</v>
      </c>
      <c r="E3526" s="7">
        <v>2627.72</v>
      </c>
      <c r="F3526" t="s">
        <v>20</v>
      </c>
      <c r="G3526" t="s">
        <v>21</v>
      </c>
      <c r="H3526" t="str">
        <f>"050144"</f>
        <v>050144</v>
      </c>
      <c r="I3526" t="str">
        <f>"WW SHOP TOOLS"</f>
        <v>WW SHOP TOOLS</v>
      </c>
    </row>
    <row r="3527" spans="1:9" x14ac:dyDescent="0.25">
      <c r="E3527" s="7"/>
      <c r="F3527" t="s">
        <v>20</v>
      </c>
      <c r="G3527" t="s">
        <v>21</v>
      </c>
      <c r="H3527" t="str">
        <f>"050317"</f>
        <v>050317</v>
      </c>
      <c r="I3527" t="str">
        <f>"TOOL SET FOR WW"</f>
        <v>TOOL SET FOR WW</v>
      </c>
    </row>
    <row r="3528" spans="1:9" x14ac:dyDescent="0.25">
      <c r="E3528" s="7"/>
      <c r="F3528" t="s">
        <v>20</v>
      </c>
      <c r="G3528" t="s">
        <v>21</v>
      </c>
      <c r="H3528" t="str">
        <f>"050526"</f>
        <v>050526</v>
      </c>
      <c r="I3528" t="str">
        <f>"OIL"</f>
        <v>OIL</v>
      </c>
    </row>
    <row r="3529" spans="1:9" x14ac:dyDescent="0.25">
      <c r="E3529" s="7"/>
      <c r="F3529" t="s">
        <v>20</v>
      </c>
      <c r="G3529" t="s">
        <v>21</v>
      </c>
      <c r="H3529" t="str">
        <f>"050535"</f>
        <v>050535</v>
      </c>
      <c r="I3529" t="str">
        <f>"TIGER PATCH &amp; COUPLING"</f>
        <v>TIGER PATCH &amp; COUPLING</v>
      </c>
    </row>
    <row r="3530" spans="1:9" x14ac:dyDescent="0.25">
      <c r="A3530" s="6">
        <v>43991</v>
      </c>
      <c r="B3530" t="s">
        <v>26</v>
      </c>
      <c r="C3530">
        <v>64190</v>
      </c>
      <c r="D3530" t="s">
        <v>83</v>
      </c>
      <c r="E3530" s="7">
        <v>1044</v>
      </c>
      <c r="F3530" t="s">
        <v>20</v>
      </c>
      <c r="G3530" t="s">
        <v>21</v>
      </c>
      <c r="H3530" t="str">
        <f>"1174995"</f>
        <v>1174995</v>
      </c>
      <c r="I3530" t="str">
        <f>"APPRIVER"</f>
        <v>APPRIVER</v>
      </c>
    </row>
    <row r="3531" spans="1:9" x14ac:dyDescent="0.25">
      <c r="A3531" s="6">
        <v>43991</v>
      </c>
      <c r="B3531" t="s">
        <v>26</v>
      </c>
      <c r="C3531">
        <v>64191</v>
      </c>
      <c r="D3531" t="s">
        <v>85</v>
      </c>
      <c r="E3531" s="7">
        <v>468.92</v>
      </c>
      <c r="F3531" t="s">
        <v>20</v>
      </c>
      <c r="G3531" t="s">
        <v>21</v>
      </c>
      <c r="H3531" t="str">
        <f>"3937070 MAY 2020"</f>
        <v>3937070 MAY 2020</v>
      </c>
      <c r="I3531" t="str">
        <f>"FRONTIER"</f>
        <v>FRONTIER</v>
      </c>
    </row>
    <row r="3532" spans="1:9" x14ac:dyDescent="0.25">
      <c r="A3532" s="6">
        <v>43991</v>
      </c>
      <c r="B3532" t="s">
        <v>26</v>
      </c>
      <c r="C3532">
        <v>64192</v>
      </c>
      <c r="D3532" t="s">
        <v>132</v>
      </c>
      <c r="E3532" s="7">
        <v>32.619999999999997</v>
      </c>
      <c r="F3532" t="s">
        <v>20</v>
      </c>
      <c r="G3532" t="s">
        <v>21</v>
      </c>
      <c r="H3532" t="str">
        <f>"2887 JUNE 2020"</f>
        <v>2887 JUNE 2020</v>
      </c>
      <c r="I3532" t="str">
        <f>"SPARKLETTS &amp; SIERRA SPRINGS"</f>
        <v>SPARKLETTS &amp; SIERRA SPRINGS</v>
      </c>
    </row>
    <row r="3533" spans="1:9" x14ac:dyDescent="0.25">
      <c r="A3533" s="6">
        <v>43991</v>
      </c>
      <c r="B3533" t="s">
        <v>26</v>
      </c>
      <c r="C3533">
        <v>64193</v>
      </c>
      <c r="D3533" t="s">
        <v>231</v>
      </c>
      <c r="E3533" s="7">
        <v>51.8</v>
      </c>
      <c r="F3533" t="s">
        <v>20</v>
      </c>
      <c r="G3533" t="s">
        <v>21</v>
      </c>
      <c r="H3533" t="str">
        <f>"TCEQ TEST 6/11/20"</f>
        <v>TCEQ TEST 6/11/20</v>
      </c>
      <c r="I3533" t="str">
        <f>"ROBERT BARRERA"</f>
        <v>ROBERT BARRERA</v>
      </c>
    </row>
    <row r="3534" spans="1:9" x14ac:dyDescent="0.25">
      <c r="A3534" s="6">
        <v>43991</v>
      </c>
      <c r="B3534" t="s">
        <v>26</v>
      </c>
      <c r="C3534">
        <v>64194</v>
      </c>
      <c r="D3534" t="s">
        <v>398</v>
      </c>
      <c r="E3534" s="7">
        <v>55</v>
      </c>
      <c r="F3534" t="s">
        <v>20</v>
      </c>
      <c r="G3534" t="s">
        <v>21</v>
      </c>
      <c r="H3534" t="str">
        <f>"20200603"</f>
        <v>20200603</v>
      </c>
      <c r="I3534" t="str">
        <f>"INTERCEPTOR TECHNOLOGY GROUP L"</f>
        <v>INTERCEPTOR TECHNOLOGY GROUP L</v>
      </c>
    </row>
    <row r="3535" spans="1:9" x14ac:dyDescent="0.25">
      <c r="A3535" s="6">
        <v>43991</v>
      </c>
      <c r="B3535" t="s">
        <v>26</v>
      </c>
      <c r="C3535">
        <v>64195</v>
      </c>
      <c r="D3535" t="s">
        <v>528</v>
      </c>
      <c r="E3535" s="7">
        <v>217</v>
      </c>
      <c r="F3535" t="s">
        <v>20</v>
      </c>
      <c r="G3535" t="s">
        <v>21</v>
      </c>
      <c r="H3535" t="str">
        <f>"10304010"</f>
        <v>10304010</v>
      </c>
      <c r="I3535" t="str">
        <f>"PROSTAR SERVICES INC"</f>
        <v>PROSTAR SERVICES INC</v>
      </c>
    </row>
    <row r="3536" spans="1:9" x14ac:dyDescent="0.25">
      <c r="A3536" s="6">
        <v>43991</v>
      </c>
      <c r="B3536" t="s">
        <v>26</v>
      </c>
      <c r="C3536">
        <v>64196</v>
      </c>
      <c r="D3536" t="s">
        <v>554</v>
      </c>
      <c r="E3536" s="7">
        <v>74.95</v>
      </c>
      <c r="F3536" t="s">
        <v>20</v>
      </c>
      <c r="G3536" t="s">
        <v>21</v>
      </c>
      <c r="H3536" t="str">
        <f>"AA83304"</f>
        <v>AA83304</v>
      </c>
      <c r="I3536" t="str">
        <f>"TEXAS WIRED MUSIC"</f>
        <v>TEXAS WIRED MUSIC</v>
      </c>
    </row>
    <row r="3537" spans="1:9" x14ac:dyDescent="0.25">
      <c r="A3537" s="6">
        <v>43991</v>
      </c>
      <c r="B3537" t="s">
        <v>26</v>
      </c>
      <c r="C3537">
        <v>64197</v>
      </c>
      <c r="D3537" t="s">
        <v>568</v>
      </c>
      <c r="E3537" s="7">
        <v>240.4</v>
      </c>
      <c r="F3537" t="s">
        <v>20</v>
      </c>
      <c r="G3537" t="s">
        <v>21</v>
      </c>
      <c r="H3537" t="str">
        <f>"14098534"</f>
        <v>14098534</v>
      </c>
      <c r="I3537" t="str">
        <f>"2007 PRIUS - TIRES"</f>
        <v>2007 PRIUS - TIRES</v>
      </c>
    </row>
    <row r="3538" spans="1:9" x14ac:dyDescent="0.25">
      <c r="A3538" s="6">
        <v>43991</v>
      </c>
      <c r="B3538" t="s">
        <v>26</v>
      </c>
      <c r="C3538">
        <v>64198</v>
      </c>
      <c r="D3538" t="s">
        <v>644</v>
      </c>
      <c r="E3538" s="7">
        <v>659.39</v>
      </c>
      <c r="F3538" t="s">
        <v>20</v>
      </c>
      <c r="G3538" t="s">
        <v>21</v>
      </c>
      <c r="H3538" t="str">
        <f>"8213459669"</f>
        <v>8213459669</v>
      </c>
      <c r="I3538" t="str">
        <f t="shared" ref="I3538:I3544" si="73">"UNIFIRST CORPORATION"</f>
        <v>UNIFIRST CORPORATION</v>
      </c>
    </row>
    <row r="3539" spans="1:9" x14ac:dyDescent="0.25">
      <c r="E3539" s="7"/>
      <c r="F3539" t="s">
        <v>20</v>
      </c>
      <c r="G3539" t="s">
        <v>21</v>
      </c>
      <c r="H3539" t="str">
        <f>"8213467598"</f>
        <v>8213467598</v>
      </c>
      <c r="I3539" t="str">
        <f t="shared" si="73"/>
        <v>UNIFIRST CORPORATION</v>
      </c>
    </row>
    <row r="3540" spans="1:9" x14ac:dyDescent="0.25">
      <c r="E3540" s="7"/>
      <c r="F3540" t="s">
        <v>20</v>
      </c>
      <c r="G3540" t="s">
        <v>21</v>
      </c>
      <c r="H3540" t="str">
        <f>"8213467599"</f>
        <v>8213467599</v>
      </c>
      <c r="I3540" t="str">
        <f t="shared" si="73"/>
        <v>UNIFIRST CORPORATION</v>
      </c>
    </row>
    <row r="3541" spans="1:9" x14ac:dyDescent="0.25">
      <c r="E3541" s="7"/>
      <c r="F3541" t="s">
        <v>20</v>
      </c>
      <c r="G3541" t="s">
        <v>21</v>
      </c>
      <c r="H3541" t="str">
        <f>"8213467600"</f>
        <v>8213467600</v>
      </c>
      <c r="I3541" t="str">
        <f t="shared" si="73"/>
        <v>UNIFIRST CORPORATION</v>
      </c>
    </row>
    <row r="3542" spans="1:9" x14ac:dyDescent="0.25">
      <c r="E3542" s="7"/>
      <c r="F3542" t="s">
        <v>20</v>
      </c>
      <c r="G3542" t="s">
        <v>21</v>
      </c>
      <c r="H3542" t="str">
        <f>"8213467601"</f>
        <v>8213467601</v>
      </c>
      <c r="I3542" t="str">
        <f t="shared" si="73"/>
        <v>UNIFIRST CORPORATION</v>
      </c>
    </row>
    <row r="3543" spans="1:9" x14ac:dyDescent="0.25">
      <c r="E3543" s="7"/>
      <c r="F3543" t="s">
        <v>20</v>
      </c>
      <c r="G3543" t="s">
        <v>21</v>
      </c>
      <c r="H3543" t="str">
        <f>"8213467602"</f>
        <v>8213467602</v>
      </c>
      <c r="I3543" t="str">
        <f t="shared" si="73"/>
        <v>UNIFIRST CORPORATION</v>
      </c>
    </row>
    <row r="3544" spans="1:9" x14ac:dyDescent="0.25">
      <c r="E3544" s="7"/>
      <c r="F3544" t="s">
        <v>20</v>
      </c>
      <c r="G3544" t="s">
        <v>21</v>
      </c>
      <c r="H3544" t="str">
        <f>"8213467603"</f>
        <v>8213467603</v>
      </c>
      <c r="I3544" t="str">
        <f t="shared" si="73"/>
        <v>UNIFIRST CORPORATION</v>
      </c>
    </row>
    <row r="3545" spans="1:9" x14ac:dyDescent="0.25">
      <c r="A3545" s="6">
        <v>43991</v>
      </c>
      <c r="B3545" t="s">
        <v>26</v>
      </c>
      <c r="C3545">
        <v>64200</v>
      </c>
      <c r="D3545" t="s">
        <v>831</v>
      </c>
      <c r="E3545" s="7">
        <v>1842.35</v>
      </c>
      <c r="F3545" t="s">
        <v>20</v>
      </c>
      <c r="G3545" t="s">
        <v>21</v>
      </c>
      <c r="H3545" t="str">
        <f>"0046961-IN"</f>
        <v>0046961-IN</v>
      </c>
      <c r="I3545" t="str">
        <f>"BACKUP REGULATOR/REPAIR"</f>
        <v>BACKUP REGULATOR/REPAIR</v>
      </c>
    </row>
    <row r="3546" spans="1:9" x14ac:dyDescent="0.25">
      <c r="A3546" s="6">
        <v>43991</v>
      </c>
      <c r="B3546" t="s">
        <v>26</v>
      </c>
      <c r="C3546">
        <v>64201</v>
      </c>
      <c r="D3546" t="s">
        <v>836</v>
      </c>
      <c r="E3546" s="7">
        <v>1225.3800000000001</v>
      </c>
      <c r="F3546" t="s">
        <v>20</v>
      </c>
      <c r="G3546" t="s">
        <v>21</v>
      </c>
      <c r="H3546" t="str">
        <f>"64368"</f>
        <v>64368</v>
      </c>
      <c r="I3546" t="str">
        <f>"BARCOM TECHNOLOGY SOLUTIONS  I"</f>
        <v>BARCOM TECHNOLOGY SOLUTIONS  I</v>
      </c>
    </row>
    <row r="3547" spans="1:9" x14ac:dyDescent="0.25">
      <c r="A3547" s="6">
        <v>43991</v>
      </c>
      <c r="B3547" t="s">
        <v>26</v>
      </c>
      <c r="C3547">
        <v>64202</v>
      </c>
      <c r="D3547" t="s">
        <v>881</v>
      </c>
      <c r="E3547" s="7">
        <v>766.04</v>
      </c>
      <c r="F3547" t="s">
        <v>20</v>
      </c>
      <c r="G3547" t="s">
        <v>21</v>
      </c>
      <c r="H3547" t="str">
        <f>"22385"</f>
        <v>22385</v>
      </c>
      <c r="I3547" t="str">
        <f>"AC TECH 3 PH  1/2 HP 480"</f>
        <v>AC TECH 3 PH  1/2 HP 480</v>
      </c>
    </row>
    <row r="3548" spans="1:9" x14ac:dyDescent="0.25">
      <c r="A3548" s="6">
        <v>43991</v>
      </c>
      <c r="B3548" t="s">
        <v>26</v>
      </c>
      <c r="C3548">
        <v>64203</v>
      </c>
      <c r="D3548" t="s">
        <v>923</v>
      </c>
      <c r="E3548" s="7">
        <v>16125.32</v>
      </c>
      <c r="F3548" t="s">
        <v>20</v>
      </c>
      <c r="G3548" t="s">
        <v>21</v>
      </c>
      <c r="H3548" t="str">
        <f>"BB119-20"</f>
        <v>BB119-20</v>
      </c>
      <c r="I3548" t="str">
        <f>"2-ZERO TURN MOWERS"</f>
        <v>2-ZERO TURN MOWERS</v>
      </c>
    </row>
    <row r="3549" spans="1:9" x14ac:dyDescent="0.25">
      <c r="A3549" s="6">
        <v>43991</v>
      </c>
      <c r="B3549" t="s">
        <v>26</v>
      </c>
      <c r="C3549">
        <v>64204</v>
      </c>
      <c r="D3549" t="s">
        <v>924</v>
      </c>
      <c r="E3549" s="7">
        <v>51.5</v>
      </c>
      <c r="F3549" t="s">
        <v>20</v>
      </c>
      <c r="G3549" t="s">
        <v>21</v>
      </c>
      <c r="H3549" t="str">
        <f>"TCEQ TEST 6/10/20"</f>
        <v>TCEQ TEST 6/10/20</v>
      </c>
      <c r="I3549" t="str">
        <f>"GERONIMO TUNCHEZ"</f>
        <v>GERONIMO TUNCHEZ</v>
      </c>
    </row>
    <row r="3550" spans="1:9" x14ac:dyDescent="0.25">
      <c r="A3550" s="6">
        <v>43992</v>
      </c>
      <c r="B3550" t="s">
        <v>26</v>
      </c>
      <c r="C3550">
        <v>64205</v>
      </c>
      <c r="D3550" t="s">
        <v>325</v>
      </c>
      <c r="E3550" s="7">
        <v>701.64</v>
      </c>
      <c r="F3550" t="s">
        <v>20</v>
      </c>
      <c r="G3550" t="s">
        <v>21</v>
      </c>
      <c r="H3550" t="str">
        <f>"2470001  6/10/2020"</f>
        <v>2470001  6/10/2020</v>
      </c>
      <c r="I3550" t="str">
        <f>"DSHS CENTRAL LAB MC2004"</f>
        <v>DSHS CENTRAL LAB MC2004</v>
      </c>
    </row>
    <row r="3551" spans="1:9" x14ac:dyDescent="0.25">
      <c r="A3551" s="6">
        <v>43992</v>
      </c>
      <c r="B3551" t="s">
        <v>26</v>
      </c>
      <c r="C3551">
        <v>64206</v>
      </c>
      <c r="D3551" t="s">
        <v>168</v>
      </c>
      <c r="E3551" s="7">
        <v>537</v>
      </c>
      <c r="F3551" t="s">
        <v>20</v>
      </c>
      <c r="G3551" t="s">
        <v>21</v>
      </c>
      <c r="H3551" t="str">
        <f>"LI-7087"</f>
        <v>LI-7087</v>
      </c>
      <c r="I3551" t="str">
        <f t="shared" ref="I3551:I3557" si="74">"BEXAR COUNTY AUDITOR/ATTN:CRIM"</f>
        <v>BEXAR COUNTY AUDITOR/ATTN:CRIM</v>
      </c>
    </row>
    <row r="3552" spans="1:9" x14ac:dyDescent="0.25">
      <c r="E3552" s="7"/>
      <c r="F3552" t="s">
        <v>20</v>
      </c>
      <c r="G3552" t="s">
        <v>21</v>
      </c>
      <c r="H3552" t="str">
        <f>"LI-7088"</f>
        <v>LI-7088</v>
      </c>
      <c r="I3552" t="str">
        <f t="shared" si="74"/>
        <v>BEXAR COUNTY AUDITOR/ATTN:CRIM</v>
      </c>
    </row>
    <row r="3553" spans="1:9" x14ac:dyDescent="0.25">
      <c r="E3553" s="7"/>
      <c r="F3553" t="s">
        <v>20</v>
      </c>
      <c r="G3553" t="s">
        <v>21</v>
      </c>
      <c r="H3553" t="str">
        <f>"LI-7089"</f>
        <v>LI-7089</v>
      </c>
      <c r="I3553" t="str">
        <f t="shared" si="74"/>
        <v>BEXAR COUNTY AUDITOR/ATTN:CRIM</v>
      </c>
    </row>
    <row r="3554" spans="1:9" x14ac:dyDescent="0.25">
      <c r="E3554" s="7"/>
      <c r="F3554" t="s">
        <v>20</v>
      </c>
      <c r="G3554" t="s">
        <v>21</v>
      </c>
      <c r="H3554" t="str">
        <f>"LI-7090"</f>
        <v>LI-7090</v>
      </c>
      <c r="I3554" t="str">
        <f t="shared" si="74"/>
        <v>BEXAR COUNTY AUDITOR/ATTN:CRIM</v>
      </c>
    </row>
    <row r="3555" spans="1:9" x14ac:dyDescent="0.25">
      <c r="E3555" s="7"/>
      <c r="F3555" t="s">
        <v>20</v>
      </c>
      <c r="G3555" t="s">
        <v>21</v>
      </c>
      <c r="H3555" t="str">
        <f>"LI-7091"</f>
        <v>LI-7091</v>
      </c>
      <c r="I3555" t="str">
        <f t="shared" si="74"/>
        <v>BEXAR COUNTY AUDITOR/ATTN:CRIM</v>
      </c>
    </row>
    <row r="3556" spans="1:9" x14ac:dyDescent="0.25">
      <c r="E3556" s="7"/>
      <c r="F3556" t="s">
        <v>20</v>
      </c>
      <c r="G3556" t="s">
        <v>21</v>
      </c>
      <c r="H3556" t="str">
        <f>"LI-7092"</f>
        <v>LI-7092</v>
      </c>
      <c r="I3556" t="str">
        <f t="shared" si="74"/>
        <v>BEXAR COUNTY AUDITOR/ATTN:CRIM</v>
      </c>
    </row>
    <row r="3557" spans="1:9" x14ac:dyDescent="0.25">
      <c r="E3557" s="7"/>
      <c r="F3557" t="s">
        <v>20</v>
      </c>
      <c r="G3557" t="s">
        <v>21</v>
      </c>
      <c r="H3557" t="str">
        <f>"LI-7093"</f>
        <v>LI-7093</v>
      </c>
      <c r="I3557" t="str">
        <f t="shared" si="74"/>
        <v>BEXAR COUNTY AUDITOR/ATTN:CRIM</v>
      </c>
    </row>
    <row r="3558" spans="1:9" x14ac:dyDescent="0.25">
      <c r="A3558" s="6">
        <v>43992</v>
      </c>
      <c r="B3558" t="s">
        <v>26</v>
      </c>
      <c r="C3558">
        <v>64208</v>
      </c>
      <c r="D3558" t="s">
        <v>248</v>
      </c>
      <c r="E3558" s="7">
        <v>162.24</v>
      </c>
      <c r="F3558" t="s">
        <v>20</v>
      </c>
      <c r="G3558" t="s">
        <v>21</v>
      </c>
      <c r="H3558" t="str">
        <f>"1015715513"</f>
        <v>1015715513</v>
      </c>
      <c r="I3558" t="str">
        <f>"POSTAGE SUPPLIES"</f>
        <v>POSTAGE SUPPLIES</v>
      </c>
    </row>
    <row r="3559" spans="1:9" x14ac:dyDescent="0.25">
      <c r="A3559" s="6">
        <v>43992</v>
      </c>
      <c r="B3559" t="s">
        <v>26</v>
      </c>
      <c r="C3559">
        <v>64209</v>
      </c>
      <c r="D3559" t="s">
        <v>71</v>
      </c>
      <c r="E3559" s="7">
        <v>204.77</v>
      </c>
      <c r="F3559" t="s">
        <v>20</v>
      </c>
      <c r="G3559" t="s">
        <v>21</v>
      </c>
      <c r="H3559" t="str">
        <f>"4052496384"</f>
        <v>4052496384</v>
      </c>
      <c r="I3559" t="str">
        <f>"CINTAS CORPORATION #087"</f>
        <v>CINTAS CORPORATION #087</v>
      </c>
    </row>
    <row r="3560" spans="1:9" x14ac:dyDescent="0.25">
      <c r="A3560" s="6">
        <v>43992</v>
      </c>
      <c r="B3560" t="s">
        <v>91</v>
      </c>
      <c r="C3560">
        <v>64210</v>
      </c>
      <c r="D3560" t="s">
        <v>925</v>
      </c>
      <c r="E3560" s="7">
        <v>188.8</v>
      </c>
      <c r="F3560" t="s">
        <v>20</v>
      </c>
      <c r="G3560" t="s">
        <v>21</v>
      </c>
      <c r="H3560" t="str">
        <f>"48424"</f>
        <v>48424</v>
      </c>
      <c r="I3560" t="str">
        <f>"TOOLS PLUS INDUSTRIES"</f>
        <v>TOOLS PLUS INDUSTRIES</v>
      </c>
    </row>
    <row r="3561" spans="1:9" x14ac:dyDescent="0.25">
      <c r="A3561" s="6">
        <v>43992</v>
      </c>
      <c r="B3561" t="s">
        <v>91</v>
      </c>
      <c r="C3561">
        <v>64210</v>
      </c>
      <c r="D3561" t="s">
        <v>925</v>
      </c>
      <c r="E3561" s="7">
        <v>188.8</v>
      </c>
      <c r="F3561" t="s">
        <v>20</v>
      </c>
      <c r="G3561" t="s">
        <v>93</v>
      </c>
      <c r="H3561" t="str">
        <f>"CHECK"</f>
        <v>CHECK</v>
      </c>
      <c r="I3561" t="str">
        <f>""</f>
        <v/>
      </c>
    </row>
    <row r="3562" spans="1:9" x14ac:dyDescent="0.25">
      <c r="A3562" s="6">
        <v>43992</v>
      </c>
      <c r="B3562" t="s">
        <v>26</v>
      </c>
      <c r="C3562">
        <v>64211</v>
      </c>
      <c r="D3562" t="s">
        <v>81</v>
      </c>
      <c r="E3562" s="7">
        <v>205.37</v>
      </c>
      <c r="F3562" t="s">
        <v>20</v>
      </c>
      <c r="G3562" t="s">
        <v>21</v>
      </c>
      <c r="H3562" t="str">
        <f>"A.MONTOYA 6/10/20"</f>
        <v>A.MONTOYA 6/10/20</v>
      </c>
      <c r="I3562" t="str">
        <f>"CITY OF FLORESVILLE -PETTY CAS"</f>
        <v>CITY OF FLORESVILLE -PETTY CAS</v>
      </c>
    </row>
    <row r="3563" spans="1:9" x14ac:dyDescent="0.25">
      <c r="A3563" s="6">
        <v>43992</v>
      </c>
      <c r="B3563" t="s">
        <v>26</v>
      </c>
      <c r="C3563">
        <v>64212</v>
      </c>
      <c r="D3563" t="s">
        <v>380</v>
      </c>
      <c r="E3563" s="7">
        <v>12753</v>
      </c>
      <c r="F3563" t="s">
        <v>20</v>
      </c>
      <c r="G3563" t="s">
        <v>21</v>
      </c>
      <c r="H3563" t="str">
        <f>"71876"</f>
        <v>71876</v>
      </c>
      <c r="I3563" t="str">
        <f>"ABIP CERTIFIED PUBLIC ACCOUNTA"</f>
        <v>ABIP CERTIFIED PUBLIC ACCOUNTA</v>
      </c>
    </row>
    <row r="3564" spans="1:9" x14ac:dyDescent="0.25">
      <c r="A3564" s="6">
        <v>43992</v>
      </c>
      <c r="B3564" t="s">
        <v>26</v>
      </c>
      <c r="C3564">
        <v>64213</v>
      </c>
      <c r="D3564" t="s">
        <v>821</v>
      </c>
      <c r="E3564" s="7">
        <v>585</v>
      </c>
      <c r="F3564" t="s">
        <v>20</v>
      </c>
      <c r="G3564" t="s">
        <v>21</v>
      </c>
      <c r="H3564" t="str">
        <f>"FRI7944"</f>
        <v>FRI7944</v>
      </c>
      <c r="I3564" t="str">
        <f>"DUPERON SYSTEM RAKE"</f>
        <v>DUPERON SYSTEM RAKE</v>
      </c>
    </row>
    <row r="3565" spans="1:9" x14ac:dyDescent="0.25">
      <c r="A3565" s="6">
        <v>43992</v>
      </c>
      <c r="B3565" t="s">
        <v>26</v>
      </c>
      <c r="C3565">
        <v>64214</v>
      </c>
      <c r="D3565" t="s">
        <v>54</v>
      </c>
      <c r="E3565" s="7">
        <v>1316.75</v>
      </c>
      <c r="F3565" t="s">
        <v>20</v>
      </c>
      <c r="G3565" t="s">
        <v>21</v>
      </c>
      <c r="H3565" t="str">
        <f>"5/03-5/16/2020"</f>
        <v>5/03-5/16/2020</v>
      </c>
      <c r="I3565" t="str">
        <f>"NATIONWIDE TRUST COMPANY  FSB"</f>
        <v>NATIONWIDE TRUST COMPANY  FSB</v>
      </c>
    </row>
    <row r="3566" spans="1:9" x14ac:dyDescent="0.25">
      <c r="A3566" s="6">
        <v>43992</v>
      </c>
      <c r="B3566" t="s">
        <v>26</v>
      </c>
      <c r="C3566">
        <v>64215</v>
      </c>
      <c r="D3566" t="s">
        <v>396</v>
      </c>
      <c r="E3566" s="7">
        <v>8600</v>
      </c>
      <c r="F3566" t="s">
        <v>20</v>
      </c>
      <c r="G3566" t="s">
        <v>21</v>
      </c>
      <c r="H3566" t="str">
        <f>"1528"</f>
        <v>1528</v>
      </c>
      <c r="I3566" t="str">
        <f>"DUMPSTER PAD"</f>
        <v>DUMPSTER PAD</v>
      </c>
    </row>
    <row r="3567" spans="1:9" x14ac:dyDescent="0.25">
      <c r="A3567" s="6">
        <v>43992</v>
      </c>
      <c r="B3567" t="s">
        <v>26</v>
      </c>
      <c r="C3567">
        <v>64216</v>
      </c>
      <c r="D3567" t="s">
        <v>323</v>
      </c>
      <c r="E3567" s="7">
        <v>690</v>
      </c>
      <c r="F3567" t="s">
        <v>20</v>
      </c>
      <c r="G3567" t="s">
        <v>21</v>
      </c>
      <c r="H3567" t="str">
        <f>"6442"</f>
        <v>6442</v>
      </c>
      <c r="I3567" t="str">
        <f>"POLLOK SELF STORAGE LLC"</f>
        <v>POLLOK SELF STORAGE LLC</v>
      </c>
    </row>
    <row r="3568" spans="1:9" x14ac:dyDescent="0.25">
      <c r="A3568" s="6">
        <v>43992</v>
      </c>
      <c r="B3568" t="s">
        <v>26</v>
      </c>
      <c r="C3568">
        <v>64217</v>
      </c>
      <c r="D3568" t="s">
        <v>328</v>
      </c>
      <c r="E3568" s="7">
        <v>14998.2</v>
      </c>
      <c r="F3568" t="s">
        <v>20</v>
      </c>
      <c r="G3568" t="s">
        <v>21</v>
      </c>
      <c r="H3568" t="str">
        <f>"7019036"</f>
        <v>7019036</v>
      </c>
      <c r="I3568" t="str">
        <f>"KOLOGIK"</f>
        <v>KOLOGIK</v>
      </c>
    </row>
    <row r="3569" spans="1:9" x14ac:dyDescent="0.25">
      <c r="A3569" s="6">
        <v>43992</v>
      </c>
      <c r="B3569" t="s">
        <v>26</v>
      </c>
      <c r="C3569">
        <v>64218</v>
      </c>
      <c r="D3569" t="s">
        <v>739</v>
      </c>
      <c r="E3569" s="7">
        <v>835.13</v>
      </c>
      <c r="F3569" t="s">
        <v>20</v>
      </c>
      <c r="G3569" t="s">
        <v>21</v>
      </c>
      <c r="H3569" t="str">
        <f>"5286X05272020"</f>
        <v>5286X05272020</v>
      </c>
      <c r="I3569" t="str">
        <f>"FIRSTNET/AT&amp;T MOBILITY LLC"</f>
        <v>FIRSTNET/AT&amp;T MOBILITY LLC</v>
      </c>
    </row>
    <row r="3570" spans="1:9" x14ac:dyDescent="0.25">
      <c r="A3570" s="6">
        <v>43992</v>
      </c>
      <c r="B3570" t="s">
        <v>26</v>
      </c>
      <c r="C3570">
        <v>64219</v>
      </c>
      <c r="D3570" t="s">
        <v>884</v>
      </c>
      <c r="E3570" s="7">
        <v>51.5</v>
      </c>
      <c r="F3570" t="s">
        <v>20</v>
      </c>
      <c r="G3570" t="s">
        <v>21</v>
      </c>
      <c r="H3570" t="str">
        <f>"TCEQ TEST 6/19/20"</f>
        <v>TCEQ TEST 6/19/20</v>
      </c>
      <c r="I3570" t="str">
        <f>"DAVID PAINTER"</f>
        <v>DAVID PAINTER</v>
      </c>
    </row>
    <row r="3571" spans="1:9" x14ac:dyDescent="0.25">
      <c r="A3571" s="6">
        <v>43992</v>
      </c>
      <c r="B3571" t="s">
        <v>26</v>
      </c>
      <c r="C3571">
        <v>64220</v>
      </c>
      <c r="D3571" t="s">
        <v>926</v>
      </c>
      <c r="E3571" s="7">
        <v>83707.199999999997</v>
      </c>
      <c r="F3571" t="s">
        <v>20</v>
      </c>
      <c r="G3571" t="s">
        <v>21</v>
      </c>
      <c r="H3571" t="str">
        <f>"DRAW#3 PJT#7218092"</f>
        <v>DRAW#3 PJT#7218092</v>
      </c>
      <c r="I3571" t="str">
        <f>"SLP CONSTRUCTORS"</f>
        <v>SLP CONSTRUCTORS</v>
      </c>
    </row>
    <row r="3572" spans="1:9" x14ac:dyDescent="0.25">
      <c r="A3572" s="6">
        <v>43998</v>
      </c>
      <c r="B3572" t="s">
        <v>26</v>
      </c>
      <c r="C3572">
        <v>64221</v>
      </c>
      <c r="D3572" t="s">
        <v>927</v>
      </c>
      <c r="E3572" s="7">
        <v>1900</v>
      </c>
      <c r="F3572" t="s">
        <v>20</v>
      </c>
      <c r="G3572" t="s">
        <v>21</v>
      </c>
      <c r="H3572" t="str">
        <f>"1"</f>
        <v>1</v>
      </c>
      <c r="I3572" t="str">
        <f>"JOELZ LAWN MOWING SERVICE"</f>
        <v>JOELZ LAWN MOWING SERVICE</v>
      </c>
    </row>
    <row r="3573" spans="1:9" x14ac:dyDescent="0.25">
      <c r="A3573" s="6">
        <v>43998</v>
      </c>
      <c r="B3573" t="s">
        <v>26</v>
      </c>
      <c r="C3573">
        <v>64222</v>
      </c>
      <c r="D3573" t="s">
        <v>346</v>
      </c>
      <c r="E3573" s="7">
        <v>13750</v>
      </c>
      <c r="F3573" t="s">
        <v>20</v>
      </c>
      <c r="G3573" t="s">
        <v>21</v>
      </c>
      <c r="H3573" t="str">
        <f>"5/11-6/11/2020"</f>
        <v>5/11-6/11/2020</v>
      </c>
      <c r="I3573" t="str">
        <f>"SYLVIA RODRIGUEZ"</f>
        <v>SYLVIA RODRIGUEZ</v>
      </c>
    </row>
    <row r="3574" spans="1:9" x14ac:dyDescent="0.25">
      <c r="A3574" s="6">
        <v>43998</v>
      </c>
      <c r="B3574" t="s">
        <v>26</v>
      </c>
      <c r="C3574">
        <v>64231</v>
      </c>
      <c r="D3574" t="s">
        <v>51</v>
      </c>
      <c r="E3574" s="7">
        <v>346.31</v>
      </c>
      <c r="F3574" t="s">
        <v>20</v>
      </c>
      <c r="G3574" t="s">
        <v>21</v>
      </c>
      <c r="H3574" t="str">
        <f>"CLE202006168575"</f>
        <v>CLE202006168575</v>
      </c>
      <c r="I3574" t="str">
        <f>"CLEAT ONLY DUES"</f>
        <v>CLEAT ONLY DUES</v>
      </c>
    </row>
    <row r="3575" spans="1:9" x14ac:dyDescent="0.25">
      <c r="E3575" s="7"/>
      <c r="F3575" t="s">
        <v>20</v>
      </c>
      <c r="G3575" t="s">
        <v>21</v>
      </c>
      <c r="H3575" t="str">
        <f>"PDD202006168575"</f>
        <v>PDD202006168575</v>
      </c>
      <c r="I3575" t="str">
        <f>"POLICE OFFICERS ASSOC DUES"</f>
        <v>POLICE OFFICERS ASSOC DUES</v>
      </c>
    </row>
    <row r="3576" spans="1:9" x14ac:dyDescent="0.25">
      <c r="A3576" s="6">
        <v>43998</v>
      </c>
      <c r="B3576" t="s">
        <v>91</v>
      </c>
      <c r="C3576">
        <v>64232</v>
      </c>
      <c r="D3576" t="s">
        <v>90</v>
      </c>
      <c r="E3576" s="7">
        <v>101.1</v>
      </c>
      <c r="F3576" t="s">
        <v>20</v>
      </c>
      <c r="G3576" t="s">
        <v>21</v>
      </c>
      <c r="H3576" t="str">
        <f>"AFS202006168575"</f>
        <v>AFS202006168575</v>
      </c>
      <c r="I3576" t="str">
        <f>"AFLAC STD"</f>
        <v>AFLAC STD</v>
      </c>
    </row>
    <row r="3577" spans="1:9" x14ac:dyDescent="0.25">
      <c r="A3577" s="6">
        <v>43998</v>
      </c>
      <c r="B3577" t="s">
        <v>91</v>
      </c>
      <c r="C3577">
        <v>64232</v>
      </c>
      <c r="D3577" t="s">
        <v>90</v>
      </c>
      <c r="E3577" s="7">
        <v>101.1</v>
      </c>
      <c r="F3577" t="s">
        <v>20</v>
      </c>
      <c r="G3577" t="s">
        <v>93</v>
      </c>
      <c r="H3577" t="str">
        <f>"CHECK"</f>
        <v>CHECK</v>
      </c>
      <c r="I3577" t="str">
        <f>""</f>
        <v/>
      </c>
    </row>
    <row r="3578" spans="1:9" x14ac:dyDescent="0.25">
      <c r="A3578" s="6">
        <v>43998</v>
      </c>
      <c r="B3578" t="s">
        <v>26</v>
      </c>
      <c r="C3578">
        <v>64233</v>
      </c>
      <c r="D3578" t="s">
        <v>52</v>
      </c>
      <c r="E3578" s="7">
        <v>711.46</v>
      </c>
      <c r="F3578" t="s">
        <v>20</v>
      </c>
      <c r="G3578" t="s">
        <v>21</v>
      </c>
      <c r="H3578" t="str">
        <f>"CA1202006168575"</f>
        <v>CA1202006168575</v>
      </c>
      <c r="I3578" t="str">
        <f>"K RAMIREZ 001200229510060343CV"</f>
        <v>K RAMIREZ 001200229510060343CV</v>
      </c>
    </row>
    <row r="3579" spans="1:9" x14ac:dyDescent="0.25">
      <c r="E3579" s="7"/>
      <c r="F3579" t="s">
        <v>20</v>
      </c>
      <c r="G3579" t="s">
        <v>21</v>
      </c>
      <c r="H3579" t="str">
        <f>"CA2202006168575"</f>
        <v>CA2202006168575</v>
      </c>
      <c r="I3579" t="str">
        <f>"L HERNANDEZ 001016025203080354"</f>
        <v>L HERNANDEZ 001016025203080354</v>
      </c>
    </row>
    <row r="3580" spans="1:9" x14ac:dyDescent="0.25">
      <c r="E3580" s="7"/>
      <c r="F3580" t="s">
        <v>20</v>
      </c>
      <c r="G3580" t="s">
        <v>21</v>
      </c>
      <c r="H3580" t="str">
        <f>"CA3202006168575"</f>
        <v>CA3202006168575</v>
      </c>
      <c r="I3580" t="str">
        <f>"00120788612011EM5023JOLENEGARC"</f>
        <v>00120788612011EM5023JOLENEGARC</v>
      </c>
    </row>
    <row r="3581" spans="1:9" x14ac:dyDescent="0.25">
      <c r="E3581" s="7"/>
      <c r="F3581" t="s">
        <v>20</v>
      </c>
      <c r="G3581" t="s">
        <v>21</v>
      </c>
      <c r="H3581" t="str">
        <f>"CPS202006168575"</f>
        <v>CPS202006168575</v>
      </c>
      <c r="I3581" t="str">
        <f>"G MENDOZA 00123012032010EM5054"</f>
        <v>G MENDOZA 00123012032010EM5054</v>
      </c>
    </row>
    <row r="3582" spans="1:9" x14ac:dyDescent="0.25">
      <c r="E3582" s="7"/>
      <c r="F3582" t="s">
        <v>20</v>
      </c>
      <c r="G3582" t="s">
        <v>21</v>
      </c>
      <c r="H3582" t="str">
        <f>"CSA202006168575"</f>
        <v>CSA202006168575</v>
      </c>
      <c r="I3582" t="str">
        <f>"S RODRIGUEZ 001281730413050336"</f>
        <v>S RODRIGUEZ 001281730413050336</v>
      </c>
    </row>
    <row r="3583" spans="1:9" x14ac:dyDescent="0.25">
      <c r="A3583" s="6">
        <v>43998</v>
      </c>
      <c r="B3583" t="s">
        <v>26</v>
      </c>
      <c r="C3583">
        <v>64234</v>
      </c>
      <c r="D3583" t="s">
        <v>54</v>
      </c>
      <c r="E3583" s="7">
        <v>1414.48</v>
      </c>
      <c r="F3583" t="s">
        <v>20</v>
      </c>
      <c r="G3583" t="s">
        <v>21</v>
      </c>
      <c r="H3583" t="str">
        <f>"457202006168575"</f>
        <v>457202006168575</v>
      </c>
      <c r="I3583" t="str">
        <f>"CASE # 180-60751 457B DEDUCT"</f>
        <v>CASE # 180-60751 457B DEDUCT</v>
      </c>
    </row>
    <row r="3584" spans="1:9" x14ac:dyDescent="0.25">
      <c r="A3584" s="6">
        <v>43999</v>
      </c>
      <c r="B3584" t="s">
        <v>26</v>
      </c>
      <c r="C3584">
        <v>64235</v>
      </c>
      <c r="D3584" t="s">
        <v>102</v>
      </c>
      <c r="E3584" s="7">
        <v>93.53</v>
      </c>
      <c r="F3584" t="s">
        <v>20</v>
      </c>
      <c r="G3584" t="s">
        <v>21</v>
      </c>
      <c r="H3584" t="str">
        <f>"1120 D.ST JUNE2020"</f>
        <v>1120 D.ST JUNE2020</v>
      </c>
      <c r="I3584" t="str">
        <f>"CENTERPOINT ENERGY ENTEX"</f>
        <v>CENTERPOINT ENERGY ENTEX</v>
      </c>
    </row>
    <row r="3585" spans="1:9" x14ac:dyDescent="0.25">
      <c r="E3585" s="7"/>
      <c r="F3585" t="s">
        <v>20</v>
      </c>
      <c r="G3585" t="s">
        <v>21</v>
      </c>
      <c r="H3585" t="str">
        <f>"1200 1ST JUNE 2020"</f>
        <v>1200 1ST JUNE 2020</v>
      </c>
      <c r="I3585" t="str">
        <f>"CENTERPOINT ENERGY ENTEX"</f>
        <v>CENTERPOINT ENERGY ENTEX</v>
      </c>
    </row>
    <row r="3586" spans="1:9" x14ac:dyDescent="0.25">
      <c r="E3586" s="7"/>
      <c r="F3586" t="s">
        <v>20</v>
      </c>
      <c r="G3586" t="s">
        <v>21</v>
      </c>
      <c r="H3586" t="str">
        <f>"920 C. ST.JUNE 202"</f>
        <v>920 C. ST.JUNE 202</v>
      </c>
      <c r="I3586" t="str">
        <f>"CENTERPOINT ENERGY ENTEX"</f>
        <v>CENTERPOINT ENERGY ENTEX</v>
      </c>
    </row>
    <row r="3587" spans="1:9" x14ac:dyDescent="0.25">
      <c r="A3587" s="6">
        <v>43999</v>
      </c>
      <c r="B3587" t="s">
        <v>26</v>
      </c>
      <c r="C3587">
        <v>64236</v>
      </c>
      <c r="D3587" t="s">
        <v>57</v>
      </c>
      <c r="E3587" s="7">
        <v>8543.68</v>
      </c>
      <c r="F3587" t="s">
        <v>20</v>
      </c>
      <c r="G3587" t="s">
        <v>21</v>
      </c>
      <c r="H3587" t="str">
        <f>"11617 JUNE 2020"</f>
        <v>11617 JUNE 2020</v>
      </c>
      <c r="I3587" t="str">
        <f>"F.E.L.P.S."</f>
        <v>F.E.L.P.S.</v>
      </c>
    </row>
    <row r="3588" spans="1:9" x14ac:dyDescent="0.25">
      <c r="E3588" s="7"/>
      <c r="F3588" t="s">
        <v>20</v>
      </c>
      <c r="G3588" t="s">
        <v>21</v>
      </c>
      <c r="H3588" t="str">
        <f>"33062 JUNE 2020"</f>
        <v>33062 JUNE 2020</v>
      </c>
      <c r="I3588" t="str">
        <f>"F.E.L.P.S."</f>
        <v>F.E.L.P.S.</v>
      </c>
    </row>
    <row r="3589" spans="1:9" x14ac:dyDescent="0.25">
      <c r="A3589" s="6">
        <v>43999</v>
      </c>
      <c r="B3589" t="s">
        <v>26</v>
      </c>
      <c r="C3589">
        <v>64237</v>
      </c>
      <c r="D3589" t="s">
        <v>103</v>
      </c>
      <c r="E3589" s="7">
        <v>80360.95</v>
      </c>
      <c r="F3589" t="s">
        <v>20</v>
      </c>
      <c r="G3589" t="s">
        <v>21</v>
      </c>
      <c r="H3589" t="str">
        <f>"JUNE 2020 SALES TX"</f>
        <v>JUNE 2020 SALES TX</v>
      </c>
      <c r="I3589" t="str">
        <f>"F. E. D. C."</f>
        <v>F. E. D. C.</v>
      </c>
    </row>
    <row r="3590" spans="1:9" x14ac:dyDescent="0.25">
      <c r="A3590" s="6">
        <v>43999</v>
      </c>
      <c r="B3590" t="s">
        <v>26</v>
      </c>
      <c r="C3590">
        <v>64238</v>
      </c>
      <c r="D3590" t="s">
        <v>273</v>
      </c>
      <c r="E3590" s="7">
        <v>2230.71</v>
      </c>
      <c r="F3590" t="s">
        <v>20</v>
      </c>
      <c r="G3590" t="s">
        <v>21</v>
      </c>
      <c r="H3590" t="str">
        <f>"5119-000093415"</f>
        <v>5119-000093415</v>
      </c>
      <c r="I3590" t="str">
        <f>"REPUBLIC SERVICES TESSMAN ROAD"</f>
        <v>REPUBLIC SERVICES TESSMAN ROAD</v>
      </c>
    </row>
    <row r="3591" spans="1:9" x14ac:dyDescent="0.25">
      <c r="A3591" s="6">
        <v>43999</v>
      </c>
      <c r="B3591" t="s">
        <v>26</v>
      </c>
      <c r="C3591">
        <v>64239</v>
      </c>
      <c r="D3591" t="s">
        <v>928</v>
      </c>
      <c r="E3591" s="7">
        <v>500</v>
      </c>
      <c r="F3591" t="s">
        <v>20</v>
      </c>
      <c r="G3591" t="s">
        <v>21</v>
      </c>
      <c r="H3591" t="str">
        <f>"RFND 11/21/20 QNCE"</f>
        <v>RFND 11/21/20 QNCE</v>
      </c>
      <c r="I3591" t="str">
        <f>"REFUND"</f>
        <v>REFUND</v>
      </c>
    </row>
    <row r="3592" spans="1:9" x14ac:dyDescent="0.25">
      <c r="A3592" s="6">
        <v>43999</v>
      </c>
      <c r="B3592" t="s">
        <v>26</v>
      </c>
      <c r="C3592">
        <v>64240</v>
      </c>
      <c r="D3592" t="s">
        <v>844</v>
      </c>
      <c r="E3592" s="7">
        <v>50</v>
      </c>
      <c r="F3592" t="s">
        <v>20</v>
      </c>
      <c r="G3592" t="s">
        <v>21</v>
      </c>
      <c r="H3592" t="str">
        <f>"RFND 6/13/20 GRAD."</f>
        <v>RFND 6/13/20 GRAD.</v>
      </c>
      <c r="I3592" t="str">
        <f>"REFUND"</f>
        <v>REFUND</v>
      </c>
    </row>
    <row r="3593" spans="1:9" x14ac:dyDescent="0.25">
      <c r="A3593" s="6">
        <v>43999</v>
      </c>
      <c r="B3593" t="s">
        <v>26</v>
      </c>
      <c r="C3593">
        <v>64241</v>
      </c>
      <c r="D3593" t="s">
        <v>929</v>
      </c>
      <c r="E3593" s="7">
        <v>100</v>
      </c>
      <c r="F3593" t="s">
        <v>20</v>
      </c>
      <c r="G3593" t="s">
        <v>21</v>
      </c>
      <c r="H3593" t="str">
        <f>"RFND 6/6/2020 BDAY"</f>
        <v>RFND 6/6/2020 BDAY</v>
      </c>
      <c r="I3593" t="str">
        <f>"REFUND"</f>
        <v>REFUND</v>
      </c>
    </row>
    <row r="3594" spans="1:9" x14ac:dyDescent="0.25">
      <c r="A3594" s="6">
        <v>43999</v>
      </c>
      <c r="B3594" t="s">
        <v>26</v>
      </c>
      <c r="C3594">
        <v>64242</v>
      </c>
      <c r="D3594" t="s">
        <v>368</v>
      </c>
      <c r="E3594" s="7">
        <v>15000</v>
      </c>
      <c r="F3594" t="s">
        <v>20</v>
      </c>
      <c r="G3594" t="s">
        <v>21</v>
      </c>
      <c r="H3594" t="str">
        <f>"3RD QRT"</f>
        <v>3RD QRT</v>
      </c>
      <c r="I3594" t="str">
        <f>"FLORESVILLE FIRE DEPARTMENT"</f>
        <v>FLORESVILLE FIRE DEPARTMENT</v>
      </c>
    </row>
    <row r="3595" spans="1:9" x14ac:dyDescent="0.25">
      <c r="A3595" s="6">
        <v>43999</v>
      </c>
      <c r="B3595" t="s">
        <v>26</v>
      </c>
      <c r="C3595">
        <v>64243</v>
      </c>
      <c r="D3595" t="s">
        <v>495</v>
      </c>
      <c r="E3595" s="7">
        <v>57.87</v>
      </c>
      <c r="F3595" t="s">
        <v>20</v>
      </c>
      <c r="G3595" t="s">
        <v>21</v>
      </c>
      <c r="H3595" t="str">
        <f>"0445644-IN"</f>
        <v>0445644-IN</v>
      </c>
      <c r="I3595" t="str">
        <f>"PD SUPPLIES"</f>
        <v>PD SUPPLIES</v>
      </c>
    </row>
    <row r="3596" spans="1:9" x14ac:dyDescent="0.25">
      <c r="A3596" s="6">
        <v>43999</v>
      </c>
      <c r="B3596" t="s">
        <v>26</v>
      </c>
      <c r="C3596">
        <v>64244</v>
      </c>
      <c r="D3596" t="s">
        <v>426</v>
      </c>
      <c r="E3596" s="7">
        <v>2724.96</v>
      </c>
      <c r="F3596" t="s">
        <v>20</v>
      </c>
      <c r="G3596" t="s">
        <v>21</v>
      </c>
      <c r="H3596" t="str">
        <f>"INV0764834"</f>
        <v>INV0764834</v>
      </c>
      <c r="I3596" t="str">
        <f>"FIRE AMMO"</f>
        <v>FIRE AMMO</v>
      </c>
    </row>
    <row r="3597" spans="1:9" x14ac:dyDescent="0.25">
      <c r="E3597" s="7"/>
      <c r="F3597" t="s">
        <v>20</v>
      </c>
      <c r="G3597" t="s">
        <v>21</v>
      </c>
      <c r="H3597" t="str">
        <f>"INV0769125"</f>
        <v>INV0769125</v>
      </c>
      <c r="I3597" t="str">
        <f>"FIRE AMMO"</f>
        <v>FIRE AMMO</v>
      </c>
    </row>
    <row r="3598" spans="1:9" x14ac:dyDescent="0.25">
      <c r="A3598" s="6">
        <v>43999</v>
      </c>
      <c r="B3598" t="s">
        <v>26</v>
      </c>
      <c r="C3598">
        <v>64245</v>
      </c>
      <c r="D3598" t="s">
        <v>77</v>
      </c>
      <c r="E3598" s="7">
        <v>1566.85</v>
      </c>
      <c r="F3598" t="s">
        <v>20</v>
      </c>
      <c r="G3598" t="s">
        <v>21</v>
      </c>
      <c r="H3598" t="str">
        <f>"857000240-20*"</f>
        <v>857000240-20*</v>
      </c>
      <c r="I3598" t="str">
        <f>"DPC INDUSTRIES  INC."</f>
        <v>DPC INDUSTRIES  INC.</v>
      </c>
    </row>
    <row r="3599" spans="1:9" x14ac:dyDescent="0.25">
      <c r="E3599" s="7"/>
      <c r="F3599" t="s">
        <v>20</v>
      </c>
      <c r="G3599" t="s">
        <v>21</v>
      </c>
      <c r="H3599" t="str">
        <f>"857000709-20"</f>
        <v>857000709-20</v>
      </c>
      <c r="I3599" t="str">
        <f>"DPC INDUSTRIES  INC."</f>
        <v>DPC INDUSTRIES  INC.</v>
      </c>
    </row>
    <row r="3600" spans="1:9" x14ac:dyDescent="0.25">
      <c r="A3600" s="6">
        <v>43999</v>
      </c>
      <c r="B3600" t="s">
        <v>26</v>
      </c>
      <c r="C3600">
        <v>64246</v>
      </c>
      <c r="D3600" t="s">
        <v>125</v>
      </c>
      <c r="E3600" s="7">
        <v>4620</v>
      </c>
      <c r="F3600" t="s">
        <v>20</v>
      </c>
      <c r="G3600" t="s">
        <v>21</v>
      </c>
      <c r="H3600" t="str">
        <f>"18-0202 FEB 2020"</f>
        <v>18-0202 FEB 2020</v>
      </c>
      <c r="I3600" t="str">
        <f>"INTREPID SURVEYING CORPORATION"</f>
        <v>INTREPID SURVEYING CORPORATION</v>
      </c>
    </row>
    <row r="3601" spans="1:9" x14ac:dyDescent="0.25">
      <c r="E3601" s="7"/>
      <c r="F3601" t="s">
        <v>20</v>
      </c>
      <c r="G3601" t="s">
        <v>21</v>
      </c>
      <c r="H3601" t="str">
        <f>"19-0318 FEB 2020"</f>
        <v>19-0318 FEB 2020</v>
      </c>
      <c r="I3601" t="str">
        <f>"INTREPID SURVEYING CORPORATION"</f>
        <v>INTREPID SURVEYING CORPORATION</v>
      </c>
    </row>
    <row r="3602" spans="1:9" x14ac:dyDescent="0.25">
      <c r="E3602" s="7"/>
      <c r="F3602" t="s">
        <v>20</v>
      </c>
      <c r="G3602" t="s">
        <v>21</v>
      </c>
      <c r="H3602" t="str">
        <f>"20-0322B 6/2020"</f>
        <v>20-0322B 6/2020</v>
      </c>
      <c r="I3602" t="str">
        <f>"INTREPID SURVEYING CORPORATION"</f>
        <v>INTREPID SURVEYING CORPORATION</v>
      </c>
    </row>
    <row r="3603" spans="1:9" x14ac:dyDescent="0.25">
      <c r="A3603" s="6">
        <v>43999</v>
      </c>
      <c r="B3603" t="s">
        <v>26</v>
      </c>
      <c r="C3603">
        <v>64247</v>
      </c>
      <c r="D3603" t="s">
        <v>126</v>
      </c>
      <c r="E3603" s="7">
        <v>86334.05</v>
      </c>
      <c r="F3603" t="s">
        <v>20</v>
      </c>
      <c r="G3603" t="s">
        <v>21</v>
      </c>
      <c r="H3603" t="str">
        <f>"0859-002564111"</f>
        <v>0859-002564111</v>
      </c>
      <c r="I3603" t="str">
        <f>"REPUBLIC SERVICES #859"</f>
        <v>REPUBLIC SERVICES #859</v>
      </c>
    </row>
    <row r="3604" spans="1:9" x14ac:dyDescent="0.25">
      <c r="E3604" s="7"/>
      <c r="F3604" t="s">
        <v>20</v>
      </c>
      <c r="G3604" t="s">
        <v>21</v>
      </c>
      <c r="H3604" t="str">
        <f>"0859-002568281"</f>
        <v>0859-002568281</v>
      </c>
      <c r="I3604" t="str">
        <f>"REPUBLIC SERVICES #859"</f>
        <v>REPUBLIC SERVICES #859</v>
      </c>
    </row>
    <row r="3605" spans="1:9" x14ac:dyDescent="0.25">
      <c r="A3605" s="6">
        <v>43999</v>
      </c>
      <c r="B3605" t="s">
        <v>26</v>
      </c>
      <c r="C3605">
        <v>64248</v>
      </c>
      <c r="D3605" t="s">
        <v>81</v>
      </c>
      <c r="E3605" s="7">
        <v>125.79</v>
      </c>
      <c r="F3605" t="s">
        <v>20</v>
      </c>
      <c r="G3605" t="s">
        <v>21</v>
      </c>
      <c r="H3605" t="str">
        <f>"A.MARTINEZ 6/16/20"</f>
        <v>A.MARTINEZ 6/16/20</v>
      </c>
      <c r="I3605" t="str">
        <f>"CITY OF FLORESVILLE -PETTY CAS"</f>
        <v>CITY OF FLORESVILLE -PETTY CAS</v>
      </c>
    </row>
    <row r="3606" spans="1:9" x14ac:dyDescent="0.25">
      <c r="A3606" s="6">
        <v>43999</v>
      </c>
      <c r="B3606" t="s">
        <v>26</v>
      </c>
      <c r="C3606">
        <v>64249</v>
      </c>
      <c r="D3606" t="s">
        <v>85</v>
      </c>
      <c r="E3606" s="7">
        <v>190.8</v>
      </c>
      <c r="F3606" t="s">
        <v>20</v>
      </c>
      <c r="G3606" t="s">
        <v>21</v>
      </c>
      <c r="H3606" t="str">
        <f>"3930579 JUNE 2020"</f>
        <v>3930579 JUNE 2020</v>
      </c>
      <c r="I3606" t="str">
        <f>"FRONTIER"</f>
        <v>FRONTIER</v>
      </c>
    </row>
    <row r="3607" spans="1:9" x14ac:dyDescent="0.25">
      <c r="E3607" s="7"/>
      <c r="F3607" t="s">
        <v>20</v>
      </c>
      <c r="G3607" t="s">
        <v>21</v>
      </c>
      <c r="H3607" t="str">
        <f>"3933108 JUNE 2020"</f>
        <v>3933108 JUNE 2020</v>
      </c>
      <c r="I3607" t="str">
        <f>"FRONTIER"</f>
        <v>FRONTIER</v>
      </c>
    </row>
    <row r="3608" spans="1:9" x14ac:dyDescent="0.25">
      <c r="E3608" s="7"/>
      <c r="F3608" t="s">
        <v>20</v>
      </c>
      <c r="G3608" t="s">
        <v>21</v>
      </c>
      <c r="H3608" t="str">
        <f>"3939791 JUNE 2020"</f>
        <v>3939791 JUNE 2020</v>
      </c>
      <c r="I3608" t="str">
        <f>"FRONTIER"</f>
        <v>FRONTIER</v>
      </c>
    </row>
    <row r="3609" spans="1:9" x14ac:dyDescent="0.25">
      <c r="A3609" s="6">
        <v>43999</v>
      </c>
      <c r="B3609" t="s">
        <v>26</v>
      </c>
      <c r="C3609">
        <v>64250</v>
      </c>
      <c r="D3609" t="s">
        <v>194</v>
      </c>
      <c r="E3609" s="7">
        <v>129.97999999999999</v>
      </c>
      <c r="F3609" t="s">
        <v>20</v>
      </c>
      <c r="G3609" t="s">
        <v>21</v>
      </c>
      <c r="H3609" t="str">
        <f>"015604561"</f>
        <v>015604561</v>
      </c>
      <c r="I3609" t="str">
        <f>"GALLS  LLC-D.B.A. STERLING'S U"</f>
        <v>GALLS  LLC-D.B.A. STERLING'S U</v>
      </c>
    </row>
    <row r="3610" spans="1:9" x14ac:dyDescent="0.25">
      <c r="A3610" s="6">
        <v>43999</v>
      </c>
      <c r="B3610" t="s">
        <v>26</v>
      </c>
      <c r="C3610">
        <v>64251</v>
      </c>
      <c r="D3610" t="s">
        <v>584</v>
      </c>
      <c r="E3610" s="7">
        <v>160</v>
      </c>
      <c r="F3610" t="s">
        <v>20</v>
      </c>
      <c r="G3610" t="s">
        <v>21</v>
      </c>
      <c r="H3610" t="str">
        <f>"6/14/2020"</f>
        <v>6/14/2020</v>
      </c>
      <c r="I3610" t="str">
        <f>"AMANDA SENDEJO"</f>
        <v>AMANDA SENDEJO</v>
      </c>
    </row>
    <row r="3611" spans="1:9" x14ac:dyDescent="0.25">
      <c r="A3611" s="6">
        <v>43999</v>
      </c>
      <c r="B3611" t="s">
        <v>26</v>
      </c>
      <c r="C3611">
        <v>64252</v>
      </c>
      <c r="D3611" t="s">
        <v>644</v>
      </c>
      <c r="E3611" s="7">
        <v>1779.22</v>
      </c>
      <c r="F3611" t="s">
        <v>20</v>
      </c>
      <c r="G3611" t="s">
        <v>21</v>
      </c>
      <c r="H3611" t="str">
        <f>"8213467597"</f>
        <v>8213467597</v>
      </c>
      <c r="I3611" t="str">
        <f t="shared" ref="I3611:I3624" si="75">"UNIFIRST CORPORATION"</f>
        <v>UNIFIRST CORPORATION</v>
      </c>
    </row>
    <row r="3612" spans="1:9" x14ac:dyDescent="0.25">
      <c r="E3612" s="7"/>
      <c r="F3612" t="s">
        <v>20</v>
      </c>
      <c r="G3612" t="s">
        <v>21</v>
      </c>
      <c r="H3612" t="str">
        <f>"8213470247"</f>
        <v>8213470247</v>
      </c>
      <c r="I3612" t="str">
        <f t="shared" si="75"/>
        <v>UNIFIRST CORPORATION</v>
      </c>
    </row>
    <row r="3613" spans="1:9" x14ac:dyDescent="0.25">
      <c r="E3613" s="7"/>
      <c r="F3613" t="s">
        <v>20</v>
      </c>
      <c r="G3613" t="s">
        <v>21</v>
      </c>
      <c r="H3613" t="str">
        <f>"8213470249"</f>
        <v>8213470249</v>
      </c>
      <c r="I3613" t="str">
        <f t="shared" si="75"/>
        <v>UNIFIRST CORPORATION</v>
      </c>
    </row>
    <row r="3614" spans="1:9" x14ac:dyDescent="0.25">
      <c r="E3614" s="7"/>
      <c r="F3614" t="s">
        <v>20</v>
      </c>
      <c r="G3614" t="s">
        <v>21</v>
      </c>
      <c r="H3614" t="str">
        <f>"8213470250"</f>
        <v>8213470250</v>
      </c>
      <c r="I3614" t="str">
        <f t="shared" si="75"/>
        <v>UNIFIRST CORPORATION</v>
      </c>
    </row>
    <row r="3615" spans="1:9" x14ac:dyDescent="0.25">
      <c r="E3615" s="7"/>
      <c r="F3615" t="s">
        <v>20</v>
      </c>
      <c r="G3615" t="s">
        <v>21</v>
      </c>
      <c r="H3615" t="str">
        <f>"8213470251"</f>
        <v>8213470251</v>
      </c>
      <c r="I3615" t="str">
        <f t="shared" si="75"/>
        <v>UNIFIRST CORPORATION</v>
      </c>
    </row>
    <row r="3616" spans="1:9" x14ac:dyDescent="0.25">
      <c r="E3616" s="7"/>
      <c r="F3616" t="s">
        <v>20</v>
      </c>
      <c r="G3616" t="s">
        <v>21</v>
      </c>
      <c r="H3616" t="str">
        <f>"8213470252"</f>
        <v>8213470252</v>
      </c>
      <c r="I3616" t="str">
        <f t="shared" si="75"/>
        <v>UNIFIRST CORPORATION</v>
      </c>
    </row>
    <row r="3617" spans="1:9" x14ac:dyDescent="0.25">
      <c r="E3617" s="7"/>
      <c r="F3617" t="s">
        <v>20</v>
      </c>
      <c r="G3617" t="s">
        <v>21</v>
      </c>
      <c r="H3617" t="str">
        <f>"8213470253"</f>
        <v>8213470253</v>
      </c>
      <c r="I3617" t="str">
        <f t="shared" si="75"/>
        <v>UNIFIRST CORPORATION</v>
      </c>
    </row>
    <row r="3618" spans="1:9" x14ac:dyDescent="0.25">
      <c r="E3618" s="7"/>
      <c r="F3618" t="s">
        <v>20</v>
      </c>
      <c r="G3618" t="s">
        <v>21</v>
      </c>
      <c r="H3618" t="str">
        <f>"8213472867"</f>
        <v>8213472867</v>
      </c>
      <c r="I3618" t="str">
        <f t="shared" si="75"/>
        <v>UNIFIRST CORPORATION</v>
      </c>
    </row>
    <row r="3619" spans="1:9" x14ac:dyDescent="0.25">
      <c r="E3619" s="7"/>
      <c r="F3619" t="s">
        <v>20</v>
      </c>
      <c r="G3619" t="s">
        <v>21</v>
      </c>
      <c r="H3619" t="str">
        <f>"8213472868"</f>
        <v>8213472868</v>
      </c>
      <c r="I3619" t="str">
        <f t="shared" si="75"/>
        <v>UNIFIRST CORPORATION</v>
      </c>
    </row>
    <row r="3620" spans="1:9" x14ac:dyDescent="0.25">
      <c r="E3620" s="7"/>
      <c r="F3620" t="s">
        <v>20</v>
      </c>
      <c r="G3620" t="s">
        <v>21</v>
      </c>
      <c r="H3620" t="str">
        <f>"8213472869"</f>
        <v>8213472869</v>
      </c>
      <c r="I3620" t="str">
        <f t="shared" si="75"/>
        <v>UNIFIRST CORPORATION</v>
      </c>
    </row>
    <row r="3621" spans="1:9" x14ac:dyDescent="0.25">
      <c r="E3621" s="7"/>
      <c r="F3621" t="s">
        <v>20</v>
      </c>
      <c r="G3621" t="s">
        <v>21</v>
      </c>
      <c r="H3621" t="str">
        <f>"8213472870"</f>
        <v>8213472870</v>
      </c>
      <c r="I3621" t="str">
        <f t="shared" si="75"/>
        <v>UNIFIRST CORPORATION</v>
      </c>
    </row>
    <row r="3622" spans="1:9" x14ac:dyDescent="0.25">
      <c r="E3622" s="7"/>
      <c r="F3622" t="s">
        <v>20</v>
      </c>
      <c r="G3622" t="s">
        <v>21</v>
      </c>
      <c r="H3622" t="str">
        <f>"8213472871"</f>
        <v>8213472871</v>
      </c>
      <c r="I3622" t="str">
        <f t="shared" si="75"/>
        <v>UNIFIRST CORPORATION</v>
      </c>
    </row>
    <row r="3623" spans="1:9" x14ac:dyDescent="0.25">
      <c r="E3623" s="7"/>
      <c r="F3623" t="s">
        <v>20</v>
      </c>
      <c r="G3623" t="s">
        <v>21</v>
      </c>
      <c r="H3623" t="str">
        <f>"8213472872"</f>
        <v>8213472872</v>
      </c>
      <c r="I3623" t="str">
        <f t="shared" si="75"/>
        <v>UNIFIRST CORPORATION</v>
      </c>
    </row>
    <row r="3624" spans="1:9" x14ac:dyDescent="0.25">
      <c r="E3624" s="7"/>
      <c r="F3624" t="s">
        <v>20</v>
      </c>
      <c r="G3624" t="s">
        <v>21</v>
      </c>
      <c r="H3624" t="str">
        <f>"8213472873"</f>
        <v>8213472873</v>
      </c>
      <c r="I3624" t="str">
        <f t="shared" si="75"/>
        <v>UNIFIRST CORPORATION</v>
      </c>
    </row>
    <row r="3625" spans="1:9" x14ac:dyDescent="0.25">
      <c r="A3625" s="6">
        <v>43999</v>
      </c>
      <c r="B3625" t="s">
        <v>26</v>
      </c>
      <c r="C3625">
        <v>64255</v>
      </c>
      <c r="D3625" t="s">
        <v>752</v>
      </c>
      <c r="E3625" s="7">
        <v>160</v>
      </c>
      <c r="F3625" t="s">
        <v>20</v>
      </c>
      <c r="G3625" t="s">
        <v>21</v>
      </c>
      <c r="H3625" t="str">
        <f>"6/14/2020"</f>
        <v>6/14/2020</v>
      </c>
      <c r="I3625" t="str">
        <f>"BLANCA PEREZ"</f>
        <v>BLANCA PEREZ</v>
      </c>
    </row>
    <row r="3626" spans="1:9" x14ac:dyDescent="0.25">
      <c r="A3626" s="6">
        <v>43999</v>
      </c>
      <c r="B3626" t="s">
        <v>26</v>
      </c>
      <c r="C3626">
        <v>64256</v>
      </c>
      <c r="D3626" t="s">
        <v>836</v>
      </c>
      <c r="E3626" s="7">
        <v>13970.5</v>
      </c>
      <c r="F3626" t="s">
        <v>20</v>
      </c>
      <c r="G3626" t="s">
        <v>21</v>
      </c>
      <c r="H3626" t="str">
        <f>"62404"</f>
        <v>62404</v>
      </c>
      <c r="I3626" t="str">
        <f>"BARCOM TECHNOLOGY SOLUTIONS  I"</f>
        <v>BARCOM TECHNOLOGY SOLUTIONS  I</v>
      </c>
    </row>
    <row r="3627" spans="1:9" x14ac:dyDescent="0.25">
      <c r="E3627" s="7"/>
      <c r="F3627" t="s">
        <v>20</v>
      </c>
      <c r="G3627" t="s">
        <v>21</v>
      </c>
      <c r="H3627" t="str">
        <f>"62683"</f>
        <v>62683</v>
      </c>
      <c r="I3627" t="str">
        <f>"BARCOM TECHNOLOGY SOLUTIONS  I"</f>
        <v>BARCOM TECHNOLOGY SOLUTIONS  I</v>
      </c>
    </row>
    <row r="3628" spans="1:9" x14ac:dyDescent="0.25">
      <c r="E3628" s="7"/>
      <c r="F3628" t="s">
        <v>20</v>
      </c>
      <c r="G3628" t="s">
        <v>21</v>
      </c>
      <c r="H3628" t="str">
        <f>"63167"</f>
        <v>63167</v>
      </c>
      <c r="I3628" t="str">
        <f>"BARCOM TECHNOLOGY SOLUTIONS  I"</f>
        <v>BARCOM TECHNOLOGY SOLUTIONS  I</v>
      </c>
    </row>
    <row r="3629" spans="1:9" x14ac:dyDescent="0.25">
      <c r="E3629" s="7"/>
      <c r="F3629" t="s">
        <v>20</v>
      </c>
      <c r="G3629" t="s">
        <v>21</v>
      </c>
      <c r="H3629" t="str">
        <f>"63553"</f>
        <v>63553</v>
      </c>
      <c r="I3629" t="str">
        <f>"BARCOM TECHNOLOGY SOLUTIONS  I"</f>
        <v>BARCOM TECHNOLOGY SOLUTIONS  I</v>
      </c>
    </row>
    <row r="3630" spans="1:9" x14ac:dyDescent="0.25">
      <c r="E3630" s="7"/>
      <c r="F3630" t="s">
        <v>20</v>
      </c>
      <c r="G3630" t="s">
        <v>21</v>
      </c>
      <c r="H3630" t="str">
        <f>"63554"</f>
        <v>63554</v>
      </c>
      <c r="I3630" t="str">
        <f>"BARCOM TECHNOLOGY SOLUTIONS  I"</f>
        <v>BARCOM TECHNOLOGY SOLUTIONS  I</v>
      </c>
    </row>
    <row r="3631" spans="1:9" x14ac:dyDescent="0.25">
      <c r="A3631" s="6">
        <v>43999</v>
      </c>
      <c r="B3631" t="s">
        <v>26</v>
      </c>
      <c r="C3631">
        <v>64258</v>
      </c>
      <c r="D3631" t="s">
        <v>930</v>
      </c>
      <c r="E3631" s="7">
        <v>700.3</v>
      </c>
      <c r="F3631" t="s">
        <v>20</v>
      </c>
      <c r="G3631" t="s">
        <v>21</v>
      </c>
      <c r="H3631" t="str">
        <f>"6/2-6/12/2020  001"</f>
        <v>6/2-6/12/2020  001</v>
      </c>
      <c r="I3631" t="str">
        <f>"SAVANNAH TORRES"</f>
        <v>SAVANNAH TORRES</v>
      </c>
    </row>
    <row r="3632" spans="1:9" x14ac:dyDescent="0.25">
      <c r="A3632" s="6">
        <v>44000</v>
      </c>
      <c r="B3632" t="s">
        <v>26</v>
      </c>
      <c r="C3632">
        <v>64259</v>
      </c>
      <c r="D3632" t="s">
        <v>59</v>
      </c>
      <c r="E3632" s="7">
        <v>2024.38</v>
      </c>
      <c r="F3632" t="s">
        <v>20</v>
      </c>
      <c r="G3632" t="s">
        <v>21</v>
      </c>
      <c r="H3632" t="str">
        <f>"1041252** PARTIAL"</f>
        <v>1041252** PARTIAL</v>
      </c>
      <c r="I3632" t="str">
        <f>"FERGUSON WATERWORKS - MUNICIPA"</f>
        <v>FERGUSON WATERWORKS - MUNICIPA</v>
      </c>
    </row>
    <row r="3633" spans="1:9" x14ac:dyDescent="0.25">
      <c r="A3633" s="6">
        <v>44000</v>
      </c>
      <c r="B3633" t="s">
        <v>26</v>
      </c>
      <c r="C3633">
        <v>64260</v>
      </c>
      <c r="D3633" t="s">
        <v>92</v>
      </c>
      <c r="E3633" s="7">
        <v>38589.550000000003</v>
      </c>
      <c r="F3633" t="s">
        <v>20</v>
      </c>
      <c r="G3633" t="s">
        <v>21</v>
      </c>
      <c r="H3633" t="str">
        <f>"RET202005058571"</f>
        <v>RET202005058571</v>
      </c>
      <c r="I3633" t="str">
        <f>"TMRS CITY OF FLORESVILLE"</f>
        <v>TMRS CITY OF FLORESVILLE</v>
      </c>
    </row>
    <row r="3634" spans="1:9" x14ac:dyDescent="0.25">
      <c r="E3634" s="7"/>
      <c r="F3634" t="s">
        <v>20</v>
      </c>
      <c r="G3634" t="s">
        <v>21</v>
      </c>
      <c r="H3634" t="str">
        <f>"RET202005198572"</f>
        <v>RET202005198572</v>
      </c>
      <c r="I3634" t="str">
        <f>"TMRS CITY OF FLORESVILLE"</f>
        <v>TMRS CITY OF FLORESVILLE</v>
      </c>
    </row>
    <row r="3635" spans="1:9" x14ac:dyDescent="0.25">
      <c r="A3635" s="6">
        <v>44000</v>
      </c>
      <c r="B3635" t="s">
        <v>26</v>
      </c>
      <c r="C3635">
        <v>64264</v>
      </c>
      <c r="D3635" t="s">
        <v>96</v>
      </c>
      <c r="E3635" s="7">
        <v>431.45</v>
      </c>
      <c r="F3635" t="s">
        <v>20</v>
      </c>
      <c r="G3635" t="s">
        <v>21</v>
      </c>
      <c r="H3635" t="str">
        <f>"MAY 2020"</f>
        <v>MAY 2020</v>
      </c>
      <c r="I3635" t="str">
        <f>"LEGALSHIELD"</f>
        <v>LEGALSHIELD</v>
      </c>
    </row>
    <row r="3636" spans="1:9" x14ac:dyDescent="0.25">
      <c r="A3636" s="6">
        <v>44004</v>
      </c>
      <c r="B3636" t="s">
        <v>91</v>
      </c>
      <c r="C3636">
        <v>64265</v>
      </c>
      <c r="D3636" t="s">
        <v>686</v>
      </c>
      <c r="E3636" s="7">
        <v>1500</v>
      </c>
      <c r="F3636" t="s">
        <v>20</v>
      </c>
      <c r="G3636" t="s">
        <v>21</v>
      </c>
      <c r="H3636" t="str">
        <f>"COVID19 RCRY GRANT"</f>
        <v>COVID19 RCRY GRANT</v>
      </c>
      <c r="I3636" t="str">
        <f>"FINDERS KEEPERS MARKET"</f>
        <v>FINDERS KEEPERS MARKET</v>
      </c>
    </row>
    <row r="3637" spans="1:9" x14ac:dyDescent="0.25">
      <c r="A3637" s="6">
        <v>44004</v>
      </c>
      <c r="B3637" t="s">
        <v>91</v>
      </c>
      <c r="C3637">
        <v>64265</v>
      </c>
      <c r="D3637" t="s">
        <v>686</v>
      </c>
      <c r="E3637" s="7">
        <v>1500</v>
      </c>
      <c r="F3637" t="s">
        <v>20</v>
      </c>
      <c r="G3637" t="s">
        <v>93</v>
      </c>
      <c r="H3637" t="str">
        <f>"CHECK"</f>
        <v>CHECK</v>
      </c>
      <c r="I3637" t="str">
        <f>""</f>
        <v/>
      </c>
    </row>
    <row r="3638" spans="1:9" x14ac:dyDescent="0.25">
      <c r="A3638" s="6">
        <v>44004</v>
      </c>
      <c r="B3638" t="s">
        <v>91</v>
      </c>
      <c r="C3638">
        <v>64266</v>
      </c>
      <c r="D3638" t="s">
        <v>931</v>
      </c>
      <c r="E3638" s="7">
        <v>1500</v>
      </c>
      <c r="F3638" t="s">
        <v>20</v>
      </c>
      <c r="G3638" t="s">
        <v>21</v>
      </c>
      <c r="H3638" t="str">
        <f>"COVID19 RCVRY 6/20"</f>
        <v>COVID19 RCVRY 6/20</v>
      </c>
      <c r="I3638" t="str">
        <f>"P&amp;M RESTAURANT"</f>
        <v>P&amp;M RESTAURANT</v>
      </c>
    </row>
    <row r="3639" spans="1:9" x14ac:dyDescent="0.25">
      <c r="A3639" s="6">
        <v>44004</v>
      </c>
      <c r="B3639" t="s">
        <v>91</v>
      </c>
      <c r="C3639">
        <v>64266</v>
      </c>
      <c r="D3639" t="s">
        <v>931</v>
      </c>
      <c r="E3639" s="7">
        <v>1500</v>
      </c>
      <c r="F3639" t="s">
        <v>20</v>
      </c>
      <c r="G3639" t="s">
        <v>93</v>
      </c>
      <c r="H3639" t="str">
        <f>"CHECK"</f>
        <v>CHECK</v>
      </c>
      <c r="I3639" t="str">
        <f>""</f>
        <v/>
      </c>
    </row>
    <row r="3640" spans="1:9" x14ac:dyDescent="0.25">
      <c r="A3640" s="6">
        <v>44004</v>
      </c>
      <c r="B3640" t="s">
        <v>91</v>
      </c>
      <c r="C3640">
        <v>64267</v>
      </c>
      <c r="D3640" t="s">
        <v>932</v>
      </c>
      <c r="E3640" s="7">
        <v>1500</v>
      </c>
      <c r="F3640" t="s">
        <v>20</v>
      </c>
      <c r="G3640" t="s">
        <v>21</v>
      </c>
      <c r="H3640" t="str">
        <f>"COVID19 RCVRY 6/20"</f>
        <v>COVID19 RCVRY 6/20</v>
      </c>
      <c r="I3640" t="str">
        <f>"HERO NUTRITION CENTER  FLORESV"</f>
        <v>HERO NUTRITION CENTER  FLORESV</v>
      </c>
    </row>
    <row r="3641" spans="1:9" x14ac:dyDescent="0.25">
      <c r="A3641" s="6">
        <v>44004</v>
      </c>
      <c r="B3641" t="s">
        <v>91</v>
      </c>
      <c r="C3641">
        <v>64267</v>
      </c>
      <c r="D3641" t="s">
        <v>932</v>
      </c>
      <c r="E3641" s="7">
        <v>1500</v>
      </c>
      <c r="F3641" t="s">
        <v>20</v>
      </c>
      <c r="G3641" t="s">
        <v>93</v>
      </c>
      <c r="H3641" t="str">
        <f>"CHECK"</f>
        <v>CHECK</v>
      </c>
      <c r="I3641" t="str">
        <f>""</f>
        <v/>
      </c>
    </row>
    <row r="3642" spans="1:9" x14ac:dyDescent="0.25">
      <c r="A3642" s="6">
        <v>44004</v>
      </c>
      <c r="B3642" t="s">
        <v>91</v>
      </c>
      <c r="C3642">
        <v>64268</v>
      </c>
      <c r="D3642" t="s">
        <v>933</v>
      </c>
      <c r="E3642" s="7">
        <v>1500</v>
      </c>
      <c r="F3642" t="s">
        <v>20</v>
      </c>
      <c r="G3642" t="s">
        <v>21</v>
      </c>
      <c r="H3642" t="str">
        <f>"COVID19 RCVRY 6/20"</f>
        <v>COVID19 RCVRY 6/20</v>
      </c>
      <c r="I3642" t="str">
        <f>"TASTY BUFFET"</f>
        <v>TASTY BUFFET</v>
      </c>
    </row>
    <row r="3643" spans="1:9" x14ac:dyDescent="0.25">
      <c r="A3643" s="6">
        <v>44004</v>
      </c>
      <c r="B3643" t="s">
        <v>91</v>
      </c>
      <c r="C3643">
        <v>64268</v>
      </c>
      <c r="D3643" t="s">
        <v>933</v>
      </c>
      <c r="E3643" s="7">
        <v>1500</v>
      </c>
      <c r="F3643" t="s">
        <v>20</v>
      </c>
      <c r="G3643" t="s">
        <v>93</v>
      </c>
      <c r="H3643" t="str">
        <f>"CHECK"</f>
        <v>CHECK</v>
      </c>
      <c r="I3643" t="str">
        <f>""</f>
        <v/>
      </c>
    </row>
    <row r="3644" spans="1:9" x14ac:dyDescent="0.25">
      <c r="A3644" s="6">
        <v>44004</v>
      </c>
      <c r="B3644" t="s">
        <v>91</v>
      </c>
      <c r="C3644">
        <v>64269</v>
      </c>
      <c r="D3644" t="s">
        <v>934</v>
      </c>
      <c r="E3644" s="7">
        <v>1500</v>
      </c>
      <c r="F3644" t="s">
        <v>20</v>
      </c>
      <c r="G3644" t="s">
        <v>21</v>
      </c>
      <c r="H3644" t="str">
        <f>"COVID19 RCVRY 6/20"</f>
        <v>COVID19 RCVRY 6/20</v>
      </c>
      <c r="I3644" t="str">
        <f>"CASTRO'S PLACE"</f>
        <v>CASTRO'S PLACE</v>
      </c>
    </row>
    <row r="3645" spans="1:9" x14ac:dyDescent="0.25">
      <c r="A3645" s="6">
        <v>44004</v>
      </c>
      <c r="B3645" t="s">
        <v>91</v>
      </c>
      <c r="C3645">
        <v>64269</v>
      </c>
      <c r="D3645" t="s">
        <v>934</v>
      </c>
      <c r="E3645" s="7">
        <v>1500</v>
      </c>
      <c r="F3645" t="s">
        <v>20</v>
      </c>
      <c r="G3645" t="s">
        <v>93</v>
      </c>
      <c r="H3645" t="str">
        <f>"CHECK"</f>
        <v>CHECK</v>
      </c>
      <c r="I3645" t="str">
        <f>""</f>
        <v/>
      </c>
    </row>
    <row r="3646" spans="1:9" x14ac:dyDescent="0.25">
      <c r="A3646" s="6">
        <v>44007</v>
      </c>
      <c r="B3646" t="s">
        <v>91</v>
      </c>
      <c r="C3646">
        <v>64270</v>
      </c>
      <c r="D3646" t="s">
        <v>249</v>
      </c>
      <c r="E3646" s="7">
        <v>736.63</v>
      </c>
      <c r="F3646" t="s">
        <v>20</v>
      </c>
      <c r="G3646" t="s">
        <v>21</v>
      </c>
      <c r="H3646" t="str">
        <f>"65500"</f>
        <v>65500</v>
      </c>
      <c r="I3646" t="str">
        <f>"MAC ROLLOFF TIRE REPAIR"</f>
        <v>MAC ROLLOFF TIRE REPAIR</v>
      </c>
    </row>
    <row r="3647" spans="1:9" x14ac:dyDescent="0.25">
      <c r="A3647" s="6">
        <v>44007</v>
      </c>
      <c r="B3647" t="s">
        <v>91</v>
      </c>
      <c r="C3647">
        <v>64270</v>
      </c>
      <c r="D3647" t="s">
        <v>249</v>
      </c>
      <c r="E3647" s="7">
        <v>736.63</v>
      </c>
      <c r="F3647" t="s">
        <v>20</v>
      </c>
      <c r="G3647" t="s">
        <v>93</v>
      </c>
      <c r="H3647" t="str">
        <f>"CHECK"</f>
        <v>CHECK</v>
      </c>
      <c r="I3647" t="str">
        <f>""</f>
        <v/>
      </c>
    </row>
    <row r="3648" spans="1:9" x14ac:dyDescent="0.25">
      <c r="A3648" s="6">
        <v>44007</v>
      </c>
      <c r="B3648" t="s">
        <v>26</v>
      </c>
      <c r="C3648">
        <v>64271</v>
      </c>
      <c r="D3648" t="s">
        <v>59</v>
      </c>
      <c r="E3648" s="7">
        <v>4100.8500000000004</v>
      </c>
      <c r="F3648" t="s">
        <v>20</v>
      </c>
      <c r="G3648" t="s">
        <v>21</v>
      </c>
      <c r="H3648" t="str">
        <f>"1067025"</f>
        <v>1067025</v>
      </c>
      <c r="I3648" t="str">
        <f>"STRAIGHT STOPS"</f>
        <v>STRAIGHT STOPS</v>
      </c>
    </row>
    <row r="3649" spans="1:9" x14ac:dyDescent="0.25">
      <c r="E3649" s="7"/>
      <c r="F3649" t="s">
        <v>20</v>
      </c>
      <c r="G3649" t="s">
        <v>21</v>
      </c>
      <c r="H3649" t="str">
        <f>"1067533"</f>
        <v>1067533</v>
      </c>
      <c r="I3649" t="str">
        <f>"MISC STOCK"</f>
        <v>MISC STOCK</v>
      </c>
    </row>
    <row r="3650" spans="1:9" x14ac:dyDescent="0.25">
      <c r="E3650" s="7"/>
      <c r="F3650" t="s">
        <v>20</v>
      </c>
      <c r="G3650" t="s">
        <v>21</v>
      </c>
      <c r="H3650" t="str">
        <f>"1067533/1067533-1"</f>
        <v>1067533/1067533-1</v>
      </c>
      <c r="I3650" t="str">
        <f>"MISC STOCK"</f>
        <v>MISC STOCK</v>
      </c>
    </row>
    <row r="3651" spans="1:9" x14ac:dyDescent="0.25">
      <c r="A3651" s="6">
        <v>44007</v>
      </c>
      <c r="B3651" t="s">
        <v>26</v>
      </c>
      <c r="C3651">
        <v>64273</v>
      </c>
      <c r="D3651" t="s">
        <v>202</v>
      </c>
      <c r="E3651" s="7">
        <v>4067.46</v>
      </c>
      <c r="F3651" t="s">
        <v>20</v>
      </c>
      <c r="G3651" t="s">
        <v>21</v>
      </c>
      <c r="H3651" t="str">
        <f>"62120157"</f>
        <v>62120157</v>
      </c>
      <c r="I3651" t="str">
        <f>"VULCAN - A-2 BASE"</f>
        <v>VULCAN - A-2 BASE</v>
      </c>
    </row>
    <row r="3652" spans="1:9" x14ac:dyDescent="0.25">
      <c r="E3652" s="7"/>
      <c r="F3652" t="s">
        <v>20</v>
      </c>
      <c r="G3652" t="s">
        <v>21</v>
      </c>
      <c r="H3652" t="str">
        <f>"62120158"</f>
        <v>62120158</v>
      </c>
      <c r="I3652" t="str">
        <f>"A-2 BASE &amp; COLD MIX"</f>
        <v>A-2 BASE &amp; COLD MIX</v>
      </c>
    </row>
    <row r="3653" spans="1:9" x14ac:dyDescent="0.25">
      <c r="A3653" s="6">
        <v>44007</v>
      </c>
      <c r="B3653" t="s">
        <v>26</v>
      </c>
      <c r="C3653">
        <v>64274</v>
      </c>
      <c r="D3653" t="s">
        <v>179</v>
      </c>
      <c r="E3653" s="7">
        <v>13644.53</v>
      </c>
      <c r="F3653" t="s">
        <v>20</v>
      </c>
      <c r="G3653" t="s">
        <v>21</v>
      </c>
      <c r="H3653" t="str">
        <f>"252605"</f>
        <v>252605</v>
      </c>
      <c r="I3653" t="str">
        <f>"2005 FORD F350"</f>
        <v>2005 FORD F350</v>
      </c>
    </row>
    <row r="3654" spans="1:9" x14ac:dyDescent="0.25">
      <c r="E3654" s="7"/>
      <c r="F3654" t="s">
        <v>20</v>
      </c>
      <c r="G3654" t="s">
        <v>21</v>
      </c>
      <c r="H3654" t="str">
        <f>"252606"</f>
        <v>252606</v>
      </c>
      <c r="I3654" t="str">
        <f>"2006 FORD F350"</f>
        <v>2006 FORD F350</v>
      </c>
    </row>
    <row r="3655" spans="1:9" x14ac:dyDescent="0.25">
      <c r="E3655" s="7"/>
      <c r="F3655" t="s">
        <v>20</v>
      </c>
      <c r="G3655" t="s">
        <v>21</v>
      </c>
      <c r="H3655" t="str">
        <f>"60544"</f>
        <v>60544</v>
      </c>
      <c r="I3655" t="str">
        <f>"UNIT 316 - PD"</f>
        <v>UNIT 316 - PD</v>
      </c>
    </row>
    <row r="3656" spans="1:9" x14ac:dyDescent="0.25">
      <c r="A3656" s="6">
        <v>44007</v>
      </c>
      <c r="B3656" t="s">
        <v>26</v>
      </c>
      <c r="C3656">
        <v>64275</v>
      </c>
      <c r="D3656" t="s">
        <v>273</v>
      </c>
      <c r="E3656" s="7">
        <v>884.32</v>
      </c>
      <c r="F3656" t="s">
        <v>20</v>
      </c>
      <c r="G3656" t="s">
        <v>21</v>
      </c>
      <c r="H3656" t="str">
        <f>"5119-000093614"</f>
        <v>5119-000093614</v>
      </c>
      <c r="I3656" t="str">
        <f>"REPUBLIC SERVICES TESSMAN ROAD"</f>
        <v>REPUBLIC SERVICES TESSMAN ROAD</v>
      </c>
    </row>
    <row r="3657" spans="1:9" x14ac:dyDescent="0.25">
      <c r="A3657" s="6">
        <v>44007</v>
      </c>
      <c r="B3657" t="s">
        <v>26</v>
      </c>
      <c r="C3657">
        <v>64276</v>
      </c>
      <c r="D3657" t="s">
        <v>108</v>
      </c>
      <c r="E3657" s="7">
        <v>2435.58</v>
      </c>
      <c r="F3657" t="s">
        <v>20</v>
      </c>
      <c r="G3657" t="s">
        <v>21</v>
      </c>
      <c r="H3657" t="str">
        <f>"041295652303"</f>
        <v>041295652303</v>
      </c>
      <c r="I3657" t="str">
        <f>"POOLSURE"</f>
        <v>POOLSURE</v>
      </c>
    </row>
    <row r="3658" spans="1:9" x14ac:dyDescent="0.25">
      <c r="A3658" s="6">
        <v>44007</v>
      </c>
      <c r="B3658" t="s">
        <v>26</v>
      </c>
      <c r="C3658">
        <v>64277</v>
      </c>
      <c r="D3658" t="s">
        <v>203</v>
      </c>
      <c r="E3658" s="7">
        <v>171.55</v>
      </c>
      <c r="F3658" t="s">
        <v>20</v>
      </c>
      <c r="G3658" t="s">
        <v>21</v>
      </c>
      <c r="H3658" t="str">
        <f>"254115"</f>
        <v>254115</v>
      </c>
      <c r="I3658" t="str">
        <f>"SAFETY GEAR FOR WW"</f>
        <v>SAFETY GEAR FOR WW</v>
      </c>
    </row>
    <row r="3659" spans="1:9" x14ac:dyDescent="0.25">
      <c r="E3659" s="7"/>
      <c r="F3659" t="s">
        <v>20</v>
      </c>
      <c r="G3659" t="s">
        <v>21</v>
      </c>
      <c r="H3659" t="str">
        <f>"265696"</f>
        <v>265696</v>
      </c>
      <c r="I3659" t="str">
        <f>"SAFETY VEST'S AND GLOVES"</f>
        <v>SAFETY VEST'S AND GLOVES</v>
      </c>
    </row>
    <row r="3660" spans="1:9" x14ac:dyDescent="0.25">
      <c r="E3660" s="7"/>
      <c r="F3660" t="s">
        <v>20</v>
      </c>
      <c r="G3660" t="s">
        <v>21</v>
      </c>
      <c r="H3660" t="str">
        <f>"265781"</f>
        <v>265781</v>
      </c>
      <c r="I3660" t="str">
        <f>"PHOSPHATE/NITRATE -WW"</f>
        <v>PHOSPHATE/NITRATE -WW</v>
      </c>
    </row>
    <row r="3661" spans="1:9" x14ac:dyDescent="0.25">
      <c r="A3661" s="6">
        <v>44007</v>
      </c>
      <c r="B3661" t="s">
        <v>26</v>
      </c>
      <c r="C3661">
        <v>64278</v>
      </c>
      <c r="D3661" t="s">
        <v>181</v>
      </c>
      <c r="E3661" s="7">
        <v>43.03</v>
      </c>
      <c r="F3661" t="s">
        <v>20</v>
      </c>
      <c r="G3661" t="s">
        <v>21</v>
      </c>
      <c r="H3661" t="str">
        <f>"8303933186 6/2020"</f>
        <v>8303933186 6/2020</v>
      </c>
      <c r="I3661" t="str">
        <f>"AT&amp;T"</f>
        <v>AT&amp;T</v>
      </c>
    </row>
    <row r="3662" spans="1:9" x14ac:dyDescent="0.25">
      <c r="A3662" s="6">
        <v>44007</v>
      </c>
      <c r="B3662" t="s">
        <v>26</v>
      </c>
      <c r="C3662">
        <v>64279</v>
      </c>
      <c r="D3662" t="s">
        <v>61</v>
      </c>
      <c r="E3662" s="7">
        <v>3369.41</v>
      </c>
      <c r="F3662" t="s">
        <v>20</v>
      </c>
      <c r="G3662" t="s">
        <v>21</v>
      </c>
      <c r="H3662" t="str">
        <f>"025-297469"</f>
        <v>025-297469</v>
      </c>
      <c r="I3662" t="str">
        <f>"TYLER TECHNOLOGIES  INC."</f>
        <v>TYLER TECHNOLOGIES  INC.</v>
      </c>
    </row>
    <row r="3663" spans="1:9" x14ac:dyDescent="0.25">
      <c r="A3663" s="6">
        <v>44007</v>
      </c>
      <c r="B3663" t="s">
        <v>26</v>
      </c>
      <c r="C3663">
        <v>64280</v>
      </c>
      <c r="D3663" t="s">
        <v>184</v>
      </c>
      <c r="E3663" s="7">
        <v>992</v>
      </c>
      <c r="F3663" t="s">
        <v>20</v>
      </c>
      <c r="G3663" t="s">
        <v>21</v>
      </c>
      <c r="H3663" t="str">
        <f>"1059-339"</f>
        <v>1059-339</v>
      </c>
      <c r="I3663" t="str">
        <f>"POLLUTION CONTROL SERVICES"</f>
        <v>POLLUTION CONTROL SERVICES</v>
      </c>
    </row>
    <row r="3664" spans="1:9" x14ac:dyDescent="0.25">
      <c r="E3664" s="7"/>
      <c r="F3664" t="s">
        <v>20</v>
      </c>
      <c r="G3664" t="s">
        <v>21</v>
      </c>
      <c r="H3664" t="str">
        <f>"1059-340"</f>
        <v>1059-340</v>
      </c>
      <c r="I3664" t="str">
        <f>"POLLUTION CONTROL SERVICES"</f>
        <v>POLLUTION CONTROL SERVICES</v>
      </c>
    </row>
    <row r="3665" spans="1:9" x14ac:dyDescent="0.25">
      <c r="A3665" s="6">
        <v>44007</v>
      </c>
      <c r="B3665" t="s">
        <v>26</v>
      </c>
      <c r="C3665">
        <v>64281</v>
      </c>
      <c r="D3665" t="s">
        <v>62</v>
      </c>
      <c r="E3665" s="7">
        <v>215</v>
      </c>
      <c r="F3665" t="s">
        <v>20</v>
      </c>
      <c r="G3665" t="s">
        <v>21</v>
      </c>
      <c r="H3665" t="str">
        <f>"68180"</f>
        <v>68180</v>
      </c>
      <c r="I3665" t="str">
        <f>"PROFICIENT BENEFIT SOLUTIONS"</f>
        <v>PROFICIENT BENEFIT SOLUTIONS</v>
      </c>
    </row>
    <row r="3666" spans="1:9" x14ac:dyDescent="0.25">
      <c r="E3666" s="7"/>
      <c r="F3666" t="s">
        <v>20</v>
      </c>
      <c r="G3666" t="s">
        <v>21</v>
      </c>
      <c r="H3666" t="str">
        <f>"FC3590"</f>
        <v>FC3590</v>
      </c>
      <c r="I3666" t="str">
        <f>"PROFICIENT BENEFIT SOLUTIONS"</f>
        <v>PROFICIENT BENEFIT SOLUTIONS</v>
      </c>
    </row>
    <row r="3667" spans="1:9" x14ac:dyDescent="0.25">
      <c r="A3667" s="6">
        <v>44007</v>
      </c>
      <c r="B3667" t="s">
        <v>26</v>
      </c>
      <c r="C3667">
        <v>64282</v>
      </c>
      <c r="D3667" t="s">
        <v>115</v>
      </c>
      <c r="E3667" s="7">
        <v>376.86</v>
      </c>
      <c r="F3667" t="s">
        <v>20</v>
      </c>
      <c r="G3667" t="s">
        <v>21</v>
      </c>
      <c r="H3667" t="str">
        <f>"3547688335"</f>
        <v>3547688335</v>
      </c>
      <c r="I3667" t="str">
        <f>"SHOP-DIESEL EXHUAST"</f>
        <v>SHOP-DIESEL EXHUAST</v>
      </c>
    </row>
    <row r="3668" spans="1:9" x14ac:dyDescent="0.25">
      <c r="E3668" s="7"/>
      <c r="F3668" t="s">
        <v>20</v>
      </c>
      <c r="G3668" t="s">
        <v>21</v>
      </c>
      <c r="H3668" t="str">
        <f>"3547688336"</f>
        <v>3547688336</v>
      </c>
      <c r="I3668" t="str">
        <f>"WATER DEPT UNIT 203"</f>
        <v>WATER DEPT UNIT 203</v>
      </c>
    </row>
    <row r="3669" spans="1:9" x14ac:dyDescent="0.25">
      <c r="E3669" s="7"/>
      <c r="F3669" t="s">
        <v>20</v>
      </c>
      <c r="G3669" t="s">
        <v>21</v>
      </c>
      <c r="H3669" t="str">
        <f>"3547688337"</f>
        <v>3547688337</v>
      </c>
      <c r="I3669" t="str">
        <f>"WATER DEPT UNIT 603"</f>
        <v>WATER DEPT UNIT 603</v>
      </c>
    </row>
    <row r="3670" spans="1:9" x14ac:dyDescent="0.25">
      <c r="E3670" s="7"/>
      <c r="F3670" t="s">
        <v>20</v>
      </c>
      <c r="G3670" t="s">
        <v>21</v>
      </c>
      <c r="H3670" t="str">
        <f>"3547688949"</f>
        <v>3547688949</v>
      </c>
      <c r="I3670" t="str">
        <f>"UNIT 501-PARKS"</f>
        <v>UNIT 501-PARKS</v>
      </c>
    </row>
    <row r="3671" spans="1:9" x14ac:dyDescent="0.25">
      <c r="E3671" s="7"/>
      <c r="F3671" t="s">
        <v>20</v>
      </c>
      <c r="G3671" t="s">
        <v>21</v>
      </c>
      <c r="H3671" t="str">
        <f>"3547689282"</f>
        <v>3547689282</v>
      </c>
      <c r="I3671" t="str">
        <f>"WATER DEPT- 97 CHEVY 1500"</f>
        <v>WATER DEPT- 97 CHEVY 1500</v>
      </c>
    </row>
    <row r="3672" spans="1:9" x14ac:dyDescent="0.25">
      <c r="A3672" s="6">
        <v>44007</v>
      </c>
      <c r="B3672" t="s">
        <v>26</v>
      </c>
      <c r="C3672">
        <v>64284</v>
      </c>
      <c r="D3672" t="s">
        <v>117</v>
      </c>
      <c r="E3672" s="7">
        <v>1236.8</v>
      </c>
      <c r="F3672" t="s">
        <v>20</v>
      </c>
      <c r="G3672" t="s">
        <v>21</v>
      </c>
      <c r="H3672" t="str">
        <f>"MAY 2020"</f>
        <v>MAY 2020</v>
      </c>
      <c r="I3672" t="str">
        <f>"LINEBARGER GOGGAN BLAIR &amp; SAMP"</f>
        <v>LINEBARGER GOGGAN BLAIR &amp; SAMP</v>
      </c>
    </row>
    <row r="3673" spans="1:9" x14ac:dyDescent="0.25">
      <c r="A3673" s="6">
        <v>44007</v>
      </c>
      <c r="B3673" t="s">
        <v>26</v>
      </c>
      <c r="C3673">
        <v>64285</v>
      </c>
      <c r="D3673" t="s">
        <v>66</v>
      </c>
      <c r="E3673" s="7">
        <v>1742.92</v>
      </c>
      <c r="F3673" t="s">
        <v>20</v>
      </c>
      <c r="G3673" t="s">
        <v>21</v>
      </c>
      <c r="H3673" t="str">
        <f>"58174"</f>
        <v>58174</v>
      </c>
      <c r="I3673" t="str">
        <f>"LOPEZ EXTERMINATING SERVICE  I"</f>
        <v>LOPEZ EXTERMINATING SERVICE  I</v>
      </c>
    </row>
    <row r="3674" spans="1:9" x14ac:dyDescent="0.25">
      <c r="E3674" s="7"/>
      <c r="F3674" t="s">
        <v>20</v>
      </c>
      <c r="G3674" t="s">
        <v>21</v>
      </c>
      <c r="H3674" t="str">
        <f>"58290"</f>
        <v>58290</v>
      </c>
      <c r="I3674" t="str">
        <f>"LOPEZ EXTERMINATING SERVICE  I"</f>
        <v>LOPEZ EXTERMINATING SERVICE  I</v>
      </c>
    </row>
    <row r="3675" spans="1:9" x14ac:dyDescent="0.25">
      <c r="A3675" s="6">
        <v>44007</v>
      </c>
      <c r="B3675" t="s">
        <v>26</v>
      </c>
      <c r="C3675">
        <v>64286</v>
      </c>
      <c r="D3675" t="s">
        <v>119</v>
      </c>
      <c r="E3675" s="7">
        <v>3786.26</v>
      </c>
      <c r="F3675" t="s">
        <v>20</v>
      </c>
      <c r="G3675" t="s">
        <v>21</v>
      </c>
      <c r="H3675" t="str">
        <f>"2385.70"</f>
        <v>2385.70</v>
      </c>
      <c r="I3675" t="str">
        <f>"STREET LOADER-TIRES"</f>
        <v>STREET LOADER-TIRES</v>
      </c>
    </row>
    <row r="3676" spans="1:9" x14ac:dyDescent="0.25">
      <c r="E3676" s="7"/>
      <c r="F3676" t="s">
        <v>20</v>
      </c>
      <c r="G3676" t="s">
        <v>21</v>
      </c>
      <c r="H3676" t="str">
        <f>"65500"</f>
        <v>65500</v>
      </c>
      <c r="I3676" t="str">
        <f>"PRUSKI'S TIRE SHOP  L.L.C."</f>
        <v>PRUSKI'S TIRE SHOP  L.L.C.</v>
      </c>
    </row>
    <row r="3677" spans="1:9" x14ac:dyDescent="0.25">
      <c r="E3677" s="7"/>
      <c r="F3677" t="s">
        <v>20</v>
      </c>
      <c r="G3677" t="s">
        <v>21</v>
      </c>
      <c r="H3677" t="str">
        <f>"65656"</f>
        <v>65656</v>
      </c>
      <c r="I3677" t="str">
        <f>"MAC ROLLOFF TIRE REPAIR"</f>
        <v>MAC ROLLOFF TIRE REPAIR</v>
      </c>
    </row>
    <row r="3678" spans="1:9" x14ac:dyDescent="0.25">
      <c r="A3678" s="6">
        <v>44007</v>
      </c>
      <c r="B3678" t="s">
        <v>26</v>
      </c>
      <c r="C3678">
        <v>64287</v>
      </c>
      <c r="D3678" t="s">
        <v>120</v>
      </c>
      <c r="E3678" s="7">
        <v>1810.38</v>
      </c>
      <c r="F3678" t="s">
        <v>20</v>
      </c>
      <c r="G3678" t="s">
        <v>21</v>
      </c>
      <c r="H3678" t="str">
        <f>"71490891"</f>
        <v>71490891</v>
      </c>
      <c r="I3678" t="str">
        <f>"VERIZON BUSINESS"</f>
        <v>VERIZON BUSINESS</v>
      </c>
    </row>
    <row r="3679" spans="1:9" x14ac:dyDescent="0.25">
      <c r="E3679" s="7"/>
      <c r="F3679" t="s">
        <v>20</v>
      </c>
      <c r="G3679" t="s">
        <v>21</v>
      </c>
      <c r="H3679" t="str">
        <f>"71490895"</f>
        <v>71490895</v>
      </c>
      <c r="I3679" t="str">
        <f>"VERIZON BUSINESS"</f>
        <v>VERIZON BUSINESS</v>
      </c>
    </row>
    <row r="3680" spans="1:9" x14ac:dyDescent="0.25">
      <c r="A3680" s="6">
        <v>44007</v>
      </c>
      <c r="B3680" t="s">
        <v>26</v>
      </c>
      <c r="C3680">
        <v>64288</v>
      </c>
      <c r="D3680" t="s">
        <v>189</v>
      </c>
      <c r="E3680" s="7">
        <v>343.2</v>
      </c>
      <c r="F3680" t="s">
        <v>20</v>
      </c>
      <c r="G3680" t="s">
        <v>21</v>
      </c>
      <c r="H3680" t="str">
        <f>"PSO164484-1"</f>
        <v>PSO164484-1</v>
      </c>
      <c r="I3680" t="str">
        <f>"BACKHOE-CONDENSER"</f>
        <v>BACKHOE-CONDENSER</v>
      </c>
    </row>
    <row r="3681" spans="1:9" x14ac:dyDescent="0.25">
      <c r="A3681" s="6">
        <v>44007</v>
      </c>
      <c r="B3681" t="s">
        <v>26</v>
      </c>
      <c r="C3681">
        <v>64289</v>
      </c>
      <c r="D3681" t="s">
        <v>935</v>
      </c>
      <c r="E3681" s="7">
        <v>110.03</v>
      </c>
      <c r="F3681" t="s">
        <v>20</v>
      </c>
      <c r="G3681" t="s">
        <v>21</v>
      </c>
      <c r="H3681" t="str">
        <f>"306277"</f>
        <v>306277</v>
      </c>
      <c r="I3681" t="str">
        <f>"LIQUID ODOR CONTROL"</f>
        <v>LIQUID ODOR CONTROL</v>
      </c>
    </row>
    <row r="3682" spans="1:9" x14ac:dyDescent="0.25">
      <c r="A3682" s="6">
        <v>44007</v>
      </c>
      <c r="B3682" t="s">
        <v>26</v>
      </c>
      <c r="C3682">
        <v>64290</v>
      </c>
      <c r="D3682" t="s">
        <v>69</v>
      </c>
      <c r="E3682" s="7">
        <v>168.81</v>
      </c>
      <c r="F3682" t="s">
        <v>20</v>
      </c>
      <c r="G3682" t="s">
        <v>21</v>
      </c>
      <c r="H3682" t="str">
        <f>"3308262"</f>
        <v>3308262</v>
      </c>
      <c r="I3682" t="str">
        <f>"OIL FILTER"</f>
        <v>OIL FILTER</v>
      </c>
    </row>
    <row r="3683" spans="1:9" x14ac:dyDescent="0.25">
      <c r="E3683" s="7"/>
      <c r="F3683" t="s">
        <v>20</v>
      </c>
      <c r="G3683" t="s">
        <v>21</v>
      </c>
      <c r="H3683" t="str">
        <f>"3308452"</f>
        <v>3308452</v>
      </c>
      <c r="I3683" t="str">
        <f>"POST SAW BLADES"</f>
        <v>POST SAW BLADES</v>
      </c>
    </row>
    <row r="3684" spans="1:9" x14ac:dyDescent="0.25">
      <c r="E3684" s="7"/>
      <c r="F3684" t="s">
        <v>20</v>
      </c>
      <c r="G3684" t="s">
        <v>21</v>
      </c>
      <c r="H3684" t="str">
        <f>"3308461"</f>
        <v>3308461</v>
      </c>
      <c r="I3684" t="str">
        <f>"WATER DEPT LAWN MOWER"</f>
        <v>WATER DEPT LAWN MOWER</v>
      </c>
    </row>
    <row r="3685" spans="1:9" x14ac:dyDescent="0.25">
      <c r="E3685" s="7"/>
      <c r="F3685" t="s">
        <v>20</v>
      </c>
      <c r="G3685" t="s">
        <v>21</v>
      </c>
      <c r="H3685" t="str">
        <f>"3308466"</f>
        <v>3308466</v>
      </c>
      <c r="I3685" t="str">
        <f>"BELT FOR ZERO TURN PARKS"</f>
        <v>BELT FOR ZERO TURN PARKS</v>
      </c>
    </row>
    <row r="3686" spans="1:9" x14ac:dyDescent="0.25">
      <c r="E3686" s="7"/>
      <c r="F3686" t="s">
        <v>20</v>
      </c>
      <c r="G3686" t="s">
        <v>21</v>
      </c>
      <c r="H3686" t="str">
        <f>"3308495"</f>
        <v>3308495</v>
      </c>
      <c r="I3686" t="str">
        <f>"BELT FOR ZERO TURN PARKS"</f>
        <v>BELT FOR ZERO TURN PARKS</v>
      </c>
    </row>
    <row r="3687" spans="1:9" x14ac:dyDescent="0.25">
      <c r="A3687" s="6">
        <v>44007</v>
      </c>
      <c r="B3687" t="s">
        <v>26</v>
      </c>
      <c r="C3687">
        <v>64291</v>
      </c>
      <c r="D3687" t="s">
        <v>248</v>
      </c>
      <c r="E3687" s="7">
        <v>180</v>
      </c>
      <c r="F3687" t="s">
        <v>20</v>
      </c>
      <c r="G3687" t="s">
        <v>21</v>
      </c>
      <c r="H3687" t="str">
        <f>"1015774099"</f>
        <v>1015774099</v>
      </c>
      <c r="I3687" t="str">
        <f>"PITNEY BOWES"</f>
        <v>PITNEY BOWES</v>
      </c>
    </row>
    <row r="3688" spans="1:9" x14ac:dyDescent="0.25">
      <c r="A3688" s="6">
        <v>44007</v>
      </c>
      <c r="B3688" t="s">
        <v>26</v>
      </c>
      <c r="C3688">
        <v>64292</v>
      </c>
      <c r="D3688" t="s">
        <v>122</v>
      </c>
      <c r="E3688" s="7">
        <v>50</v>
      </c>
      <c r="F3688" t="s">
        <v>20</v>
      </c>
      <c r="G3688" t="s">
        <v>21</v>
      </c>
      <c r="H3688" t="str">
        <f>"48700726"</f>
        <v>48700726</v>
      </c>
      <c r="I3688" t="str">
        <f>"VILLA TIRES"</f>
        <v>VILLA TIRES</v>
      </c>
    </row>
    <row r="3689" spans="1:9" x14ac:dyDescent="0.25">
      <c r="E3689" s="7"/>
      <c r="F3689" t="s">
        <v>20</v>
      </c>
      <c r="G3689" t="s">
        <v>21</v>
      </c>
      <c r="H3689" t="str">
        <f>"48700731"</f>
        <v>48700731</v>
      </c>
      <c r="I3689" t="str">
        <f>"VILLA TIRES"</f>
        <v>VILLA TIRES</v>
      </c>
    </row>
    <row r="3690" spans="1:9" x14ac:dyDescent="0.25">
      <c r="A3690" s="6">
        <v>44007</v>
      </c>
      <c r="B3690" t="s">
        <v>26</v>
      </c>
      <c r="C3690">
        <v>64293</v>
      </c>
      <c r="D3690" t="s">
        <v>123</v>
      </c>
      <c r="E3690" s="7">
        <v>332.4</v>
      </c>
      <c r="F3690" t="s">
        <v>20</v>
      </c>
      <c r="G3690" t="s">
        <v>21</v>
      </c>
      <c r="H3690" t="str">
        <f>"492093040001"</f>
        <v>492093040001</v>
      </c>
      <c r="I3690" t="str">
        <f>"OFFICE SUPPLIES"</f>
        <v>OFFICE SUPPLIES</v>
      </c>
    </row>
    <row r="3691" spans="1:9" x14ac:dyDescent="0.25">
      <c r="E3691" s="7"/>
      <c r="F3691" t="s">
        <v>20</v>
      </c>
      <c r="G3691" t="s">
        <v>21</v>
      </c>
      <c r="H3691" t="str">
        <f>"502216689001"</f>
        <v>502216689001</v>
      </c>
      <c r="I3691" t="str">
        <f>"INK"</f>
        <v>INK</v>
      </c>
    </row>
    <row r="3692" spans="1:9" x14ac:dyDescent="0.25">
      <c r="E3692" s="7"/>
      <c r="F3692" t="s">
        <v>20</v>
      </c>
      <c r="G3692" t="s">
        <v>21</v>
      </c>
      <c r="H3692" t="str">
        <f>"506613671001"</f>
        <v>506613671001</v>
      </c>
      <c r="I3692" t="str">
        <f>"BOND PAPER"</f>
        <v>BOND PAPER</v>
      </c>
    </row>
    <row r="3693" spans="1:9" x14ac:dyDescent="0.25">
      <c r="E3693" s="7"/>
      <c r="F3693" t="s">
        <v>20</v>
      </c>
      <c r="G3693" t="s">
        <v>21</v>
      </c>
      <c r="H3693" t="str">
        <f>"508857630001"</f>
        <v>508857630001</v>
      </c>
      <c r="I3693" t="str">
        <f>"BUSINESS CARDS GATORADE"</f>
        <v>BUSINESS CARDS GATORADE</v>
      </c>
    </row>
    <row r="3694" spans="1:9" x14ac:dyDescent="0.25">
      <c r="A3694" s="6">
        <v>44007</v>
      </c>
      <c r="B3694" t="s">
        <v>26</v>
      </c>
      <c r="C3694">
        <v>64294</v>
      </c>
      <c r="D3694" t="s">
        <v>76</v>
      </c>
      <c r="E3694" s="7">
        <v>425</v>
      </c>
      <c r="F3694" t="s">
        <v>20</v>
      </c>
      <c r="G3694" t="s">
        <v>21</v>
      </c>
      <c r="H3694" t="str">
        <f>"BG748825 5/29/2020"</f>
        <v>BG748825 5/29/2020</v>
      </c>
      <c r="I3694" t="str">
        <f>"WILSON COUNTY TAX COLLECTOR"</f>
        <v>WILSON COUNTY TAX COLLECTOR</v>
      </c>
    </row>
    <row r="3695" spans="1:9" x14ac:dyDescent="0.25">
      <c r="A3695" s="6">
        <v>44007</v>
      </c>
      <c r="B3695" t="s">
        <v>26</v>
      </c>
      <c r="C3695">
        <v>64295</v>
      </c>
      <c r="D3695" t="s">
        <v>137</v>
      </c>
      <c r="E3695" s="7">
        <v>121.9</v>
      </c>
      <c r="F3695" t="s">
        <v>20</v>
      </c>
      <c r="G3695" t="s">
        <v>21</v>
      </c>
      <c r="H3695" t="str">
        <f>"13213"</f>
        <v>13213</v>
      </c>
      <c r="I3695" t="str">
        <f>"OMNIBUS-M  INC.D.B.A."</f>
        <v>OMNIBUS-M  INC.D.B.A.</v>
      </c>
    </row>
    <row r="3696" spans="1:9" x14ac:dyDescent="0.25">
      <c r="E3696" s="7"/>
      <c r="F3696" t="s">
        <v>20</v>
      </c>
      <c r="G3696" t="s">
        <v>21</v>
      </c>
      <c r="H3696" t="str">
        <f>"13214"</f>
        <v>13214</v>
      </c>
      <c r="I3696" t="str">
        <f>"OMNIBUS-M  INC.D.B.A."</f>
        <v>OMNIBUS-M  INC.D.B.A.</v>
      </c>
    </row>
    <row r="3697" spans="1:9" x14ac:dyDescent="0.25">
      <c r="A3697" s="6">
        <v>44007</v>
      </c>
      <c r="B3697" t="s">
        <v>26</v>
      </c>
      <c r="C3697">
        <v>64296</v>
      </c>
      <c r="D3697" t="s">
        <v>77</v>
      </c>
      <c r="E3697" s="7">
        <v>320</v>
      </c>
      <c r="F3697" t="s">
        <v>20</v>
      </c>
      <c r="G3697" t="s">
        <v>21</v>
      </c>
      <c r="H3697" t="str">
        <f>"DE85001020-20"</f>
        <v>DE85001020-20</v>
      </c>
      <c r="I3697" t="str">
        <f>"DPC INDUSTRIES  INC."</f>
        <v>DPC INDUSTRIES  INC.</v>
      </c>
    </row>
    <row r="3698" spans="1:9" x14ac:dyDescent="0.25">
      <c r="E3698" s="7"/>
      <c r="F3698" t="s">
        <v>20</v>
      </c>
      <c r="G3698" t="s">
        <v>21</v>
      </c>
      <c r="H3698" t="str">
        <f>"DE85001214-20"</f>
        <v>DE85001214-20</v>
      </c>
      <c r="I3698" t="str">
        <f>"DPC INDUSTRIES  INC."</f>
        <v>DPC INDUSTRIES  INC.</v>
      </c>
    </row>
    <row r="3699" spans="1:9" x14ac:dyDescent="0.25">
      <c r="A3699" s="6">
        <v>44007</v>
      </c>
      <c r="B3699" t="s">
        <v>26</v>
      </c>
      <c r="C3699">
        <v>64297</v>
      </c>
      <c r="D3699" t="s">
        <v>124</v>
      </c>
      <c r="E3699" s="7">
        <v>813.12</v>
      </c>
      <c r="F3699" t="s">
        <v>20</v>
      </c>
      <c r="G3699" t="s">
        <v>21</v>
      </c>
      <c r="H3699" t="str">
        <f>"11189202"</f>
        <v>11189202</v>
      </c>
      <c r="I3699" t="str">
        <f>"MCCOY'S - WATER HEATER"</f>
        <v>MCCOY'S - WATER HEATER</v>
      </c>
    </row>
    <row r="3700" spans="1:9" x14ac:dyDescent="0.25">
      <c r="E3700" s="7"/>
      <c r="F3700" t="s">
        <v>20</v>
      </c>
      <c r="G3700" t="s">
        <v>21</v>
      </c>
      <c r="H3700" t="str">
        <f>"11189474"</f>
        <v>11189474</v>
      </c>
      <c r="I3700" t="str">
        <f>"SUPPLIES FOR FIELD"</f>
        <v>SUPPLIES FOR FIELD</v>
      </c>
    </row>
    <row r="3701" spans="1:9" x14ac:dyDescent="0.25">
      <c r="E3701" s="7"/>
      <c r="F3701" t="s">
        <v>20</v>
      </c>
      <c r="G3701" t="s">
        <v>21</v>
      </c>
      <c r="H3701" t="str">
        <f>"11189817"</f>
        <v>11189817</v>
      </c>
      <c r="I3701" t="str">
        <f>"PAINT"</f>
        <v>PAINT</v>
      </c>
    </row>
    <row r="3702" spans="1:9" x14ac:dyDescent="0.25">
      <c r="A3702" s="6">
        <v>44007</v>
      </c>
      <c r="B3702" t="s">
        <v>26</v>
      </c>
      <c r="C3702">
        <v>64298</v>
      </c>
      <c r="D3702" t="s">
        <v>936</v>
      </c>
      <c r="E3702" s="7">
        <v>128.21</v>
      </c>
      <c r="F3702" t="s">
        <v>20</v>
      </c>
      <c r="G3702" t="s">
        <v>21</v>
      </c>
      <c r="H3702" t="str">
        <f>"8478712"</f>
        <v>8478712</v>
      </c>
      <c r="I3702" t="str">
        <f>"THRUST WASHER MIXER"</f>
        <v>THRUST WASHER MIXER</v>
      </c>
    </row>
    <row r="3703" spans="1:9" x14ac:dyDescent="0.25">
      <c r="A3703" s="6">
        <v>44007</v>
      </c>
      <c r="B3703" t="s">
        <v>26</v>
      </c>
      <c r="C3703">
        <v>64299</v>
      </c>
      <c r="D3703" t="s">
        <v>79</v>
      </c>
      <c r="E3703" s="7">
        <v>12.37</v>
      </c>
      <c r="F3703" t="s">
        <v>20</v>
      </c>
      <c r="G3703" t="s">
        <v>21</v>
      </c>
      <c r="H3703" t="str">
        <f>"7-042-63469"</f>
        <v>7-042-63469</v>
      </c>
      <c r="I3703" t="str">
        <f>"FEDEX"</f>
        <v>FEDEX</v>
      </c>
    </row>
    <row r="3704" spans="1:9" x14ac:dyDescent="0.25">
      <c r="A3704" s="6">
        <v>44007</v>
      </c>
      <c r="B3704" t="s">
        <v>26</v>
      </c>
      <c r="C3704">
        <v>64300</v>
      </c>
      <c r="D3704" t="s">
        <v>380</v>
      </c>
      <c r="E3704" s="7">
        <v>415.74</v>
      </c>
      <c r="F3704" t="s">
        <v>20</v>
      </c>
      <c r="G3704" t="s">
        <v>21</v>
      </c>
      <c r="H3704" t="str">
        <f>"70928"</f>
        <v>70928</v>
      </c>
      <c r="I3704" t="str">
        <f>"ABIP CERTIFIED PUBLIC ACCOUNTA"</f>
        <v>ABIP CERTIFIED PUBLIC ACCOUNTA</v>
      </c>
    </row>
    <row r="3705" spans="1:9" x14ac:dyDescent="0.25">
      <c r="A3705" s="6">
        <v>44007</v>
      </c>
      <c r="B3705" t="s">
        <v>26</v>
      </c>
      <c r="C3705">
        <v>64301</v>
      </c>
      <c r="D3705" t="s">
        <v>131</v>
      </c>
      <c r="E3705" s="7">
        <v>185</v>
      </c>
      <c r="F3705" t="s">
        <v>20</v>
      </c>
      <c r="G3705" t="s">
        <v>21</v>
      </c>
      <c r="H3705" t="str">
        <f>"051219"</f>
        <v>051219</v>
      </c>
      <c r="I3705" t="str">
        <f>"TAP DIE SET 75 PC"</f>
        <v>TAP DIE SET 75 PC</v>
      </c>
    </row>
    <row r="3706" spans="1:9" x14ac:dyDescent="0.25">
      <c r="A3706" s="6">
        <v>44007</v>
      </c>
      <c r="B3706" t="s">
        <v>26</v>
      </c>
      <c r="C3706">
        <v>64302</v>
      </c>
      <c r="D3706" t="s">
        <v>84</v>
      </c>
      <c r="E3706" s="7">
        <v>183</v>
      </c>
      <c r="F3706" t="s">
        <v>20</v>
      </c>
      <c r="G3706" t="s">
        <v>21</v>
      </c>
      <c r="H3706" t="str">
        <f>"1668337"</f>
        <v>1668337</v>
      </c>
      <c r="I3706" t="str">
        <f>"STANTEC CONSULTING SERVICES IN"</f>
        <v>STANTEC CONSULTING SERVICES IN</v>
      </c>
    </row>
    <row r="3707" spans="1:9" x14ac:dyDescent="0.25">
      <c r="A3707" s="6">
        <v>44007</v>
      </c>
      <c r="B3707" t="s">
        <v>26</v>
      </c>
      <c r="C3707">
        <v>64303</v>
      </c>
      <c r="D3707" t="s">
        <v>85</v>
      </c>
      <c r="E3707" s="7">
        <v>1137.08</v>
      </c>
      <c r="F3707" t="s">
        <v>20</v>
      </c>
      <c r="G3707" t="s">
        <v>21</v>
      </c>
      <c r="H3707" t="str">
        <f>"2162733 JUNE 2020"</f>
        <v>2162733 JUNE 2020</v>
      </c>
      <c r="I3707" t="str">
        <f t="shared" ref="I3707:I3716" si="76">"FRONTIER"</f>
        <v>FRONTIER</v>
      </c>
    </row>
    <row r="3708" spans="1:9" x14ac:dyDescent="0.25">
      <c r="E3708" s="7"/>
      <c r="F3708" t="s">
        <v>20</v>
      </c>
      <c r="G3708" t="s">
        <v>21</v>
      </c>
      <c r="H3708" t="str">
        <f>"2162755 JUNE 2020"</f>
        <v>2162755 JUNE 2020</v>
      </c>
      <c r="I3708" t="str">
        <f t="shared" si="76"/>
        <v>FRONTIER</v>
      </c>
    </row>
    <row r="3709" spans="1:9" x14ac:dyDescent="0.25">
      <c r="E3709" s="7"/>
      <c r="F3709" t="s">
        <v>20</v>
      </c>
      <c r="G3709" t="s">
        <v>21</v>
      </c>
      <c r="H3709" t="str">
        <f>"3932056 MAY 2020"</f>
        <v>3932056 MAY 2020</v>
      </c>
      <c r="I3709" t="str">
        <f t="shared" si="76"/>
        <v>FRONTIER</v>
      </c>
    </row>
    <row r="3710" spans="1:9" x14ac:dyDescent="0.25">
      <c r="E3710" s="7"/>
      <c r="F3710" t="s">
        <v>20</v>
      </c>
      <c r="G3710" t="s">
        <v>21</v>
      </c>
      <c r="H3710" t="str">
        <f>"3932804 JUNE 2020"</f>
        <v>3932804 JUNE 2020</v>
      </c>
      <c r="I3710" t="str">
        <f t="shared" si="76"/>
        <v>FRONTIER</v>
      </c>
    </row>
    <row r="3711" spans="1:9" x14ac:dyDescent="0.25">
      <c r="E3711" s="7"/>
      <c r="F3711" t="s">
        <v>20</v>
      </c>
      <c r="G3711" t="s">
        <v>21</v>
      </c>
      <c r="H3711" t="str">
        <f>"3933105 JUNE 2020"</f>
        <v>3933105 JUNE 2020</v>
      </c>
      <c r="I3711" t="str">
        <f t="shared" si="76"/>
        <v>FRONTIER</v>
      </c>
    </row>
    <row r="3712" spans="1:9" x14ac:dyDescent="0.25">
      <c r="E3712" s="7"/>
      <c r="F3712" t="s">
        <v>20</v>
      </c>
      <c r="G3712" t="s">
        <v>21</v>
      </c>
      <c r="H3712" t="str">
        <f>"3933186 JUNE 2020"</f>
        <v>3933186 JUNE 2020</v>
      </c>
      <c r="I3712" t="str">
        <f t="shared" si="76"/>
        <v>FRONTIER</v>
      </c>
    </row>
    <row r="3713" spans="1:9" x14ac:dyDescent="0.25">
      <c r="E3713" s="7"/>
      <c r="F3713" t="s">
        <v>20</v>
      </c>
      <c r="G3713" t="s">
        <v>21</v>
      </c>
      <c r="H3713" t="str">
        <f>"3936616 MAY 2020"</f>
        <v>3936616 MAY 2020</v>
      </c>
      <c r="I3713" t="str">
        <f t="shared" si="76"/>
        <v>FRONTIER</v>
      </c>
    </row>
    <row r="3714" spans="1:9" x14ac:dyDescent="0.25">
      <c r="E3714" s="7"/>
      <c r="F3714" t="s">
        <v>20</v>
      </c>
      <c r="G3714" t="s">
        <v>21</v>
      </c>
      <c r="H3714" t="str">
        <f>"3936794 JUNE 2020"</f>
        <v>3936794 JUNE 2020</v>
      </c>
      <c r="I3714" t="str">
        <f t="shared" si="76"/>
        <v>FRONTIER</v>
      </c>
    </row>
    <row r="3715" spans="1:9" x14ac:dyDescent="0.25">
      <c r="E3715" s="7"/>
      <c r="F3715" t="s">
        <v>20</v>
      </c>
      <c r="G3715" t="s">
        <v>21</v>
      </c>
      <c r="H3715" t="str">
        <f>"3938193 JUNE 2020"</f>
        <v>3938193 JUNE 2020</v>
      </c>
      <c r="I3715" t="str">
        <f t="shared" si="76"/>
        <v>FRONTIER</v>
      </c>
    </row>
    <row r="3716" spans="1:9" x14ac:dyDescent="0.25">
      <c r="E3716" s="7"/>
      <c r="F3716" t="s">
        <v>20</v>
      </c>
      <c r="G3716" t="s">
        <v>21</v>
      </c>
      <c r="H3716" t="str">
        <f>"3939456 JUNE 2020"</f>
        <v>3939456 JUNE 2020</v>
      </c>
      <c r="I3716" t="str">
        <f t="shared" si="76"/>
        <v>FRONTIER</v>
      </c>
    </row>
    <row r="3717" spans="1:9" x14ac:dyDescent="0.25">
      <c r="A3717" s="6">
        <v>44007</v>
      </c>
      <c r="B3717" t="s">
        <v>26</v>
      </c>
      <c r="C3717">
        <v>64305</v>
      </c>
      <c r="D3717" t="s">
        <v>326</v>
      </c>
      <c r="E3717" s="7">
        <v>35</v>
      </c>
      <c r="F3717" t="s">
        <v>20</v>
      </c>
      <c r="G3717" t="s">
        <v>21</v>
      </c>
      <c r="H3717" t="str">
        <f>"21767647"</f>
        <v>21767647</v>
      </c>
      <c r="I3717" t="str">
        <f>"MATHESON TRI-GAS INC"</f>
        <v>MATHESON TRI-GAS INC</v>
      </c>
    </row>
    <row r="3718" spans="1:9" x14ac:dyDescent="0.25">
      <c r="A3718" s="6">
        <v>44007</v>
      </c>
      <c r="B3718" t="s">
        <v>26</v>
      </c>
      <c r="C3718">
        <v>64306</v>
      </c>
      <c r="D3718" t="s">
        <v>327</v>
      </c>
      <c r="E3718" s="7">
        <v>237.52</v>
      </c>
      <c r="F3718" t="s">
        <v>20</v>
      </c>
      <c r="G3718" t="s">
        <v>21</v>
      </c>
      <c r="H3718" t="str">
        <f>"1425*REISSUE"</f>
        <v>1425*REISSUE</v>
      </c>
      <c r="I3718" t="str">
        <f>"MOY'S WATER WELL SERVICES"</f>
        <v>MOY'S WATER WELL SERVICES</v>
      </c>
    </row>
    <row r="3719" spans="1:9" x14ac:dyDescent="0.25">
      <c r="A3719" s="6">
        <v>44007</v>
      </c>
      <c r="B3719" t="s">
        <v>26</v>
      </c>
      <c r="C3719">
        <v>64307</v>
      </c>
      <c r="D3719" t="s">
        <v>195</v>
      </c>
      <c r="E3719" s="7">
        <v>1365.66</v>
      </c>
      <c r="F3719" t="s">
        <v>20</v>
      </c>
      <c r="G3719" t="s">
        <v>21</v>
      </c>
      <c r="H3719" t="str">
        <f>"1565202006"</f>
        <v>1565202006</v>
      </c>
      <c r="I3719" t="str">
        <f>"ARISTA INFORMATION SYSTEMS  IN"</f>
        <v>ARISTA INFORMATION SYSTEMS  IN</v>
      </c>
    </row>
    <row r="3720" spans="1:9" x14ac:dyDescent="0.25">
      <c r="E3720" s="7"/>
      <c r="F3720" t="s">
        <v>20</v>
      </c>
      <c r="G3720" t="s">
        <v>21</v>
      </c>
      <c r="H3720" t="str">
        <f>"29863"</f>
        <v>29863</v>
      </c>
      <c r="I3720" t="str">
        <f>"ARISTA INFORMATION SYSTEMS  IN"</f>
        <v>ARISTA INFORMATION SYSTEMS  IN</v>
      </c>
    </row>
    <row r="3721" spans="1:9" x14ac:dyDescent="0.25">
      <c r="A3721" s="6">
        <v>44007</v>
      </c>
      <c r="B3721" t="s">
        <v>26</v>
      </c>
      <c r="C3721">
        <v>64308</v>
      </c>
      <c r="D3721" t="s">
        <v>345</v>
      </c>
      <c r="E3721" s="7">
        <v>297</v>
      </c>
      <c r="F3721" t="s">
        <v>20</v>
      </c>
      <c r="G3721" t="s">
        <v>21</v>
      </c>
      <c r="H3721" t="str">
        <f>"6/22/2020"</f>
        <v>6/22/2020</v>
      </c>
      <c r="I3721" t="str">
        <f>"MICHAEL ISAAC MARTINEZ"</f>
        <v>MICHAEL ISAAC MARTINEZ</v>
      </c>
    </row>
    <row r="3722" spans="1:9" x14ac:dyDescent="0.25">
      <c r="A3722" s="6">
        <v>44007</v>
      </c>
      <c r="B3722" t="s">
        <v>26</v>
      </c>
      <c r="C3722">
        <v>64309</v>
      </c>
      <c r="D3722" t="s">
        <v>323</v>
      </c>
      <c r="E3722" s="7">
        <v>1300</v>
      </c>
      <c r="F3722" t="s">
        <v>20</v>
      </c>
      <c r="G3722" t="s">
        <v>21</v>
      </c>
      <c r="H3722" t="str">
        <f>"6444"</f>
        <v>6444</v>
      </c>
      <c r="I3722" t="str">
        <f>"POLLOK SELF STORAGE LLC"</f>
        <v>POLLOK SELF STORAGE LLC</v>
      </c>
    </row>
    <row r="3723" spans="1:9" x14ac:dyDescent="0.25">
      <c r="A3723" s="6">
        <v>44007</v>
      </c>
      <c r="B3723" t="s">
        <v>26</v>
      </c>
      <c r="C3723">
        <v>64310</v>
      </c>
      <c r="D3723" t="s">
        <v>528</v>
      </c>
      <c r="E3723" s="7">
        <v>251.94</v>
      </c>
      <c r="F3723" t="s">
        <v>20</v>
      </c>
      <c r="G3723" t="s">
        <v>21</v>
      </c>
      <c r="H3723" t="str">
        <f>"10313077"</f>
        <v>10313077</v>
      </c>
      <c r="I3723" t="str">
        <f>"PROSTAR SERVICES INC"</f>
        <v>PROSTAR SERVICES INC</v>
      </c>
    </row>
    <row r="3724" spans="1:9" x14ac:dyDescent="0.25">
      <c r="A3724" s="6">
        <v>44007</v>
      </c>
      <c r="B3724" t="s">
        <v>26</v>
      </c>
      <c r="C3724">
        <v>64311</v>
      </c>
      <c r="D3724" t="s">
        <v>568</v>
      </c>
      <c r="E3724" s="7">
        <v>284.22000000000003</v>
      </c>
      <c r="F3724" t="s">
        <v>20</v>
      </c>
      <c r="G3724" t="s">
        <v>21</v>
      </c>
      <c r="H3724" t="str">
        <f>"14311311"</f>
        <v>14311311</v>
      </c>
      <c r="I3724" t="str">
        <f>"TIRES FOR PD UNIT 332"</f>
        <v>TIRES FOR PD UNIT 332</v>
      </c>
    </row>
    <row r="3725" spans="1:9" x14ac:dyDescent="0.25">
      <c r="A3725" s="6">
        <v>44007</v>
      </c>
      <c r="B3725" t="s">
        <v>26</v>
      </c>
      <c r="C3725">
        <v>64312</v>
      </c>
      <c r="D3725" t="s">
        <v>647</v>
      </c>
      <c r="E3725" s="7">
        <v>3324.41</v>
      </c>
      <c r="F3725" t="s">
        <v>20</v>
      </c>
      <c r="G3725" t="s">
        <v>21</v>
      </c>
      <c r="H3725" t="str">
        <f>"27207671"</f>
        <v>27207671</v>
      </c>
      <c r="I3725" t="str">
        <f>"DOCUMATION  INC."</f>
        <v>DOCUMATION  INC.</v>
      </c>
    </row>
    <row r="3726" spans="1:9" x14ac:dyDescent="0.25">
      <c r="A3726" s="6">
        <v>44007</v>
      </c>
      <c r="B3726" t="s">
        <v>26</v>
      </c>
      <c r="C3726">
        <v>64313</v>
      </c>
      <c r="D3726" t="s">
        <v>937</v>
      </c>
      <c r="E3726" s="7">
        <v>237.09</v>
      </c>
      <c r="F3726" t="s">
        <v>20</v>
      </c>
      <c r="G3726" t="s">
        <v>21</v>
      </c>
      <c r="H3726" t="str">
        <f>"88-49534-01"</f>
        <v>88-49534-01</v>
      </c>
      <c r="I3726" t="str">
        <f>"MAN MOTOR STARTER"</f>
        <v>MAN MOTOR STARTER</v>
      </c>
    </row>
    <row r="3727" spans="1:9" x14ac:dyDescent="0.25">
      <c r="A3727" s="6">
        <v>44007</v>
      </c>
      <c r="B3727" t="s">
        <v>26</v>
      </c>
      <c r="C3727">
        <v>64314</v>
      </c>
      <c r="D3727" t="s">
        <v>938</v>
      </c>
      <c r="E3727" s="7">
        <v>4245</v>
      </c>
      <c r="F3727" t="s">
        <v>20</v>
      </c>
      <c r="G3727" t="s">
        <v>21</v>
      </c>
      <c r="H3727" t="str">
        <f>"327"</f>
        <v>327</v>
      </c>
      <c r="I3727" t="str">
        <f>"RAMSEY-PATE LANDSCAPES LLC"</f>
        <v>RAMSEY-PATE LANDSCAPES LLC</v>
      </c>
    </row>
    <row r="3728" spans="1:9" x14ac:dyDescent="0.25">
      <c r="A3728" s="6">
        <v>44007</v>
      </c>
      <c r="B3728" t="s">
        <v>26</v>
      </c>
      <c r="C3728">
        <v>64315</v>
      </c>
      <c r="D3728" t="s">
        <v>939</v>
      </c>
      <c r="E3728" s="7">
        <v>50</v>
      </c>
      <c r="F3728" t="s">
        <v>20</v>
      </c>
      <c r="G3728" t="s">
        <v>21</v>
      </c>
      <c r="H3728" t="str">
        <f>"RFND 6/20/2020 PTY"</f>
        <v>RFND 6/20/2020 PTY</v>
      </c>
      <c r="I3728" t="str">
        <f>"REFUND"</f>
        <v>REFUND</v>
      </c>
    </row>
    <row r="3729" spans="1:9" x14ac:dyDescent="0.25">
      <c r="A3729" s="6">
        <v>44012</v>
      </c>
      <c r="B3729" t="s">
        <v>26</v>
      </c>
      <c r="C3729">
        <v>64323</v>
      </c>
      <c r="D3729" t="s">
        <v>51</v>
      </c>
      <c r="E3729" s="7">
        <v>346.31</v>
      </c>
      <c r="F3729" t="s">
        <v>20</v>
      </c>
      <c r="G3729" t="s">
        <v>21</v>
      </c>
      <c r="H3729" t="str">
        <f>"CLE202006308577"</f>
        <v>CLE202006308577</v>
      </c>
      <c r="I3729" t="str">
        <f>"CLEAT ONLY DUES"</f>
        <v>CLEAT ONLY DUES</v>
      </c>
    </row>
    <row r="3730" spans="1:9" x14ac:dyDescent="0.25">
      <c r="E3730" s="7"/>
      <c r="F3730" t="s">
        <v>20</v>
      </c>
      <c r="G3730" t="s">
        <v>21</v>
      </c>
      <c r="H3730" t="str">
        <f>"PDD202006308577"</f>
        <v>PDD202006308577</v>
      </c>
      <c r="I3730" t="str">
        <f>"POLICE OFFICERS ASSOC DUES"</f>
        <v>POLICE OFFICERS ASSOC DUES</v>
      </c>
    </row>
    <row r="3731" spans="1:9" x14ac:dyDescent="0.25">
      <c r="A3731" s="6">
        <v>44012</v>
      </c>
      <c r="B3731" t="s">
        <v>91</v>
      </c>
      <c r="C3731">
        <v>64324</v>
      </c>
      <c r="D3731" t="s">
        <v>90</v>
      </c>
      <c r="E3731" s="7">
        <v>101.1</v>
      </c>
      <c r="F3731" t="s">
        <v>20</v>
      </c>
      <c r="G3731" t="s">
        <v>21</v>
      </c>
      <c r="H3731" t="str">
        <f>"AFS202006308577"</f>
        <v>AFS202006308577</v>
      </c>
      <c r="I3731" t="str">
        <f>"AFLAC STD"</f>
        <v>AFLAC STD</v>
      </c>
    </row>
    <row r="3732" spans="1:9" x14ac:dyDescent="0.25">
      <c r="A3732" s="6">
        <v>44012</v>
      </c>
      <c r="B3732" t="s">
        <v>91</v>
      </c>
      <c r="C3732">
        <v>64324</v>
      </c>
      <c r="D3732" t="s">
        <v>90</v>
      </c>
      <c r="E3732" s="7">
        <v>101.1</v>
      </c>
      <c r="F3732" t="s">
        <v>20</v>
      </c>
      <c r="G3732" t="s">
        <v>93</v>
      </c>
      <c r="H3732" t="str">
        <f>"CHECK"</f>
        <v>CHECK</v>
      </c>
      <c r="I3732" t="str">
        <f>""</f>
        <v/>
      </c>
    </row>
    <row r="3733" spans="1:9" x14ac:dyDescent="0.25">
      <c r="A3733" s="6">
        <v>44012</v>
      </c>
      <c r="B3733" t="s">
        <v>26</v>
      </c>
      <c r="C3733">
        <v>64325</v>
      </c>
      <c r="D3733" t="s">
        <v>52</v>
      </c>
      <c r="E3733" s="7">
        <v>711.46</v>
      </c>
      <c r="F3733" t="s">
        <v>20</v>
      </c>
      <c r="G3733" t="s">
        <v>21</v>
      </c>
      <c r="H3733" t="str">
        <f>"CA1202006308577"</f>
        <v>CA1202006308577</v>
      </c>
      <c r="I3733" t="str">
        <f>"K RAMIREZ 001200229510060343CV"</f>
        <v>K RAMIREZ 001200229510060343CV</v>
      </c>
    </row>
    <row r="3734" spans="1:9" x14ac:dyDescent="0.25">
      <c r="E3734" s="7"/>
      <c r="F3734" t="s">
        <v>20</v>
      </c>
      <c r="G3734" t="s">
        <v>21</v>
      </c>
      <c r="H3734" t="str">
        <f>"CA2202006308577"</f>
        <v>CA2202006308577</v>
      </c>
      <c r="I3734" t="str">
        <f>"L HERNANDEZ 001016025203080354"</f>
        <v>L HERNANDEZ 001016025203080354</v>
      </c>
    </row>
    <row r="3735" spans="1:9" x14ac:dyDescent="0.25">
      <c r="E3735" s="7"/>
      <c r="F3735" t="s">
        <v>20</v>
      </c>
      <c r="G3735" t="s">
        <v>21</v>
      </c>
      <c r="H3735" t="str">
        <f>"CA3202006308577"</f>
        <v>CA3202006308577</v>
      </c>
      <c r="I3735" t="str">
        <f>"00120788612011EM5023JOLENEGARC"</f>
        <v>00120788612011EM5023JOLENEGARC</v>
      </c>
    </row>
    <row r="3736" spans="1:9" x14ac:dyDescent="0.25">
      <c r="E3736" s="7"/>
      <c r="F3736" t="s">
        <v>20</v>
      </c>
      <c r="G3736" t="s">
        <v>21</v>
      </c>
      <c r="H3736" t="str">
        <f>"CPS202006308577"</f>
        <v>CPS202006308577</v>
      </c>
      <c r="I3736" t="str">
        <f>"G MENDOZA 00123012032010EM5054"</f>
        <v>G MENDOZA 00123012032010EM5054</v>
      </c>
    </row>
    <row r="3737" spans="1:9" x14ac:dyDescent="0.25">
      <c r="E3737" s="7"/>
      <c r="F3737" t="s">
        <v>20</v>
      </c>
      <c r="G3737" t="s">
        <v>21</v>
      </c>
      <c r="H3737" t="str">
        <f>"CSA202006308577"</f>
        <v>CSA202006308577</v>
      </c>
      <c r="I3737" t="str">
        <f>"S RODRIGUEZ 001281730413050336"</f>
        <v>S RODRIGUEZ 001281730413050336</v>
      </c>
    </row>
    <row r="3738" spans="1:9" x14ac:dyDescent="0.25">
      <c r="A3738" s="6">
        <v>44012</v>
      </c>
      <c r="B3738" t="s">
        <v>26</v>
      </c>
      <c r="C3738">
        <v>64326</v>
      </c>
      <c r="D3738" t="s">
        <v>54</v>
      </c>
      <c r="E3738" s="7">
        <v>945.82</v>
      </c>
      <c r="F3738" t="s">
        <v>20</v>
      </c>
      <c r="G3738" t="s">
        <v>21</v>
      </c>
      <c r="H3738" t="str">
        <f>"457202006308577"</f>
        <v>457202006308577</v>
      </c>
      <c r="I3738" t="str">
        <f>"CASE # 180-60751 457B DEDUCT"</f>
        <v>CASE # 180-60751 457B DEDUCT</v>
      </c>
    </row>
    <row r="3739" spans="1:9" x14ac:dyDescent="0.25">
      <c r="A3739" s="6">
        <v>44013</v>
      </c>
      <c r="B3739" t="s">
        <v>26</v>
      </c>
      <c r="C3739">
        <v>64327</v>
      </c>
      <c r="D3739" t="s">
        <v>143</v>
      </c>
      <c r="E3739" s="7">
        <v>459.31</v>
      </c>
      <c r="F3739" t="s">
        <v>20</v>
      </c>
      <c r="G3739" t="s">
        <v>21</v>
      </c>
      <c r="H3739" t="str">
        <f>"9402264460"</f>
        <v>9402264460</v>
      </c>
      <c r="I3739" t="str">
        <f>"200 GAL OIL"</f>
        <v>200 GAL OIL</v>
      </c>
    </row>
    <row r="3740" spans="1:9" x14ac:dyDescent="0.25">
      <c r="A3740" s="6">
        <v>44013</v>
      </c>
      <c r="B3740" t="s">
        <v>26</v>
      </c>
      <c r="C3740">
        <v>64328</v>
      </c>
      <c r="D3740" t="s">
        <v>240</v>
      </c>
      <c r="E3740" s="7">
        <v>19.989999999999998</v>
      </c>
      <c r="F3740" t="s">
        <v>20</v>
      </c>
      <c r="G3740" t="s">
        <v>21</v>
      </c>
      <c r="H3740" t="str">
        <f>"0191678-IN"</f>
        <v>0191678-IN</v>
      </c>
      <c r="I3740" t="str">
        <f>"NARDIS PUBLIC SAFETY"</f>
        <v>NARDIS PUBLIC SAFETY</v>
      </c>
    </row>
    <row r="3741" spans="1:9" x14ac:dyDescent="0.25">
      <c r="A3741" s="6">
        <v>44013</v>
      </c>
      <c r="B3741" t="s">
        <v>26</v>
      </c>
      <c r="C3741">
        <v>64329</v>
      </c>
      <c r="D3741" t="s">
        <v>61</v>
      </c>
      <c r="E3741" s="7">
        <v>188</v>
      </c>
      <c r="F3741" t="s">
        <v>20</v>
      </c>
      <c r="G3741" t="s">
        <v>21</v>
      </c>
      <c r="H3741" t="str">
        <f>"025-300718"</f>
        <v>025-300718</v>
      </c>
      <c r="I3741" t="str">
        <f>"TYLER TECHNOLOGIES  INC."</f>
        <v>TYLER TECHNOLOGIES  INC.</v>
      </c>
    </row>
    <row r="3742" spans="1:9" x14ac:dyDescent="0.25">
      <c r="A3742" s="6">
        <v>44013</v>
      </c>
      <c r="B3742" t="s">
        <v>26</v>
      </c>
      <c r="C3742">
        <v>64330</v>
      </c>
      <c r="D3742" t="s">
        <v>115</v>
      </c>
      <c r="E3742" s="7">
        <v>137.01</v>
      </c>
      <c r="F3742" t="s">
        <v>20</v>
      </c>
      <c r="G3742" t="s">
        <v>21</v>
      </c>
      <c r="H3742" t="str">
        <f>"3547693761"</f>
        <v>3547693761</v>
      </c>
      <c r="I3742" t="str">
        <f>"PARKS UNIT 501"</f>
        <v>PARKS UNIT 501</v>
      </c>
    </row>
    <row r="3743" spans="1:9" x14ac:dyDescent="0.25">
      <c r="A3743" s="6">
        <v>44013</v>
      </c>
      <c r="B3743" t="s">
        <v>26</v>
      </c>
      <c r="C3743">
        <v>64331</v>
      </c>
      <c r="D3743" t="s">
        <v>63</v>
      </c>
      <c r="E3743" s="7">
        <v>483.17</v>
      </c>
      <c r="F3743" t="s">
        <v>20</v>
      </c>
      <c r="G3743" t="s">
        <v>21</v>
      </c>
      <c r="H3743" t="str">
        <f>"8404676581"</f>
        <v>8404676581</v>
      </c>
      <c r="I3743" t="str">
        <f>"CINTAS CORPORATION"</f>
        <v>CINTAS CORPORATION</v>
      </c>
    </row>
    <row r="3744" spans="1:9" x14ac:dyDescent="0.25">
      <c r="A3744" s="6">
        <v>44013</v>
      </c>
      <c r="B3744" t="s">
        <v>26</v>
      </c>
      <c r="C3744">
        <v>64332</v>
      </c>
      <c r="D3744" t="s">
        <v>71</v>
      </c>
      <c r="E3744" s="7">
        <v>1289.72</v>
      </c>
      <c r="F3744" t="s">
        <v>20</v>
      </c>
      <c r="G3744" t="s">
        <v>21</v>
      </c>
      <c r="H3744" t="str">
        <f>"4052496274"</f>
        <v>4052496274</v>
      </c>
      <c r="I3744" t="str">
        <f t="shared" ref="I3744:I3752" si="77">"CINTAS CORPORATION #087"</f>
        <v>CINTAS CORPORATION #087</v>
      </c>
    </row>
    <row r="3745" spans="1:9" x14ac:dyDescent="0.25">
      <c r="E3745" s="7"/>
      <c r="F3745" t="s">
        <v>20</v>
      </c>
      <c r="G3745" t="s">
        <v>21</v>
      </c>
      <c r="H3745" t="str">
        <f>"4052496298"</f>
        <v>4052496298</v>
      </c>
      <c r="I3745" t="str">
        <f t="shared" si="77"/>
        <v>CINTAS CORPORATION #087</v>
      </c>
    </row>
    <row r="3746" spans="1:9" x14ac:dyDescent="0.25">
      <c r="E3746" s="7"/>
      <c r="F3746" t="s">
        <v>20</v>
      </c>
      <c r="G3746" t="s">
        <v>21</v>
      </c>
      <c r="H3746" t="str">
        <f>"4052496324"</f>
        <v>4052496324</v>
      </c>
      <c r="I3746" t="str">
        <f t="shared" si="77"/>
        <v>CINTAS CORPORATION #087</v>
      </c>
    </row>
    <row r="3747" spans="1:9" x14ac:dyDescent="0.25">
      <c r="E3747" s="7"/>
      <c r="F3747" t="s">
        <v>20</v>
      </c>
      <c r="G3747" t="s">
        <v>21</v>
      </c>
      <c r="H3747" t="str">
        <f>"4052496404"</f>
        <v>4052496404</v>
      </c>
      <c r="I3747" t="str">
        <f t="shared" si="77"/>
        <v>CINTAS CORPORATION #087</v>
      </c>
    </row>
    <row r="3748" spans="1:9" x14ac:dyDescent="0.25">
      <c r="E3748" s="7"/>
      <c r="F3748" t="s">
        <v>20</v>
      </c>
      <c r="G3748" t="s">
        <v>21</v>
      </c>
      <c r="H3748" t="str">
        <f>"4053122931"</f>
        <v>4053122931</v>
      </c>
      <c r="I3748" t="str">
        <f t="shared" si="77"/>
        <v>CINTAS CORPORATION #087</v>
      </c>
    </row>
    <row r="3749" spans="1:9" x14ac:dyDescent="0.25">
      <c r="E3749" s="7"/>
      <c r="F3749" t="s">
        <v>20</v>
      </c>
      <c r="G3749" t="s">
        <v>21</v>
      </c>
      <c r="H3749" t="str">
        <f>"4053122944"</f>
        <v>4053122944</v>
      </c>
      <c r="I3749" t="str">
        <f t="shared" si="77"/>
        <v>CINTAS CORPORATION #087</v>
      </c>
    </row>
    <row r="3750" spans="1:9" x14ac:dyDescent="0.25">
      <c r="E3750" s="7"/>
      <c r="F3750" t="s">
        <v>20</v>
      </c>
      <c r="G3750" t="s">
        <v>21</v>
      </c>
      <c r="H3750" t="str">
        <f>"4053122961"</f>
        <v>4053122961</v>
      </c>
      <c r="I3750" t="str">
        <f t="shared" si="77"/>
        <v>CINTAS CORPORATION #087</v>
      </c>
    </row>
    <row r="3751" spans="1:9" x14ac:dyDescent="0.25">
      <c r="E3751" s="7"/>
      <c r="F3751" t="s">
        <v>20</v>
      </c>
      <c r="G3751" t="s">
        <v>21</v>
      </c>
      <c r="H3751" t="str">
        <f>"4053123012"</f>
        <v>4053123012</v>
      </c>
      <c r="I3751" t="str">
        <f t="shared" si="77"/>
        <v>CINTAS CORPORATION #087</v>
      </c>
    </row>
    <row r="3752" spans="1:9" x14ac:dyDescent="0.25">
      <c r="E3752" s="7"/>
      <c r="F3752" t="s">
        <v>20</v>
      </c>
      <c r="G3752" t="s">
        <v>21</v>
      </c>
      <c r="H3752" t="str">
        <f>"4053123014"</f>
        <v>4053123014</v>
      </c>
      <c r="I3752" t="str">
        <f t="shared" si="77"/>
        <v>CINTAS CORPORATION #087</v>
      </c>
    </row>
    <row r="3753" spans="1:9" x14ac:dyDescent="0.25">
      <c r="A3753" s="6">
        <v>44013</v>
      </c>
      <c r="B3753" t="s">
        <v>26</v>
      </c>
      <c r="C3753">
        <v>64334</v>
      </c>
      <c r="D3753" t="s">
        <v>345</v>
      </c>
      <c r="E3753" s="7">
        <v>220</v>
      </c>
      <c r="F3753" t="s">
        <v>20</v>
      </c>
      <c r="G3753" t="s">
        <v>21</v>
      </c>
      <c r="H3753" t="str">
        <f>"6/29/2020"</f>
        <v>6/29/2020</v>
      </c>
      <c r="I3753" t="str">
        <f>"MICHAEL ISAAC MARTINEZ"</f>
        <v>MICHAEL ISAAC MARTINEZ</v>
      </c>
    </row>
    <row r="3754" spans="1:9" x14ac:dyDescent="0.25">
      <c r="A3754" s="6">
        <v>44013</v>
      </c>
      <c r="B3754" t="s">
        <v>26</v>
      </c>
      <c r="C3754">
        <v>64335</v>
      </c>
      <c r="D3754" t="s">
        <v>48</v>
      </c>
      <c r="E3754" s="7">
        <v>5094.25</v>
      </c>
      <c r="F3754" t="s">
        <v>20</v>
      </c>
      <c r="G3754" t="s">
        <v>21</v>
      </c>
      <c r="H3754" t="str">
        <f>"1815"</f>
        <v>1815</v>
      </c>
      <c r="I3754" t="str">
        <f>"RANDY HOLLAR  LLC"</f>
        <v>RANDY HOLLAR  LLC</v>
      </c>
    </row>
    <row r="3755" spans="1:9" x14ac:dyDescent="0.25">
      <c r="A3755" s="6">
        <v>44013</v>
      </c>
      <c r="B3755" t="s">
        <v>26</v>
      </c>
      <c r="C3755">
        <v>64336</v>
      </c>
      <c r="D3755" t="s">
        <v>609</v>
      </c>
      <c r="E3755" s="7">
        <v>691</v>
      </c>
      <c r="F3755" t="s">
        <v>20</v>
      </c>
      <c r="G3755" t="s">
        <v>21</v>
      </c>
      <c r="H3755" t="str">
        <f>"32088963"</f>
        <v>32088963</v>
      </c>
      <c r="I3755" t="str">
        <f>"GOLDEN WEST OIL COMPANY"</f>
        <v>GOLDEN WEST OIL COMPANY</v>
      </c>
    </row>
    <row r="3756" spans="1:9" x14ac:dyDescent="0.25">
      <c r="A3756" s="6">
        <v>44013</v>
      </c>
      <c r="B3756" t="s">
        <v>26</v>
      </c>
      <c r="C3756">
        <v>64337</v>
      </c>
      <c r="D3756" t="s">
        <v>646</v>
      </c>
      <c r="E3756" s="7">
        <v>1900</v>
      </c>
      <c r="F3756" t="s">
        <v>20</v>
      </c>
      <c r="G3756" t="s">
        <v>21</v>
      </c>
      <c r="H3756" t="str">
        <f>"0121821"</f>
        <v>0121821</v>
      </c>
      <c r="I3756" t="str">
        <f>"STEEL DOOR WINDOW W/ BARS"</f>
        <v>STEEL DOOR WINDOW W/ BARS</v>
      </c>
    </row>
    <row r="3757" spans="1:9" x14ac:dyDescent="0.25">
      <c r="A3757" s="6">
        <v>44013</v>
      </c>
      <c r="B3757" t="s">
        <v>26</v>
      </c>
      <c r="C3757">
        <v>64338</v>
      </c>
      <c r="D3757" t="s">
        <v>644</v>
      </c>
      <c r="E3757" s="7">
        <v>701.66</v>
      </c>
      <c r="F3757" t="s">
        <v>20</v>
      </c>
      <c r="G3757" t="s">
        <v>21</v>
      </c>
      <c r="H3757" t="str">
        <f>"8213475485"</f>
        <v>8213475485</v>
      </c>
      <c r="I3757" t="str">
        <f t="shared" ref="I3757:I3763" si="78">"UNIFIRST CORPORATION"</f>
        <v>UNIFIRST CORPORATION</v>
      </c>
    </row>
    <row r="3758" spans="1:9" x14ac:dyDescent="0.25">
      <c r="E3758" s="7"/>
      <c r="F3758" t="s">
        <v>20</v>
      </c>
      <c r="G3758" t="s">
        <v>21</v>
      </c>
      <c r="H3758" t="str">
        <f>"8213475486"</f>
        <v>8213475486</v>
      </c>
      <c r="I3758" t="str">
        <f t="shared" si="78"/>
        <v>UNIFIRST CORPORATION</v>
      </c>
    </row>
    <row r="3759" spans="1:9" x14ac:dyDescent="0.25">
      <c r="E3759" s="7"/>
      <c r="F3759" t="s">
        <v>20</v>
      </c>
      <c r="G3759" t="s">
        <v>21</v>
      </c>
      <c r="H3759" t="str">
        <f>"8213475487"</f>
        <v>8213475487</v>
      </c>
      <c r="I3759" t="str">
        <f t="shared" si="78"/>
        <v>UNIFIRST CORPORATION</v>
      </c>
    </row>
    <row r="3760" spans="1:9" x14ac:dyDescent="0.25">
      <c r="E3760" s="7"/>
      <c r="F3760" t="s">
        <v>20</v>
      </c>
      <c r="G3760" t="s">
        <v>21</v>
      </c>
      <c r="H3760" t="str">
        <f>"8213475488"</f>
        <v>8213475488</v>
      </c>
      <c r="I3760" t="str">
        <f t="shared" si="78"/>
        <v>UNIFIRST CORPORATION</v>
      </c>
    </row>
    <row r="3761" spans="1:9" x14ac:dyDescent="0.25">
      <c r="E3761" s="7"/>
      <c r="F3761" t="s">
        <v>20</v>
      </c>
      <c r="G3761" t="s">
        <v>21</v>
      </c>
      <c r="H3761" t="str">
        <f>"8213475489"</f>
        <v>8213475489</v>
      </c>
      <c r="I3761" t="str">
        <f t="shared" si="78"/>
        <v>UNIFIRST CORPORATION</v>
      </c>
    </row>
    <row r="3762" spans="1:9" x14ac:dyDescent="0.25">
      <c r="E3762" s="7"/>
      <c r="F3762" t="s">
        <v>20</v>
      </c>
      <c r="G3762" t="s">
        <v>21</v>
      </c>
      <c r="H3762" t="str">
        <f>"8213475490"</f>
        <v>8213475490</v>
      </c>
      <c r="I3762" t="str">
        <f t="shared" si="78"/>
        <v>UNIFIRST CORPORATION</v>
      </c>
    </row>
    <row r="3763" spans="1:9" x14ac:dyDescent="0.25">
      <c r="E3763" s="7"/>
      <c r="F3763" t="s">
        <v>20</v>
      </c>
      <c r="G3763" t="s">
        <v>21</v>
      </c>
      <c r="H3763" t="str">
        <f>"8213475491"</f>
        <v>8213475491</v>
      </c>
      <c r="I3763" t="str">
        <f t="shared" si="78"/>
        <v>UNIFIRST CORPORATION</v>
      </c>
    </row>
    <row r="3764" spans="1:9" x14ac:dyDescent="0.25">
      <c r="A3764" s="6">
        <v>44013</v>
      </c>
      <c r="B3764" t="s">
        <v>26</v>
      </c>
      <c r="C3764">
        <v>64340</v>
      </c>
      <c r="D3764" t="s">
        <v>930</v>
      </c>
      <c r="E3764" s="7">
        <v>449.2</v>
      </c>
      <c r="F3764" t="s">
        <v>20</v>
      </c>
      <c r="G3764" t="s">
        <v>21</v>
      </c>
      <c r="H3764" t="str">
        <f>"6/14-6/27/2020"</f>
        <v>6/14-6/27/2020</v>
      </c>
      <c r="I3764" t="str">
        <f>"SAVANNAH TORRES"</f>
        <v>SAVANNAH TORRES</v>
      </c>
    </row>
    <row r="3765" spans="1:9" x14ac:dyDescent="0.25">
      <c r="A3765" s="6">
        <v>44013</v>
      </c>
      <c r="B3765" t="s">
        <v>91</v>
      </c>
      <c r="C3765">
        <v>64341</v>
      </c>
      <c r="D3765" t="s">
        <v>940</v>
      </c>
      <c r="E3765" s="7">
        <v>770</v>
      </c>
      <c r="F3765" t="s">
        <v>20</v>
      </c>
      <c r="G3765" t="s">
        <v>21</v>
      </c>
      <c r="H3765" t="str">
        <f>"84721593004332"</f>
        <v>84721593004332</v>
      </c>
      <c r="I3765" t="str">
        <f>"ASST CHIEF   DET ORTIZ"</f>
        <v>ASST CHIEF   DET ORTIZ</v>
      </c>
    </row>
    <row r="3766" spans="1:9" x14ac:dyDescent="0.25">
      <c r="A3766" s="6">
        <v>44013</v>
      </c>
      <c r="B3766" t="s">
        <v>26</v>
      </c>
      <c r="C3766">
        <v>64342</v>
      </c>
      <c r="D3766" t="s">
        <v>910</v>
      </c>
      <c r="E3766" s="7">
        <v>399.75</v>
      </c>
      <c r="F3766" t="s">
        <v>20</v>
      </c>
      <c r="G3766" t="s">
        <v>21</v>
      </c>
      <c r="H3766" t="str">
        <f>"F13507"</f>
        <v>F13507</v>
      </c>
      <c r="I3766" t="str">
        <f>"BACK GLASS -97 CHEYENNE"</f>
        <v>BACK GLASS -97 CHEYENNE</v>
      </c>
    </row>
    <row r="3767" spans="1:9" x14ac:dyDescent="0.25">
      <c r="E3767" s="7"/>
      <c r="F3767" t="s">
        <v>20</v>
      </c>
      <c r="G3767" t="s">
        <v>21</v>
      </c>
      <c r="H3767" t="str">
        <f>"F13510"</f>
        <v>F13510</v>
      </c>
      <c r="I3767" t="str">
        <f>"EAST END GLASS COMPANY  INC."</f>
        <v>EAST END GLASS COMPANY  INC.</v>
      </c>
    </row>
    <row r="3768" spans="1:9" x14ac:dyDescent="0.25">
      <c r="A3768" s="6">
        <v>44013</v>
      </c>
      <c r="B3768" t="s">
        <v>26</v>
      </c>
      <c r="C3768">
        <v>64343</v>
      </c>
      <c r="D3768" t="s">
        <v>584</v>
      </c>
      <c r="E3768" s="7">
        <v>100</v>
      </c>
      <c r="F3768" t="s">
        <v>20</v>
      </c>
      <c r="G3768" t="s">
        <v>21</v>
      </c>
      <c r="H3768" t="str">
        <f>"6/2/2020"</f>
        <v>6/2/2020</v>
      </c>
      <c r="I3768" t="str">
        <f>"AMANDA SENDEJO"</f>
        <v>AMANDA SENDEJO</v>
      </c>
    </row>
    <row r="3769" spans="1:9" x14ac:dyDescent="0.25">
      <c r="A3769" s="6">
        <v>44013</v>
      </c>
      <c r="B3769" t="s">
        <v>91</v>
      </c>
      <c r="C3769">
        <v>64344</v>
      </c>
      <c r="D3769" t="s">
        <v>398</v>
      </c>
      <c r="E3769" s="7">
        <v>5400</v>
      </c>
      <c r="F3769" t="s">
        <v>20</v>
      </c>
      <c r="G3769" t="s">
        <v>21</v>
      </c>
      <c r="H3769" t="str">
        <f>"19-0318 FEB 2020*"</f>
        <v>19-0318 FEB 2020*</v>
      </c>
      <c r="I3769" t="str">
        <f>"INTERCEPTOR TECHNOLOGY GROUP L"</f>
        <v>INTERCEPTOR TECHNOLOGY GROUP L</v>
      </c>
    </row>
    <row r="3770" spans="1:9" x14ac:dyDescent="0.25">
      <c r="A3770" s="6">
        <v>44013</v>
      </c>
      <c r="B3770" t="s">
        <v>91</v>
      </c>
      <c r="C3770">
        <v>64344</v>
      </c>
      <c r="D3770" t="s">
        <v>398</v>
      </c>
      <c r="E3770" s="7">
        <v>5400</v>
      </c>
      <c r="F3770" t="s">
        <v>20</v>
      </c>
      <c r="G3770" t="s">
        <v>93</v>
      </c>
      <c r="H3770" t="str">
        <f>"CHECK"</f>
        <v>CHECK</v>
      </c>
      <c r="I3770" t="str">
        <f>""</f>
        <v/>
      </c>
    </row>
    <row r="3771" spans="1:9" x14ac:dyDescent="0.25">
      <c r="A3771" s="6">
        <v>44013</v>
      </c>
      <c r="B3771" t="s">
        <v>26</v>
      </c>
      <c r="C3771">
        <v>64345</v>
      </c>
      <c r="D3771" t="s">
        <v>696</v>
      </c>
      <c r="E3771" s="7">
        <v>100</v>
      </c>
      <c r="F3771" t="s">
        <v>20</v>
      </c>
      <c r="G3771" t="s">
        <v>21</v>
      </c>
      <c r="H3771" t="str">
        <f>"06/28/2020"</f>
        <v>06/28/2020</v>
      </c>
      <c r="I3771" t="str">
        <f>"ANGEL G. ROSAS"</f>
        <v>ANGEL G. ROSAS</v>
      </c>
    </row>
    <row r="3772" spans="1:9" x14ac:dyDescent="0.25">
      <c r="A3772" s="6">
        <v>44013</v>
      </c>
      <c r="B3772" t="s">
        <v>26</v>
      </c>
      <c r="C3772">
        <v>64346</v>
      </c>
      <c r="D3772" t="s">
        <v>125</v>
      </c>
      <c r="E3772" s="7">
        <v>5400</v>
      </c>
      <c r="F3772" t="s">
        <v>20</v>
      </c>
      <c r="G3772" t="s">
        <v>21</v>
      </c>
      <c r="H3772" t="str">
        <f>"19-0318 FEB.2020"</f>
        <v>19-0318 FEB.2020</v>
      </c>
      <c r="I3772" t="str">
        <f>"INTREPID SURVEYING CORPORATION"</f>
        <v>INTREPID SURVEYING CORPORATION</v>
      </c>
    </row>
    <row r="3773" spans="1:9" x14ac:dyDescent="0.25">
      <c r="A3773" s="6">
        <v>44014</v>
      </c>
      <c r="B3773" t="s">
        <v>26</v>
      </c>
      <c r="C3773">
        <v>64347</v>
      </c>
      <c r="D3773" t="s">
        <v>637</v>
      </c>
      <c r="E3773" s="7">
        <v>75</v>
      </c>
      <c r="F3773" t="s">
        <v>20</v>
      </c>
      <c r="G3773" t="s">
        <v>21</v>
      </c>
      <c r="H3773" t="str">
        <f t="shared" ref="H3773:H3778" si="79">"JULY 2020"</f>
        <v>JULY 2020</v>
      </c>
      <c r="I3773" t="str">
        <f>"GLORIA MARTINEZ"</f>
        <v>GLORIA MARTINEZ</v>
      </c>
    </row>
    <row r="3774" spans="1:9" x14ac:dyDescent="0.25">
      <c r="A3774" s="6">
        <v>44014</v>
      </c>
      <c r="B3774" t="s">
        <v>26</v>
      </c>
      <c r="C3774">
        <v>64348</v>
      </c>
      <c r="D3774" t="s">
        <v>223</v>
      </c>
      <c r="E3774" s="7">
        <v>75</v>
      </c>
      <c r="F3774" t="s">
        <v>20</v>
      </c>
      <c r="G3774" t="s">
        <v>21</v>
      </c>
      <c r="H3774" t="str">
        <f t="shared" si="79"/>
        <v>JULY 2020</v>
      </c>
      <c r="I3774" t="str">
        <f>"JUAN ORTIZ"</f>
        <v>JUAN ORTIZ</v>
      </c>
    </row>
    <row r="3775" spans="1:9" x14ac:dyDescent="0.25">
      <c r="A3775" s="6">
        <v>44014</v>
      </c>
      <c r="B3775" t="s">
        <v>26</v>
      </c>
      <c r="C3775">
        <v>64349</v>
      </c>
      <c r="D3775" t="s">
        <v>36</v>
      </c>
      <c r="E3775" s="7">
        <v>75</v>
      </c>
      <c r="F3775" t="s">
        <v>20</v>
      </c>
      <c r="G3775" t="s">
        <v>21</v>
      </c>
      <c r="H3775" t="str">
        <f t="shared" si="79"/>
        <v>JULY 2020</v>
      </c>
      <c r="I3775" t="str">
        <f>"GLORIA M. CANTU"</f>
        <v>GLORIA M. CANTU</v>
      </c>
    </row>
    <row r="3776" spans="1:9" x14ac:dyDescent="0.25">
      <c r="A3776" s="6">
        <v>44014</v>
      </c>
      <c r="B3776" t="s">
        <v>26</v>
      </c>
      <c r="C3776">
        <v>64350</v>
      </c>
      <c r="D3776" t="s">
        <v>38</v>
      </c>
      <c r="E3776" s="7">
        <v>100</v>
      </c>
      <c r="F3776" t="s">
        <v>20</v>
      </c>
      <c r="G3776" t="s">
        <v>21</v>
      </c>
      <c r="H3776" t="str">
        <f t="shared" si="79"/>
        <v>JULY 2020</v>
      </c>
      <c r="I3776" t="str">
        <f>"CECELIA GONZALEZ-DIPPEL"</f>
        <v>CECELIA GONZALEZ-DIPPEL</v>
      </c>
    </row>
    <row r="3777" spans="1:9" x14ac:dyDescent="0.25">
      <c r="A3777" s="6">
        <v>44014</v>
      </c>
      <c r="B3777" t="s">
        <v>26</v>
      </c>
      <c r="C3777">
        <v>64351</v>
      </c>
      <c r="D3777" t="s">
        <v>558</v>
      </c>
      <c r="E3777" s="7">
        <v>75</v>
      </c>
      <c r="F3777" t="s">
        <v>20</v>
      </c>
      <c r="G3777" t="s">
        <v>21</v>
      </c>
      <c r="H3777" t="str">
        <f t="shared" si="79"/>
        <v>JULY 2020</v>
      </c>
      <c r="I3777" t="str">
        <f>"MARISSA XIMENEZ"</f>
        <v>MARISSA XIMENEZ</v>
      </c>
    </row>
    <row r="3778" spans="1:9" x14ac:dyDescent="0.25">
      <c r="A3778" s="6">
        <v>44014</v>
      </c>
      <c r="B3778" t="s">
        <v>26</v>
      </c>
      <c r="C3778">
        <v>64352</v>
      </c>
      <c r="D3778" t="s">
        <v>889</v>
      </c>
      <c r="E3778" s="7">
        <v>75</v>
      </c>
      <c r="F3778" t="s">
        <v>20</v>
      </c>
      <c r="G3778" t="s">
        <v>21</v>
      </c>
      <c r="H3778" t="str">
        <f t="shared" si="79"/>
        <v>JULY 2020</v>
      </c>
      <c r="I3778" t="str">
        <f>"JADE JIMENEZ"</f>
        <v>JADE JIMENEZ</v>
      </c>
    </row>
    <row r="3779" spans="1:9" x14ac:dyDescent="0.25">
      <c r="A3779" s="6">
        <v>44014</v>
      </c>
      <c r="B3779" t="s">
        <v>26</v>
      </c>
      <c r="C3779">
        <v>64353</v>
      </c>
      <c r="D3779" t="s">
        <v>941</v>
      </c>
      <c r="E3779" s="7">
        <v>22767.3</v>
      </c>
      <c r="F3779" t="s">
        <v>20</v>
      </c>
      <c r="G3779" t="s">
        <v>21</v>
      </c>
      <c r="H3779" t="str">
        <f>"1ST HALF PAYOUT"</f>
        <v>1ST HALF PAYOUT</v>
      </c>
      <c r="I3779" t="str">
        <f>"OUTFACING KIOSK -COVID"</f>
        <v>OUTFACING KIOSK -COVID</v>
      </c>
    </row>
    <row r="3780" spans="1:9" x14ac:dyDescent="0.25">
      <c r="A3780" s="6">
        <v>44020</v>
      </c>
      <c r="B3780" t="s">
        <v>91</v>
      </c>
      <c r="C3780">
        <v>64354</v>
      </c>
      <c r="D3780" t="s">
        <v>90</v>
      </c>
      <c r="E3780" s="7">
        <v>1942.91</v>
      </c>
      <c r="F3780" t="s">
        <v>20</v>
      </c>
      <c r="G3780" t="s">
        <v>21</v>
      </c>
      <c r="H3780" t="str">
        <f>"ACA202006168575"</f>
        <v>ACA202006168575</v>
      </c>
      <c r="I3780" t="str">
        <f>"AFLAC INSURANCE"</f>
        <v>AFLAC INSURANCE</v>
      </c>
    </row>
    <row r="3781" spans="1:9" x14ac:dyDescent="0.25">
      <c r="E3781" s="7"/>
      <c r="F3781" t="s">
        <v>20</v>
      </c>
      <c r="G3781" t="s">
        <v>21</v>
      </c>
      <c r="H3781" t="str">
        <f>"ACA202006308577"</f>
        <v>ACA202006308577</v>
      </c>
      <c r="I3781" t="str">
        <f>"AFLAC INSURANCE"</f>
        <v>AFLAC INSURANCE</v>
      </c>
    </row>
    <row r="3782" spans="1:9" x14ac:dyDescent="0.25">
      <c r="E3782" s="7"/>
      <c r="F3782" t="s">
        <v>20</v>
      </c>
      <c r="G3782" t="s">
        <v>21</v>
      </c>
      <c r="H3782" t="str">
        <f>"AD2202006168575"</f>
        <v>AD2202006168575</v>
      </c>
      <c r="I3782" t="str">
        <f>"AFLAC INSURANCE"</f>
        <v>AFLAC INSURANCE</v>
      </c>
    </row>
    <row r="3783" spans="1:9" x14ac:dyDescent="0.25">
      <c r="E3783" s="7"/>
      <c r="F3783" t="s">
        <v>20</v>
      </c>
      <c r="G3783" t="s">
        <v>21</v>
      </c>
      <c r="H3783" t="str">
        <f>"AD2202006308577"</f>
        <v>AD2202006308577</v>
      </c>
      <c r="I3783" t="str">
        <f>"AFLAC INSURANCE"</f>
        <v>AFLAC INSURANCE</v>
      </c>
    </row>
    <row r="3784" spans="1:9" x14ac:dyDescent="0.25">
      <c r="E3784" s="7"/>
      <c r="F3784" t="s">
        <v>20</v>
      </c>
      <c r="G3784" t="s">
        <v>21</v>
      </c>
      <c r="H3784" t="str">
        <f>"ADR202006168575"</f>
        <v>ADR202006168575</v>
      </c>
      <c r="I3784" t="str">
        <f>"INSURANCE"</f>
        <v>INSURANCE</v>
      </c>
    </row>
    <row r="3785" spans="1:9" x14ac:dyDescent="0.25">
      <c r="E3785" s="7"/>
      <c r="F3785" t="s">
        <v>20</v>
      </c>
      <c r="G3785" t="s">
        <v>21</v>
      </c>
      <c r="H3785" t="str">
        <f>"ADR202006308577"</f>
        <v>ADR202006308577</v>
      </c>
      <c r="I3785" t="str">
        <f>"INSURANCE"</f>
        <v>INSURANCE</v>
      </c>
    </row>
    <row r="3786" spans="1:9" x14ac:dyDescent="0.25">
      <c r="E3786" s="7"/>
      <c r="F3786" t="s">
        <v>20</v>
      </c>
      <c r="G3786" t="s">
        <v>21</v>
      </c>
      <c r="H3786" t="str">
        <f>"AF1202006028573"</f>
        <v>AF1202006028573</v>
      </c>
      <c r="I3786" t="str">
        <f t="shared" ref="I3786:I3792" si="80">"AFLAC INSURANCE"</f>
        <v>AFLAC INSURANCE</v>
      </c>
    </row>
    <row r="3787" spans="1:9" x14ac:dyDescent="0.25">
      <c r="E3787" s="7"/>
      <c r="F3787" t="s">
        <v>20</v>
      </c>
      <c r="G3787" t="s">
        <v>21</v>
      </c>
      <c r="H3787" t="str">
        <f>"AF1202006168575"</f>
        <v>AF1202006168575</v>
      </c>
      <c r="I3787" t="str">
        <f t="shared" si="80"/>
        <v>AFLAC INSURANCE</v>
      </c>
    </row>
    <row r="3788" spans="1:9" x14ac:dyDescent="0.25">
      <c r="E3788" s="7"/>
      <c r="F3788" t="s">
        <v>20</v>
      </c>
      <c r="G3788" t="s">
        <v>21</v>
      </c>
      <c r="H3788" t="str">
        <f>"AF1202006308577"</f>
        <v>AF1202006308577</v>
      </c>
      <c r="I3788" t="str">
        <f t="shared" si="80"/>
        <v>AFLAC INSURANCE</v>
      </c>
    </row>
    <row r="3789" spans="1:9" x14ac:dyDescent="0.25">
      <c r="E3789" s="7"/>
      <c r="F3789" t="s">
        <v>20</v>
      </c>
      <c r="G3789" t="s">
        <v>21</v>
      </c>
      <c r="H3789" t="str">
        <f>"ASP202006168575"</f>
        <v>ASP202006168575</v>
      </c>
      <c r="I3789" t="str">
        <f t="shared" si="80"/>
        <v>AFLAC INSURANCE</v>
      </c>
    </row>
    <row r="3790" spans="1:9" x14ac:dyDescent="0.25">
      <c r="E3790" s="7"/>
      <c r="F3790" t="s">
        <v>20</v>
      </c>
      <c r="G3790" t="s">
        <v>21</v>
      </c>
      <c r="H3790" t="str">
        <f>"ASP202006308577"</f>
        <v>ASP202006308577</v>
      </c>
      <c r="I3790" t="str">
        <f t="shared" si="80"/>
        <v>AFLAC INSURANCE</v>
      </c>
    </row>
    <row r="3791" spans="1:9" x14ac:dyDescent="0.25">
      <c r="E3791" s="7"/>
      <c r="F3791" t="s">
        <v>20</v>
      </c>
      <c r="G3791" t="s">
        <v>21</v>
      </c>
      <c r="H3791" t="str">
        <f>"HCO202006168575"</f>
        <v>HCO202006168575</v>
      </c>
      <c r="I3791" t="str">
        <f t="shared" si="80"/>
        <v>AFLAC INSURANCE</v>
      </c>
    </row>
    <row r="3792" spans="1:9" x14ac:dyDescent="0.25">
      <c r="E3792" s="7"/>
      <c r="F3792" t="s">
        <v>20</v>
      </c>
      <c r="G3792" t="s">
        <v>21</v>
      </c>
      <c r="H3792" t="str">
        <f>"HCO202006308577"</f>
        <v>HCO202006308577</v>
      </c>
      <c r="I3792" t="str">
        <f t="shared" si="80"/>
        <v>AFLAC INSURANCE</v>
      </c>
    </row>
    <row r="3793" spans="1:9" x14ac:dyDescent="0.25">
      <c r="A3793" s="6">
        <v>44020</v>
      </c>
      <c r="B3793" t="s">
        <v>91</v>
      </c>
      <c r="C3793">
        <v>64354</v>
      </c>
      <c r="D3793" t="s">
        <v>90</v>
      </c>
      <c r="E3793" s="7">
        <v>1942.91</v>
      </c>
      <c r="F3793" t="s">
        <v>20</v>
      </c>
      <c r="G3793" t="s">
        <v>93</v>
      </c>
      <c r="H3793" t="str">
        <f>"CHECK"</f>
        <v>CHECK</v>
      </c>
      <c r="I3793" t="str">
        <f>""</f>
        <v/>
      </c>
    </row>
    <row r="3794" spans="1:9" x14ac:dyDescent="0.25">
      <c r="A3794" s="6">
        <v>44020</v>
      </c>
      <c r="B3794" t="s">
        <v>26</v>
      </c>
      <c r="C3794">
        <v>64359</v>
      </c>
      <c r="D3794" t="s">
        <v>83</v>
      </c>
      <c r="E3794" s="7">
        <v>1044</v>
      </c>
      <c r="F3794" t="s">
        <v>20</v>
      </c>
      <c r="G3794" t="s">
        <v>21</v>
      </c>
      <c r="H3794" t="str">
        <f>"1208928"</f>
        <v>1208928</v>
      </c>
      <c r="I3794" t="str">
        <f>"APPRIVER"</f>
        <v>APPRIVER</v>
      </c>
    </row>
    <row r="3795" spans="1:9" x14ac:dyDescent="0.25">
      <c r="A3795" s="6">
        <v>44020</v>
      </c>
      <c r="B3795" t="s">
        <v>91</v>
      </c>
      <c r="C3795">
        <v>64360</v>
      </c>
      <c r="D3795" t="s">
        <v>189</v>
      </c>
      <c r="E3795" s="7">
        <v>2449.46</v>
      </c>
      <c r="F3795" t="s">
        <v>20</v>
      </c>
      <c r="G3795" t="s">
        <v>21</v>
      </c>
      <c r="H3795" t="str">
        <f>"12883-5"</f>
        <v>12883-5</v>
      </c>
      <c r="I3795" t="str">
        <f>"ASCO"</f>
        <v>ASCO</v>
      </c>
    </row>
    <row r="3796" spans="1:9" x14ac:dyDescent="0.25">
      <c r="A3796" s="6">
        <v>44020</v>
      </c>
      <c r="B3796" t="s">
        <v>91</v>
      </c>
      <c r="C3796">
        <v>64361</v>
      </c>
      <c r="D3796" t="s">
        <v>81</v>
      </c>
      <c r="E3796" s="7">
        <v>815.75</v>
      </c>
      <c r="F3796" t="s">
        <v>20</v>
      </c>
      <c r="G3796" t="s">
        <v>21</v>
      </c>
      <c r="H3796" t="str">
        <f>"2162691 JUNE2020"</f>
        <v>2162691 JUNE2020</v>
      </c>
      <c r="I3796" t="str">
        <f>"CITY OF FLORESVILLE -PETTY CAS"</f>
        <v>CITY OF FLORESVILLE -PETTY CAS</v>
      </c>
    </row>
    <row r="3797" spans="1:9" x14ac:dyDescent="0.25">
      <c r="E3797" s="7"/>
      <c r="F3797" t="s">
        <v>20</v>
      </c>
      <c r="G3797" t="s">
        <v>21</v>
      </c>
      <c r="H3797" t="str">
        <f>"3933718 MAY2020"</f>
        <v>3933718 MAY2020</v>
      </c>
      <c r="I3797" t="str">
        <f>"CITY OF FLORESVILLE -PETTY CAS"</f>
        <v>CITY OF FLORESVILLE -PETTY CAS</v>
      </c>
    </row>
    <row r="3798" spans="1:9" x14ac:dyDescent="0.25">
      <c r="E3798" s="7"/>
      <c r="F3798" t="s">
        <v>20</v>
      </c>
      <c r="G3798" t="s">
        <v>21</v>
      </c>
      <c r="H3798" t="str">
        <f>"8301970045 MAY2020"</f>
        <v>8301970045 MAY2020</v>
      </c>
      <c r="I3798" t="str">
        <f>"CITY OF FLORESVILLE -PETTY CAS"</f>
        <v>CITY OF FLORESVILLE -PETTY CAS</v>
      </c>
    </row>
    <row r="3799" spans="1:9" x14ac:dyDescent="0.25">
      <c r="E3799" s="7"/>
      <c r="F3799" t="s">
        <v>20</v>
      </c>
      <c r="G3799" t="s">
        <v>21</v>
      </c>
      <c r="H3799" t="str">
        <f>"A.MONTOYA 7/8/2020"</f>
        <v>A.MONTOYA 7/8/2020</v>
      </c>
      <c r="I3799" t="str">
        <f>"CITY OF FLORESVILLE -PETTY CAS"</f>
        <v>CITY OF FLORESVILLE -PETTY CAS</v>
      </c>
    </row>
    <row r="3800" spans="1:9" x14ac:dyDescent="0.25">
      <c r="A3800" s="6">
        <v>44020</v>
      </c>
      <c r="B3800" t="s">
        <v>91</v>
      </c>
      <c r="C3800">
        <v>64361</v>
      </c>
      <c r="D3800" t="s">
        <v>81</v>
      </c>
      <c r="E3800" s="7">
        <v>815.75</v>
      </c>
      <c r="F3800" t="s">
        <v>20</v>
      </c>
      <c r="G3800" t="s">
        <v>93</v>
      </c>
      <c r="H3800" t="str">
        <f>"CHECK"</f>
        <v>CHECK</v>
      </c>
      <c r="I3800" t="str">
        <f>""</f>
        <v/>
      </c>
    </row>
    <row r="3801" spans="1:9" x14ac:dyDescent="0.25">
      <c r="A3801" s="6">
        <v>44020</v>
      </c>
      <c r="B3801" t="s">
        <v>26</v>
      </c>
      <c r="C3801">
        <v>64363</v>
      </c>
      <c r="D3801" t="s">
        <v>366</v>
      </c>
      <c r="E3801" s="7">
        <v>5764.17</v>
      </c>
      <c r="F3801" t="s">
        <v>20</v>
      </c>
      <c r="G3801" t="s">
        <v>21</v>
      </c>
      <c r="H3801" t="str">
        <f>"QRT END 6/30/2020"</f>
        <v>QRT END 6/30/2020</v>
      </c>
      <c r="I3801" t="str">
        <f>"COMPTROLLER OF PUBLIC ACCOUNTS"</f>
        <v>COMPTROLLER OF PUBLIC ACCOUNTS</v>
      </c>
    </row>
    <row r="3802" spans="1:9" x14ac:dyDescent="0.25">
      <c r="A3802" s="6">
        <v>44020</v>
      </c>
      <c r="B3802" t="s">
        <v>26</v>
      </c>
      <c r="C3802">
        <v>64364</v>
      </c>
      <c r="D3802" t="s">
        <v>884</v>
      </c>
      <c r="E3802" s="7">
        <v>111</v>
      </c>
      <c r="F3802" t="s">
        <v>20</v>
      </c>
      <c r="G3802" t="s">
        <v>21</v>
      </c>
      <c r="H3802" t="str">
        <f>"TCEQ TEST 6/30/20"</f>
        <v>TCEQ TEST 6/30/20</v>
      </c>
      <c r="I3802" t="str">
        <f>"DAVID PAINTER"</f>
        <v>DAVID PAINTER</v>
      </c>
    </row>
    <row r="3803" spans="1:9" x14ac:dyDescent="0.25">
      <c r="A3803" s="6">
        <v>44020</v>
      </c>
      <c r="B3803" t="s">
        <v>91</v>
      </c>
      <c r="C3803">
        <v>64365</v>
      </c>
      <c r="D3803" t="s">
        <v>98</v>
      </c>
      <c r="E3803" s="7">
        <v>9660.39</v>
      </c>
      <c r="F3803" t="s">
        <v>20</v>
      </c>
      <c r="G3803" t="s">
        <v>21</v>
      </c>
      <c r="H3803" t="str">
        <f>"LIF202005058571"</f>
        <v>LIF202005058571</v>
      </c>
      <c r="I3803" t="str">
        <f>"INSURANCE"</f>
        <v>INSURANCE</v>
      </c>
    </row>
    <row r="3804" spans="1:9" x14ac:dyDescent="0.25">
      <c r="E3804" s="7"/>
      <c r="F3804" t="s">
        <v>20</v>
      </c>
      <c r="G3804" t="s">
        <v>21</v>
      </c>
      <c r="H3804" t="str">
        <f>"LIF202005198572"</f>
        <v>LIF202005198572</v>
      </c>
      <c r="I3804" t="str">
        <f>"INSURANCE"</f>
        <v>INSURANCE</v>
      </c>
    </row>
    <row r="3805" spans="1:9" x14ac:dyDescent="0.25">
      <c r="E3805" s="7"/>
      <c r="F3805" t="s">
        <v>20</v>
      </c>
      <c r="G3805" t="s">
        <v>21</v>
      </c>
      <c r="H3805" t="str">
        <f>"LIF202006028573"</f>
        <v>LIF202006028573</v>
      </c>
      <c r="I3805" t="str">
        <f>"INSURANCE"</f>
        <v>INSURANCE</v>
      </c>
    </row>
    <row r="3806" spans="1:9" x14ac:dyDescent="0.25">
      <c r="E3806" s="7"/>
      <c r="F3806" t="s">
        <v>20</v>
      </c>
      <c r="G3806" t="s">
        <v>21</v>
      </c>
      <c r="H3806" t="str">
        <f>"LIF202006168575"</f>
        <v>LIF202006168575</v>
      </c>
      <c r="I3806" t="str">
        <f>"INSURANCE"</f>
        <v>INSURANCE</v>
      </c>
    </row>
    <row r="3807" spans="1:9" x14ac:dyDescent="0.25">
      <c r="E3807" s="7"/>
      <c r="F3807" t="s">
        <v>20</v>
      </c>
      <c r="G3807" t="s">
        <v>21</v>
      </c>
      <c r="H3807" t="str">
        <f>"LIF202006308577"</f>
        <v>LIF202006308577</v>
      </c>
      <c r="I3807" t="str">
        <f>"INSURANCE"</f>
        <v>INSURANCE</v>
      </c>
    </row>
    <row r="3808" spans="1:9" x14ac:dyDescent="0.25">
      <c r="E3808" s="7"/>
      <c r="F3808" t="s">
        <v>20</v>
      </c>
      <c r="G3808" t="s">
        <v>21</v>
      </c>
      <c r="H3808" t="str">
        <f>"STD202005058571"</f>
        <v>STD202005058571</v>
      </c>
      <c r="I3808" t="str">
        <f>"SHORT TERM DISABILITY"</f>
        <v>SHORT TERM DISABILITY</v>
      </c>
    </row>
    <row r="3809" spans="5:9" x14ac:dyDescent="0.25">
      <c r="E3809" s="7"/>
      <c r="F3809" t="s">
        <v>20</v>
      </c>
      <c r="G3809" t="s">
        <v>21</v>
      </c>
      <c r="H3809" t="str">
        <f>"STD202005198572"</f>
        <v>STD202005198572</v>
      </c>
      <c r="I3809" t="str">
        <f>"SHORT TERM DISABILITY"</f>
        <v>SHORT TERM DISABILITY</v>
      </c>
    </row>
    <row r="3810" spans="5:9" x14ac:dyDescent="0.25">
      <c r="E3810" s="7"/>
      <c r="F3810" t="s">
        <v>20</v>
      </c>
      <c r="G3810" t="s">
        <v>21</v>
      </c>
      <c r="H3810" t="str">
        <f>"STD202006028573"</f>
        <v>STD202006028573</v>
      </c>
      <c r="I3810" t="str">
        <f>"SHORT TERM DISABILITY"</f>
        <v>SHORT TERM DISABILITY</v>
      </c>
    </row>
    <row r="3811" spans="5:9" x14ac:dyDescent="0.25">
      <c r="E3811" s="7"/>
      <c r="F3811" t="s">
        <v>20</v>
      </c>
      <c r="G3811" t="s">
        <v>21</v>
      </c>
      <c r="H3811" t="str">
        <f>"STD202006168575"</f>
        <v>STD202006168575</v>
      </c>
      <c r="I3811" t="str">
        <f>"SHORT TERM DISABILITY"</f>
        <v>SHORT TERM DISABILITY</v>
      </c>
    </row>
    <row r="3812" spans="5:9" x14ac:dyDescent="0.25">
      <c r="E3812" s="7"/>
      <c r="F3812" t="s">
        <v>20</v>
      </c>
      <c r="G3812" t="s">
        <v>21</v>
      </c>
      <c r="H3812" t="str">
        <f>"STD202006308577"</f>
        <v>STD202006308577</v>
      </c>
      <c r="I3812" t="str">
        <f>"SHORT TERM DISABILITY"</f>
        <v>SHORT TERM DISABILITY</v>
      </c>
    </row>
    <row r="3813" spans="5:9" x14ac:dyDescent="0.25">
      <c r="E3813" s="7"/>
      <c r="F3813" t="s">
        <v>20</v>
      </c>
      <c r="G3813" t="s">
        <v>21</v>
      </c>
      <c r="H3813" t="str">
        <f>"VIS202005058571"</f>
        <v>VIS202005058571</v>
      </c>
      <c r="I3813" t="str">
        <f>"VISION INSURANCE"</f>
        <v>VISION INSURANCE</v>
      </c>
    </row>
    <row r="3814" spans="5:9" x14ac:dyDescent="0.25">
      <c r="E3814" s="7"/>
      <c r="F3814" t="s">
        <v>20</v>
      </c>
      <c r="G3814" t="s">
        <v>21</v>
      </c>
      <c r="H3814" t="str">
        <f>"VIS202005198572"</f>
        <v>VIS202005198572</v>
      </c>
      <c r="I3814" t="str">
        <f>"VISION INSURANCE"</f>
        <v>VISION INSURANCE</v>
      </c>
    </row>
    <row r="3815" spans="5:9" x14ac:dyDescent="0.25">
      <c r="E3815" s="7"/>
      <c r="F3815" t="s">
        <v>20</v>
      </c>
      <c r="G3815" t="s">
        <v>21</v>
      </c>
      <c r="H3815" t="str">
        <f>"VIS202006028573"</f>
        <v>VIS202006028573</v>
      </c>
      <c r="I3815" t="str">
        <f>"VISION INSURANCE"</f>
        <v>VISION INSURANCE</v>
      </c>
    </row>
    <row r="3816" spans="5:9" x14ac:dyDescent="0.25">
      <c r="E3816" s="7"/>
      <c r="F3816" t="s">
        <v>20</v>
      </c>
      <c r="G3816" t="s">
        <v>21</v>
      </c>
      <c r="H3816" t="str">
        <f>"VIS202006168575"</f>
        <v>VIS202006168575</v>
      </c>
      <c r="I3816" t="str">
        <f>"VISION INSURANCE"</f>
        <v>VISION INSURANCE</v>
      </c>
    </row>
    <row r="3817" spans="5:9" x14ac:dyDescent="0.25">
      <c r="E3817" s="7"/>
      <c r="F3817" t="s">
        <v>20</v>
      </c>
      <c r="G3817" t="s">
        <v>21</v>
      </c>
      <c r="H3817" t="str">
        <f>"VIS202006308577"</f>
        <v>VIS202006308577</v>
      </c>
      <c r="I3817" t="str">
        <f>"VISION INSURANCE"</f>
        <v>VISION INSURANCE</v>
      </c>
    </row>
    <row r="3818" spans="5:9" x14ac:dyDescent="0.25">
      <c r="E3818" s="7"/>
      <c r="F3818" t="s">
        <v>20</v>
      </c>
      <c r="G3818" t="s">
        <v>21</v>
      </c>
      <c r="H3818" t="str">
        <f>"VLC202005058571"</f>
        <v>VLC202005058571</v>
      </c>
      <c r="I3818" t="str">
        <f>"CHILD LIFE INSURANCE"</f>
        <v>CHILD LIFE INSURANCE</v>
      </c>
    </row>
    <row r="3819" spans="5:9" x14ac:dyDescent="0.25">
      <c r="E3819" s="7"/>
      <c r="F3819" t="s">
        <v>20</v>
      </c>
      <c r="G3819" t="s">
        <v>21</v>
      </c>
      <c r="H3819" t="str">
        <f>"VLC202005198572"</f>
        <v>VLC202005198572</v>
      </c>
      <c r="I3819" t="str">
        <f>"CHILD LIFE INSURANCE"</f>
        <v>CHILD LIFE INSURANCE</v>
      </c>
    </row>
    <row r="3820" spans="5:9" x14ac:dyDescent="0.25">
      <c r="E3820" s="7"/>
      <c r="F3820" t="s">
        <v>20</v>
      </c>
      <c r="G3820" t="s">
        <v>21</v>
      </c>
      <c r="H3820" t="str">
        <f>"VLC202006028573"</f>
        <v>VLC202006028573</v>
      </c>
      <c r="I3820" t="str">
        <f>"CHILD LIFE INSURANCE"</f>
        <v>CHILD LIFE INSURANCE</v>
      </c>
    </row>
    <row r="3821" spans="5:9" x14ac:dyDescent="0.25">
      <c r="E3821" s="7"/>
      <c r="F3821" t="s">
        <v>20</v>
      </c>
      <c r="G3821" t="s">
        <v>21</v>
      </c>
      <c r="H3821" t="str">
        <f>"VLC202006168575"</f>
        <v>VLC202006168575</v>
      </c>
      <c r="I3821" t="str">
        <f>"CHILD LIFE INSURANCE"</f>
        <v>CHILD LIFE INSURANCE</v>
      </c>
    </row>
    <row r="3822" spans="5:9" x14ac:dyDescent="0.25">
      <c r="E3822" s="7"/>
      <c r="F3822" t="s">
        <v>20</v>
      </c>
      <c r="G3822" t="s">
        <v>21</v>
      </c>
      <c r="H3822" t="str">
        <f>"VLC202006308577"</f>
        <v>VLC202006308577</v>
      </c>
      <c r="I3822" t="str">
        <f>"CHILD LIFE INSURANCE"</f>
        <v>CHILD LIFE INSURANCE</v>
      </c>
    </row>
    <row r="3823" spans="5:9" x14ac:dyDescent="0.25">
      <c r="E3823" s="7"/>
      <c r="F3823" t="s">
        <v>20</v>
      </c>
      <c r="G3823" t="s">
        <v>21</v>
      </c>
      <c r="H3823" t="str">
        <f>"VLS202005058571"</f>
        <v>VLS202005058571</v>
      </c>
      <c r="I3823" t="str">
        <f>"SPOUSE LIFE"</f>
        <v>SPOUSE LIFE</v>
      </c>
    </row>
    <row r="3824" spans="5:9" x14ac:dyDescent="0.25">
      <c r="E3824" s="7"/>
      <c r="F3824" t="s">
        <v>20</v>
      </c>
      <c r="G3824" t="s">
        <v>21</v>
      </c>
      <c r="H3824" t="str">
        <f>"VLS202005198572"</f>
        <v>VLS202005198572</v>
      </c>
      <c r="I3824" t="str">
        <f>"SPOUSE LIFE"</f>
        <v>SPOUSE LIFE</v>
      </c>
    </row>
    <row r="3825" spans="1:9" x14ac:dyDescent="0.25">
      <c r="E3825" s="7"/>
      <c r="F3825" t="s">
        <v>20</v>
      </c>
      <c r="G3825" t="s">
        <v>21</v>
      </c>
      <c r="H3825" t="str">
        <f>"VLS202006028573"</f>
        <v>VLS202006028573</v>
      </c>
      <c r="I3825" t="str">
        <f>"SPOUSE LIFE"</f>
        <v>SPOUSE LIFE</v>
      </c>
    </row>
    <row r="3826" spans="1:9" x14ac:dyDescent="0.25">
      <c r="E3826" s="7"/>
      <c r="F3826" t="s">
        <v>20</v>
      </c>
      <c r="G3826" t="s">
        <v>21</v>
      </c>
      <c r="H3826" t="str">
        <f>"VLS202006168575"</f>
        <v>VLS202006168575</v>
      </c>
      <c r="I3826" t="str">
        <f>"SPOUSE LIFE"</f>
        <v>SPOUSE LIFE</v>
      </c>
    </row>
    <row r="3827" spans="1:9" x14ac:dyDescent="0.25">
      <c r="E3827" s="7"/>
      <c r="F3827" t="s">
        <v>20</v>
      </c>
      <c r="G3827" t="s">
        <v>21</v>
      </c>
      <c r="H3827" t="str">
        <f>"VLS202006308577"</f>
        <v>VLS202006308577</v>
      </c>
      <c r="I3827" t="str">
        <f>"SPOUSE LIFE"</f>
        <v>SPOUSE LIFE</v>
      </c>
    </row>
    <row r="3828" spans="1:9" x14ac:dyDescent="0.25">
      <c r="E3828" s="7"/>
      <c r="F3828" t="s">
        <v>20</v>
      </c>
      <c r="G3828" t="s">
        <v>21</v>
      </c>
      <c r="H3828" t="str">
        <f>"VOE202005058571"</f>
        <v>VOE202005058571</v>
      </c>
      <c r="I3828" t="str">
        <f>"EMPLOYEE LIFE"</f>
        <v>EMPLOYEE LIFE</v>
      </c>
    </row>
    <row r="3829" spans="1:9" x14ac:dyDescent="0.25">
      <c r="E3829" s="7"/>
      <c r="F3829" t="s">
        <v>20</v>
      </c>
      <c r="G3829" t="s">
        <v>21</v>
      </c>
      <c r="H3829" t="str">
        <f>"VOE202005198572"</f>
        <v>VOE202005198572</v>
      </c>
      <c r="I3829" t="str">
        <f>"EMPLOYEE LIFE"</f>
        <v>EMPLOYEE LIFE</v>
      </c>
    </row>
    <row r="3830" spans="1:9" x14ac:dyDescent="0.25">
      <c r="E3830" s="7"/>
      <c r="F3830" t="s">
        <v>20</v>
      </c>
      <c r="G3830" t="s">
        <v>21</v>
      </c>
      <c r="H3830" t="str">
        <f>"VOE202006028573"</f>
        <v>VOE202006028573</v>
      </c>
      <c r="I3830" t="str">
        <f>"EMPLOYEE LIFE"</f>
        <v>EMPLOYEE LIFE</v>
      </c>
    </row>
    <row r="3831" spans="1:9" x14ac:dyDescent="0.25">
      <c r="E3831" s="7"/>
      <c r="F3831" t="s">
        <v>20</v>
      </c>
      <c r="G3831" t="s">
        <v>21</v>
      </c>
      <c r="H3831" t="str">
        <f>"VOE202006168575"</f>
        <v>VOE202006168575</v>
      </c>
      <c r="I3831" t="str">
        <f>"EMPLOYEE LIFE"</f>
        <v>EMPLOYEE LIFE</v>
      </c>
    </row>
    <row r="3832" spans="1:9" x14ac:dyDescent="0.25">
      <c r="E3832" s="7"/>
      <c r="F3832" t="s">
        <v>20</v>
      </c>
      <c r="G3832" t="s">
        <v>21</v>
      </c>
      <c r="H3832" t="str">
        <f>"VOE202006308577"</f>
        <v>VOE202006308577</v>
      </c>
      <c r="I3832" t="str">
        <f>"EMPLOYEE LIFE"</f>
        <v>EMPLOYEE LIFE</v>
      </c>
    </row>
    <row r="3833" spans="1:9" x14ac:dyDescent="0.25">
      <c r="E3833" s="7"/>
      <c r="F3833" t="s">
        <v>20</v>
      </c>
      <c r="G3833" t="s">
        <v>21</v>
      </c>
      <c r="H3833" t="str">
        <f>"VOL202005058571"</f>
        <v>VOL202005058571</v>
      </c>
      <c r="I3833" t="str">
        <f>"LIFE"</f>
        <v>LIFE</v>
      </c>
    </row>
    <row r="3834" spans="1:9" x14ac:dyDescent="0.25">
      <c r="E3834" s="7"/>
      <c r="F3834" t="s">
        <v>20</v>
      </c>
      <c r="G3834" t="s">
        <v>21</v>
      </c>
      <c r="H3834" t="str">
        <f>"VOL202005198572"</f>
        <v>VOL202005198572</v>
      </c>
      <c r="I3834" t="str">
        <f>"LIFE"</f>
        <v>LIFE</v>
      </c>
    </row>
    <row r="3835" spans="1:9" x14ac:dyDescent="0.25">
      <c r="E3835" s="7"/>
      <c r="F3835" t="s">
        <v>20</v>
      </c>
      <c r="G3835" t="s">
        <v>21</v>
      </c>
      <c r="H3835" t="str">
        <f>"VOL202006028573"</f>
        <v>VOL202006028573</v>
      </c>
      <c r="I3835" t="str">
        <f>"LIFE"</f>
        <v>LIFE</v>
      </c>
    </row>
    <row r="3836" spans="1:9" x14ac:dyDescent="0.25">
      <c r="E3836" s="7"/>
      <c r="F3836" t="s">
        <v>20</v>
      </c>
      <c r="G3836" t="s">
        <v>21</v>
      </c>
      <c r="H3836" t="str">
        <f>"VOL202006168575"</f>
        <v>VOL202006168575</v>
      </c>
      <c r="I3836" t="str">
        <f>"LIFE"</f>
        <v>LIFE</v>
      </c>
    </row>
    <row r="3837" spans="1:9" x14ac:dyDescent="0.25">
      <c r="E3837" s="7"/>
      <c r="F3837" t="s">
        <v>20</v>
      </c>
      <c r="G3837" t="s">
        <v>21</v>
      </c>
      <c r="H3837" t="str">
        <f>"VOL202006308577"</f>
        <v>VOL202006308577</v>
      </c>
      <c r="I3837" t="str">
        <f>"LIFE"</f>
        <v>LIFE</v>
      </c>
    </row>
    <row r="3838" spans="1:9" x14ac:dyDescent="0.25">
      <c r="A3838" s="6">
        <v>44020</v>
      </c>
      <c r="B3838" t="s">
        <v>91</v>
      </c>
      <c r="C3838">
        <v>64365</v>
      </c>
      <c r="D3838" t="s">
        <v>98</v>
      </c>
      <c r="E3838" s="7">
        <v>9660.39</v>
      </c>
      <c r="F3838" t="s">
        <v>20</v>
      </c>
      <c r="G3838" t="s">
        <v>93</v>
      </c>
      <c r="H3838" t="str">
        <f>"CHECK"</f>
        <v>CHECK</v>
      </c>
      <c r="I3838" t="str">
        <f>""</f>
        <v/>
      </c>
    </row>
    <row r="3839" spans="1:9" x14ac:dyDescent="0.25">
      <c r="A3839" s="6">
        <v>44020</v>
      </c>
      <c r="B3839" t="s">
        <v>26</v>
      </c>
      <c r="C3839">
        <v>64386</v>
      </c>
      <c r="D3839" t="s">
        <v>942</v>
      </c>
      <c r="E3839" s="7">
        <v>1800</v>
      </c>
      <c r="F3839" t="s">
        <v>20</v>
      </c>
      <c r="G3839" t="s">
        <v>21</v>
      </c>
      <c r="H3839" t="str">
        <f>"REFUND 7/25/2020"</f>
        <v>REFUND 7/25/2020</v>
      </c>
      <c r="I3839" t="str">
        <f>"REFUND"</f>
        <v>REFUND</v>
      </c>
    </row>
    <row r="3840" spans="1:9" x14ac:dyDescent="0.25">
      <c r="A3840" s="6">
        <v>44020</v>
      </c>
      <c r="B3840" t="s">
        <v>26</v>
      </c>
      <c r="C3840">
        <v>64387</v>
      </c>
      <c r="D3840" t="s">
        <v>59</v>
      </c>
      <c r="E3840" s="7">
        <v>12.94</v>
      </c>
      <c r="F3840" t="s">
        <v>20</v>
      </c>
      <c r="G3840" t="s">
        <v>21</v>
      </c>
      <c r="H3840" t="str">
        <f>"1067533-2"</f>
        <v>1067533-2</v>
      </c>
      <c r="I3840" t="str">
        <f>"FERGUSON WATERWORKS - MUNICIPA"</f>
        <v>FERGUSON WATERWORKS - MUNICIPA</v>
      </c>
    </row>
    <row r="3841" spans="1:9" x14ac:dyDescent="0.25">
      <c r="A3841" s="6">
        <v>44020</v>
      </c>
      <c r="B3841" t="s">
        <v>91</v>
      </c>
      <c r="C3841">
        <v>64388</v>
      </c>
      <c r="D3841" t="s">
        <v>97</v>
      </c>
      <c r="E3841" s="7">
        <v>95383.42</v>
      </c>
      <c r="F3841" t="s">
        <v>20</v>
      </c>
      <c r="G3841" t="s">
        <v>21</v>
      </c>
      <c r="H3841" t="str">
        <f>"DEN202006028573"</f>
        <v>DEN202006028573</v>
      </c>
      <c r="I3841" t="str">
        <f>"DENTAL INSURANCE"</f>
        <v>DENTAL INSURANCE</v>
      </c>
    </row>
    <row r="3842" spans="1:9" x14ac:dyDescent="0.25">
      <c r="E3842" s="7"/>
      <c r="F3842" t="s">
        <v>20</v>
      </c>
      <c r="G3842" t="s">
        <v>21</v>
      </c>
      <c r="H3842" t="str">
        <f>"DEN202006168575"</f>
        <v>DEN202006168575</v>
      </c>
      <c r="I3842" t="str">
        <f>"DENTAL INSURANCE"</f>
        <v>DENTAL INSURANCE</v>
      </c>
    </row>
    <row r="3843" spans="1:9" x14ac:dyDescent="0.25">
      <c r="E3843" s="7"/>
      <c r="F3843" t="s">
        <v>20</v>
      </c>
      <c r="G3843" t="s">
        <v>21</v>
      </c>
      <c r="H3843" t="str">
        <f>"DEN202006308577"</f>
        <v>DEN202006308577</v>
      </c>
      <c r="I3843" t="str">
        <f>"DENTAL INSURANCE"</f>
        <v>DENTAL INSURANCE</v>
      </c>
    </row>
    <row r="3844" spans="1:9" x14ac:dyDescent="0.25">
      <c r="E3844" s="7"/>
      <c r="F3844" t="s">
        <v>20</v>
      </c>
      <c r="G3844" t="s">
        <v>21</v>
      </c>
      <c r="H3844" t="str">
        <f>"MED202006028573"</f>
        <v>MED202006028573</v>
      </c>
      <c r="I3844" t="str">
        <f>"HEALTH &amp; DENTAL INSURANCE"</f>
        <v>HEALTH &amp; DENTAL INSURANCE</v>
      </c>
    </row>
    <row r="3845" spans="1:9" x14ac:dyDescent="0.25">
      <c r="E3845" s="7"/>
      <c r="F3845" t="s">
        <v>20</v>
      </c>
      <c r="G3845" t="s">
        <v>21</v>
      </c>
      <c r="H3845" t="str">
        <f>"MED202006168575"</f>
        <v>MED202006168575</v>
      </c>
      <c r="I3845" t="str">
        <f>"HEALTH &amp; DENTAL INSURANCE"</f>
        <v>HEALTH &amp; DENTAL INSURANCE</v>
      </c>
    </row>
    <row r="3846" spans="1:9" x14ac:dyDescent="0.25">
      <c r="E3846" s="7"/>
      <c r="F3846" t="s">
        <v>20</v>
      </c>
      <c r="G3846" t="s">
        <v>21</v>
      </c>
      <c r="H3846" t="str">
        <f>"MED202006308577"</f>
        <v>MED202006308577</v>
      </c>
      <c r="I3846" t="str">
        <f>"HEALTH &amp; DENTAL INSURANCE"</f>
        <v>HEALTH &amp; DENTAL INSURANCE</v>
      </c>
    </row>
    <row r="3847" spans="1:9" x14ac:dyDescent="0.25">
      <c r="A3847" s="6">
        <v>44020</v>
      </c>
      <c r="B3847" t="s">
        <v>91</v>
      </c>
      <c r="C3847">
        <v>64388</v>
      </c>
      <c r="D3847" t="s">
        <v>97</v>
      </c>
      <c r="E3847" s="7">
        <v>95383.42</v>
      </c>
      <c r="F3847" t="s">
        <v>20</v>
      </c>
      <c r="G3847" t="s">
        <v>93</v>
      </c>
      <c r="H3847" t="str">
        <f>"CHECK"</f>
        <v>CHECK</v>
      </c>
      <c r="I3847" t="str">
        <f>""</f>
        <v/>
      </c>
    </row>
    <row r="3848" spans="1:9" x14ac:dyDescent="0.25">
      <c r="A3848" s="6">
        <v>44020</v>
      </c>
      <c r="B3848" t="s">
        <v>91</v>
      </c>
      <c r="C3848">
        <v>64394</v>
      </c>
      <c r="D3848" t="s">
        <v>95</v>
      </c>
      <c r="E3848" s="7">
        <v>89.97</v>
      </c>
      <c r="F3848" t="s">
        <v>20</v>
      </c>
      <c r="G3848" t="s">
        <v>21</v>
      </c>
      <c r="H3848" t="str">
        <f>"LEA202006028573"</f>
        <v>LEA202006028573</v>
      </c>
      <c r="I3848" t="str">
        <f>"INSURANCE"</f>
        <v>INSURANCE</v>
      </c>
    </row>
    <row r="3849" spans="1:9" x14ac:dyDescent="0.25">
      <c r="E3849" s="7"/>
      <c r="F3849" t="s">
        <v>20</v>
      </c>
      <c r="G3849" t="s">
        <v>21</v>
      </c>
      <c r="H3849" t="str">
        <f>"LEA202006168575"</f>
        <v>LEA202006168575</v>
      </c>
      <c r="I3849" t="str">
        <f>"INSURANCE"</f>
        <v>INSURANCE</v>
      </c>
    </row>
    <row r="3850" spans="1:9" x14ac:dyDescent="0.25">
      <c r="E3850" s="7"/>
      <c r="F3850" t="s">
        <v>20</v>
      </c>
      <c r="G3850" t="s">
        <v>21</v>
      </c>
      <c r="H3850" t="str">
        <f>"LEA202006308577"</f>
        <v>LEA202006308577</v>
      </c>
      <c r="I3850" t="str">
        <f>"INSURANCE"</f>
        <v>INSURANCE</v>
      </c>
    </row>
    <row r="3851" spans="1:9" x14ac:dyDescent="0.25">
      <c r="A3851" s="6">
        <v>44020</v>
      </c>
      <c r="B3851" t="s">
        <v>91</v>
      </c>
      <c r="C3851">
        <v>64394</v>
      </c>
      <c r="D3851" t="s">
        <v>95</v>
      </c>
      <c r="E3851" s="7">
        <v>89.97</v>
      </c>
      <c r="F3851" t="s">
        <v>20</v>
      </c>
      <c r="G3851" t="s">
        <v>93</v>
      </c>
      <c r="H3851" t="str">
        <f>"CHECK"</f>
        <v>CHECK</v>
      </c>
      <c r="I3851" t="str">
        <f>""</f>
        <v/>
      </c>
    </row>
    <row r="3852" spans="1:9" x14ac:dyDescent="0.25">
      <c r="A3852" s="6">
        <v>44020</v>
      </c>
      <c r="B3852" t="s">
        <v>91</v>
      </c>
      <c r="C3852">
        <v>64395</v>
      </c>
      <c r="D3852" t="s">
        <v>96</v>
      </c>
      <c r="E3852" s="7">
        <v>392.21</v>
      </c>
      <c r="F3852" t="s">
        <v>20</v>
      </c>
      <c r="G3852" t="s">
        <v>21</v>
      </c>
      <c r="H3852" t="str">
        <f>"PPL202006028573"</f>
        <v>PPL202006028573</v>
      </c>
      <c r="I3852" t="str">
        <f>"INSURANCE"</f>
        <v>INSURANCE</v>
      </c>
    </row>
    <row r="3853" spans="1:9" x14ac:dyDescent="0.25">
      <c r="E3853" s="7"/>
      <c r="F3853" t="s">
        <v>20</v>
      </c>
      <c r="G3853" t="s">
        <v>21</v>
      </c>
      <c r="H3853" t="str">
        <f>"PPL202006168575"</f>
        <v>PPL202006168575</v>
      </c>
      <c r="I3853" t="str">
        <f>"INSURANCE"</f>
        <v>INSURANCE</v>
      </c>
    </row>
    <row r="3854" spans="1:9" x14ac:dyDescent="0.25">
      <c r="E3854" s="7"/>
      <c r="F3854" t="s">
        <v>20</v>
      </c>
      <c r="G3854" t="s">
        <v>21</v>
      </c>
      <c r="H3854" t="str">
        <f>"PPL202006308577"</f>
        <v>PPL202006308577</v>
      </c>
      <c r="I3854" t="str">
        <f>"INSURANCE"</f>
        <v>INSURANCE</v>
      </c>
    </row>
    <row r="3855" spans="1:9" x14ac:dyDescent="0.25">
      <c r="A3855" s="6">
        <v>44020</v>
      </c>
      <c r="B3855" t="s">
        <v>91</v>
      </c>
      <c r="C3855">
        <v>64395</v>
      </c>
      <c r="D3855" t="s">
        <v>96</v>
      </c>
      <c r="E3855" s="7">
        <v>392.21</v>
      </c>
      <c r="F3855" t="s">
        <v>20</v>
      </c>
      <c r="G3855" t="s">
        <v>93</v>
      </c>
      <c r="H3855" t="str">
        <f>"CHECK"</f>
        <v>CHECK</v>
      </c>
      <c r="I3855" t="str">
        <f>""</f>
        <v/>
      </c>
    </row>
    <row r="3856" spans="1:9" x14ac:dyDescent="0.25">
      <c r="A3856" s="6">
        <v>44020</v>
      </c>
      <c r="B3856" t="s">
        <v>26</v>
      </c>
      <c r="C3856">
        <v>64397</v>
      </c>
      <c r="D3856" t="s">
        <v>107</v>
      </c>
      <c r="E3856" s="7">
        <v>10.6</v>
      </c>
      <c r="F3856" t="s">
        <v>20</v>
      </c>
      <c r="G3856" t="s">
        <v>21</v>
      </c>
      <c r="H3856" t="str">
        <f>"1166960-20200531"</f>
        <v>1166960-20200531</v>
      </c>
      <c r="I3856" t="str">
        <f>"LEXISNEXIS RISK SOLUTIONS"</f>
        <v>LEXISNEXIS RISK SOLUTIONS</v>
      </c>
    </row>
    <row r="3857" spans="1:9" x14ac:dyDescent="0.25">
      <c r="A3857" s="6">
        <v>44020</v>
      </c>
      <c r="B3857" t="s">
        <v>26</v>
      </c>
      <c r="C3857">
        <v>64398</v>
      </c>
      <c r="D3857" t="s">
        <v>66</v>
      </c>
      <c r="E3857" s="7">
        <v>1870.56</v>
      </c>
      <c r="F3857" t="s">
        <v>20</v>
      </c>
      <c r="G3857" t="s">
        <v>21</v>
      </c>
      <c r="H3857" t="str">
        <f>"58412"</f>
        <v>58412</v>
      </c>
      <c r="I3857" t="str">
        <f>"LOPEZ EXTERMINATING SERVICE  I"</f>
        <v>LOPEZ EXTERMINATING SERVICE  I</v>
      </c>
    </row>
    <row r="3858" spans="1:9" x14ac:dyDescent="0.25">
      <c r="A3858" s="6">
        <v>44020</v>
      </c>
      <c r="B3858" t="s">
        <v>26</v>
      </c>
      <c r="C3858">
        <v>64399</v>
      </c>
      <c r="D3858" t="s">
        <v>80</v>
      </c>
      <c r="E3858" s="7">
        <v>1500</v>
      </c>
      <c r="F3858" t="s">
        <v>20</v>
      </c>
      <c r="G3858" t="s">
        <v>21</v>
      </c>
      <c r="H3858" t="str">
        <f>"1648-20200701-1"</f>
        <v>1648-20200701-1</v>
      </c>
      <c r="I3858" t="str">
        <f>"LVWIFI.COM"</f>
        <v>LVWIFI.COM</v>
      </c>
    </row>
    <row r="3859" spans="1:9" x14ac:dyDescent="0.25">
      <c r="E3859" s="7"/>
      <c r="F3859" t="s">
        <v>20</v>
      </c>
      <c r="G3859" t="s">
        <v>21</v>
      </c>
      <c r="H3859" t="str">
        <f>"2313-20200701-1"</f>
        <v>2313-20200701-1</v>
      </c>
      <c r="I3859" t="str">
        <f>"LVWIFI.COM"</f>
        <v>LVWIFI.COM</v>
      </c>
    </row>
    <row r="3860" spans="1:9" x14ac:dyDescent="0.25">
      <c r="A3860" s="6">
        <v>44020</v>
      </c>
      <c r="B3860" t="s">
        <v>26</v>
      </c>
      <c r="C3860">
        <v>64400</v>
      </c>
      <c r="D3860" t="s">
        <v>124</v>
      </c>
      <c r="E3860" s="7">
        <v>70</v>
      </c>
      <c r="F3860" t="s">
        <v>20</v>
      </c>
      <c r="G3860" t="s">
        <v>21</v>
      </c>
      <c r="H3860" t="str">
        <f>"45275010"</f>
        <v>45275010</v>
      </c>
      <c r="I3860" t="str">
        <f>"MCCOY'S CORPORATION"</f>
        <v>MCCOY'S CORPORATION</v>
      </c>
    </row>
    <row r="3861" spans="1:9" x14ac:dyDescent="0.25">
      <c r="A3861" s="6">
        <v>44020</v>
      </c>
      <c r="B3861" t="s">
        <v>26</v>
      </c>
      <c r="C3861">
        <v>64401</v>
      </c>
      <c r="D3861" t="s">
        <v>345</v>
      </c>
      <c r="E3861" s="7">
        <v>242</v>
      </c>
      <c r="F3861" t="s">
        <v>20</v>
      </c>
      <c r="G3861" t="s">
        <v>21</v>
      </c>
      <c r="H3861" t="str">
        <f>"7/6/2020"</f>
        <v>7/6/2020</v>
      </c>
      <c r="I3861" t="str">
        <f>"MICHAEL ISAAC MARTINEZ"</f>
        <v>MICHAEL ISAAC MARTINEZ</v>
      </c>
    </row>
    <row r="3862" spans="1:9" x14ac:dyDescent="0.25">
      <c r="A3862" s="6">
        <v>44020</v>
      </c>
      <c r="B3862" t="s">
        <v>26</v>
      </c>
      <c r="C3862">
        <v>64402</v>
      </c>
      <c r="D3862" t="s">
        <v>191</v>
      </c>
      <c r="E3862" s="7">
        <v>211.32</v>
      </c>
      <c r="F3862" t="s">
        <v>20</v>
      </c>
      <c r="G3862" t="s">
        <v>21</v>
      </c>
      <c r="H3862" t="str">
        <f>"INV06-008742"</f>
        <v>INV06-008742</v>
      </c>
      <c r="I3862" t="str">
        <f>"MUNISERVICES  LLC"</f>
        <v>MUNISERVICES  LLC</v>
      </c>
    </row>
    <row r="3863" spans="1:9" x14ac:dyDescent="0.25">
      <c r="A3863" s="6">
        <v>44020</v>
      </c>
      <c r="B3863" t="s">
        <v>26</v>
      </c>
      <c r="C3863">
        <v>64403</v>
      </c>
      <c r="D3863" t="s">
        <v>62</v>
      </c>
      <c r="E3863" s="7">
        <v>210</v>
      </c>
      <c r="F3863" t="s">
        <v>20</v>
      </c>
      <c r="G3863" t="s">
        <v>21</v>
      </c>
      <c r="H3863" t="str">
        <f>"68965"</f>
        <v>68965</v>
      </c>
      <c r="I3863" t="str">
        <f>"PROFICIENT BENEFIT SOLUTIONS"</f>
        <v>PROFICIENT BENEFIT SOLUTIONS</v>
      </c>
    </row>
    <row r="3864" spans="1:9" x14ac:dyDescent="0.25">
      <c r="A3864" s="6">
        <v>44020</v>
      </c>
      <c r="B3864" t="s">
        <v>26</v>
      </c>
      <c r="C3864">
        <v>64404</v>
      </c>
      <c r="D3864" t="s">
        <v>218</v>
      </c>
      <c r="E3864" s="7">
        <v>510</v>
      </c>
      <c r="F3864" t="s">
        <v>20</v>
      </c>
      <c r="G3864" t="s">
        <v>21</v>
      </c>
      <c r="H3864" t="str">
        <f>"7043"</f>
        <v>7043</v>
      </c>
      <c r="I3864" t="str">
        <f>"RICK'S TOWING SERVICE"</f>
        <v>RICK'S TOWING SERVICE</v>
      </c>
    </row>
    <row r="3865" spans="1:9" x14ac:dyDescent="0.25">
      <c r="E3865" s="7"/>
      <c r="F3865" t="s">
        <v>20</v>
      </c>
      <c r="G3865" t="s">
        <v>21</v>
      </c>
      <c r="H3865" t="str">
        <f>"7178"</f>
        <v>7178</v>
      </c>
      <c r="I3865" t="str">
        <f>"RICK'S TOWING SERVICE"</f>
        <v>RICK'S TOWING SERVICE</v>
      </c>
    </row>
    <row r="3866" spans="1:9" x14ac:dyDescent="0.25">
      <c r="E3866" s="7"/>
      <c r="F3866" t="s">
        <v>20</v>
      </c>
      <c r="G3866" t="s">
        <v>21</v>
      </c>
      <c r="H3866" t="str">
        <f>"7180"</f>
        <v>7180</v>
      </c>
      <c r="I3866" t="str">
        <f>"RICK'S TOWING SERVICE"</f>
        <v>RICK'S TOWING SERVICE</v>
      </c>
    </row>
    <row r="3867" spans="1:9" x14ac:dyDescent="0.25">
      <c r="A3867" s="6">
        <v>44020</v>
      </c>
      <c r="B3867" t="s">
        <v>26</v>
      </c>
      <c r="C3867">
        <v>64405</v>
      </c>
      <c r="D3867" t="s">
        <v>929</v>
      </c>
      <c r="E3867" s="7">
        <v>50</v>
      </c>
      <c r="F3867" t="s">
        <v>20</v>
      </c>
      <c r="G3867" t="s">
        <v>21</v>
      </c>
      <c r="H3867" t="str">
        <f>"REFUND PARTY6/6/20"</f>
        <v>REFUND PARTY6/6/20</v>
      </c>
      <c r="I3867" t="str">
        <f>"REFUND"</f>
        <v>REFUND</v>
      </c>
    </row>
    <row r="3868" spans="1:9" x14ac:dyDescent="0.25">
      <c r="A3868" s="6">
        <v>44020</v>
      </c>
      <c r="B3868" t="s">
        <v>26</v>
      </c>
      <c r="C3868">
        <v>64406</v>
      </c>
      <c r="D3868" t="s">
        <v>132</v>
      </c>
      <c r="E3868" s="7">
        <v>127.1</v>
      </c>
      <c r="F3868" t="s">
        <v>20</v>
      </c>
      <c r="G3868" t="s">
        <v>21</v>
      </c>
      <c r="H3868" t="str">
        <f>"16992887 061820"</f>
        <v>16992887 061820</v>
      </c>
      <c r="I3868" t="str">
        <f>"SPARKLETTS &amp; SIERRA SPRINGS"</f>
        <v>SPARKLETTS &amp; SIERRA SPRINGS</v>
      </c>
    </row>
    <row r="3869" spans="1:9" x14ac:dyDescent="0.25">
      <c r="A3869" s="6">
        <v>44020</v>
      </c>
      <c r="B3869" t="s">
        <v>26</v>
      </c>
      <c r="C3869">
        <v>64407</v>
      </c>
      <c r="D3869" t="s">
        <v>554</v>
      </c>
      <c r="E3869" s="7">
        <v>149.9</v>
      </c>
      <c r="F3869" t="s">
        <v>20</v>
      </c>
      <c r="G3869" t="s">
        <v>21</v>
      </c>
      <c r="H3869" t="str">
        <f>"AA79011"</f>
        <v>AA79011</v>
      </c>
      <c r="I3869" t="str">
        <f>"TEXAS WIRED MUSIC"</f>
        <v>TEXAS WIRED MUSIC</v>
      </c>
    </row>
    <row r="3870" spans="1:9" x14ac:dyDescent="0.25">
      <c r="E3870" s="7"/>
      <c r="F3870" t="s">
        <v>20</v>
      </c>
      <c r="G3870" t="s">
        <v>21</v>
      </c>
      <c r="H3870" t="str">
        <f>"AA87708"</f>
        <v>AA87708</v>
      </c>
      <c r="I3870" t="str">
        <f>"TEXAS WIRED MUSIC"</f>
        <v>TEXAS WIRED MUSIC</v>
      </c>
    </row>
    <row r="3871" spans="1:9" x14ac:dyDescent="0.25">
      <c r="A3871" s="6">
        <v>44020</v>
      </c>
      <c r="B3871" t="s">
        <v>26</v>
      </c>
      <c r="C3871">
        <v>64408</v>
      </c>
      <c r="D3871" t="s">
        <v>31</v>
      </c>
      <c r="E3871" s="7">
        <v>2000</v>
      </c>
      <c r="F3871" t="s">
        <v>20</v>
      </c>
      <c r="G3871" t="s">
        <v>21</v>
      </c>
      <c r="H3871" t="str">
        <f>"2020243"</f>
        <v>2020243</v>
      </c>
      <c r="I3871" t="str">
        <f>"THE LAW OFFICE OF TOM CALDWELL"</f>
        <v>THE LAW OFFICE OF TOM CALDWELL</v>
      </c>
    </row>
    <row r="3872" spans="1:9" x14ac:dyDescent="0.25">
      <c r="A3872" s="6">
        <v>44020</v>
      </c>
      <c r="B3872" t="s">
        <v>26</v>
      </c>
      <c r="C3872">
        <v>64409</v>
      </c>
      <c r="D3872" t="s">
        <v>644</v>
      </c>
      <c r="E3872" s="7">
        <v>675.71</v>
      </c>
      <c r="F3872" t="s">
        <v>20</v>
      </c>
      <c r="G3872" t="s">
        <v>21</v>
      </c>
      <c r="H3872" t="str">
        <f>"8213478126"</f>
        <v>8213478126</v>
      </c>
      <c r="I3872" t="str">
        <f t="shared" ref="I3872:I3878" si="81">"UNIFIRST CORPORATION"</f>
        <v>UNIFIRST CORPORATION</v>
      </c>
    </row>
    <row r="3873" spans="1:9" x14ac:dyDescent="0.25">
      <c r="E3873" s="7"/>
      <c r="F3873" t="s">
        <v>20</v>
      </c>
      <c r="G3873" t="s">
        <v>21</v>
      </c>
      <c r="H3873" t="str">
        <f>"8213478127"</f>
        <v>8213478127</v>
      </c>
      <c r="I3873" t="str">
        <f t="shared" si="81"/>
        <v>UNIFIRST CORPORATION</v>
      </c>
    </row>
    <row r="3874" spans="1:9" x14ac:dyDescent="0.25">
      <c r="E3874" s="7"/>
      <c r="F3874" t="s">
        <v>20</v>
      </c>
      <c r="G3874" t="s">
        <v>21</v>
      </c>
      <c r="H3874" t="str">
        <f>"8213478128"</f>
        <v>8213478128</v>
      </c>
      <c r="I3874" t="str">
        <f t="shared" si="81"/>
        <v>UNIFIRST CORPORATION</v>
      </c>
    </row>
    <row r="3875" spans="1:9" x14ac:dyDescent="0.25">
      <c r="E3875" s="7"/>
      <c r="F3875" t="s">
        <v>20</v>
      </c>
      <c r="G3875" t="s">
        <v>21</v>
      </c>
      <c r="H3875" t="str">
        <f>"8213478129"</f>
        <v>8213478129</v>
      </c>
      <c r="I3875" t="str">
        <f t="shared" si="81"/>
        <v>UNIFIRST CORPORATION</v>
      </c>
    </row>
    <row r="3876" spans="1:9" x14ac:dyDescent="0.25">
      <c r="E3876" s="7"/>
      <c r="F3876" t="s">
        <v>20</v>
      </c>
      <c r="G3876" t="s">
        <v>21</v>
      </c>
      <c r="H3876" t="str">
        <f>"8213478130"</f>
        <v>8213478130</v>
      </c>
      <c r="I3876" t="str">
        <f t="shared" si="81"/>
        <v>UNIFIRST CORPORATION</v>
      </c>
    </row>
    <row r="3877" spans="1:9" x14ac:dyDescent="0.25">
      <c r="E3877" s="7"/>
      <c r="F3877" t="s">
        <v>20</v>
      </c>
      <c r="G3877" t="s">
        <v>21</v>
      </c>
      <c r="H3877" t="str">
        <f>"8213478131"</f>
        <v>8213478131</v>
      </c>
      <c r="I3877" t="str">
        <f t="shared" si="81"/>
        <v>UNIFIRST CORPORATION</v>
      </c>
    </row>
    <row r="3878" spans="1:9" x14ac:dyDescent="0.25">
      <c r="E3878" s="7"/>
      <c r="F3878" t="s">
        <v>20</v>
      </c>
      <c r="G3878" t="s">
        <v>21</v>
      </c>
      <c r="H3878" t="str">
        <f>"8213478132"</f>
        <v>8213478132</v>
      </c>
      <c r="I3878" t="str">
        <f t="shared" si="81"/>
        <v>UNIFIRST CORPORATION</v>
      </c>
    </row>
    <row r="3879" spans="1:9" x14ac:dyDescent="0.25">
      <c r="A3879" s="6">
        <v>44021</v>
      </c>
      <c r="B3879" t="s">
        <v>26</v>
      </c>
      <c r="C3879">
        <v>64411</v>
      </c>
      <c r="D3879" t="s">
        <v>90</v>
      </c>
      <c r="E3879" s="7">
        <v>1933.74</v>
      </c>
      <c r="F3879" t="s">
        <v>20</v>
      </c>
      <c r="G3879" t="s">
        <v>21</v>
      </c>
      <c r="H3879" t="str">
        <f>"136511"</f>
        <v>136511</v>
      </c>
      <c r="I3879" t="str">
        <f>"AFLAC"</f>
        <v>AFLAC</v>
      </c>
    </row>
    <row r="3880" spans="1:9" x14ac:dyDescent="0.25">
      <c r="A3880" s="6">
        <v>44021</v>
      </c>
      <c r="B3880" t="s">
        <v>26</v>
      </c>
      <c r="C3880">
        <v>64412</v>
      </c>
      <c r="D3880" t="s">
        <v>189</v>
      </c>
      <c r="E3880" s="7">
        <v>9279.83</v>
      </c>
      <c r="F3880" t="s">
        <v>20</v>
      </c>
      <c r="G3880" t="s">
        <v>21</v>
      </c>
      <c r="H3880" t="str">
        <f>"SWO107933-1"</f>
        <v>SWO107933-1</v>
      </c>
      <c r="I3880" t="str">
        <f>"BACKHOE REPAIR"</f>
        <v>BACKHOE REPAIR</v>
      </c>
    </row>
    <row r="3881" spans="1:9" x14ac:dyDescent="0.25">
      <c r="E3881" s="7"/>
      <c r="F3881" t="s">
        <v>20</v>
      </c>
      <c r="G3881" t="s">
        <v>21</v>
      </c>
      <c r="H3881" t="str">
        <f>"SWO113983-1"</f>
        <v>SWO113983-1</v>
      </c>
      <c r="I3881" t="str">
        <f>"WW BACKHOE REPAIR"</f>
        <v>WW BACKHOE REPAIR</v>
      </c>
    </row>
    <row r="3882" spans="1:9" x14ac:dyDescent="0.25">
      <c r="A3882" s="6">
        <v>44021</v>
      </c>
      <c r="B3882" t="s">
        <v>26</v>
      </c>
      <c r="C3882">
        <v>64413</v>
      </c>
      <c r="D3882" t="s">
        <v>115</v>
      </c>
      <c r="E3882" s="7">
        <v>478.3</v>
      </c>
      <c r="F3882" t="s">
        <v>20</v>
      </c>
      <c r="G3882" t="s">
        <v>21</v>
      </c>
      <c r="H3882" t="str">
        <f>"3547698092"</f>
        <v>3547698092</v>
      </c>
      <c r="I3882" t="str">
        <f>"PD UNIT 321"</f>
        <v>PD UNIT 321</v>
      </c>
    </row>
    <row r="3883" spans="1:9" x14ac:dyDescent="0.25">
      <c r="E3883" s="7"/>
      <c r="F3883" t="s">
        <v>20</v>
      </c>
      <c r="G3883" t="s">
        <v>21</v>
      </c>
      <c r="H3883" t="str">
        <f>"3547698094"</f>
        <v>3547698094</v>
      </c>
      <c r="I3883" t="str">
        <f>"PD UNIT 323"</f>
        <v>PD UNIT 323</v>
      </c>
    </row>
    <row r="3884" spans="1:9" x14ac:dyDescent="0.25">
      <c r="E3884" s="7"/>
      <c r="F3884" t="s">
        <v>20</v>
      </c>
      <c r="G3884" t="s">
        <v>21</v>
      </c>
      <c r="H3884" t="str">
        <f>"3547698098"</f>
        <v>3547698098</v>
      </c>
      <c r="I3884" t="str">
        <f>"SHOP"</f>
        <v>SHOP</v>
      </c>
    </row>
    <row r="3885" spans="1:9" x14ac:dyDescent="0.25">
      <c r="E3885" s="7"/>
      <c r="F3885" t="s">
        <v>20</v>
      </c>
      <c r="G3885" t="s">
        <v>21</v>
      </c>
      <c r="H3885" t="str">
        <f>"3547698099"</f>
        <v>3547698099</v>
      </c>
      <c r="I3885" t="str">
        <f>"2009 CUBURBAN - LYLE"</f>
        <v>2009 CUBURBAN - LYLE</v>
      </c>
    </row>
    <row r="3886" spans="1:9" x14ac:dyDescent="0.25">
      <c r="A3886" s="6">
        <v>44021</v>
      </c>
      <c r="B3886" t="s">
        <v>91</v>
      </c>
      <c r="C3886">
        <v>64414</v>
      </c>
      <c r="D3886" t="s">
        <v>0</v>
      </c>
      <c r="E3886" s="7">
        <v>2820.26</v>
      </c>
      <c r="F3886" t="s">
        <v>20</v>
      </c>
      <c r="G3886" t="s">
        <v>21</v>
      </c>
      <c r="H3886" t="str">
        <f>"01-3520-00 JUNE202"</f>
        <v>01-3520-00 JUNE202</v>
      </c>
      <c r="I3886" t="str">
        <f>"CITY OF FLORESVILLE"</f>
        <v>CITY OF FLORESVILLE</v>
      </c>
    </row>
    <row r="3887" spans="1:9" x14ac:dyDescent="0.25">
      <c r="A3887" s="6">
        <v>44021</v>
      </c>
      <c r="B3887" t="s">
        <v>91</v>
      </c>
      <c r="C3887">
        <v>64414</v>
      </c>
      <c r="D3887" t="s">
        <v>0</v>
      </c>
      <c r="E3887" s="7">
        <v>2820.26</v>
      </c>
      <c r="F3887" t="s">
        <v>20</v>
      </c>
      <c r="G3887" t="s">
        <v>93</v>
      </c>
      <c r="H3887" t="str">
        <f>"CHECK"</f>
        <v>CHECK</v>
      </c>
      <c r="I3887" t="str">
        <f>""</f>
        <v/>
      </c>
    </row>
    <row r="3888" spans="1:9" x14ac:dyDescent="0.25">
      <c r="A3888" s="6">
        <v>44021</v>
      </c>
      <c r="B3888" t="s">
        <v>26</v>
      </c>
      <c r="C3888">
        <v>64415</v>
      </c>
      <c r="D3888" t="s">
        <v>81</v>
      </c>
      <c r="E3888" s="7">
        <v>200.15</v>
      </c>
      <c r="F3888" t="s">
        <v>20</v>
      </c>
      <c r="G3888" t="s">
        <v>21</v>
      </c>
      <c r="H3888" t="str">
        <f>"A.MONTOYA JULY 202"</f>
        <v>A.MONTOYA JULY 202</v>
      </c>
      <c r="I3888" t="str">
        <f>"CITY OF FLORESVILLE -PETTY CAS"</f>
        <v>CITY OF FLORESVILLE -PETTY CAS</v>
      </c>
    </row>
    <row r="3889" spans="1:9" x14ac:dyDescent="0.25">
      <c r="A3889" s="6">
        <v>44021</v>
      </c>
      <c r="B3889" t="s">
        <v>26</v>
      </c>
      <c r="C3889">
        <v>64416</v>
      </c>
      <c r="D3889" t="s">
        <v>98</v>
      </c>
      <c r="E3889" s="7">
        <v>3923.45</v>
      </c>
      <c r="F3889" t="s">
        <v>20</v>
      </c>
      <c r="G3889" t="s">
        <v>21</v>
      </c>
      <c r="H3889" t="str">
        <f>"JULY 2020"</f>
        <v>JULY 2020</v>
      </c>
      <c r="I3889" t="str">
        <f>"DEARBORN LIFE INSURANCE COMPAN"</f>
        <v>DEARBORN LIFE INSURANCE COMPAN</v>
      </c>
    </row>
    <row r="3890" spans="1:9" x14ac:dyDescent="0.25">
      <c r="A3890" s="6">
        <v>44021</v>
      </c>
      <c r="B3890" t="s">
        <v>26</v>
      </c>
      <c r="C3890">
        <v>64418</v>
      </c>
      <c r="D3890" t="s">
        <v>77</v>
      </c>
      <c r="E3890" s="7">
        <v>1115.75</v>
      </c>
      <c r="F3890" t="s">
        <v>20</v>
      </c>
      <c r="G3890" t="s">
        <v>21</v>
      </c>
      <c r="H3890" t="str">
        <f>"857001193-20"</f>
        <v>857001193-20</v>
      </c>
      <c r="I3890" t="str">
        <f>"CHLORINE"</f>
        <v>CHLORINE</v>
      </c>
    </row>
    <row r="3891" spans="1:9" x14ac:dyDescent="0.25">
      <c r="A3891" s="6">
        <v>44021</v>
      </c>
      <c r="B3891" t="s">
        <v>26</v>
      </c>
      <c r="C3891">
        <v>64419</v>
      </c>
      <c r="D3891" t="s">
        <v>57</v>
      </c>
      <c r="E3891" s="7">
        <v>27362.01</v>
      </c>
      <c r="F3891" t="s">
        <v>20</v>
      </c>
      <c r="G3891" t="s">
        <v>21</v>
      </c>
      <c r="H3891" t="str">
        <f>"JUNE 2020 11617"</f>
        <v>JUNE 2020 11617</v>
      </c>
      <c r="I3891" t="str">
        <f>"F.E.L.P.S."</f>
        <v>F.E.L.P.S.</v>
      </c>
    </row>
    <row r="3892" spans="1:9" x14ac:dyDescent="0.25">
      <c r="A3892" s="6">
        <v>44021</v>
      </c>
      <c r="B3892" t="s">
        <v>26</v>
      </c>
      <c r="C3892">
        <v>64420</v>
      </c>
      <c r="D3892" t="s">
        <v>59</v>
      </c>
      <c r="E3892" s="7">
        <v>2040.41</v>
      </c>
      <c r="F3892" t="s">
        <v>20</v>
      </c>
      <c r="G3892" t="s">
        <v>21</v>
      </c>
      <c r="H3892" t="str">
        <f>"1067542"</f>
        <v>1067542</v>
      </c>
      <c r="I3892" t="str">
        <f>"MISC STOCK"</f>
        <v>MISC STOCK</v>
      </c>
    </row>
    <row r="3893" spans="1:9" x14ac:dyDescent="0.25">
      <c r="A3893" s="6">
        <v>44021</v>
      </c>
      <c r="B3893" t="s">
        <v>26</v>
      </c>
      <c r="C3893">
        <v>64421</v>
      </c>
      <c r="D3893" t="s">
        <v>56</v>
      </c>
      <c r="E3893" s="7">
        <v>92.5</v>
      </c>
      <c r="F3893" t="s">
        <v>20</v>
      </c>
      <c r="G3893" t="s">
        <v>21</v>
      </c>
      <c r="H3893" t="str">
        <f>"183839"</f>
        <v>183839</v>
      </c>
      <c r="I3893" t="str">
        <f>"HERBICIDE"</f>
        <v>HERBICIDE</v>
      </c>
    </row>
    <row r="3894" spans="1:9" x14ac:dyDescent="0.25">
      <c r="A3894" s="6">
        <v>44021</v>
      </c>
      <c r="B3894" t="s">
        <v>26</v>
      </c>
      <c r="C3894">
        <v>64422</v>
      </c>
      <c r="D3894" t="s">
        <v>609</v>
      </c>
      <c r="E3894" s="7">
        <v>1162.28</v>
      </c>
      <c r="F3894" t="s">
        <v>20</v>
      </c>
      <c r="G3894" t="s">
        <v>21</v>
      </c>
      <c r="H3894" t="str">
        <f>"32079499"</f>
        <v>32079499</v>
      </c>
      <c r="I3894" t="str">
        <f>"OIL AND GAS"</f>
        <v>OIL AND GAS</v>
      </c>
    </row>
    <row r="3895" spans="1:9" x14ac:dyDescent="0.25">
      <c r="A3895" s="6">
        <v>44021</v>
      </c>
      <c r="B3895" t="s">
        <v>26</v>
      </c>
      <c r="C3895">
        <v>64423</v>
      </c>
      <c r="D3895" t="s">
        <v>97</v>
      </c>
      <c r="E3895" s="7">
        <v>44716.43</v>
      </c>
      <c r="F3895" t="s">
        <v>20</v>
      </c>
      <c r="G3895" t="s">
        <v>21</v>
      </c>
      <c r="H3895" t="str">
        <f>"JULY 2020"</f>
        <v>JULY 2020</v>
      </c>
      <c r="I3895" t="str">
        <f>"HEALTH CARE SERVICE CORPORATIO"</f>
        <v>HEALTH CARE SERVICE CORPORATIO</v>
      </c>
    </row>
    <row r="3896" spans="1:9" x14ac:dyDescent="0.25">
      <c r="A3896" s="6">
        <v>44021</v>
      </c>
      <c r="B3896" t="s">
        <v>26</v>
      </c>
      <c r="C3896">
        <v>64424</v>
      </c>
      <c r="D3896" t="s">
        <v>96</v>
      </c>
      <c r="E3896" s="7">
        <v>431.45</v>
      </c>
      <c r="F3896" t="s">
        <v>20</v>
      </c>
      <c r="G3896" t="s">
        <v>21</v>
      </c>
      <c r="H3896" t="str">
        <f>"JUNE 2020"</f>
        <v>JUNE 2020</v>
      </c>
      <c r="I3896" t="str">
        <f>"LEGALSHIELD"</f>
        <v>LEGALSHIELD</v>
      </c>
    </row>
    <row r="3897" spans="1:9" x14ac:dyDescent="0.25">
      <c r="A3897" s="6">
        <v>44021</v>
      </c>
      <c r="B3897" t="s">
        <v>26</v>
      </c>
      <c r="C3897">
        <v>64425</v>
      </c>
      <c r="D3897" t="s">
        <v>124</v>
      </c>
      <c r="E3897" s="7">
        <v>98.34</v>
      </c>
      <c r="F3897" t="s">
        <v>20</v>
      </c>
      <c r="G3897" t="s">
        <v>21</v>
      </c>
      <c r="H3897" t="str">
        <f>"11190753"</f>
        <v>11190753</v>
      </c>
      <c r="I3897" t="str">
        <f>"GROUND MAINTENANCE"</f>
        <v>GROUND MAINTENANCE</v>
      </c>
    </row>
    <row r="3898" spans="1:9" x14ac:dyDescent="0.25">
      <c r="A3898" s="6">
        <v>44021</v>
      </c>
      <c r="B3898" t="s">
        <v>26</v>
      </c>
      <c r="C3898">
        <v>64426</v>
      </c>
      <c r="D3898" t="s">
        <v>943</v>
      </c>
      <c r="E3898" s="7">
        <v>9665.7000000000007</v>
      </c>
      <c r="F3898" t="s">
        <v>20</v>
      </c>
      <c r="G3898" t="s">
        <v>21</v>
      </c>
      <c r="H3898" t="str">
        <f>"3903"</f>
        <v>3903</v>
      </c>
      <c r="I3898" t="str">
        <f>"CITY PANEL AND CANOPY UPG"</f>
        <v>CITY PANEL AND CANOPY UPG</v>
      </c>
    </row>
    <row r="3899" spans="1:9" x14ac:dyDescent="0.25">
      <c r="E3899" s="7"/>
      <c r="F3899" t="s">
        <v>20</v>
      </c>
      <c r="G3899" t="s">
        <v>21</v>
      </c>
      <c r="H3899" t="str">
        <f>"3904"</f>
        <v>3904</v>
      </c>
      <c r="I3899" t="str">
        <f>"NICKEL INDUSTRIAL CONTRACTORS"</f>
        <v>NICKEL INDUSTRIAL CONTRACTORS</v>
      </c>
    </row>
    <row r="3900" spans="1:9" x14ac:dyDescent="0.25">
      <c r="E3900" s="7"/>
      <c r="F3900" t="s">
        <v>20</v>
      </c>
      <c r="G3900" t="s">
        <v>21</v>
      </c>
      <c r="H3900" t="str">
        <f>"3910"</f>
        <v>3910</v>
      </c>
      <c r="I3900" t="str">
        <f>"POOL REPAIR"</f>
        <v>POOL REPAIR</v>
      </c>
    </row>
    <row r="3901" spans="1:9" x14ac:dyDescent="0.25">
      <c r="A3901" s="6">
        <v>44021</v>
      </c>
      <c r="B3901" t="s">
        <v>26</v>
      </c>
      <c r="C3901">
        <v>64427</v>
      </c>
      <c r="D3901" t="s">
        <v>123</v>
      </c>
      <c r="E3901" s="7">
        <v>157.66999999999999</v>
      </c>
      <c r="F3901" t="s">
        <v>20</v>
      </c>
      <c r="G3901" t="s">
        <v>21</v>
      </c>
      <c r="H3901" t="str">
        <f>"508857478001"</f>
        <v>508857478001</v>
      </c>
      <c r="I3901" t="str">
        <f>"BUSINESS CARDS GATORADE"</f>
        <v>BUSINESS CARDS GATORADE</v>
      </c>
    </row>
    <row r="3902" spans="1:9" x14ac:dyDescent="0.25">
      <c r="E3902" s="7"/>
      <c r="F3902" t="s">
        <v>20</v>
      </c>
      <c r="G3902" t="s">
        <v>21</v>
      </c>
      <c r="H3902" t="str">
        <f>"512769251001"</f>
        <v>512769251001</v>
      </c>
      <c r="I3902" t="str">
        <f>"OFFICE SUPPLIES"</f>
        <v>OFFICE SUPPLIES</v>
      </c>
    </row>
    <row r="3903" spans="1:9" x14ac:dyDescent="0.25">
      <c r="E3903" s="7"/>
      <c r="F3903" t="s">
        <v>20</v>
      </c>
      <c r="G3903" t="s">
        <v>21</v>
      </c>
      <c r="H3903" t="str">
        <f>"521775312001"</f>
        <v>521775312001</v>
      </c>
      <c r="I3903" t="str">
        <f>"OFFICE SUPPLIES"</f>
        <v>OFFICE SUPPLIES</v>
      </c>
    </row>
    <row r="3904" spans="1:9" x14ac:dyDescent="0.25">
      <c r="A3904" s="6">
        <v>44021</v>
      </c>
      <c r="B3904" t="s">
        <v>26</v>
      </c>
      <c r="C3904">
        <v>64428</v>
      </c>
      <c r="D3904" t="s">
        <v>218</v>
      </c>
      <c r="E3904" s="7">
        <v>130</v>
      </c>
      <c r="F3904" t="s">
        <v>20</v>
      </c>
      <c r="G3904" t="s">
        <v>21</v>
      </c>
      <c r="H3904" t="str">
        <f>"6352"</f>
        <v>6352</v>
      </c>
      <c r="I3904" t="str">
        <f>"2006 FORD F-350 TOWING"</f>
        <v>2006 FORD F-350 TOWING</v>
      </c>
    </row>
    <row r="3905" spans="1:9" x14ac:dyDescent="0.25">
      <c r="E3905" s="7"/>
      <c r="F3905" t="s">
        <v>20</v>
      </c>
      <c r="G3905" t="s">
        <v>21</v>
      </c>
      <c r="H3905" t="str">
        <f>"9512"</f>
        <v>9512</v>
      </c>
      <c r="I3905" t="str">
        <f>"TOWING 2005 FORD F-350"</f>
        <v>TOWING 2005 FORD F-350</v>
      </c>
    </row>
    <row r="3906" spans="1:9" x14ac:dyDescent="0.25">
      <c r="A3906" s="6">
        <v>44021</v>
      </c>
      <c r="B3906" t="s">
        <v>91</v>
      </c>
      <c r="C3906">
        <v>64429</v>
      </c>
      <c r="D3906" t="s">
        <v>92</v>
      </c>
      <c r="E3906" s="7">
        <v>57160.51</v>
      </c>
      <c r="F3906" t="s">
        <v>20</v>
      </c>
      <c r="G3906" t="s">
        <v>21</v>
      </c>
      <c r="H3906" t="str">
        <f>"RET202006028573"</f>
        <v>RET202006028573</v>
      </c>
      <c r="I3906" t="str">
        <f>"TMRS CITY OF FLORESVILLE"</f>
        <v>TMRS CITY OF FLORESVILLE</v>
      </c>
    </row>
    <row r="3907" spans="1:9" x14ac:dyDescent="0.25">
      <c r="E3907" s="7"/>
      <c r="F3907" t="s">
        <v>20</v>
      </c>
      <c r="G3907" t="s">
        <v>21</v>
      </c>
      <c r="H3907" t="str">
        <f>"RET202006168575"</f>
        <v>RET202006168575</v>
      </c>
      <c r="I3907" t="str">
        <f>"TMRS CITY OF FLORESVILLE"</f>
        <v>TMRS CITY OF FLORESVILLE</v>
      </c>
    </row>
    <row r="3908" spans="1:9" x14ac:dyDescent="0.25">
      <c r="E3908" s="7"/>
      <c r="F3908" t="s">
        <v>20</v>
      </c>
      <c r="G3908" t="s">
        <v>21</v>
      </c>
      <c r="H3908" t="str">
        <f>"RET202006308577"</f>
        <v>RET202006308577</v>
      </c>
      <c r="I3908" t="str">
        <f>"TMRS CITY OF FLORESVILLE"</f>
        <v>TMRS CITY OF FLORESVILLE</v>
      </c>
    </row>
    <row r="3909" spans="1:9" x14ac:dyDescent="0.25">
      <c r="A3909" s="6">
        <v>44021</v>
      </c>
      <c r="B3909" t="s">
        <v>91</v>
      </c>
      <c r="C3909">
        <v>64429</v>
      </c>
      <c r="D3909" t="s">
        <v>92</v>
      </c>
      <c r="E3909" s="7">
        <v>57160.51</v>
      </c>
      <c r="F3909" t="s">
        <v>20</v>
      </c>
      <c r="G3909" t="s">
        <v>93</v>
      </c>
      <c r="H3909" t="str">
        <f>"CHECK"</f>
        <v>CHECK</v>
      </c>
      <c r="I3909" t="str">
        <f>""</f>
        <v/>
      </c>
    </row>
    <row r="3910" spans="1:9" x14ac:dyDescent="0.25">
      <c r="A3910" s="6">
        <v>44021</v>
      </c>
      <c r="B3910" t="s">
        <v>26</v>
      </c>
      <c r="C3910">
        <v>64434</v>
      </c>
      <c r="D3910" t="s">
        <v>203</v>
      </c>
      <c r="E3910" s="7">
        <v>21.7</v>
      </c>
      <c r="F3910" t="s">
        <v>20</v>
      </c>
      <c r="G3910" t="s">
        <v>21</v>
      </c>
      <c r="H3910" t="str">
        <f>"269712"</f>
        <v>269712</v>
      </c>
      <c r="I3910" t="str">
        <f>"PHOSPHATE/NITRATE -WW"</f>
        <v>PHOSPHATE/NITRATE -WW</v>
      </c>
    </row>
    <row r="3911" spans="1:9" x14ac:dyDescent="0.25">
      <c r="A3911" s="6">
        <v>44021</v>
      </c>
      <c r="B3911" t="s">
        <v>26</v>
      </c>
      <c r="C3911">
        <v>64435</v>
      </c>
      <c r="D3911" t="s">
        <v>74</v>
      </c>
      <c r="E3911" s="7">
        <v>3541.99</v>
      </c>
      <c r="F3911" t="s">
        <v>20</v>
      </c>
      <c r="G3911" t="s">
        <v>21</v>
      </c>
      <c r="H3911" t="str">
        <f>"9857321159"</f>
        <v>9857321159</v>
      </c>
      <c r="I3911" t="str">
        <f>"VERIZON WIRELESS"</f>
        <v>VERIZON WIRELESS</v>
      </c>
    </row>
    <row r="3912" spans="1:9" x14ac:dyDescent="0.25">
      <c r="A3912" s="6">
        <v>44021</v>
      </c>
      <c r="B3912" t="s">
        <v>26</v>
      </c>
      <c r="C3912">
        <v>64436</v>
      </c>
      <c r="D3912" t="s">
        <v>202</v>
      </c>
      <c r="E3912" s="7">
        <v>940.73</v>
      </c>
      <c r="F3912" t="s">
        <v>20</v>
      </c>
      <c r="G3912" t="s">
        <v>21</v>
      </c>
      <c r="H3912" t="str">
        <f>"62128672"</f>
        <v>62128672</v>
      </c>
      <c r="I3912" t="str">
        <f>"A-2 BASE FOR WW"</f>
        <v>A-2 BASE FOR WW</v>
      </c>
    </row>
    <row r="3913" spans="1:9" x14ac:dyDescent="0.25">
      <c r="A3913" s="6">
        <v>44025</v>
      </c>
      <c r="B3913" t="s">
        <v>26</v>
      </c>
      <c r="C3913">
        <v>64437</v>
      </c>
      <c r="D3913" t="s">
        <v>472</v>
      </c>
      <c r="E3913" s="7">
        <v>411</v>
      </c>
      <c r="F3913" t="s">
        <v>20</v>
      </c>
      <c r="G3913" t="s">
        <v>21</v>
      </c>
      <c r="H3913" t="str">
        <f>"MYERS MYLAR 7.13"</f>
        <v>MYERS MYLAR 7.13</v>
      </c>
      <c r="I3913" t="str">
        <f>"WILSON COUNTY CLERK  EVA S. MA"</f>
        <v>WILSON COUNTY CLERK  EVA S. MA</v>
      </c>
    </row>
    <row r="3914" spans="1:9" x14ac:dyDescent="0.25">
      <c r="A3914" s="6">
        <v>44025</v>
      </c>
      <c r="B3914" t="s">
        <v>26</v>
      </c>
      <c r="C3914">
        <v>64438</v>
      </c>
      <c r="D3914" t="s">
        <v>472</v>
      </c>
      <c r="E3914" s="7">
        <v>111</v>
      </c>
      <c r="F3914" t="s">
        <v>20</v>
      </c>
      <c r="G3914" t="s">
        <v>21</v>
      </c>
      <c r="H3914" t="str">
        <f>"STARBUCKS 7.13"</f>
        <v>STARBUCKS 7.13</v>
      </c>
      <c r="I3914" t="str">
        <f>"WILSON COUNTY CLERK  EVA S. MA"</f>
        <v>WILSON COUNTY CLERK  EVA S. MA</v>
      </c>
    </row>
    <row r="3915" spans="1:9" x14ac:dyDescent="0.25">
      <c r="A3915" s="6">
        <v>44026</v>
      </c>
      <c r="B3915" t="s">
        <v>26</v>
      </c>
      <c r="C3915">
        <v>64446</v>
      </c>
      <c r="D3915" t="s">
        <v>51</v>
      </c>
      <c r="E3915" s="7">
        <v>346.31</v>
      </c>
      <c r="F3915" t="s">
        <v>20</v>
      </c>
      <c r="G3915" t="s">
        <v>21</v>
      </c>
      <c r="H3915" t="str">
        <f>"CLE202007148578"</f>
        <v>CLE202007148578</v>
      </c>
      <c r="I3915" t="str">
        <f>"CLEAT ONLY DUES"</f>
        <v>CLEAT ONLY DUES</v>
      </c>
    </row>
    <row r="3916" spans="1:9" x14ac:dyDescent="0.25">
      <c r="E3916" s="7"/>
      <c r="F3916" t="s">
        <v>20</v>
      </c>
      <c r="G3916" t="s">
        <v>21</v>
      </c>
      <c r="H3916" t="str">
        <f>"PDD202007148578"</f>
        <v>PDD202007148578</v>
      </c>
      <c r="I3916" t="str">
        <f>"POLICE OFFICERS ASSOC DUES"</f>
        <v>POLICE OFFICERS ASSOC DUES</v>
      </c>
    </row>
    <row r="3917" spans="1:9" x14ac:dyDescent="0.25">
      <c r="A3917" s="6">
        <v>44026</v>
      </c>
      <c r="B3917" t="s">
        <v>91</v>
      </c>
      <c r="C3917">
        <v>64447</v>
      </c>
      <c r="D3917" t="s">
        <v>90</v>
      </c>
      <c r="E3917" s="7">
        <v>101.1</v>
      </c>
      <c r="F3917" t="s">
        <v>20</v>
      </c>
      <c r="G3917" t="s">
        <v>21</v>
      </c>
      <c r="H3917" t="str">
        <f>"AFS202007148578"</f>
        <v>AFS202007148578</v>
      </c>
      <c r="I3917" t="str">
        <f>"AFLAC STD"</f>
        <v>AFLAC STD</v>
      </c>
    </row>
    <row r="3918" spans="1:9" x14ac:dyDescent="0.25">
      <c r="A3918" s="6">
        <v>44026</v>
      </c>
      <c r="B3918" t="s">
        <v>91</v>
      </c>
      <c r="C3918">
        <v>64447</v>
      </c>
      <c r="D3918" t="s">
        <v>90</v>
      </c>
      <c r="E3918" s="7">
        <v>101.1</v>
      </c>
      <c r="F3918" t="s">
        <v>20</v>
      </c>
      <c r="G3918" t="s">
        <v>93</v>
      </c>
      <c r="H3918" t="str">
        <f>"CHECK"</f>
        <v>CHECK</v>
      </c>
      <c r="I3918" t="str">
        <f>""</f>
        <v/>
      </c>
    </row>
    <row r="3919" spans="1:9" x14ac:dyDescent="0.25">
      <c r="A3919" s="6">
        <v>44026</v>
      </c>
      <c r="B3919" t="s">
        <v>26</v>
      </c>
      <c r="C3919">
        <v>64448</v>
      </c>
      <c r="D3919" t="s">
        <v>52</v>
      </c>
      <c r="E3919" s="7">
        <v>711.46</v>
      </c>
      <c r="F3919" t="s">
        <v>20</v>
      </c>
      <c r="G3919" t="s">
        <v>21</v>
      </c>
      <c r="H3919" t="str">
        <f>"CA1202007148578"</f>
        <v>CA1202007148578</v>
      </c>
      <c r="I3919" t="str">
        <f>"K RAMIREZ 001200229510060343CV"</f>
        <v>K RAMIREZ 001200229510060343CV</v>
      </c>
    </row>
    <row r="3920" spans="1:9" x14ac:dyDescent="0.25">
      <c r="E3920" s="7"/>
      <c r="F3920" t="s">
        <v>20</v>
      </c>
      <c r="G3920" t="s">
        <v>21</v>
      </c>
      <c r="H3920" t="str">
        <f>"CA2202007148578"</f>
        <v>CA2202007148578</v>
      </c>
      <c r="I3920" t="str">
        <f>"L HERNANDEZ 001016025203080354"</f>
        <v>L HERNANDEZ 001016025203080354</v>
      </c>
    </row>
    <row r="3921" spans="1:9" x14ac:dyDescent="0.25">
      <c r="E3921" s="7"/>
      <c r="F3921" t="s">
        <v>20</v>
      </c>
      <c r="G3921" t="s">
        <v>21</v>
      </c>
      <c r="H3921" t="str">
        <f>"CA3202007148578"</f>
        <v>CA3202007148578</v>
      </c>
      <c r="I3921" t="str">
        <f>"00120788612011EM5023JOLENEGARC"</f>
        <v>00120788612011EM5023JOLENEGARC</v>
      </c>
    </row>
    <row r="3922" spans="1:9" x14ac:dyDescent="0.25">
      <c r="E3922" s="7"/>
      <c r="F3922" t="s">
        <v>20</v>
      </c>
      <c r="G3922" t="s">
        <v>21</v>
      </c>
      <c r="H3922" t="str">
        <f>"CPS202007148578"</f>
        <v>CPS202007148578</v>
      </c>
      <c r="I3922" t="str">
        <f>"G MENDOZA 00123012032010EM5054"</f>
        <v>G MENDOZA 00123012032010EM5054</v>
      </c>
    </row>
    <row r="3923" spans="1:9" x14ac:dyDescent="0.25">
      <c r="E3923" s="7"/>
      <c r="F3923" t="s">
        <v>20</v>
      </c>
      <c r="G3923" t="s">
        <v>21</v>
      </c>
      <c r="H3923" t="str">
        <f>"CSA202007148578"</f>
        <v>CSA202007148578</v>
      </c>
      <c r="I3923" t="str">
        <f>"S RODRIGUEZ 001281730413050336"</f>
        <v>S RODRIGUEZ 001281730413050336</v>
      </c>
    </row>
    <row r="3924" spans="1:9" x14ac:dyDescent="0.25">
      <c r="A3924" s="6">
        <v>44026</v>
      </c>
      <c r="B3924" t="s">
        <v>26</v>
      </c>
      <c r="C3924">
        <v>64449</v>
      </c>
      <c r="D3924" t="s">
        <v>54</v>
      </c>
      <c r="E3924" s="7">
        <v>945.82</v>
      </c>
      <c r="F3924" t="s">
        <v>20</v>
      </c>
      <c r="G3924" t="s">
        <v>21</v>
      </c>
      <c r="H3924" t="str">
        <f>"457202007148578"</f>
        <v>457202007148578</v>
      </c>
      <c r="I3924" t="str">
        <f>"CASE # 180-60751 457B DEDUCT"</f>
        <v>CASE # 180-60751 457B DEDUCT</v>
      </c>
    </row>
    <row r="3925" spans="1:9" x14ac:dyDescent="0.25">
      <c r="A3925" s="6">
        <v>44029</v>
      </c>
      <c r="B3925" t="s">
        <v>26</v>
      </c>
      <c r="C3925">
        <v>64450</v>
      </c>
      <c r="D3925" t="s">
        <v>57</v>
      </c>
      <c r="E3925" s="7">
        <v>1192.9000000000001</v>
      </c>
      <c r="F3925" t="s">
        <v>20</v>
      </c>
      <c r="G3925" t="s">
        <v>21</v>
      </c>
      <c r="H3925" t="str">
        <f>"11617 5/21-6/24/20"</f>
        <v>11617 5/21-6/24/20</v>
      </c>
      <c r="I3925" t="str">
        <f>"F.E.L.P.S."</f>
        <v>F.E.L.P.S.</v>
      </c>
    </row>
    <row r="3926" spans="1:9" x14ac:dyDescent="0.25">
      <c r="A3926" s="6">
        <v>44029</v>
      </c>
      <c r="B3926" t="s">
        <v>26</v>
      </c>
      <c r="C3926">
        <v>64451</v>
      </c>
      <c r="D3926" t="s">
        <v>104</v>
      </c>
      <c r="E3926" s="7">
        <v>2233.31</v>
      </c>
      <c r="F3926" t="s">
        <v>20</v>
      </c>
      <c r="G3926" t="s">
        <v>21</v>
      </c>
      <c r="H3926" t="str">
        <f>"1429080603"</f>
        <v>1429080603</v>
      </c>
      <c r="I3926" t="str">
        <f>"WILSON COUNTY NEWS"</f>
        <v>WILSON COUNTY NEWS</v>
      </c>
    </row>
    <row r="3927" spans="1:9" x14ac:dyDescent="0.25">
      <c r="E3927" s="7"/>
      <c r="F3927" t="s">
        <v>20</v>
      </c>
      <c r="G3927" t="s">
        <v>21</v>
      </c>
      <c r="H3927" t="str">
        <f>"1429080610"</f>
        <v>1429080610</v>
      </c>
      <c r="I3927" t="str">
        <f>"WILSON COUNTY NEWS"</f>
        <v>WILSON COUNTY NEWS</v>
      </c>
    </row>
    <row r="3928" spans="1:9" x14ac:dyDescent="0.25">
      <c r="E3928" s="7"/>
      <c r="F3928" t="s">
        <v>20</v>
      </c>
      <c r="G3928" t="s">
        <v>21</v>
      </c>
      <c r="H3928" t="str">
        <f>"5027009794"</f>
        <v>5027009794</v>
      </c>
      <c r="I3928" t="str">
        <f>"WILSON COUNTY NEWS"</f>
        <v>WILSON COUNTY NEWS</v>
      </c>
    </row>
    <row r="3929" spans="1:9" x14ac:dyDescent="0.25">
      <c r="E3929" s="7"/>
      <c r="F3929" t="s">
        <v>20</v>
      </c>
      <c r="G3929" t="s">
        <v>21</v>
      </c>
      <c r="H3929" t="str">
        <f>"5027009798"</f>
        <v>5027009798</v>
      </c>
      <c r="I3929" t="str">
        <f>"WILSON COUNTY NEWS"</f>
        <v>WILSON COUNTY NEWS</v>
      </c>
    </row>
    <row r="3930" spans="1:9" x14ac:dyDescent="0.25">
      <c r="A3930" s="6">
        <v>44029</v>
      </c>
      <c r="B3930" t="s">
        <v>91</v>
      </c>
      <c r="C3930">
        <v>64452</v>
      </c>
      <c r="D3930" t="s">
        <v>944</v>
      </c>
      <c r="E3930" s="7">
        <v>92.44</v>
      </c>
      <c r="F3930" t="s">
        <v>20</v>
      </c>
      <c r="G3930" t="s">
        <v>21</v>
      </c>
      <c r="H3930" t="str">
        <f>"9857321160"</f>
        <v>9857321160</v>
      </c>
      <c r="I3930" t="str">
        <f>"VERIZON"</f>
        <v>VERIZON</v>
      </c>
    </row>
    <row r="3931" spans="1:9" x14ac:dyDescent="0.25">
      <c r="A3931" s="6">
        <v>44029</v>
      </c>
      <c r="B3931" t="s">
        <v>26</v>
      </c>
      <c r="C3931">
        <v>64453</v>
      </c>
      <c r="D3931" t="s">
        <v>168</v>
      </c>
      <c r="E3931" s="7">
        <v>2044</v>
      </c>
      <c r="F3931" t="s">
        <v>20</v>
      </c>
      <c r="G3931" t="s">
        <v>21</v>
      </c>
      <c r="H3931" t="str">
        <f>"LI-7118"</f>
        <v>LI-7118</v>
      </c>
      <c r="I3931" t="str">
        <f>"BEXAR COUNTY AUDITOR/ATTN:CRIM"</f>
        <v>BEXAR COUNTY AUDITOR/ATTN:CRIM</v>
      </c>
    </row>
    <row r="3932" spans="1:9" x14ac:dyDescent="0.25">
      <c r="E3932" s="7"/>
      <c r="F3932" t="s">
        <v>20</v>
      </c>
      <c r="G3932" t="s">
        <v>21</v>
      </c>
      <c r="H3932" t="str">
        <f>"LI-7119"</f>
        <v>LI-7119</v>
      </c>
      <c r="I3932" t="str">
        <f>"BEXAR COUNTY AUDITOR/ATTN:CRIM"</f>
        <v>BEXAR COUNTY AUDITOR/ATTN:CRIM</v>
      </c>
    </row>
    <row r="3933" spans="1:9" x14ac:dyDescent="0.25">
      <c r="A3933" s="6">
        <v>44029</v>
      </c>
      <c r="B3933" t="s">
        <v>26</v>
      </c>
      <c r="C3933">
        <v>64454</v>
      </c>
      <c r="D3933" t="s">
        <v>425</v>
      </c>
      <c r="E3933" s="7">
        <v>108.75</v>
      </c>
      <c r="F3933" t="s">
        <v>20</v>
      </c>
      <c r="G3933" t="s">
        <v>21</v>
      </c>
      <c r="H3933" t="str">
        <f>"397175"</f>
        <v>397175</v>
      </c>
      <c r="I3933" t="str">
        <f>"SUN BADGE CO."</f>
        <v>SUN BADGE CO.</v>
      </c>
    </row>
    <row r="3934" spans="1:9" x14ac:dyDescent="0.25">
      <c r="A3934" s="6">
        <v>44029</v>
      </c>
      <c r="B3934" t="s">
        <v>26</v>
      </c>
      <c r="C3934">
        <v>64455</v>
      </c>
      <c r="D3934" t="s">
        <v>63</v>
      </c>
      <c r="E3934" s="7">
        <v>605.80999999999995</v>
      </c>
      <c r="F3934" t="s">
        <v>20</v>
      </c>
      <c r="G3934" t="s">
        <v>21</v>
      </c>
      <c r="H3934" t="str">
        <f>"4047161945"</f>
        <v>4047161945</v>
      </c>
      <c r="I3934" t="str">
        <f>"CINTAS CORPORATION"</f>
        <v>CINTAS CORPORATION</v>
      </c>
    </row>
    <row r="3935" spans="1:9" x14ac:dyDescent="0.25">
      <c r="A3935" s="6">
        <v>44029</v>
      </c>
      <c r="B3935" t="s">
        <v>26</v>
      </c>
      <c r="C3935">
        <v>64456</v>
      </c>
      <c r="D3935" t="s">
        <v>64</v>
      </c>
      <c r="E3935" s="7">
        <v>3608</v>
      </c>
      <c r="F3935" t="s">
        <v>20</v>
      </c>
      <c r="G3935" t="s">
        <v>21</v>
      </c>
      <c r="H3935" t="str">
        <f>"8178"</f>
        <v>8178</v>
      </c>
      <c r="I3935" t="str">
        <f>"DREWA DESIGNS  INC."</f>
        <v>DREWA DESIGNS  INC.</v>
      </c>
    </row>
    <row r="3936" spans="1:9" x14ac:dyDescent="0.25">
      <c r="A3936" s="6">
        <v>44029</v>
      </c>
      <c r="B3936" t="s">
        <v>26</v>
      </c>
      <c r="C3936">
        <v>64457</v>
      </c>
      <c r="D3936" t="s">
        <v>368</v>
      </c>
      <c r="E3936" s="7">
        <v>15000</v>
      </c>
      <c r="F3936" t="s">
        <v>20</v>
      </c>
      <c r="G3936" t="s">
        <v>21</v>
      </c>
      <c r="H3936" t="str">
        <f>"4TH QRT"</f>
        <v>4TH QRT</v>
      </c>
      <c r="I3936" t="str">
        <f>"FLORESVILLE FIRE DEPARTMENT"</f>
        <v>FLORESVILLE FIRE DEPARTMENT</v>
      </c>
    </row>
    <row r="3937" spans="1:9" x14ac:dyDescent="0.25">
      <c r="A3937" s="6">
        <v>44029</v>
      </c>
      <c r="B3937" t="s">
        <v>91</v>
      </c>
      <c r="C3937">
        <v>64458</v>
      </c>
      <c r="D3937" t="s">
        <v>95</v>
      </c>
      <c r="E3937" s="7">
        <v>29.99</v>
      </c>
      <c r="F3937" t="s">
        <v>20</v>
      </c>
      <c r="G3937" t="s">
        <v>21</v>
      </c>
      <c r="H3937" t="str">
        <f>"LEA202007148578"</f>
        <v>LEA202007148578</v>
      </c>
      <c r="I3937" t="str">
        <f>"INSURANCE"</f>
        <v>INSURANCE</v>
      </c>
    </row>
    <row r="3938" spans="1:9" x14ac:dyDescent="0.25">
      <c r="A3938" s="6">
        <v>44029</v>
      </c>
      <c r="B3938" t="s">
        <v>91</v>
      </c>
      <c r="C3938">
        <v>64458</v>
      </c>
      <c r="D3938" t="s">
        <v>95</v>
      </c>
      <c r="E3938" s="7">
        <v>29.99</v>
      </c>
      <c r="F3938" t="s">
        <v>20</v>
      </c>
      <c r="G3938" t="s">
        <v>93</v>
      </c>
      <c r="H3938" t="str">
        <f>"CHECK"</f>
        <v>CHECK</v>
      </c>
      <c r="I3938" t="str">
        <f>""</f>
        <v/>
      </c>
    </row>
    <row r="3939" spans="1:9" x14ac:dyDescent="0.25">
      <c r="A3939" s="6">
        <v>44029</v>
      </c>
      <c r="B3939" t="s">
        <v>26</v>
      </c>
      <c r="C3939">
        <v>64459</v>
      </c>
      <c r="D3939" t="s">
        <v>120</v>
      </c>
      <c r="E3939" s="7">
        <v>844.93</v>
      </c>
      <c r="F3939" t="s">
        <v>20</v>
      </c>
      <c r="G3939" t="s">
        <v>21</v>
      </c>
      <c r="H3939" t="str">
        <f>"71519621"</f>
        <v>71519621</v>
      </c>
      <c r="I3939" t="str">
        <f>"VERIZON BUSINESS"</f>
        <v>VERIZON BUSINESS</v>
      </c>
    </row>
    <row r="3940" spans="1:9" x14ac:dyDescent="0.25">
      <c r="A3940" s="6">
        <v>44029</v>
      </c>
      <c r="B3940" t="s">
        <v>26</v>
      </c>
      <c r="C3940">
        <v>64460</v>
      </c>
      <c r="D3940" t="s">
        <v>159</v>
      </c>
      <c r="E3940" s="7">
        <v>413.95</v>
      </c>
      <c r="F3940" t="s">
        <v>20</v>
      </c>
      <c r="G3940" t="s">
        <v>21</v>
      </c>
      <c r="H3940" t="str">
        <f>"2-3292"</f>
        <v>2-3292</v>
      </c>
      <c r="I3940" t="str">
        <f>"PHOTOGRAPHS BY JIM"</f>
        <v>PHOTOGRAPHS BY JIM</v>
      </c>
    </row>
    <row r="3941" spans="1:9" x14ac:dyDescent="0.25">
      <c r="A3941" s="6">
        <v>44029</v>
      </c>
      <c r="B3941" t="s">
        <v>91</v>
      </c>
      <c r="C3941">
        <v>64461</v>
      </c>
      <c r="D3941" t="s">
        <v>96</v>
      </c>
      <c r="E3941" s="7">
        <v>127.82</v>
      </c>
      <c r="F3941" t="s">
        <v>20</v>
      </c>
      <c r="G3941" t="s">
        <v>21</v>
      </c>
      <c r="H3941" t="str">
        <f>"PPL202007148578"</f>
        <v>PPL202007148578</v>
      </c>
      <c r="I3941" t="str">
        <f>"INSURANCE"</f>
        <v>INSURANCE</v>
      </c>
    </row>
    <row r="3942" spans="1:9" x14ac:dyDescent="0.25">
      <c r="A3942" s="6">
        <v>44029</v>
      </c>
      <c r="B3942" t="s">
        <v>91</v>
      </c>
      <c r="C3942">
        <v>64461</v>
      </c>
      <c r="D3942" t="s">
        <v>96</v>
      </c>
      <c r="E3942" s="7">
        <v>127.82</v>
      </c>
      <c r="F3942" t="s">
        <v>20</v>
      </c>
      <c r="G3942" t="s">
        <v>93</v>
      </c>
      <c r="H3942" t="str">
        <f>"CHECK"</f>
        <v>CHECK</v>
      </c>
      <c r="I3942" t="str">
        <f>""</f>
        <v/>
      </c>
    </row>
    <row r="3943" spans="1:9" x14ac:dyDescent="0.25">
      <c r="A3943" s="6">
        <v>44029</v>
      </c>
      <c r="B3943" t="s">
        <v>26</v>
      </c>
      <c r="C3943">
        <v>64462</v>
      </c>
      <c r="D3943" t="s">
        <v>282</v>
      </c>
      <c r="E3943" s="7">
        <v>4500</v>
      </c>
      <c r="F3943" t="s">
        <v>20</v>
      </c>
      <c r="G3943" t="s">
        <v>21</v>
      </c>
      <c r="H3943" t="str">
        <f>"4017"</f>
        <v>4017</v>
      </c>
      <c r="I3943" t="str">
        <f>"LANGFORD COMMUNITY MANAGEMENT"</f>
        <v>LANGFORD COMMUNITY MANAGEMENT</v>
      </c>
    </row>
    <row r="3944" spans="1:9" x14ac:dyDescent="0.25">
      <c r="A3944" s="6">
        <v>44029</v>
      </c>
      <c r="B3944" t="s">
        <v>26</v>
      </c>
      <c r="C3944">
        <v>64463</v>
      </c>
      <c r="D3944" t="s">
        <v>126</v>
      </c>
      <c r="E3944" s="7">
        <v>96895.57</v>
      </c>
      <c r="F3944" t="s">
        <v>20</v>
      </c>
      <c r="G3944" t="s">
        <v>21</v>
      </c>
      <c r="H3944" t="str">
        <f>"0859-002592296"</f>
        <v>0859-002592296</v>
      </c>
      <c r="I3944" t="str">
        <f>"REPUBLIC SERVICES #859"</f>
        <v>REPUBLIC SERVICES #859</v>
      </c>
    </row>
    <row r="3945" spans="1:9" x14ac:dyDescent="0.25">
      <c r="E3945" s="7"/>
      <c r="F3945" t="s">
        <v>20</v>
      </c>
      <c r="G3945" t="s">
        <v>21</v>
      </c>
      <c r="H3945" t="str">
        <f>"0859-002596687"</f>
        <v>0859-002596687</v>
      </c>
      <c r="I3945" t="str">
        <f>"REPUBLIC SERVICES #859"</f>
        <v>REPUBLIC SERVICES #859</v>
      </c>
    </row>
    <row r="3946" spans="1:9" x14ac:dyDescent="0.25">
      <c r="A3946" s="6">
        <v>44029</v>
      </c>
      <c r="B3946" t="s">
        <v>26</v>
      </c>
      <c r="C3946">
        <v>64464</v>
      </c>
      <c r="D3946" t="s">
        <v>85</v>
      </c>
      <c r="E3946" s="7">
        <v>8071.45</v>
      </c>
      <c r="F3946" t="s">
        <v>20</v>
      </c>
      <c r="G3946" t="s">
        <v>21</v>
      </c>
      <c r="H3946" t="str">
        <f>"2162691 JUNE2020"</f>
        <v>2162691 JUNE2020</v>
      </c>
      <c r="I3946" t="str">
        <f t="shared" ref="I3946:I3956" si="82">"FRONTIER"</f>
        <v>FRONTIER</v>
      </c>
    </row>
    <row r="3947" spans="1:9" x14ac:dyDescent="0.25">
      <c r="E3947" s="7"/>
      <c r="F3947" t="s">
        <v>20</v>
      </c>
      <c r="G3947" t="s">
        <v>21</v>
      </c>
      <c r="H3947" t="str">
        <f>"3933718 MAY2020"</f>
        <v>3933718 MAY2020</v>
      </c>
      <c r="I3947" t="str">
        <f t="shared" si="82"/>
        <v>FRONTIER</v>
      </c>
    </row>
    <row r="3948" spans="1:9" x14ac:dyDescent="0.25">
      <c r="E3948" s="7"/>
      <c r="F3948" t="s">
        <v>20</v>
      </c>
      <c r="G3948" t="s">
        <v>21</v>
      </c>
      <c r="H3948" t="str">
        <f>"8301970025"</f>
        <v>8301970025</v>
      </c>
      <c r="I3948" t="str">
        <f t="shared" si="82"/>
        <v>FRONTIER</v>
      </c>
    </row>
    <row r="3949" spans="1:9" x14ac:dyDescent="0.25">
      <c r="E3949" s="7"/>
      <c r="F3949" t="s">
        <v>20</v>
      </c>
      <c r="G3949" t="s">
        <v>21</v>
      </c>
      <c r="H3949" t="str">
        <f>"8301970025JUNE JUL"</f>
        <v>8301970025JUNE JUL</v>
      </c>
      <c r="I3949" t="str">
        <f t="shared" si="82"/>
        <v>FRONTIER</v>
      </c>
    </row>
    <row r="3950" spans="1:9" x14ac:dyDescent="0.25">
      <c r="E3950" s="7"/>
      <c r="F3950" t="s">
        <v>20</v>
      </c>
      <c r="G3950" t="s">
        <v>21</v>
      </c>
      <c r="H3950" t="str">
        <f>"8301970046"</f>
        <v>8301970046</v>
      </c>
      <c r="I3950" t="str">
        <f t="shared" si="82"/>
        <v>FRONTIER</v>
      </c>
    </row>
    <row r="3951" spans="1:9" x14ac:dyDescent="0.25">
      <c r="E3951" s="7"/>
      <c r="F3951" t="s">
        <v>20</v>
      </c>
      <c r="G3951" t="s">
        <v>21</v>
      </c>
      <c r="H3951" t="str">
        <f>"8303930579 JULY"</f>
        <v>8303930579 JULY</v>
      </c>
      <c r="I3951" t="str">
        <f t="shared" si="82"/>
        <v>FRONTIER</v>
      </c>
    </row>
    <row r="3952" spans="1:9" x14ac:dyDescent="0.25">
      <c r="E3952" s="7"/>
      <c r="F3952" t="s">
        <v>20</v>
      </c>
      <c r="G3952" t="s">
        <v>21</v>
      </c>
      <c r="H3952" t="str">
        <f>"8303933108 JULY"</f>
        <v>8303933108 JULY</v>
      </c>
      <c r="I3952" t="str">
        <f t="shared" si="82"/>
        <v>FRONTIER</v>
      </c>
    </row>
    <row r="3953" spans="1:9" x14ac:dyDescent="0.25">
      <c r="E3953" s="7"/>
      <c r="F3953" t="s">
        <v>20</v>
      </c>
      <c r="G3953" t="s">
        <v>21</v>
      </c>
      <c r="H3953" t="str">
        <f>"8303934055 JULY"</f>
        <v>8303934055 JULY</v>
      </c>
      <c r="I3953" t="str">
        <f t="shared" si="82"/>
        <v>FRONTIER</v>
      </c>
    </row>
    <row r="3954" spans="1:9" x14ac:dyDescent="0.25">
      <c r="E3954" s="7"/>
      <c r="F3954" t="s">
        <v>20</v>
      </c>
      <c r="G3954" t="s">
        <v>21</v>
      </c>
      <c r="H3954" t="str">
        <f>"8303934055 JUNE"</f>
        <v>8303934055 JUNE</v>
      </c>
      <c r="I3954" t="str">
        <f t="shared" si="82"/>
        <v>FRONTIER</v>
      </c>
    </row>
    <row r="3955" spans="1:9" x14ac:dyDescent="0.25">
      <c r="E3955" s="7"/>
      <c r="F3955" t="s">
        <v>20</v>
      </c>
      <c r="G3955" t="s">
        <v>21</v>
      </c>
      <c r="H3955" t="str">
        <f>"8303937070 JULY"</f>
        <v>8303937070 JULY</v>
      </c>
      <c r="I3955" t="str">
        <f t="shared" si="82"/>
        <v>FRONTIER</v>
      </c>
    </row>
    <row r="3956" spans="1:9" x14ac:dyDescent="0.25">
      <c r="E3956" s="7"/>
      <c r="F3956" t="s">
        <v>20</v>
      </c>
      <c r="G3956" t="s">
        <v>21</v>
      </c>
      <c r="H3956" t="str">
        <f>"8303939791 JULY"</f>
        <v>8303939791 JULY</v>
      </c>
      <c r="I3956" t="str">
        <f t="shared" si="82"/>
        <v>FRONTIER</v>
      </c>
    </row>
    <row r="3957" spans="1:9" x14ac:dyDescent="0.25">
      <c r="A3957" s="6">
        <v>44029</v>
      </c>
      <c r="B3957" t="s">
        <v>26</v>
      </c>
      <c r="C3957">
        <v>64467</v>
      </c>
      <c r="D3957" t="s">
        <v>345</v>
      </c>
      <c r="E3957" s="7">
        <v>275</v>
      </c>
      <c r="F3957" t="s">
        <v>20</v>
      </c>
      <c r="G3957" t="s">
        <v>21</v>
      </c>
      <c r="H3957" t="str">
        <f>"6.13.2020"</f>
        <v>6.13.2020</v>
      </c>
      <c r="I3957" t="str">
        <f>"MICHAEL ISAAC MARTINEZ"</f>
        <v>MICHAEL ISAAC MARTINEZ</v>
      </c>
    </row>
    <row r="3958" spans="1:9" x14ac:dyDescent="0.25">
      <c r="A3958" s="6">
        <v>44029</v>
      </c>
      <c r="B3958" t="s">
        <v>26</v>
      </c>
      <c r="C3958">
        <v>64468</v>
      </c>
      <c r="D3958" t="s">
        <v>346</v>
      </c>
      <c r="E3958" s="7">
        <v>13750</v>
      </c>
      <c r="F3958" t="s">
        <v>20</v>
      </c>
      <c r="G3958" t="s">
        <v>21</v>
      </c>
      <c r="H3958" t="str">
        <f>"6/11-7/11/2020"</f>
        <v>6/11-7/11/2020</v>
      </c>
      <c r="I3958" t="str">
        <f>"SYLVIA RODRIGUEZ"</f>
        <v>SYLVIA RODRIGUEZ</v>
      </c>
    </row>
    <row r="3959" spans="1:9" x14ac:dyDescent="0.25">
      <c r="A3959" s="6">
        <v>44029</v>
      </c>
      <c r="B3959" t="s">
        <v>26</v>
      </c>
      <c r="C3959">
        <v>64469</v>
      </c>
      <c r="D3959" t="s">
        <v>398</v>
      </c>
      <c r="E3959" s="7">
        <v>55</v>
      </c>
      <c r="F3959" t="s">
        <v>20</v>
      </c>
      <c r="G3959" t="s">
        <v>21</v>
      </c>
      <c r="H3959" t="str">
        <f>"20200709"</f>
        <v>20200709</v>
      </c>
      <c r="I3959" t="str">
        <f>"INTERCEPTOR TECHNOLOGY GROUP L"</f>
        <v>INTERCEPTOR TECHNOLOGY GROUP L</v>
      </c>
    </row>
    <row r="3960" spans="1:9" x14ac:dyDescent="0.25">
      <c r="A3960" s="6">
        <v>44029</v>
      </c>
      <c r="B3960" t="s">
        <v>26</v>
      </c>
      <c r="C3960">
        <v>64470</v>
      </c>
      <c r="D3960" t="s">
        <v>644</v>
      </c>
      <c r="E3960" s="7">
        <v>2457.23</v>
      </c>
      <c r="F3960" t="s">
        <v>20</v>
      </c>
      <c r="G3960" t="s">
        <v>21</v>
      </c>
      <c r="H3960" t="str">
        <f>"82134449038"</f>
        <v>82134449038</v>
      </c>
      <c r="I3960" t="str">
        <f t="shared" ref="I3960:I3986" si="83">"UNIFIRST CORPORATION"</f>
        <v>UNIFIRST CORPORATION</v>
      </c>
    </row>
    <row r="3961" spans="1:9" x14ac:dyDescent="0.25">
      <c r="E3961" s="7"/>
      <c r="F3961" t="s">
        <v>20</v>
      </c>
      <c r="G3961" t="s">
        <v>21</v>
      </c>
      <c r="H3961" t="str">
        <f>"8213449037"</f>
        <v>8213449037</v>
      </c>
      <c r="I3961" t="str">
        <f t="shared" si="83"/>
        <v>UNIFIRST CORPORATION</v>
      </c>
    </row>
    <row r="3962" spans="1:9" x14ac:dyDescent="0.25">
      <c r="E3962" s="7"/>
      <c r="F3962" t="s">
        <v>20</v>
      </c>
      <c r="G3962" t="s">
        <v>21</v>
      </c>
      <c r="H3962" t="str">
        <f>"8213449039"</f>
        <v>8213449039</v>
      </c>
      <c r="I3962" t="str">
        <f t="shared" si="83"/>
        <v>UNIFIRST CORPORATION</v>
      </c>
    </row>
    <row r="3963" spans="1:9" x14ac:dyDescent="0.25">
      <c r="E3963" s="7"/>
      <c r="F3963" t="s">
        <v>20</v>
      </c>
      <c r="G3963" t="s">
        <v>21</v>
      </c>
      <c r="H3963" t="str">
        <f>"8213449040"</f>
        <v>8213449040</v>
      </c>
      <c r="I3963" t="str">
        <f t="shared" si="83"/>
        <v>UNIFIRST CORPORATION</v>
      </c>
    </row>
    <row r="3964" spans="1:9" x14ac:dyDescent="0.25">
      <c r="E3964" s="7"/>
      <c r="F3964" t="s">
        <v>20</v>
      </c>
      <c r="G3964" t="s">
        <v>21</v>
      </c>
      <c r="H3964" t="str">
        <f>"8213449041"</f>
        <v>8213449041</v>
      </c>
      <c r="I3964" t="str">
        <f t="shared" si="83"/>
        <v>UNIFIRST CORPORATION</v>
      </c>
    </row>
    <row r="3965" spans="1:9" x14ac:dyDescent="0.25">
      <c r="E3965" s="7"/>
      <c r="F3965" t="s">
        <v>20</v>
      </c>
      <c r="G3965" t="s">
        <v>21</v>
      </c>
      <c r="H3965" t="str">
        <f>"8213449042"</f>
        <v>8213449042</v>
      </c>
      <c r="I3965" t="str">
        <f t="shared" si="83"/>
        <v>UNIFIRST CORPORATION</v>
      </c>
    </row>
    <row r="3966" spans="1:9" x14ac:dyDescent="0.25">
      <c r="E3966" s="7"/>
      <c r="F3966" t="s">
        <v>20</v>
      </c>
      <c r="G3966" t="s">
        <v>21</v>
      </c>
      <c r="H3966" t="str">
        <f>"8213449043"</f>
        <v>8213449043</v>
      </c>
      <c r="I3966" t="str">
        <f t="shared" si="83"/>
        <v>UNIFIRST CORPORATION</v>
      </c>
    </row>
    <row r="3967" spans="1:9" x14ac:dyDescent="0.25">
      <c r="E3967" s="7"/>
      <c r="F3967" t="s">
        <v>20</v>
      </c>
      <c r="G3967" t="s">
        <v>21</v>
      </c>
      <c r="H3967" t="str">
        <f>"8213451694"</f>
        <v>8213451694</v>
      </c>
      <c r="I3967" t="str">
        <f t="shared" si="83"/>
        <v>UNIFIRST CORPORATION</v>
      </c>
    </row>
    <row r="3968" spans="1:9" x14ac:dyDescent="0.25">
      <c r="E3968" s="7"/>
      <c r="F3968" t="s">
        <v>20</v>
      </c>
      <c r="G3968" t="s">
        <v>21</v>
      </c>
      <c r="H3968" t="str">
        <f>"8213451695"</f>
        <v>8213451695</v>
      </c>
      <c r="I3968" t="str">
        <f t="shared" si="83"/>
        <v>UNIFIRST CORPORATION</v>
      </c>
    </row>
    <row r="3969" spans="5:9" x14ac:dyDescent="0.25">
      <c r="E3969" s="7"/>
      <c r="F3969" t="s">
        <v>20</v>
      </c>
      <c r="G3969" t="s">
        <v>21</v>
      </c>
      <c r="H3969" t="str">
        <f>"8213451696"</f>
        <v>8213451696</v>
      </c>
      <c r="I3969" t="str">
        <f t="shared" si="83"/>
        <v>UNIFIRST CORPORATION</v>
      </c>
    </row>
    <row r="3970" spans="5:9" x14ac:dyDescent="0.25">
      <c r="E3970" s="7"/>
      <c r="F3970" t="s">
        <v>20</v>
      </c>
      <c r="G3970" t="s">
        <v>21</v>
      </c>
      <c r="H3970" t="str">
        <f>"8213451697"</f>
        <v>8213451697</v>
      </c>
      <c r="I3970" t="str">
        <f t="shared" si="83"/>
        <v>UNIFIRST CORPORATION</v>
      </c>
    </row>
    <row r="3971" spans="5:9" x14ac:dyDescent="0.25">
      <c r="E3971" s="7"/>
      <c r="F3971" t="s">
        <v>20</v>
      </c>
      <c r="G3971" t="s">
        <v>21</v>
      </c>
      <c r="H3971" t="str">
        <f>"8213451698"</f>
        <v>8213451698</v>
      </c>
      <c r="I3971" t="str">
        <f t="shared" si="83"/>
        <v>UNIFIRST CORPORATION</v>
      </c>
    </row>
    <row r="3972" spans="5:9" x14ac:dyDescent="0.25">
      <c r="E3972" s="7"/>
      <c r="F3972" t="s">
        <v>20</v>
      </c>
      <c r="G3972" t="s">
        <v>21</v>
      </c>
      <c r="H3972" t="str">
        <f>"8213451699"</f>
        <v>8213451699</v>
      </c>
      <c r="I3972" t="str">
        <f t="shared" si="83"/>
        <v>UNIFIRST CORPORATION</v>
      </c>
    </row>
    <row r="3973" spans="5:9" x14ac:dyDescent="0.25">
      <c r="E3973" s="7"/>
      <c r="F3973" t="s">
        <v>20</v>
      </c>
      <c r="G3973" t="s">
        <v>21</v>
      </c>
      <c r="H3973" t="str">
        <f>"8213451700"</f>
        <v>8213451700</v>
      </c>
      <c r="I3973" t="str">
        <f t="shared" si="83"/>
        <v>UNIFIRST CORPORATION</v>
      </c>
    </row>
    <row r="3974" spans="5:9" x14ac:dyDescent="0.25">
      <c r="E3974" s="7"/>
      <c r="F3974" t="s">
        <v>20</v>
      </c>
      <c r="G3974" t="s">
        <v>21</v>
      </c>
      <c r="H3974" t="str">
        <f>"8213454356"</f>
        <v>8213454356</v>
      </c>
      <c r="I3974" t="str">
        <f t="shared" si="83"/>
        <v>UNIFIRST CORPORATION</v>
      </c>
    </row>
    <row r="3975" spans="5:9" x14ac:dyDescent="0.25">
      <c r="E3975" s="7"/>
      <c r="F3975" t="s">
        <v>20</v>
      </c>
      <c r="G3975" t="s">
        <v>21</v>
      </c>
      <c r="H3975" t="str">
        <f>"8213454357"</f>
        <v>8213454357</v>
      </c>
      <c r="I3975" t="str">
        <f t="shared" si="83"/>
        <v>UNIFIRST CORPORATION</v>
      </c>
    </row>
    <row r="3976" spans="5:9" x14ac:dyDescent="0.25">
      <c r="E3976" s="7"/>
      <c r="F3976" t="s">
        <v>20</v>
      </c>
      <c r="G3976" t="s">
        <v>21</v>
      </c>
      <c r="H3976" t="str">
        <f>"8213454358"</f>
        <v>8213454358</v>
      </c>
      <c r="I3976" t="str">
        <f t="shared" si="83"/>
        <v>UNIFIRST CORPORATION</v>
      </c>
    </row>
    <row r="3977" spans="5:9" x14ac:dyDescent="0.25">
      <c r="E3977" s="7"/>
      <c r="F3977" t="s">
        <v>20</v>
      </c>
      <c r="G3977" t="s">
        <v>21</v>
      </c>
      <c r="H3977" t="str">
        <f>"8213454359"</f>
        <v>8213454359</v>
      </c>
      <c r="I3977" t="str">
        <f t="shared" si="83"/>
        <v>UNIFIRST CORPORATION</v>
      </c>
    </row>
    <row r="3978" spans="5:9" x14ac:dyDescent="0.25">
      <c r="E3978" s="7"/>
      <c r="F3978" t="s">
        <v>20</v>
      </c>
      <c r="G3978" t="s">
        <v>21</v>
      </c>
      <c r="H3978" t="str">
        <f>"8213454360"</f>
        <v>8213454360</v>
      </c>
      <c r="I3978" t="str">
        <f t="shared" si="83"/>
        <v>UNIFIRST CORPORATION</v>
      </c>
    </row>
    <row r="3979" spans="5:9" x14ac:dyDescent="0.25">
      <c r="E3979" s="7"/>
      <c r="F3979" t="s">
        <v>20</v>
      </c>
      <c r="G3979" t="s">
        <v>21</v>
      </c>
      <c r="H3979" t="str">
        <f>"8213454361"</f>
        <v>8213454361</v>
      </c>
      <c r="I3979" t="str">
        <f t="shared" si="83"/>
        <v>UNIFIRST CORPORATION</v>
      </c>
    </row>
    <row r="3980" spans="5:9" x14ac:dyDescent="0.25">
      <c r="E3980" s="7"/>
      <c r="F3980" t="s">
        <v>20</v>
      </c>
      <c r="G3980" t="s">
        <v>21</v>
      </c>
      <c r="H3980" t="str">
        <f>"8213454362"</f>
        <v>8213454362</v>
      </c>
      <c r="I3980" t="str">
        <f t="shared" si="83"/>
        <v>UNIFIRST CORPORATION</v>
      </c>
    </row>
    <row r="3981" spans="5:9" x14ac:dyDescent="0.25">
      <c r="E3981" s="7"/>
      <c r="F3981" t="s">
        <v>20</v>
      </c>
      <c r="G3981" t="s">
        <v>21</v>
      </c>
      <c r="H3981" t="str">
        <f>"8213480786"</f>
        <v>8213480786</v>
      </c>
      <c r="I3981" t="str">
        <f t="shared" si="83"/>
        <v>UNIFIRST CORPORATION</v>
      </c>
    </row>
    <row r="3982" spans="5:9" x14ac:dyDescent="0.25">
      <c r="E3982" s="7"/>
      <c r="F3982" t="s">
        <v>20</v>
      </c>
      <c r="G3982" t="s">
        <v>21</v>
      </c>
      <c r="H3982" t="str">
        <f>"8213480787"</f>
        <v>8213480787</v>
      </c>
      <c r="I3982" t="str">
        <f t="shared" si="83"/>
        <v>UNIFIRST CORPORATION</v>
      </c>
    </row>
    <row r="3983" spans="5:9" x14ac:dyDescent="0.25">
      <c r="E3983" s="7"/>
      <c r="F3983" t="s">
        <v>20</v>
      </c>
      <c r="G3983" t="s">
        <v>21</v>
      </c>
      <c r="H3983" t="str">
        <f>"8213480788"</f>
        <v>8213480788</v>
      </c>
      <c r="I3983" t="str">
        <f t="shared" si="83"/>
        <v>UNIFIRST CORPORATION</v>
      </c>
    </row>
    <row r="3984" spans="5:9" x14ac:dyDescent="0.25">
      <c r="E3984" s="7"/>
      <c r="F3984" t="s">
        <v>20</v>
      </c>
      <c r="G3984" t="s">
        <v>21</v>
      </c>
      <c r="H3984" t="str">
        <f>"8213480789"</f>
        <v>8213480789</v>
      </c>
      <c r="I3984" t="str">
        <f t="shared" si="83"/>
        <v>UNIFIRST CORPORATION</v>
      </c>
    </row>
    <row r="3985" spans="1:9" x14ac:dyDescent="0.25">
      <c r="E3985" s="7"/>
      <c r="F3985" t="s">
        <v>20</v>
      </c>
      <c r="G3985" t="s">
        <v>21</v>
      </c>
      <c r="H3985" t="str">
        <f>"8213480790"</f>
        <v>8213480790</v>
      </c>
      <c r="I3985" t="str">
        <f t="shared" si="83"/>
        <v>UNIFIRST CORPORATION</v>
      </c>
    </row>
    <row r="3986" spans="1:9" x14ac:dyDescent="0.25">
      <c r="E3986" s="7"/>
      <c r="F3986" t="s">
        <v>20</v>
      </c>
      <c r="G3986" t="s">
        <v>21</v>
      </c>
      <c r="H3986" t="str">
        <f>"8213480791"</f>
        <v>8213480791</v>
      </c>
      <c r="I3986" t="str">
        <f t="shared" si="83"/>
        <v>UNIFIRST CORPORATION</v>
      </c>
    </row>
    <row r="3987" spans="1:9" x14ac:dyDescent="0.25">
      <c r="A3987" s="6">
        <v>44029</v>
      </c>
      <c r="B3987" t="s">
        <v>26</v>
      </c>
      <c r="C3987">
        <v>64476</v>
      </c>
      <c r="D3987" t="s">
        <v>685</v>
      </c>
      <c r="E3987" s="7">
        <v>19.2</v>
      </c>
      <c r="F3987" t="s">
        <v>20</v>
      </c>
      <c r="G3987" t="s">
        <v>21</v>
      </c>
      <c r="H3987" t="str">
        <f>"12883A-5"</f>
        <v>12883A-5</v>
      </c>
      <c r="I3987" t="str">
        <f>"TEXAS STATE RENTALS; TEXAS STA"</f>
        <v>TEXAS STATE RENTALS; TEXAS STA</v>
      </c>
    </row>
    <row r="3988" spans="1:9" x14ac:dyDescent="0.25">
      <c r="A3988" s="6">
        <v>44029</v>
      </c>
      <c r="B3988" t="s">
        <v>26</v>
      </c>
      <c r="C3988">
        <v>64477</v>
      </c>
      <c r="D3988" t="s">
        <v>739</v>
      </c>
      <c r="E3988" s="7">
        <v>824.19</v>
      </c>
      <c r="F3988" t="s">
        <v>20</v>
      </c>
      <c r="G3988" t="s">
        <v>21</v>
      </c>
      <c r="H3988" t="str">
        <f>"287291275286X JUN"</f>
        <v>287291275286X JUN</v>
      </c>
      <c r="I3988" t="str">
        <f>"FIRSTNET/AT&amp;T MOBILITY LLC"</f>
        <v>FIRSTNET/AT&amp;T MOBILITY LLC</v>
      </c>
    </row>
    <row r="3989" spans="1:9" x14ac:dyDescent="0.25">
      <c r="A3989" s="6">
        <v>44029</v>
      </c>
      <c r="B3989" t="s">
        <v>26</v>
      </c>
      <c r="C3989">
        <v>64478</v>
      </c>
      <c r="D3989" t="s">
        <v>930</v>
      </c>
      <c r="E3989" s="7">
        <v>485</v>
      </c>
      <c r="F3989" t="s">
        <v>20</v>
      </c>
      <c r="G3989" t="s">
        <v>21</v>
      </c>
      <c r="H3989" t="str">
        <f>"6/28-7/11/2020"</f>
        <v>6/28-7/11/2020</v>
      </c>
      <c r="I3989" t="str">
        <f>"SAVANNAH TORRES"</f>
        <v>SAVANNAH TORRES</v>
      </c>
    </row>
    <row r="3990" spans="1:9" x14ac:dyDescent="0.25">
      <c r="A3990" s="6">
        <v>44029</v>
      </c>
      <c r="B3990" t="s">
        <v>26</v>
      </c>
      <c r="C3990">
        <v>64479</v>
      </c>
      <c r="D3990" t="s">
        <v>143</v>
      </c>
      <c r="E3990" s="7">
        <v>524.6</v>
      </c>
      <c r="F3990" t="s">
        <v>20</v>
      </c>
      <c r="G3990" t="s">
        <v>21</v>
      </c>
      <c r="H3990" t="str">
        <f>"9402281902"</f>
        <v>9402281902</v>
      </c>
      <c r="I3990" t="str">
        <f>"200 GALS OF OIL"</f>
        <v>200 GALS OF OIL</v>
      </c>
    </row>
    <row r="3991" spans="1:9" x14ac:dyDescent="0.25">
      <c r="A3991" s="6">
        <v>44029</v>
      </c>
      <c r="B3991" t="s">
        <v>26</v>
      </c>
      <c r="C3991">
        <v>64480</v>
      </c>
      <c r="D3991" t="s">
        <v>178</v>
      </c>
      <c r="E3991" s="7">
        <v>13073.91</v>
      </c>
      <c r="F3991" t="s">
        <v>20</v>
      </c>
      <c r="G3991" t="s">
        <v>21</v>
      </c>
      <c r="H3991" t="str">
        <f>"2020 POLARIS"</f>
        <v>2020 POLARIS</v>
      </c>
      <c r="I3991" t="str">
        <f>"2020 POLARIS RGR CREW"</f>
        <v>2020 POLARIS RGR CREW</v>
      </c>
    </row>
    <row r="3992" spans="1:9" x14ac:dyDescent="0.25">
      <c r="A3992" s="6">
        <v>44029</v>
      </c>
      <c r="B3992" t="s">
        <v>26</v>
      </c>
      <c r="C3992">
        <v>64481</v>
      </c>
      <c r="D3992" t="s">
        <v>104</v>
      </c>
      <c r="E3992" s="7">
        <v>131.33000000000001</v>
      </c>
      <c r="F3992" t="s">
        <v>20</v>
      </c>
      <c r="G3992" t="s">
        <v>21</v>
      </c>
      <c r="H3992" t="str">
        <f>"5027010386"</f>
        <v>5027010386</v>
      </c>
      <c r="I3992" t="str">
        <f>"NOTICE TO ADULT VICTIMS"</f>
        <v>NOTICE TO ADULT VICTIMS</v>
      </c>
    </row>
    <row r="3993" spans="1:9" x14ac:dyDescent="0.25">
      <c r="A3993" s="6">
        <v>44029</v>
      </c>
      <c r="B3993" t="s">
        <v>26</v>
      </c>
      <c r="C3993">
        <v>64482</v>
      </c>
      <c r="D3993" t="s">
        <v>59</v>
      </c>
      <c r="E3993" s="7">
        <v>15133.16</v>
      </c>
      <c r="F3993" t="s">
        <v>20</v>
      </c>
      <c r="G3993" t="s">
        <v>21</v>
      </c>
      <c r="H3993" t="str">
        <f>"1071436"</f>
        <v>1071436</v>
      </c>
      <c r="I3993" t="str">
        <f>"THE LINK SUBDIVISION"</f>
        <v>THE LINK SUBDIVISION</v>
      </c>
    </row>
    <row r="3994" spans="1:9" x14ac:dyDescent="0.25">
      <c r="A3994" s="6">
        <v>44029</v>
      </c>
      <c r="B3994" t="s">
        <v>26</v>
      </c>
      <c r="C3994">
        <v>64483</v>
      </c>
      <c r="D3994" t="s">
        <v>204</v>
      </c>
      <c r="E3994" s="7">
        <v>315</v>
      </c>
      <c r="F3994" t="s">
        <v>20</v>
      </c>
      <c r="G3994" t="s">
        <v>21</v>
      </c>
      <c r="H3994" t="str">
        <f>"003344"</f>
        <v>003344</v>
      </c>
      <c r="I3994" t="str">
        <f>"CALIBRATION AT WWTP"</f>
        <v>CALIBRATION AT WWTP</v>
      </c>
    </row>
    <row r="3995" spans="1:9" x14ac:dyDescent="0.25">
      <c r="A3995" s="6">
        <v>44029</v>
      </c>
      <c r="B3995" t="s">
        <v>26</v>
      </c>
      <c r="C3995">
        <v>64484</v>
      </c>
      <c r="D3995" t="s">
        <v>821</v>
      </c>
      <c r="E3995" s="7">
        <v>1270</v>
      </c>
      <c r="F3995" t="s">
        <v>20</v>
      </c>
      <c r="G3995" t="s">
        <v>21</v>
      </c>
      <c r="H3995" t="str">
        <f>"FRI7683"</f>
        <v>FRI7683</v>
      </c>
      <c r="I3995" t="str">
        <f>"EMERGENCY - AERATOR MOTOR"</f>
        <v>EMERGENCY - AERATOR MOTOR</v>
      </c>
    </row>
    <row r="3996" spans="1:9" x14ac:dyDescent="0.25">
      <c r="A3996" s="6">
        <v>44029</v>
      </c>
      <c r="B3996" t="s">
        <v>26</v>
      </c>
      <c r="C3996">
        <v>64485</v>
      </c>
      <c r="D3996" t="s">
        <v>218</v>
      </c>
      <c r="E3996" s="7">
        <v>65</v>
      </c>
      <c r="F3996" t="s">
        <v>20</v>
      </c>
      <c r="G3996" t="s">
        <v>21</v>
      </c>
      <c r="H3996" t="str">
        <f>"1629"</f>
        <v>1629</v>
      </c>
      <c r="I3996" t="str">
        <f>"P/U TAHOE FOR KEY REPLACE"</f>
        <v>P/U TAHOE FOR KEY REPLACE</v>
      </c>
    </row>
    <row r="3997" spans="1:9" x14ac:dyDescent="0.25">
      <c r="A3997" s="6">
        <v>44029</v>
      </c>
      <c r="B3997" t="s">
        <v>26</v>
      </c>
      <c r="C3997">
        <v>64486</v>
      </c>
      <c r="D3997" t="s">
        <v>685</v>
      </c>
      <c r="E3997" s="7">
        <v>2449.46</v>
      </c>
      <c r="F3997" t="s">
        <v>20</v>
      </c>
      <c r="G3997" t="s">
        <v>21</v>
      </c>
      <c r="H3997" t="str">
        <f>"12883-5"</f>
        <v>12883-5</v>
      </c>
      <c r="I3997" t="str">
        <f>"MUSTANG TRACK SKID STEER"</f>
        <v>MUSTANG TRACK SKID STEER</v>
      </c>
    </row>
    <row r="3998" spans="1:9" x14ac:dyDescent="0.25">
      <c r="A3998" s="6">
        <v>44029</v>
      </c>
      <c r="B3998" t="s">
        <v>26</v>
      </c>
      <c r="C3998">
        <v>64487</v>
      </c>
      <c r="D3998" t="s">
        <v>945</v>
      </c>
      <c r="E3998" s="7">
        <v>228</v>
      </c>
      <c r="F3998" t="s">
        <v>20</v>
      </c>
      <c r="G3998" t="s">
        <v>21</v>
      </c>
      <c r="H3998" t="str">
        <f>"4710068099"</f>
        <v>4710068099</v>
      </c>
      <c r="I3998" t="str">
        <f>"LAWN MOWER TIRES PARKS"</f>
        <v>LAWN MOWER TIRES PARKS</v>
      </c>
    </row>
    <row r="3999" spans="1:9" x14ac:dyDescent="0.25">
      <c r="A3999" s="6">
        <v>44029</v>
      </c>
      <c r="B3999" t="s">
        <v>26</v>
      </c>
      <c r="C3999">
        <v>64488</v>
      </c>
      <c r="D3999" t="s">
        <v>946</v>
      </c>
      <c r="E3999" s="7">
        <v>302.83</v>
      </c>
      <c r="F3999" t="s">
        <v>20</v>
      </c>
      <c r="G3999" t="s">
        <v>21</v>
      </c>
      <c r="H3999" t="str">
        <f>"20-0301"</f>
        <v>20-0301</v>
      </c>
      <c r="I3999" t="str">
        <f>"RIH-100XL HOBBLE"</f>
        <v>RIH-100XL HOBBLE</v>
      </c>
    </row>
    <row r="4000" spans="1:9" x14ac:dyDescent="0.25">
      <c r="A4000" s="6">
        <v>44029</v>
      </c>
      <c r="B4000" t="s">
        <v>26</v>
      </c>
      <c r="C4000">
        <v>64489</v>
      </c>
      <c r="D4000" t="s">
        <v>947</v>
      </c>
      <c r="E4000" s="7">
        <v>1383.87</v>
      </c>
      <c r="F4000" t="s">
        <v>20</v>
      </c>
      <c r="G4000" t="s">
        <v>21</v>
      </c>
      <c r="H4000" t="str">
        <f>"00177003"</f>
        <v>00177003</v>
      </c>
      <c r="I4000" t="str">
        <f>"PAINT FOR POOL"</f>
        <v>PAINT FOR POOL</v>
      </c>
    </row>
    <row r="4001" spans="1:9" x14ac:dyDescent="0.25">
      <c r="A4001" s="6">
        <v>44035</v>
      </c>
      <c r="B4001" t="s">
        <v>26</v>
      </c>
      <c r="C4001">
        <v>64490</v>
      </c>
      <c r="D4001" t="s">
        <v>56</v>
      </c>
      <c r="E4001" s="7">
        <v>370</v>
      </c>
      <c r="F4001" t="s">
        <v>20</v>
      </c>
      <c r="G4001" t="s">
        <v>21</v>
      </c>
      <c r="H4001" t="str">
        <f>"184960"</f>
        <v>184960</v>
      </c>
      <c r="I4001" t="str">
        <f>"WEED KILLER"</f>
        <v>WEED KILLER</v>
      </c>
    </row>
    <row r="4002" spans="1:9" x14ac:dyDescent="0.25">
      <c r="E4002" s="7"/>
      <c r="F4002" t="s">
        <v>20</v>
      </c>
      <c r="G4002" t="s">
        <v>21</v>
      </c>
      <c r="H4002" t="str">
        <f>"184961"</f>
        <v>184961</v>
      </c>
      <c r="I4002" t="str">
        <f>"CREDIT XTRA GLYPHOSATE"</f>
        <v>CREDIT XTRA GLYPHOSATE</v>
      </c>
    </row>
    <row r="4003" spans="1:9" x14ac:dyDescent="0.25">
      <c r="A4003" s="6">
        <v>44035</v>
      </c>
      <c r="B4003" t="s">
        <v>26</v>
      </c>
      <c r="C4003">
        <v>64491</v>
      </c>
      <c r="D4003" t="s">
        <v>102</v>
      </c>
      <c r="E4003" s="7">
        <v>103.72</v>
      </c>
      <c r="F4003" t="s">
        <v>20</v>
      </c>
      <c r="G4003" t="s">
        <v>21</v>
      </c>
      <c r="H4003" t="str">
        <f>"1120 D ST JULY2020"</f>
        <v>1120 D ST JULY2020</v>
      </c>
      <c r="I4003" t="str">
        <f>"CENTERPOINT ENERGY ENTEX"</f>
        <v>CENTERPOINT ENERGY ENTEX</v>
      </c>
    </row>
    <row r="4004" spans="1:9" x14ac:dyDescent="0.25">
      <c r="E4004" s="7"/>
      <c r="F4004" t="s">
        <v>20</v>
      </c>
      <c r="G4004" t="s">
        <v>21</v>
      </c>
      <c r="H4004" t="str">
        <f>"1200 1ST JULY2020"</f>
        <v>1200 1ST JULY2020</v>
      </c>
      <c r="I4004" t="str">
        <f>"CENTERPOINT ENERGY ENTEX"</f>
        <v>CENTERPOINT ENERGY ENTEX</v>
      </c>
    </row>
    <row r="4005" spans="1:9" x14ac:dyDescent="0.25">
      <c r="E4005" s="7"/>
      <c r="F4005" t="s">
        <v>20</v>
      </c>
      <c r="G4005" t="s">
        <v>21</v>
      </c>
      <c r="H4005" t="str">
        <f>"920 C. ST JULY2020"</f>
        <v>920 C. ST JULY2020</v>
      </c>
      <c r="I4005" t="str">
        <f>"CENTERPOINT ENERGY ENTEX"</f>
        <v>CENTERPOINT ENERGY ENTEX</v>
      </c>
    </row>
    <row r="4006" spans="1:9" x14ac:dyDescent="0.25">
      <c r="A4006" s="6">
        <v>44035</v>
      </c>
      <c r="B4006" t="s">
        <v>26</v>
      </c>
      <c r="C4006">
        <v>64492</v>
      </c>
      <c r="D4006" t="s">
        <v>57</v>
      </c>
      <c r="E4006" s="7">
        <v>10114.67</v>
      </c>
      <c r="F4006" t="s">
        <v>20</v>
      </c>
      <c r="G4006" t="s">
        <v>21</v>
      </c>
      <c r="H4006" t="str">
        <f>"33062 JULY 2020"</f>
        <v>33062 JULY 2020</v>
      </c>
      <c r="I4006" t="str">
        <f>"F.E.L.P.S."</f>
        <v>F.E.L.P.S.</v>
      </c>
    </row>
    <row r="4007" spans="1:9" x14ac:dyDescent="0.25">
      <c r="A4007" s="6">
        <v>44035</v>
      </c>
      <c r="B4007" t="s">
        <v>26</v>
      </c>
      <c r="C4007">
        <v>64493</v>
      </c>
      <c r="D4007" t="s">
        <v>178</v>
      </c>
      <c r="E4007" s="7">
        <v>52.98</v>
      </c>
      <c r="F4007" t="s">
        <v>20</v>
      </c>
      <c r="G4007" t="s">
        <v>21</v>
      </c>
      <c r="H4007" t="str">
        <f>"9009755"</f>
        <v>9009755</v>
      </c>
      <c r="I4007" t="str">
        <f>"WW OIL CHANGE-RANGER"</f>
        <v>WW OIL CHANGE-RANGER</v>
      </c>
    </row>
    <row r="4008" spans="1:9" x14ac:dyDescent="0.25">
      <c r="A4008" s="6">
        <v>44035</v>
      </c>
      <c r="B4008" t="s">
        <v>26</v>
      </c>
      <c r="C4008">
        <v>64494</v>
      </c>
      <c r="D4008" t="s">
        <v>58</v>
      </c>
      <c r="E4008" s="7">
        <v>330</v>
      </c>
      <c r="F4008" t="s">
        <v>20</v>
      </c>
      <c r="G4008" t="s">
        <v>21</v>
      </c>
      <c r="H4008" t="str">
        <f>"602660"</f>
        <v>602660</v>
      </c>
      <c r="I4008" t="str">
        <f>"DEASON ANIMAL HOSPITAL"</f>
        <v>DEASON ANIMAL HOSPITAL</v>
      </c>
    </row>
    <row r="4009" spans="1:9" x14ac:dyDescent="0.25">
      <c r="A4009" s="6">
        <v>44035</v>
      </c>
      <c r="B4009" t="s">
        <v>26</v>
      </c>
      <c r="C4009">
        <v>64495</v>
      </c>
      <c r="D4009" t="s">
        <v>105</v>
      </c>
      <c r="E4009" s="7">
        <v>35</v>
      </c>
      <c r="F4009" t="s">
        <v>20</v>
      </c>
      <c r="G4009" t="s">
        <v>21</v>
      </c>
      <c r="H4009" t="str">
        <f>"359166"</f>
        <v>359166</v>
      </c>
      <c r="I4009" t="str">
        <f>"INSPECTION PD UNIT 329"</f>
        <v>INSPECTION PD UNIT 329</v>
      </c>
    </row>
    <row r="4010" spans="1:9" x14ac:dyDescent="0.25">
      <c r="E4010" s="7"/>
      <c r="F4010" t="s">
        <v>20</v>
      </c>
      <c r="G4010" t="s">
        <v>21</v>
      </c>
      <c r="H4010" t="str">
        <f>"359174"</f>
        <v>359174</v>
      </c>
      <c r="I4010" t="str">
        <f>"INSPECTION UNIT 504 STREE"</f>
        <v>INSPECTION UNIT 504 STREE</v>
      </c>
    </row>
    <row r="4011" spans="1:9" x14ac:dyDescent="0.25">
      <c r="E4011" s="7"/>
      <c r="F4011" t="s">
        <v>20</v>
      </c>
      <c r="G4011" t="s">
        <v>21</v>
      </c>
      <c r="H4011" t="str">
        <f>"359185"</f>
        <v>359185</v>
      </c>
      <c r="I4011" t="str">
        <f>"INSPECTION PD UNIT 322"</f>
        <v>INSPECTION PD UNIT 322</v>
      </c>
    </row>
    <row r="4012" spans="1:9" x14ac:dyDescent="0.25">
      <c r="E4012" s="7"/>
      <c r="F4012" t="s">
        <v>20</v>
      </c>
      <c r="G4012" t="s">
        <v>21</v>
      </c>
      <c r="H4012" t="str">
        <f>"359239"</f>
        <v>359239</v>
      </c>
      <c r="I4012" t="str">
        <f>"INSPECTION PD UNIT 320"</f>
        <v>INSPECTION PD UNIT 320</v>
      </c>
    </row>
    <row r="4013" spans="1:9" x14ac:dyDescent="0.25">
      <c r="E4013" s="7"/>
      <c r="F4013" t="s">
        <v>20</v>
      </c>
      <c r="G4013" t="s">
        <v>21</v>
      </c>
      <c r="H4013" t="str">
        <f>"359559"</f>
        <v>359559</v>
      </c>
      <c r="I4013" t="str">
        <f>"INSPECTION PD UNIT 327"</f>
        <v>INSPECTION PD UNIT 327</v>
      </c>
    </row>
    <row r="4014" spans="1:9" x14ac:dyDescent="0.25">
      <c r="A4014" s="6">
        <v>44035</v>
      </c>
      <c r="B4014" t="s">
        <v>26</v>
      </c>
      <c r="C4014">
        <v>64496</v>
      </c>
      <c r="D4014" t="s">
        <v>202</v>
      </c>
      <c r="E4014" s="7">
        <v>481.72</v>
      </c>
      <c r="F4014" t="s">
        <v>20</v>
      </c>
      <c r="G4014" t="s">
        <v>21</v>
      </c>
      <c r="H4014" t="str">
        <f>"62132577"</f>
        <v>62132577</v>
      </c>
      <c r="I4014" t="str">
        <f>"1 TRUCK LOAD OF A-2 BASE"</f>
        <v>1 TRUCK LOAD OF A-2 BASE</v>
      </c>
    </row>
    <row r="4015" spans="1:9" x14ac:dyDescent="0.25">
      <c r="A4015" s="6">
        <v>44035</v>
      </c>
      <c r="B4015" t="s">
        <v>26</v>
      </c>
      <c r="C4015">
        <v>64497</v>
      </c>
      <c r="D4015" t="s">
        <v>179</v>
      </c>
      <c r="E4015" s="7">
        <v>1043.69</v>
      </c>
      <c r="F4015" t="s">
        <v>20</v>
      </c>
      <c r="G4015" t="s">
        <v>21</v>
      </c>
      <c r="H4015" t="str">
        <f>"253398"</f>
        <v>253398</v>
      </c>
      <c r="I4015" t="str">
        <f>"2005 FORD F350"</f>
        <v>2005 FORD F350</v>
      </c>
    </row>
    <row r="4016" spans="1:9" x14ac:dyDescent="0.25">
      <c r="A4016" s="6">
        <v>44035</v>
      </c>
      <c r="B4016" t="s">
        <v>26</v>
      </c>
      <c r="C4016">
        <v>64498</v>
      </c>
      <c r="D4016" t="s">
        <v>203</v>
      </c>
      <c r="E4016" s="7">
        <v>3785.57</v>
      </c>
      <c r="F4016" t="s">
        <v>20</v>
      </c>
      <c r="G4016" t="s">
        <v>21</v>
      </c>
      <c r="H4016" t="str">
        <f>"280313"</f>
        <v>280313</v>
      </c>
      <c r="I4016" t="str">
        <f>"COVID-19 SUPPLIES"</f>
        <v>COVID-19 SUPPLIES</v>
      </c>
    </row>
    <row r="4017" spans="1:9" x14ac:dyDescent="0.25">
      <c r="E4017" s="7"/>
      <c r="F4017" t="s">
        <v>20</v>
      </c>
      <c r="G4017" t="s">
        <v>21</v>
      </c>
      <c r="H4017" t="str">
        <f>"280465"</f>
        <v>280465</v>
      </c>
      <c r="I4017" t="str">
        <f>"COVID-19 SUPPLIES"</f>
        <v>COVID-19 SUPPLIES</v>
      </c>
    </row>
    <row r="4018" spans="1:9" x14ac:dyDescent="0.25">
      <c r="E4018" s="7"/>
      <c r="F4018" t="s">
        <v>20</v>
      </c>
      <c r="G4018" t="s">
        <v>21</v>
      </c>
      <c r="H4018" t="str">
        <f>"283157"</f>
        <v>283157</v>
      </c>
      <c r="I4018" t="str">
        <f>"COVID-19 SUPPLIES"</f>
        <v>COVID-19 SUPPLIES</v>
      </c>
    </row>
    <row r="4019" spans="1:9" x14ac:dyDescent="0.25">
      <c r="E4019" s="7"/>
      <c r="F4019" t="s">
        <v>20</v>
      </c>
      <c r="G4019" t="s">
        <v>21</v>
      </c>
      <c r="H4019" t="str">
        <f>"289796"</f>
        <v>289796</v>
      </c>
      <c r="I4019" t="str">
        <f>"CHEMICAL SAFETY MAINTENCE"</f>
        <v>CHEMICAL SAFETY MAINTENCE</v>
      </c>
    </row>
    <row r="4020" spans="1:9" x14ac:dyDescent="0.25">
      <c r="E4020" s="7"/>
      <c r="F4020" t="s">
        <v>20</v>
      </c>
      <c r="G4020" t="s">
        <v>21</v>
      </c>
      <c r="H4020" t="str">
        <f>"290066"</f>
        <v>290066</v>
      </c>
      <c r="I4020" t="str">
        <f>"CHEMICAL SAFETY MAINTENCE"</f>
        <v>CHEMICAL SAFETY MAINTENCE</v>
      </c>
    </row>
    <row r="4021" spans="1:9" x14ac:dyDescent="0.25">
      <c r="A4021" s="6">
        <v>44035</v>
      </c>
      <c r="B4021" t="s">
        <v>26</v>
      </c>
      <c r="C4021">
        <v>64501</v>
      </c>
      <c r="D4021" t="s">
        <v>240</v>
      </c>
      <c r="E4021" s="7">
        <v>49.83</v>
      </c>
      <c r="F4021" t="s">
        <v>20</v>
      </c>
      <c r="G4021" t="s">
        <v>21</v>
      </c>
      <c r="H4021" t="str">
        <f>"0192111-IN"</f>
        <v>0192111-IN</v>
      </c>
      <c r="I4021" t="str">
        <f>"NARDIS PUBLIC SAFETY"</f>
        <v>NARDIS PUBLIC SAFETY</v>
      </c>
    </row>
    <row r="4022" spans="1:9" x14ac:dyDescent="0.25">
      <c r="A4022" s="6">
        <v>44035</v>
      </c>
      <c r="B4022" t="s">
        <v>26</v>
      </c>
      <c r="C4022">
        <v>64502</v>
      </c>
      <c r="D4022" t="s">
        <v>61</v>
      </c>
      <c r="E4022" s="7">
        <v>54.3</v>
      </c>
      <c r="F4022" t="s">
        <v>20</v>
      </c>
      <c r="G4022" t="s">
        <v>21</v>
      </c>
      <c r="H4022" t="str">
        <f>"025-301969"</f>
        <v>025-301969</v>
      </c>
      <c r="I4022" t="str">
        <f>"TYLER TECHNOLOGIES  INC."</f>
        <v>TYLER TECHNOLOGIES  INC.</v>
      </c>
    </row>
    <row r="4023" spans="1:9" x14ac:dyDescent="0.25">
      <c r="A4023" s="6">
        <v>44035</v>
      </c>
      <c r="B4023" t="s">
        <v>26</v>
      </c>
      <c r="C4023">
        <v>64503</v>
      </c>
      <c r="D4023" t="s">
        <v>0</v>
      </c>
      <c r="E4023" s="7">
        <v>2363.2600000000002</v>
      </c>
      <c r="F4023" t="s">
        <v>20</v>
      </c>
      <c r="G4023" t="s">
        <v>21</v>
      </c>
      <c r="H4023" t="str">
        <f>"01-3520-0 JUNE2020"</f>
        <v>01-3520-0 JUNE2020</v>
      </c>
      <c r="I4023" t="str">
        <f>"CITY OF FLORESVILLE"</f>
        <v>CITY OF FLORESVILLE</v>
      </c>
    </row>
    <row r="4024" spans="1:9" x14ac:dyDescent="0.25">
      <c r="A4024" s="6">
        <v>44035</v>
      </c>
      <c r="B4024" t="s">
        <v>26</v>
      </c>
      <c r="C4024">
        <v>64504</v>
      </c>
      <c r="D4024" t="s">
        <v>92</v>
      </c>
      <c r="E4024" s="7">
        <v>37979.339999999997</v>
      </c>
      <c r="F4024" t="s">
        <v>20</v>
      </c>
      <c r="G4024" t="s">
        <v>21</v>
      </c>
      <c r="H4024" t="str">
        <f>"JUNE 2020"</f>
        <v>JUNE 2020</v>
      </c>
      <c r="I4024" t="str">
        <f>"TEXAS MUNICIPAL RETIREMENT SYS"</f>
        <v>TEXAS MUNICIPAL RETIREMENT SYS</v>
      </c>
    </row>
    <row r="4025" spans="1:9" x14ac:dyDescent="0.25">
      <c r="A4025" s="6">
        <v>44035</v>
      </c>
      <c r="B4025" t="s">
        <v>26</v>
      </c>
      <c r="C4025">
        <v>64506</v>
      </c>
      <c r="D4025" t="s">
        <v>325</v>
      </c>
      <c r="E4025" s="7">
        <v>758.84</v>
      </c>
      <c r="F4025" t="s">
        <v>20</v>
      </c>
      <c r="G4025" t="s">
        <v>21</v>
      </c>
      <c r="H4025" t="str">
        <f>"2470001 7/01/2020"</f>
        <v>2470001 7/01/2020</v>
      </c>
      <c r="I4025" t="str">
        <f>"DSHS CENTRAL LAB MC2004"</f>
        <v>DSHS CENTRAL LAB MC2004</v>
      </c>
    </row>
    <row r="4026" spans="1:9" x14ac:dyDescent="0.25">
      <c r="A4026" s="6">
        <v>44035</v>
      </c>
      <c r="B4026" t="s">
        <v>91</v>
      </c>
      <c r="C4026">
        <v>64507</v>
      </c>
      <c r="D4026" t="s">
        <v>401</v>
      </c>
      <c r="E4026" s="7">
        <v>1000</v>
      </c>
      <c r="F4026" t="s">
        <v>20</v>
      </c>
      <c r="G4026" t="s">
        <v>21</v>
      </c>
      <c r="H4026" t="str">
        <f>"SUMMER PROG. 2020"</f>
        <v>SUMMER PROG. 2020</v>
      </c>
      <c r="I4026" t="str">
        <f>"WILSON COUNTY PUBLIC LIBRARY"</f>
        <v>WILSON COUNTY PUBLIC LIBRARY</v>
      </c>
    </row>
    <row r="4027" spans="1:9" x14ac:dyDescent="0.25">
      <c r="A4027" s="6">
        <v>44035</v>
      </c>
      <c r="B4027" t="s">
        <v>26</v>
      </c>
      <c r="C4027">
        <v>64508</v>
      </c>
      <c r="D4027" t="s">
        <v>115</v>
      </c>
      <c r="E4027" s="7">
        <v>149.80000000000001</v>
      </c>
      <c r="F4027" t="s">
        <v>20</v>
      </c>
      <c r="G4027" t="s">
        <v>21</v>
      </c>
      <c r="H4027" t="str">
        <f>"3547701609"</f>
        <v>3547701609</v>
      </c>
      <c r="I4027" t="str">
        <f>"SHOP SUPPLIES"</f>
        <v>SHOP SUPPLIES</v>
      </c>
    </row>
    <row r="4028" spans="1:9" x14ac:dyDescent="0.25">
      <c r="E4028" s="7"/>
      <c r="F4028" t="s">
        <v>20</v>
      </c>
      <c r="G4028" t="s">
        <v>21</v>
      </c>
      <c r="H4028" t="str">
        <f>"3547703277"</f>
        <v>3547703277</v>
      </c>
      <c r="I4028" t="str">
        <f>"PD UNIT 332"</f>
        <v>PD UNIT 332</v>
      </c>
    </row>
    <row r="4029" spans="1:9" x14ac:dyDescent="0.25">
      <c r="A4029" s="6">
        <v>44035</v>
      </c>
      <c r="B4029" t="s">
        <v>26</v>
      </c>
      <c r="C4029">
        <v>64509</v>
      </c>
      <c r="D4029" t="s">
        <v>63</v>
      </c>
      <c r="E4029" s="7">
        <v>2593.4899999999998</v>
      </c>
      <c r="F4029" t="s">
        <v>20</v>
      </c>
      <c r="G4029" t="s">
        <v>21</v>
      </c>
      <c r="H4029" t="str">
        <f>"8404685227"</f>
        <v>8404685227</v>
      </c>
      <c r="I4029" t="str">
        <f>"CINTAS CORPORATION"</f>
        <v>CINTAS CORPORATION</v>
      </c>
    </row>
    <row r="4030" spans="1:9" x14ac:dyDescent="0.25">
      <c r="E4030" s="7"/>
      <c r="F4030" t="s">
        <v>20</v>
      </c>
      <c r="G4030" t="s">
        <v>21</v>
      </c>
      <c r="H4030" t="str">
        <f>"8404691652"</f>
        <v>8404691652</v>
      </c>
      <c r="I4030" t="str">
        <f>"CINTAS CORPORATION"</f>
        <v>CINTAS CORPORATION</v>
      </c>
    </row>
    <row r="4031" spans="1:9" x14ac:dyDescent="0.25">
      <c r="E4031" s="7"/>
      <c r="F4031" t="s">
        <v>20</v>
      </c>
      <c r="G4031" t="s">
        <v>21</v>
      </c>
      <c r="H4031" t="str">
        <f>"8404715292"</f>
        <v>8404715292</v>
      </c>
      <c r="I4031" t="str">
        <f>"CINTAS CORPORATION"</f>
        <v>CINTAS CORPORATION</v>
      </c>
    </row>
    <row r="4032" spans="1:9" x14ac:dyDescent="0.25">
      <c r="A4032" s="6">
        <v>44035</v>
      </c>
      <c r="B4032" t="s">
        <v>26</v>
      </c>
      <c r="C4032">
        <v>64511</v>
      </c>
      <c r="D4032" t="s">
        <v>117</v>
      </c>
      <c r="E4032" s="7">
        <v>759.4</v>
      </c>
      <c r="F4032" t="s">
        <v>20</v>
      </c>
      <c r="G4032" t="s">
        <v>21</v>
      </c>
      <c r="H4032" t="str">
        <f>"JUNE 2020"</f>
        <v>JUNE 2020</v>
      </c>
      <c r="I4032" t="str">
        <f>"LINEBARGER GOGGAN BLAIR &amp; SAMP"</f>
        <v>LINEBARGER GOGGAN BLAIR &amp; SAMP</v>
      </c>
    </row>
    <row r="4033" spans="1:9" x14ac:dyDescent="0.25">
      <c r="A4033" s="6">
        <v>44035</v>
      </c>
      <c r="B4033" t="s">
        <v>26</v>
      </c>
      <c r="C4033">
        <v>64512</v>
      </c>
      <c r="D4033" t="s">
        <v>66</v>
      </c>
      <c r="E4033" s="7">
        <v>502.88</v>
      </c>
      <c r="F4033" t="s">
        <v>20</v>
      </c>
      <c r="G4033" t="s">
        <v>21</v>
      </c>
      <c r="H4033" t="str">
        <f>"58482"</f>
        <v>58482</v>
      </c>
      <c r="I4033" t="str">
        <f>"LOPEZ EXTERMINATING SERVICE  I"</f>
        <v>LOPEZ EXTERMINATING SERVICE  I</v>
      </c>
    </row>
    <row r="4034" spans="1:9" x14ac:dyDescent="0.25">
      <c r="A4034" s="6">
        <v>44035</v>
      </c>
      <c r="B4034" t="s">
        <v>26</v>
      </c>
      <c r="C4034">
        <v>64513</v>
      </c>
      <c r="D4034" t="s">
        <v>254</v>
      </c>
      <c r="E4034" s="7">
        <v>8952.31</v>
      </c>
      <c r="F4034" t="s">
        <v>20</v>
      </c>
      <c r="G4034" t="s">
        <v>21</v>
      </c>
      <c r="H4034" t="str">
        <f>"QRT END 6/30/2020"</f>
        <v>QRT END 6/30/2020</v>
      </c>
      <c r="I4034" t="str">
        <f>"TEXAS WORKFORCE COMMISSION"</f>
        <v>TEXAS WORKFORCE COMMISSION</v>
      </c>
    </row>
    <row r="4035" spans="1:9" x14ac:dyDescent="0.25">
      <c r="A4035" s="6">
        <v>44035</v>
      </c>
      <c r="B4035" t="s">
        <v>26</v>
      </c>
      <c r="C4035">
        <v>64514</v>
      </c>
      <c r="D4035" t="s">
        <v>119</v>
      </c>
      <c r="E4035" s="7">
        <v>60</v>
      </c>
      <c r="F4035" t="s">
        <v>20</v>
      </c>
      <c r="G4035" t="s">
        <v>21</v>
      </c>
      <c r="H4035" t="str">
        <f>"67097"</f>
        <v>67097</v>
      </c>
      <c r="I4035" t="str">
        <f>"DUMP TRUCK TIRE REPAIR"</f>
        <v>DUMP TRUCK TIRE REPAIR</v>
      </c>
    </row>
    <row r="4036" spans="1:9" x14ac:dyDescent="0.25">
      <c r="A4036" s="6">
        <v>44035</v>
      </c>
      <c r="B4036" t="s">
        <v>26</v>
      </c>
      <c r="C4036">
        <v>64515</v>
      </c>
      <c r="D4036" t="s">
        <v>69</v>
      </c>
      <c r="E4036" s="7">
        <v>2101.69</v>
      </c>
      <c r="F4036" t="s">
        <v>20</v>
      </c>
      <c r="G4036" t="s">
        <v>21</v>
      </c>
      <c r="H4036" t="str">
        <f>"3307921"</f>
        <v>3307921</v>
      </c>
      <c r="I4036" t="str">
        <f>"SPINDLE ASS"</f>
        <v>SPINDLE ASS</v>
      </c>
    </row>
    <row r="4037" spans="1:9" x14ac:dyDescent="0.25">
      <c r="E4037" s="7"/>
      <c r="F4037" t="s">
        <v>20</v>
      </c>
      <c r="G4037" t="s">
        <v>21</v>
      </c>
      <c r="H4037" t="str">
        <f>"3308862"</f>
        <v>3308862</v>
      </c>
      <c r="I4037" t="str">
        <f>"BLADES BELTS OIL FILTERS"</f>
        <v>BLADES BELTS OIL FILTERS</v>
      </c>
    </row>
    <row r="4038" spans="1:9" x14ac:dyDescent="0.25">
      <c r="E4038" s="7"/>
      <c r="F4038" t="s">
        <v>20</v>
      </c>
      <c r="G4038" t="s">
        <v>21</v>
      </c>
      <c r="H4038" t="str">
        <f>"3C00222"</f>
        <v>3C00222</v>
      </c>
      <c r="I4038" t="str">
        <f>"PARKS STOCK"</f>
        <v>PARKS STOCK</v>
      </c>
    </row>
    <row r="4039" spans="1:9" x14ac:dyDescent="0.25">
      <c r="E4039" s="7"/>
      <c r="F4039" t="s">
        <v>20</v>
      </c>
      <c r="G4039" t="s">
        <v>21</v>
      </c>
      <c r="H4039" t="str">
        <f>"3C00259"</f>
        <v>3C00259</v>
      </c>
      <c r="I4039" t="str">
        <f>"RIDING LAWNMOWER"</f>
        <v>RIDING LAWNMOWER</v>
      </c>
    </row>
    <row r="4040" spans="1:9" x14ac:dyDescent="0.25">
      <c r="A4040" s="6">
        <v>44035</v>
      </c>
      <c r="B4040" t="s">
        <v>26</v>
      </c>
      <c r="C4040">
        <v>64517</v>
      </c>
      <c r="D4040" t="s">
        <v>281</v>
      </c>
      <c r="E4040" s="7">
        <v>1274.8499999999999</v>
      </c>
      <c r="F4040" t="s">
        <v>20</v>
      </c>
      <c r="G4040" t="s">
        <v>21</v>
      </c>
      <c r="H4040" t="str">
        <f>"31289"</f>
        <v>31289</v>
      </c>
      <c r="I4040" t="str">
        <f>"AC REPAIR FOR ANIMAL CONT"</f>
        <v>AC REPAIR FOR ANIMAL CONT</v>
      </c>
    </row>
    <row r="4041" spans="1:9" x14ac:dyDescent="0.25">
      <c r="A4041" s="6">
        <v>44035</v>
      </c>
      <c r="B4041" t="s">
        <v>26</v>
      </c>
      <c r="C4041">
        <v>64518</v>
      </c>
      <c r="D4041" t="s">
        <v>29</v>
      </c>
      <c r="E4041" s="7">
        <v>33065.25</v>
      </c>
      <c r="F4041" t="s">
        <v>20</v>
      </c>
      <c r="G4041" t="s">
        <v>21</v>
      </c>
      <c r="H4041" t="str">
        <f>"43894"</f>
        <v>43894</v>
      </c>
      <c r="I4041" t="str">
        <f>"M &amp; S ENGINEERING  LLC"</f>
        <v>M &amp; S ENGINEERING  LLC</v>
      </c>
    </row>
    <row r="4042" spans="1:9" x14ac:dyDescent="0.25">
      <c r="E4042" s="7"/>
      <c r="F4042" t="s">
        <v>20</v>
      </c>
      <c r="G4042" t="s">
        <v>21</v>
      </c>
      <c r="H4042" t="str">
        <f>"43899"</f>
        <v>43899</v>
      </c>
      <c r="I4042" t="str">
        <f>"M &amp; S ENGINEERING  LLC"</f>
        <v>M &amp; S ENGINEERING  LLC</v>
      </c>
    </row>
    <row r="4043" spans="1:9" x14ac:dyDescent="0.25">
      <c r="E4043" s="7"/>
      <c r="F4043" t="s">
        <v>20</v>
      </c>
      <c r="G4043" t="s">
        <v>21</v>
      </c>
      <c r="H4043" t="str">
        <f>"43902"</f>
        <v>43902</v>
      </c>
      <c r="I4043" t="str">
        <f>"M &amp; S ENGINEERING  LLC"</f>
        <v>M &amp; S ENGINEERING  LLC</v>
      </c>
    </row>
    <row r="4044" spans="1:9" x14ac:dyDescent="0.25">
      <c r="E4044" s="7"/>
      <c r="F4044" t="s">
        <v>20</v>
      </c>
      <c r="G4044" t="s">
        <v>21</v>
      </c>
      <c r="H4044" t="str">
        <f>"45411"</f>
        <v>45411</v>
      </c>
      <c r="I4044" t="str">
        <f>"M &amp; S ENGINEERING  LLC"</f>
        <v>M &amp; S ENGINEERING  LLC</v>
      </c>
    </row>
    <row r="4045" spans="1:9" x14ac:dyDescent="0.25">
      <c r="E4045" s="7"/>
      <c r="F4045" t="s">
        <v>20</v>
      </c>
      <c r="G4045" t="s">
        <v>21</v>
      </c>
      <c r="H4045" t="str">
        <f>"45415"</f>
        <v>45415</v>
      </c>
      <c r="I4045" t="str">
        <f>"M &amp; S ENGINEERING  LLC"</f>
        <v>M &amp; S ENGINEERING  LLC</v>
      </c>
    </row>
    <row r="4046" spans="1:9" x14ac:dyDescent="0.25">
      <c r="A4046" s="6">
        <v>44035</v>
      </c>
      <c r="B4046" t="s">
        <v>26</v>
      </c>
      <c r="C4046">
        <v>64519</v>
      </c>
      <c r="D4046" t="s">
        <v>71</v>
      </c>
      <c r="E4046" s="7">
        <v>959.05</v>
      </c>
      <c r="F4046" t="s">
        <v>20</v>
      </c>
      <c r="G4046" t="s">
        <v>21</v>
      </c>
      <c r="H4046" t="str">
        <f>"4053746409"</f>
        <v>4053746409</v>
      </c>
      <c r="I4046" t="str">
        <f t="shared" ref="I4046:I4051" si="84">"CINTAS CORPORATION #087"</f>
        <v>CINTAS CORPORATION #087</v>
      </c>
    </row>
    <row r="4047" spans="1:9" x14ac:dyDescent="0.25">
      <c r="E4047" s="7"/>
      <c r="F4047" t="s">
        <v>20</v>
      </c>
      <c r="G4047" t="s">
        <v>21</v>
      </c>
      <c r="H4047" t="str">
        <f>"4053746448"</f>
        <v>4053746448</v>
      </c>
      <c r="I4047" t="str">
        <f t="shared" si="84"/>
        <v>CINTAS CORPORATION #087</v>
      </c>
    </row>
    <row r="4048" spans="1:9" x14ac:dyDescent="0.25">
      <c r="E4048" s="7"/>
      <c r="F4048" t="s">
        <v>20</v>
      </c>
      <c r="G4048" t="s">
        <v>21</v>
      </c>
      <c r="H4048" t="str">
        <f>"4053746456"</f>
        <v>4053746456</v>
      </c>
      <c r="I4048" t="str">
        <f t="shared" si="84"/>
        <v>CINTAS CORPORATION #087</v>
      </c>
    </row>
    <row r="4049" spans="1:9" x14ac:dyDescent="0.25">
      <c r="E4049" s="7"/>
      <c r="F4049" t="s">
        <v>20</v>
      </c>
      <c r="G4049" t="s">
        <v>21</v>
      </c>
      <c r="H4049" t="str">
        <f>"4053746526"</f>
        <v>4053746526</v>
      </c>
      <c r="I4049" t="str">
        <f t="shared" si="84"/>
        <v>CINTAS CORPORATION #087</v>
      </c>
    </row>
    <row r="4050" spans="1:9" x14ac:dyDescent="0.25">
      <c r="E4050" s="7"/>
      <c r="F4050" t="s">
        <v>20</v>
      </c>
      <c r="G4050" t="s">
        <v>21</v>
      </c>
      <c r="H4050" t="str">
        <f>"4053746556"</f>
        <v>4053746556</v>
      </c>
      <c r="I4050" t="str">
        <f t="shared" si="84"/>
        <v>CINTAS CORPORATION #087</v>
      </c>
    </row>
    <row r="4051" spans="1:9" x14ac:dyDescent="0.25">
      <c r="E4051" s="7"/>
      <c r="F4051" t="s">
        <v>20</v>
      </c>
      <c r="G4051" t="s">
        <v>21</v>
      </c>
      <c r="H4051" t="str">
        <f>"4053746562"</f>
        <v>4053746562</v>
      </c>
      <c r="I4051" t="str">
        <f t="shared" si="84"/>
        <v>CINTAS CORPORATION #087</v>
      </c>
    </row>
    <row r="4052" spans="1:9" x14ac:dyDescent="0.25">
      <c r="A4052" s="6">
        <v>44035</v>
      </c>
      <c r="B4052" t="s">
        <v>26</v>
      </c>
      <c r="C4052">
        <v>64521</v>
      </c>
      <c r="D4052" t="s">
        <v>72</v>
      </c>
      <c r="E4052" s="7">
        <v>185.88</v>
      </c>
      <c r="F4052" t="s">
        <v>20</v>
      </c>
      <c r="G4052" t="s">
        <v>21</v>
      </c>
      <c r="H4052" t="str">
        <f>"905044"</f>
        <v>905044</v>
      </c>
      <c r="I4052" t="str">
        <f>"WESCO RECEIVABLES CORP."</f>
        <v>WESCO RECEIVABLES CORP.</v>
      </c>
    </row>
    <row r="4053" spans="1:9" x14ac:dyDescent="0.25">
      <c r="A4053" s="6">
        <v>44035</v>
      </c>
      <c r="B4053" t="s">
        <v>26</v>
      </c>
      <c r="C4053">
        <v>64522</v>
      </c>
      <c r="D4053" t="s">
        <v>122</v>
      </c>
      <c r="E4053" s="7">
        <v>20</v>
      </c>
      <c r="F4053" t="s">
        <v>20</v>
      </c>
      <c r="G4053" t="s">
        <v>21</v>
      </c>
      <c r="H4053" t="str">
        <f>"48595008"</f>
        <v>48595008</v>
      </c>
      <c r="I4053" t="str">
        <f>"VILLA TIRES"</f>
        <v>VILLA TIRES</v>
      </c>
    </row>
    <row r="4054" spans="1:9" x14ac:dyDescent="0.25">
      <c r="E4054" s="7"/>
      <c r="F4054" t="s">
        <v>20</v>
      </c>
      <c r="G4054" t="s">
        <v>21</v>
      </c>
      <c r="H4054" t="str">
        <f>"48595010"</f>
        <v>48595010</v>
      </c>
      <c r="I4054" t="str">
        <f>"VILLA TIRES"</f>
        <v>VILLA TIRES</v>
      </c>
    </row>
    <row r="4055" spans="1:9" x14ac:dyDescent="0.25">
      <c r="A4055" s="6">
        <v>44035</v>
      </c>
      <c r="B4055" t="s">
        <v>26</v>
      </c>
      <c r="C4055">
        <v>64523</v>
      </c>
      <c r="D4055" t="s">
        <v>403</v>
      </c>
      <c r="E4055" s="7">
        <v>778</v>
      </c>
      <c r="F4055" t="s">
        <v>20</v>
      </c>
      <c r="G4055" t="s">
        <v>21</v>
      </c>
      <c r="H4055" t="str">
        <f>"SUMMER PROG.2020"</f>
        <v>SUMMER PROG.2020</v>
      </c>
      <c r="I4055" t="str">
        <f>"ARCADIA MOVIES LLC"</f>
        <v>ARCADIA MOVIES LLC</v>
      </c>
    </row>
    <row r="4056" spans="1:9" x14ac:dyDescent="0.25">
      <c r="A4056" s="6">
        <v>44035</v>
      </c>
      <c r="B4056" t="s">
        <v>26</v>
      </c>
      <c r="C4056">
        <v>64524</v>
      </c>
      <c r="D4056" t="s">
        <v>170</v>
      </c>
      <c r="E4056" s="7">
        <v>2904.43</v>
      </c>
      <c r="F4056" t="s">
        <v>20</v>
      </c>
      <c r="G4056" t="s">
        <v>21</v>
      </c>
      <c r="H4056" t="str">
        <f>"0000032504"</f>
        <v>0000032504</v>
      </c>
      <c r="I4056" t="str">
        <f>"BARRETT &amp; SONS  INC."</f>
        <v>BARRETT &amp; SONS  INC.</v>
      </c>
    </row>
    <row r="4057" spans="1:9" x14ac:dyDescent="0.25">
      <c r="E4057" s="7"/>
      <c r="F4057" t="s">
        <v>20</v>
      </c>
      <c r="G4057" t="s">
        <v>21</v>
      </c>
      <c r="H4057" t="str">
        <f>"0000032718"</f>
        <v>0000032718</v>
      </c>
      <c r="I4057" t="str">
        <f>"BARRETT &amp; SONS  INC."</f>
        <v>BARRETT &amp; SONS  INC.</v>
      </c>
    </row>
    <row r="4058" spans="1:9" x14ac:dyDescent="0.25">
      <c r="A4058" s="6">
        <v>44035</v>
      </c>
      <c r="B4058" t="s">
        <v>91</v>
      </c>
      <c r="C4058">
        <v>64525</v>
      </c>
      <c r="D4058" t="s">
        <v>661</v>
      </c>
      <c r="E4058" s="7">
        <v>1076.72</v>
      </c>
      <c r="F4058" t="s">
        <v>20</v>
      </c>
      <c r="G4058" t="s">
        <v>21</v>
      </c>
      <c r="H4058" t="str">
        <f>"4053127938"</f>
        <v>4053127938</v>
      </c>
      <c r="I4058" t="str">
        <f t="shared" ref="I4058:I4069" si="85">"CINTAS FAS LOCKBOX 631025"</f>
        <v>CINTAS FAS LOCKBOX 631025</v>
      </c>
    </row>
    <row r="4059" spans="1:9" x14ac:dyDescent="0.25">
      <c r="E4059" s="7"/>
      <c r="F4059" t="s">
        <v>20</v>
      </c>
      <c r="G4059" t="s">
        <v>21</v>
      </c>
      <c r="H4059" t="str">
        <f>"4054376106"</f>
        <v>4054376106</v>
      </c>
      <c r="I4059" t="str">
        <f t="shared" si="85"/>
        <v>CINTAS FAS LOCKBOX 631025</v>
      </c>
    </row>
    <row r="4060" spans="1:9" x14ac:dyDescent="0.25">
      <c r="E4060" s="7"/>
      <c r="F4060" t="s">
        <v>20</v>
      </c>
      <c r="G4060" t="s">
        <v>21</v>
      </c>
      <c r="H4060" t="str">
        <f>"4054376108"</f>
        <v>4054376108</v>
      </c>
      <c r="I4060" t="str">
        <f t="shared" si="85"/>
        <v>CINTAS FAS LOCKBOX 631025</v>
      </c>
    </row>
    <row r="4061" spans="1:9" x14ac:dyDescent="0.25">
      <c r="E4061" s="7"/>
      <c r="F4061" t="s">
        <v>20</v>
      </c>
      <c r="G4061" t="s">
        <v>21</v>
      </c>
      <c r="H4061" t="str">
        <f>"4054376112"</f>
        <v>4054376112</v>
      </c>
      <c r="I4061" t="str">
        <f t="shared" si="85"/>
        <v>CINTAS FAS LOCKBOX 631025</v>
      </c>
    </row>
    <row r="4062" spans="1:9" x14ac:dyDescent="0.25">
      <c r="E4062" s="7"/>
      <c r="F4062" t="s">
        <v>20</v>
      </c>
      <c r="G4062" t="s">
        <v>21</v>
      </c>
      <c r="H4062" t="str">
        <f>"4054376133"</f>
        <v>4054376133</v>
      </c>
      <c r="I4062" t="str">
        <f t="shared" si="85"/>
        <v>CINTAS FAS LOCKBOX 631025</v>
      </c>
    </row>
    <row r="4063" spans="1:9" x14ac:dyDescent="0.25">
      <c r="E4063" s="7"/>
      <c r="F4063" t="s">
        <v>20</v>
      </c>
      <c r="G4063" t="s">
        <v>21</v>
      </c>
      <c r="H4063" t="str">
        <f>"4054376178"</f>
        <v>4054376178</v>
      </c>
      <c r="I4063" t="str">
        <f t="shared" si="85"/>
        <v>CINTAS FAS LOCKBOX 631025</v>
      </c>
    </row>
    <row r="4064" spans="1:9" x14ac:dyDescent="0.25">
      <c r="E4064" s="7"/>
      <c r="F4064" t="s">
        <v>20</v>
      </c>
      <c r="G4064" t="s">
        <v>21</v>
      </c>
      <c r="H4064" t="str">
        <f>"4055633939"</f>
        <v>4055633939</v>
      </c>
      <c r="I4064" t="str">
        <f t="shared" si="85"/>
        <v>CINTAS FAS LOCKBOX 631025</v>
      </c>
    </row>
    <row r="4065" spans="1:9" x14ac:dyDescent="0.25">
      <c r="E4065" s="7"/>
      <c r="F4065" t="s">
        <v>20</v>
      </c>
      <c r="G4065" t="s">
        <v>21</v>
      </c>
      <c r="H4065" t="str">
        <f>"4055633976"</f>
        <v>4055633976</v>
      </c>
      <c r="I4065" t="str">
        <f t="shared" si="85"/>
        <v>CINTAS FAS LOCKBOX 631025</v>
      </c>
    </row>
    <row r="4066" spans="1:9" x14ac:dyDescent="0.25">
      <c r="E4066" s="7"/>
      <c r="F4066" t="s">
        <v>20</v>
      </c>
      <c r="G4066" t="s">
        <v>21</v>
      </c>
      <c r="H4066" t="str">
        <f>"4055634002"</f>
        <v>4055634002</v>
      </c>
      <c r="I4066" t="str">
        <f t="shared" si="85"/>
        <v>CINTAS FAS LOCKBOX 631025</v>
      </c>
    </row>
    <row r="4067" spans="1:9" x14ac:dyDescent="0.25">
      <c r="E4067" s="7"/>
      <c r="F4067" t="s">
        <v>20</v>
      </c>
      <c r="G4067" t="s">
        <v>21</v>
      </c>
      <c r="H4067" t="str">
        <f>"4055634015"</f>
        <v>4055634015</v>
      </c>
      <c r="I4067" t="str">
        <f t="shared" si="85"/>
        <v>CINTAS FAS LOCKBOX 631025</v>
      </c>
    </row>
    <row r="4068" spans="1:9" x14ac:dyDescent="0.25">
      <c r="E4068" s="7"/>
      <c r="F4068" t="s">
        <v>20</v>
      </c>
      <c r="G4068" t="s">
        <v>21</v>
      </c>
      <c r="H4068" t="str">
        <f>"4055638046"</f>
        <v>4055638046</v>
      </c>
      <c r="I4068" t="str">
        <f t="shared" si="85"/>
        <v>CINTAS FAS LOCKBOX 631025</v>
      </c>
    </row>
    <row r="4069" spans="1:9" x14ac:dyDescent="0.25">
      <c r="E4069" s="7"/>
      <c r="F4069" t="s">
        <v>20</v>
      </c>
      <c r="G4069" t="s">
        <v>21</v>
      </c>
      <c r="H4069" t="str">
        <f>"4055638081"</f>
        <v>4055638081</v>
      </c>
      <c r="I4069" t="str">
        <f t="shared" si="85"/>
        <v>CINTAS FAS LOCKBOX 631025</v>
      </c>
    </row>
    <row r="4070" spans="1:9" x14ac:dyDescent="0.25">
      <c r="A4070" s="6">
        <v>44035</v>
      </c>
      <c r="B4070" t="s">
        <v>26</v>
      </c>
      <c r="C4070">
        <v>64528</v>
      </c>
      <c r="D4070" t="s">
        <v>75</v>
      </c>
      <c r="E4070" s="7">
        <v>46.98</v>
      </c>
      <c r="F4070" t="s">
        <v>20</v>
      </c>
      <c r="G4070" t="s">
        <v>21</v>
      </c>
      <c r="H4070" t="str">
        <f>"785969"</f>
        <v>785969</v>
      </c>
      <c r="I4070" t="str">
        <f>"TRACTOR SUPPLY - WW"</f>
        <v>TRACTOR SUPPLY - WW</v>
      </c>
    </row>
    <row r="4071" spans="1:9" x14ac:dyDescent="0.25">
      <c r="A4071" s="6">
        <v>44035</v>
      </c>
      <c r="B4071" t="s">
        <v>26</v>
      </c>
      <c r="C4071">
        <v>64529</v>
      </c>
      <c r="D4071" t="s">
        <v>77</v>
      </c>
      <c r="E4071" s="7">
        <v>2591.5</v>
      </c>
      <c r="F4071" t="s">
        <v>20</v>
      </c>
      <c r="G4071" t="s">
        <v>21</v>
      </c>
      <c r="H4071" t="str">
        <f>"587001260-20"</f>
        <v>587001260-20</v>
      </c>
      <c r="I4071" t="str">
        <f>"CHLORINE FOR HOSPITAL  B"</f>
        <v>CHLORINE FOR HOSPITAL  B</v>
      </c>
    </row>
    <row r="4072" spans="1:9" x14ac:dyDescent="0.25">
      <c r="E4072" s="7"/>
      <c r="F4072" t="s">
        <v>20</v>
      </c>
      <c r="G4072" t="s">
        <v>21</v>
      </c>
      <c r="H4072" t="str">
        <f>"857001259-20"</f>
        <v>857001259-20</v>
      </c>
      <c r="I4072" t="str">
        <f>"CHLORINE FOR HOSPITAL  B"</f>
        <v>CHLORINE FOR HOSPITAL  B</v>
      </c>
    </row>
    <row r="4073" spans="1:9" x14ac:dyDescent="0.25">
      <c r="E4073" s="7"/>
      <c r="F4073" t="s">
        <v>20</v>
      </c>
      <c r="G4073" t="s">
        <v>21</v>
      </c>
      <c r="H4073" t="str">
        <f>"857001260-20"</f>
        <v>857001260-20</v>
      </c>
      <c r="I4073" t="str">
        <f>"CHLORINE FOR HOSPITAL  B"</f>
        <v>CHLORINE FOR HOSPITAL  B</v>
      </c>
    </row>
    <row r="4074" spans="1:9" x14ac:dyDescent="0.25">
      <c r="E4074" s="7"/>
      <c r="F4074" t="s">
        <v>20</v>
      </c>
      <c r="G4074" t="s">
        <v>21</v>
      </c>
      <c r="H4074" t="str">
        <f>"DE85001272-20"</f>
        <v>DE85001272-20</v>
      </c>
      <c r="I4074" t="str">
        <f>"DPC INDUSTRIES  INC."</f>
        <v>DPC INDUSTRIES  INC.</v>
      </c>
    </row>
    <row r="4075" spans="1:9" x14ac:dyDescent="0.25">
      <c r="E4075" s="7"/>
      <c r="F4075" t="s">
        <v>20</v>
      </c>
      <c r="G4075" t="s">
        <v>21</v>
      </c>
      <c r="H4075" t="str">
        <f>"DE85001466-20"</f>
        <v>DE85001466-20</v>
      </c>
      <c r="I4075" t="str">
        <f>"DPC INDUSTRIES  INC."</f>
        <v>DPC INDUSTRIES  INC.</v>
      </c>
    </row>
    <row r="4076" spans="1:9" x14ac:dyDescent="0.25">
      <c r="A4076" s="6">
        <v>44035</v>
      </c>
      <c r="B4076" t="s">
        <v>26</v>
      </c>
      <c r="C4076">
        <v>64530</v>
      </c>
      <c r="D4076" t="s">
        <v>124</v>
      </c>
      <c r="E4076" s="7">
        <v>31.02</v>
      </c>
      <c r="F4076" t="s">
        <v>20</v>
      </c>
      <c r="G4076" t="s">
        <v>21</v>
      </c>
      <c r="H4076" t="str">
        <f>"11190598"</f>
        <v>11190598</v>
      </c>
      <c r="I4076" t="str">
        <f>"FITTINGS AND GLUE"</f>
        <v>FITTINGS AND GLUE</v>
      </c>
    </row>
    <row r="4077" spans="1:9" x14ac:dyDescent="0.25">
      <c r="A4077" s="6">
        <v>44035</v>
      </c>
      <c r="B4077" t="s">
        <v>91</v>
      </c>
      <c r="C4077">
        <v>64531</v>
      </c>
      <c r="D4077" t="s">
        <v>724</v>
      </c>
      <c r="E4077" s="7">
        <v>675</v>
      </c>
      <c r="F4077" t="s">
        <v>20</v>
      </c>
      <c r="G4077" t="s">
        <v>21</v>
      </c>
      <c r="H4077" t="str">
        <f>"SUMMER PROG.2020"</f>
        <v>SUMMER PROG.2020</v>
      </c>
      <c r="I4077" t="str">
        <f>"FLORESVILLE YOUTH BASKETBALL L"</f>
        <v>FLORESVILLE YOUTH BASKETBALL L</v>
      </c>
    </row>
    <row r="4078" spans="1:9" x14ac:dyDescent="0.25">
      <c r="A4078" s="6">
        <v>44035</v>
      </c>
      <c r="B4078" t="s">
        <v>91</v>
      </c>
      <c r="C4078">
        <v>64531</v>
      </c>
      <c r="D4078" t="s">
        <v>724</v>
      </c>
      <c r="E4078" s="7">
        <v>675</v>
      </c>
      <c r="F4078" t="s">
        <v>20</v>
      </c>
      <c r="G4078" t="s">
        <v>93</v>
      </c>
      <c r="H4078" t="str">
        <f>"CHECK"</f>
        <v>CHECK</v>
      </c>
      <c r="I4078" t="str">
        <f>""</f>
        <v/>
      </c>
    </row>
    <row r="4079" spans="1:9" x14ac:dyDescent="0.25">
      <c r="A4079" s="6">
        <v>44035</v>
      </c>
      <c r="B4079" t="s">
        <v>26</v>
      </c>
      <c r="C4079">
        <v>64532</v>
      </c>
      <c r="D4079" t="s">
        <v>139</v>
      </c>
      <c r="E4079" s="7">
        <v>65</v>
      </c>
      <c r="F4079" t="s">
        <v>20</v>
      </c>
      <c r="G4079" t="s">
        <v>21</v>
      </c>
      <c r="H4079" t="str">
        <f>"29695"</f>
        <v>29695</v>
      </c>
      <c r="I4079" t="str">
        <f>"ANGEL FIRE &amp; SAFETY"</f>
        <v>ANGEL FIRE &amp; SAFETY</v>
      </c>
    </row>
    <row r="4080" spans="1:9" x14ac:dyDescent="0.25">
      <c r="A4080" s="6">
        <v>44035</v>
      </c>
      <c r="B4080" t="s">
        <v>26</v>
      </c>
      <c r="C4080">
        <v>64533</v>
      </c>
      <c r="D4080" t="s">
        <v>81</v>
      </c>
      <c r="E4080" s="7">
        <v>165.3</v>
      </c>
      <c r="F4080" t="s">
        <v>20</v>
      </c>
      <c r="G4080" t="s">
        <v>21</v>
      </c>
      <c r="H4080" t="str">
        <f>"A.MARTINEZ 7/23/20"</f>
        <v>A.MARTINEZ 7/23/20</v>
      </c>
      <c r="I4080" t="str">
        <f>"CITY OF FLORESVILLE -PETTY CAS"</f>
        <v>CITY OF FLORESVILLE -PETTY CAS</v>
      </c>
    </row>
    <row r="4081" spans="1:9" x14ac:dyDescent="0.25">
      <c r="A4081" s="6">
        <v>44035</v>
      </c>
      <c r="B4081" t="s">
        <v>26</v>
      </c>
      <c r="C4081">
        <v>64534</v>
      </c>
      <c r="D4081" t="s">
        <v>129</v>
      </c>
      <c r="E4081" s="7">
        <v>705.48</v>
      </c>
      <c r="F4081" t="s">
        <v>20</v>
      </c>
      <c r="G4081" t="s">
        <v>21</v>
      </c>
      <c r="H4081" t="str">
        <f>"P67725"</f>
        <v>P67725</v>
      </c>
      <c r="I4081" t="str">
        <f>"BLADES AND BELTS"</f>
        <v>BLADES AND BELTS</v>
      </c>
    </row>
    <row r="4082" spans="1:9" x14ac:dyDescent="0.25">
      <c r="A4082" s="6">
        <v>44035</v>
      </c>
      <c r="B4082" t="s">
        <v>91</v>
      </c>
      <c r="C4082">
        <v>64535</v>
      </c>
      <c r="D4082" t="s">
        <v>948</v>
      </c>
      <c r="E4082" s="7">
        <v>543.55999999999995</v>
      </c>
      <c r="F4082" t="s">
        <v>20</v>
      </c>
      <c r="G4082" t="s">
        <v>21</v>
      </c>
      <c r="H4082" t="str">
        <f>"MMI137888"</f>
        <v>MMI137888</v>
      </c>
      <c r="I4082" t="str">
        <f>"MODERN MARKETING"</f>
        <v>MODERN MARKETING</v>
      </c>
    </row>
    <row r="4083" spans="1:9" x14ac:dyDescent="0.25">
      <c r="A4083" s="6">
        <v>44035</v>
      </c>
      <c r="B4083" t="s">
        <v>91</v>
      </c>
      <c r="C4083">
        <v>64535</v>
      </c>
      <c r="D4083" t="s">
        <v>948</v>
      </c>
      <c r="E4083" s="7">
        <v>543.55999999999995</v>
      </c>
      <c r="F4083" t="s">
        <v>20</v>
      </c>
      <c r="G4083" t="s">
        <v>93</v>
      </c>
      <c r="H4083" t="str">
        <f>"CHECK"</f>
        <v>CHECK</v>
      </c>
      <c r="I4083" t="str">
        <f>""</f>
        <v/>
      </c>
    </row>
    <row r="4084" spans="1:9" x14ac:dyDescent="0.25">
      <c r="A4084" s="6">
        <v>44035</v>
      </c>
      <c r="B4084" t="s">
        <v>26</v>
      </c>
      <c r="C4084">
        <v>64536</v>
      </c>
      <c r="D4084" t="s">
        <v>131</v>
      </c>
      <c r="E4084" s="7">
        <v>481.96</v>
      </c>
      <c r="F4084" t="s">
        <v>20</v>
      </c>
      <c r="G4084" t="s">
        <v>21</v>
      </c>
      <c r="H4084" t="str">
        <f>"051392"</f>
        <v>051392</v>
      </c>
      <c r="I4084" t="str">
        <f>"AVALON LIFT STATION"</f>
        <v>AVALON LIFT STATION</v>
      </c>
    </row>
    <row r="4085" spans="1:9" x14ac:dyDescent="0.25">
      <c r="A4085" s="6">
        <v>44035</v>
      </c>
      <c r="B4085" t="s">
        <v>26</v>
      </c>
      <c r="C4085">
        <v>64537</v>
      </c>
      <c r="D4085" t="s">
        <v>216</v>
      </c>
      <c r="E4085" s="7">
        <v>71567.3</v>
      </c>
      <c r="F4085" t="s">
        <v>20</v>
      </c>
      <c r="G4085" t="s">
        <v>21</v>
      </c>
      <c r="H4085" t="str">
        <f>"47549F/47548F"</f>
        <v>47549F/47548F</v>
      </c>
      <c r="I4085" t="str">
        <f>"2 2020 FORD F150 CREW CAB"</f>
        <v>2 2020 FORD F150 CREW CAB</v>
      </c>
    </row>
    <row r="4086" spans="1:9" x14ac:dyDescent="0.25">
      <c r="A4086" s="6">
        <v>44035</v>
      </c>
      <c r="B4086" t="s">
        <v>26</v>
      </c>
      <c r="C4086">
        <v>64538</v>
      </c>
      <c r="D4086" t="s">
        <v>85</v>
      </c>
      <c r="E4086" s="7">
        <v>84.29</v>
      </c>
      <c r="F4086" t="s">
        <v>20</v>
      </c>
      <c r="G4086" t="s">
        <v>21</v>
      </c>
      <c r="H4086" t="str">
        <f>"3938193 JULY 2020"</f>
        <v>3938193 JULY 2020</v>
      </c>
      <c r="I4086" t="str">
        <f>"FRONTIER"</f>
        <v>FRONTIER</v>
      </c>
    </row>
    <row r="4087" spans="1:9" x14ac:dyDescent="0.25">
      <c r="A4087" s="6">
        <v>44035</v>
      </c>
      <c r="B4087" t="s">
        <v>26</v>
      </c>
      <c r="C4087">
        <v>64539</v>
      </c>
      <c r="D4087" t="s">
        <v>194</v>
      </c>
      <c r="E4087" s="7">
        <v>54</v>
      </c>
      <c r="F4087" t="s">
        <v>20</v>
      </c>
      <c r="G4087" t="s">
        <v>21</v>
      </c>
      <c r="H4087" t="str">
        <f>"015962837"</f>
        <v>015962837</v>
      </c>
      <c r="I4087" t="str">
        <f>"GILBERT RODRIGUEZ- UNIFOR"</f>
        <v>GILBERT RODRIGUEZ- UNIFOR</v>
      </c>
    </row>
    <row r="4088" spans="1:9" x14ac:dyDescent="0.25">
      <c r="A4088" s="6">
        <v>44035</v>
      </c>
      <c r="B4088" t="s">
        <v>91</v>
      </c>
      <c r="C4088">
        <v>64540</v>
      </c>
      <c r="D4088" t="s">
        <v>725</v>
      </c>
      <c r="E4088" s="7">
        <v>675</v>
      </c>
      <c r="F4088" t="s">
        <v>20</v>
      </c>
      <c r="G4088" t="s">
        <v>21</v>
      </c>
      <c r="H4088" t="str">
        <f>"SUMMER PROG.2020"</f>
        <v>SUMMER PROG.2020</v>
      </c>
      <c r="I4088" t="str">
        <f>"FLORESVILLE WILDCATS"</f>
        <v>FLORESVILLE WILDCATS</v>
      </c>
    </row>
    <row r="4089" spans="1:9" x14ac:dyDescent="0.25">
      <c r="A4089" s="6">
        <v>44035</v>
      </c>
      <c r="B4089" t="s">
        <v>91</v>
      </c>
      <c r="C4089">
        <v>64540</v>
      </c>
      <c r="D4089" t="s">
        <v>725</v>
      </c>
      <c r="E4089" s="7">
        <v>675</v>
      </c>
      <c r="F4089" t="s">
        <v>20</v>
      </c>
      <c r="G4089" t="s">
        <v>93</v>
      </c>
      <c r="H4089" t="str">
        <f>"CHECK"</f>
        <v>CHECK</v>
      </c>
      <c r="I4089" t="str">
        <f>""</f>
        <v/>
      </c>
    </row>
    <row r="4090" spans="1:9" x14ac:dyDescent="0.25">
      <c r="A4090" s="6">
        <v>44035</v>
      </c>
      <c r="B4090" t="s">
        <v>26</v>
      </c>
      <c r="C4090">
        <v>64541</v>
      </c>
      <c r="D4090" t="s">
        <v>404</v>
      </c>
      <c r="E4090" s="7">
        <v>675</v>
      </c>
      <c r="F4090" t="s">
        <v>20</v>
      </c>
      <c r="G4090" t="s">
        <v>21</v>
      </c>
      <c r="H4090" t="str">
        <f>"SUMMER PROG.2020"</f>
        <v>SUMMER PROG.2020</v>
      </c>
      <c r="I4090" t="str">
        <f>"WILSON COUNTY ELITE BALLERZ"</f>
        <v>WILSON COUNTY ELITE BALLERZ</v>
      </c>
    </row>
    <row r="4091" spans="1:9" x14ac:dyDescent="0.25">
      <c r="A4091" s="6">
        <v>44035</v>
      </c>
      <c r="B4091" t="s">
        <v>91</v>
      </c>
      <c r="C4091">
        <v>64542</v>
      </c>
      <c r="D4091" t="s">
        <v>405</v>
      </c>
      <c r="E4091" s="7">
        <v>675</v>
      </c>
      <c r="F4091" t="s">
        <v>20</v>
      </c>
      <c r="G4091" t="s">
        <v>21</v>
      </c>
      <c r="H4091" t="str">
        <f>"SUMMER PROG.2020"</f>
        <v>SUMMER PROG.2020</v>
      </c>
      <c r="I4091" t="str">
        <f>"ALL CITY YOUTH PROGRAMS"</f>
        <v>ALL CITY YOUTH PROGRAMS</v>
      </c>
    </row>
    <row r="4092" spans="1:9" x14ac:dyDescent="0.25">
      <c r="A4092" s="6">
        <v>44035</v>
      </c>
      <c r="B4092" t="s">
        <v>91</v>
      </c>
      <c r="C4092">
        <v>64542</v>
      </c>
      <c r="D4092" t="s">
        <v>405</v>
      </c>
      <c r="E4092" s="7">
        <v>675</v>
      </c>
      <c r="F4092" t="s">
        <v>20</v>
      </c>
      <c r="G4092" t="s">
        <v>93</v>
      </c>
      <c r="H4092" t="str">
        <f>"CHECK"</f>
        <v>CHECK</v>
      </c>
      <c r="I4092" t="str">
        <f>""</f>
        <v/>
      </c>
    </row>
    <row r="4093" spans="1:9" x14ac:dyDescent="0.25">
      <c r="A4093" s="6">
        <v>44035</v>
      </c>
      <c r="B4093" t="s">
        <v>26</v>
      </c>
      <c r="C4093">
        <v>64543</v>
      </c>
      <c r="D4093" t="s">
        <v>406</v>
      </c>
      <c r="E4093" s="7">
        <v>675</v>
      </c>
      <c r="F4093" t="s">
        <v>20</v>
      </c>
      <c r="G4093" t="s">
        <v>21</v>
      </c>
      <c r="H4093" t="str">
        <f>"SUMMER PROG.2020"</f>
        <v>SUMMER PROG.2020</v>
      </c>
      <c r="I4093" t="str">
        <f>"WILSON COUNTY BALLET SUMMER PR"</f>
        <v>WILSON COUNTY BALLET SUMMER PR</v>
      </c>
    </row>
    <row r="4094" spans="1:9" x14ac:dyDescent="0.25">
      <c r="A4094" s="6">
        <v>44035</v>
      </c>
      <c r="B4094" t="s">
        <v>26</v>
      </c>
      <c r="C4094">
        <v>64544</v>
      </c>
      <c r="D4094" t="s">
        <v>536</v>
      </c>
      <c r="E4094" s="7">
        <v>351.54</v>
      </c>
      <c r="F4094" t="s">
        <v>20</v>
      </c>
      <c r="G4094" t="s">
        <v>21</v>
      </c>
      <c r="H4094" t="str">
        <f>"8119204002"</f>
        <v>8119204002</v>
      </c>
      <c r="I4094" t="str">
        <f>"COCA-COLA SOUTHWEST BEVERAGES"</f>
        <v>COCA-COLA SOUTHWEST BEVERAGES</v>
      </c>
    </row>
    <row r="4095" spans="1:9" x14ac:dyDescent="0.25">
      <c r="A4095" s="6">
        <v>44035</v>
      </c>
      <c r="B4095" t="s">
        <v>26</v>
      </c>
      <c r="C4095">
        <v>64545</v>
      </c>
      <c r="D4095" t="s">
        <v>345</v>
      </c>
      <c r="E4095" s="7">
        <v>242</v>
      </c>
      <c r="F4095" t="s">
        <v>20</v>
      </c>
      <c r="G4095" t="s">
        <v>21</v>
      </c>
      <c r="H4095" t="str">
        <f>"7/22/2020"</f>
        <v>7/22/2020</v>
      </c>
      <c r="I4095" t="str">
        <f>"MICHAEL ISAAC MARTINEZ"</f>
        <v>MICHAEL ISAAC MARTINEZ</v>
      </c>
    </row>
    <row r="4096" spans="1:9" x14ac:dyDescent="0.25">
      <c r="A4096" s="6">
        <v>44035</v>
      </c>
      <c r="B4096" t="s">
        <v>26</v>
      </c>
      <c r="C4096">
        <v>64546</v>
      </c>
      <c r="D4096" t="s">
        <v>528</v>
      </c>
      <c r="E4096" s="7">
        <v>181.2</v>
      </c>
      <c r="F4096" t="s">
        <v>20</v>
      </c>
      <c r="G4096" t="s">
        <v>21</v>
      </c>
      <c r="H4096" t="str">
        <f>"10340108"</f>
        <v>10340108</v>
      </c>
      <c r="I4096" t="str">
        <f>"PROSTAR SERVICES INC"</f>
        <v>PROSTAR SERVICES INC</v>
      </c>
    </row>
    <row r="4097" spans="1:9" x14ac:dyDescent="0.25">
      <c r="A4097" s="6">
        <v>44035</v>
      </c>
      <c r="B4097" t="s">
        <v>26</v>
      </c>
      <c r="C4097">
        <v>64547</v>
      </c>
      <c r="D4097" t="s">
        <v>644</v>
      </c>
      <c r="E4097" s="7">
        <v>1243.77</v>
      </c>
      <c r="F4097" t="s">
        <v>20</v>
      </c>
      <c r="G4097" t="s">
        <v>21</v>
      </c>
      <c r="H4097" t="str">
        <f>"8213470248"</f>
        <v>8213470248</v>
      </c>
      <c r="I4097" t="str">
        <f t="shared" ref="I4097:I4110" si="86">"UNIFIRST CORPORATION"</f>
        <v>UNIFIRST CORPORATION</v>
      </c>
    </row>
    <row r="4098" spans="1:9" x14ac:dyDescent="0.25">
      <c r="E4098" s="7"/>
      <c r="F4098" t="s">
        <v>20</v>
      </c>
      <c r="G4098" t="s">
        <v>21</v>
      </c>
      <c r="H4098" t="str">
        <f>"8213483418"</f>
        <v>8213483418</v>
      </c>
      <c r="I4098" t="str">
        <f t="shared" si="86"/>
        <v>UNIFIRST CORPORATION</v>
      </c>
    </row>
    <row r="4099" spans="1:9" x14ac:dyDescent="0.25">
      <c r="E4099" s="7"/>
      <c r="F4099" t="s">
        <v>20</v>
      </c>
      <c r="G4099" t="s">
        <v>21</v>
      </c>
      <c r="H4099" t="str">
        <f>"8213483419"</f>
        <v>8213483419</v>
      </c>
      <c r="I4099" t="str">
        <f t="shared" si="86"/>
        <v>UNIFIRST CORPORATION</v>
      </c>
    </row>
    <row r="4100" spans="1:9" x14ac:dyDescent="0.25">
      <c r="E4100" s="7"/>
      <c r="F4100" t="s">
        <v>20</v>
      </c>
      <c r="G4100" t="s">
        <v>21</v>
      </c>
      <c r="H4100" t="str">
        <f>"8213483420"</f>
        <v>8213483420</v>
      </c>
      <c r="I4100" t="str">
        <f t="shared" si="86"/>
        <v>UNIFIRST CORPORATION</v>
      </c>
    </row>
    <row r="4101" spans="1:9" x14ac:dyDescent="0.25">
      <c r="E4101" s="7"/>
      <c r="F4101" t="s">
        <v>20</v>
      </c>
      <c r="G4101" t="s">
        <v>21</v>
      </c>
      <c r="H4101" t="str">
        <f>"8213483421"</f>
        <v>8213483421</v>
      </c>
      <c r="I4101" t="str">
        <f t="shared" si="86"/>
        <v>UNIFIRST CORPORATION</v>
      </c>
    </row>
    <row r="4102" spans="1:9" x14ac:dyDescent="0.25">
      <c r="E4102" s="7"/>
      <c r="F4102" t="s">
        <v>20</v>
      </c>
      <c r="G4102" t="s">
        <v>21</v>
      </c>
      <c r="H4102" t="str">
        <f>"8213483422"</f>
        <v>8213483422</v>
      </c>
      <c r="I4102" t="str">
        <f t="shared" si="86"/>
        <v>UNIFIRST CORPORATION</v>
      </c>
    </row>
    <row r="4103" spans="1:9" x14ac:dyDescent="0.25">
      <c r="E4103" s="7"/>
      <c r="F4103" t="s">
        <v>20</v>
      </c>
      <c r="G4103" t="s">
        <v>21</v>
      </c>
      <c r="H4103" t="str">
        <f>"8213483423"</f>
        <v>8213483423</v>
      </c>
      <c r="I4103" t="str">
        <f t="shared" si="86"/>
        <v>UNIFIRST CORPORATION</v>
      </c>
    </row>
    <row r="4104" spans="1:9" x14ac:dyDescent="0.25">
      <c r="E4104" s="7"/>
      <c r="F4104" t="s">
        <v>20</v>
      </c>
      <c r="G4104" t="s">
        <v>21</v>
      </c>
      <c r="H4104" t="str">
        <f>"8213483424"</f>
        <v>8213483424</v>
      </c>
      <c r="I4104" t="str">
        <f t="shared" si="86"/>
        <v>UNIFIRST CORPORATION</v>
      </c>
    </row>
    <row r="4105" spans="1:9" x14ac:dyDescent="0.25">
      <c r="E4105" s="7"/>
      <c r="F4105" t="s">
        <v>20</v>
      </c>
      <c r="G4105" t="s">
        <v>21</v>
      </c>
      <c r="H4105" t="str">
        <f>"8213486025"</f>
        <v>8213486025</v>
      </c>
      <c r="I4105" t="str">
        <f t="shared" si="86"/>
        <v>UNIFIRST CORPORATION</v>
      </c>
    </row>
    <row r="4106" spans="1:9" x14ac:dyDescent="0.25">
      <c r="E4106" s="7"/>
      <c r="F4106" t="s">
        <v>20</v>
      </c>
      <c r="G4106" t="s">
        <v>21</v>
      </c>
      <c r="H4106" t="str">
        <f>"8213486026"</f>
        <v>8213486026</v>
      </c>
      <c r="I4106" t="str">
        <f t="shared" si="86"/>
        <v>UNIFIRST CORPORATION</v>
      </c>
    </row>
    <row r="4107" spans="1:9" x14ac:dyDescent="0.25">
      <c r="E4107" s="7"/>
      <c r="F4107" t="s">
        <v>20</v>
      </c>
      <c r="G4107" t="s">
        <v>21</v>
      </c>
      <c r="H4107" t="str">
        <f>"8213486027"</f>
        <v>8213486027</v>
      </c>
      <c r="I4107" t="str">
        <f t="shared" si="86"/>
        <v>UNIFIRST CORPORATION</v>
      </c>
    </row>
    <row r="4108" spans="1:9" x14ac:dyDescent="0.25">
      <c r="E4108" s="7"/>
      <c r="F4108" t="s">
        <v>20</v>
      </c>
      <c r="G4108" t="s">
        <v>21</v>
      </c>
      <c r="H4108" t="str">
        <f>"8213486028"</f>
        <v>8213486028</v>
      </c>
      <c r="I4108" t="str">
        <f t="shared" si="86"/>
        <v>UNIFIRST CORPORATION</v>
      </c>
    </row>
    <row r="4109" spans="1:9" x14ac:dyDescent="0.25">
      <c r="E4109" s="7"/>
      <c r="F4109" t="s">
        <v>20</v>
      </c>
      <c r="G4109" t="s">
        <v>21</v>
      </c>
      <c r="H4109" t="str">
        <f>"8213486029"</f>
        <v>8213486029</v>
      </c>
      <c r="I4109" t="str">
        <f t="shared" si="86"/>
        <v>UNIFIRST CORPORATION</v>
      </c>
    </row>
    <row r="4110" spans="1:9" x14ac:dyDescent="0.25">
      <c r="E4110" s="7"/>
      <c r="F4110" t="s">
        <v>20</v>
      </c>
      <c r="G4110" t="s">
        <v>21</v>
      </c>
      <c r="H4110" t="str">
        <f>"8213486030"</f>
        <v>8213486030</v>
      </c>
      <c r="I4110" t="str">
        <f t="shared" si="86"/>
        <v>UNIFIRST CORPORATION</v>
      </c>
    </row>
    <row r="4111" spans="1:9" x14ac:dyDescent="0.25">
      <c r="A4111" s="6">
        <v>44035</v>
      </c>
      <c r="B4111" t="s">
        <v>26</v>
      </c>
      <c r="C4111">
        <v>64550</v>
      </c>
      <c r="D4111" t="s">
        <v>949</v>
      </c>
      <c r="E4111" s="7">
        <v>624</v>
      </c>
      <c r="F4111" t="s">
        <v>20</v>
      </c>
      <c r="G4111" t="s">
        <v>21</v>
      </c>
      <c r="H4111" t="str">
        <f>"16088"</f>
        <v>16088</v>
      </c>
      <c r="I4111" t="str">
        <f>"AUTO GRAPHICS &amp; SIGN CO.  LLC"</f>
        <v>AUTO GRAPHICS &amp; SIGN CO.  LLC</v>
      </c>
    </row>
    <row r="4112" spans="1:9" x14ac:dyDescent="0.25">
      <c r="A4112" s="6">
        <v>44035</v>
      </c>
      <c r="B4112" t="s">
        <v>26</v>
      </c>
      <c r="C4112">
        <v>64551</v>
      </c>
      <c r="D4112" t="s">
        <v>945</v>
      </c>
      <c r="E4112" s="7">
        <v>523.36</v>
      </c>
      <c r="F4112" t="s">
        <v>20</v>
      </c>
      <c r="G4112" t="s">
        <v>21</v>
      </c>
      <c r="H4112" t="str">
        <f>"4710068776"</f>
        <v>4710068776</v>
      </c>
      <c r="I4112" t="str">
        <f>"TIRES FOR PD UNIT"</f>
        <v>TIRES FOR PD UNIT</v>
      </c>
    </row>
    <row r="4113" spans="1:9" x14ac:dyDescent="0.25">
      <c r="A4113" s="6">
        <v>44035</v>
      </c>
      <c r="B4113" t="s">
        <v>26</v>
      </c>
      <c r="C4113">
        <v>64552</v>
      </c>
      <c r="D4113" t="s">
        <v>938</v>
      </c>
      <c r="E4113" s="7">
        <v>3620</v>
      </c>
      <c r="F4113" t="s">
        <v>20</v>
      </c>
      <c r="G4113" t="s">
        <v>21</v>
      </c>
      <c r="H4113" t="str">
        <f>"345"</f>
        <v>345</v>
      </c>
      <c r="I4113" t="str">
        <f>"RAMSEY-PATE LANDSCAPES LLC"</f>
        <v>RAMSEY-PATE LANDSCAPES LLC</v>
      </c>
    </row>
    <row r="4114" spans="1:9" x14ac:dyDescent="0.25">
      <c r="A4114" s="6">
        <v>44036</v>
      </c>
      <c r="B4114" t="s">
        <v>26</v>
      </c>
      <c r="C4114">
        <v>64553</v>
      </c>
      <c r="D4114" t="s">
        <v>380</v>
      </c>
      <c r="E4114" s="7">
        <v>35530</v>
      </c>
      <c r="F4114" t="s">
        <v>20</v>
      </c>
      <c r="G4114" t="s">
        <v>21</v>
      </c>
      <c r="H4114" t="str">
        <f>"72574"</f>
        <v>72574</v>
      </c>
      <c r="I4114" t="str">
        <f>"ABIP CERTIFIED PUBLIC ACCOUNTA"</f>
        <v>ABIP CERTIFIED PUBLIC ACCOUNTA</v>
      </c>
    </row>
    <row r="4115" spans="1:9" x14ac:dyDescent="0.25">
      <c r="A4115" s="6">
        <v>44036</v>
      </c>
      <c r="B4115" t="s">
        <v>26</v>
      </c>
      <c r="C4115">
        <v>64554</v>
      </c>
      <c r="D4115" t="s">
        <v>949</v>
      </c>
      <c r="E4115" s="7">
        <v>349.5</v>
      </c>
      <c r="F4115" t="s">
        <v>20</v>
      </c>
      <c r="G4115" t="s">
        <v>21</v>
      </c>
      <c r="H4115" t="str">
        <f>"15898"</f>
        <v>15898</v>
      </c>
      <c r="I4115" t="str">
        <f>"DECALS-VINYL"</f>
        <v>DECALS-VINYL</v>
      </c>
    </row>
    <row r="4116" spans="1:9" x14ac:dyDescent="0.25">
      <c r="E4116" s="7"/>
      <c r="F4116" t="s">
        <v>20</v>
      </c>
      <c r="G4116" t="s">
        <v>21</v>
      </c>
      <c r="H4116" t="str">
        <f>"15939"</f>
        <v>15939</v>
      </c>
      <c r="I4116" t="str">
        <f>"9 X12  SINGLE SIDE DECALS"</f>
        <v>9 X12  SINGLE SIDE DECALS</v>
      </c>
    </row>
    <row r="4117" spans="1:9" x14ac:dyDescent="0.25">
      <c r="E4117" s="7"/>
      <c r="F4117" t="s">
        <v>20</v>
      </c>
      <c r="G4117" t="s">
        <v>21</v>
      </c>
      <c r="H4117" t="str">
        <f>"15962"</f>
        <v>15962</v>
      </c>
      <c r="I4117" t="str">
        <f>"SAFETY SHIRTS"</f>
        <v>SAFETY SHIRTS</v>
      </c>
    </row>
    <row r="4118" spans="1:9" x14ac:dyDescent="0.25">
      <c r="A4118" s="6">
        <v>44036</v>
      </c>
      <c r="B4118" t="s">
        <v>26</v>
      </c>
      <c r="C4118">
        <v>64555</v>
      </c>
      <c r="D4118" t="s">
        <v>125</v>
      </c>
      <c r="E4118" s="7">
        <v>3855</v>
      </c>
      <c r="F4118" t="s">
        <v>20</v>
      </c>
      <c r="G4118" t="s">
        <v>21</v>
      </c>
      <c r="H4118" t="str">
        <f>"19-0176 JUNE2020"</f>
        <v>19-0176 JUNE2020</v>
      </c>
      <c r="I4118" t="str">
        <f>"INTREPID SURVEYING CORPORATION"</f>
        <v>INTREPID SURVEYING CORPORATION</v>
      </c>
    </row>
    <row r="4119" spans="1:9" x14ac:dyDescent="0.25">
      <c r="E4119" s="7"/>
      <c r="F4119" t="s">
        <v>20</v>
      </c>
      <c r="G4119" t="s">
        <v>21</v>
      </c>
      <c r="H4119" t="str">
        <f>"20-0072 JUNE2020"</f>
        <v>20-0072 JUNE2020</v>
      </c>
      <c r="I4119" t="str">
        <f>"INTREPID SURVEYING CORPORATION"</f>
        <v>INTREPID SURVEYING CORPORATION</v>
      </c>
    </row>
    <row r="4120" spans="1:9" x14ac:dyDescent="0.25">
      <c r="E4120" s="7"/>
      <c r="F4120" t="s">
        <v>20</v>
      </c>
      <c r="G4120" t="s">
        <v>21</v>
      </c>
      <c r="H4120" t="str">
        <f>"20-0383 JUNE 2020"</f>
        <v>20-0383 JUNE 2020</v>
      </c>
      <c r="I4120" t="str">
        <f>"INTREPID SURVEYING CORPORATION"</f>
        <v>INTREPID SURVEYING CORPORATION</v>
      </c>
    </row>
    <row r="4121" spans="1:9" x14ac:dyDescent="0.25">
      <c r="A4121" s="6">
        <v>44036</v>
      </c>
      <c r="B4121" t="s">
        <v>26</v>
      </c>
      <c r="C4121">
        <v>64556</v>
      </c>
      <c r="D4121" t="s">
        <v>326</v>
      </c>
      <c r="E4121" s="7">
        <v>38</v>
      </c>
      <c r="F4121" t="s">
        <v>20</v>
      </c>
      <c r="G4121" t="s">
        <v>21</v>
      </c>
      <c r="H4121" t="str">
        <f>"21922823"</f>
        <v>21922823</v>
      </c>
      <c r="I4121" t="str">
        <f>"MATHESON TRI-GAS INC"</f>
        <v>MATHESON TRI-GAS INC</v>
      </c>
    </row>
    <row r="4122" spans="1:9" x14ac:dyDescent="0.25">
      <c r="A4122" s="6">
        <v>44036</v>
      </c>
      <c r="B4122" t="s">
        <v>26</v>
      </c>
      <c r="C4122">
        <v>64557</v>
      </c>
      <c r="D4122" t="s">
        <v>252</v>
      </c>
      <c r="E4122" s="7">
        <v>164275.19</v>
      </c>
      <c r="F4122" t="s">
        <v>20</v>
      </c>
      <c r="G4122" t="s">
        <v>21</v>
      </c>
      <c r="H4122" t="str">
        <f>"PAY APP#1"</f>
        <v>PAY APP#1</v>
      </c>
      <c r="I4122" t="str">
        <f>"RAM II GENERAL CONTRACTOR INC."</f>
        <v>RAM II GENERAL CONTRACTOR INC.</v>
      </c>
    </row>
    <row r="4123" spans="1:9" x14ac:dyDescent="0.25">
      <c r="A4123" s="6">
        <v>44036</v>
      </c>
      <c r="B4123" t="s">
        <v>26</v>
      </c>
      <c r="C4123">
        <v>64558</v>
      </c>
      <c r="D4123" t="s">
        <v>926</v>
      </c>
      <c r="E4123" s="7">
        <v>4000</v>
      </c>
      <c r="F4123" t="s">
        <v>20</v>
      </c>
      <c r="G4123" t="s">
        <v>21</v>
      </c>
      <c r="H4123" t="str">
        <f>"2020721-1"</f>
        <v>2020721-1</v>
      </c>
      <c r="I4123" t="str">
        <f>"BRUSH REMOVAL(CITY PARK)"</f>
        <v>BRUSH REMOVAL(CITY PARK)</v>
      </c>
    </row>
    <row r="4124" spans="1:9" x14ac:dyDescent="0.25">
      <c r="A4124" s="6">
        <v>44040</v>
      </c>
      <c r="B4124" t="s">
        <v>26</v>
      </c>
      <c r="C4124">
        <v>64559</v>
      </c>
      <c r="D4124" t="s">
        <v>950</v>
      </c>
      <c r="E4124" s="7">
        <v>360</v>
      </c>
      <c r="F4124" t="s">
        <v>20</v>
      </c>
      <c r="G4124" t="s">
        <v>21</v>
      </c>
      <c r="H4124" t="str">
        <f>"7/28/2020"</f>
        <v>7/28/2020</v>
      </c>
      <c r="I4124" t="str">
        <f>"TINT FOR PD VEHICLES"</f>
        <v>TINT FOR PD VEHICLES</v>
      </c>
    </row>
    <row r="4125" spans="1:9" x14ac:dyDescent="0.25">
      <c r="A4125" s="6">
        <v>44040</v>
      </c>
      <c r="B4125" t="s">
        <v>26</v>
      </c>
      <c r="C4125">
        <v>64560</v>
      </c>
      <c r="D4125" t="s">
        <v>951</v>
      </c>
      <c r="E4125" s="7">
        <v>675</v>
      </c>
      <c r="F4125" t="s">
        <v>20</v>
      </c>
      <c r="G4125" t="s">
        <v>21</v>
      </c>
      <c r="H4125" t="str">
        <f>"FELPS YTH PRG 2020"</f>
        <v>FELPS YTH PRG 2020</v>
      </c>
      <c r="I4125" t="str">
        <f>"THE FLORESVILLE DIAMOND CRUSHE"</f>
        <v>THE FLORESVILLE DIAMOND CRUSHE</v>
      </c>
    </row>
    <row r="4126" spans="1:9" x14ac:dyDescent="0.25">
      <c r="A4126" s="6">
        <v>44040</v>
      </c>
      <c r="B4126" t="s">
        <v>26</v>
      </c>
      <c r="C4126">
        <v>64561</v>
      </c>
      <c r="D4126" t="s">
        <v>952</v>
      </c>
      <c r="E4126" s="7">
        <v>500</v>
      </c>
      <c r="F4126" t="s">
        <v>20</v>
      </c>
      <c r="G4126" t="s">
        <v>21</v>
      </c>
      <c r="H4126" t="str">
        <f>"FELPS YTH PRG 2020"</f>
        <v>FELPS YTH PRG 2020</v>
      </c>
      <c r="I4126" t="str">
        <f>"TNT SA SPORTS LLC"</f>
        <v>TNT SA SPORTS LLC</v>
      </c>
    </row>
    <row r="4127" spans="1:9" x14ac:dyDescent="0.25">
      <c r="A4127" s="6">
        <v>44040</v>
      </c>
      <c r="B4127" t="s">
        <v>26</v>
      </c>
      <c r="C4127">
        <v>64568</v>
      </c>
      <c r="D4127" t="s">
        <v>51</v>
      </c>
      <c r="E4127" s="7">
        <v>327.84</v>
      </c>
      <c r="F4127" t="s">
        <v>20</v>
      </c>
      <c r="G4127" t="s">
        <v>21</v>
      </c>
      <c r="H4127" t="str">
        <f>"CLE202007288579"</f>
        <v>CLE202007288579</v>
      </c>
      <c r="I4127" t="str">
        <f>"CLEAT ONLY DUES"</f>
        <v>CLEAT ONLY DUES</v>
      </c>
    </row>
    <row r="4128" spans="1:9" x14ac:dyDescent="0.25">
      <c r="E4128" s="7"/>
      <c r="F4128" t="s">
        <v>20</v>
      </c>
      <c r="G4128" t="s">
        <v>21</v>
      </c>
      <c r="H4128" t="str">
        <f>"PDD202007288579"</f>
        <v>PDD202007288579</v>
      </c>
      <c r="I4128" t="str">
        <f>"POLICE OFFICERS ASSOC DUES"</f>
        <v>POLICE OFFICERS ASSOC DUES</v>
      </c>
    </row>
    <row r="4129" spans="1:9" x14ac:dyDescent="0.25">
      <c r="A4129" s="6">
        <v>44040</v>
      </c>
      <c r="B4129" t="s">
        <v>91</v>
      </c>
      <c r="C4129">
        <v>64569</v>
      </c>
      <c r="D4129" t="s">
        <v>90</v>
      </c>
      <c r="E4129" s="7">
        <v>83.1</v>
      </c>
      <c r="F4129" t="s">
        <v>20</v>
      </c>
      <c r="G4129" t="s">
        <v>21</v>
      </c>
      <c r="H4129" t="str">
        <f>"AFS202007288579"</f>
        <v>AFS202007288579</v>
      </c>
      <c r="I4129" t="str">
        <f>"AFLAC STD"</f>
        <v>AFLAC STD</v>
      </c>
    </row>
    <row r="4130" spans="1:9" x14ac:dyDescent="0.25">
      <c r="A4130" s="6">
        <v>44040</v>
      </c>
      <c r="B4130" t="s">
        <v>91</v>
      </c>
      <c r="C4130">
        <v>64569</v>
      </c>
      <c r="D4130" t="s">
        <v>90</v>
      </c>
      <c r="E4130" s="7">
        <v>83.1</v>
      </c>
      <c r="F4130" t="s">
        <v>20</v>
      </c>
      <c r="G4130" t="s">
        <v>93</v>
      </c>
      <c r="H4130" t="str">
        <f>"CHECK"</f>
        <v>CHECK</v>
      </c>
      <c r="I4130" t="str">
        <f>""</f>
        <v/>
      </c>
    </row>
    <row r="4131" spans="1:9" x14ac:dyDescent="0.25">
      <c r="A4131" s="6">
        <v>44040</v>
      </c>
      <c r="B4131" t="s">
        <v>26</v>
      </c>
      <c r="C4131">
        <v>64570</v>
      </c>
      <c r="D4131" t="s">
        <v>52</v>
      </c>
      <c r="E4131" s="7">
        <v>405</v>
      </c>
      <c r="F4131" t="s">
        <v>20</v>
      </c>
      <c r="G4131" t="s">
        <v>21</v>
      </c>
      <c r="H4131" t="str">
        <f>"CA1202007288579"</f>
        <v>CA1202007288579</v>
      </c>
      <c r="I4131" t="str">
        <f>"K RAMIREZ 001200229510060343CV"</f>
        <v>K RAMIREZ 001200229510060343CV</v>
      </c>
    </row>
    <row r="4132" spans="1:9" x14ac:dyDescent="0.25">
      <c r="E4132" s="7"/>
      <c r="F4132" t="s">
        <v>20</v>
      </c>
      <c r="G4132" t="s">
        <v>21</v>
      </c>
      <c r="H4132" t="str">
        <f>"CA2202007288579"</f>
        <v>CA2202007288579</v>
      </c>
      <c r="I4132" t="str">
        <f>"L HERNANDEZ 001016025203080354"</f>
        <v>L HERNANDEZ 001016025203080354</v>
      </c>
    </row>
    <row r="4133" spans="1:9" x14ac:dyDescent="0.25">
      <c r="E4133" s="7"/>
      <c r="F4133" t="s">
        <v>20</v>
      </c>
      <c r="G4133" t="s">
        <v>21</v>
      </c>
      <c r="H4133" t="str">
        <f>"CA3202007288579"</f>
        <v>CA3202007288579</v>
      </c>
      <c r="I4133" t="str">
        <f>"00120788612011EM5023JOLENEGARC"</f>
        <v>00120788612011EM5023JOLENEGARC</v>
      </c>
    </row>
    <row r="4134" spans="1:9" x14ac:dyDescent="0.25">
      <c r="E4134" s="7"/>
      <c r="F4134" t="s">
        <v>20</v>
      </c>
      <c r="G4134" t="s">
        <v>21</v>
      </c>
      <c r="H4134" t="str">
        <f>"CSA202007288579"</f>
        <v>CSA202007288579</v>
      </c>
      <c r="I4134" t="str">
        <f>"S RODRIGUEZ 001281730413050336"</f>
        <v>S RODRIGUEZ 001281730413050336</v>
      </c>
    </row>
    <row r="4135" spans="1:9" x14ac:dyDescent="0.25">
      <c r="A4135" s="6">
        <v>44040</v>
      </c>
      <c r="B4135" t="s">
        <v>26</v>
      </c>
      <c r="C4135">
        <v>64571</v>
      </c>
      <c r="D4135" t="s">
        <v>54</v>
      </c>
      <c r="E4135" s="7">
        <v>788.42</v>
      </c>
      <c r="F4135" t="s">
        <v>20</v>
      </c>
      <c r="G4135" t="s">
        <v>21</v>
      </c>
      <c r="H4135" t="str">
        <f>"457202007288579"</f>
        <v>457202007288579</v>
      </c>
      <c r="I4135" t="str">
        <f>"CASE # 180-60751 457B DEDUCT"</f>
        <v>CASE # 180-60751 457B DEDUCT</v>
      </c>
    </row>
    <row r="4136" spans="1:9" x14ac:dyDescent="0.25">
      <c r="A4136" s="6">
        <v>44041</v>
      </c>
      <c r="B4136" t="s">
        <v>26</v>
      </c>
      <c r="C4136">
        <v>64572</v>
      </c>
      <c r="D4136" t="s">
        <v>195</v>
      </c>
      <c r="E4136" s="7">
        <v>2756.43</v>
      </c>
      <c r="F4136" t="s">
        <v>20</v>
      </c>
      <c r="G4136" t="s">
        <v>21</v>
      </c>
      <c r="H4136" t="str">
        <f>"1565202007"</f>
        <v>1565202007</v>
      </c>
      <c r="I4136" t="str">
        <f>"ARISTA INFORMATION SYSTEMS  IN"</f>
        <v>ARISTA INFORMATION SYSTEMS  IN</v>
      </c>
    </row>
    <row r="4137" spans="1:9" x14ac:dyDescent="0.25">
      <c r="E4137" s="7"/>
      <c r="F4137" t="s">
        <v>20</v>
      </c>
      <c r="G4137" t="s">
        <v>21</v>
      </c>
      <c r="H4137" t="str">
        <f>"3004"</f>
        <v>3004</v>
      </c>
      <c r="I4137" t="str">
        <f>"ARISTA INFORMATION SYSTEMS  IN"</f>
        <v>ARISTA INFORMATION SYSTEMS  IN</v>
      </c>
    </row>
    <row r="4138" spans="1:9" x14ac:dyDescent="0.25">
      <c r="A4138" s="6">
        <v>44041</v>
      </c>
      <c r="B4138" t="s">
        <v>26</v>
      </c>
      <c r="C4138">
        <v>64573</v>
      </c>
      <c r="D4138" t="s">
        <v>836</v>
      </c>
      <c r="E4138" s="7">
        <v>11873.16</v>
      </c>
      <c r="F4138" t="s">
        <v>20</v>
      </c>
      <c r="G4138" t="s">
        <v>21</v>
      </c>
      <c r="H4138" t="str">
        <f>"62684"</f>
        <v>62684</v>
      </c>
      <c r="I4138" t="str">
        <f t="shared" ref="I4138:I4143" si="87">"BARCOM TECHNOLOGY SOLUTIONS  I"</f>
        <v>BARCOM TECHNOLOGY SOLUTIONS  I</v>
      </c>
    </row>
    <row r="4139" spans="1:9" x14ac:dyDescent="0.25">
      <c r="E4139" s="7"/>
      <c r="F4139" t="s">
        <v>20</v>
      </c>
      <c r="G4139" t="s">
        <v>21</v>
      </c>
      <c r="H4139" t="str">
        <f>"64367"</f>
        <v>64367</v>
      </c>
      <c r="I4139" t="str">
        <f t="shared" si="87"/>
        <v>BARCOM TECHNOLOGY SOLUTIONS  I</v>
      </c>
    </row>
    <row r="4140" spans="1:9" x14ac:dyDescent="0.25">
      <c r="E4140" s="7"/>
      <c r="F4140" t="s">
        <v>20</v>
      </c>
      <c r="G4140" t="s">
        <v>21</v>
      </c>
      <c r="H4140" t="str">
        <f>"65343"</f>
        <v>65343</v>
      </c>
      <c r="I4140" t="str">
        <f t="shared" si="87"/>
        <v>BARCOM TECHNOLOGY SOLUTIONS  I</v>
      </c>
    </row>
    <row r="4141" spans="1:9" x14ac:dyDescent="0.25">
      <c r="E4141" s="7"/>
      <c r="F4141" t="s">
        <v>20</v>
      </c>
      <c r="G4141" t="s">
        <v>21</v>
      </c>
      <c r="H4141" t="str">
        <f>"65344"</f>
        <v>65344</v>
      </c>
      <c r="I4141" t="str">
        <f t="shared" si="87"/>
        <v>BARCOM TECHNOLOGY SOLUTIONS  I</v>
      </c>
    </row>
    <row r="4142" spans="1:9" x14ac:dyDescent="0.25">
      <c r="E4142" s="7"/>
      <c r="F4142" t="s">
        <v>20</v>
      </c>
      <c r="G4142" t="s">
        <v>21</v>
      </c>
      <c r="H4142" t="str">
        <f>"65877"</f>
        <v>65877</v>
      </c>
      <c r="I4142" t="str">
        <f t="shared" si="87"/>
        <v>BARCOM TECHNOLOGY SOLUTIONS  I</v>
      </c>
    </row>
    <row r="4143" spans="1:9" x14ac:dyDescent="0.25">
      <c r="E4143" s="7"/>
      <c r="F4143" t="s">
        <v>20</v>
      </c>
      <c r="G4143" t="s">
        <v>21</v>
      </c>
      <c r="H4143" t="str">
        <f>"66036"</f>
        <v>66036</v>
      </c>
      <c r="I4143" t="str">
        <f t="shared" si="87"/>
        <v>BARCOM TECHNOLOGY SOLUTIONS  I</v>
      </c>
    </row>
    <row r="4144" spans="1:9" x14ac:dyDescent="0.25">
      <c r="A4144" s="6">
        <v>44041</v>
      </c>
      <c r="B4144" t="s">
        <v>26</v>
      </c>
      <c r="C4144">
        <v>64575</v>
      </c>
      <c r="D4144" t="s">
        <v>180</v>
      </c>
      <c r="E4144" s="7">
        <v>210.85</v>
      </c>
      <c r="F4144" t="s">
        <v>20</v>
      </c>
      <c r="G4144" t="s">
        <v>21</v>
      </c>
      <c r="H4144" t="str">
        <f>"134032"</f>
        <v>134032</v>
      </c>
      <c r="I4144" t="str">
        <f>"CEMENT READY MIX"</f>
        <v>CEMENT READY MIX</v>
      </c>
    </row>
    <row r="4145" spans="1:9" x14ac:dyDescent="0.25">
      <c r="A4145" s="6">
        <v>44041</v>
      </c>
      <c r="B4145" t="s">
        <v>26</v>
      </c>
      <c r="C4145">
        <v>64576</v>
      </c>
      <c r="D4145" t="s">
        <v>130</v>
      </c>
      <c r="E4145" s="7">
        <v>125</v>
      </c>
      <c r="F4145" t="s">
        <v>20</v>
      </c>
      <c r="G4145" t="s">
        <v>21</v>
      </c>
      <c r="H4145" t="str">
        <f>"INV719907"</f>
        <v>INV719907</v>
      </c>
      <c r="I4145" t="str">
        <f>"DOCUMATION"</f>
        <v>DOCUMATION</v>
      </c>
    </row>
    <row r="4146" spans="1:9" x14ac:dyDescent="0.25">
      <c r="A4146" s="6">
        <v>44041</v>
      </c>
      <c r="B4146" t="s">
        <v>26</v>
      </c>
      <c r="C4146">
        <v>64577</v>
      </c>
      <c r="D4146" t="s">
        <v>647</v>
      </c>
      <c r="E4146" s="7">
        <v>3288.81</v>
      </c>
      <c r="F4146" t="s">
        <v>20</v>
      </c>
      <c r="G4146" t="s">
        <v>21</v>
      </c>
      <c r="H4146" t="str">
        <f>"27389260"</f>
        <v>27389260</v>
      </c>
      <c r="I4146" t="str">
        <f>"DOCUMATION  INC."</f>
        <v>DOCUMATION  INC.</v>
      </c>
    </row>
    <row r="4147" spans="1:9" x14ac:dyDescent="0.25">
      <c r="A4147" s="6">
        <v>44041</v>
      </c>
      <c r="B4147" t="s">
        <v>26</v>
      </c>
      <c r="C4147">
        <v>64578</v>
      </c>
      <c r="D4147" t="s">
        <v>103</v>
      </c>
      <c r="E4147" s="7">
        <v>80729.600000000006</v>
      </c>
      <c r="F4147" t="s">
        <v>20</v>
      </c>
      <c r="G4147" t="s">
        <v>21</v>
      </c>
      <c r="H4147" t="str">
        <f>"SALES TAX JULY2020"</f>
        <v>SALES TAX JULY2020</v>
      </c>
      <c r="I4147" t="str">
        <f>"F. E. D. C."</f>
        <v>F. E. D. C.</v>
      </c>
    </row>
    <row r="4148" spans="1:9" x14ac:dyDescent="0.25">
      <c r="A4148" s="6">
        <v>44041</v>
      </c>
      <c r="B4148" t="s">
        <v>26</v>
      </c>
      <c r="C4148">
        <v>64579</v>
      </c>
      <c r="D4148" t="s">
        <v>79</v>
      </c>
      <c r="E4148" s="7">
        <v>144.36000000000001</v>
      </c>
      <c r="F4148" t="s">
        <v>20</v>
      </c>
      <c r="G4148" t="s">
        <v>21</v>
      </c>
      <c r="H4148" t="str">
        <f>"7-048-18670"</f>
        <v>7-048-18670</v>
      </c>
      <c r="I4148" t="str">
        <f>"FEDEX"</f>
        <v>FEDEX</v>
      </c>
    </row>
    <row r="4149" spans="1:9" x14ac:dyDescent="0.25">
      <c r="E4149" s="7"/>
      <c r="F4149" t="s">
        <v>20</v>
      </c>
      <c r="G4149" t="s">
        <v>21</v>
      </c>
      <c r="H4149" t="str">
        <f>"7-067-18230"</f>
        <v>7-067-18230</v>
      </c>
      <c r="I4149" t="str">
        <f>"FEDEX"</f>
        <v>FEDEX</v>
      </c>
    </row>
    <row r="4150" spans="1:9" x14ac:dyDescent="0.25">
      <c r="A4150" s="6">
        <v>44041</v>
      </c>
      <c r="B4150" t="s">
        <v>26</v>
      </c>
      <c r="C4150">
        <v>64580</v>
      </c>
      <c r="D4150" t="s">
        <v>953</v>
      </c>
      <c r="E4150" s="7">
        <v>1350</v>
      </c>
      <c r="F4150" t="s">
        <v>20</v>
      </c>
      <c r="G4150" t="s">
        <v>21</v>
      </c>
      <c r="H4150" t="str">
        <f>"RFND 3/9/2020"</f>
        <v>RFND 3/9/2020</v>
      </c>
      <c r="I4150" t="str">
        <f>"REFUND"</f>
        <v>REFUND</v>
      </c>
    </row>
    <row r="4151" spans="1:9" x14ac:dyDescent="0.25">
      <c r="A4151" s="6">
        <v>44041</v>
      </c>
      <c r="B4151" t="s">
        <v>26</v>
      </c>
      <c r="C4151">
        <v>64581</v>
      </c>
      <c r="D4151" t="s">
        <v>157</v>
      </c>
      <c r="E4151" s="7">
        <v>987.98</v>
      </c>
      <c r="F4151" t="s">
        <v>20</v>
      </c>
      <c r="G4151" t="s">
        <v>21</v>
      </c>
      <c r="H4151" t="str">
        <f>"7/27/2020"</f>
        <v>7/27/2020</v>
      </c>
      <c r="I4151" t="str">
        <f>"GLAZIERS"</f>
        <v>GLAZIERS</v>
      </c>
    </row>
    <row r="4152" spans="1:9" x14ac:dyDescent="0.25">
      <c r="A4152" s="6">
        <v>44041</v>
      </c>
      <c r="B4152" t="s">
        <v>26</v>
      </c>
      <c r="C4152">
        <v>64582</v>
      </c>
      <c r="D4152" t="s">
        <v>125</v>
      </c>
      <c r="E4152" s="7">
        <v>760</v>
      </c>
      <c r="F4152" t="s">
        <v>20</v>
      </c>
      <c r="G4152" t="s">
        <v>21</v>
      </c>
      <c r="H4152" t="str">
        <f>"19-1281 MARCH2020"</f>
        <v>19-1281 MARCH2020</v>
      </c>
      <c r="I4152" t="str">
        <f>"INTREPID SURVEYING CORPORATION"</f>
        <v>INTREPID SURVEYING CORPORATION</v>
      </c>
    </row>
    <row r="4153" spans="1:9" x14ac:dyDescent="0.25">
      <c r="A4153" s="6">
        <v>44041</v>
      </c>
      <c r="B4153" t="s">
        <v>26</v>
      </c>
      <c r="C4153">
        <v>64583</v>
      </c>
      <c r="D4153" t="s">
        <v>954</v>
      </c>
      <c r="E4153" s="7">
        <v>600</v>
      </c>
      <c r="F4153" t="s">
        <v>20</v>
      </c>
      <c r="G4153" t="s">
        <v>21</v>
      </c>
      <c r="H4153" t="str">
        <f>"RFND RCT#00364715"</f>
        <v>RFND RCT#00364715</v>
      </c>
      <c r="I4153" t="str">
        <f>"REFUND"</f>
        <v>REFUND</v>
      </c>
    </row>
    <row r="4154" spans="1:9" x14ac:dyDescent="0.25">
      <c r="A4154" s="6">
        <v>44041</v>
      </c>
      <c r="B4154" t="s">
        <v>26</v>
      </c>
      <c r="C4154">
        <v>64584</v>
      </c>
      <c r="D4154" t="s">
        <v>146</v>
      </c>
      <c r="E4154" s="7">
        <v>720</v>
      </c>
      <c r="F4154" t="s">
        <v>20</v>
      </c>
      <c r="G4154" t="s">
        <v>21</v>
      </c>
      <c r="H4154" t="str">
        <f>"071861"</f>
        <v>071861</v>
      </c>
      <c r="I4154" t="str">
        <f>"LARRY SRALLA ELECTRIC"</f>
        <v>LARRY SRALLA ELECTRIC</v>
      </c>
    </row>
    <row r="4155" spans="1:9" x14ac:dyDescent="0.25">
      <c r="A4155" s="6">
        <v>44041</v>
      </c>
      <c r="B4155" t="s">
        <v>26</v>
      </c>
      <c r="C4155">
        <v>64585</v>
      </c>
      <c r="D4155" t="s">
        <v>29</v>
      </c>
      <c r="E4155" s="7">
        <v>6807.5</v>
      </c>
      <c r="F4155" t="s">
        <v>20</v>
      </c>
      <c r="G4155" t="s">
        <v>21</v>
      </c>
      <c r="H4155" t="str">
        <f>"44554"</f>
        <v>44554</v>
      </c>
      <c r="I4155" t="str">
        <f>"M &amp; S ENGINEERING  LLC"</f>
        <v>M &amp; S ENGINEERING  LLC</v>
      </c>
    </row>
    <row r="4156" spans="1:9" x14ac:dyDescent="0.25">
      <c r="E4156" s="7"/>
      <c r="F4156" t="s">
        <v>20</v>
      </c>
      <c r="G4156" t="s">
        <v>21</v>
      </c>
      <c r="H4156" t="str">
        <f>"44647"</f>
        <v>44647</v>
      </c>
      <c r="I4156" t="str">
        <f>"M &amp; S ENGINEERING  LLC"</f>
        <v>M &amp; S ENGINEERING  LLC</v>
      </c>
    </row>
    <row r="4157" spans="1:9" x14ac:dyDescent="0.25">
      <c r="A4157" s="6">
        <v>44041</v>
      </c>
      <c r="B4157" t="s">
        <v>26</v>
      </c>
      <c r="C4157">
        <v>64586</v>
      </c>
      <c r="D4157" t="s">
        <v>345</v>
      </c>
      <c r="E4157" s="7">
        <v>209</v>
      </c>
      <c r="F4157" t="s">
        <v>20</v>
      </c>
      <c r="G4157" t="s">
        <v>21</v>
      </c>
      <c r="H4157" t="str">
        <f>"7/27/2020"</f>
        <v>7/27/2020</v>
      </c>
      <c r="I4157" t="str">
        <f>"MICHAEL ISAAC MARTINEZ"</f>
        <v>MICHAEL ISAAC MARTINEZ</v>
      </c>
    </row>
    <row r="4158" spans="1:9" x14ac:dyDescent="0.25">
      <c r="A4158" s="6">
        <v>44041</v>
      </c>
      <c r="B4158" t="s">
        <v>91</v>
      </c>
      <c r="C4158">
        <v>64587</v>
      </c>
      <c r="D4158" t="s">
        <v>106</v>
      </c>
      <c r="E4158" s="7">
        <v>379.9</v>
      </c>
      <c r="F4158" t="s">
        <v>20</v>
      </c>
      <c r="G4158" t="s">
        <v>21</v>
      </c>
      <c r="H4158" t="str">
        <f>"14217"</f>
        <v>14217</v>
      </c>
      <c r="I4158" t="str">
        <f>"OMNIBASE SERVICES OF TEXAS"</f>
        <v>OMNIBASE SERVICES OF TEXAS</v>
      </c>
    </row>
    <row r="4159" spans="1:9" x14ac:dyDescent="0.25">
      <c r="E4159" s="7"/>
      <c r="F4159" t="s">
        <v>20</v>
      </c>
      <c r="G4159" t="s">
        <v>21</v>
      </c>
      <c r="H4159" t="str">
        <f>"14218"</f>
        <v>14218</v>
      </c>
      <c r="I4159" t="str">
        <f>"OMNIBASE SERVICES OF TEXAS"</f>
        <v>OMNIBASE SERVICES OF TEXAS</v>
      </c>
    </row>
    <row r="4160" spans="1:9" x14ac:dyDescent="0.25">
      <c r="E4160" s="7"/>
      <c r="F4160" t="s">
        <v>20</v>
      </c>
      <c r="G4160" t="s">
        <v>21</v>
      </c>
      <c r="H4160" t="str">
        <f>"1ST. QRT"</f>
        <v>1ST. QRT</v>
      </c>
      <c r="I4160" t="str">
        <f>"OMNIBASE SERVICES OF TEXAS"</f>
        <v>OMNIBASE SERVICES OF TEXAS</v>
      </c>
    </row>
    <row r="4161" spans="1:9" x14ac:dyDescent="0.25">
      <c r="E4161" s="7"/>
      <c r="F4161" t="s">
        <v>20</v>
      </c>
      <c r="G4161" t="s">
        <v>21</v>
      </c>
      <c r="H4161" t="str">
        <f>"2ND QRT"</f>
        <v>2ND QRT</v>
      </c>
      <c r="I4161" t="str">
        <f>"OMNIBASE SERVICES OF TEXAS"</f>
        <v>OMNIBASE SERVICES OF TEXAS</v>
      </c>
    </row>
    <row r="4162" spans="1:9" x14ac:dyDescent="0.25">
      <c r="A4162" s="6">
        <v>44041</v>
      </c>
      <c r="B4162" t="s">
        <v>91</v>
      </c>
      <c r="C4162">
        <v>64587</v>
      </c>
      <c r="D4162" t="s">
        <v>106</v>
      </c>
      <c r="E4162" s="7">
        <v>379.9</v>
      </c>
      <c r="F4162" t="s">
        <v>20</v>
      </c>
      <c r="G4162" t="s">
        <v>93</v>
      </c>
      <c r="H4162" t="str">
        <f>"CHECK"</f>
        <v>CHECK</v>
      </c>
      <c r="I4162" t="str">
        <f>""</f>
        <v/>
      </c>
    </row>
    <row r="4163" spans="1:9" x14ac:dyDescent="0.25">
      <c r="A4163" s="6">
        <v>44041</v>
      </c>
      <c r="B4163" t="s">
        <v>26</v>
      </c>
      <c r="C4163">
        <v>64588</v>
      </c>
      <c r="D4163" t="s">
        <v>184</v>
      </c>
      <c r="E4163" s="7">
        <v>1152</v>
      </c>
      <c r="F4163" t="s">
        <v>20</v>
      </c>
      <c r="G4163" t="s">
        <v>21</v>
      </c>
      <c r="H4163" t="str">
        <f>"1059-643"</f>
        <v>1059-643</v>
      </c>
      <c r="I4163" t="str">
        <f>"POLLUTION CONTROL SERVICES"</f>
        <v>POLLUTION CONTROL SERVICES</v>
      </c>
    </row>
    <row r="4164" spans="1:9" x14ac:dyDescent="0.25">
      <c r="E4164" s="7"/>
      <c r="F4164" t="s">
        <v>20</v>
      </c>
      <c r="G4164" t="s">
        <v>21</v>
      </c>
      <c r="H4164" t="str">
        <f>"1059-644"</f>
        <v>1059-644</v>
      </c>
      <c r="I4164" t="str">
        <f>"POLLUTION CONTROL SERVICES"</f>
        <v>POLLUTION CONTROL SERVICES</v>
      </c>
    </row>
    <row r="4165" spans="1:9" x14ac:dyDescent="0.25">
      <c r="A4165" s="6">
        <v>44041</v>
      </c>
      <c r="B4165" t="s">
        <v>26</v>
      </c>
      <c r="C4165">
        <v>64589</v>
      </c>
      <c r="D4165" t="s">
        <v>108</v>
      </c>
      <c r="E4165" s="7">
        <v>2435.58</v>
      </c>
      <c r="F4165" t="s">
        <v>20</v>
      </c>
      <c r="G4165" t="s">
        <v>21</v>
      </c>
      <c r="H4165" t="str">
        <f>"041295655038"</f>
        <v>041295655038</v>
      </c>
      <c r="I4165" t="str">
        <f>"POOLSURE"</f>
        <v>POOLSURE</v>
      </c>
    </row>
    <row r="4166" spans="1:9" x14ac:dyDescent="0.25">
      <c r="A4166" s="6">
        <v>44041</v>
      </c>
      <c r="B4166" t="s">
        <v>26</v>
      </c>
      <c r="C4166">
        <v>64590</v>
      </c>
      <c r="D4166" t="s">
        <v>62</v>
      </c>
      <c r="E4166" s="7">
        <v>215</v>
      </c>
      <c r="F4166" t="s">
        <v>20</v>
      </c>
      <c r="G4166" t="s">
        <v>21</v>
      </c>
      <c r="H4166" t="str">
        <f>"68576"</f>
        <v>68576</v>
      </c>
      <c r="I4166" t="str">
        <f>"PROFICIENT BENEFIT SOLUTIONS"</f>
        <v>PROFICIENT BENEFIT SOLUTIONS</v>
      </c>
    </row>
    <row r="4167" spans="1:9" x14ac:dyDescent="0.25">
      <c r="E4167" s="7"/>
      <c r="F4167" t="s">
        <v>20</v>
      </c>
      <c r="G4167" t="s">
        <v>21</v>
      </c>
      <c r="H4167" t="str">
        <f>"FC3662"</f>
        <v>FC3662</v>
      </c>
      <c r="I4167" t="str">
        <f>"PROFICIENT BENEFIT SOLUTIONS"</f>
        <v>PROFICIENT BENEFIT SOLUTIONS</v>
      </c>
    </row>
    <row r="4168" spans="1:9" x14ac:dyDescent="0.25">
      <c r="A4168" s="6">
        <v>44041</v>
      </c>
      <c r="B4168" t="s">
        <v>26</v>
      </c>
      <c r="C4168">
        <v>64591</v>
      </c>
      <c r="D4168" t="s">
        <v>630</v>
      </c>
      <c r="E4168" s="7">
        <v>1549.81</v>
      </c>
      <c r="F4168" t="s">
        <v>20</v>
      </c>
      <c r="G4168" t="s">
        <v>21</v>
      </c>
      <c r="H4168" t="str">
        <f>"30030"</f>
        <v>30030</v>
      </c>
      <c r="I4168" t="str">
        <f>"METER FOR EAGLE FORD INN"</f>
        <v>METER FOR EAGLE FORD INN</v>
      </c>
    </row>
    <row r="4169" spans="1:9" x14ac:dyDescent="0.25">
      <c r="A4169" s="6">
        <v>44041</v>
      </c>
      <c r="B4169" t="s">
        <v>26</v>
      </c>
      <c r="C4169">
        <v>64592</v>
      </c>
      <c r="D4169" t="s">
        <v>945</v>
      </c>
      <c r="E4169" s="7">
        <v>275.5</v>
      </c>
      <c r="F4169" t="s">
        <v>20</v>
      </c>
      <c r="G4169" t="s">
        <v>21</v>
      </c>
      <c r="H4169" t="str">
        <f>"4710067582"</f>
        <v>4710067582</v>
      </c>
      <c r="I4169" t="str">
        <f>"TIRES WATER UNIT 202"</f>
        <v>TIRES WATER UNIT 202</v>
      </c>
    </row>
    <row r="4170" spans="1:9" x14ac:dyDescent="0.25">
      <c r="A4170" s="6">
        <v>44041</v>
      </c>
      <c r="B4170" t="s">
        <v>26</v>
      </c>
      <c r="C4170">
        <v>64593</v>
      </c>
      <c r="D4170" t="s">
        <v>73</v>
      </c>
      <c r="E4170" s="7">
        <v>41569.25</v>
      </c>
      <c r="F4170" t="s">
        <v>20</v>
      </c>
      <c r="G4170" t="s">
        <v>21</v>
      </c>
      <c r="H4170" t="str">
        <f>"8027 7/1/2020"</f>
        <v>8027 7/1/2020</v>
      </c>
      <c r="I4170" t="str">
        <f>"TML INTERGOVERNMENTAL RISK POO"</f>
        <v>TML INTERGOVERNMENTAL RISK POO</v>
      </c>
    </row>
    <row r="4171" spans="1:9" x14ac:dyDescent="0.25">
      <c r="A4171" s="6">
        <v>44041</v>
      </c>
      <c r="B4171" t="s">
        <v>26</v>
      </c>
      <c r="C4171">
        <v>64594</v>
      </c>
      <c r="D4171" t="s">
        <v>394</v>
      </c>
      <c r="E4171" s="7">
        <v>2250</v>
      </c>
      <c r="F4171" t="s">
        <v>20</v>
      </c>
      <c r="G4171" t="s">
        <v>21</v>
      </c>
      <c r="H4171" t="str">
        <f>"11534"</f>
        <v>11534</v>
      </c>
      <c r="I4171" t="str">
        <f>"U.S. UNDERWATER SERVICES  LLC"</f>
        <v>U.S. UNDERWATER SERVICES  LLC</v>
      </c>
    </row>
    <row r="4172" spans="1:9" x14ac:dyDescent="0.25">
      <c r="A4172" s="6">
        <v>44041</v>
      </c>
      <c r="B4172" t="s">
        <v>26</v>
      </c>
      <c r="C4172">
        <v>64595</v>
      </c>
      <c r="D4172" t="s">
        <v>955</v>
      </c>
      <c r="E4172" s="7">
        <v>1855</v>
      </c>
      <c r="F4172" t="s">
        <v>20</v>
      </c>
      <c r="G4172" t="s">
        <v>21</v>
      </c>
      <c r="H4172" t="str">
        <f>"20200720COF"</f>
        <v>20200720COF</v>
      </c>
      <c r="I4172" t="str">
        <f>"UMATTER WELLNESS"</f>
        <v>UMATTER WELLNESS</v>
      </c>
    </row>
    <row r="4173" spans="1:9" x14ac:dyDescent="0.25">
      <c r="A4173" s="6">
        <v>44041</v>
      </c>
      <c r="B4173" t="s">
        <v>26</v>
      </c>
      <c r="C4173">
        <v>64596</v>
      </c>
      <c r="D4173" t="s">
        <v>122</v>
      </c>
      <c r="E4173" s="7">
        <v>177</v>
      </c>
      <c r="F4173" t="s">
        <v>20</v>
      </c>
      <c r="G4173" t="s">
        <v>21</v>
      </c>
      <c r="H4173" t="str">
        <f>"48595005"</f>
        <v>48595005</v>
      </c>
      <c r="I4173" t="str">
        <f>"VILLA TIRES"</f>
        <v>VILLA TIRES</v>
      </c>
    </row>
    <row r="4174" spans="1:9" x14ac:dyDescent="0.25">
      <c r="E4174" s="7"/>
      <c r="F4174" t="s">
        <v>20</v>
      </c>
      <c r="G4174" t="s">
        <v>21</v>
      </c>
      <c r="H4174" t="str">
        <f>"48595016"</f>
        <v>48595016</v>
      </c>
      <c r="I4174" t="str">
        <f>"VILLA TIRES"</f>
        <v>VILLA TIRES</v>
      </c>
    </row>
    <row r="4175" spans="1:9" x14ac:dyDescent="0.25">
      <c r="E4175" s="7"/>
      <c r="F4175" t="s">
        <v>20</v>
      </c>
      <c r="G4175" t="s">
        <v>21</v>
      </c>
      <c r="H4175" t="str">
        <f>"48595022"</f>
        <v>48595022</v>
      </c>
      <c r="I4175" t="str">
        <f>"VILLA TIRES"</f>
        <v>VILLA TIRES</v>
      </c>
    </row>
    <row r="4176" spans="1:9" x14ac:dyDescent="0.25">
      <c r="E4176" s="7"/>
      <c r="F4176" t="s">
        <v>20</v>
      </c>
      <c r="G4176" t="s">
        <v>21</v>
      </c>
      <c r="H4176" t="str">
        <f>"48700749"</f>
        <v>48700749</v>
      </c>
      <c r="I4176" t="str">
        <f>"VILLA TIRES"</f>
        <v>VILLA TIRES</v>
      </c>
    </row>
    <row r="4177" spans="1:9" x14ac:dyDescent="0.25">
      <c r="A4177" s="6">
        <v>44042</v>
      </c>
      <c r="B4177" t="s">
        <v>26</v>
      </c>
      <c r="C4177">
        <v>64597</v>
      </c>
      <c r="D4177" t="s">
        <v>205</v>
      </c>
      <c r="E4177" s="7">
        <v>818.55</v>
      </c>
      <c r="F4177" t="s">
        <v>20</v>
      </c>
      <c r="G4177" t="s">
        <v>21</v>
      </c>
      <c r="H4177" t="str">
        <f>"07/30/2020"</f>
        <v>07/30/2020</v>
      </c>
      <c r="I4177" t="str">
        <f>"SILVER EAGLE DISTRIBUTORS"</f>
        <v>SILVER EAGLE DISTRIBUTORS</v>
      </c>
    </row>
    <row r="4178" spans="1:9" x14ac:dyDescent="0.25">
      <c r="A4178" s="6">
        <v>44049</v>
      </c>
      <c r="B4178" t="s">
        <v>26</v>
      </c>
      <c r="C4178">
        <v>64598</v>
      </c>
      <c r="D4178" t="s">
        <v>584</v>
      </c>
      <c r="E4178" s="7">
        <v>75</v>
      </c>
      <c r="F4178" t="s">
        <v>20</v>
      </c>
      <c r="G4178" t="s">
        <v>21</v>
      </c>
      <c r="H4178" t="str">
        <f>"8/1/2020"</f>
        <v>8/1/2020</v>
      </c>
      <c r="I4178" t="str">
        <f>"AMANDA SENDEJO"</f>
        <v>AMANDA SENDEJO</v>
      </c>
    </row>
    <row r="4179" spans="1:9" x14ac:dyDescent="0.25">
      <c r="A4179" s="6">
        <v>44049</v>
      </c>
      <c r="B4179" t="s">
        <v>26</v>
      </c>
      <c r="C4179">
        <v>64599</v>
      </c>
      <c r="D4179" t="s">
        <v>696</v>
      </c>
      <c r="E4179" s="7">
        <v>75</v>
      </c>
      <c r="F4179" t="s">
        <v>20</v>
      </c>
      <c r="G4179" t="s">
        <v>21</v>
      </c>
      <c r="H4179" t="str">
        <f>"8/1/2020"</f>
        <v>8/1/2020</v>
      </c>
      <c r="I4179" t="str">
        <f>"ANGEL G. ROSAS"</f>
        <v>ANGEL G. ROSAS</v>
      </c>
    </row>
    <row r="4180" spans="1:9" x14ac:dyDescent="0.25">
      <c r="A4180" s="6">
        <v>44049</v>
      </c>
      <c r="B4180" t="s">
        <v>26</v>
      </c>
      <c r="C4180">
        <v>64600</v>
      </c>
      <c r="D4180" t="s">
        <v>83</v>
      </c>
      <c r="E4180" s="7">
        <v>1044</v>
      </c>
      <c r="F4180" t="s">
        <v>20</v>
      </c>
      <c r="G4180" t="s">
        <v>21</v>
      </c>
      <c r="H4180" t="str">
        <f>"1242862"</f>
        <v>1242862</v>
      </c>
      <c r="I4180" t="str">
        <f>"APPRIVER"</f>
        <v>APPRIVER</v>
      </c>
    </row>
    <row r="4181" spans="1:9" x14ac:dyDescent="0.25">
      <c r="A4181" s="6">
        <v>44049</v>
      </c>
      <c r="B4181" t="s">
        <v>26</v>
      </c>
      <c r="C4181">
        <v>64601</v>
      </c>
      <c r="D4181" t="s">
        <v>189</v>
      </c>
      <c r="E4181" s="7">
        <v>6675.36</v>
      </c>
      <c r="F4181" t="s">
        <v>20</v>
      </c>
      <c r="G4181" t="s">
        <v>21</v>
      </c>
      <c r="H4181" t="str">
        <f>"SWO114301-1"</f>
        <v>SWO114301-1</v>
      </c>
      <c r="I4181" t="str">
        <f>"MINI EXCAVATOR REPAIR"</f>
        <v>MINI EXCAVATOR REPAIR</v>
      </c>
    </row>
    <row r="4182" spans="1:9" x14ac:dyDescent="0.25">
      <c r="A4182" s="6">
        <v>44049</v>
      </c>
      <c r="B4182" t="s">
        <v>26</v>
      </c>
      <c r="C4182">
        <v>64602</v>
      </c>
      <c r="D4182" t="s">
        <v>821</v>
      </c>
      <c r="E4182" s="7">
        <v>1000</v>
      </c>
      <c r="F4182" t="s">
        <v>20</v>
      </c>
      <c r="G4182" t="s">
        <v>21</v>
      </c>
      <c r="H4182" t="str">
        <f>"FRI8109"</f>
        <v>FRI8109</v>
      </c>
      <c r="I4182" t="str">
        <f>"REPAIR ORDER WWTP"</f>
        <v>REPAIR ORDER WWTP</v>
      </c>
    </row>
    <row r="4183" spans="1:9" x14ac:dyDescent="0.25">
      <c r="A4183" s="6">
        <v>44049</v>
      </c>
      <c r="B4183" t="s">
        <v>26</v>
      </c>
      <c r="C4183">
        <v>64603</v>
      </c>
      <c r="D4183" t="s">
        <v>316</v>
      </c>
      <c r="E4183" s="7">
        <v>230566.25</v>
      </c>
      <c r="F4183" t="s">
        <v>20</v>
      </c>
      <c r="G4183" t="s">
        <v>21</v>
      </c>
      <c r="H4183" t="str">
        <f>"18tTEE5QUR2"</f>
        <v>18tTEE5QUR2</v>
      </c>
      <c r="I4183" t="s">
        <v>498</v>
      </c>
    </row>
    <row r="4184" spans="1:9" x14ac:dyDescent="0.25">
      <c r="A4184" s="6">
        <v>44049</v>
      </c>
      <c r="B4184" t="s">
        <v>26</v>
      </c>
      <c r="C4184">
        <v>64604</v>
      </c>
      <c r="D4184" t="s">
        <v>836</v>
      </c>
      <c r="E4184" s="7">
        <v>6496.12</v>
      </c>
      <c r="F4184" t="s">
        <v>20</v>
      </c>
      <c r="G4184" t="s">
        <v>21</v>
      </c>
      <c r="H4184" t="str">
        <f>"66113"</f>
        <v>66113</v>
      </c>
      <c r="I4184" t="str">
        <f>"BARCOM TECHNOLOGY SOLUTIONS  I"</f>
        <v>BARCOM TECHNOLOGY SOLUTIONS  I</v>
      </c>
    </row>
    <row r="4185" spans="1:9" x14ac:dyDescent="0.25">
      <c r="E4185" s="7"/>
      <c r="F4185" t="s">
        <v>20</v>
      </c>
      <c r="G4185" t="s">
        <v>21</v>
      </c>
      <c r="H4185" t="str">
        <f>"66114"</f>
        <v>66114</v>
      </c>
      <c r="I4185" t="str">
        <f>"BARCOM TECHNOLOGY SOLUTIONS  I"</f>
        <v>BARCOM TECHNOLOGY SOLUTIONS  I</v>
      </c>
    </row>
    <row r="4186" spans="1:9" x14ac:dyDescent="0.25">
      <c r="E4186" s="7"/>
      <c r="F4186" t="s">
        <v>20</v>
      </c>
      <c r="G4186" t="s">
        <v>21</v>
      </c>
      <c r="H4186" t="str">
        <f>"66231"</f>
        <v>66231</v>
      </c>
      <c r="I4186" t="str">
        <f>"BARCOM TECHNOLOGY SOLUTIONS  I"</f>
        <v>BARCOM TECHNOLOGY SOLUTIONS  I</v>
      </c>
    </row>
    <row r="4187" spans="1:9" x14ac:dyDescent="0.25">
      <c r="E4187" s="7"/>
      <c r="F4187" t="s">
        <v>20</v>
      </c>
      <c r="G4187" t="s">
        <v>21</v>
      </c>
      <c r="H4187" t="str">
        <f>"66232"</f>
        <v>66232</v>
      </c>
      <c r="I4187" t="str">
        <f>"BARCOM TECHNOLOGY SOLUTIONS  I"</f>
        <v>BARCOM TECHNOLOGY SOLUTIONS  I</v>
      </c>
    </row>
    <row r="4188" spans="1:9" x14ac:dyDescent="0.25">
      <c r="A4188" s="6">
        <v>44049</v>
      </c>
      <c r="B4188" t="s">
        <v>26</v>
      </c>
      <c r="C4188">
        <v>64606</v>
      </c>
      <c r="D4188" t="s">
        <v>118</v>
      </c>
      <c r="E4188" s="7">
        <v>382.5</v>
      </c>
      <c r="F4188" t="s">
        <v>20</v>
      </c>
      <c r="G4188" t="s">
        <v>21</v>
      </c>
      <c r="H4188" t="str">
        <f>"11922"</f>
        <v>11922</v>
      </c>
      <c r="I4188" t="str">
        <f>"BRYAN AIR CONDITIONING &amp; HEATI"</f>
        <v>BRYAN AIR CONDITIONING &amp; HEATI</v>
      </c>
    </row>
    <row r="4189" spans="1:9" x14ac:dyDescent="0.25">
      <c r="E4189" s="7"/>
      <c r="F4189" t="s">
        <v>20</v>
      </c>
      <c r="G4189" t="s">
        <v>21</v>
      </c>
      <c r="H4189" t="str">
        <f>"11923"</f>
        <v>11923</v>
      </c>
      <c r="I4189" t="str">
        <f>"BRYAN AIR CONDITIONING &amp; HEATI"</f>
        <v>BRYAN AIR CONDITIONING &amp; HEATI</v>
      </c>
    </row>
    <row r="4190" spans="1:9" x14ac:dyDescent="0.25">
      <c r="A4190" s="6">
        <v>44049</v>
      </c>
      <c r="B4190" t="s">
        <v>26</v>
      </c>
      <c r="C4190">
        <v>64607</v>
      </c>
      <c r="D4190" t="s">
        <v>110</v>
      </c>
      <c r="E4190" s="7">
        <v>23040.75</v>
      </c>
      <c r="F4190" t="s">
        <v>20</v>
      </c>
      <c r="G4190" t="s">
        <v>21</v>
      </c>
      <c r="H4190" t="str">
        <f>"1533948"</f>
        <v>1533948</v>
      </c>
      <c r="I4190" t="str">
        <f t="shared" ref="I4190:I4210" si="88">"BUREAU VERITAS NORTH AMERICA"</f>
        <v>BUREAU VERITAS NORTH AMERICA</v>
      </c>
    </row>
    <row r="4191" spans="1:9" x14ac:dyDescent="0.25">
      <c r="E4191" s="7"/>
      <c r="F4191" t="s">
        <v>20</v>
      </c>
      <c r="G4191" t="s">
        <v>21</v>
      </c>
      <c r="H4191" t="str">
        <f>"1533949"</f>
        <v>1533949</v>
      </c>
      <c r="I4191" t="str">
        <f t="shared" si="88"/>
        <v>BUREAU VERITAS NORTH AMERICA</v>
      </c>
    </row>
    <row r="4192" spans="1:9" x14ac:dyDescent="0.25">
      <c r="E4192" s="7"/>
      <c r="F4192" t="s">
        <v>20</v>
      </c>
      <c r="G4192" t="s">
        <v>21</v>
      </c>
      <c r="H4192" t="str">
        <f>"1533950"</f>
        <v>1533950</v>
      </c>
      <c r="I4192" t="str">
        <f t="shared" si="88"/>
        <v>BUREAU VERITAS NORTH AMERICA</v>
      </c>
    </row>
    <row r="4193" spans="5:9" x14ac:dyDescent="0.25">
      <c r="E4193" s="7"/>
      <c r="F4193" t="s">
        <v>20</v>
      </c>
      <c r="G4193" t="s">
        <v>21</v>
      </c>
      <c r="H4193" t="str">
        <f>"1533951"</f>
        <v>1533951</v>
      </c>
      <c r="I4193" t="str">
        <f t="shared" si="88"/>
        <v>BUREAU VERITAS NORTH AMERICA</v>
      </c>
    </row>
    <row r="4194" spans="5:9" x14ac:dyDescent="0.25">
      <c r="E4194" s="7"/>
      <c r="F4194" t="s">
        <v>20</v>
      </c>
      <c r="G4194" t="s">
        <v>21</v>
      </c>
      <c r="H4194" t="str">
        <f>"1533952"</f>
        <v>1533952</v>
      </c>
      <c r="I4194" t="str">
        <f t="shared" si="88"/>
        <v>BUREAU VERITAS NORTH AMERICA</v>
      </c>
    </row>
    <row r="4195" spans="5:9" x14ac:dyDescent="0.25">
      <c r="E4195" s="7"/>
      <c r="F4195" t="s">
        <v>20</v>
      </c>
      <c r="G4195" t="s">
        <v>21</v>
      </c>
      <c r="H4195" t="str">
        <f>"1533953"</f>
        <v>1533953</v>
      </c>
      <c r="I4195" t="str">
        <f t="shared" si="88"/>
        <v>BUREAU VERITAS NORTH AMERICA</v>
      </c>
    </row>
    <row r="4196" spans="5:9" x14ac:dyDescent="0.25">
      <c r="E4196" s="7"/>
      <c r="F4196" t="s">
        <v>20</v>
      </c>
      <c r="G4196" t="s">
        <v>21</v>
      </c>
      <c r="H4196" t="str">
        <f>"1533954"</f>
        <v>1533954</v>
      </c>
      <c r="I4196" t="str">
        <f t="shared" si="88"/>
        <v>BUREAU VERITAS NORTH AMERICA</v>
      </c>
    </row>
    <row r="4197" spans="5:9" x14ac:dyDescent="0.25">
      <c r="E4197" s="7"/>
      <c r="F4197" t="s">
        <v>20</v>
      </c>
      <c r="G4197" t="s">
        <v>21</v>
      </c>
      <c r="H4197" t="str">
        <f>"1533955"</f>
        <v>1533955</v>
      </c>
      <c r="I4197" t="str">
        <f t="shared" si="88"/>
        <v>BUREAU VERITAS NORTH AMERICA</v>
      </c>
    </row>
    <row r="4198" spans="5:9" x14ac:dyDescent="0.25">
      <c r="E4198" s="7"/>
      <c r="F4198" t="s">
        <v>20</v>
      </c>
      <c r="G4198" t="s">
        <v>21</v>
      </c>
      <c r="H4198" t="str">
        <f>"1533956"</f>
        <v>1533956</v>
      </c>
      <c r="I4198" t="str">
        <f t="shared" si="88"/>
        <v>BUREAU VERITAS NORTH AMERICA</v>
      </c>
    </row>
    <row r="4199" spans="5:9" x14ac:dyDescent="0.25">
      <c r="E4199" s="7"/>
      <c r="F4199" t="s">
        <v>20</v>
      </c>
      <c r="G4199" t="s">
        <v>21</v>
      </c>
      <c r="H4199" t="str">
        <f>"1533957"</f>
        <v>1533957</v>
      </c>
      <c r="I4199" t="str">
        <f t="shared" si="88"/>
        <v>BUREAU VERITAS NORTH AMERICA</v>
      </c>
    </row>
    <row r="4200" spans="5:9" x14ac:dyDescent="0.25">
      <c r="E4200" s="7"/>
      <c r="F4200" t="s">
        <v>20</v>
      </c>
      <c r="G4200" t="s">
        <v>21</v>
      </c>
      <c r="H4200" t="str">
        <f>"1533958"</f>
        <v>1533958</v>
      </c>
      <c r="I4200" t="str">
        <f t="shared" si="88"/>
        <v>BUREAU VERITAS NORTH AMERICA</v>
      </c>
    </row>
    <row r="4201" spans="5:9" x14ac:dyDescent="0.25">
      <c r="E4201" s="7"/>
      <c r="F4201" t="s">
        <v>20</v>
      </c>
      <c r="G4201" t="s">
        <v>21</v>
      </c>
      <c r="H4201" t="str">
        <f>"1533959"</f>
        <v>1533959</v>
      </c>
      <c r="I4201" t="str">
        <f t="shared" si="88"/>
        <v>BUREAU VERITAS NORTH AMERICA</v>
      </c>
    </row>
    <row r="4202" spans="5:9" x14ac:dyDescent="0.25">
      <c r="E4202" s="7"/>
      <c r="F4202" t="s">
        <v>20</v>
      </c>
      <c r="G4202" t="s">
        <v>21</v>
      </c>
      <c r="H4202" t="str">
        <f>"1533960"</f>
        <v>1533960</v>
      </c>
      <c r="I4202" t="str">
        <f t="shared" si="88"/>
        <v>BUREAU VERITAS NORTH AMERICA</v>
      </c>
    </row>
    <row r="4203" spans="5:9" x14ac:dyDescent="0.25">
      <c r="E4203" s="7"/>
      <c r="F4203" t="s">
        <v>20</v>
      </c>
      <c r="G4203" t="s">
        <v>21</v>
      </c>
      <c r="H4203" t="str">
        <f>"1533961"</f>
        <v>1533961</v>
      </c>
      <c r="I4203" t="str">
        <f t="shared" si="88"/>
        <v>BUREAU VERITAS NORTH AMERICA</v>
      </c>
    </row>
    <row r="4204" spans="5:9" x14ac:dyDescent="0.25">
      <c r="E4204" s="7"/>
      <c r="F4204" t="s">
        <v>20</v>
      </c>
      <c r="G4204" t="s">
        <v>21</v>
      </c>
      <c r="H4204" t="str">
        <f>"1533962"</f>
        <v>1533962</v>
      </c>
      <c r="I4204" t="str">
        <f t="shared" si="88"/>
        <v>BUREAU VERITAS NORTH AMERICA</v>
      </c>
    </row>
    <row r="4205" spans="5:9" x14ac:dyDescent="0.25">
      <c r="E4205" s="7"/>
      <c r="F4205" t="s">
        <v>20</v>
      </c>
      <c r="G4205" t="s">
        <v>21</v>
      </c>
      <c r="H4205" t="str">
        <f>"1533963"</f>
        <v>1533963</v>
      </c>
      <c r="I4205" t="str">
        <f t="shared" si="88"/>
        <v>BUREAU VERITAS NORTH AMERICA</v>
      </c>
    </row>
    <row r="4206" spans="5:9" x14ac:dyDescent="0.25">
      <c r="E4206" s="7"/>
      <c r="F4206" t="s">
        <v>20</v>
      </c>
      <c r="G4206" t="s">
        <v>21</v>
      </c>
      <c r="H4206" t="str">
        <f>"1533964"</f>
        <v>1533964</v>
      </c>
      <c r="I4206" t="str">
        <f t="shared" si="88"/>
        <v>BUREAU VERITAS NORTH AMERICA</v>
      </c>
    </row>
    <row r="4207" spans="5:9" x14ac:dyDescent="0.25">
      <c r="E4207" s="7"/>
      <c r="F4207" t="s">
        <v>20</v>
      </c>
      <c r="G4207" t="s">
        <v>21</v>
      </c>
      <c r="H4207" t="str">
        <f>"1533965"</f>
        <v>1533965</v>
      </c>
      <c r="I4207" t="str">
        <f t="shared" si="88"/>
        <v>BUREAU VERITAS NORTH AMERICA</v>
      </c>
    </row>
    <row r="4208" spans="5:9" x14ac:dyDescent="0.25">
      <c r="E4208" s="7"/>
      <c r="F4208" t="s">
        <v>20</v>
      </c>
      <c r="G4208" t="s">
        <v>21</v>
      </c>
      <c r="H4208" t="str">
        <f>"1533966"</f>
        <v>1533966</v>
      </c>
      <c r="I4208" t="str">
        <f t="shared" si="88"/>
        <v>BUREAU VERITAS NORTH AMERICA</v>
      </c>
    </row>
    <row r="4209" spans="1:9" x14ac:dyDescent="0.25">
      <c r="E4209" s="7"/>
      <c r="F4209" t="s">
        <v>20</v>
      </c>
      <c r="G4209" t="s">
        <v>21</v>
      </c>
      <c r="H4209" t="str">
        <f>"1533967"</f>
        <v>1533967</v>
      </c>
      <c r="I4209" t="str">
        <f t="shared" si="88"/>
        <v>BUREAU VERITAS NORTH AMERICA</v>
      </c>
    </row>
    <row r="4210" spans="1:9" x14ac:dyDescent="0.25">
      <c r="E4210" s="7"/>
      <c r="F4210" t="s">
        <v>20</v>
      </c>
      <c r="G4210" t="s">
        <v>21</v>
      </c>
      <c r="H4210" t="str">
        <f>"1533968"</f>
        <v>1533968</v>
      </c>
      <c r="I4210" t="str">
        <f t="shared" si="88"/>
        <v>BUREAU VERITAS NORTH AMERICA</v>
      </c>
    </row>
    <row r="4211" spans="1:9" x14ac:dyDescent="0.25">
      <c r="A4211" s="6">
        <v>44049</v>
      </c>
      <c r="B4211" t="s">
        <v>26</v>
      </c>
      <c r="C4211">
        <v>64611</v>
      </c>
      <c r="D4211" t="s">
        <v>38</v>
      </c>
      <c r="E4211" s="7">
        <v>100</v>
      </c>
      <c r="F4211" t="s">
        <v>20</v>
      </c>
      <c r="G4211" t="s">
        <v>21</v>
      </c>
      <c r="H4211" t="str">
        <f>"AUGUST 2020"</f>
        <v>AUGUST 2020</v>
      </c>
      <c r="I4211" t="str">
        <f>"CECELIA GONZALEZ-DIPPEL"</f>
        <v>CECELIA GONZALEZ-DIPPEL</v>
      </c>
    </row>
    <row r="4212" spans="1:9" x14ac:dyDescent="0.25">
      <c r="A4212" s="6">
        <v>44049</v>
      </c>
      <c r="B4212" t="s">
        <v>26</v>
      </c>
      <c r="C4212">
        <v>64612</v>
      </c>
      <c r="D4212" t="s">
        <v>71</v>
      </c>
      <c r="E4212" s="7">
        <v>1788.12</v>
      </c>
      <c r="F4212" t="s">
        <v>20</v>
      </c>
      <c r="G4212" t="s">
        <v>21</v>
      </c>
      <c r="H4212" t="str">
        <f>"4048373001"</f>
        <v>4048373001</v>
      </c>
      <c r="I4212" t="str">
        <f t="shared" ref="I4212:I4223" si="89">"CINTAS CORPORATION #087"</f>
        <v>CINTAS CORPORATION #087</v>
      </c>
    </row>
    <row r="4213" spans="1:9" x14ac:dyDescent="0.25">
      <c r="E4213" s="7"/>
      <c r="F4213" t="s">
        <v>20</v>
      </c>
      <c r="G4213" t="s">
        <v>21</v>
      </c>
      <c r="H4213" t="str">
        <f>"4050674301"</f>
        <v>4050674301</v>
      </c>
      <c r="I4213" t="str">
        <f t="shared" si="89"/>
        <v>CINTAS CORPORATION #087</v>
      </c>
    </row>
    <row r="4214" spans="1:9" x14ac:dyDescent="0.25">
      <c r="E4214" s="7"/>
      <c r="F4214" t="s">
        <v>20</v>
      </c>
      <c r="G4214" t="s">
        <v>21</v>
      </c>
      <c r="H4214" t="str">
        <f>"4054376133"</f>
        <v>4054376133</v>
      </c>
      <c r="I4214" t="str">
        <f t="shared" si="89"/>
        <v>CINTAS CORPORATION #087</v>
      </c>
    </row>
    <row r="4215" spans="1:9" x14ac:dyDescent="0.25">
      <c r="E4215" s="7"/>
      <c r="F4215" t="s">
        <v>20</v>
      </c>
      <c r="G4215" t="s">
        <v>21</v>
      </c>
      <c r="H4215" t="str">
        <f>"4055633976"</f>
        <v>4055633976</v>
      </c>
      <c r="I4215" t="str">
        <f t="shared" si="89"/>
        <v>CINTAS CORPORATION #087</v>
      </c>
    </row>
    <row r="4216" spans="1:9" x14ac:dyDescent="0.25">
      <c r="E4216" s="7"/>
      <c r="F4216" t="s">
        <v>20</v>
      </c>
      <c r="G4216" t="s">
        <v>21</v>
      </c>
      <c r="H4216" t="str">
        <f>"4055638008"</f>
        <v>4055638008</v>
      </c>
      <c r="I4216" t="str">
        <f t="shared" si="89"/>
        <v>CINTAS CORPORATION #087</v>
      </c>
    </row>
    <row r="4217" spans="1:9" x14ac:dyDescent="0.25">
      <c r="E4217" s="7"/>
      <c r="F4217" t="s">
        <v>20</v>
      </c>
      <c r="G4217" t="s">
        <v>21</v>
      </c>
      <c r="H4217" t="str">
        <f>"4056909375"</f>
        <v>4056909375</v>
      </c>
      <c r="I4217" t="str">
        <f t="shared" si="89"/>
        <v>CINTAS CORPORATION #087</v>
      </c>
    </row>
    <row r="4218" spans="1:9" x14ac:dyDescent="0.25">
      <c r="E4218" s="7"/>
      <c r="F4218" t="s">
        <v>20</v>
      </c>
      <c r="G4218" t="s">
        <v>21</v>
      </c>
      <c r="H4218" t="str">
        <f>"4057597911"</f>
        <v>4057597911</v>
      </c>
      <c r="I4218" t="str">
        <f t="shared" si="89"/>
        <v>CINTAS CORPORATION #087</v>
      </c>
    </row>
    <row r="4219" spans="1:9" x14ac:dyDescent="0.25">
      <c r="E4219" s="7"/>
      <c r="F4219" t="s">
        <v>20</v>
      </c>
      <c r="G4219" t="s">
        <v>21</v>
      </c>
      <c r="H4219" t="str">
        <f>"4057597928"</f>
        <v>4057597928</v>
      </c>
      <c r="I4219" t="str">
        <f t="shared" si="89"/>
        <v>CINTAS CORPORATION #087</v>
      </c>
    </row>
    <row r="4220" spans="1:9" x14ac:dyDescent="0.25">
      <c r="E4220" s="7"/>
      <c r="F4220" t="s">
        <v>20</v>
      </c>
      <c r="G4220" t="s">
        <v>21</v>
      </c>
      <c r="H4220" t="str">
        <f>"4057597990"</f>
        <v>4057597990</v>
      </c>
      <c r="I4220" t="str">
        <f t="shared" si="89"/>
        <v>CINTAS CORPORATION #087</v>
      </c>
    </row>
    <row r="4221" spans="1:9" x14ac:dyDescent="0.25">
      <c r="E4221" s="7"/>
      <c r="F4221" t="s">
        <v>20</v>
      </c>
      <c r="G4221" t="s">
        <v>21</v>
      </c>
      <c r="H4221" t="str">
        <f>"4057598030"</f>
        <v>4057598030</v>
      </c>
      <c r="I4221" t="str">
        <f t="shared" si="89"/>
        <v>CINTAS CORPORATION #087</v>
      </c>
    </row>
    <row r="4222" spans="1:9" x14ac:dyDescent="0.25">
      <c r="E4222" s="7"/>
      <c r="F4222" t="s">
        <v>20</v>
      </c>
      <c r="G4222" t="s">
        <v>21</v>
      </c>
      <c r="H4222" t="str">
        <f>"4057598071"</f>
        <v>4057598071</v>
      </c>
      <c r="I4222" t="str">
        <f t="shared" si="89"/>
        <v>CINTAS CORPORATION #087</v>
      </c>
    </row>
    <row r="4223" spans="1:9" x14ac:dyDescent="0.25">
      <c r="E4223" s="7"/>
      <c r="F4223" t="s">
        <v>20</v>
      </c>
      <c r="G4223" t="s">
        <v>21</v>
      </c>
      <c r="H4223" t="str">
        <f>"4057598092"</f>
        <v>4057598092</v>
      </c>
      <c r="I4223" t="str">
        <f t="shared" si="89"/>
        <v>CINTAS CORPORATION #087</v>
      </c>
    </row>
    <row r="4224" spans="1:9" x14ac:dyDescent="0.25">
      <c r="A4224" s="6">
        <v>44049</v>
      </c>
      <c r="B4224" t="s">
        <v>26</v>
      </c>
      <c r="C4224">
        <v>64615</v>
      </c>
      <c r="D4224" t="s">
        <v>661</v>
      </c>
      <c r="E4224" s="7">
        <v>107.17</v>
      </c>
      <c r="F4224" t="s">
        <v>20</v>
      </c>
      <c r="G4224" t="s">
        <v>21</v>
      </c>
      <c r="H4224" t="str">
        <f>"8404747596"</f>
        <v>8404747596</v>
      </c>
      <c r="I4224" t="str">
        <f>"CINTAS FAS LOCKBOX 631025"</f>
        <v>CINTAS FAS LOCKBOX 631025</v>
      </c>
    </row>
    <row r="4225" spans="1:9" x14ac:dyDescent="0.25">
      <c r="A4225" s="6">
        <v>44049</v>
      </c>
      <c r="B4225" t="s">
        <v>26</v>
      </c>
      <c r="C4225">
        <v>64616</v>
      </c>
      <c r="D4225" t="s">
        <v>180</v>
      </c>
      <c r="E4225" s="7">
        <v>64.900000000000006</v>
      </c>
      <c r="F4225" t="s">
        <v>20</v>
      </c>
      <c r="G4225" t="s">
        <v>21</v>
      </c>
      <c r="H4225" t="str">
        <f>"134694"</f>
        <v>134694</v>
      </c>
      <c r="I4225" t="str">
        <f>"DITTMAR LUMBER CO."</f>
        <v>DITTMAR LUMBER CO.</v>
      </c>
    </row>
    <row r="4226" spans="1:9" x14ac:dyDescent="0.25">
      <c r="A4226" s="6">
        <v>44049</v>
      </c>
      <c r="B4226" t="s">
        <v>26</v>
      </c>
      <c r="C4226">
        <v>64617</v>
      </c>
      <c r="D4226" t="s">
        <v>130</v>
      </c>
      <c r="E4226" s="7">
        <v>18830</v>
      </c>
      <c r="F4226" t="s">
        <v>20</v>
      </c>
      <c r="G4226" t="s">
        <v>21</v>
      </c>
      <c r="H4226" t="str">
        <f>"INV750854"</f>
        <v>INV750854</v>
      </c>
      <c r="I4226" t="str">
        <f>"DOCUMATION"</f>
        <v>DOCUMATION</v>
      </c>
    </row>
    <row r="4227" spans="1:9" x14ac:dyDescent="0.25">
      <c r="A4227" s="6">
        <v>44049</v>
      </c>
      <c r="B4227" t="s">
        <v>26</v>
      </c>
      <c r="C4227">
        <v>64618</v>
      </c>
      <c r="D4227" t="s">
        <v>69</v>
      </c>
      <c r="E4227" s="7">
        <v>1008.84</v>
      </c>
      <c r="F4227" t="s">
        <v>20</v>
      </c>
      <c r="G4227" t="s">
        <v>21</v>
      </c>
      <c r="H4227" t="str">
        <f>"3307128A"</f>
        <v>3307128A</v>
      </c>
      <c r="I4227" t="str">
        <f>"PARK SUPPLIES"</f>
        <v>PARK SUPPLIES</v>
      </c>
    </row>
    <row r="4228" spans="1:9" x14ac:dyDescent="0.25">
      <c r="E4228" s="7"/>
      <c r="F4228" t="s">
        <v>20</v>
      </c>
      <c r="G4228" t="s">
        <v>21</v>
      </c>
      <c r="H4228" t="str">
        <f>"3307442"</f>
        <v>3307442</v>
      </c>
      <c r="I4228" t="str">
        <f>"2 FRONT TIRES 52  MOWER"</f>
        <v>2 FRONT TIRES 52  MOWER</v>
      </c>
    </row>
    <row r="4229" spans="1:9" x14ac:dyDescent="0.25">
      <c r="E4229" s="7"/>
      <c r="F4229" t="s">
        <v>20</v>
      </c>
      <c r="G4229" t="s">
        <v>21</v>
      </c>
      <c r="H4229" t="str">
        <f>"3308957"</f>
        <v>3308957</v>
      </c>
      <c r="I4229" t="str">
        <f>"BUILDING SUPPLIES"</f>
        <v>BUILDING SUPPLIES</v>
      </c>
    </row>
    <row r="4230" spans="1:9" x14ac:dyDescent="0.25">
      <c r="A4230" s="6">
        <v>44049</v>
      </c>
      <c r="B4230" t="s">
        <v>26</v>
      </c>
      <c r="C4230">
        <v>64619</v>
      </c>
      <c r="D4230" t="s">
        <v>57</v>
      </c>
      <c r="E4230" s="7">
        <v>28462.81</v>
      </c>
      <c r="F4230" t="s">
        <v>20</v>
      </c>
      <c r="G4230" t="s">
        <v>21</v>
      </c>
      <c r="H4230" t="str">
        <f>"11617 AUG.2020"</f>
        <v>11617 AUG.2020</v>
      </c>
      <c r="I4230" t="str">
        <f>"F.E.L.P.S."</f>
        <v>F.E.L.P.S.</v>
      </c>
    </row>
    <row r="4231" spans="1:9" x14ac:dyDescent="0.25">
      <c r="A4231" s="6">
        <v>44049</v>
      </c>
      <c r="B4231" t="s">
        <v>26</v>
      </c>
      <c r="C4231">
        <v>64620</v>
      </c>
      <c r="D4231" t="s">
        <v>79</v>
      </c>
      <c r="E4231" s="7">
        <v>6.16</v>
      </c>
      <c r="F4231" t="s">
        <v>20</v>
      </c>
      <c r="G4231" t="s">
        <v>21</v>
      </c>
      <c r="H4231" t="str">
        <f>"7-080-28089"</f>
        <v>7-080-28089</v>
      </c>
      <c r="I4231" t="str">
        <f>"FEDEX"</f>
        <v>FEDEX</v>
      </c>
    </row>
    <row r="4232" spans="1:9" x14ac:dyDescent="0.25">
      <c r="A4232" s="6">
        <v>44049</v>
      </c>
      <c r="B4232" t="s">
        <v>26</v>
      </c>
      <c r="C4232">
        <v>64621</v>
      </c>
      <c r="D4232" t="s">
        <v>85</v>
      </c>
      <c r="E4232" s="7">
        <v>2147.7199999999998</v>
      </c>
      <c r="F4232" t="s">
        <v>20</v>
      </c>
      <c r="G4232" t="s">
        <v>21</v>
      </c>
      <c r="H4232" t="str">
        <f>"2162733 JULY2020"</f>
        <v>2162733 JULY2020</v>
      </c>
      <c r="I4232" t="str">
        <f t="shared" ref="I4232:I4244" si="90">"FRONTIER"</f>
        <v>FRONTIER</v>
      </c>
    </row>
    <row r="4233" spans="1:9" x14ac:dyDescent="0.25">
      <c r="E4233" s="7"/>
      <c r="F4233" t="s">
        <v>20</v>
      </c>
      <c r="G4233" t="s">
        <v>21</v>
      </c>
      <c r="H4233" t="str">
        <f>"2162755 JULY 2020"</f>
        <v>2162755 JULY 2020</v>
      </c>
      <c r="I4233" t="str">
        <f t="shared" si="90"/>
        <v>FRONTIER</v>
      </c>
    </row>
    <row r="4234" spans="1:9" x14ac:dyDescent="0.25">
      <c r="E4234" s="7"/>
      <c r="F4234" t="s">
        <v>20</v>
      </c>
      <c r="G4234" t="s">
        <v>21</v>
      </c>
      <c r="H4234" t="str">
        <f>"3932056 JUNE 2020"</f>
        <v>3932056 JUNE 2020</v>
      </c>
      <c r="I4234" t="str">
        <f t="shared" si="90"/>
        <v>FRONTIER</v>
      </c>
    </row>
    <row r="4235" spans="1:9" x14ac:dyDescent="0.25">
      <c r="E4235" s="7"/>
      <c r="F4235" t="s">
        <v>20</v>
      </c>
      <c r="G4235" t="s">
        <v>21</v>
      </c>
      <c r="H4235" t="str">
        <f>"3932691 JULY 2022"</f>
        <v>3932691 JULY 2022</v>
      </c>
      <c r="I4235" t="str">
        <f t="shared" si="90"/>
        <v>FRONTIER</v>
      </c>
    </row>
    <row r="4236" spans="1:9" x14ac:dyDescent="0.25">
      <c r="E4236" s="7"/>
      <c r="F4236" t="s">
        <v>20</v>
      </c>
      <c r="G4236" t="s">
        <v>21</v>
      </c>
      <c r="H4236" t="str">
        <f>"3932804 JULY 2020"</f>
        <v>3932804 JULY 2020</v>
      </c>
      <c r="I4236" t="str">
        <f t="shared" si="90"/>
        <v>FRONTIER</v>
      </c>
    </row>
    <row r="4237" spans="1:9" x14ac:dyDescent="0.25">
      <c r="E4237" s="7"/>
      <c r="F4237" t="s">
        <v>20</v>
      </c>
      <c r="G4237" t="s">
        <v>21</v>
      </c>
      <c r="H4237" t="str">
        <f>"3933150 JULY2020"</f>
        <v>3933150 JULY2020</v>
      </c>
      <c r="I4237" t="str">
        <f t="shared" si="90"/>
        <v>FRONTIER</v>
      </c>
    </row>
    <row r="4238" spans="1:9" x14ac:dyDescent="0.25">
      <c r="E4238" s="7"/>
      <c r="F4238" t="s">
        <v>20</v>
      </c>
      <c r="G4238" t="s">
        <v>21</v>
      </c>
      <c r="H4238" t="str">
        <f>"3933186 JULY2020"</f>
        <v>3933186 JULY2020</v>
      </c>
      <c r="I4238" t="str">
        <f t="shared" si="90"/>
        <v>FRONTIER</v>
      </c>
    </row>
    <row r="4239" spans="1:9" x14ac:dyDescent="0.25">
      <c r="E4239" s="7"/>
      <c r="F4239" t="s">
        <v>20</v>
      </c>
      <c r="G4239" t="s">
        <v>21</v>
      </c>
      <c r="H4239" t="str">
        <f>"3933718 JUNE2020"</f>
        <v>3933718 JUNE2020</v>
      </c>
      <c r="I4239" t="str">
        <f t="shared" si="90"/>
        <v>FRONTIER</v>
      </c>
    </row>
    <row r="4240" spans="1:9" x14ac:dyDescent="0.25">
      <c r="E4240" s="7"/>
      <c r="F4240" t="s">
        <v>20</v>
      </c>
      <c r="G4240" t="s">
        <v>21</v>
      </c>
      <c r="H4240" t="str">
        <f>"3936616 JUNE 2020"</f>
        <v>3936616 JUNE 2020</v>
      </c>
      <c r="I4240" t="str">
        <f t="shared" si="90"/>
        <v>FRONTIER</v>
      </c>
    </row>
    <row r="4241" spans="1:9" x14ac:dyDescent="0.25">
      <c r="E4241" s="7"/>
      <c r="F4241" t="s">
        <v>20</v>
      </c>
      <c r="G4241" t="s">
        <v>21</v>
      </c>
      <c r="H4241" t="str">
        <f>"3936794 JULY2020"</f>
        <v>3936794 JULY2020</v>
      </c>
      <c r="I4241" t="str">
        <f t="shared" si="90"/>
        <v>FRONTIER</v>
      </c>
    </row>
    <row r="4242" spans="1:9" x14ac:dyDescent="0.25">
      <c r="E4242" s="7"/>
      <c r="F4242" t="s">
        <v>20</v>
      </c>
      <c r="G4242" t="s">
        <v>21</v>
      </c>
      <c r="H4242" t="str">
        <f>"3937070 AUG 2020"</f>
        <v>3937070 AUG 2020</v>
      </c>
      <c r="I4242" t="str">
        <f t="shared" si="90"/>
        <v>FRONTIER</v>
      </c>
    </row>
    <row r="4243" spans="1:9" x14ac:dyDescent="0.25">
      <c r="E4243" s="7"/>
      <c r="F4243" t="s">
        <v>20</v>
      </c>
      <c r="G4243" t="s">
        <v>21</v>
      </c>
      <c r="H4243" t="str">
        <f>"3939456 JULY 2020"</f>
        <v>3939456 JULY 2020</v>
      </c>
      <c r="I4243" t="str">
        <f t="shared" si="90"/>
        <v>FRONTIER</v>
      </c>
    </row>
    <row r="4244" spans="1:9" x14ac:dyDescent="0.25">
      <c r="E4244" s="7"/>
      <c r="F4244" t="s">
        <v>20</v>
      </c>
      <c r="G4244" t="s">
        <v>21</v>
      </c>
      <c r="H4244" t="str">
        <f>"8301970046 7/30/20"</f>
        <v>8301970046 7/30/20</v>
      </c>
      <c r="I4244" t="str">
        <f t="shared" si="90"/>
        <v>FRONTIER</v>
      </c>
    </row>
    <row r="4245" spans="1:9" x14ac:dyDescent="0.25">
      <c r="A4245" s="6">
        <v>44049</v>
      </c>
      <c r="B4245" t="s">
        <v>26</v>
      </c>
      <c r="C4245">
        <v>64624</v>
      </c>
      <c r="D4245" t="s">
        <v>56</v>
      </c>
      <c r="E4245" s="7">
        <v>59.95</v>
      </c>
      <c r="F4245" t="s">
        <v>20</v>
      </c>
      <c r="G4245" t="s">
        <v>21</v>
      </c>
      <c r="H4245" t="str">
        <f>"185248"</f>
        <v>185248</v>
      </c>
      <c r="I4245" t="str">
        <f>"BUILDING SUPPLIES"</f>
        <v>BUILDING SUPPLIES</v>
      </c>
    </row>
    <row r="4246" spans="1:9" x14ac:dyDescent="0.25">
      <c r="A4246" s="6">
        <v>44049</v>
      </c>
      <c r="B4246" t="s">
        <v>26</v>
      </c>
      <c r="C4246">
        <v>64625</v>
      </c>
      <c r="D4246" t="s">
        <v>36</v>
      </c>
      <c r="E4246" s="7">
        <v>75</v>
      </c>
      <c r="F4246" t="s">
        <v>20</v>
      </c>
      <c r="G4246" t="s">
        <v>21</v>
      </c>
      <c r="H4246" t="str">
        <f>"AUGUST 2020"</f>
        <v>AUGUST 2020</v>
      </c>
      <c r="I4246" t="str">
        <f>"GLORIA M. CANTU"</f>
        <v>GLORIA M. CANTU</v>
      </c>
    </row>
    <row r="4247" spans="1:9" x14ac:dyDescent="0.25">
      <c r="A4247" s="6">
        <v>44049</v>
      </c>
      <c r="B4247" t="s">
        <v>26</v>
      </c>
      <c r="C4247">
        <v>64626</v>
      </c>
      <c r="D4247" t="s">
        <v>637</v>
      </c>
      <c r="E4247" s="7">
        <v>75</v>
      </c>
      <c r="F4247" t="s">
        <v>20</v>
      </c>
      <c r="G4247" t="s">
        <v>21</v>
      </c>
      <c r="H4247" t="str">
        <f>"AUGUST 2020"</f>
        <v>AUGUST 2020</v>
      </c>
      <c r="I4247" t="str">
        <f>"GLORIA MARTINEZ"</f>
        <v>GLORIA MARTINEZ</v>
      </c>
    </row>
    <row r="4248" spans="1:9" x14ac:dyDescent="0.25">
      <c r="A4248" s="6">
        <v>44049</v>
      </c>
      <c r="B4248" t="s">
        <v>26</v>
      </c>
      <c r="C4248">
        <v>64627</v>
      </c>
      <c r="D4248" t="s">
        <v>398</v>
      </c>
      <c r="E4248" s="7">
        <v>160</v>
      </c>
      <c r="F4248" t="s">
        <v>20</v>
      </c>
      <c r="G4248" t="s">
        <v>21</v>
      </c>
      <c r="H4248" t="str">
        <f>"1769"</f>
        <v>1769</v>
      </c>
      <c r="I4248" t="str">
        <f>"INTERCEPTOR TECHNOLOGY GROUP L"</f>
        <v>INTERCEPTOR TECHNOLOGY GROUP L</v>
      </c>
    </row>
    <row r="4249" spans="1:9" x14ac:dyDescent="0.25">
      <c r="E4249" s="7"/>
      <c r="F4249" t="s">
        <v>20</v>
      </c>
      <c r="G4249" t="s">
        <v>21</v>
      </c>
      <c r="H4249" t="str">
        <f>"20200809"</f>
        <v>20200809</v>
      </c>
      <c r="I4249" t="str">
        <f>"INTERCEPTOR TECHNOLOGY GROUP L"</f>
        <v>INTERCEPTOR TECHNOLOGY GROUP L</v>
      </c>
    </row>
    <row r="4250" spans="1:9" x14ac:dyDescent="0.25">
      <c r="A4250" s="6">
        <v>44049</v>
      </c>
      <c r="B4250" t="s">
        <v>26</v>
      </c>
      <c r="C4250">
        <v>64628</v>
      </c>
      <c r="D4250" t="s">
        <v>889</v>
      </c>
      <c r="E4250" s="7">
        <v>75</v>
      </c>
      <c r="F4250" t="s">
        <v>20</v>
      </c>
      <c r="G4250" t="s">
        <v>21</v>
      </c>
      <c r="H4250" t="str">
        <f>"AUGUST 2020"</f>
        <v>AUGUST 2020</v>
      </c>
      <c r="I4250" t="str">
        <f>"JADE JIMENEZ"</f>
        <v>JADE JIMENEZ</v>
      </c>
    </row>
    <row r="4251" spans="1:9" x14ac:dyDescent="0.25">
      <c r="A4251" s="6">
        <v>44049</v>
      </c>
      <c r="B4251" t="s">
        <v>26</v>
      </c>
      <c r="C4251">
        <v>64629</v>
      </c>
      <c r="D4251" t="s">
        <v>223</v>
      </c>
      <c r="E4251" s="7">
        <v>75</v>
      </c>
      <c r="F4251" t="s">
        <v>20</v>
      </c>
      <c r="G4251" t="s">
        <v>21</v>
      </c>
      <c r="H4251" t="str">
        <f>"AUGUST 2020"</f>
        <v>AUGUST 2020</v>
      </c>
      <c r="I4251" t="str">
        <f>"JUAN ORTIZ"</f>
        <v>JUAN ORTIZ</v>
      </c>
    </row>
    <row r="4252" spans="1:9" x14ac:dyDescent="0.25">
      <c r="A4252" s="6">
        <v>44049</v>
      </c>
      <c r="B4252" t="s">
        <v>26</v>
      </c>
      <c r="C4252">
        <v>64630</v>
      </c>
      <c r="D4252" t="s">
        <v>560</v>
      </c>
      <c r="E4252" s="7">
        <v>934.4</v>
      </c>
      <c r="F4252" t="s">
        <v>20</v>
      </c>
      <c r="G4252" t="s">
        <v>21</v>
      </c>
      <c r="H4252" t="str">
        <f>"WS00482"</f>
        <v>WS00482</v>
      </c>
      <c r="I4252" t="str">
        <f>"WW CAMERA REPAIR"</f>
        <v>WW CAMERA REPAIR</v>
      </c>
    </row>
    <row r="4253" spans="1:9" x14ac:dyDescent="0.25">
      <c r="A4253" s="6">
        <v>44049</v>
      </c>
      <c r="B4253" t="s">
        <v>26</v>
      </c>
      <c r="C4253">
        <v>64631</v>
      </c>
      <c r="D4253" t="s">
        <v>282</v>
      </c>
      <c r="E4253" s="7">
        <v>4800</v>
      </c>
      <c r="F4253" t="s">
        <v>20</v>
      </c>
      <c r="G4253" t="s">
        <v>21</v>
      </c>
      <c r="H4253" t="str">
        <f>"4015 DRAW #4"</f>
        <v>4015 DRAW #4</v>
      </c>
      <c r="I4253" t="str">
        <f>"LANGFORD COMMUNITY MANAGEMENT"</f>
        <v>LANGFORD COMMUNITY MANAGEMENT</v>
      </c>
    </row>
    <row r="4254" spans="1:9" x14ac:dyDescent="0.25">
      <c r="A4254" s="6">
        <v>44049</v>
      </c>
      <c r="B4254" t="s">
        <v>26</v>
      </c>
      <c r="C4254">
        <v>64632</v>
      </c>
      <c r="D4254" t="s">
        <v>66</v>
      </c>
      <c r="E4254" s="7">
        <v>129.9</v>
      </c>
      <c r="F4254" t="s">
        <v>20</v>
      </c>
      <c r="G4254" t="s">
        <v>21</v>
      </c>
      <c r="H4254" t="str">
        <f>"58699"</f>
        <v>58699</v>
      </c>
      <c r="I4254" t="str">
        <f>"LOPEZ EXTERMINATING SERVICE  I"</f>
        <v>LOPEZ EXTERMINATING SERVICE  I</v>
      </c>
    </row>
    <row r="4255" spans="1:9" x14ac:dyDescent="0.25">
      <c r="A4255" s="6">
        <v>44049</v>
      </c>
      <c r="B4255" t="s">
        <v>26</v>
      </c>
      <c r="C4255">
        <v>64633</v>
      </c>
      <c r="D4255" t="s">
        <v>80</v>
      </c>
      <c r="E4255" s="7">
        <v>1500</v>
      </c>
      <c r="F4255" t="s">
        <v>20</v>
      </c>
      <c r="G4255" t="s">
        <v>21</v>
      </c>
      <c r="H4255" t="str">
        <f>"1648-20200801-1"</f>
        <v>1648-20200801-1</v>
      </c>
      <c r="I4255" t="str">
        <f>"LVWIFI.COM"</f>
        <v>LVWIFI.COM</v>
      </c>
    </row>
    <row r="4256" spans="1:9" x14ac:dyDescent="0.25">
      <c r="E4256" s="7"/>
      <c r="F4256" t="s">
        <v>20</v>
      </c>
      <c r="G4256" t="s">
        <v>21</v>
      </c>
      <c r="H4256" t="str">
        <f>"2313-20200801-1"</f>
        <v>2313-20200801-1</v>
      </c>
      <c r="I4256" t="str">
        <f>"LVWIFI.COM"</f>
        <v>LVWIFI.COM</v>
      </c>
    </row>
    <row r="4257" spans="1:9" x14ac:dyDescent="0.25">
      <c r="A4257" s="6">
        <v>44049</v>
      </c>
      <c r="B4257" t="s">
        <v>26</v>
      </c>
      <c r="C4257">
        <v>64634</v>
      </c>
      <c r="D4257" t="s">
        <v>558</v>
      </c>
      <c r="E4257" s="7">
        <v>75</v>
      </c>
      <c r="F4257" t="s">
        <v>20</v>
      </c>
      <c r="G4257" t="s">
        <v>21</v>
      </c>
      <c r="H4257" t="str">
        <f>"AUGUST 2020"</f>
        <v>AUGUST 2020</v>
      </c>
      <c r="I4257" t="str">
        <f>"MARISSA XIMENEZ"</f>
        <v>MARISSA XIMENEZ</v>
      </c>
    </row>
    <row r="4258" spans="1:9" x14ac:dyDescent="0.25">
      <c r="A4258" s="6">
        <v>44049</v>
      </c>
      <c r="B4258" t="s">
        <v>26</v>
      </c>
      <c r="C4258">
        <v>64635</v>
      </c>
      <c r="D4258" t="s">
        <v>345</v>
      </c>
      <c r="E4258" s="7">
        <v>220</v>
      </c>
      <c r="F4258" t="s">
        <v>20</v>
      </c>
      <c r="G4258" t="s">
        <v>21</v>
      </c>
      <c r="H4258" t="str">
        <f>"8/1/2020"</f>
        <v>8/1/2020</v>
      </c>
      <c r="I4258" t="str">
        <f>"MICHAEL ISAAC MARTINEZ"</f>
        <v>MICHAEL ISAAC MARTINEZ</v>
      </c>
    </row>
    <row r="4259" spans="1:9" x14ac:dyDescent="0.25">
      <c r="A4259" s="6">
        <v>44049</v>
      </c>
      <c r="B4259" t="s">
        <v>26</v>
      </c>
      <c r="C4259">
        <v>64636</v>
      </c>
      <c r="D4259" t="s">
        <v>240</v>
      </c>
      <c r="E4259" s="7">
        <v>808.79</v>
      </c>
      <c r="F4259" t="s">
        <v>20</v>
      </c>
      <c r="G4259" t="s">
        <v>21</v>
      </c>
      <c r="H4259" t="str">
        <f>"0193188-IN"</f>
        <v>0193188-IN</v>
      </c>
      <c r="I4259" t="str">
        <f>"EUGENE RODRIGUEZ"</f>
        <v>EUGENE RODRIGUEZ</v>
      </c>
    </row>
    <row r="4260" spans="1:9" x14ac:dyDescent="0.25">
      <c r="E4260" s="7"/>
      <c r="F4260" t="s">
        <v>20</v>
      </c>
      <c r="G4260" t="s">
        <v>21</v>
      </c>
      <c r="H4260" t="str">
        <f>"0193417-IN"</f>
        <v>0193417-IN</v>
      </c>
      <c r="I4260" t="str">
        <f>"CORPORAL BADGE PATCHES"</f>
        <v>CORPORAL BADGE PATCHES</v>
      </c>
    </row>
    <row r="4261" spans="1:9" x14ac:dyDescent="0.25">
      <c r="A4261" s="6">
        <v>44049</v>
      </c>
      <c r="B4261" t="s">
        <v>26</v>
      </c>
      <c r="C4261">
        <v>64637</v>
      </c>
      <c r="D4261" t="s">
        <v>123</v>
      </c>
      <c r="E4261" s="7">
        <v>579.71</v>
      </c>
      <c r="F4261" t="s">
        <v>20</v>
      </c>
      <c r="G4261" t="s">
        <v>21</v>
      </c>
      <c r="H4261" t="str">
        <f>"106904510001"</f>
        <v>106904510001</v>
      </c>
      <c r="I4261" t="str">
        <f>"OFFICE SUPPLIES"</f>
        <v>OFFICE SUPPLIES</v>
      </c>
    </row>
    <row r="4262" spans="1:9" x14ac:dyDescent="0.25">
      <c r="E4262" s="7"/>
      <c r="F4262" t="s">
        <v>20</v>
      </c>
      <c r="G4262" t="s">
        <v>21</v>
      </c>
      <c r="H4262" t="str">
        <f>"106906981001"</f>
        <v>106906981001</v>
      </c>
      <c r="I4262" t="str">
        <f>"OFFICE SUPPLIES"</f>
        <v>OFFICE SUPPLIES</v>
      </c>
    </row>
    <row r="4263" spans="1:9" x14ac:dyDescent="0.25">
      <c r="E4263" s="7"/>
      <c r="F4263" t="s">
        <v>20</v>
      </c>
      <c r="G4263" t="s">
        <v>21</v>
      </c>
      <c r="H4263" t="str">
        <f>"110077659001"</f>
        <v>110077659001</v>
      </c>
      <c r="I4263" t="str">
        <f>"OFFICE SUPPLIES"</f>
        <v>OFFICE SUPPLIES</v>
      </c>
    </row>
    <row r="4264" spans="1:9" x14ac:dyDescent="0.25">
      <c r="A4264" s="6">
        <v>44049</v>
      </c>
      <c r="B4264" t="s">
        <v>26</v>
      </c>
      <c r="C4264">
        <v>64640</v>
      </c>
      <c r="D4264" t="s">
        <v>947</v>
      </c>
      <c r="E4264" s="7">
        <v>556.83000000000004</v>
      </c>
      <c r="F4264" t="s">
        <v>20</v>
      </c>
      <c r="G4264" t="s">
        <v>21</v>
      </c>
      <c r="H4264" t="str">
        <f>"00177551"</f>
        <v>00177551</v>
      </c>
      <c r="I4264" t="str">
        <f>"PAINT FOR POOL"</f>
        <v>PAINT FOR POOL</v>
      </c>
    </row>
    <row r="4265" spans="1:9" x14ac:dyDescent="0.25">
      <c r="A4265" s="6">
        <v>44049</v>
      </c>
      <c r="B4265" t="s">
        <v>26</v>
      </c>
      <c r="C4265">
        <v>64641</v>
      </c>
      <c r="D4265" t="s">
        <v>132</v>
      </c>
      <c r="E4265" s="7">
        <v>68.5</v>
      </c>
      <c r="F4265" t="s">
        <v>20</v>
      </c>
      <c r="G4265" t="s">
        <v>21</v>
      </c>
      <c r="H4265" t="str">
        <f>"16992887 8/2020"</f>
        <v>16992887 8/2020</v>
      </c>
      <c r="I4265" t="str">
        <f>"SPARKLETTS &amp; SIERRA SPRINGS"</f>
        <v>SPARKLETTS &amp; SIERRA SPRINGS</v>
      </c>
    </row>
    <row r="4266" spans="1:9" x14ac:dyDescent="0.25">
      <c r="A4266" s="6">
        <v>44049</v>
      </c>
      <c r="B4266" t="s">
        <v>26</v>
      </c>
      <c r="C4266">
        <v>64642</v>
      </c>
      <c r="D4266" t="s">
        <v>148</v>
      </c>
      <c r="E4266" s="7">
        <v>500</v>
      </c>
      <c r="F4266" t="s">
        <v>20</v>
      </c>
      <c r="G4266" t="s">
        <v>21</v>
      </c>
      <c r="H4266" t="str">
        <f>"WMS0046044"</f>
        <v>WMS0046044</v>
      </c>
      <c r="I4266" t="str">
        <f>"TEXAS COMMISSION ON ENVIRONMEN"</f>
        <v>TEXAS COMMISSION ON ENVIRONMEN</v>
      </c>
    </row>
    <row r="4267" spans="1:9" x14ac:dyDescent="0.25">
      <c r="A4267" s="6">
        <v>44049</v>
      </c>
      <c r="B4267" t="s">
        <v>26</v>
      </c>
      <c r="C4267">
        <v>64643</v>
      </c>
      <c r="D4267" t="s">
        <v>554</v>
      </c>
      <c r="E4267" s="7">
        <v>74.95</v>
      </c>
      <c r="F4267" t="s">
        <v>20</v>
      </c>
      <c r="G4267" t="s">
        <v>21</v>
      </c>
      <c r="H4267" t="str">
        <f>"AA92183"</f>
        <v>AA92183</v>
      </c>
      <c r="I4267" t="str">
        <f>"TEXAS WIRED MUSIC"</f>
        <v>TEXAS WIRED MUSIC</v>
      </c>
    </row>
    <row r="4268" spans="1:9" x14ac:dyDescent="0.25">
      <c r="A4268" s="6">
        <v>44049</v>
      </c>
      <c r="B4268" t="s">
        <v>26</v>
      </c>
      <c r="C4268">
        <v>64644</v>
      </c>
      <c r="D4268" t="s">
        <v>31</v>
      </c>
      <c r="E4268" s="7">
        <v>2000</v>
      </c>
      <c r="F4268" t="s">
        <v>20</v>
      </c>
      <c r="G4268" t="s">
        <v>21</v>
      </c>
      <c r="H4268" t="str">
        <f>"2020245"</f>
        <v>2020245</v>
      </c>
      <c r="I4268" t="str">
        <f>"THE LAW OFFICE OF TOM CALDWELL"</f>
        <v>THE LAW OFFICE OF TOM CALDWELL</v>
      </c>
    </row>
    <row r="4269" spans="1:9" x14ac:dyDescent="0.25">
      <c r="A4269" s="6">
        <v>44049</v>
      </c>
      <c r="B4269" t="s">
        <v>26</v>
      </c>
      <c r="C4269">
        <v>64645</v>
      </c>
      <c r="D4269" t="s">
        <v>61</v>
      </c>
      <c r="E4269" s="7">
        <v>11687.86</v>
      </c>
      <c r="F4269" t="s">
        <v>20</v>
      </c>
      <c r="G4269" t="s">
        <v>21</v>
      </c>
      <c r="H4269" t="str">
        <f>"025-304016"</f>
        <v>025-304016</v>
      </c>
      <c r="I4269" t="str">
        <f>"TYLER TECHNOLOGIES  INC."</f>
        <v>TYLER TECHNOLOGIES  INC.</v>
      </c>
    </row>
    <row r="4270" spans="1:9" x14ac:dyDescent="0.25">
      <c r="E4270" s="7"/>
      <c r="F4270" t="s">
        <v>20</v>
      </c>
      <c r="G4270" t="s">
        <v>21</v>
      </c>
      <c r="H4270" t="str">
        <f>"025-3040174"</f>
        <v>025-3040174</v>
      </c>
      <c r="I4270" t="str">
        <f>"TYLER TECHNOLOGIES  INC."</f>
        <v>TYLER TECHNOLOGIES  INC.</v>
      </c>
    </row>
    <row r="4271" spans="1:9" x14ac:dyDescent="0.25">
      <c r="A4271" s="6">
        <v>44049</v>
      </c>
      <c r="B4271" t="s">
        <v>26</v>
      </c>
      <c r="C4271">
        <v>64646</v>
      </c>
      <c r="D4271" t="s">
        <v>644</v>
      </c>
      <c r="E4271" s="7">
        <v>1890.12</v>
      </c>
      <c r="F4271" t="s">
        <v>20</v>
      </c>
      <c r="G4271" t="s">
        <v>21</v>
      </c>
      <c r="H4271" t="str">
        <f>"8213457002"</f>
        <v>8213457002</v>
      </c>
      <c r="I4271" t="str">
        <f t="shared" ref="I4271:I4287" si="91">"UNIFIRST CORPORATION"</f>
        <v>UNIFIRST CORPORATION</v>
      </c>
    </row>
    <row r="4272" spans="1:9" x14ac:dyDescent="0.25">
      <c r="E4272" s="7"/>
      <c r="F4272" t="s">
        <v>20</v>
      </c>
      <c r="G4272" t="s">
        <v>21</v>
      </c>
      <c r="H4272" t="str">
        <f>"8213462286"</f>
        <v>8213462286</v>
      </c>
      <c r="I4272" t="str">
        <f t="shared" si="91"/>
        <v>UNIFIRST CORPORATION</v>
      </c>
    </row>
    <row r="4273" spans="1:9" x14ac:dyDescent="0.25">
      <c r="E4273" s="7"/>
      <c r="F4273" t="s">
        <v>20</v>
      </c>
      <c r="G4273" t="s">
        <v>21</v>
      </c>
      <c r="H4273" t="str">
        <f>"8213486024"</f>
        <v>8213486024</v>
      </c>
      <c r="I4273" t="str">
        <f t="shared" si="91"/>
        <v>UNIFIRST CORPORATION</v>
      </c>
    </row>
    <row r="4274" spans="1:9" x14ac:dyDescent="0.25">
      <c r="E4274" s="7"/>
      <c r="F4274" t="s">
        <v>20</v>
      </c>
      <c r="G4274" t="s">
        <v>21</v>
      </c>
      <c r="H4274" t="str">
        <f>"8213488642"</f>
        <v>8213488642</v>
      </c>
      <c r="I4274" t="str">
        <f t="shared" si="91"/>
        <v>UNIFIRST CORPORATION</v>
      </c>
    </row>
    <row r="4275" spans="1:9" x14ac:dyDescent="0.25">
      <c r="E4275" s="7"/>
      <c r="F4275" t="s">
        <v>20</v>
      </c>
      <c r="G4275" t="s">
        <v>21</v>
      </c>
      <c r="H4275" t="str">
        <f>"8213488643"</f>
        <v>8213488643</v>
      </c>
      <c r="I4275" t="str">
        <f t="shared" si="91"/>
        <v>UNIFIRST CORPORATION</v>
      </c>
    </row>
    <row r="4276" spans="1:9" x14ac:dyDescent="0.25">
      <c r="E4276" s="7"/>
      <c r="F4276" t="s">
        <v>20</v>
      </c>
      <c r="G4276" t="s">
        <v>21</v>
      </c>
      <c r="H4276" t="str">
        <f>"8213488644"</f>
        <v>8213488644</v>
      </c>
      <c r="I4276" t="str">
        <f t="shared" si="91"/>
        <v>UNIFIRST CORPORATION</v>
      </c>
    </row>
    <row r="4277" spans="1:9" x14ac:dyDescent="0.25">
      <c r="E4277" s="7"/>
      <c r="F4277" t="s">
        <v>20</v>
      </c>
      <c r="G4277" t="s">
        <v>21</v>
      </c>
      <c r="H4277" t="str">
        <f>"8213488645"</f>
        <v>8213488645</v>
      </c>
      <c r="I4277" t="str">
        <f t="shared" si="91"/>
        <v>UNIFIRST CORPORATION</v>
      </c>
    </row>
    <row r="4278" spans="1:9" x14ac:dyDescent="0.25">
      <c r="E4278" s="7"/>
      <c r="F4278" t="s">
        <v>20</v>
      </c>
      <c r="G4278" t="s">
        <v>21</v>
      </c>
      <c r="H4278" t="str">
        <f>"8213488646"</f>
        <v>8213488646</v>
      </c>
      <c r="I4278" t="str">
        <f t="shared" si="91"/>
        <v>UNIFIRST CORPORATION</v>
      </c>
    </row>
    <row r="4279" spans="1:9" x14ac:dyDescent="0.25">
      <c r="E4279" s="7"/>
      <c r="F4279" t="s">
        <v>20</v>
      </c>
      <c r="G4279" t="s">
        <v>21</v>
      </c>
      <c r="H4279" t="str">
        <f>"8213488647"</f>
        <v>8213488647</v>
      </c>
      <c r="I4279" t="str">
        <f t="shared" si="91"/>
        <v>UNIFIRST CORPORATION</v>
      </c>
    </row>
    <row r="4280" spans="1:9" x14ac:dyDescent="0.25">
      <c r="E4280" s="7"/>
      <c r="F4280" t="s">
        <v>20</v>
      </c>
      <c r="G4280" t="s">
        <v>21</v>
      </c>
      <c r="H4280" t="str">
        <f>"8213488648"</f>
        <v>8213488648</v>
      </c>
      <c r="I4280" t="str">
        <f t="shared" si="91"/>
        <v>UNIFIRST CORPORATION</v>
      </c>
    </row>
    <row r="4281" spans="1:9" x14ac:dyDescent="0.25">
      <c r="E4281" s="7"/>
      <c r="F4281" t="s">
        <v>20</v>
      </c>
      <c r="G4281" t="s">
        <v>21</v>
      </c>
      <c r="H4281" t="str">
        <f>"8213491286"</f>
        <v>8213491286</v>
      </c>
      <c r="I4281" t="str">
        <f t="shared" si="91"/>
        <v>UNIFIRST CORPORATION</v>
      </c>
    </row>
    <row r="4282" spans="1:9" x14ac:dyDescent="0.25">
      <c r="E4282" s="7"/>
      <c r="F4282" t="s">
        <v>20</v>
      </c>
      <c r="G4282" t="s">
        <v>21</v>
      </c>
      <c r="H4282" t="str">
        <f>"8213491287"</f>
        <v>8213491287</v>
      </c>
      <c r="I4282" t="str">
        <f t="shared" si="91"/>
        <v>UNIFIRST CORPORATION</v>
      </c>
    </row>
    <row r="4283" spans="1:9" x14ac:dyDescent="0.25">
      <c r="E4283" s="7"/>
      <c r="F4283" t="s">
        <v>20</v>
      </c>
      <c r="G4283" t="s">
        <v>21</v>
      </c>
      <c r="H4283" t="str">
        <f>"8213491288"</f>
        <v>8213491288</v>
      </c>
      <c r="I4283" t="str">
        <f t="shared" si="91"/>
        <v>UNIFIRST CORPORATION</v>
      </c>
    </row>
    <row r="4284" spans="1:9" x14ac:dyDescent="0.25">
      <c r="E4284" s="7"/>
      <c r="F4284" t="s">
        <v>20</v>
      </c>
      <c r="G4284" t="s">
        <v>21</v>
      </c>
      <c r="H4284" t="str">
        <f>"8213491289"</f>
        <v>8213491289</v>
      </c>
      <c r="I4284" t="str">
        <f t="shared" si="91"/>
        <v>UNIFIRST CORPORATION</v>
      </c>
    </row>
    <row r="4285" spans="1:9" x14ac:dyDescent="0.25">
      <c r="E4285" s="7"/>
      <c r="F4285" t="s">
        <v>20</v>
      </c>
      <c r="G4285" t="s">
        <v>21</v>
      </c>
      <c r="H4285" t="str">
        <f>"8213491290"</f>
        <v>8213491290</v>
      </c>
      <c r="I4285" t="str">
        <f t="shared" si="91"/>
        <v>UNIFIRST CORPORATION</v>
      </c>
    </row>
    <row r="4286" spans="1:9" x14ac:dyDescent="0.25">
      <c r="E4286" s="7"/>
      <c r="F4286" t="s">
        <v>20</v>
      </c>
      <c r="G4286" t="s">
        <v>21</v>
      </c>
      <c r="H4286" t="str">
        <f>"8213491291"</f>
        <v>8213491291</v>
      </c>
      <c r="I4286" t="str">
        <f t="shared" si="91"/>
        <v>UNIFIRST CORPORATION</v>
      </c>
    </row>
    <row r="4287" spans="1:9" x14ac:dyDescent="0.25">
      <c r="E4287" s="7"/>
      <c r="F4287" t="s">
        <v>20</v>
      </c>
      <c r="G4287" t="s">
        <v>21</v>
      </c>
      <c r="H4287" t="str">
        <f>"8213491292"</f>
        <v>8213491292</v>
      </c>
      <c r="I4287" t="str">
        <f t="shared" si="91"/>
        <v>UNIFIRST CORPORATION</v>
      </c>
    </row>
    <row r="4288" spans="1:9" x14ac:dyDescent="0.25">
      <c r="A4288" s="6">
        <v>44049</v>
      </c>
      <c r="B4288" t="s">
        <v>26</v>
      </c>
      <c r="C4288">
        <v>64650</v>
      </c>
      <c r="D4288" t="s">
        <v>74</v>
      </c>
      <c r="E4288" s="7">
        <v>11751.91</v>
      </c>
      <c r="F4288" t="s">
        <v>20</v>
      </c>
      <c r="G4288" t="s">
        <v>21</v>
      </c>
      <c r="H4288" t="str">
        <f>"9859374543"</f>
        <v>9859374543</v>
      </c>
      <c r="I4288" t="str">
        <f>"VERIZON WIRELESS"</f>
        <v>VERIZON WIRELESS</v>
      </c>
    </row>
    <row r="4289" spans="1:9" x14ac:dyDescent="0.25">
      <c r="E4289" s="7"/>
      <c r="F4289" t="s">
        <v>20</v>
      </c>
      <c r="G4289" t="s">
        <v>21</v>
      </c>
      <c r="H4289" t="str">
        <f>"9859374544"</f>
        <v>9859374544</v>
      </c>
      <c r="I4289" t="str">
        <f>"VERIZON WIRELESS"</f>
        <v>VERIZON WIRELESS</v>
      </c>
    </row>
    <row r="4290" spans="1:9" x14ac:dyDescent="0.25">
      <c r="A4290" s="6">
        <v>44049</v>
      </c>
      <c r="B4290" t="s">
        <v>26</v>
      </c>
      <c r="C4290">
        <v>64652</v>
      </c>
      <c r="D4290" t="s">
        <v>122</v>
      </c>
      <c r="E4290" s="7">
        <v>20</v>
      </c>
      <c r="F4290" t="s">
        <v>20</v>
      </c>
      <c r="G4290" t="s">
        <v>21</v>
      </c>
      <c r="H4290" t="str">
        <f>"48595033"</f>
        <v>48595033</v>
      </c>
      <c r="I4290" t="str">
        <f>"VILLA TIRES"</f>
        <v>VILLA TIRES</v>
      </c>
    </row>
    <row r="4291" spans="1:9" x14ac:dyDescent="0.25">
      <c r="E4291" s="7"/>
      <c r="F4291" t="s">
        <v>20</v>
      </c>
      <c r="G4291" t="s">
        <v>21</v>
      </c>
      <c r="H4291" t="str">
        <f>"48595043"</f>
        <v>48595043</v>
      </c>
      <c r="I4291" t="str">
        <f>"VILLA TIRES"</f>
        <v>VILLA TIRES</v>
      </c>
    </row>
    <row r="4292" spans="1:9" x14ac:dyDescent="0.25">
      <c r="A4292" s="6">
        <v>44049</v>
      </c>
      <c r="B4292" t="s">
        <v>26</v>
      </c>
      <c r="C4292">
        <v>64653</v>
      </c>
      <c r="D4292" t="s">
        <v>59</v>
      </c>
      <c r="E4292" s="7">
        <v>47.55</v>
      </c>
      <c r="F4292" t="s">
        <v>20</v>
      </c>
      <c r="G4292" t="s">
        <v>21</v>
      </c>
      <c r="H4292" t="str">
        <f>"1076250"</f>
        <v>1076250</v>
      </c>
      <c r="I4292" t="str">
        <f>"JOHNNY VILLARREAL"</f>
        <v>JOHNNY VILLARREAL</v>
      </c>
    </row>
    <row r="4293" spans="1:9" x14ac:dyDescent="0.25">
      <c r="A4293" s="6">
        <v>44049</v>
      </c>
      <c r="B4293" t="s">
        <v>26</v>
      </c>
      <c r="C4293">
        <v>64654</v>
      </c>
      <c r="D4293" t="s">
        <v>646</v>
      </c>
      <c r="E4293" s="7">
        <v>24500</v>
      </c>
      <c r="F4293" t="s">
        <v>20</v>
      </c>
      <c r="G4293" t="s">
        <v>21</v>
      </c>
      <c r="H4293" t="str">
        <f>"0121822"</f>
        <v>0121822</v>
      </c>
      <c r="I4293" t="str">
        <f>"POOL MAINTENANCE"</f>
        <v>POOL MAINTENANCE</v>
      </c>
    </row>
    <row r="4294" spans="1:9" x14ac:dyDescent="0.25">
      <c r="A4294" s="6">
        <v>44049</v>
      </c>
      <c r="B4294" t="s">
        <v>26</v>
      </c>
      <c r="C4294">
        <v>64656</v>
      </c>
      <c r="D4294" t="s">
        <v>527</v>
      </c>
      <c r="E4294" s="7">
        <v>3400</v>
      </c>
      <c r="F4294" t="s">
        <v>20</v>
      </c>
      <c r="G4294" t="s">
        <v>21</v>
      </c>
      <c r="H4294" t="str">
        <f>"746158"</f>
        <v>746158</v>
      </c>
      <c r="I4294" t="str">
        <f>"FENCE REPAIR AT LIFT #8"</f>
        <v>FENCE REPAIR AT LIFT #8</v>
      </c>
    </row>
    <row r="4295" spans="1:9" x14ac:dyDescent="0.25">
      <c r="E4295" s="7"/>
      <c r="F4295" t="s">
        <v>20</v>
      </c>
      <c r="G4295" t="s">
        <v>21</v>
      </c>
      <c r="H4295" t="str">
        <f>"746159"</f>
        <v>746159</v>
      </c>
      <c r="I4295" t="str">
        <f>"FENCE REPAIR FOR POOL"</f>
        <v>FENCE REPAIR FOR POOL</v>
      </c>
    </row>
    <row r="4296" spans="1:9" x14ac:dyDescent="0.25">
      <c r="A4296" s="6">
        <v>44049</v>
      </c>
      <c r="B4296" t="s">
        <v>26</v>
      </c>
      <c r="C4296">
        <v>64657</v>
      </c>
      <c r="D4296" t="s">
        <v>956</v>
      </c>
      <c r="E4296" s="7">
        <v>5000</v>
      </c>
      <c r="F4296" t="s">
        <v>20</v>
      </c>
      <c r="G4296" t="s">
        <v>21</v>
      </c>
      <c r="H4296" t="str">
        <f>"8712"</f>
        <v>8712</v>
      </c>
      <c r="I4296" t="str">
        <f>"COVID-19 COURT/ IT"</f>
        <v>COVID-19 COURT/ IT</v>
      </c>
    </row>
    <row r="4297" spans="1:9" x14ac:dyDescent="0.25">
      <c r="A4297" s="6">
        <v>44050</v>
      </c>
      <c r="B4297" t="s">
        <v>26</v>
      </c>
      <c r="C4297">
        <v>64658</v>
      </c>
      <c r="D4297" t="s">
        <v>926</v>
      </c>
      <c r="E4297" s="7">
        <v>61699.68</v>
      </c>
      <c r="F4297" t="s">
        <v>20</v>
      </c>
      <c r="G4297" t="s">
        <v>21</v>
      </c>
      <c r="H4297" t="str">
        <f>"PAY APP#2"</f>
        <v>PAY APP#2</v>
      </c>
      <c r="I4297" t="str">
        <f>"SLP CONSTRUCTORS INC"</f>
        <v>SLP CONSTRUCTORS INC</v>
      </c>
    </row>
    <row r="4298" spans="1:9" x14ac:dyDescent="0.25">
      <c r="A4298" s="6">
        <v>44054</v>
      </c>
      <c r="B4298" t="s">
        <v>26</v>
      </c>
      <c r="C4298">
        <v>64663</v>
      </c>
      <c r="D4298" t="s">
        <v>51</v>
      </c>
      <c r="E4298" s="7">
        <v>327.84</v>
      </c>
      <c r="F4298" t="s">
        <v>20</v>
      </c>
      <c r="G4298" t="s">
        <v>21</v>
      </c>
      <c r="H4298" t="str">
        <f>"CLE202008118580"</f>
        <v>CLE202008118580</v>
      </c>
      <c r="I4298" t="str">
        <f>"CLEAT ONLY DUES"</f>
        <v>CLEAT ONLY DUES</v>
      </c>
    </row>
    <row r="4299" spans="1:9" x14ac:dyDescent="0.25">
      <c r="E4299" s="7"/>
      <c r="F4299" t="s">
        <v>20</v>
      </c>
      <c r="G4299" t="s">
        <v>21</v>
      </c>
      <c r="H4299" t="str">
        <f>"PDD202008118580"</f>
        <v>PDD202008118580</v>
      </c>
      <c r="I4299" t="str">
        <f>"POLICE OFFICERS ASSOC DUES"</f>
        <v>POLICE OFFICERS ASSOC DUES</v>
      </c>
    </row>
    <row r="4300" spans="1:9" x14ac:dyDescent="0.25">
      <c r="A4300" s="6">
        <v>44054</v>
      </c>
      <c r="B4300" t="s">
        <v>26</v>
      </c>
      <c r="C4300">
        <v>64664</v>
      </c>
      <c r="D4300" t="s">
        <v>52</v>
      </c>
      <c r="E4300" s="7">
        <v>405</v>
      </c>
      <c r="F4300" t="s">
        <v>20</v>
      </c>
      <c r="G4300" t="s">
        <v>21</v>
      </c>
      <c r="H4300" t="str">
        <f>"CA1202008118580"</f>
        <v>CA1202008118580</v>
      </c>
      <c r="I4300" t="str">
        <f>"K RAMIREZ 001200229510060343CV"</f>
        <v>K RAMIREZ 001200229510060343CV</v>
      </c>
    </row>
    <row r="4301" spans="1:9" x14ac:dyDescent="0.25">
      <c r="E4301" s="7"/>
      <c r="F4301" t="s">
        <v>20</v>
      </c>
      <c r="G4301" t="s">
        <v>21</v>
      </c>
      <c r="H4301" t="str">
        <f>"CA2202008118580"</f>
        <v>CA2202008118580</v>
      </c>
      <c r="I4301" t="str">
        <f>"L HERNANDEZ 001016025203080354"</f>
        <v>L HERNANDEZ 001016025203080354</v>
      </c>
    </row>
    <row r="4302" spans="1:9" x14ac:dyDescent="0.25">
      <c r="E4302" s="7"/>
      <c r="F4302" t="s">
        <v>20</v>
      </c>
      <c r="G4302" t="s">
        <v>21</v>
      </c>
      <c r="H4302" t="str">
        <f>"CA3202008118580"</f>
        <v>CA3202008118580</v>
      </c>
      <c r="I4302" t="str">
        <f>"00120788612011EM5023JOLENEGARC"</f>
        <v>00120788612011EM5023JOLENEGARC</v>
      </c>
    </row>
    <row r="4303" spans="1:9" x14ac:dyDescent="0.25">
      <c r="E4303" s="7"/>
      <c r="F4303" t="s">
        <v>20</v>
      </c>
      <c r="G4303" t="s">
        <v>21</v>
      </c>
      <c r="H4303" t="str">
        <f>"CSA202008118580"</f>
        <v>CSA202008118580</v>
      </c>
      <c r="I4303" t="str">
        <f>"S RODRIGUEZ 001281730413050336"</f>
        <v>S RODRIGUEZ 001281730413050336</v>
      </c>
    </row>
    <row r="4304" spans="1:9" x14ac:dyDescent="0.25">
      <c r="A4304" s="6">
        <v>44054</v>
      </c>
      <c r="B4304" t="s">
        <v>26</v>
      </c>
      <c r="C4304">
        <v>64665</v>
      </c>
      <c r="D4304" t="s">
        <v>54</v>
      </c>
      <c r="E4304" s="7">
        <v>1186.3399999999999</v>
      </c>
      <c r="F4304" t="s">
        <v>20</v>
      </c>
      <c r="G4304" t="s">
        <v>21</v>
      </c>
      <c r="H4304" t="str">
        <f>"457202008118580"</f>
        <v>457202008118580</v>
      </c>
      <c r="I4304" t="str">
        <f>"CASE # 180-60751 457B DEDUCT"</f>
        <v>CASE # 180-60751 457B DEDUCT</v>
      </c>
    </row>
    <row r="4305" spans="1:9" x14ac:dyDescent="0.25">
      <c r="A4305" s="6">
        <v>44055</v>
      </c>
      <c r="B4305" t="s">
        <v>26</v>
      </c>
      <c r="C4305">
        <v>64666</v>
      </c>
      <c r="D4305" t="s">
        <v>90</v>
      </c>
      <c r="E4305" s="7">
        <v>1464.18</v>
      </c>
      <c r="F4305" t="s">
        <v>20</v>
      </c>
      <c r="G4305" t="s">
        <v>21</v>
      </c>
      <c r="H4305" t="str">
        <f>"561453"</f>
        <v>561453</v>
      </c>
      <c r="I4305" t="str">
        <f>"AFLAC"</f>
        <v>AFLAC</v>
      </c>
    </row>
    <row r="4306" spans="1:9" x14ac:dyDescent="0.25">
      <c r="E4306" s="7"/>
      <c r="F4306" t="s">
        <v>20</v>
      </c>
      <c r="G4306" t="s">
        <v>21</v>
      </c>
      <c r="H4306" t="str">
        <f>"ACA202007148578"</f>
        <v>ACA202007148578</v>
      </c>
      <c r="I4306" t="str">
        <f>"AFLAC INSURANCE"</f>
        <v>AFLAC INSURANCE</v>
      </c>
    </row>
    <row r="4307" spans="1:9" x14ac:dyDescent="0.25">
      <c r="E4307" s="7"/>
      <c r="F4307" t="s">
        <v>20</v>
      </c>
      <c r="G4307" t="s">
        <v>21</v>
      </c>
      <c r="H4307" t="str">
        <f>"ACA202007288579"</f>
        <v>ACA202007288579</v>
      </c>
      <c r="I4307" t="str">
        <f>"AFLAC INSURANCE"</f>
        <v>AFLAC INSURANCE</v>
      </c>
    </row>
    <row r="4308" spans="1:9" x14ac:dyDescent="0.25">
      <c r="E4308" s="7"/>
      <c r="F4308" t="s">
        <v>20</v>
      </c>
      <c r="G4308" t="s">
        <v>21</v>
      </c>
      <c r="H4308" t="str">
        <f>"AD2202007148578"</f>
        <v>AD2202007148578</v>
      </c>
      <c r="I4308" t="str">
        <f>"AFLAC INSURANCE"</f>
        <v>AFLAC INSURANCE</v>
      </c>
    </row>
    <row r="4309" spans="1:9" x14ac:dyDescent="0.25">
      <c r="E4309" s="7"/>
      <c r="F4309" t="s">
        <v>20</v>
      </c>
      <c r="G4309" t="s">
        <v>21</v>
      </c>
      <c r="H4309" t="str">
        <f>"ADR202007148578"</f>
        <v>ADR202007148578</v>
      </c>
      <c r="I4309" t="str">
        <f>"INSURANCE"</f>
        <v>INSURANCE</v>
      </c>
    </row>
    <row r="4310" spans="1:9" x14ac:dyDescent="0.25">
      <c r="E4310" s="7"/>
      <c r="F4310" t="s">
        <v>20</v>
      </c>
      <c r="G4310" t="s">
        <v>21</v>
      </c>
      <c r="H4310" t="str">
        <f>"ADR202007288579"</f>
        <v>ADR202007288579</v>
      </c>
      <c r="I4310" t="str">
        <f>"INSURANCE"</f>
        <v>INSURANCE</v>
      </c>
    </row>
    <row r="4311" spans="1:9" x14ac:dyDescent="0.25">
      <c r="E4311" s="7"/>
      <c r="F4311" t="s">
        <v>20</v>
      </c>
      <c r="G4311" t="s">
        <v>21</v>
      </c>
      <c r="H4311" t="str">
        <f>"AF1202007148578"</f>
        <v>AF1202007148578</v>
      </c>
      <c r="I4311" t="str">
        <f t="shared" ref="I4311:I4316" si="92">"AFLAC INSURANCE"</f>
        <v>AFLAC INSURANCE</v>
      </c>
    </row>
    <row r="4312" spans="1:9" x14ac:dyDescent="0.25">
      <c r="E4312" s="7"/>
      <c r="F4312" t="s">
        <v>20</v>
      </c>
      <c r="G4312" t="s">
        <v>21</v>
      </c>
      <c r="H4312" t="str">
        <f>"AF1202007288579"</f>
        <v>AF1202007288579</v>
      </c>
      <c r="I4312" t="str">
        <f t="shared" si="92"/>
        <v>AFLAC INSURANCE</v>
      </c>
    </row>
    <row r="4313" spans="1:9" x14ac:dyDescent="0.25">
      <c r="E4313" s="7"/>
      <c r="F4313" t="s">
        <v>20</v>
      </c>
      <c r="G4313" t="s">
        <v>21</v>
      </c>
      <c r="H4313" t="str">
        <f>"ASP202007148578"</f>
        <v>ASP202007148578</v>
      </c>
      <c r="I4313" t="str">
        <f t="shared" si="92"/>
        <v>AFLAC INSURANCE</v>
      </c>
    </row>
    <row r="4314" spans="1:9" x14ac:dyDescent="0.25">
      <c r="E4314" s="7"/>
      <c r="F4314" t="s">
        <v>20</v>
      </c>
      <c r="G4314" t="s">
        <v>21</v>
      </c>
      <c r="H4314" t="str">
        <f>"ASP202007288579"</f>
        <v>ASP202007288579</v>
      </c>
      <c r="I4314" t="str">
        <f t="shared" si="92"/>
        <v>AFLAC INSURANCE</v>
      </c>
    </row>
    <row r="4315" spans="1:9" x14ac:dyDescent="0.25">
      <c r="E4315" s="7"/>
      <c r="F4315" t="s">
        <v>20</v>
      </c>
      <c r="G4315" t="s">
        <v>21</v>
      </c>
      <c r="H4315" t="str">
        <f>"HCO202007148578"</f>
        <v>HCO202007148578</v>
      </c>
      <c r="I4315" t="str">
        <f t="shared" si="92"/>
        <v>AFLAC INSURANCE</v>
      </c>
    </row>
    <row r="4316" spans="1:9" x14ac:dyDescent="0.25">
      <c r="E4316" s="7"/>
      <c r="F4316" t="s">
        <v>20</v>
      </c>
      <c r="G4316" t="s">
        <v>21</v>
      </c>
      <c r="H4316" t="str">
        <f>"HCO202007288579"</f>
        <v>HCO202007288579</v>
      </c>
      <c r="I4316" t="str">
        <f t="shared" si="92"/>
        <v>AFLAC INSURANCE</v>
      </c>
    </row>
    <row r="4317" spans="1:9" x14ac:dyDescent="0.25">
      <c r="A4317" s="6">
        <v>44055</v>
      </c>
      <c r="B4317" t="s">
        <v>26</v>
      </c>
      <c r="C4317">
        <v>64671</v>
      </c>
      <c r="D4317" t="s">
        <v>179</v>
      </c>
      <c r="E4317" s="7">
        <v>12</v>
      </c>
      <c r="F4317" t="s">
        <v>20</v>
      </c>
      <c r="G4317" t="s">
        <v>21</v>
      </c>
      <c r="H4317" t="str">
        <f>"252606*"</f>
        <v>252606*</v>
      </c>
      <c r="I4317" t="str">
        <f>"ANCIRA FORD-MERCURY"</f>
        <v>ANCIRA FORD-MERCURY</v>
      </c>
    </row>
    <row r="4318" spans="1:9" x14ac:dyDescent="0.25">
      <c r="A4318" s="6">
        <v>44055</v>
      </c>
      <c r="B4318" t="s">
        <v>26</v>
      </c>
      <c r="C4318">
        <v>64672</v>
      </c>
      <c r="D4318" t="s">
        <v>0</v>
      </c>
      <c r="E4318" s="7">
        <v>2444.85</v>
      </c>
      <c r="F4318" t="s">
        <v>20</v>
      </c>
      <c r="G4318" t="s">
        <v>21</v>
      </c>
      <c r="H4318" t="str">
        <f>"01-0195-00"</f>
        <v>01-0195-00</v>
      </c>
      <c r="I4318" t="str">
        <f>"CITY OF FLORESVILLE"</f>
        <v>CITY OF FLORESVILLE</v>
      </c>
    </row>
    <row r="4319" spans="1:9" x14ac:dyDescent="0.25">
      <c r="A4319" s="6">
        <v>44055</v>
      </c>
      <c r="B4319" t="s">
        <v>26</v>
      </c>
      <c r="C4319">
        <v>64673</v>
      </c>
      <c r="D4319" t="s">
        <v>98</v>
      </c>
      <c r="E4319" s="7">
        <v>3418.89</v>
      </c>
      <c r="F4319" t="s">
        <v>20</v>
      </c>
      <c r="G4319" t="s">
        <v>21</v>
      </c>
      <c r="H4319" t="str">
        <f>"LIF202007148578"</f>
        <v>LIF202007148578</v>
      </c>
      <c r="I4319" t="str">
        <f>"INSURANCE"</f>
        <v>INSURANCE</v>
      </c>
    </row>
    <row r="4320" spans="1:9" x14ac:dyDescent="0.25">
      <c r="E4320" s="7"/>
      <c r="F4320" t="s">
        <v>20</v>
      </c>
      <c r="G4320" t="s">
        <v>21</v>
      </c>
      <c r="H4320" t="str">
        <f>"LIF202007288579"</f>
        <v>LIF202007288579</v>
      </c>
      <c r="I4320" t="str">
        <f>"INSURANCE"</f>
        <v>INSURANCE</v>
      </c>
    </row>
    <row r="4321" spans="1:9" x14ac:dyDescent="0.25">
      <c r="E4321" s="7"/>
      <c r="F4321" t="s">
        <v>20</v>
      </c>
      <c r="G4321" t="s">
        <v>21</v>
      </c>
      <c r="H4321" t="str">
        <f>"STD202007148578"</f>
        <v>STD202007148578</v>
      </c>
      <c r="I4321" t="str">
        <f>"SHORT TERM DISABILITY"</f>
        <v>SHORT TERM DISABILITY</v>
      </c>
    </row>
    <row r="4322" spans="1:9" x14ac:dyDescent="0.25">
      <c r="E4322" s="7"/>
      <c r="F4322" t="s">
        <v>20</v>
      </c>
      <c r="G4322" t="s">
        <v>21</v>
      </c>
      <c r="H4322" t="str">
        <f>"STD202007288579"</f>
        <v>STD202007288579</v>
      </c>
      <c r="I4322" t="str">
        <f>"SHORT TERM DISABILITY"</f>
        <v>SHORT TERM DISABILITY</v>
      </c>
    </row>
    <row r="4323" spans="1:9" x14ac:dyDescent="0.25">
      <c r="E4323" s="7"/>
      <c r="F4323" t="s">
        <v>20</v>
      </c>
      <c r="G4323" t="s">
        <v>21</v>
      </c>
      <c r="H4323" t="str">
        <f>"VIS202007148578"</f>
        <v>VIS202007148578</v>
      </c>
      <c r="I4323" t="str">
        <f>"VISION INSURANCE"</f>
        <v>VISION INSURANCE</v>
      </c>
    </row>
    <row r="4324" spans="1:9" x14ac:dyDescent="0.25">
      <c r="E4324" s="7"/>
      <c r="F4324" t="s">
        <v>20</v>
      </c>
      <c r="G4324" t="s">
        <v>21</v>
      </c>
      <c r="H4324" t="str">
        <f>"VIS202007288579"</f>
        <v>VIS202007288579</v>
      </c>
      <c r="I4324" t="str">
        <f>"VISION INSURANCE"</f>
        <v>VISION INSURANCE</v>
      </c>
    </row>
    <row r="4325" spans="1:9" x14ac:dyDescent="0.25">
      <c r="E4325" s="7"/>
      <c r="F4325" t="s">
        <v>20</v>
      </c>
      <c r="G4325" t="s">
        <v>21</v>
      </c>
      <c r="H4325" t="str">
        <f>"VLC202007148578"</f>
        <v>VLC202007148578</v>
      </c>
      <c r="I4325" t="str">
        <f>"CHILD LIFE INSURANCE"</f>
        <v>CHILD LIFE INSURANCE</v>
      </c>
    </row>
    <row r="4326" spans="1:9" x14ac:dyDescent="0.25">
      <c r="E4326" s="7"/>
      <c r="F4326" t="s">
        <v>20</v>
      </c>
      <c r="G4326" t="s">
        <v>21</v>
      </c>
      <c r="H4326" t="str">
        <f>"VLC202007288579"</f>
        <v>VLC202007288579</v>
      </c>
      <c r="I4326" t="str">
        <f>"CHILD LIFE INSURANCE"</f>
        <v>CHILD LIFE INSURANCE</v>
      </c>
    </row>
    <row r="4327" spans="1:9" x14ac:dyDescent="0.25">
      <c r="E4327" s="7"/>
      <c r="F4327" t="s">
        <v>20</v>
      </c>
      <c r="G4327" t="s">
        <v>21</v>
      </c>
      <c r="H4327" t="str">
        <f>"VLS202007148578"</f>
        <v>VLS202007148578</v>
      </c>
      <c r="I4327" t="str">
        <f>"SPOUSE LIFE"</f>
        <v>SPOUSE LIFE</v>
      </c>
    </row>
    <row r="4328" spans="1:9" x14ac:dyDescent="0.25">
      <c r="E4328" s="7"/>
      <c r="F4328" t="s">
        <v>20</v>
      </c>
      <c r="G4328" t="s">
        <v>21</v>
      </c>
      <c r="H4328" t="str">
        <f>"VLS202007288579"</f>
        <v>VLS202007288579</v>
      </c>
      <c r="I4328" t="str">
        <f>"SPOUSE LIFE"</f>
        <v>SPOUSE LIFE</v>
      </c>
    </row>
    <row r="4329" spans="1:9" x14ac:dyDescent="0.25">
      <c r="E4329" s="7"/>
      <c r="F4329" t="s">
        <v>20</v>
      </c>
      <c r="G4329" t="s">
        <v>21</v>
      </c>
      <c r="H4329" t="str">
        <f>"VOE202007148578"</f>
        <v>VOE202007148578</v>
      </c>
      <c r="I4329" t="str">
        <f>"EMPLOYEE LIFE"</f>
        <v>EMPLOYEE LIFE</v>
      </c>
    </row>
    <row r="4330" spans="1:9" x14ac:dyDescent="0.25">
      <c r="E4330" s="7"/>
      <c r="F4330" t="s">
        <v>20</v>
      </c>
      <c r="G4330" t="s">
        <v>21</v>
      </c>
      <c r="H4330" t="str">
        <f>"VOE202007288579"</f>
        <v>VOE202007288579</v>
      </c>
      <c r="I4330" t="str">
        <f>"EMPLOYEE LIFE"</f>
        <v>EMPLOYEE LIFE</v>
      </c>
    </row>
    <row r="4331" spans="1:9" x14ac:dyDescent="0.25">
      <c r="E4331" s="7"/>
      <c r="F4331" t="s">
        <v>20</v>
      </c>
      <c r="G4331" t="s">
        <v>21</v>
      </c>
      <c r="H4331" t="str">
        <f>"VOL202007148578"</f>
        <v>VOL202007148578</v>
      </c>
      <c r="I4331" t="str">
        <f>"LIFE"</f>
        <v>LIFE</v>
      </c>
    </row>
    <row r="4332" spans="1:9" x14ac:dyDescent="0.25">
      <c r="E4332" s="7"/>
      <c r="F4332" t="s">
        <v>20</v>
      </c>
      <c r="G4332" t="s">
        <v>21</v>
      </c>
      <c r="H4332" t="str">
        <f>"VOL202007288579"</f>
        <v>VOL202007288579</v>
      </c>
      <c r="I4332" t="str">
        <f>"LIFE"</f>
        <v>LIFE</v>
      </c>
    </row>
    <row r="4333" spans="1:9" x14ac:dyDescent="0.25">
      <c r="A4333" s="6">
        <v>44055</v>
      </c>
      <c r="B4333" t="s">
        <v>26</v>
      </c>
      <c r="C4333">
        <v>64681</v>
      </c>
      <c r="D4333" t="s">
        <v>872</v>
      </c>
      <c r="E4333" s="7">
        <v>90</v>
      </c>
      <c r="F4333" t="s">
        <v>20</v>
      </c>
      <c r="G4333" t="s">
        <v>21</v>
      </c>
      <c r="H4333" t="str">
        <f>"8/8/2020"</f>
        <v>8/8/2020</v>
      </c>
      <c r="I4333" t="str">
        <f>"DEVIN BENAVIDES"</f>
        <v>DEVIN BENAVIDES</v>
      </c>
    </row>
    <row r="4334" spans="1:9" x14ac:dyDescent="0.25">
      <c r="A4334" s="6">
        <v>44055</v>
      </c>
      <c r="B4334" t="s">
        <v>26</v>
      </c>
      <c r="C4334">
        <v>64682</v>
      </c>
      <c r="D4334" t="s">
        <v>77</v>
      </c>
      <c r="E4334" s="7">
        <v>2350.2800000000002</v>
      </c>
      <c r="F4334" t="s">
        <v>20</v>
      </c>
      <c r="G4334" t="s">
        <v>21</v>
      </c>
      <c r="H4334" t="str">
        <f>"857001379-20"</f>
        <v>857001379-20</v>
      </c>
      <c r="I4334" t="str">
        <f>"CHLORINE"</f>
        <v>CHLORINE</v>
      </c>
    </row>
    <row r="4335" spans="1:9" x14ac:dyDescent="0.25">
      <c r="E4335" s="7"/>
      <c r="F4335" t="s">
        <v>20</v>
      </c>
      <c r="G4335" t="s">
        <v>21</v>
      </c>
      <c r="H4335" t="str">
        <f>"857001380-20"</f>
        <v>857001380-20</v>
      </c>
      <c r="I4335" t="str">
        <f>"CHLORINE"</f>
        <v>CHLORINE</v>
      </c>
    </row>
    <row r="4336" spans="1:9" x14ac:dyDescent="0.25">
      <c r="E4336" s="7"/>
      <c r="F4336" t="s">
        <v>20</v>
      </c>
      <c r="G4336" t="s">
        <v>21</v>
      </c>
      <c r="H4336" t="str">
        <f>"857001411-20"</f>
        <v>857001411-20</v>
      </c>
      <c r="I4336" t="str">
        <f>"CHLORINE"</f>
        <v>CHLORINE</v>
      </c>
    </row>
    <row r="4337" spans="1:9" x14ac:dyDescent="0.25">
      <c r="A4337" s="6">
        <v>44055</v>
      </c>
      <c r="B4337" t="s">
        <v>26</v>
      </c>
      <c r="C4337">
        <v>64683</v>
      </c>
      <c r="D4337" t="s">
        <v>739</v>
      </c>
      <c r="E4337" s="7">
        <v>826.68</v>
      </c>
      <c r="F4337" t="s">
        <v>20</v>
      </c>
      <c r="G4337" t="s">
        <v>21</v>
      </c>
      <c r="H4337" t="str">
        <f>"5286X 07272020"</f>
        <v>5286X 07272020</v>
      </c>
      <c r="I4337" t="str">
        <f>"FIRSTNET/AT&amp;T MOBILITY LLC"</f>
        <v>FIRSTNET/AT&amp;T MOBILITY LLC</v>
      </c>
    </row>
    <row r="4338" spans="1:9" x14ac:dyDescent="0.25">
      <c r="A4338" s="6">
        <v>44055</v>
      </c>
      <c r="B4338" t="s">
        <v>26</v>
      </c>
      <c r="C4338">
        <v>64684</v>
      </c>
      <c r="D4338" t="s">
        <v>194</v>
      </c>
      <c r="E4338" s="7">
        <v>988.8</v>
      </c>
      <c r="F4338" t="s">
        <v>20</v>
      </c>
      <c r="G4338" t="s">
        <v>21</v>
      </c>
      <c r="H4338" t="str">
        <f>"016007790"</f>
        <v>016007790</v>
      </c>
      <c r="I4338" t="str">
        <f>"GALLS LEG IRONS"</f>
        <v>GALLS LEG IRONS</v>
      </c>
    </row>
    <row r="4339" spans="1:9" x14ac:dyDescent="0.25">
      <c r="E4339" s="7"/>
      <c r="F4339" t="s">
        <v>20</v>
      </c>
      <c r="G4339" t="s">
        <v>21</v>
      </c>
      <c r="H4339" t="str">
        <f>"016013522"</f>
        <v>016013522</v>
      </c>
      <c r="I4339" t="str">
        <f>"JESSE EVINS"</f>
        <v>JESSE EVINS</v>
      </c>
    </row>
    <row r="4340" spans="1:9" x14ac:dyDescent="0.25">
      <c r="A4340" s="6">
        <v>44055</v>
      </c>
      <c r="B4340" t="s">
        <v>26</v>
      </c>
      <c r="C4340">
        <v>64685</v>
      </c>
      <c r="D4340" t="s">
        <v>157</v>
      </c>
      <c r="E4340" s="7">
        <v>543.27</v>
      </c>
      <c r="F4340" t="s">
        <v>20</v>
      </c>
      <c r="G4340" t="s">
        <v>21</v>
      </c>
      <c r="H4340" t="str">
        <f>"8/15/2020 EVENT"</f>
        <v>8/15/2020 EVENT</v>
      </c>
      <c r="I4340" t="str">
        <f>"GLAZIERS"</f>
        <v>GLAZIERS</v>
      </c>
    </row>
    <row r="4341" spans="1:9" x14ac:dyDescent="0.25">
      <c r="A4341" s="6">
        <v>44055</v>
      </c>
      <c r="B4341" t="s">
        <v>26</v>
      </c>
      <c r="C4341">
        <v>64686</v>
      </c>
      <c r="D4341" t="s">
        <v>97</v>
      </c>
      <c r="E4341" s="7">
        <v>44716.43</v>
      </c>
      <c r="F4341" t="s">
        <v>20</v>
      </c>
      <c r="G4341" t="s">
        <v>21</v>
      </c>
      <c r="H4341" t="str">
        <f>"8/1-9/1/2020"</f>
        <v>8/1-9/1/2020</v>
      </c>
      <c r="I4341" t="str">
        <f>"HEALTH CARE SERVICE CORPORATIO"</f>
        <v>HEALTH CARE SERVICE CORPORATIO</v>
      </c>
    </row>
    <row r="4342" spans="1:9" x14ac:dyDescent="0.25">
      <c r="E4342" s="7"/>
      <c r="F4342" t="s">
        <v>20</v>
      </c>
      <c r="G4342" t="s">
        <v>21</v>
      </c>
      <c r="H4342" t="str">
        <f>"DEN202007148578"</f>
        <v>DEN202007148578</v>
      </c>
      <c r="I4342" t="str">
        <f>"DENTAL INSURANCE"</f>
        <v>DENTAL INSURANCE</v>
      </c>
    </row>
    <row r="4343" spans="1:9" x14ac:dyDescent="0.25">
      <c r="E4343" s="7"/>
      <c r="F4343" t="s">
        <v>20</v>
      </c>
      <c r="G4343" t="s">
        <v>21</v>
      </c>
      <c r="H4343" t="str">
        <f>"DEN202007288579"</f>
        <v>DEN202007288579</v>
      </c>
      <c r="I4343" t="str">
        <f>"DENTAL INSURANCE"</f>
        <v>DENTAL INSURANCE</v>
      </c>
    </row>
    <row r="4344" spans="1:9" x14ac:dyDescent="0.25">
      <c r="E4344" s="7"/>
      <c r="F4344" t="s">
        <v>20</v>
      </c>
      <c r="G4344" t="s">
        <v>21</v>
      </c>
      <c r="H4344" t="str">
        <f>"MED202007148578"</f>
        <v>MED202007148578</v>
      </c>
      <c r="I4344" t="str">
        <f>"HEALTH &amp; DENTAL INSURANCE"</f>
        <v>HEALTH &amp; DENTAL INSURANCE</v>
      </c>
    </row>
    <row r="4345" spans="1:9" x14ac:dyDescent="0.25">
      <c r="E4345" s="7"/>
      <c r="F4345" t="s">
        <v>20</v>
      </c>
      <c r="G4345" t="s">
        <v>21</v>
      </c>
      <c r="H4345" t="str">
        <f>"MED202007288579"</f>
        <v>MED202007288579</v>
      </c>
      <c r="I4345" t="str">
        <f>"HEALTH &amp; DENTAL INSURANCE"</f>
        <v>HEALTH &amp; DENTAL INSURANCE</v>
      </c>
    </row>
    <row r="4346" spans="1:9" x14ac:dyDescent="0.25">
      <c r="A4346" s="6">
        <v>44055</v>
      </c>
      <c r="B4346" t="s">
        <v>26</v>
      </c>
      <c r="C4346">
        <v>64692</v>
      </c>
      <c r="D4346" t="s">
        <v>957</v>
      </c>
      <c r="E4346" s="7">
        <v>800</v>
      </c>
      <c r="F4346" t="s">
        <v>20</v>
      </c>
      <c r="G4346" t="s">
        <v>21</v>
      </c>
      <c r="H4346" t="str">
        <f>"RFND 7/23-25/2020"</f>
        <v>RFND 7/23-25/2020</v>
      </c>
      <c r="I4346" t="str">
        <f>"REFUND"</f>
        <v>REFUND</v>
      </c>
    </row>
    <row r="4347" spans="1:9" x14ac:dyDescent="0.25">
      <c r="A4347" s="6">
        <v>44055</v>
      </c>
      <c r="B4347" t="s">
        <v>26</v>
      </c>
      <c r="C4347">
        <v>64693</v>
      </c>
      <c r="D4347" t="s">
        <v>95</v>
      </c>
      <c r="E4347" s="7">
        <v>129.91999999999999</v>
      </c>
      <c r="F4347" t="s">
        <v>20</v>
      </c>
      <c r="G4347" t="s">
        <v>21</v>
      </c>
      <c r="H4347" t="str">
        <f>"202006112 JUNE"</f>
        <v>202006112 JUNE</v>
      </c>
      <c r="I4347" t="str">
        <f>"LEGAL PLANS"</f>
        <v>LEGAL PLANS</v>
      </c>
    </row>
    <row r="4348" spans="1:9" x14ac:dyDescent="0.25">
      <c r="E4348" s="7"/>
      <c r="F4348" t="s">
        <v>20</v>
      </c>
      <c r="G4348" t="s">
        <v>21</v>
      </c>
      <c r="H4348" t="str">
        <f>"202007091 JULY 202"</f>
        <v>202007091 JULY 202</v>
      </c>
      <c r="I4348" t="str">
        <f>"LEGAL PLANS"</f>
        <v>LEGAL PLANS</v>
      </c>
    </row>
    <row r="4349" spans="1:9" x14ac:dyDescent="0.25">
      <c r="E4349" s="7"/>
      <c r="F4349" t="s">
        <v>20</v>
      </c>
      <c r="G4349" t="s">
        <v>21</v>
      </c>
      <c r="H4349" t="str">
        <f>"LEA202007288579"</f>
        <v>LEA202007288579</v>
      </c>
      <c r="I4349" t="str">
        <f>"INSURANCE"</f>
        <v>INSURANCE</v>
      </c>
    </row>
    <row r="4350" spans="1:9" x14ac:dyDescent="0.25">
      <c r="A4350" s="6">
        <v>44055</v>
      </c>
      <c r="B4350" t="s">
        <v>26</v>
      </c>
      <c r="C4350">
        <v>64694</v>
      </c>
      <c r="D4350" t="s">
        <v>96</v>
      </c>
      <c r="E4350" s="7">
        <v>292.95</v>
      </c>
      <c r="F4350" t="s">
        <v>20</v>
      </c>
      <c r="G4350" t="s">
        <v>21</v>
      </c>
      <c r="H4350" t="str">
        <f>"0106303 JULY 2020"</f>
        <v>0106303 JULY 2020</v>
      </c>
      <c r="I4350" t="str">
        <f>"LEGALSHIELD"</f>
        <v>LEGALSHIELD</v>
      </c>
    </row>
    <row r="4351" spans="1:9" x14ac:dyDescent="0.25">
      <c r="E4351" s="7"/>
      <c r="F4351" t="s">
        <v>20</v>
      </c>
      <c r="G4351" t="s">
        <v>21</v>
      </c>
      <c r="H4351" t="str">
        <f>"PPL202007288579"</f>
        <v>PPL202007288579</v>
      </c>
      <c r="I4351" t="str">
        <f>"INSURANCE"</f>
        <v>INSURANCE</v>
      </c>
    </row>
    <row r="4352" spans="1:9" x14ac:dyDescent="0.25">
      <c r="A4352" s="6">
        <v>44055</v>
      </c>
      <c r="B4352" t="s">
        <v>26</v>
      </c>
      <c r="C4352">
        <v>64695</v>
      </c>
      <c r="D4352" t="s">
        <v>958</v>
      </c>
      <c r="E4352" s="7">
        <v>250</v>
      </c>
      <c r="F4352" t="s">
        <v>20</v>
      </c>
      <c r="G4352" t="s">
        <v>21</v>
      </c>
      <c r="H4352" t="str">
        <f>"RFND 2/2/20 COVID"</f>
        <v>RFND 2/2/20 COVID</v>
      </c>
      <c r="I4352" t="str">
        <f>"REFUND"</f>
        <v>REFUND</v>
      </c>
    </row>
    <row r="4353" spans="1:9" x14ac:dyDescent="0.25">
      <c r="A4353" s="6">
        <v>44055</v>
      </c>
      <c r="B4353" t="s">
        <v>26</v>
      </c>
      <c r="C4353">
        <v>64696</v>
      </c>
      <c r="D4353" t="s">
        <v>345</v>
      </c>
      <c r="E4353" s="7">
        <v>330</v>
      </c>
      <c r="F4353" t="s">
        <v>20</v>
      </c>
      <c r="G4353" t="s">
        <v>21</v>
      </c>
      <c r="H4353" t="str">
        <f>"8/10/2020"</f>
        <v>8/10/2020</v>
      </c>
      <c r="I4353" t="str">
        <f>"MICHAEL ISAAC MARTINEZ"</f>
        <v>MICHAEL ISAAC MARTINEZ</v>
      </c>
    </row>
    <row r="4354" spans="1:9" x14ac:dyDescent="0.25">
      <c r="A4354" s="6">
        <v>44055</v>
      </c>
      <c r="B4354" t="s">
        <v>26</v>
      </c>
      <c r="C4354">
        <v>64697</v>
      </c>
      <c r="D4354" t="s">
        <v>240</v>
      </c>
      <c r="E4354" s="7">
        <v>1142.73</v>
      </c>
      <c r="F4354" t="s">
        <v>20</v>
      </c>
      <c r="G4354" t="s">
        <v>21</v>
      </c>
      <c r="H4354" t="str">
        <f>"0192829-IN"</f>
        <v>0192829-IN</v>
      </c>
      <c r="I4354" t="str">
        <f>"PERRY HYDEN"</f>
        <v>PERRY HYDEN</v>
      </c>
    </row>
    <row r="4355" spans="1:9" x14ac:dyDescent="0.25">
      <c r="E4355" s="7"/>
      <c r="F4355" t="s">
        <v>20</v>
      </c>
      <c r="G4355" t="s">
        <v>21</v>
      </c>
      <c r="H4355" t="str">
        <f>"0193449-IN"</f>
        <v>0193449-IN</v>
      </c>
      <c r="I4355" t="str">
        <f>"ISAIAH BARRIENTEZ"</f>
        <v>ISAIAH BARRIENTEZ</v>
      </c>
    </row>
    <row r="4356" spans="1:9" x14ac:dyDescent="0.25">
      <c r="A4356" s="6">
        <v>44055</v>
      </c>
      <c r="B4356" t="s">
        <v>26</v>
      </c>
      <c r="C4356">
        <v>64698</v>
      </c>
      <c r="D4356" t="s">
        <v>54</v>
      </c>
      <c r="E4356" s="7">
        <v>865.92</v>
      </c>
      <c r="F4356" t="s">
        <v>20</v>
      </c>
      <c r="G4356" t="s">
        <v>21</v>
      </c>
      <c r="H4356" t="str">
        <f>"PE 7/25/2020"</f>
        <v>PE 7/25/2020</v>
      </c>
      <c r="I4356" t="str">
        <f>"NATIONWIDE TRUST COMPANY  FSB"</f>
        <v>NATIONWIDE TRUST COMPANY  FSB</v>
      </c>
    </row>
    <row r="4357" spans="1:9" x14ac:dyDescent="0.25">
      <c r="E4357" s="7"/>
      <c r="F4357" t="s">
        <v>20</v>
      </c>
      <c r="G4357" t="s">
        <v>21</v>
      </c>
      <c r="H4357" t="str">
        <f>"PE 7/5/2020"</f>
        <v>PE 7/5/2020</v>
      </c>
      <c r="I4357" t="str">
        <f>"NATIONWIDE TRUST COMPANY  FSB"</f>
        <v>NATIONWIDE TRUST COMPANY  FSB</v>
      </c>
    </row>
    <row r="4358" spans="1:9" x14ac:dyDescent="0.25">
      <c r="A4358" s="6">
        <v>44055</v>
      </c>
      <c r="B4358" t="s">
        <v>26</v>
      </c>
      <c r="C4358">
        <v>64699</v>
      </c>
      <c r="D4358" t="s">
        <v>106</v>
      </c>
      <c r="E4358" s="7">
        <v>258</v>
      </c>
      <c r="F4358" t="s">
        <v>20</v>
      </c>
      <c r="G4358" t="s">
        <v>21</v>
      </c>
      <c r="H4358" t="str">
        <f>"1ST QRT 2020"</f>
        <v>1ST QRT 2020</v>
      </c>
      <c r="I4358" t="str">
        <f>"OMNIBASE SERVICES OF TEXAS"</f>
        <v>OMNIBASE SERVICES OF TEXAS</v>
      </c>
    </row>
    <row r="4359" spans="1:9" x14ac:dyDescent="0.25">
      <c r="E4359" s="7"/>
      <c r="F4359" t="s">
        <v>20</v>
      </c>
      <c r="G4359" t="s">
        <v>21</v>
      </c>
      <c r="H4359" t="str">
        <f>"2ND QRT 2020"</f>
        <v>2ND QRT 2020</v>
      </c>
      <c r="I4359" t="str">
        <f>"OMNIBASE SERVICES OF TEXAS"</f>
        <v>OMNIBASE SERVICES OF TEXAS</v>
      </c>
    </row>
    <row r="4360" spans="1:9" x14ac:dyDescent="0.25">
      <c r="A4360" s="6">
        <v>44055</v>
      </c>
      <c r="B4360" t="s">
        <v>26</v>
      </c>
      <c r="C4360">
        <v>64700</v>
      </c>
      <c r="D4360" t="s">
        <v>137</v>
      </c>
      <c r="E4360" s="7">
        <v>121.9</v>
      </c>
      <c r="F4360" t="s">
        <v>20</v>
      </c>
      <c r="G4360" t="s">
        <v>21</v>
      </c>
      <c r="H4360" t="str">
        <f>"14217"</f>
        <v>14217</v>
      </c>
      <c r="I4360" t="str">
        <f>"OMNIBUS-M  INC.D.B.A."</f>
        <v>OMNIBUS-M  INC.D.B.A.</v>
      </c>
    </row>
    <row r="4361" spans="1:9" x14ac:dyDescent="0.25">
      <c r="E4361" s="7"/>
      <c r="F4361" t="s">
        <v>20</v>
      </c>
      <c r="G4361" t="s">
        <v>21</v>
      </c>
      <c r="H4361" t="str">
        <f>"14218"</f>
        <v>14218</v>
      </c>
      <c r="I4361" t="str">
        <f>"OMNIBUS-M  INC.D.B.A."</f>
        <v>OMNIBUS-M  INC.D.B.A.</v>
      </c>
    </row>
    <row r="4362" spans="1:9" x14ac:dyDescent="0.25">
      <c r="A4362" s="6">
        <v>44055</v>
      </c>
      <c r="B4362" t="s">
        <v>26</v>
      </c>
      <c r="C4362">
        <v>64701</v>
      </c>
      <c r="D4362" t="s">
        <v>48</v>
      </c>
      <c r="E4362" s="7">
        <v>5054.5200000000004</v>
      </c>
      <c r="F4362" t="s">
        <v>20</v>
      </c>
      <c r="G4362" t="s">
        <v>21</v>
      </c>
      <c r="H4362" t="str">
        <f>"1827"</f>
        <v>1827</v>
      </c>
      <c r="I4362" t="str">
        <f>"RANDY HOLLAR  LLC"</f>
        <v>RANDY HOLLAR  LLC</v>
      </c>
    </row>
    <row r="4363" spans="1:9" x14ac:dyDescent="0.25">
      <c r="A4363" s="6">
        <v>44055</v>
      </c>
      <c r="B4363" t="s">
        <v>26</v>
      </c>
      <c r="C4363">
        <v>64702</v>
      </c>
      <c r="D4363" t="s">
        <v>126</v>
      </c>
      <c r="E4363" s="7">
        <v>96168.44</v>
      </c>
      <c r="F4363" t="s">
        <v>20</v>
      </c>
      <c r="G4363" t="s">
        <v>21</v>
      </c>
      <c r="H4363" t="str">
        <f>"0859-002611912"</f>
        <v>0859-002611912</v>
      </c>
      <c r="I4363" t="str">
        <f>"REPUBLIC SERVICES #859"</f>
        <v>REPUBLIC SERVICES #859</v>
      </c>
    </row>
    <row r="4364" spans="1:9" x14ac:dyDescent="0.25">
      <c r="E4364" s="7"/>
      <c r="F4364" t="s">
        <v>20</v>
      </c>
      <c r="G4364" t="s">
        <v>21</v>
      </c>
      <c r="H4364" t="str">
        <f>"0859-002617827"</f>
        <v>0859-002617827</v>
      </c>
      <c r="I4364" t="str">
        <f>"REPUBLIC SERVICES #859"</f>
        <v>REPUBLIC SERVICES #859</v>
      </c>
    </row>
    <row r="4365" spans="1:9" x14ac:dyDescent="0.25">
      <c r="A4365" s="6">
        <v>44055</v>
      </c>
      <c r="B4365" t="s">
        <v>26</v>
      </c>
      <c r="C4365">
        <v>64703</v>
      </c>
      <c r="D4365" t="s">
        <v>92</v>
      </c>
      <c r="E4365" s="7">
        <v>54838.87</v>
      </c>
      <c r="F4365" t="s">
        <v>20</v>
      </c>
      <c r="G4365" t="s">
        <v>21</v>
      </c>
      <c r="H4365" t="str">
        <f>"JULY 2020"</f>
        <v>JULY 2020</v>
      </c>
      <c r="I4365" t="str">
        <f>"TEXAS MUNICIPAL RETIREMENT SYS"</f>
        <v>TEXAS MUNICIPAL RETIREMENT SYS</v>
      </c>
    </row>
    <row r="4366" spans="1:9" x14ac:dyDescent="0.25">
      <c r="E4366" s="7"/>
      <c r="F4366" t="s">
        <v>20</v>
      </c>
      <c r="G4366" t="s">
        <v>21</v>
      </c>
      <c r="H4366" t="str">
        <f>"JULY 2020*"</f>
        <v>JULY 2020*</v>
      </c>
      <c r="I4366" t="str">
        <f>"TEXAS MUNICIPAL RETIREMENT SYS"</f>
        <v>TEXAS MUNICIPAL RETIREMENT SYS</v>
      </c>
    </row>
    <row r="4367" spans="1:9" x14ac:dyDescent="0.25">
      <c r="A4367" s="6">
        <v>44055</v>
      </c>
      <c r="B4367" t="s">
        <v>26</v>
      </c>
      <c r="C4367">
        <v>64705</v>
      </c>
      <c r="D4367" t="s">
        <v>698</v>
      </c>
      <c r="E4367" s="7">
        <v>90</v>
      </c>
      <c r="F4367" t="s">
        <v>20</v>
      </c>
      <c r="G4367" t="s">
        <v>21</v>
      </c>
      <c r="H4367" t="str">
        <f>"8/8/2020"</f>
        <v>8/8/2020</v>
      </c>
      <c r="I4367" t="str">
        <f>"TRACY ORTIZ"</f>
        <v>TRACY ORTIZ</v>
      </c>
    </row>
    <row r="4368" spans="1:9" x14ac:dyDescent="0.25">
      <c r="A4368" s="6">
        <v>44055</v>
      </c>
      <c r="B4368" t="s">
        <v>26</v>
      </c>
      <c r="C4368">
        <v>64706</v>
      </c>
      <c r="D4368" t="s">
        <v>644</v>
      </c>
      <c r="E4368" s="7">
        <v>232.09</v>
      </c>
      <c r="F4368" t="s">
        <v>20</v>
      </c>
      <c r="G4368" t="s">
        <v>21</v>
      </c>
      <c r="H4368" t="str">
        <f>"8213480785"</f>
        <v>8213480785</v>
      </c>
      <c r="I4368" t="str">
        <f>"UNIFIRST CORPORATION"</f>
        <v>UNIFIRST CORPORATION</v>
      </c>
    </row>
    <row r="4369" spans="1:9" x14ac:dyDescent="0.25">
      <c r="A4369" s="6">
        <v>44055</v>
      </c>
      <c r="B4369" t="s">
        <v>26</v>
      </c>
      <c r="C4369">
        <v>64707</v>
      </c>
      <c r="D4369" t="s">
        <v>203</v>
      </c>
      <c r="E4369" s="7">
        <v>2842.41</v>
      </c>
      <c r="F4369" t="s">
        <v>20</v>
      </c>
      <c r="G4369" t="s">
        <v>21</v>
      </c>
      <c r="H4369" t="str">
        <f>"296121"</f>
        <v>296121</v>
      </c>
      <c r="I4369" t="str">
        <f>"COVID-19 SUPPLIES"</f>
        <v>COVID-19 SUPPLIES</v>
      </c>
    </row>
    <row r="4370" spans="1:9" x14ac:dyDescent="0.25">
      <c r="E4370" s="7"/>
      <c r="F4370" t="s">
        <v>20</v>
      </c>
      <c r="G4370" t="s">
        <v>21</v>
      </c>
      <c r="H4370" t="str">
        <f>"296287"</f>
        <v>296287</v>
      </c>
      <c r="I4370" t="str">
        <f>"PH POCKET TESTER"</f>
        <v>PH POCKET TESTER</v>
      </c>
    </row>
    <row r="4371" spans="1:9" x14ac:dyDescent="0.25">
      <c r="A4371" s="6">
        <v>44056</v>
      </c>
      <c r="B4371" t="s">
        <v>26</v>
      </c>
      <c r="C4371">
        <v>64708</v>
      </c>
      <c r="D4371" t="s">
        <v>98</v>
      </c>
      <c r="E4371" s="7">
        <v>464.53</v>
      </c>
      <c r="F4371" t="s">
        <v>20</v>
      </c>
      <c r="G4371" t="s">
        <v>21</v>
      </c>
      <c r="H4371" t="str">
        <f>"AUGUST 2020"</f>
        <v>AUGUST 2020</v>
      </c>
      <c r="I4371" t="str">
        <f>"DEARBORN LIFE INSURANCE COMPAN"</f>
        <v>DEARBORN LIFE INSURANCE COMPAN</v>
      </c>
    </row>
    <row r="4372" spans="1:9" x14ac:dyDescent="0.25">
      <c r="A4372" s="6">
        <v>44056</v>
      </c>
      <c r="B4372" t="s">
        <v>26</v>
      </c>
      <c r="C4372">
        <v>64709</v>
      </c>
      <c r="D4372" t="s">
        <v>959</v>
      </c>
      <c r="E4372" s="7">
        <v>820</v>
      </c>
      <c r="F4372" t="s">
        <v>20</v>
      </c>
      <c r="G4372" t="s">
        <v>21</v>
      </c>
      <c r="H4372" t="str">
        <f>"001"</f>
        <v>001</v>
      </c>
      <c r="I4372" t="str">
        <f>"CHALLENGER PUMP"</f>
        <v>CHALLENGER PUMP</v>
      </c>
    </row>
    <row r="4373" spans="1:9" x14ac:dyDescent="0.25">
      <c r="A4373" s="6">
        <v>44056</v>
      </c>
      <c r="B4373" t="s">
        <v>26</v>
      </c>
      <c r="C4373">
        <v>64710</v>
      </c>
      <c r="D4373" t="s">
        <v>205</v>
      </c>
      <c r="E4373" s="7">
        <v>481.85</v>
      </c>
      <c r="F4373" t="s">
        <v>20</v>
      </c>
      <c r="G4373" t="s">
        <v>21</v>
      </c>
      <c r="H4373" t="str">
        <f>"8/15/2020 EVENT"</f>
        <v>8/15/2020 EVENT</v>
      </c>
      <c r="I4373" t="str">
        <f>"SILVER EAGLE DISTRIBUTORS"</f>
        <v>SILVER EAGLE DISTRIBUTORS</v>
      </c>
    </row>
    <row r="4374" spans="1:9" x14ac:dyDescent="0.25">
      <c r="A4374" s="6">
        <v>44057</v>
      </c>
      <c r="B4374" t="s">
        <v>26</v>
      </c>
      <c r="C4374">
        <v>64713</v>
      </c>
      <c r="D4374" t="s">
        <v>168</v>
      </c>
      <c r="E4374" s="7">
        <v>2069</v>
      </c>
      <c r="F4374" t="s">
        <v>20</v>
      </c>
      <c r="G4374" t="s">
        <v>21</v>
      </c>
      <c r="H4374" t="str">
        <f>"LI-7118 REISSUE"</f>
        <v>LI-7118 REISSUE</v>
      </c>
      <c r="I4374" t="str">
        <f>"BEXAR COUNTY AUDITOR/ATTN:CRIM"</f>
        <v>BEXAR COUNTY AUDITOR/ATTN:CRIM</v>
      </c>
    </row>
    <row r="4375" spans="1:9" x14ac:dyDescent="0.25">
      <c r="E4375" s="7"/>
      <c r="F4375" t="s">
        <v>20</v>
      </c>
      <c r="G4375" t="s">
        <v>21</v>
      </c>
      <c r="H4375" t="str">
        <f>"LI-7118/7119 FEE"</f>
        <v>LI-7118/7119 FEE</v>
      </c>
      <c r="I4375" t="str">
        <f>"BEXAR COUNTY AUDITOR/ATTN:CRIM"</f>
        <v>BEXAR COUNTY AUDITOR/ATTN:CRIM</v>
      </c>
    </row>
    <row r="4376" spans="1:9" x14ac:dyDescent="0.25">
      <c r="E4376" s="7"/>
      <c r="F4376" t="s">
        <v>20</v>
      </c>
      <c r="G4376" t="s">
        <v>21</v>
      </c>
      <c r="H4376" t="str">
        <f>"LI-7119 REISSUE"</f>
        <v>LI-7119 REISSUE</v>
      </c>
      <c r="I4376" t="str">
        <f>"BEXAR COUNTY AUDITOR/ATTN:CRIM"</f>
        <v>BEXAR COUNTY AUDITOR/ATTN:CRIM</v>
      </c>
    </row>
    <row r="4377" spans="1:9" x14ac:dyDescent="0.25">
      <c r="A4377" s="6">
        <v>44057</v>
      </c>
      <c r="B4377" t="s">
        <v>26</v>
      </c>
      <c r="C4377">
        <v>64714</v>
      </c>
      <c r="D4377" t="s">
        <v>149</v>
      </c>
      <c r="E4377" s="7">
        <v>972.16</v>
      </c>
      <c r="F4377" t="s">
        <v>20</v>
      </c>
      <c r="G4377" t="s">
        <v>21</v>
      </c>
      <c r="H4377" t="str">
        <f>"0000180006"</f>
        <v>0000180006</v>
      </c>
      <c r="I4377" t="str">
        <f>"SEWER EQUIPMENT CO. OF AMERICA"</f>
        <v>SEWER EQUIPMENT CO. OF AMERICA</v>
      </c>
    </row>
    <row r="4378" spans="1:9" x14ac:dyDescent="0.25">
      <c r="A4378" s="6">
        <v>44063</v>
      </c>
      <c r="B4378" t="s">
        <v>26</v>
      </c>
      <c r="C4378">
        <v>64715</v>
      </c>
      <c r="D4378" t="s">
        <v>584</v>
      </c>
      <c r="E4378" s="7">
        <v>80</v>
      </c>
      <c r="F4378" t="s">
        <v>20</v>
      </c>
      <c r="G4378" t="s">
        <v>21</v>
      </c>
      <c r="H4378" t="str">
        <f>"8/15/2020"</f>
        <v>8/15/2020</v>
      </c>
      <c r="I4378" t="str">
        <f>"AMANDA SENDEJO"</f>
        <v>AMANDA SENDEJO</v>
      </c>
    </row>
    <row r="4379" spans="1:9" x14ac:dyDescent="0.25">
      <c r="A4379" s="6">
        <v>44063</v>
      </c>
      <c r="B4379" t="s">
        <v>26</v>
      </c>
      <c r="C4379">
        <v>64716</v>
      </c>
      <c r="D4379" t="s">
        <v>139</v>
      </c>
      <c r="E4379" s="7">
        <v>65</v>
      </c>
      <c r="F4379" t="s">
        <v>20</v>
      </c>
      <c r="G4379" t="s">
        <v>21</v>
      </c>
      <c r="H4379" t="str">
        <f>"29979"</f>
        <v>29979</v>
      </c>
      <c r="I4379" t="str">
        <f>"ANGEL FIRE &amp; SAFETY"</f>
        <v>ANGEL FIRE &amp; SAFETY</v>
      </c>
    </row>
    <row r="4380" spans="1:9" x14ac:dyDescent="0.25">
      <c r="A4380" s="6">
        <v>44063</v>
      </c>
      <c r="B4380" t="s">
        <v>26</v>
      </c>
      <c r="C4380">
        <v>64717</v>
      </c>
      <c r="D4380" t="s">
        <v>696</v>
      </c>
      <c r="E4380" s="7">
        <v>70</v>
      </c>
      <c r="F4380" t="s">
        <v>20</v>
      </c>
      <c r="G4380" t="s">
        <v>21</v>
      </c>
      <c r="H4380" t="str">
        <f>"8/15/2020"</f>
        <v>8/15/2020</v>
      </c>
      <c r="I4380" t="str">
        <f>"ANGEL G. ROSAS"</f>
        <v>ANGEL G. ROSAS</v>
      </c>
    </row>
    <row r="4381" spans="1:9" x14ac:dyDescent="0.25">
      <c r="A4381" s="6">
        <v>44063</v>
      </c>
      <c r="B4381" t="s">
        <v>26</v>
      </c>
      <c r="C4381">
        <v>64718</v>
      </c>
      <c r="D4381" t="s">
        <v>195</v>
      </c>
      <c r="E4381" s="7">
        <v>1801.03</v>
      </c>
      <c r="F4381" t="s">
        <v>20</v>
      </c>
      <c r="G4381" t="s">
        <v>21</v>
      </c>
      <c r="H4381" t="str">
        <f>"1565202008"</f>
        <v>1565202008</v>
      </c>
      <c r="I4381" t="str">
        <f>"ARISTA INFORMATION SYSTEMS  IN"</f>
        <v>ARISTA INFORMATION SYSTEMS  IN</v>
      </c>
    </row>
    <row r="4382" spans="1:9" x14ac:dyDescent="0.25">
      <c r="A4382" s="6">
        <v>44063</v>
      </c>
      <c r="B4382" t="s">
        <v>26</v>
      </c>
      <c r="C4382">
        <v>64719</v>
      </c>
      <c r="D4382" t="s">
        <v>821</v>
      </c>
      <c r="E4382" s="7">
        <v>472.5</v>
      </c>
      <c r="F4382" t="s">
        <v>20</v>
      </c>
      <c r="G4382" t="s">
        <v>21</v>
      </c>
      <c r="H4382" t="str">
        <f>"FRI8122"</f>
        <v>FRI8122</v>
      </c>
      <c r="I4382" t="str">
        <f>"WORK AT RIVERBEND LIFT"</f>
        <v>WORK AT RIVERBEND LIFT</v>
      </c>
    </row>
    <row r="4383" spans="1:9" x14ac:dyDescent="0.25">
      <c r="A4383" s="6">
        <v>44063</v>
      </c>
      <c r="B4383" t="s">
        <v>26</v>
      </c>
      <c r="C4383">
        <v>64720</v>
      </c>
      <c r="D4383" t="s">
        <v>313</v>
      </c>
      <c r="E4383" s="7">
        <v>439487.96</v>
      </c>
      <c r="F4383" t="s">
        <v>20</v>
      </c>
      <c r="G4383" t="s">
        <v>21</v>
      </c>
      <c r="H4383" t="str">
        <f>"9943009530001 9/20"</f>
        <v>9943009530001 9/20</v>
      </c>
      <c r="I4383" t="s">
        <v>498</v>
      </c>
    </row>
    <row r="4384" spans="1:9" x14ac:dyDescent="0.25">
      <c r="E4384" s="7"/>
      <c r="F4384" t="s">
        <v>20</v>
      </c>
      <c r="G4384" t="s">
        <v>21</v>
      </c>
      <c r="H4384" t="str">
        <f>"EC BLDG TX BND2017"</f>
        <v>EC BLDG TX BND2017</v>
      </c>
      <c r="I4384" t="str">
        <f>"BB &amp; T GOVERNMENTAL FINANCE"</f>
        <v>BB &amp; T GOVERNMENTAL FINANCE</v>
      </c>
    </row>
    <row r="4385" spans="1:9" x14ac:dyDescent="0.25">
      <c r="A4385" s="6">
        <v>44063</v>
      </c>
      <c r="B4385" t="s">
        <v>26</v>
      </c>
      <c r="C4385">
        <v>64721</v>
      </c>
      <c r="D4385" t="s">
        <v>118</v>
      </c>
      <c r="E4385" s="7">
        <v>357.5</v>
      </c>
      <c r="F4385" t="s">
        <v>20</v>
      </c>
      <c r="G4385" t="s">
        <v>21</v>
      </c>
      <c r="H4385" t="str">
        <f>"11940"</f>
        <v>11940</v>
      </c>
      <c r="I4385" t="str">
        <f>"BRYAN AIR CONDITIONING &amp; HEATI"</f>
        <v>BRYAN AIR CONDITIONING &amp; HEATI</v>
      </c>
    </row>
    <row r="4386" spans="1:9" x14ac:dyDescent="0.25">
      <c r="A4386" s="6">
        <v>44063</v>
      </c>
      <c r="B4386" t="s">
        <v>26</v>
      </c>
      <c r="C4386">
        <v>64722</v>
      </c>
      <c r="D4386" t="s">
        <v>102</v>
      </c>
      <c r="E4386" s="7">
        <v>103.72</v>
      </c>
      <c r="F4386" t="s">
        <v>20</v>
      </c>
      <c r="G4386" t="s">
        <v>21</v>
      </c>
      <c r="H4386" t="str">
        <f>"1120 D ST. 8/2020"</f>
        <v>1120 D ST. 8/2020</v>
      </c>
      <c r="I4386" t="str">
        <f>"CENTERPOINT ENERGY ENTEX"</f>
        <v>CENTERPOINT ENERGY ENTEX</v>
      </c>
    </row>
    <row r="4387" spans="1:9" x14ac:dyDescent="0.25">
      <c r="E4387" s="7"/>
      <c r="F4387" t="s">
        <v>20</v>
      </c>
      <c r="G4387" t="s">
        <v>21</v>
      </c>
      <c r="H4387" t="str">
        <f>"1200 1ST 8/2020"</f>
        <v>1200 1ST 8/2020</v>
      </c>
      <c r="I4387" t="str">
        <f>"CENTERPOINT ENERGY ENTEX"</f>
        <v>CENTERPOINT ENERGY ENTEX</v>
      </c>
    </row>
    <row r="4388" spans="1:9" x14ac:dyDescent="0.25">
      <c r="E4388" s="7"/>
      <c r="F4388" t="s">
        <v>20</v>
      </c>
      <c r="G4388" t="s">
        <v>21</v>
      </c>
      <c r="H4388" t="str">
        <f>"920 C. ST 8/2020"</f>
        <v>920 C. ST 8/2020</v>
      </c>
      <c r="I4388" t="str">
        <f>"CENTERPOINT ENERGY ENTEX"</f>
        <v>CENTERPOINT ENERGY ENTEX</v>
      </c>
    </row>
    <row r="4389" spans="1:9" x14ac:dyDescent="0.25">
      <c r="A4389" s="6">
        <v>44063</v>
      </c>
      <c r="B4389" t="s">
        <v>26</v>
      </c>
      <c r="C4389">
        <v>64723</v>
      </c>
      <c r="D4389" t="s">
        <v>63</v>
      </c>
      <c r="E4389" s="7">
        <v>4230.3599999999997</v>
      </c>
      <c r="F4389" t="s">
        <v>20</v>
      </c>
      <c r="G4389" t="s">
        <v>21</v>
      </c>
      <c r="H4389" t="str">
        <f>"8404730070"</f>
        <v>8404730070</v>
      </c>
      <c r="I4389" t="str">
        <f>"CINTAS CORPORATION"</f>
        <v>CINTAS CORPORATION</v>
      </c>
    </row>
    <row r="4390" spans="1:9" x14ac:dyDescent="0.25">
      <c r="E4390" s="7"/>
      <c r="F4390" t="s">
        <v>20</v>
      </c>
      <c r="G4390" t="s">
        <v>21</v>
      </c>
      <c r="H4390" t="str">
        <f>"8404746813"</f>
        <v>8404746813</v>
      </c>
      <c r="I4390" t="str">
        <f>"CINTAS CORPORATION"</f>
        <v>CINTAS CORPORATION</v>
      </c>
    </row>
    <row r="4391" spans="1:9" x14ac:dyDescent="0.25">
      <c r="E4391" s="7"/>
      <c r="F4391" t="s">
        <v>20</v>
      </c>
      <c r="G4391" t="s">
        <v>21</v>
      </c>
      <c r="H4391" t="str">
        <f>"8404760988"</f>
        <v>8404760988</v>
      </c>
      <c r="I4391" t="str">
        <f>"CINTAS CORPORATION"</f>
        <v>CINTAS CORPORATION</v>
      </c>
    </row>
    <row r="4392" spans="1:9" x14ac:dyDescent="0.25">
      <c r="A4392" s="6">
        <v>44063</v>
      </c>
      <c r="B4392" t="s">
        <v>26</v>
      </c>
      <c r="C4392">
        <v>64724</v>
      </c>
      <c r="D4392" t="s">
        <v>71</v>
      </c>
      <c r="E4392" s="7">
        <v>3926.18</v>
      </c>
      <c r="F4392" t="s">
        <v>20</v>
      </c>
      <c r="G4392" t="s">
        <v>21</v>
      </c>
      <c r="H4392" t="str">
        <f>"1901411697"</f>
        <v>1901411697</v>
      </c>
      <c r="I4392" t="str">
        <f t="shared" ref="I4392:I4419" si="93">"CINTAS CORPORATION #087"</f>
        <v>CINTAS CORPORATION #087</v>
      </c>
    </row>
    <row r="4393" spans="1:9" x14ac:dyDescent="0.25">
      <c r="E4393" s="7"/>
      <c r="F4393" t="s">
        <v>20</v>
      </c>
      <c r="G4393" t="s">
        <v>21</v>
      </c>
      <c r="H4393" t="str">
        <f>"1901493817"</f>
        <v>1901493817</v>
      </c>
      <c r="I4393" t="str">
        <f t="shared" si="93"/>
        <v>CINTAS CORPORATION #087</v>
      </c>
    </row>
    <row r="4394" spans="1:9" x14ac:dyDescent="0.25">
      <c r="E4394" s="7"/>
      <c r="F4394" t="s">
        <v>20</v>
      </c>
      <c r="G4394" t="s">
        <v>21</v>
      </c>
      <c r="H4394" t="str">
        <f>"4050678712"</f>
        <v>4050678712</v>
      </c>
      <c r="I4394" t="str">
        <f t="shared" si="93"/>
        <v>CINTAS CORPORATION #087</v>
      </c>
    </row>
    <row r="4395" spans="1:9" x14ac:dyDescent="0.25">
      <c r="E4395" s="7"/>
      <c r="F4395" t="s">
        <v>20</v>
      </c>
      <c r="G4395" t="s">
        <v>21</v>
      </c>
      <c r="H4395" t="str">
        <f>"4053127938"</f>
        <v>4053127938</v>
      </c>
      <c r="I4395" t="str">
        <f t="shared" si="93"/>
        <v>CINTAS CORPORATION #087</v>
      </c>
    </row>
    <row r="4396" spans="1:9" x14ac:dyDescent="0.25">
      <c r="E4396" s="7"/>
      <c r="F4396" t="s">
        <v>20</v>
      </c>
      <c r="G4396" t="s">
        <v>21</v>
      </c>
      <c r="H4396" t="str">
        <f>"4054990571"</f>
        <v>4054990571</v>
      </c>
      <c r="I4396" t="str">
        <f t="shared" si="93"/>
        <v>CINTAS CORPORATION #087</v>
      </c>
    </row>
    <row r="4397" spans="1:9" x14ac:dyDescent="0.25">
      <c r="E4397" s="7"/>
      <c r="F4397" t="s">
        <v>20</v>
      </c>
      <c r="G4397" t="s">
        <v>21</v>
      </c>
      <c r="H4397" t="str">
        <f>"4056273836"</f>
        <v>4056273836</v>
      </c>
      <c r="I4397" t="str">
        <f t="shared" si="93"/>
        <v>CINTAS CORPORATION #087</v>
      </c>
    </row>
    <row r="4398" spans="1:9" x14ac:dyDescent="0.25">
      <c r="E4398" s="7"/>
      <c r="F4398" t="s">
        <v>20</v>
      </c>
      <c r="G4398" t="s">
        <v>21</v>
      </c>
      <c r="H4398" t="str">
        <f>"4056273858"</f>
        <v>4056273858</v>
      </c>
      <c r="I4398" t="str">
        <f t="shared" si="93"/>
        <v>CINTAS CORPORATION #087</v>
      </c>
    </row>
    <row r="4399" spans="1:9" x14ac:dyDescent="0.25">
      <c r="E4399" s="7"/>
      <c r="F4399" t="s">
        <v>20</v>
      </c>
      <c r="G4399" t="s">
        <v>21</v>
      </c>
      <c r="H4399" t="str">
        <f>"4056273871"</f>
        <v>4056273871</v>
      </c>
      <c r="I4399" t="str">
        <f t="shared" si="93"/>
        <v>CINTAS CORPORATION #087</v>
      </c>
    </row>
    <row r="4400" spans="1:9" x14ac:dyDescent="0.25">
      <c r="E4400" s="7"/>
      <c r="F4400" t="s">
        <v>20</v>
      </c>
      <c r="G4400" t="s">
        <v>21</v>
      </c>
      <c r="H4400" t="str">
        <f>"4056273921"</f>
        <v>4056273921</v>
      </c>
      <c r="I4400" t="str">
        <f t="shared" si="93"/>
        <v>CINTAS CORPORATION #087</v>
      </c>
    </row>
    <row r="4401" spans="5:9" x14ac:dyDescent="0.25">
      <c r="E4401" s="7"/>
      <c r="F4401" t="s">
        <v>20</v>
      </c>
      <c r="G4401" t="s">
        <v>21</v>
      </c>
      <c r="H4401" t="str">
        <f>"4056273933"</f>
        <v>4056273933</v>
      </c>
      <c r="I4401" t="str">
        <f t="shared" si="93"/>
        <v>CINTAS CORPORATION #087</v>
      </c>
    </row>
    <row r="4402" spans="5:9" x14ac:dyDescent="0.25">
      <c r="E4402" s="7"/>
      <c r="F4402" t="s">
        <v>20</v>
      </c>
      <c r="G4402" t="s">
        <v>21</v>
      </c>
      <c r="H4402" t="str">
        <f>"4056273942"</f>
        <v>4056273942</v>
      </c>
      <c r="I4402" t="str">
        <f t="shared" si="93"/>
        <v>CINTAS CORPORATION #087</v>
      </c>
    </row>
    <row r="4403" spans="5:9" x14ac:dyDescent="0.25">
      <c r="E4403" s="7"/>
      <c r="F4403" t="s">
        <v>20</v>
      </c>
      <c r="G4403" t="s">
        <v>21</v>
      </c>
      <c r="H4403" t="str">
        <f>"4056909229"</f>
        <v>4056909229</v>
      </c>
      <c r="I4403" t="str">
        <f t="shared" si="93"/>
        <v>CINTAS CORPORATION #087</v>
      </c>
    </row>
    <row r="4404" spans="5:9" x14ac:dyDescent="0.25">
      <c r="E4404" s="7"/>
      <c r="F4404" t="s">
        <v>20</v>
      </c>
      <c r="G4404" t="s">
        <v>21</v>
      </c>
      <c r="H4404" t="str">
        <f>"4056909251"</f>
        <v>4056909251</v>
      </c>
      <c r="I4404" t="str">
        <f t="shared" si="93"/>
        <v>CINTAS CORPORATION #087</v>
      </c>
    </row>
    <row r="4405" spans="5:9" x14ac:dyDescent="0.25">
      <c r="E4405" s="7"/>
      <c r="F4405" t="s">
        <v>20</v>
      </c>
      <c r="G4405" t="s">
        <v>21</v>
      </c>
      <c r="H4405" t="str">
        <f>"4056909281"</f>
        <v>4056909281</v>
      </c>
      <c r="I4405" t="str">
        <f t="shared" si="93"/>
        <v>CINTAS CORPORATION #087</v>
      </c>
    </row>
    <row r="4406" spans="5:9" x14ac:dyDescent="0.25">
      <c r="E4406" s="7"/>
      <c r="F4406" t="s">
        <v>20</v>
      </c>
      <c r="G4406" t="s">
        <v>21</v>
      </c>
      <c r="H4406" t="str">
        <f>"4056909334"</f>
        <v>4056909334</v>
      </c>
      <c r="I4406" t="str">
        <f t="shared" si="93"/>
        <v>CINTAS CORPORATION #087</v>
      </c>
    </row>
    <row r="4407" spans="5:9" x14ac:dyDescent="0.25">
      <c r="E4407" s="7"/>
      <c r="F4407" t="s">
        <v>20</v>
      </c>
      <c r="G4407" t="s">
        <v>21</v>
      </c>
      <c r="H4407" t="str">
        <f>"4056909378"</f>
        <v>4056909378</v>
      </c>
      <c r="I4407" t="str">
        <f t="shared" si="93"/>
        <v>CINTAS CORPORATION #087</v>
      </c>
    </row>
    <row r="4408" spans="5:9" x14ac:dyDescent="0.25">
      <c r="E4408" s="7"/>
      <c r="F4408" t="s">
        <v>20</v>
      </c>
      <c r="G4408" t="s">
        <v>21</v>
      </c>
      <c r="H4408" t="str">
        <f>"4058253950"</f>
        <v>4058253950</v>
      </c>
      <c r="I4408" t="str">
        <f t="shared" si="93"/>
        <v>CINTAS CORPORATION #087</v>
      </c>
    </row>
    <row r="4409" spans="5:9" x14ac:dyDescent="0.25">
      <c r="E4409" s="7"/>
      <c r="F4409" t="s">
        <v>20</v>
      </c>
      <c r="G4409" t="s">
        <v>21</v>
      </c>
      <c r="H4409" t="str">
        <f>"4058253980"</f>
        <v>4058253980</v>
      </c>
      <c r="I4409" t="str">
        <f t="shared" si="93"/>
        <v>CINTAS CORPORATION #087</v>
      </c>
    </row>
    <row r="4410" spans="5:9" x14ac:dyDescent="0.25">
      <c r="E4410" s="7"/>
      <c r="F4410" t="s">
        <v>20</v>
      </c>
      <c r="G4410" t="s">
        <v>21</v>
      </c>
      <c r="H4410" t="str">
        <f>"4058254048"</f>
        <v>4058254048</v>
      </c>
      <c r="I4410" t="str">
        <f t="shared" si="93"/>
        <v>CINTAS CORPORATION #087</v>
      </c>
    </row>
    <row r="4411" spans="5:9" x14ac:dyDescent="0.25">
      <c r="E4411" s="7"/>
      <c r="F4411" t="s">
        <v>20</v>
      </c>
      <c r="G4411" t="s">
        <v>21</v>
      </c>
      <c r="H4411" t="str">
        <f>"4058254110"</f>
        <v>4058254110</v>
      </c>
      <c r="I4411" t="str">
        <f t="shared" si="93"/>
        <v>CINTAS CORPORATION #087</v>
      </c>
    </row>
    <row r="4412" spans="5:9" x14ac:dyDescent="0.25">
      <c r="E4412" s="7"/>
      <c r="F4412" t="s">
        <v>20</v>
      </c>
      <c r="G4412" t="s">
        <v>21</v>
      </c>
      <c r="H4412" t="str">
        <f>"4058254137"</f>
        <v>4058254137</v>
      </c>
      <c r="I4412" t="str">
        <f t="shared" si="93"/>
        <v>CINTAS CORPORATION #087</v>
      </c>
    </row>
    <row r="4413" spans="5:9" x14ac:dyDescent="0.25">
      <c r="E4413" s="7"/>
      <c r="F4413" t="s">
        <v>20</v>
      </c>
      <c r="G4413" t="s">
        <v>21</v>
      </c>
      <c r="H4413" t="str">
        <f>"4058254165"</f>
        <v>4058254165</v>
      </c>
      <c r="I4413" t="str">
        <f t="shared" si="93"/>
        <v>CINTAS CORPORATION #087</v>
      </c>
    </row>
    <row r="4414" spans="5:9" x14ac:dyDescent="0.25">
      <c r="E4414" s="7"/>
      <c r="F4414" t="s">
        <v>20</v>
      </c>
      <c r="G4414" t="s">
        <v>21</v>
      </c>
      <c r="H4414" t="str">
        <f>"4058846017"</f>
        <v>4058846017</v>
      </c>
      <c r="I4414" t="str">
        <f t="shared" si="93"/>
        <v>CINTAS CORPORATION #087</v>
      </c>
    </row>
    <row r="4415" spans="5:9" x14ac:dyDescent="0.25">
      <c r="E4415" s="7"/>
      <c r="F4415" t="s">
        <v>20</v>
      </c>
      <c r="G4415" t="s">
        <v>21</v>
      </c>
      <c r="H4415" t="str">
        <f>"4058846038"</f>
        <v>4058846038</v>
      </c>
      <c r="I4415" t="str">
        <f t="shared" si="93"/>
        <v>CINTAS CORPORATION #087</v>
      </c>
    </row>
    <row r="4416" spans="5:9" x14ac:dyDescent="0.25">
      <c r="E4416" s="7"/>
      <c r="F4416" t="s">
        <v>20</v>
      </c>
      <c r="G4416" t="s">
        <v>21</v>
      </c>
      <c r="H4416" t="str">
        <f>"4058846076"</f>
        <v>4058846076</v>
      </c>
      <c r="I4416" t="str">
        <f t="shared" si="93"/>
        <v>CINTAS CORPORATION #087</v>
      </c>
    </row>
    <row r="4417" spans="1:9" x14ac:dyDescent="0.25">
      <c r="E4417" s="7"/>
      <c r="F4417" t="s">
        <v>20</v>
      </c>
      <c r="G4417" t="s">
        <v>21</v>
      </c>
      <c r="H4417" t="str">
        <f>"4058846122"</f>
        <v>4058846122</v>
      </c>
      <c r="I4417" t="str">
        <f t="shared" si="93"/>
        <v>CINTAS CORPORATION #087</v>
      </c>
    </row>
    <row r="4418" spans="1:9" x14ac:dyDescent="0.25">
      <c r="E4418" s="7"/>
      <c r="F4418" t="s">
        <v>20</v>
      </c>
      <c r="G4418" t="s">
        <v>21</v>
      </c>
      <c r="H4418" t="str">
        <f>"4058846135"</f>
        <v>4058846135</v>
      </c>
      <c r="I4418" t="str">
        <f t="shared" si="93"/>
        <v>CINTAS CORPORATION #087</v>
      </c>
    </row>
    <row r="4419" spans="1:9" x14ac:dyDescent="0.25">
      <c r="E4419" s="7"/>
      <c r="F4419" t="s">
        <v>20</v>
      </c>
      <c r="G4419" t="s">
        <v>21</v>
      </c>
      <c r="H4419" t="str">
        <f>"4058846184"</f>
        <v>4058846184</v>
      </c>
      <c r="I4419" t="str">
        <f t="shared" si="93"/>
        <v>CINTAS CORPORATION #087</v>
      </c>
    </row>
    <row r="4420" spans="1:9" x14ac:dyDescent="0.25">
      <c r="A4420" s="6">
        <v>44063</v>
      </c>
      <c r="B4420" t="s">
        <v>26</v>
      </c>
      <c r="C4420">
        <v>64729</v>
      </c>
      <c r="D4420" t="s">
        <v>81</v>
      </c>
      <c r="E4420" s="7">
        <v>177.26</v>
      </c>
      <c r="F4420" t="s">
        <v>20</v>
      </c>
      <c r="G4420" t="s">
        <v>21</v>
      </c>
      <c r="H4420" t="str">
        <f>"8/19/2020"</f>
        <v>8/19/2020</v>
      </c>
      <c r="I4420" t="str">
        <f>"CITY OF FLORESVILLE -PETTY CAS"</f>
        <v>CITY OF FLORESVILLE -PETTY CAS</v>
      </c>
    </row>
    <row r="4421" spans="1:9" x14ac:dyDescent="0.25">
      <c r="A4421" s="6">
        <v>44063</v>
      </c>
      <c r="B4421" t="s">
        <v>26</v>
      </c>
      <c r="C4421">
        <v>64730</v>
      </c>
      <c r="D4421" t="s">
        <v>77</v>
      </c>
      <c r="E4421" s="7">
        <v>380</v>
      </c>
      <c r="F4421" t="s">
        <v>20</v>
      </c>
      <c r="G4421" t="s">
        <v>21</v>
      </c>
      <c r="H4421" t="str">
        <f>"DE85001527-20"</f>
        <v>DE85001527-20</v>
      </c>
      <c r="I4421" t="str">
        <f>"DPC INDUSTRIES  INC."</f>
        <v>DPC INDUSTRIES  INC.</v>
      </c>
    </row>
    <row r="4422" spans="1:9" x14ac:dyDescent="0.25">
      <c r="E4422" s="7"/>
      <c r="F4422" t="s">
        <v>20</v>
      </c>
      <c r="G4422" t="s">
        <v>21</v>
      </c>
      <c r="H4422" t="str">
        <f>"DE85001721-20"</f>
        <v>DE85001721-20</v>
      </c>
      <c r="I4422" t="str">
        <f>"DPC INDUSTRIES  INC."</f>
        <v>DPC INDUSTRIES  INC.</v>
      </c>
    </row>
    <row r="4423" spans="1:9" x14ac:dyDescent="0.25">
      <c r="A4423" s="6">
        <v>44063</v>
      </c>
      <c r="B4423" t="s">
        <v>26</v>
      </c>
      <c r="C4423">
        <v>64731</v>
      </c>
      <c r="D4423" t="s">
        <v>64</v>
      </c>
      <c r="E4423" s="7">
        <v>3720</v>
      </c>
      <c r="F4423" t="s">
        <v>20</v>
      </c>
      <c r="G4423" t="s">
        <v>21</v>
      </c>
      <c r="H4423" t="str">
        <f>"8199"</f>
        <v>8199</v>
      </c>
      <c r="I4423" t="str">
        <f>"DREWA DESIGNS  INC."</f>
        <v>DREWA DESIGNS  INC.</v>
      </c>
    </row>
    <row r="4424" spans="1:9" x14ac:dyDescent="0.25">
      <c r="A4424" s="6">
        <v>44063</v>
      </c>
      <c r="B4424" t="s">
        <v>91</v>
      </c>
      <c r="C4424">
        <v>64732</v>
      </c>
      <c r="D4424" t="s">
        <v>69</v>
      </c>
      <c r="E4424" s="7">
        <v>7.56</v>
      </c>
      <c r="F4424" t="s">
        <v>20</v>
      </c>
      <c r="G4424" t="s">
        <v>21</v>
      </c>
      <c r="H4424" t="str">
        <f>"3C00797"</f>
        <v>3C00797</v>
      </c>
      <c r="I4424" t="str">
        <f>"EWALD KUBOTA  INC."</f>
        <v>EWALD KUBOTA  INC.</v>
      </c>
    </row>
    <row r="4425" spans="1:9" x14ac:dyDescent="0.25">
      <c r="A4425" s="6">
        <v>44063</v>
      </c>
      <c r="B4425" t="s">
        <v>26</v>
      </c>
      <c r="C4425">
        <v>64733</v>
      </c>
      <c r="D4425" t="s">
        <v>57</v>
      </c>
      <c r="E4425" s="7">
        <v>10391.59</v>
      </c>
      <c r="F4425" t="s">
        <v>20</v>
      </c>
      <c r="G4425" t="s">
        <v>21</v>
      </c>
      <c r="H4425" t="str">
        <f>"11617 8/2020"</f>
        <v>11617 8/2020</v>
      </c>
      <c r="I4425" t="str">
        <f>"F.E.L.P.S."</f>
        <v>F.E.L.P.S.</v>
      </c>
    </row>
    <row r="4426" spans="1:9" x14ac:dyDescent="0.25">
      <c r="A4426" s="6">
        <v>44063</v>
      </c>
      <c r="B4426" t="s">
        <v>26</v>
      </c>
      <c r="C4426">
        <v>64734</v>
      </c>
      <c r="D4426" t="s">
        <v>59</v>
      </c>
      <c r="E4426" s="7">
        <v>469.51</v>
      </c>
      <c r="F4426" t="s">
        <v>20</v>
      </c>
      <c r="G4426" t="s">
        <v>21</v>
      </c>
      <c r="H4426" t="str">
        <f>"1069219"</f>
        <v>1069219</v>
      </c>
      <c r="I4426" t="str">
        <f>"WORK BOOTS"</f>
        <v>WORK BOOTS</v>
      </c>
    </row>
    <row r="4427" spans="1:9" x14ac:dyDescent="0.25">
      <c r="E4427" s="7"/>
      <c r="F4427" t="s">
        <v>20</v>
      </c>
      <c r="G4427" t="s">
        <v>21</v>
      </c>
      <c r="H4427" t="str">
        <f>"1076691"</f>
        <v>1076691</v>
      </c>
      <c r="I4427" t="str">
        <f>"POOL MATERIAL FOR REPAIR"</f>
        <v>POOL MATERIAL FOR REPAIR</v>
      </c>
    </row>
    <row r="4428" spans="1:9" x14ac:dyDescent="0.25">
      <c r="E4428" s="7"/>
      <c r="F4428" t="s">
        <v>20</v>
      </c>
      <c r="G4428" t="s">
        <v>21</v>
      </c>
      <c r="H4428" t="str">
        <f>"1076823"</f>
        <v>1076823</v>
      </c>
      <c r="I4428" t="str">
        <f>"PSI AND GPM GAUGE"</f>
        <v>PSI AND GPM GAUGE</v>
      </c>
    </row>
    <row r="4429" spans="1:9" x14ac:dyDescent="0.25">
      <c r="A4429" s="6">
        <v>44063</v>
      </c>
      <c r="B4429" t="s">
        <v>26</v>
      </c>
      <c r="C4429">
        <v>64735</v>
      </c>
      <c r="D4429" t="s">
        <v>85</v>
      </c>
      <c r="E4429" s="7">
        <v>269.63</v>
      </c>
      <c r="F4429" t="s">
        <v>20</v>
      </c>
      <c r="G4429" t="s">
        <v>21</v>
      </c>
      <c r="H4429" t="str">
        <f>"3930579 AUG.2020"</f>
        <v>3930579 AUG.2020</v>
      </c>
      <c r="I4429" t="str">
        <f>"FRONTIER"</f>
        <v>FRONTIER</v>
      </c>
    </row>
    <row r="4430" spans="1:9" x14ac:dyDescent="0.25">
      <c r="E4430" s="7"/>
      <c r="F4430" t="s">
        <v>20</v>
      </c>
      <c r="G4430" t="s">
        <v>21</v>
      </c>
      <c r="H4430" t="str">
        <f>"39331808 AUG.2020"</f>
        <v>39331808 AUG.2020</v>
      </c>
      <c r="I4430" t="str">
        <f>"FRONTIER"</f>
        <v>FRONTIER</v>
      </c>
    </row>
    <row r="4431" spans="1:9" x14ac:dyDescent="0.25">
      <c r="E4431" s="7"/>
      <c r="F4431" t="s">
        <v>20</v>
      </c>
      <c r="G4431" t="s">
        <v>21</v>
      </c>
      <c r="H4431" t="str">
        <f>"3938193 AUG.2020"</f>
        <v>3938193 AUG.2020</v>
      </c>
      <c r="I4431" t="str">
        <f>"FRONTIER"</f>
        <v>FRONTIER</v>
      </c>
    </row>
    <row r="4432" spans="1:9" x14ac:dyDescent="0.25">
      <c r="E4432" s="7"/>
      <c r="F4432" t="s">
        <v>20</v>
      </c>
      <c r="G4432" t="s">
        <v>21</v>
      </c>
      <c r="H4432" t="str">
        <f>"3939791 AUG.2020"</f>
        <v>3939791 AUG.2020</v>
      </c>
      <c r="I4432" t="str">
        <f>"FRONTIER"</f>
        <v>FRONTIER</v>
      </c>
    </row>
    <row r="4433" spans="1:9" x14ac:dyDescent="0.25">
      <c r="A4433" s="6">
        <v>44063</v>
      </c>
      <c r="B4433" t="s">
        <v>26</v>
      </c>
      <c r="C4433">
        <v>64736</v>
      </c>
      <c r="D4433" t="s">
        <v>398</v>
      </c>
      <c r="E4433" s="7">
        <v>105</v>
      </c>
      <c r="F4433" t="s">
        <v>20</v>
      </c>
      <c r="G4433" t="s">
        <v>21</v>
      </c>
      <c r="H4433" t="str">
        <f>"1779"</f>
        <v>1779</v>
      </c>
      <c r="I4433" t="str">
        <f>"INTERCEPTOR TECHNOLOGY GROUP L"</f>
        <v>INTERCEPTOR TECHNOLOGY GROUP L</v>
      </c>
    </row>
    <row r="4434" spans="1:9" x14ac:dyDescent="0.25">
      <c r="A4434" s="6">
        <v>44063</v>
      </c>
      <c r="B4434" t="s">
        <v>26</v>
      </c>
      <c r="C4434">
        <v>64737</v>
      </c>
      <c r="D4434" t="s">
        <v>471</v>
      </c>
      <c r="E4434" s="7">
        <v>2896.84</v>
      </c>
      <c r="F4434" t="s">
        <v>20</v>
      </c>
      <c r="G4434" t="s">
        <v>21</v>
      </c>
      <c r="H4434" t="str">
        <f>"7051"</f>
        <v>7051</v>
      </c>
      <c r="I4434" t="str">
        <f>"2008 FORD F-150 XL 2 DR"</f>
        <v>2008 FORD F-150 XL 2 DR</v>
      </c>
    </row>
    <row r="4435" spans="1:9" x14ac:dyDescent="0.25">
      <c r="A4435" s="6">
        <v>44063</v>
      </c>
      <c r="B4435" t="s">
        <v>26</v>
      </c>
      <c r="C4435">
        <v>64738</v>
      </c>
      <c r="D4435" t="s">
        <v>146</v>
      </c>
      <c r="E4435" s="7">
        <v>240</v>
      </c>
      <c r="F4435" t="s">
        <v>20</v>
      </c>
      <c r="G4435" t="s">
        <v>21</v>
      </c>
      <c r="H4435" t="str">
        <f>"071876"</f>
        <v>071876</v>
      </c>
      <c r="I4435" t="str">
        <f>"LARRY SRALLA ELECTRIC"</f>
        <v>LARRY SRALLA ELECTRIC</v>
      </c>
    </row>
    <row r="4436" spans="1:9" x14ac:dyDescent="0.25">
      <c r="A4436" s="6">
        <v>44063</v>
      </c>
      <c r="B4436" t="s">
        <v>26</v>
      </c>
      <c r="C4436">
        <v>64739</v>
      </c>
      <c r="D4436" t="s">
        <v>107</v>
      </c>
      <c r="E4436" s="7">
        <v>12.26</v>
      </c>
      <c r="F4436" t="s">
        <v>20</v>
      </c>
      <c r="G4436" t="s">
        <v>21</v>
      </c>
      <c r="H4436" t="str">
        <f>"1166960-20200630"</f>
        <v>1166960-20200630</v>
      </c>
      <c r="I4436" t="str">
        <f>"LEXISNEXIS RISK SOLUTIONS"</f>
        <v>LEXISNEXIS RISK SOLUTIONS</v>
      </c>
    </row>
    <row r="4437" spans="1:9" x14ac:dyDescent="0.25">
      <c r="A4437" s="6">
        <v>44063</v>
      </c>
      <c r="B4437" t="s">
        <v>26</v>
      </c>
      <c r="C4437">
        <v>64740</v>
      </c>
      <c r="D4437" t="s">
        <v>117</v>
      </c>
      <c r="E4437" s="7">
        <v>3649.86</v>
      </c>
      <c r="F4437" t="s">
        <v>20</v>
      </c>
      <c r="G4437" t="s">
        <v>21</v>
      </c>
      <c r="H4437" t="str">
        <f>"JULY 2020"</f>
        <v>JULY 2020</v>
      </c>
      <c r="I4437" t="str">
        <f>"LINEBARGER GOGGAN BLAIR &amp; SAMP"</f>
        <v>LINEBARGER GOGGAN BLAIR &amp; SAMP</v>
      </c>
    </row>
    <row r="4438" spans="1:9" x14ac:dyDescent="0.25">
      <c r="A4438" s="6">
        <v>44063</v>
      </c>
      <c r="B4438" t="s">
        <v>26</v>
      </c>
      <c r="C4438">
        <v>64741</v>
      </c>
      <c r="D4438" t="s">
        <v>66</v>
      </c>
      <c r="E4438" s="7">
        <v>50</v>
      </c>
      <c r="F4438" t="s">
        <v>20</v>
      </c>
      <c r="G4438" t="s">
        <v>21</v>
      </c>
      <c r="H4438" t="str">
        <f>"58784"</f>
        <v>58784</v>
      </c>
      <c r="I4438" t="str">
        <f>"LOPEZ EXTERMINATING SERVICE  I"</f>
        <v>LOPEZ EXTERMINATING SERVICE  I</v>
      </c>
    </row>
    <row r="4439" spans="1:9" x14ac:dyDescent="0.25">
      <c r="A4439" s="6">
        <v>44063</v>
      </c>
      <c r="B4439" t="s">
        <v>26</v>
      </c>
      <c r="C4439">
        <v>64742</v>
      </c>
      <c r="D4439" t="s">
        <v>29</v>
      </c>
      <c r="E4439" s="7">
        <v>3172.5</v>
      </c>
      <c r="F4439" t="s">
        <v>20</v>
      </c>
      <c r="G4439" t="s">
        <v>21</v>
      </c>
      <c r="H4439" t="str">
        <f>"46338"</f>
        <v>46338</v>
      </c>
      <c r="I4439" t="str">
        <f>"M &amp; S ENGINEERING  LLC"</f>
        <v>M &amp; S ENGINEERING  LLC</v>
      </c>
    </row>
    <row r="4440" spans="1:9" x14ac:dyDescent="0.25">
      <c r="E4440" s="7"/>
      <c r="F4440" t="s">
        <v>20</v>
      </c>
      <c r="G4440" t="s">
        <v>21</v>
      </c>
      <c r="H4440" t="str">
        <f>"46341"</f>
        <v>46341</v>
      </c>
      <c r="I4440" t="str">
        <f>"M &amp; S ENGINEERING  LLC"</f>
        <v>M &amp; S ENGINEERING  LLC</v>
      </c>
    </row>
    <row r="4441" spans="1:9" x14ac:dyDescent="0.25">
      <c r="A4441" s="6">
        <v>44063</v>
      </c>
      <c r="B4441" t="s">
        <v>26</v>
      </c>
      <c r="C4441">
        <v>64743</v>
      </c>
      <c r="D4441" t="s">
        <v>207</v>
      </c>
      <c r="E4441" s="7">
        <v>134</v>
      </c>
      <c r="F4441" t="s">
        <v>20</v>
      </c>
      <c r="G4441" t="s">
        <v>21</v>
      </c>
      <c r="H4441" t="str">
        <f>"5670"</f>
        <v>5670</v>
      </c>
      <c r="I4441" t="str">
        <f>"METAL SIGNS-POOL RESTROOM"</f>
        <v>METAL SIGNS-POOL RESTROOM</v>
      </c>
    </row>
    <row r="4442" spans="1:9" x14ac:dyDescent="0.25">
      <c r="A4442" s="6">
        <v>44063</v>
      </c>
      <c r="B4442" t="s">
        <v>26</v>
      </c>
      <c r="C4442">
        <v>64744</v>
      </c>
      <c r="D4442" t="s">
        <v>326</v>
      </c>
      <c r="E4442" s="7">
        <v>38</v>
      </c>
      <c r="F4442" t="s">
        <v>20</v>
      </c>
      <c r="G4442" t="s">
        <v>21</v>
      </c>
      <c r="H4442" t="str">
        <f>"22078819"</f>
        <v>22078819</v>
      </c>
      <c r="I4442" t="str">
        <f>"MATHESON TRI-GAS INC"</f>
        <v>MATHESON TRI-GAS INC</v>
      </c>
    </row>
    <row r="4443" spans="1:9" x14ac:dyDescent="0.25">
      <c r="A4443" s="6">
        <v>44063</v>
      </c>
      <c r="B4443" t="s">
        <v>26</v>
      </c>
      <c r="C4443">
        <v>64745</v>
      </c>
      <c r="D4443" t="s">
        <v>124</v>
      </c>
      <c r="E4443" s="7">
        <v>146.08000000000001</v>
      </c>
      <c r="F4443" t="s">
        <v>20</v>
      </c>
      <c r="G4443" t="s">
        <v>21</v>
      </c>
      <c r="H4443" t="str">
        <f>"11192178"</f>
        <v>11192178</v>
      </c>
      <c r="I4443" t="str">
        <f>"PLANT MAINTENANCE"</f>
        <v>PLANT MAINTENANCE</v>
      </c>
    </row>
    <row r="4444" spans="1:9" x14ac:dyDescent="0.25">
      <c r="A4444" s="6">
        <v>44063</v>
      </c>
      <c r="B4444" t="s">
        <v>26</v>
      </c>
      <c r="C4444">
        <v>64746</v>
      </c>
      <c r="D4444" t="s">
        <v>345</v>
      </c>
      <c r="E4444" s="7">
        <v>231</v>
      </c>
      <c r="F4444" t="s">
        <v>20</v>
      </c>
      <c r="G4444" t="s">
        <v>21</v>
      </c>
      <c r="H4444" t="str">
        <f>"8/17/2020"</f>
        <v>8/17/2020</v>
      </c>
      <c r="I4444" t="str">
        <f>"MICHAEL ISAAC MARTINEZ"</f>
        <v>MICHAEL ISAAC MARTINEZ</v>
      </c>
    </row>
    <row r="4445" spans="1:9" x14ac:dyDescent="0.25">
      <c r="A4445" s="6">
        <v>44063</v>
      </c>
      <c r="B4445" t="s">
        <v>91</v>
      </c>
      <c r="C4445">
        <v>64747</v>
      </c>
      <c r="D4445" t="s">
        <v>948</v>
      </c>
      <c r="E4445" s="7">
        <v>543.55999999999995</v>
      </c>
      <c r="F4445" t="s">
        <v>20</v>
      </c>
      <c r="G4445" t="s">
        <v>21</v>
      </c>
      <c r="H4445" t="str">
        <f>"MMI37888"</f>
        <v>MMI37888</v>
      </c>
      <c r="I4445" t="str">
        <f>"SHIELD SHAPED STICKERS"</f>
        <v>SHIELD SHAPED STICKERS</v>
      </c>
    </row>
    <row r="4446" spans="1:9" x14ac:dyDescent="0.25">
      <c r="A4446" s="6">
        <v>44063</v>
      </c>
      <c r="B4446" t="s">
        <v>91</v>
      </c>
      <c r="C4446">
        <v>64747</v>
      </c>
      <c r="D4446" t="s">
        <v>948</v>
      </c>
      <c r="E4446" s="7">
        <v>543.55999999999995</v>
      </c>
      <c r="F4446" t="s">
        <v>20</v>
      </c>
      <c r="G4446" t="s">
        <v>93</v>
      </c>
      <c r="H4446" t="str">
        <f>"CHECK"</f>
        <v>CHECK</v>
      </c>
      <c r="I4446" t="str">
        <f>""</f>
        <v/>
      </c>
    </row>
    <row r="4447" spans="1:9" x14ac:dyDescent="0.25">
      <c r="A4447" s="6">
        <v>44063</v>
      </c>
      <c r="B4447" t="s">
        <v>26</v>
      </c>
      <c r="C4447">
        <v>64748</v>
      </c>
      <c r="D4447" t="s">
        <v>240</v>
      </c>
      <c r="E4447" s="7">
        <v>1042.68</v>
      </c>
      <c r="F4447" t="s">
        <v>20</v>
      </c>
      <c r="G4447" t="s">
        <v>21</v>
      </c>
      <c r="H4447" t="str">
        <f>"0194162-IN"</f>
        <v>0194162-IN</v>
      </c>
      <c r="I4447" t="str">
        <f>"BILLY HERRERA"</f>
        <v>BILLY HERRERA</v>
      </c>
    </row>
    <row r="4448" spans="1:9" x14ac:dyDescent="0.25">
      <c r="A4448" s="6">
        <v>44063</v>
      </c>
      <c r="B4448" t="s">
        <v>26</v>
      </c>
      <c r="C4448">
        <v>64749</v>
      </c>
      <c r="D4448" t="s">
        <v>959</v>
      </c>
      <c r="E4448" s="7">
        <v>246.16</v>
      </c>
      <c r="F4448" t="s">
        <v>20</v>
      </c>
      <c r="G4448" t="s">
        <v>21</v>
      </c>
      <c r="H4448" t="str">
        <f>"002"</f>
        <v>002</v>
      </c>
      <c r="I4448" t="str">
        <f>"50FT PRO VAC HEAD"</f>
        <v>50FT PRO VAC HEAD</v>
      </c>
    </row>
    <row r="4449" spans="1:9" x14ac:dyDescent="0.25">
      <c r="A4449" s="6">
        <v>44063</v>
      </c>
      <c r="B4449" t="s">
        <v>26</v>
      </c>
      <c r="C4449">
        <v>64750</v>
      </c>
      <c r="D4449" t="s">
        <v>947</v>
      </c>
      <c r="E4449" s="7">
        <v>372.61</v>
      </c>
      <c r="F4449" t="s">
        <v>20</v>
      </c>
      <c r="G4449" t="s">
        <v>21</v>
      </c>
      <c r="H4449" t="str">
        <f>"00177741"</f>
        <v>00177741</v>
      </c>
      <c r="I4449" t="str">
        <f>"PAINT FOR THE POOL"</f>
        <v>PAINT FOR THE POOL</v>
      </c>
    </row>
    <row r="4450" spans="1:9" x14ac:dyDescent="0.25">
      <c r="A4450" s="6">
        <v>44063</v>
      </c>
      <c r="B4450" t="s">
        <v>91</v>
      </c>
      <c r="C4450">
        <v>64751</v>
      </c>
      <c r="D4450" t="s">
        <v>960</v>
      </c>
      <c r="E4450" s="7">
        <v>2542.75</v>
      </c>
      <c r="F4450" t="s">
        <v>20</v>
      </c>
      <c r="G4450" t="s">
        <v>21</v>
      </c>
      <c r="H4450" t="str">
        <f>"209074521"</f>
        <v>209074521</v>
      </c>
      <c r="I4450" t="str">
        <f>"DAMAGE ON 606 ELM STREET"</f>
        <v>DAMAGE ON 606 ELM STREET</v>
      </c>
    </row>
    <row r="4451" spans="1:9" x14ac:dyDescent="0.25">
      <c r="A4451" s="6">
        <v>44063</v>
      </c>
      <c r="B4451" t="s">
        <v>91</v>
      </c>
      <c r="C4451">
        <v>64751</v>
      </c>
      <c r="D4451" t="s">
        <v>960</v>
      </c>
      <c r="E4451" s="7">
        <v>2542.75</v>
      </c>
      <c r="F4451" t="s">
        <v>20</v>
      </c>
      <c r="G4451" t="s">
        <v>93</v>
      </c>
      <c r="H4451" t="str">
        <f>"CHECK"</f>
        <v>CHECK</v>
      </c>
      <c r="I4451" t="str">
        <f>""</f>
        <v/>
      </c>
    </row>
    <row r="4452" spans="1:9" x14ac:dyDescent="0.25">
      <c r="A4452" s="6">
        <v>44063</v>
      </c>
      <c r="B4452" t="s">
        <v>26</v>
      </c>
      <c r="C4452">
        <v>64752</v>
      </c>
      <c r="D4452" t="s">
        <v>166</v>
      </c>
      <c r="E4452" s="7">
        <v>601</v>
      </c>
      <c r="F4452" t="s">
        <v>20</v>
      </c>
      <c r="G4452" t="s">
        <v>21</v>
      </c>
      <c r="H4452" t="str">
        <f>"9567 8/30/2020"</f>
        <v>9567 8/30/2020</v>
      </c>
      <c r="I4452" t="str">
        <f>"PITNEY BOWES PURCHASE POWER"</f>
        <v>PITNEY BOWES PURCHASE POWER</v>
      </c>
    </row>
    <row r="4453" spans="1:9" x14ac:dyDescent="0.25">
      <c r="A4453" s="6">
        <v>44063</v>
      </c>
      <c r="B4453" t="s">
        <v>26</v>
      </c>
      <c r="C4453">
        <v>64753</v>
      </c>
      <c r="D4453" t="s">
        <v>62</v>
      </c>
      <c r="E4453" s="7">
        <v>210</v>
      </c>
      <c r="F4453" t="s">
        <v>20</v>
      </c>
      <c r="G4453" t="s">
        <v>21</v>
      </c>
      <c r="H4453" t="str">
        <f>"69380"</f>
        <v>69380</v>
      </c>
      <c r="I4453" t="str">
        <f>"PROFICIENT BENEFIT SOLUTIONS"</f>
        <v>PROFICIENT BENEFIT SOLUTIONS</v>
      </c>
    </row>
    <row r="4454" spans="1:9" x14ac:dyDescent="0.25">
      <c r="A4454" s="6">
        <v>44063</v>
      </c>
      <c r="B4454" t="s">
        <v>26</v>
      </c>
      <c r="C4454">
        <v>64754</v>
      </c>
      <c r="D4454" t="s">
        <v>528</v>
      </c>
      <c r="E4454" s="7">
        <v>146.85</v>
      </c>
      <c r="F4454" t="s">
        <v>20</v>
      </c>
      <c r="G4454" t="s">
        <v>21</v>
      </c>
      <c r="H4454" t="str">
        <f>"10361465"</f>
        <v>10361465</v>
      </c>
      <c r="I4454" t="str">
        <f>"PROSTAR SERVICES INC"</f>
        <v>PROSTAR SERVICES INC</v>
      </c>
    </row>
    <row r="4455" spans="1:9" x14ac:dyDescent="0.25">
      <c r="A4455" s="6">
        <v>44063</v>
      </c>
      <c r="B4455" t="s">
        <v>26</v>
      </c>
      <c r="C4455">
        <v>64755</v>
      </c>
      <c r="D4455" t="s">
        <v>961</v>
      </c>
      <c r="E4455" s="7">
        <v>779</v>
      </c>
      <c r="F4455" t="s">
        <v>20</v>
      </c>
      <c r="G4455" t="s">
        <v>21</v>
      </c>
      <c r="H4455" t="str">
        <f>"193186"</f>
        <v>193186</v>
      </c>
      <c r="I4455" t="str">
        <f>"RICH PRINTING  INC."</f>
        <v>RICH PRINTING  INC.</v>
      </c>
    </row>
    <row r="4456" spans="1:9" x14ac:dyDescent="0.25">
      <c r="A4456" s="6">
        <v>44063</v>
      </c>
      <c r="B4456" t="s">
        <v>26</v>
      </c>
      <c r="C4456">
        <v>64756</v>
      </c>
      <c r="D4456" t="s">
        <v>178</v>
      </c>
      <c r="E4456" s="7">
        <v>156.6</v>
      </c>
      <c r="F4456" t="s">
        <v>20</v>
      </c>
      <c r="G4456" t="s">
        <v>21</v>
      </c>
      <c r="H4456" t="str">
        <f>"6036602/1"</f>
        <v>6036602/1</v>
      </c>
      <c r="I4456" t="str">
        <f>"KEY REPLACEMENT"</f>
        <v>KEY REPLACEMENT</v>
      </c>
    </row>
    <row r="4457" spans="1:9" x14ac:dyDescent="0.25">
      <c r="A4457" s="6">
        <v>44063</v>
      </c>
      <c r="B4457" t="s">
        <v>26</v>
      </c>
      <c r="C4457">
        <v>64757</v>
      </c>
      <c r="D4457" t="s">
        <v>945</v>
      </c>
      <c r="E4457" s="7">
        <v>103</v>
      </c>
      <c r="F4457" t="s">
        <v>20</v>
      </c>
      <c r="G4457" t="s">
        <v>21</v>
      </c>
      <c r="H4457" t="str">
        <f>"4710072684"</f>
        <v>4710072684</v>
      </c>
      <c r="I4457" t="str">
        <f>"TIRE"</f>
        <v>TIRE</v>
      </c>
    </row>
    <row r="4458" spans="1:9" x14ac:dyDescent="0.25">
      <c r="A4458" s="6">
        <v>44063</v>
      </c>
      <c r="B4458" t="s">
        <v>26</v>
      </c>
      <c r="C4458">
        <v>64758</v>
      </c>
      <c r="D4458" t="s">
        <v>339</v>
      </c>
      <c r="E4458" s="7">
        <v>6903.59</v>
      </c>
      <c r="F4458" t="s">
        <v>20</v>
      </c>
      <c r="G4458" t="s">
        <v>21</v>
      </c>
      <c r="H4458" t="str">
        <f>"816170"</f>
        <v>816170</v>
      </c>
      <c r="I4458" t="str">
        <f>"EQUIPMENT FOR PD"</f>
        <v>EQUIPMENT FOR PD</v>
      </c>
    </row>
    <row r="4459" spans="1:9" x14ac:dyDescent="0.25">
      <c r="A4459" s="6">
        <v>44063</v>
      </c>
      <c r="B4459" t="s">
        <v>26</v>
      </c>
      <c r="C4459">
        <v>64759</v>
      </c>
      <c r="D4459" t="s">
        <v>147</v>
      </c>
      <c r="E4459" s="7">
        <v>111</v>
      </c>
      <c r="F4459" t="s">
        <v>20</v>
      </c>
      <c r="G4459" t="s">
        <v>21</v>
      </c>
      <c r="H4459" t="str">
        <f>"1691"</f>
        <v>1691</v>
      </c>
      <c r="I4459" t="str">
        <f>"SRALLA ELECTRIC"</f>
        <v>SRALLA ELECTRIC</v>
      </c>
    </row>
    <row r="4460" spans="1:9" x14ac:dyDescent="0.25">
      <c r="A4460" s="6">
        <v>44063</v>
      </c>
      <c r="B4460" t="s">
        <v>26</v>
      </c>
      <c r="C4460">
        <v>64760</v>
      </c>
      <c r="D4460" t="s">
        <v>84</v>
      </c>
      <c r="E4460" s="7">
        <v>1500</v>
      </c>
      <c r="F4460" t="s">
        <v>20</v>
      </c>
      <c r="G4460" t="s">
        <v>21</v>
      </c>
      <c r="H4460" t="str">
        <f>"1629545"</f>
        <v>1629545</v>
      </c>
      <c r="I4460" t="str">
        <f>"STANTEC CONSULTING SERVICES IN"</f>
        <v>STANTEC CONSULTING SERVICES IN</v>
      </c>
    </row>
    <row r="4461" spans="1:9" x14ac:dyDescent="0.25">
      <c r="A4461" s="6">
        <v>44063</v>
      </c>
      <c r="B4461" t="s">
        <v>26</v>
      </c>
      <c r="C4461">
        <v>64761</v>
      </c>
      <c r="D4461" t="s">
        <v>346</v>
      </c>
      <c r="E4461" s="7">
        <v>13750</v>
      </c>
      <c r="F4461" t="s">
        <v>20</v>
      </c>
      <c r="G4461" t="s">
        <v>21</v>
      </c>
      <c r="H4461" t="str">
        <f>"7/11-8/11/2020"</f>
        <v>7/11-8/11/2020</v>
      </c>
      <c r="I4461" t="str">
        <f>"SYLVIA RODRIGUEZ"</f>
        <v>SYLVIA RODRIGUEZ</v>
      </c>
    </row>
    <row r="4462" spans="1:9" x14ac:dyDescent="0.25">
      <c r="A4462" s="6">
        <v>44063</v>
      </c>
      <c r="B4462" t="s">
        <v>91</v>
      </c>
      <c r="C4462">
        <v>64762</v>
      </c>
      <c r="D4462" t="s">
        <v>606</v>
      </c>
      <c r="E4462" s="7">
        <v>75</v>
      </c>
      <c r="F4462" t="s">
        <v>20</v>
      </c>
      <c r="G4462" t="s">
        <v>21</v>
      </c>
      <c r="H4462" t="str">
        <f>"9/1-8/31/2021"</f>
        <v>9/1-8/31/2021</v>
      </c>
      <c r="I4462" t="str">
        <f>"TEXAS MUNICIPAL COURTS ASSOCIA"</f>
        <v>TEXAS MUNICIPAL COURTS ASSOCIA</v>
      </c>
    </row>
    <row r="4463" spans="1:9" x14ac:dyDescent="0.25">
      <c r="A4463" s="6">
        <v>44063</v>
      </c>
      <c r="B4463" t="s">
        <v>26</v>
      </c>
      <c r="C4463">
        <v>64763</v>
      </c>
      <c r="D4463" t="s">
        <v>962</v>
      </c>
      <c r="E4463" s="7">
        <v>149</v>
      </c>
      <c r="F4463" t="s">
        <v>20</v>
      </c>
      <c r="G4463" t="s">
        <v>21</v>
      </c>
      <c r="H4463" t="str">
        <f>"0000380"</f>
        <v>0000380</v>
      </c>
      <c r="I4463" t="str">
        <f>"PATROL RIFLE COURSE"</f>
        <v>PATROL RIFLE COURSE</v>
      </c>
    </row>
    <row r="4464" spans="1:9" x14ac:dyDescent="0.25">
      <c r="A4464" s="6">
        <v>44063</v>
      </c>
      <c r="B4464" t="s">
        <v>26</v>
      </c>
      <c r="C4464">
        <v>64764</v>
      </c>
      <c r="D4464" t="s">
        <v>199</v>
      </c>
      <c r="E4464" s="7">
        <v>235.5</v>
      </c>
      <c r="F4464" t="s">
        <v>20</v>
      </c>
      <c r="G4464" t="s">
        <v>21</v>
      </c>
      <c r="H4464" t="str">
        <f>"8/6/2020"</f>
        <v>8/6/2020</v>
      </c>
      <c r="I4464" t="str">
        <f>"RED TAG STICKERS"</f>
        <v>RED TAG STICKERS</v>
      </c>
    </row>
    <row r="4465" spans="1:9" x14ac:dyDescent="0.25">
      <c r="A4465" s="6">
        <v>44063</v>
      </c>
      <c r="B4465" t="s">
        <v>26</v>
      </c>
      <c r="C4465">
        <v>64765</v>
      </c>
      <c r="D4465" t="s">
        <v>311</v>
      </c>
      <c r="E4465" s="7">
        <v>86235.9</v>
      </c>
      <c r="F4465" t="s">
        <v>20</v>
      </c>
      <c r="G4465" t="s">
        <v>21</v>
      </c>
      <c r="H4465" t="str">
        <f>"ML-000099792 9/20"</f>
        <v>ML-000099792 9/20</v>
      </c>
      <c r="I4465" t="s">
        <v>498</v>
      </c>
    </row>
    <row r="4466" spans="1:9" x14ac:dyDescent="0.25">
      <c r="A4466" s="6">
        <v>44063</v>
      </c>
      <c r="B4466" t="s">
        <v>26</v>
      </c>
      <c r="C4466">
        <v>64766</v>
      </c>
      <c r="D4466" t="s">
        <v>236</v>
      </c>
      <c r="E4466" s="7">
        <v>322</v>
      </c>
      <c r="F4466" t="s">
        <v>20</v>
      </c>
      <c r="G4466" t="s">
        <v>21</v>
      </c>
      <c r="H4466" t="str">
        <f>"71574286"</f>
        <v>71574286</v>
      </c>
      <c r="I4466" t="str">
        <f>"TIFCO INDUSTRIES  INC."</f>
        <v>TIFCO INDUSTRIES  INC.</v>
      </c>
    </row>
    <row r="4467" spans="1:9" x14ac:dyDescent="0.25">
      <c r="A4467" s="6">
        <v>44063</v>
      </c>
      <c r="B4467" t="s">
        <v>26</v>
      </c>
      <c r="C4467">
        <v>64767</v>
      </c>
      <c r="D4467" t="s">
        <v>75</v>
      </c>
      <c r="E4467" s="7">
        <v>321.85000000000002</v>
      </c>
      <c r="F4467" t="s">
        <v>20</v>
      </c>
      <c r="G4467" t="s">
        <v>21</v>
      </c>
      <c r="H4467" t="str">
        <f>"8184-795242"</f>
        <v>8184-795242</v>
      </c>
      <c r="I4467" t="str">
        <f>"GRASS AND WEED KILLER"</f>
        <v>GRASS AND WEED KILLER</v>
      </c>
    </row>
    <row r="4468" spans="1:9" x14ac:dyDescent="0.25">
      <c r="E4468" s="7"/>
      <c r="F4468" t="s">
        <v>20</v>
      </c>
      <c r="G4468" t="s">
        <v>21</v>
      </c>
      <c r="H4468" t="str">
        <f>"8184-795387"</f>
        <v>8184-795387</v>
      </c>
      <c r="I4468" t="str">
        <f>"POOL PADLOCKS"</f>
        <v>POOL PADLOCKS</v>
      </c>
    </row>
    <row r="4469" spans="1:9" x14ac:dyDescent="0.25">
      <c r="E4469" s="7"/>
      <c r="F4469" t="s">
        <v>20</v>
      </c>
      <c r="G4469" t="s">
        <v>21</v>
      </c>
      <c r="H4469" t="str">
        <f>"8184-797863"</f>
        <v>8184-797863</v>
      </c>
      <c r="I4469" t="str">
        <f>"BLACK FLAG PRO WASP KILLE"</f>
        <v>BLACK FLAG PRO WASP KILLE</v>
      </c>
    </row>
    <row r="4470" spans="1:9" x14ac:dyDescent="0.25">
      <c r="E4470" s="7"/>
      <c r="F4470" t="s">
        <v>20</v>
      </c>
      <c r="G4470" t="s">
        <v>21</v>
      </c>
      <c r="H4470" t="str">
        <f>"8184-798171"</f>
        <v>8184-798171</v>
      </c>
      <c r="I4470" t="str">
        <f>"RAIN BOOTS"</f>
        <v>RAIN BOOTS</v>
      </c>
    </row>
    <row r="4471" spans="1:9" x14ac:dyDescent="0.25">
      <c r="A4471" s="6">
        <v>44063</v>
      </c>
      <c r="B4471" t="s">
        <v>26</v>
      </c>
      <c r="C4471">
        <v>64768</v>
      </c>
      <c r="D4471" t="s">
        <v>963</v>
      </c>
      <c r="E4471" s="7">
        <v>206.25</v>
      </c>
      <c r="F4471" t="s">
        <v>20</v>
      </c>
      <c r="G4471" t="s">
        <v>21</v>
      </c>
      <c r="H4471" t="str">
        <f>"100"</f>
        <v>100</v>
      </c>
      <c r="I4471" t="str">
        <f>"TRAINING"</f>
        <v>TRAINING</v>
      </c>
    </row>
    <row r="4472" spans="1:9" x14ac:dyDescent="0.25">
      <c r="A4472" s="6">
        <v>44063</v>
      </c>
      <c r="B4472" t="s">
        <v>26</v>
      </c>
      <c r="C4472">
        <v>64769</v>
      </c>
      <c r="D4472" t="s">
        <v>61</v>
      </c>
      <c r="E4472" s="7">
        <v>1629.75</v>
      </c>
      <c r="F4472" t="s">
        <v>20</v>
      </c>
      <c r="G4472" t="s">
        <v>21</v>
      </c>
      <c r="H4472" t="str">
        <f>"025-294619"</f>
        <v>025-294619</v>
      </c>
      <c r="I4472" t="str">
        <f>"TYLER TECHNOLOGIES  INC."</f>
        <v>TYLER TECHNOLOGIES  INC.</v>
      </c>
    </row>
    <row r="4473" spans="1:9" x14ac:dyDescent="0.25">
      <c r="E4473" s="7"/>
      <c r="F4473" t="s">
        <v>20</v>
      </c>
      <c r="G4473" t="s">
        <v>21</v>
      </c>
      <c r="H4473" t="str">
        <f>"025-301594"</f>
        <v>025-301594</v>
      </c>
      <c r="I4473" t="str">
        <f>"TYLER TECHNOLOGIES  INC."</f>
        <v>TYLER TECHNOLOGIES  INC.</v>
      </c>
    </row>
    <row r="4474" spans="1:9" x14ac:dyDescent="0.25">
      <c r="E4474" s="7"/>
      <c r="F4474" t="s">
        <v>20</v>
      </c>
      <c r="G4474" t="s">
        <v>21</v>
      </c>
      <c r="H4474" t="str">
        <f>"025-304547"</f>
        <v>025-304547</v>
      </c>
      <c r="I4474" t="str">
        <f>"TYLER TECHNOLOGIES  INC."</f>
        <v>TYLER TECHNOLOGIES  INC.</v>
      </c>
    </row>
    <row r="4475" spans="1:9" x14ac:dyDescent="0.25">
      <c r="A4475" s="6">
        <v>44063</v>
      </c>
      <c r="B4475" t="s">
        <v>26</v>
      </c>
      <c r="C4475">
        <v>64770</v>
      </c>
      <c r="D4475" t="s">
        <v>644</v>
      </c>
      <c r="E4475" s="7">
        <v>518.1</v>
      </c>
      <c r="F4475" t="s">
        <v>20</v>
      </c>
      <c r="G4475" t="s">
        <v>21</v>
      </c>
      <c r="H4475" t="str">
        <f>"8213493873"</f>
        <v>8213493873</v>
      </c>
      <c r="I4475" t="str">
        <f t="shared" ref="I4475:I4481" si="94">"UNIFIRST CORPORATION"</f>
        <v>UNIFIRST CORPORATION</v>
      </c>
    </row>
    <row r="4476" spans="1:9" x14ac:dyDescent="0.25">
      <c r="E4476" s="7"/>
      <c r="F4476" t="s">
        <v>20</v>
      </c>
      <c r="G4476" t="s">
        <v>21</v>
      </c>
      <c r="H4476" t="str">
        <f>"8213493874"</f>
        <v>8213493874</v>
      </c>
      <c r="I4476" t="str">
        <f t="shared" si="94"/>
        <v>UNIFIRST CORPORATION</v>
      </c>
    </row>
    <row r="4477" spans="1:9" x14ac:dyDescent="0.25">
      <c r="E4477" s="7"/>
      <c r="F4477" t="s">
        <v>20</v>
      </c>
      <c r="G4477" t="s">
        <v>21</v>
      </c>
      <c r="H4477" t="str">
        <f>"8213493875"</f>
        <v>8213493875</v>
      </c>
      <c r="I4477" t="str">
        <f t="shared" si="94"/>
        <v>UNIFIRST CORPORATION</v>
      </c>
    </row>
    <row r="4478" spans="1:9" x14ac:dyDescent="0.25">
      <c r="E4478" s="7"/>
      <c r="F4478" t="s">
        <v>20</v>
      </c>
      <c r="G4478" t="s">
        <v>21</v>
      </c>
      <c r="H4478" t="str">
        <f>"8213493876"</f>
        <v>8213493876</v>
      </c>
      <c r="I4478" t="str">
        <f t="shared" si="94"/>
        <v>UNIFIRST CORPORATION</v>
      </c>
    </row>
    <row r="4479" spans="1:9" x14ac:dyDescent="0.25">
      <c r="E4479" s="7"/>
      <c r="F4479" t="s">
        <v>20</v>
      </c>
      <c r="G4479" t="s">
        <v>21</v>
      </c>
      <c r="H4479" t="str">
        <f>"8213493877"</f>
        <v>8213493877</v>
      </c>
      <c r="I4479" t="str">
        <f t="shared" si="94"/>
        <v>UNIFIRST CORPORATION</v>
      </c>
    </row>
    <row r="4480" spans="1:9" x14ac:dyDescent="0.25">
      <c r="E4480" s="7"/>
      <c r="F4480" t="s">
        <v>20</v>
      </c>
      <c r="G4480" t="s">
        <v>21</v>
      </c>
      <c r="H4480" t="str">
        <f>"8213493878"</f>
        <v>8213493878</v>
      </c>
      <c r="I4480" t="str">
        <f t="shared" si="94"/>
        <v>UNIFIRST CORPORATION</v>
      </c>
    </row>
    <row r="4481" spans="1:9" x14ac:dyDescent="0.25">
      <c r="E4481" s="7"/>
      <c r="F4481" t="s">
        <v>20</v>
      </c>
      <c r="G4481" t="s">
        <v>21</v>
      </c>
      <c r="H4481" t="str">
        <f>"8213496471"</f>
        <v>8213496471</v>
      </c>
      <c r="I4481" t="str">
        <f t="shared" si="94"/>
        <v>UNIFIRST CORPORATION</v>
      </c>
    </row>
    <row r="4482" spans="1:9" x14ac:dyDescent="0.25">
      <c r="A4482" s="6">
        <v>44063</v>
      </c>
      <c r="B4482" t="s">
        <v>26</v>
      </c>
      <c r="C4482">
        <v>64772</v>
      </c>
      <c r="D4482" t="s">
        <v>203</v>
      </c>
      <c r="E4482" s="7">
        <v>1271.44</v>
      </c>
      <c r="F4482" t="s">
        <v>20</v>
      </c>
      <c r="G4482" t="s">
        <v>21</v>
      </c>
      <c r="H4482" t="str">
        <f>"315601"</f>
        <v>315601</v>
      </c>
      <c r="I4482" t="str">
        <f>"PUMP FOR LIFT STATION"</f>
        <v>PUMP FOR LIFT STATION</v>
      </c>
    </row>
    <row r="4483" spans="1:9" x14ac:dyDescent="0.25">
      <c r="A4483" s="6">
        <v>44063</v>
      </c>
      <c r="B4483" t="s">
        <v>26</v>
      </c>
      <c r="C4483">
        <v>64773</v>
      </c>
      <c r="D4483" t="s">
        <v>122</v>
      </c>
      <c r="E4483" s="7">
        <v>140</v>
      </c>
      <c r="F4483" t="s">
        <v>20</v>
      </c>
      <c r="G4483" t="s">
        <v>21</v>
      </c>
      <c r="H4483" t="str">
        <f>"48595032"</f>
        <v>48595032</v>
      </c>
      <c r="I4483" t="str">
        <f>"VILLA TIRES"</f>
        <v>VILLA TIRES</v>
      </c>
    </row>
    <row r="4484" spans="1:9" x14ac:dyDescent="0.25">
      <c r="E4484" s="7"/>
      <c r="F4484" t="s">
        <v>20</v>
      </c>
      <c r="G4484" t="s">
        <v>21</v>
      </c>
      <c r="H4484" t="str">
        <f>"48595045"</f>
        <v>48595045</v>
      </c>
      <c r="I4484" t="str">
        <f>"VILLA TIRES"</f>
        <v>VILLA TIRES</v>
      </c>
    </row>
    <row r="4485" spans="1:9" x14ac:dyDescent="0.25">
      <c r="E4485" s="7"/>
      <c r="F4485" t="s">
        <v>20</v>
      </c>
      <c r="G4485" t="s">
        <v>21</v>
      </c>
      <c r="H4485" t="str">
        <f>"48595048"</f>
        <v>48595048</v>
      </c>
      <c r="I4485" t="str">
        <f>"VILLA TIRES"</f>
        <v>VILLA TIRES</v>
      </c>
    </row>
    <row r="4486" spans="1:9" x14ac:dyDescent="0.25">
      <c r="E4486" s="7"/>
      <c r="F4486" t="s">
        <v>20</v>
      </c>
      <c r="G4486" t="s">
        <v>21</v>
      </c>
      <c r="H4486" t="str">
        <f>"48595049"</f>
        <v>48595049</v>
      </c>
      <c r="I4486" t="str">
        <f>"VILLA TIRES"</f>
        <v>VILLA TIRES</v>
      </c>
    </row>
    <row r="4487" spans="1:9" x14ac:dyDescent="0.25">
      <c r="A4487" s="6">
        <v>44063</v>
      </c>
      <c r="B4487" t="s">
        <v>26</v>
      </c>
      <c r="C4487">
        <v>64774</v>
      </c>
      <c r="D4487" t="s">
        <v>202</v>
      </c>
      <c r="E4487" s="7">
        <v>979.5</v>
      </c>
      <c r="F4487" t="s">
        <v>20</v>
      </c>
      <c r="G4487" t="s">
        <v>21</v>
      </c>
      <c r="H4487" t="str">
        <f>"62155124"</f>
        <v>62155124</v>
      </c>
      <c r="I4487" t="str">
        <f>"A-2 BASE AND COLD MIX"</f>
        <v>A-2 BASE AND COLD MIX</v>
      </c>
    </row>
    <row r="4488" spans="1:9" x14ac:dyDescent="0.25">
      <c r="A4488" s="6">
        <v>44063</v>
      </c>
      <c r="B4488" t="s">
        <v>26</v>
      </c>
      <c r="C4488">
        <v>64775</v>
      </c>
      <c r="D4488" t="s">
        <v>197</v>
      </c>
      <c r="E4488" s="7">
        <v>2700</v>
      </c>
      <c r="F4488" t="s">
        <v>20</v>
      </c>
      <c r="G4488" t="s">
        <v>21</v>
      </c>
      <c r="H4488" t="str">
        <f>"203025"</f>
        <v>203025</v>
      </c>
      <c r="I4488" t="str">
        <f>"POLYMER"</f>
        <v>POLYMER</v>
      </c>
    </row>
    <row r="4489" spans="1:9" x14ac:dyDescent="0.25">
      <c r="A4489" s="6">
        <v>44071</v>
      </c>
      <c r="B4489" t="s">
        <v>26</v>
      </c>
      <c r="C4489">
        <v>64780</v>
      </c>
      <c r="D4489" t="s">
        <v>51</v>
      </c>
      <c r="E4489" s="7">
        <v>327.84</v>
      </c>
      <c r="F4489" t="s">
        <v>20</v>
      </c>
      <c r="G4489" t="s">
        <v>21</v>
      </c>
      <c r="H4489" t="str">
        <f>"CLE202008258582"</f>
        <v>CLE202008258582</v>
      </c>
      <c r="I4489" t="str">
        <f>"CLEAT ONLY DUES"</f>
        <v>CLEAT ONLY DUES</v>
      </c>
    </row>
    <row r="4490" spans="1:9" x14ac:dyDescent="0.25">
      <c r="E4490" s="7"/>
      <c r="F4490" t="s">
        <v>20</v>
      </c>
      <c r="G4490" t="s">
        <v>21</v>
      </c>
      <c r="H4490" t="str">
        <f>"PDD202008258582"</f>
        <v>PDD202008258582</v>
      </c>
      <c r="I4490" t="str">
        <f>"POLICE OFFICERS ASSOC DUES"</f>
        <v>POLICE OFFICERS ASSOC DUES</v>
      </c>
    </row>
    <row r="4491" spans="1:9" x14ac:dyDescent="0.25">
      <c r="A4491" s="6">
        <v>44071</v>
      </c>
      <c r="B4491" t="s">
        <v>26</v>
      </c>
      <c r="C4491">
        <v>64781</v>
      </c>
      <c r="D4491" t="s">
        <v>52</v>
      </c>
      <c r="E4491" s="7">
        <v>405</v>
      </c>
      <c r="F4491" t="s">
        <v>20</v>
      </c>
      <c r="G4491" t="s">
        <v>21</v>
      </c>
      <c r="H4491" t="str">
        <f>"CA1202008258582"</f>
        <v>CA1202008258582</v>
      </c>
      <c r="I4491" t="str">
        <f>"K RAMIREZ 001200229510060343CV"</f>
        <v>K RAMIREZ 001200229510060343CV</v>
      </c>
    </row>
    <row r="4492" spans="1:9" x14ac:dyDescent="0.25">
      <c r="E4492" s="7"/>
      <c r="F4492" t="s">
        <v>20</v>
      </c>
      <c r="G4492" t="s">
        <v>21</v>
      </c>
      <c r="H4492" t="str">
        <f>"CA2202008258582"</f>
        <v>CA2202008258582</v>
      </c>
      <c r="I4492" t="str">
        <f>"L HERNANDEZ 001016025203080354"</f>
        <v>L HERNANDEZ 001016025203080354</v>
      </c>
    </row>
    <row r="4493" spans="1:9" x14ac:dyDescent="0.25">
      <c r="E4493" s="7"/>
      <c r="F4493" t="s">
        <v>20</v>
      </c>
      <c r="G4493" t="s">
        <v>21</v>
      </c>
      <c r="H4493" t="str">
        <f>"CA3202008258582"</f>
        <v>CA3202008258582</v>
      </c>
      <c r="I4493" t="str">
        <f>"00120788612011EM5023JOLENEGARC"</f>
        <v>00120788612011EM5023JOLENEGARC</v>
      </c>
    </row>
    <row r="4494" spans="1:9" x14ac:dyDescent="0.25">
      <c r="E4494" s="7"/>
      <c r="F4494" t="s">
        <v>20</v>
      </c>
      <c r="G4494" t="s">
        <v>21</v>
      </c>
      <c r="H4494" t="str">
        <f>"CSA202008258582"</f>
        <v>CSA202008258582</v>
      </c>
      <c r="I4494" t="str">
        <f>"S RODRIGUEZ 001281730413050336"</f>
        <v>S RODRIGUEZ 001281730413050336</v>
      </c>
    </row>
    <row r="4495" spans="1:9" x14ac:dyDescent="0.25">
      <c r="A4495" s="6">
        <v>44071</v>
      </c>
      <c r="B4495" t="s">
        <v>26</v>
      </c>
      <c r="C4495">
        <v>64782</v>
      </c>
      <c r="D4495" t="s">
        <v>54</v>
      </c>
      <c r="E4495" s="7">
        <v>1161.68</v>
      </c>
      <c r="F4495" t="s">
        <v>20</v>
      </c>
      <c r="G4495" t="s">
        <v>21</v>
      </c>
      <c r="H4495" t="str">
        <f>"457202008258582"</f>
        <v>457202008258582</v>
      </c>
      <c r="I4495" t="str">
        <f>"CASE # 180-60751 457B DEDUCT"</f>
        <v>CASE # 180-60751 457B DEDUCT</v>
      </c>
    </row>
    <row r="4496" spans="1:9" x14ac:dyDescent="0.25">
      <c r="A4496" s="6">
        <v>44069</v>
      </c>
      <c r="B4496" t="s">
        <v>26</v>
      </c>
      <c r="C4496">
        <v>64783</v>
      </c>
      <c r="D4496" t="s">
        <v>964</v>
      </c>
      <c r="E4496" s="7">
        <v>600</v>
      </c>
      <c r="F4496" t="s">
        <v>20</v>
      </c>
      <c r="G4496" t="s">
        <v>21</v>
      </c>
      <c r="H4496" t="str">
        <f>"RFND HYDRT 8/25/20"</f>
        <v>RFND HYDRT 8/25/20</v>
      </c>
      <c r="I4496" t="str">
        <f>"REFUND"</f>
        <v>REFUND</v>
      </c>
    </row>
    <row r="4497" spans="1:9" x14ac:dyDescent="0.25">
      <c r="A4497" s="6">
        <v>44069</v>
      </c>
      <c r="B4497" t="s">
        <v>91</v>
      </c>
      <c r="C4497">
        <v>64784</v>
      </c>
      <c r="D4497" t="s">
        <v>533</v>
      </c>
      <c r="E4497" s="7">
        <v>180</v>
      </c>
      <c r="F4497" t="s">
        <v>20</v>
      </c>
      <c r="G4497" t="s">
        <v>21</v>
      </c>
      <c r="H4497" t="str">
        <f>"89699"</f>
        <v>89699</v>
      </c>
      <c r="I4497" t="str">
        <f>"ASSOCIATION OF HISPANIC MUNICI"</f>
        <v>ASSOCIATION OF HISPANIC MUNICI</v>
      </c>
    </row>
    <row r="4498" spans="1:9" x14ac:dyDescent="0.25">
      <c r="E4498" s="7"/>
      <c r="F4498" t="s">
        <v>20</v>
      </c>
      <c r="G4498" t="s">
        <v>21</v>
      </c>
      <c r="H4498" t="str">
        <f>"94625"</f>
        <v>94625</v>
      </c>
      <c r="I4498" t="str">
        <f>"ASSOCIATION OF HISPANIC MUNICI"</f>
        <v>ASSOCIATION OF HISPANIC MUNICI</v>
      </c>
    </row>
    <row r="4499" spans="1:9" x14ac:dyDescent="0.25">
      <c r="A4499" s="6">
        <v>44069</v>
      </c>
      <c r="B4499" t="s">
        <v>91</v>
      </c>
      <c r="C4499">
        <v>64784</v>
      </c>
      <c r="D4499" t="s">
        <v>533</v>
      </c>
      <c r="E4499" s="7">
        <v>180</v>
      </c>
      <c r="F4499" t="s">
        <v>20</v>
      </c>
      <c r="G4499" t="s">
        <v>93</v>
      </c>
      <c r="H4499" t="str">
        <f>"CHECK"</f>
        <v>CHECK</v>
      </c>
      <c r="I4499" t="str">
        <f>""</f>
        <v/>
      </c>
    </row>
    <row r="4500" spans="1:9" x14ac:dyDescent="0.25">
      <c r="A4500" s="6">
        <v>44069</v>
      </c>
      <c r="B4500" t="s">
        <v>26</v>
      </c>
      <c r="C4500">
        <v>64785</v>
      </c>
      <c r="D4500" t="s">
        <v>168</v>
      </c>
      <c r="E4500" s="7">
        <v>4088</v>
      </c>
      <c r="F4500" t="s">
        <v>20</v>
      </c>
      <c r="G4500" t="s">
        <v>21</v>
      </c>
      <c r="H4500" t="str">
        <f>"LI-7152"</f>
        <v>LI-7152</v>
      </c>
      <c r="I4500" t="str">
        <f>"BEXAR COUNTY AUDITOR/ATTN:CRIM"</f>
        <v>BEXAR COUNTY AUDITOR/ATTN:CRIM</v>
      </c>
    </row>
    <row r="4501" spans="1:9" x14ac:dyDescent="0.25">
      <c r="E4501" s="7"/>
      <c r="F4501" t="s">
        <v>20</v>
      </c>
      <c r="G4501" t="s">
        <v>21</v>
      </c>
      <c r="H4501" t="str">
        <f>"LI-7153"</f>
        <v>LI-7153</v>
      </c>
      <c r="I4501" t="str">
        <f>"BEXAR COUNTY AUDITOR/ATTN:CRIM"</f>
        <v>BEXAR COUNTY AUDITOR/ATTN:CRIM</v>
      </c>
    </row>
    <row r="4502" spans="1:9" x14ac:dyDescent="0.25">
      <c r="E4502" s="7"/>
      <c r="F4502" t="s">
        <v>20</v>
      </c>
      <c r="G4502" t="s">
        <v>21</v>
      </c>
      <c r="H4502" t="str">
        <f>"LI-7154"</f>
        <v>LI-7154</v>
      </c>
      <c r="I4502" t="str">
        <f>"BEXAR COUNTY AUDITOR/ATTN:CRIM"</f>
        <v>BEXAR COUNTY AUDITOR/ATTN:CRIM</v>
      </c>
    </row>
    <row r="4503" spans="1:9" x14ac:dyDescent="0.25">
      <c r="E4503" s="7"/>
      <c r="F4503" t="s">
        <v>20</v>
      </c>
      <c r="G4503" t="s">
        <v>21</v>
      </c>
      <c r="H4503" t="str">
        <f>"LI-7155"</f>
        <v>LI-7155</v>
      </c>
      <c r="I4503" t="str">
        <f>"BEXAR COUNTY AUDITOR/ATTN:CRIM"</f>
        <v>BEXAR COUNTY AUDITOR/ATTN:CRIM</v>
      </c>
    </row>
    <row r="4504" spans="1:9" x14ac:dyDescent="0.25">
      <c r="A4504" s="6">
        <v>44069</v>
      </c>
      <c r="B4504" t="s">
        <v>26</v>
      </c>
      <c r="C4504">
        <v>64786</v>
      </c>
      <c r="D4504" t="s">
        <v>752</v>
      </c>
      <c r="E4504" s="7">
        <v>40</v>
      </c>
      <c r="F4504" t="s">
        <v>20</v>
      </c>
      <c r="G4504" t="s">
        <v>21</v>
      </c>
      <c r="H4504" t="str">
        <f>"8/23/2020"</f>
        <v>8/23/2020</v>
      </c>
      <c r="I4504" t="str">
        <f>"BLANCA PEREZ"</f>
        <v>BLANCA PEREZ</v>
      </c>
    </row>
    <row r="4505" spans="1:9" x14ac:dyDescent="0.25">
      <c r="A4505" s="6">
        <v>44069</v>
      </c>
      <c r="B4505" t="s">
        <v>26</v>
      </c>
      <c r="C4505">
        <v>64787</v>
      </c>
      <c r="D4505" t="s">
        <v>266</v>
      </c>
      <c r="E4505" s="7">
        <v>424050</v>
      </c>
      <c r="F4505" t="s">
        <v>20</v>
      </c>
      <c r="G4505" t="s">
        <v>21</v>
      </c>
      <c r="H4505" t="str">
        <f>"FLOR615GOR 9/1/20"</f>
        <v>FLOR615GOR 9/1/20</v>
      </c>
      <c r="I4505" t="s">
        <v>498</v>
      </c>
    </row>
    <row r="4506" spans="1:9" x14ac:dyDescent="0.25">
      <c r="A4506" s="6">
        <v>44069</v>
      </c>
      <c r="B4506" t="s">
        <v>26</v>
      </c>
      <c r="C4506">
        <v>64788</v>
      </c>
      <c r="D4506" t="s">
        <v>118</v>
      </c>
      <c r="E4506" s="7">
        <v>841</v>
      </c>
      <c r="F4506" t="s">
        <v>20</v>
      </c>
      <c r="G4506" t="s">
        <v>21</v>
      </c>
      <c r="H4506" t="str">
        <f>"11956"</f>
        <v>11956</v>
      </c>
      <c r="I4506" t="str">
        <f>"BRYAN AIR CONDITIONING &amp; HEATI"</f>
        <v>BRYAN AIR CONDITIONING &amp; HEATI</v>
      </c>
    </row>
    <row r="4507" spans="1:9" x14ac:dyDescent="0.25">
      <c r="A4507" s="6">
        <v>44069</v>
      </c>
      <c r="B4507" t="s">
        <v>26</v>
      </c>
      <c r="C4507">
        <v>64789</v>
      </c>
      <c r="D4507" t="s">
        <v>110</v>
      </c>
      <c r="E4507" s="7">
        <v>16755.150000000001</v>
      </c>
      <c r="F4507" t="s">
        <v>20</v>
      </c>
      <c r="G4507" t="s">
        <v>21</v>
      </c>
      <c r="H4507" t="str">
        <f>"1538782"</f>
        <v>1538782</v>
      </c>
      <c r="I4507" t="str">
        <f t="shared" ref="I4507:I4525" si="95">"BUREAU VERITAS NORTH AMERICA"</f>
        <v>BUREAU VERITAS NORTH AMERICA</v>
      </c>
    </row>
    <row r="4508" spans="1:9" x14ac:dyDescent="0.25">
      <c r="E4508" s="7"/>
      <c r="F4508" t="s">
        <v>20</v>
      </c>
      <c r="G4508" t="s">
        <v>21</v>
      </c>
      <c r="H4508" t="str">
        <f>"1538783"</f>
        <v>1538783</v>
      </c>
      <c r="I4508" t="str">
        <f t="shared" si="95"/>
        <v>BUREAU VERITAS NORTH AMERICA</v>
      </c>
    </row>
    <row r="4509" spans="1:9" x14ac:dyDescent="0.25">
      <c r="E4509" s="7"/>
      <c r="F4509" t="s">
        <v>20</v>
      </c>
      <c r="G4509" t="s">
        <v>21</v>
      </c>
      <c r="H4509" t="str">
        <f>"1538784"</f>
        <v>1538784</v>
      </c>
      <c r="I4509" t="str">
        <f t="shared" si="95"/>
        <v>BUREAU VERITAS NORTH AMERICA</v>
      </c>
    </row>
    <row r="4510" spans="1:9" x14ac:dyDescent="0.25">
      <c r="E4510" s="7"/>
      <c r="F4510" t="s">
        <v>20</v>
      </c>
      <c r="G4510" t="s">
        <v>21</v>
      </c>
      <c r="H4510" t="str">
        <f>"1538785"</f>
        <v>1538785</v>
      </c>
      <c r="I4510" t="str">
        <f t="shared" si="95"/>
        <v>BUREAU VERITAS NORTH AMERICA</v>
      </c>
    </row>
    <row r="4511" spans="1:9" x14ac:dyDescent="0.25">
      <c r="E4511" s="7"/>
      <c r="F4511" t="s">
        <v>20</v>
      </c>
      <c r="G4511" t="s">
        <v>21</v>
      </c>
      <c r="H4511" t="str">
        <f>"1538786"</f>
        <v>1538786</v>
      </c>
      <c r="I4511" t="str">
        <f t="shared" si="95"/>
        <v>BUREAU VERITAS NORTH AMERICA</v>
      </c>
    </row>
    <row r="4512" spans="1:9" x14ac:dyDescent="0.25">
      <c r="E4512" s="7"/>
      <c r="F4512" t="s">
        <v>20</v>
      </c>
      <c r="G4512" t="s">
        <v>21</v>
      </c>
      <c r="H4512" t="str">
        <f>"1538787"</f>
        <v>1538787</v>
      </c>
      <c r="I4512" t="str">
        <f t="shared" si="95"/>
        <v>BUREAU VERITAS NORTH AMERICA</v>
      </c>
    </row>
    <row r="4513" spans="1:9" x14ac:dyDescent="0.25">
      <c r="E4513" s="7"/>
      <c r="F4513" t="s">
        <v>20</v>
      </c>
      <c r="G4513" t="s">
        <v>21</v>
      </c>
      <c r="H4513" t="str">
        <f>"1538788"</f>
        <v>1538788</v>
      </c>
      <c r="I4513" t="str">
        <f t="shared" si="95"/>
        <v>BUREAU VERITAS NORTH AMERICA</v>
      </c>
    </row>
    <row r="4514" spans="1:9" x14ac:dyDescent="0.25">
      <c r="E4514" s="7"/>
      <c r="F4514" t="s">
        <v>20</v>
      </c>
      <c r="G4514" t="s">
        <v>21</v>
      </c>
      <c r="H4514" t="str">
        <f>"1538789"</f>
        <v>1538789</v>
      </c>
      <c r="I4514" t="str">
        <f t="shared" si="95"/>
        <v>BUREAU VERITAS NORTH AMERICA</v>
      </c>
    </row>
    <row r="4515" spans="1:9" x14ac:dyDescent="0.25">
      <c r="E4515" s="7"/>
      <c r="F4515" t="s">
        <v>20</v>
      </c>
      <c r="G4515" t="s">
        <v>21</v>
      </c>
      <c r="H4515" t="str">
        <f>"1538790"</f>
        <v>1538790</v>
      </c>
      <c r="I4515" t="str">
        <f t="shared" si="95"/>
        <v>BUREAU VERITAS NORTH AMERICA</v>
      </c>
    </row>
    <row r="4516" spans="1:9" x14ac:dyDescent="0.25">
      <c r="E4516" s="7"/>
      <c r="F4516" t="s">
        <v>20</v>
      </c>
      <c r="G4516" t="s">
        <v>21</v>
      </c>
      <c r="H4516" t="str">
        <f>"1538791"</f>
        <v>1538791</v>
      </c>
      <c r="I4516" t="str">
        <f t="shared" si="95"/>
        <v>BUREAU VERITAS NORTH AMERICA</v>
      </c>
    </row>
    <row r="4517" spans="1:9" x14ac:dyDescent="0.25">
      <c r="E4517" s="7"/>
      <c r="F4517" t="s">
        <v>20</v>
      </c>
      <c r="G4517" t="s">
        <v>21</v>
      </c>
      <c r="H4517" t="str">
        <f>"1538792"</f>
        <v>1538792</v>
      </c>
      <c r="I4517" t="str">
        <f t="shared" si="95"/>
        <v>BUREAU VERITAS NORTH AMERICA</v>
      </c>
    </row>
    <row r="4518" spans="1:9" x14ac:dyDescent="0.25">
      <c r="E4518" s="7"/>
      <c r="F4518" t="s">
        <v>20</v>
      </c>
      <c r="G4518" t="s">
        <v>21</v>
      </c>
      <c r="H4518" t="str">
        <f>"1538793"</f>
        <v>1538793</v>
      </c>
      <c r="I4518" t="str">
        <f t="shared" si="95"/>
        <v>BUREAU VERITAS NORTH AMERICA</v>
      </c>
    </row>
    <row r="4519" spans="1:9" x14ac:dyDescent="0.25">
      <c r="E4519" s="7"/>
      <c r="F4519" t="s">
        <v>20</v>
      </c>
      <c r="G4519" t="s">
        <v>21</v>
      </c>
      <c r="H4519" t="str">
        <f>"1538794"</f>
        <v>1538794</v>
      </c>
      <c r="I4519" t="str">
        <f t="shared" si="95"/>
        <v>BUREAU VERITAS NORTH AMERICA</v>
      </c>
    </row>
    <row r="4520" spans="1:9" x14ac:dyDescent="0.25">
      <c r="E4520" s="7"/>
      <c r="F4520" t="s">
        <v>20</v>
      </c>
      <c r="G4520" t="s">
        <v>21</v>
      </c>
      <c r="H4520" t="str">
        <f>"1538795"</f>
        <v>1538795</v>
      </c>
      <c r="I4520" t="str">
        <f t="shared" si="95"/>
        <v>BUREAU VERITAS NORTH AMERICA</v>
      </c>
    </row>
    <row r="4521" spans="1:9" x14ac:dyDescent="0.25">
      <c r="E4521" s="7"/>
      <c r="F4521" t="s">
        <v>20</v>
      </c>
      <c r="G4521" t="s">
        <v>21</v>
      </c>
      <c r="H4521" t="str">
        <f>"1538796"</f>
        <v>1538796</v>
      </c>
      <c r="I4521" t="str">
        <f t="shared" si="95"/>
        <v>BUREAU VERITAS NORTH AMERICA</v>
      </c>
    </row>
    <row r="4522" spans="1:9" x14ac:dyDescent="0.25">
      <c r="E4522" s="7"/>
      <c r="F4522" t="s">
        <v>20</v>
      </c>
      <c r="G4522" t="s">
        <v>21</v>
      </c>
      <c r="H4522" t="str">
        <f>"1538797"</f>
        <v>1538797</v>
      </c>
      <c r="I4522" t="str">
        <f t="shared" si="95"/>
        <v>BUREAU VERITAS NORTH AMERICA</v>
      </c>
    </row>
    <row r="4523" spans="1:9" x14ac:dyDescent="0.25">
      <c r="E4523" s="7"/>
      <c r="F4523" t="s">
        <v>20</v>
      </c>
      <c r="G4523" t="s">
        <v>21</v>
      </c>
      <c r="H4523" t="str">
        <f>"1538798"</f>
        <v>1538798</v>
      </c>
      <c r="I4523" t="str">
        <f t="shared" si="95"/>
        <v>BUREAU VERITAS NORTH AMERICA</v>
      </c>
    </row>
    <row r="4524" spans="1:9" x14ac:dyDescent="0.25">
      <c r="E4524" s="7"/>
      <c r="F4524" t="s">
        <v>20</v>
      </c>
      <c r="G4524" t="s">
        <v>21</v>
      </c>
      <c r="H4524" t="str">
        <f>"1538799"</f>
        <v>1538799</v>
      </c>
      <c r="I4524" t="str">
        <f t="shared" si="95"/>
        <v>BUREAU VERITAS NORTH AMERICA</v>
      </c>
    </row>
    <row r="4525" spans="1:9" x14ac:dyDescent="0.25">
      <c r="E4525" s="7"/>
      <c r="F4525" t="s">
        <v>20</v>
      </c>
      <c r="G4525" t="s">
        <v>21</v>
      </c>
      <c r="H4525" t="str">
        <f>"1538801"</f>
        <v>1538801</v>
      </c>
      <c r="I4525" t="str">
        <f t="shared" si="95"/>
        <v>BUREAU VERITAS NORTH AMERICA</v>
      </c>
    </row>
    <row r="4526" spans="1:9" x14ac:dyDescent="0.25">
      <c r="A4526" s="6">
        <v>44069</v>
      </c>
      <c r="B4526" t="s">
        <v>26</v>
      </c>
      <c r="C4526">
        <v>64793</v>
      </c>
      <c r="D4526" t="s">
        <v>71</v>
      </c>
      <c r="E4526" s="7">
        <v>224.3</v>
      </c>
      <c r="F4526" t="s">
        <v>20</v>
      </c>
      <c r="G4526" t="s">
        <v>21</v>
      </c>
      <c r="H4526" t="str">
        <f>"4058259887"</f>
        <v>4058259887</v>
      </c>
      <c r="I4526" t="str">
        <f>"CINTAS CORPORATION #087"</f>
        <v>CINTAS CORPORATION #087</v>
      </c>
    </row>
    <row r="4527" spans="1:9" x14ac:dyDescent="0.25">
      <c r="E4527" s="7"/>
      <c r="F4527" t="s">
        <v>20</v>
      </c>
      <c r="G4527" t="s">
        <v>21</v>
      </c>
      <c r="H4527" t="str">
        <f>"4058259907"</f>
        <v>4058259907</v>
      </c>
      <c r="I4527" t="str">
        <f>"CINTAS CORPORATION #087"</f>
        <v>CINTAS CORPORATION #087</v>
      </c>
    </row>
    <row r="4528" spans="1:9" x14ac:dyDescent="0.25">
      <c r="A4528" s="6">
        <v>44069</v>
      </c>
      <c r="B4528" t="s">
        <v>26</v>
      </c>
      <c r="C4528">
        <v>64794</v>
      </c>
      <c r="D4528" t="s">
        <v>661</v>
      </c>
      <c r="E4528" s="7">
        <v>107.17</v>
      </c>
      <c r="F4528" t="s">
        <v>20</v>
      </c>
      <c r="G4528" t="s">
        <v>21</v>
      </c>
      <c r="H4528" t="str">
        <f>"8404704630"</f>
        <v>8404704630</v>
      </c>
      <c r="I4528" t="str">
        <f>"CINTAS FAS LOCKBOX 631025"</f>
        <v>CINTAS FAS LOCKBOX 631025</v>
      </c>
    </row>
    <row r="4529" spans="1:9" x14ac:dyDescent="0.25">
      <c r="A4529" s="6">
        <v>44069</v>
      </c>
      <c r="B4529" t="s">
        <v>26</v>
      </c>
      <c r="C4529">
        <v>64795</v>
      </c>
      <c r="D4529" t="s">
        <v>872</v>
      </c>
      <c r="E4529" s="7">
        <v>55</v>
      </c>
      <c r="F4529" t="s">
        <v>20</v>
      </c>
      <c r="G4529" t="s">
        <v>21</v>
      </c>
      <c r="H4529" t="str">
        <f>"8/23/2020"</f>
        <v>8/23/2020</v>
      </c>
      <c r="I4529" t="str">
        <f>"DEVIN BENAVIDES"</f>
        <v>DEVIN BENAVIDES</v>
      </c>
    </row>
    <row r="4530" spans="1:9" x14ac:dyDescent="0.25">
      <c r="A4530" s="6">
        <v>44069</v>
      </c>
      <c r="B4530" t="s">
        <v>26</v>
      </c>
      <c r="C4530">
        <v>64796</v>
      </c>
      <c r="D4530" t="s">
        <v>214</v>
      </c>
      <c r="E4530" s="7">
        <v>153.4</v>
      </c>
      <c r="F4530" t="s">
        <v>20</v>
      </c>
      <c r="G4530" t="s">
        <v>21</v>
      </c>
      <c r="H4530" t="str">
        <f>"0036080-IN"</f>
        <v>0036080-IN</v>
      </c>
      <c r="I4530" t="str">
        <f>"AMERICAN FLAG FOR PD"</f>
        <v>AMERICAN FLAG FOR PD</v>
      </c>
    </row>
    <row r="4531" spans="1:9" x14ac:dyDescent="0.25">
      <c r="A4531" s="6">
        <v>44069</v>
      </c>
      <c r="B4531" t="s">
        <v>26</v>
      </c>
      <c r="C4531">
        <v>64797</v>
      </c>
      <c r="D4531" t="s">
        <v>647</v>
      </c>
      <c r="E4531" s="7">
        <v>3288.81</v>
      </c>
      <c r="F4531" t="s">
        <v>20</v>
      </c>
      <c r="G4531" t="s">
        <v>21</v>
      </c>
      <c r="H4531" t="str">
        <f>"27578537"</f>
        <v>27578537</v>
      </c>
      <c r="I4531" t="str">
        <f>"DOCUMATION  INC."</f>
        <v>DOCUMATION  INC.</v>
      </c>
    </row>
    <row r="4532" spans="1:9" x14ac:dyDescent="0.25">
      <c r="A4532" s="6">
        <v>44069</v>
      </c>
      <c r="B4532" t="s">
        <v>26</v>
      </c>
      <c r="C4532">
        <v>64798</v>
      </c>
      <c r="D4532" t="s">
        <v>103</v>
      </c>
      <c r="E4532" s="7">
        <v>88673.04</v>
      </c>
      <c r="F4532" t="s">
        <v>20</v>
      </c>
      <c r="G4532" t="s">
        <v>21</v>
      </c>
      <c r="H4532" t="str">
        <f>"SALES TAX AUG.2020"</f>
        <v>SALES TAX AUG.2020</v>
      </c>
      <c r="I4532" t="str">
        <f>"F. E. D. C."</f>
        <v>F. E. D. C.</v>
      </c>
    </row>
    <row r="4533" spans="1:9" x14ac:dyDescent="0.25">
      <c r="A4533" s="6">
        <v>44069</v>
      </c>
      <c r="B4533" t="s">
        <v>26</v>
      </c>
      <c r="C4533">
        <v>64799</v>
      </c>
      <c r="D4533" t="s">
        <v>85</v>
      </c>
      <c r="E4533" s="7">
        <v>1219.18</v>
      </c>
      <c r="F4533" t="s">
        <v>20</v>
      </c>
      <c r="G4533" t="s">
        <v>21</v>
      </c>
      <c r="H4533" t="str">
        <f>"1970025"</f>
        <v>1970025</v>
      </c>
      <c r="I4533" t="str">
        <f>"FRONTIER"</f>
        <v>FRONTIER</v>
      </c>
    </row>
    <row r="4534" spans="1:9" x14ac:dyDescent="0.25">
      <c r="E4534" s="7"/>
      <c r="F4534" t="s">
        <v>20</v>
      </c>
      <c r="G4534" t="s">
        <v>21</v>
      </c>
      <c r="H4534" t="str">
        <f>"2162733 AUG 2020"</f>
        <v>2162733 AUG 2020</v>
      </c>
      <c r="I4534" t="str">
        <f>"FRONTIER"</f>
        <v>FRONTIER</v>
      </c>
    </row>
    <row r="4535" spans="1:9" x14ac:dyDescent="0.25">
      <c r="E4535" s="7"/>
      <c r="F4535" t="s">
        <v>20</v>
      </c>
      <c r="G4535" t="s">
        <v>21</v>
      </c>
      <c r="H4535" t="str">
        <f>"2162755 AUG2020"</f>
        <v>2162755 AUG2020</v>
      </c>
      <c r="I4535" t="str">
        <f>"FRONTIER"</f>
        <v>FRONTIER</v>
      </c>
    </row>
    <row r="4536" spans="1:9" x14ac:dyDescent="0.25">
      <c r="E4536" s="7"/>
      <c r="F4536" t="s">
        <v>20</v>
      </c>
      <c r="G4536" t="s">
        <v>21</v>
      </c>
      <c r="H4536" t="str">
        <f>"3932804 AUG2020"</f>
        <v>3932804 AUG2020</v>
      </c>
      <c r="I4536" t="str">
        <f>"FRONTIER"</f>
        <v>FRONTIER</v>
      </c>
    </row>
    <row r="4537" spans="1:9" x14ac:dyDescent="0.25">
      <c r="E4537" s="7"/>
      <c r="F4537" t="s">
        <v>20</v>
      </c>
      <c r="G4537" t="s">
        <v>21</v>
      </c>
      <c r="H4537" t="str">
        <f>"3936794 AUG2020"</f>
        <v>3936794 AUG2020</v>
      </c>
      <c r="I4537" t="str">
        <f>"FRONTIER"</f>
        <v>FRONTIER</v>
      </c>
    </row>
    <row r="4538" spans="1:9" x14ac:dyDescent="0.25">
      <c r="A4538" s="6">
        <v>44069</v>
      </c>
      <c r="B4538" t="s">
        <v>26</v>
      </c>
      <c r="C4538">
        <v>64801</v>
      </c>
      <c r="D4538" t="s">
        <v>194</v>
      </c>
      <c r="E4538" s="7">
        <v>125</v>
      </c>
      <c r="F4538" t="s">
        <v>20</v>
      </c>
      <c r="G4538" t="s">
        <v>21</v>
      </c>
      <c r="H4538" t="str">
        <f>"016069717"</f>
        <v>016069717</v>
      </c>
      <c r="I4538" t="str">
        <f>"GALLS  LLC-D.B.A. STERLING'S U"</f>
        <v>GALLS  LLC-D.B.A. STERLING'S U</v>
      </c>
    </row>
    <row r="4539" spans="1:9" x14ac:dyDescent="0.25">
      <c r="A4539" s="6">
        <v>44069</v>
      </c>
      <c r="B4539" t="s">
        <v>26</v>
      </c>
      <c r="C4539">
        <v>64802</v>
      </c>
      <c r="D4539" t="s">
        <v>398</v>
      </c>
      <c r="E4539" s="7">
        <v>1126.6199999999999</v>
      </c>
      <c r="F4539" t="s">
        <v>20</v>
      </c>
      <c r="G4539" t="s">
        <v>21</v>
      </c>
      <c r="H4539" t="str">
        <f>"1745"</f>
        <v>1745</v>
      </c>
      <c r="I4539" t="str">
        <f>"INTERCEPTOR TECHNOLOGY GROUP L"</f>
        <v>INTERCEPTOR TECHNOLOGY GROUP L</v>
      </c>
    </row>
    <row r="4540" spans="1:9" x14ac:dyDescent="0.25">
      <c r="E4540" s="7"/>
      <c r="F4540" t="s">
        <v>20</v>
      </c>
      <c r="G4540" t="s">
        <v>21</v>
      </c>
      <c r="H4540" t="str">
        <f>"1798"</f>
        <v>1798</v>
      </c>
      <c r="I4540" t="str">
        <f>"INTERCEPTOR TECHNOLOGY GROUP L"</f>
        <v>INTERCEPTOR TECHNOLOGY GROUP L</v>
      </c>
    </row>
    <row r="4541" spans="1:9" x14ac:dyDescent="0.25">
      <c r="A4541" s="6">
        <v>44069</v>
      </c>
      <c r="B4541" t="s">
        <v>26</v>
      </c>
      <c r="C4541">
        <v>64803</v>
      </c>
      <c r="D4541" t="s">
        <v>125</v>
      </c>
      <c r="E4541" s="7">
        <v>540</v>
      </c>
      <c r="F4541" t="s">
        <v>20</v>
      </c>
      <c r="G4541" t="s">
        <v>21</v>
      </c>
      <c r="H4541" t="str">
        <f>"19-1281 7/2020"</f>
        <v>19-1281 7/2020</v>
      </c>
      <c r="I4541" t="str">
        <f>"INTREPID SURVEYING CORPORATION"</f>
        <v>INTREPID SURVEYING CORPORATION</v>
      </c>
    </row>
    <row r="4542" spans="1:9" x14ac:dyDescent="0.25">
      <c r="A4542" s="6">
        <v>44069</v>
      </c>
      <c r="B4542" t="s">
        <v>26</v>
      </c>
      <c r="C4542">
        <v>64804</v>
      </c>
      <c r="D4542" t="s">
        <v>328</v>
      </c>
      <c r="E4542" s="7">
        <v>1200</v>
      </c>
      <c r="F4542" t="s">
        <v>20</v>
      </c>
      <c r="G4542" t="s">
        <v>21</v>
      </c>
      <c r="H4542" t="str">
        <f>"7019391"</f>
        <v>7019391</v>
      </c>
      <c r="I4542" t="str">
        <f>"KOLOGIK"</f>
        <v>KOLOGIK</v>
      </c>
    </row>
    <row r="4543" spans="1:9" x14ac:dyDescent="0.25">
      <c r="A4543" s="6">
        <v>44069</v>
      </c>
      <c r="B4543" t="s">
        <v>26</v>
      </c>
      <c r="C4543">
        <v>64805</v>
      </c>
      <c r="D4543" t="s">
        <v>124</v>
      </c>
      <c r="E4543" s="7">
        <v>194.19</v>
      </c>
      <c r="F4543" t="s">
        <v>20</v>
      </c>
      <c r="G4543" t="s">
        <v>21</v>
      </c>
      <c r="H4543" t="str">
        <f>"11192947"</f>
        <v>11192947</v>
      </c>
      <c r="I4543" t="str">
        <f>"MCCOY'S CORPORATION"</f>
        <v>MCCOY'S CORPORATION</v>
      </c>
    </row>
    <row r="4544" spans="1:9" x14ac:dyDescent="0.25">
      <c r="A4544" s="6">
        <v>44069</v>
      </c>
      <c r="B4544" t="s">
        <v>26</v>
      </c>
      <c r="C4544">
        <v>64806</v>
      </c>
      <c r="D4544" t="s">
        <v>345</v>
      </c>
      <c r="E4544" s="7">
        <v>209</v>
      </c>
      <c r="F4544" t="s">
        <v>20</v>
      </c>
      <c r="G4544" t="s">
        <v>21</v>
      </c>
      <c r="H4544" t="str">
        <f>"8/24/2020"</f>
        <v>8/24/2020</v>
      </c>
      <c r="I4544" t="str">
        <f>"MICHAEL ISAAC MARTINEZ"</f>
        <v>MICHAEL ISAAC MARTINEZ</v>
      </c>
    </row>
    <row r="4545" spans="1:9" x14ac:dyDescent="0.25">
      <c r="A4545" s="6">
        <v>44069</v>
      </c>
      <c r="B4545" t="s">
        <v>26</v>
      </c>
      <c r="C4545">
        <v>64807</v>
      </c>
      <c r="D4545" t="s">
        <v>134</v>
      </c>
      <c r="E4545" s="7">
        <v>300</v>
      </c>
      <c r="F4545" t="s">
        <v>20</v>
      </c>
      <c r="G4545" t="s">
        <v>21</v>
      </c>
      <c r="H4545" t="str">
        <f>"2017-118.22"</f>
        <v>2017-118.22</v>
      </c>
      <c r="I4545" t="str">
        <f>"MOODY ENGINEERING GROUP INC."</f>
        <v>MOODY ENGINEERING GROUP INC.</v>
      </c>
    </row>
    <row r="4546" spans="1:9" x14ac:dyDescent="0.25">
      <c r="A4546" s="6">
        <v>44069</v>
      </c>
      <c r="B4546" t="s">
        <v>26</v>
      </c>
      <c r="C4546">
        <v>64808</v>
      </c>
      <c r="D4546" t="s">
        <v>137</v>
      </c>
      <c r="E4546" s="7">
        <v>121.9</v>
      </c>
      <c r="F4546" t="s">
        <v>20</v>
      </c>
      <c r="G4546" t="s">
        <v>21</v>
      </c>
      <c r="H4546" t="str">
        <f>"15205"</f>
        <v>15205</v>
      </c>
      <c r="I4546" t="str">
        <f>"OMNIBUS-M  INC.D.B.A."</f>
        <v>OMNIBUS-M  INC.D.B.A.</v>
      </c>
    </row>
    <row r="4547" spans="1:9" x14ac:dyDescent="0.25">
      <c r="E4547" s="7"/>
      <c r="F4547" t="s">
        <v>20</v>
      </c>
      <c r="G4547" t="s">
        <v>21</v>
      </c>
      <c r="H4547" t="str">
        <f>"15206"</f>
        <v>15206</v>
      </c>
      <c r="I4547" t="str">
        <f>"OMNIBUS-M  INC.D.B.A."</f>
        <v>OMNIBUS-M  INC.D.B.A.</v>
      </c>
    </row>
    <row r="4548" spans="1:9" x14ac:dyDescent="0.25">
      <c r="A4548" s="6">
        <v>44069</v>
      </c>
      <c r="B4548" t="s">
        <v>26</v>
      </c>
      <c r="C4548">
        <v>64809</v>
      </c>
      <c r="D4548" t="s">
        <v>323</v>
      </c>
      <c r="E4548" s="7">
        <v>530</v>
      </c>
      <c r="F4548" t="s">
        <v>20</v>
      </c>
      <c r="G4548" t="s">
        <v>21</v>
      </c>
      <c r="H4548" t="str">
        <f>"6782"</f>
        <v>6782</v>
      </c>
      <c r="I4548" t="str">
        <f>"POLLOK SELF STORAGE LLC"</f>
        <v>POLLOK SELF STORAGE LLC</v>
      </c>
    </row>
    <row r="4549" spans="1:9" x14ac:dyDescent="0.25">
      <c r="A4549" s="6">
        <v>44069</v>
      </c>
      <c r="B4549" t="s">
        <v>91</v>
      </c>
      <c r="C4549">
        <v>64810</v>
      </c>
      <c r="D4549" t="s">
        <v>184</v>
      </c>
      <c r="E4549" s="7">
        <v>563.30999999999995</v>
      </c>
      <c r="F4549" t="s">
        <v>20</v>
      </c>
      <c r="G4549" t="s">
        <v>21</v>
      </c>
      <c r="H4549" t="str">
        <f>"1059-984"</f>
        <v>1059-984</v>
      </c>
      <c r="I4549" t="str">
        <f>"POLLUTION CONTROL SERVICES"</f>
        <v>POLLUTION CONTROL SERVICES</v>
      </c>
    </row>
    <row r="4550" spans="1:9" x14ac:dyDescent="0.25">
      <c r="A4550" s="6">
        <v>44069</v>
      </c>
      <c r="B4550" t="s">
        <v>26</v>
      </c>
      <c r="C4550">
        <v>64811</v>
      </c>
      <c r="D4550" t="s">
        <v>938</v>
      </c>
      <c r="E4550" s="7">
        <v>1330</v>
      </c>
      <c r="F4550" t="s">
        <v>20</v>
      </c>
      <c r="G4550" t="s">
        <v>21</v>
      </c>
      <c r="H4550" t="str">
        <f>"366"</f>
        <v>366</v>
      </c>
      <c r="I4550" t="str">
        <f>"RAMSEY-PATE LANDSCAPES LLC"</f>
        <v>RAMSEY-PATE LANDSCAPES LLC</v>
      </c>
    </row>
    <row r="4551" spans="1:9" x14ac:dyDescent="0.25">
      <c r="A4551" s="6">
        <v>44069</v>
      </c>
      <c r="B4551" t="s">
        <v>26</v>
      </c>
      <c r="C4551">
        <v>64812</v>
      </c>
      <c r="D4551" t="s">
        <v>495</v>
      </c>
      <c r="E4551" s="7">
        <v>2114.89</v>
      </c>
      <c r="F4551" t="s">
        <v>20</v>
      </c>
      <c r="G4551" t="s">
        <v>21</v>
      </c>
      <c r="H4551" t="str">
        <f>"0454898-IN"</f>
        <v>0454898-IN</v>
      </c>
      <c r="I4551" t="str">
        <f>"COVID-19 PD SUPPLIES"</f>
        <v>COVID-19 PD SUPPLIES</v>
      </c>
    </row>
    <row r="4552" spans="1:9" x14ac:dyDescent="0.25">
      <c r="A4552" s="6">
        <v>44069</v>
      </c>
      <c r="B4552" t="s">
        <v>26</v>
      </c>
      <c r="C4552">
        <v>64813</v>
      </c>
      <c r="D4552" t="s">
        <v>698</v>
      </c>
      <c r="E4552" s="7">
        <v>50</v>
      </c>
      <c r="F4552" t="s">
        <v>20</v>
      </c>
      <c r="G4552" t="s">
        <v>21</v>
      </c>
      <c r="H4552" t="str">
        <f>"8/23/2020"</f>
        <v>8/23/2020</v>
      </c>
      <c r="I4552" t="str">
        <f>"TRACY ORTIZ"</f>
        <v>TRACY ORTIZ</v>
      </c>
    </row>
    <row r="4553" spans="1:9" x14ac:dyDescent="0.25">
      <c r="A4553" s="6">
        <v>44069</v>
      </c>
      <c r="B4553" t="s">
        <v>26</v>
      </c>
      <c r="C4553">
        <v>64814</v>
      </c>
      <c r="D4553" t="s">
        <v>965</v>
      </c>
      <c r="E4553" s="7">
        <v>2200</v>
      </c>
      <c r="F4553" t="s">
        <v>20</v>
      </c>
      <c r="G4553" t="s">
        <v>21</v>
      </c>
      <c r="H4553" t="str">
        <f>"001  8/25/2020"</f>
        <v>001  8/25/2020</v>
      </c>
      <c r="I4553" t="str">
        <f>"POOL FLOOR REPAIR"</f>
        <v>POOL FLOOR REPAIR</v>
      </c>
    </row>
    <row r="4554" spans="1:9" x14ac:dyDescent="0.25">
      <c r="A4554" s="6">
        <v>44069</v>
      </c>
      <c r="B4554" t="s">
        <v>26</v>
      </c>
      <c r="C4554">
        <v>64815</v>
      </c>
      <c r="D4554" t="s">
        <v>380</v>
      </c>
      <c r="E4554" s="7">
        <v>43607</v>
      </c>
      <c r="F4554" t="s">
        <v>20</v>
      </c>
      <c r="G4554" t="s">
        <v>21</v>
      </c>
      <c r="H4554" t="str">
        <f>"73598"</f>
        <v>73598</v>
      </c>
      <c r="I4554" t="str">
        <f>"ABIP CERTIFIED PUBLIC ACCOUNTA"</f>
        <v>ABIP CERTIFIED PUBLIC ACCOUNTA</v>
      </c>
    </row>
    <row r="4555" spans="1:9" x14ac:dyDescent="0.25">
      <c r="A4555" s="6">
        <v>44076</v>
      </c>
      <c r="B4555" t="s">
        <v>91</v>
      </c>
      <c r="C4555">
        <v>64816</v>
      </c>
      <c r="D4555" t="s">
        <v>966</v>
      </c>
      <c r="E4555" s="7">
        <v>12033</v>
      </c>
      <c r="F4555" t="s">
        <v>20</v>
      </c>
      <c r="G4555" t="s">
        <v>21</v>
      </c>
      <c r="H4555" t="str">
        <f>"01956-1"</f>
        <v>01956-1</v>
      </c>
      <c r="I4555" t="str">
        <f>"ABC DISINFECTANT SPRAYING FOGG"</f>
        <v>ABC DISINFECTANT SPRAYING FOGG</v>
      </c>
    </row>
    <row r="4556" spans="1:9" x14ac:dyDescent="0.25">
      <c r="A4556" s="6">
        <v>44076</v>
      </c>
      <c r="B4556" t="s">
        <v>91</v>
      </c>
      <c r="C4556">
        <v>64816</v>
      </c>
      <c r="D4556" t="s">
        <v>966</v>
      </c>
      <c r="E4556" s="7">
        <v>12033</v>
      </c>
      <c r="F4556" t="s">
        <v>20</v>
      </c>
      <c r="G4556" t="s">
        <v>93</v>
      </c>
      <c r="H4556" t="str">
        <f>"CHECK"</f>
        <v>CHECK</v>
      </c>
      <c r="I4556" t="str">
        <f>""</f>
        <v/>
      </c>
    </row>
    <row r="4557" spans="1:9" x14ac:dyDescent="0.25">
      <c r="A4557" s="6">
        <v>44076</v>
      </c>
      <c r="B4557" t="s">
        <v>26</v>
      </c>
      <c r="C4557">
        <v>64817</v>
      </c>
      <c r="D4557" t="s">
        <v>129</v>
      </c>
      <c r="E4557" s="7">
        <v>11.92</v>
      </c>
      <c r="F4557" t="s">
        <v>20</v>
      </c>
      <c r="G4557" t="s">
        <v>21</v>
      </c>
      <c r="H4557" t="str">
        <f>"P70804"</f>
        <v>P70804</v>
      </c>
      <c r="I4557" t="str">
        <f>"AG-PRO COMPANIES"</f>
        <v>AG-PRO COMPANIES</v>
      </c>
    </row>
    <row r="4558" spans="1:9" x14ac:dyDescent="0.25">
      <c r="A4558" s="6">
        <v>44076</v>
      </c>
      <c r="B4558" t="s">
        <v>26</v>
      </c>
      <c r="C4558">
        <v>64818</v>
      </c>
      <c r="D4558" t="s">
        <v>188</v>
      </c>
      <c r="E4558" s="7">
        <v>87.87</v>
      </c>
      <c r="F4558" t="s">
        <v>20</v>
      </c>
      <c r="G4558" t="s">
        <v>21</v>
      </c>
      <c r="H4558" t="str">
        <f>"81900"</f>
        <v>81900</v>
      </c>
      <c r="I4558" t="str">
        <f>"LOADER REPAIR- HOSE"</f>
        <v>LOADER REPAIR- HOSE</v>
      </c>
    </row>
    <row r="4559" spans="1:9" x14ac:dyDescent="0.25">
      <c r="A4559" s="6">
        <v>44076</v>
      </c>
      <c r="B4559" t="s">
        <v>26</v>
      </c>
      <c r="C4559">
        <v>64819</v>
      </c>
      <c r="D4559" t="s">
        <v>83</v>
      </c>
      <c r="E4559" s="7">
        <v>1091.5999999999999</v>
      </c>
      <c r="F4559" t="s">
        <v>20</v>
      </c>
      <c r="G4559" t="s">
        <v>21</v>
      </c>
      <c r="H4559" t="str">
        <f>"1277519"</f>
        <v>1277519</v>
      </c>
      <c r="I4559" t="str">
        <f>"APPRIVER"</f>
        <v>APPRIVER</v>
      </c>
    </row>
    <row r="4560" spans="1:9" x14ac:dyDescent="0.25">
      <c r="A4560" s="6">
        <v>44076</v>
      </c>
      <c r="B4560" t="s">
        <v>26</v>
      </c>
      <c r="C4560">
        <v>64820</v>
      </c>
      <c r="D4560" t="s">
        <v>115</v>
      </c>
      <c r="E4560" s="7">
        <v>163.72</v>
      </c>
      <c r="F4560" t="s">
        <v>20</v>
      </c>
      <c r="G4560" t="s">
        <v>21</v>
      </c>
      <c r="H4560" t="str">
        <f>"3547706952"</f>
        <v>3547706952</v>
      </c>
      <c r="I4560" t="str">
        <f>"AUTOZONE"</f>
        <v>AUTOZONE</v>
      </c>
    </row>
    <row r="4561" spans="1:9" x14ac:dyDescent="0.25">
      <c r="A4561" s="6">
        <v>44076</v>
      </c>
      <c r="B4561" t="s">
        <v>26</v>
      </c>
      <c r="C4561">
        <v>64821</v>
      </c>
      <c r="D4561" t="s">
        <v>396</v>
      </c>
      <c r="E4561" s="7">
        <v>16240</v>
      </c>
      <c r="F4561" t="s">
        <v>20</v>
      </c>
      <c r="G4561" t="s">
        <v>21</v>
      </c>
      <c r="H4561" t="str">
        <f>"1555"</f>
        <v>1555</v>
      </c>
      <c r="I4561" t="str">
        <f>"B &amp; S CONTRACTING SERVICES LLC"</f>
        <v>B &amp; S CONTRACTING SERVICES LLC</v>
      </c>
    </row>
    <row r="4562" spans="1:9" x14ac:dyDescent="0.25">
      <c r="A4562" s="6">
        <v>44076</v>
      </c>
      <c r="B4562" t="s">
        <v>26</v>
      </c>
      <c r="C4562">
        <v>64822</v>
      </c>
      <c r="D4562" t="s">
        <v>836</v>
      </c>
      <c r="E4562" s="7">
        <v>324.99</v>
      </c>
      <c r="F4562" t="s">
        <v>20</v>
      </c>
      <c r="G4562" t="s">
        <v>21</v>
      </c>
      <c r="H4562" t="str">
        <f>"66863"</f>
        <v>66863</v>
      </c>
      <c r="I4562" t="str">
        <f>"BARCOM TECHNOLOGY SOLUTIONS  I"</f>
        <v>BARCOM TECHNOLOGY SOLUTIONS  I</v>
      </c>
    </row>
    <row r="4563" spans="1:9" x14ac:dyDescent="0.25">
      <c r="A4563" s="6">
        <v>44076</v>
      </c>
      <c r="B4563" t="s">
        <v>26</v>
      </c>
      <c r="C4563">
        <v>64823</v>
      </c>
      <c r="D4563" t="s">
        <v>38</v>
      </c>
      <c r="E4563" s="7">
        <v>100</v>
      </c>
      <c r="F4563" t="s">
        <v>20</v>
      </c>
      <c r="G4563" t="s">
        <v>21</v>
      </c>
      <c r="H4563" t="str">
        <f>"SEPT 2020"</f>
        <v>SEPT 2020</v>
      </c>
      <c r="I4563" t="str">
        <f>"CECELIA GONZALEZ-DIPPEL"</f>
        <v>CECELIA GONZALEZ-DIPPEL</v>
      </c>
    </row>
    <row r="4564" spans="1:9" x14ac:dyDescent="0.25">
      <c r="A4564" s="6">
        <v>44076</v>
      </c>
      <c r="B4564" t="s">
        <v>26</v>
      </c>
      <c r="C4564">
        <v>64824</v>
      </c>
      <c r="D4564" t="s">
        <v>71</v>
      </c>
      <c r="E4564" s="7">
        <v>158.11000000000001</v>
      </c>
      <c r="F4564" t="s">
        <v>20</v>
      </c>
      <c r="G4564" t="s">
        <v>21</v>
      </c>
      <c r="H4564" t="str">
        <f>"4059483743"</f>
        <v>4059483743</v>
      </c>
      <c r="I4564" t="str">
        <f>"CINTAS CORPORATION #087"</f>
        <v>CINTAS CORPORATION #087</v>
      </c>
    </row>
    <row r="4565" spans="1:9" x14ac:dyDescent="0.25">
      <c r="A4565" s="6">
        <v>44076</v>
      </c>
      <c r="B4565" t="s">
        <v>26</v>
      </c>
      <c r="C4565">
        <v>64825</v>
      </c>
      <c r="D4565" t="s">
        <v>77</v>
      </c>
      <c r="E4565" s="7">
        <v>894.2</v>
      </c>
      <c r="F4565" t="s">
        <v>20</v>
      </c>
      <c r="G4565" t="s">
        <v>21</v>
      </c>
      <c r="H4565" t="str">
        <f>"857001647-20"</f>
        <v>857001647-20</v>
      </c>
      <c r="I4565" t="str">
        <f>"CHLORINE FOR WW"</f>
        <v>CHLORINE FOR WW</v>
      </c>
    </row>
    <row r="4566" spans="1:9" x14ac:dyDescent="0.25">
      <c r="A4566" s="6">
        <v>44076</v>
      </c>
      <c r="B4566" t="s">
        <v>26</v>
      </c>
      <c r="C4566">
        <v>64826</v>
      </c>
      <c r="D4566" t="s">
        <v>64</v>
      </c>
      <c r="E4566" s="7">
        <v>6952</v>
      </c>
      <c r="F4566" t="s">
        <v>20</v>
      </c>
      <c r="G4566" t="s">
        <v>21</v>
      </c>
      <c r="H4566" t="str">
        <f>"8230"</f>
        <v>8230</v>
      </c>
      <c r="I4566" t="str">
        <f>"DREWA DESIGNS  INC."</f>
        <v>DREWA DESIGNS  INC.</v>
      </c>
    </row>
    <row r="4567" spans="1:9" x14ac:dyDescent="0.25">
      <c r="A4567" s="6">
        <v>44076</v>
      </c>
      <c r="B4567" t="s">
        <v>26</v>
      </c>
      <c r="C4567">
        <v>64827</v>
      </c>
      <c r="D4567" t="s">
        <v>69</v>
      </c>
      <c r="E4567" s="7">
        <v>506.92</v>
      </c>
      <c r="F4567" t="s">
        <v>20</v>
      </c>
      <c r="G4567" t="s">
        <v>21</v>
      </c>
      <c r="H4567" t="str">
        <f>"3308095"</f>
        <v>3308095</v>
      </c>
      <c r="I4567" t="str">
        <f>"CASTER WHEEL-LAWNMOWER"</f>
        <v>CASTER WHEEL-LAWNMOWER</v>
      </c>
    </row>
    <row r="4568" spans="1:9" x14ac:dyDescent="0.25">
      <c r="A4568" s="6">
        <v>44076</v>
      </c>
      <c r="B4568" t="s">
        <v>26</v>
      </c>
      <c r="C4568">
        <v>64828</v>
      </c>
      <c r="D4568" t="s">
        <v>57</v>
      </c>
      <c r="E4568" s="7">
        <v>30309.71</v>
      </c>
      <c r="F4568" t="s">
        <v>20</v>
      </c>
      <c r="G4568" t="s">
        <v>21</v>
      </c>
      <c r="H4568" t="str">
        <f>"11617 SEPT.2020"</f>
        <v>11617 SEPT.2020</v>
      </c>
      <c r="I4568" t="str">
        <f>"F.E.L.P.S."</f>
        <v>F.E.L.P.S.</v>
      </c>
    </row>
    <row r="4569" spans="1:9" x14ac:dyDescent="0.25">
      <c r="A4569" s="6">
        <v>44076</v>
      </c>
      <c r="B4569" t="s">
        <v>26</v>
      </c>
      <c r="C4569">
        <v>64829</v>
      </c>
      <c r="D4569" t="s">
        <v>79</v>
      </c>
      <c r="E4569" s="7">
        <v>26.79</v>
      </c>
      <c r="F4569" t="s">
        <v>20</v>
      </c>
      <c r="G4569" t="s">
        <v>21</v>
      </c>
      <c r="H4569" t="str">
        <f>"7-099-72252"</f>
        <v>7-099-72252</v>
      </c>
      <c r="I4569" t="str">
        <f>"FEDEX"</f>
        <v>FEDEX</v>
      </c>
    </row>
    <row r="4570" spans="1:9" x14ac:dyDescent="0.25">
      <c r="A4570" s="6">
        <v>44076</v>
      </c>
      <c r="B4570" t="s">
        <v>26</v>
      </c>
      <c r="C4570">
        <v>64830</v>
      </c>
      <c r="D4570" t="s">
        <v>59</v>
      </c>
      <c r="E4570" s="7">
        <v>1725.01</v>
      </c>
      <c r="F4570" t="s">
        <v>20</v>
      </c>
      <c r="G4570" t="s">
        <v>21</v>
      </c>
      <c r="H4570" t="str">
        <f>"1076871"</f>
        <v>1076871</v>
      </c>
      <c r="I4570" t="str">
        <f>"TRAFFIC CONES"</f>
        <v>TRAFFIC CONES</v>
      </c>
    </row>
    <row r="4571" spans="1:9" x14ac:dyDescent="0.25">
      <c r="E4571" s="7"/>
      <c r="F4571" t="s">
        <v>20</v>
      </c>
      <c r="G4571" t="s">
        <v>21</v>
      </c>
      <c r="H4571" t="str">
        <f>"1078653"</f>
        <v>1078653</v>
      </c>
      <c r="I4571" t="str">
        <f>"STARBUCKS-TAP"</f>
        <v>STARBUCKS-TAP</v>
      </c>
    </row>
    <row r="4572" spans="1:9" x14ac:dyDescent="0.25">
      <c r="A4572" s="6">
        <v>44076</v>
      </c>
      <c r="B4572" t="s">
        <v>26</v>
      </c>
      <c r="C4572">
        <v>64831</v>
      </c>
      <c r="D4572" t="s">
        <v>85</v>
      </c>
      <c r="E4572" s="7">
        <v>915.55</v>
      </c>
      <c r="F4572" t="s">
        <v>20</v>
      </c>
      <c r="G4572" t="s">
        <v>21</v>
      </c>
      <c r="H4572" t="str">
        <f>"3932056 AUG."</f>
        <v>3932056 AUG.</v>
      </c>
      <c r="I4572" t="str">
        <f>"FRONTIER"</f>
        <v>FRONTIER</v>
      </c>
    </row>
    <row r="4573" spans="1:9" x14ac:dyDescent="0.25">
      <c r="E4573" s="7"/>
      <c r="F4573" t="s">
        <v>20</v>
      </c>
      <c r="G4573" t="s">
        <v>21</v>
      </c>
      <c r="H4573" t="str">
        <f>"3933105 AUG."</f>
        <v>3933105 AUG.</v>
      </c>
      <c r="I4573" t="str">
        <f>"FRONTIER"</f>
        <v>FRONTIER</v>
      </c>
    </row>
    <row r="4574" spans="1:9" x14ac:dyDescent="0.25">
      <c r="E4574" s="7"/>
      <c r="F4574" t="s">
        <v>20</v>
      </c>
      <c r="G4574" t="s">
        <v>21</v>
      </c>
      <c r="H4574" t="str">
        <f>"3933186 AUG."</f>
        <v>3933186 AUG.</v>
      </c>
      <c r="I4574" t="str">
        <f>"FRONTIER"</f>
        <v>FRONTIER</v>
      </c>
    </row>
    <row r="4575" spans="1:9" x14ac:dyDescent="0.25">
      <c r="E4575" s="7"/>
      <c r="F4575" t="s">
        <v>20</v>
      </c>
      <c r="G4575" t="s">
        <v>21</v>
      </c>
      <c r="H4575" t="str">
        <f>"3936616 AUG."</f>
        <v>3936616 AUG.</v>
      </c>
      <c r="I4575" t="str">
        <f>"FRONTIER"</f>
        <v>FRONTIER</v>
      </c>
    </row>
    <row r="4576" spans="1:9" x14ac:dyDescent="0.25">
      <c r="E4576" s="7"/>
      <c r="F4576" t="s">
        <v>20</v>
      </c>
      <c r="G4576" t="s">
        <v>21</v>
      </c>
      <c r="H4576" t="str">
        <f>"3939456 AUG."</f>
        <v>3939456 AUG.</v>
      </c>
      <c r="I4576" t="str">
        <f>"FRONTIER"</f>
        <v>FRONTIER</v>
      </c>
    </row>
    <row r="4577" spans="1:9" x14ac:dyDescent="0.25">
      <c r="A4577" s="6">
        <v>44076</v>
      </c>
      <c r="B4577" t="s">
        <v>26</v>
      </c>
      <c r="C4577">
        <v>64833</v>
      </c>
      <c r="D4577" t="s">
        <v>312</v>
      </c>
      <c r="E4577" s="7">
        <v>706</v>
      </c>
      <c r="F4577" t="s">
        <v>20</v>
      </c>
      <c r="G4577" t="s">
        <v>21</v>
      </c>
      <c r="H4577" t="str">
        <f>"20-1414"</f>
        <v>20-1414</v>
      </c>
      <c r="I4577" t="str">
        <f>"FULLER'S ALAMO SAFE AND LOCK"</f>
        <v>FULLER'S ALAMO SAFE AND LOCK</v>
      </c>
    </row>
    <row r="4578" spans="1:9" x14ac:dyDescent="0.25">
      <c r="A4578" s="6">
        <v>44076</v>
      </c>
      <c r="B4578" t="s">
        <v>26</v>
      </c>
      <c r="C4578">
        <v>64834</v>
      </c>
      <c r="D4578" t="s">
        <v>36</v>
      </c>
      <c r="E4578" s="7">
        <v>75</v>
      </c>
      <c r="F4578" t="s">
        <v>20</v>
      </c>
      <c r="G4578" t="s">
        <v>21</v>
      </c>
      <c r="H4578" t="str">
        <f>"SEPT. 2020"</f>
        <v>SEPT. 2020</v>
      </c>
      <c r="I4578" t="str">
        <f>"GLORIA M. CANTU"</f>
        <v>GLORIA M. CANTU</v>
      </c>
    </row>
    <row r="4579" spans="1:9" x14ac:dyDescent="0.25">
      <c r="A4579" s="6">
        <v>44076</v>
      </c>
      <c r="B4579" t="s">
        <v>26</v>
      </c>
      <c r="C4579">
        <v>64835</v>
      </c>
      <c r="D4579" t="s">
        <v>637</v>
      </c>
      <c r="E4579" s="7">
        <v>75</v>
      </c>
      <c r="F4579" t="s">
        <v>20</v>
      </c>
      <c r="G4579" t="s">
        <v>21</v>
      </c>
      <c r="H4579" t="str">
        <f>"SEPT. 2020"</f>
        <v>SEPT. 2020</v>
      </c>
      <c r="I4579" t="str">
        <f>"GLORIA MARTINEZ"</f>
        <v>GLORIA MARTINEZ</v>
      </c>
    </row>
    <row r="4580" spans="1:9" x14ac:dyDescent="0.25">
      <c r="A4580" s="6">
        <v>44076</v>
      </c>
      <c r="B4580" t="s">
        <v>26</v>
      </c>
      <c r="C4580">
        <v>64836</v>
      </c>
      <c r="D4580" t="s">
        <v>125</v>
      </c>
      <c r="E4580" s="7">
        <v>177</v>
      </c>
      <c r="F4580" t="s">
        <v>20</v>
      </c>
      <c r="G4580" t="s">
        <v>21</v>
      </c>
      <c r="H4580" t="str">
        <f>"20-0831"</f>
        <v>20-0831</v>
      </c>
      <c r="I4580" t="str">
        <f>"INTREPID SURVEYING CORPORATION"</f>
        <v>INTREPID SURVEYING CORPORATION</v>
      </c>
    </row>
    <row r="4581" spans="1:9" x14ac:dyDescent="0.25">
      <c r="A4581" s="6">
        <v>44076</v>
      </c>
      <c r="B4581" t="s">
        <v>26</v>
      </c>
      <c r="C4581">
        <v>64837</v>
      </c>
      <c r="D4581" t="s">
        <v>889</v>
      </c>
      <c r="E4581" s="7">
        <v>75</v>
      </c>
      <c r="F4581" t="s">
        <v>20</v>
      </c>
      <c r="G4581" t="s">
        <v>21</v>
      </c>
      <c r="H4581" t="str">
        <f>"SEPT. 2020"</f>
        <v>SEPT. 2020</v>
      </c>
      <c r="I4581" t="str">
        <f>"JADE JIMENEZ"</f>
        <v>JADE JIMENEZ</v>
      </c>
    </row>
    <row r="4582" spans="1:9" x14ac:dyDescent="0.25">
      <c r="A4582" s="6">
        <v>44076</v>
      </c>
      <c r="B4582" t="s">
        <v>26</v>
      </c>
      <c r="C4582">
        <v>64838</v>
      </c>
      <c r="D4582" t="s">
        <v>223</v>
      </c>
      <c r="E4582" s="7">
        <v>75</v>
      </c>
      <c r="F4582" t="s">
        <v>20</v>
      </c>
      <c r="G4582" t="s">
        <v>21</v>
      </c>
      <c r="H4582" t="str">
        <f>"SEPT. 2020"</f>
        <v>SEPT. 2020</v>
      </c>
      <c r="I4582" t="str">
        <f>"JUAN ORTIZ"</f>
        <v>JUAN ORTIZ</v>
      </c>
    </row>
    <row r="4583" spans="1:9" x14ac:dyDescent="0.25">
      <c r="A4583" s="6">
        <v>44076</v>
      </c>
      <c r="B4583" t="s">
        <v>26</v>
      </c>
      <c r="C4583">
        <v>64839</v>
      </c>
      <c r="D4583" t="s">
        <v>66</v>
      </c>
      <c r="E4583" s="7">
        <v>1883.21</v>
      </c>
      <c r="F4583" t="s">
        <v>20</v>
      </c>
      <c r="G4583" t="s">
        <v>21</v>
      </c>
      <c r="H4583" t="str">
        <f>"58826"</f>
        <v>58826</v>
      </c>
      <c r="I4583" t="str">
        <f>"LOPEZ EXTERMINATING SERVICE  I"</f>
        <v>LOPEZ EXTERMINATING SERVICE  I</v>
      </c>
    </row>
    <row r="4584" spans="1:9" x14ac:dyDescent="0.25">
      <c r="E4584" s="7"/>
      <c r="F4584" t="s">
        <v>20</v>
      </c>
      <c r="G4584" t="s">
        <v>21</v>
      </c>
      <c r="H4584" t="str">
        <f>"58907"</f>
        <v>58907</v>
      </c>
      <c r="I4584" t="str">
        <f>"LOPEZ EXTERMINATING SERVICE  I"</f>
        <v>LOPEZ EXTERMINATING SERVICE  I</v>
      </c>
    </row>
    <row r="4585" spans="1:9" x14ac:dyDescent="0.25">
      <c r="A4585" s="6">
        <v>44076</v>
      </c>
      <c r="B4585" t="s">
        <v>26</v>
      </c>
      <c r="C4585">
        <v>64840</v>
      </c>
      <c r="D4585" t="s">
        <v>80</v>
      </c>
      <c r="E4585" s="7">
        <v>1051</v>
      </c>
      <c r="F4585" t="s">
        <v>20</v>
      </c>
      <c r="G4585" t="s">
        <v>21</v>
      </c>
      <c r="H4585" t="str">
        <f>"1648-20200901-01"</f>
        <v>1648-20200901-01</v>
      </c>
      <c r="I4585" t="str">
        <f>"LVWIFI.COM"</f>
        <v>LVWIFI.COM</v>
      </c>
    </row>
    <row r="4586" spans="1:9" x14ac:dyDescent="0.25">
      <c r="E4586" s="7"/>
      <c r="F4586" t="s">
        <v>20</v>
      </c>
      <c r="G4586" t="s">
        <v>21</v>
      </c>
      <c r="H4586" t="str">
        <f>"2313-20200901.01"</f>
        <v>2313-20200901.01</v>
      </c>
      <c r="I4586" t="str">
        <f>"LVWIFI.COM"</f>
        <v>LVWIFI.COM</v>
      </c>
    </row>
    <row r="4587" spans="1:9" x14ac:dyDescent="0.25">
      <c r="A4587" s="6">
        <v>44076</v>
      </c>
      <c r="B4587" t="s">
        <v>26</v>
      </c>
      <c r="C4587">
        <v>64841</v>
      </c>
      <c r="D4587" t="s">
        <v>558</v>
      </c>
      <c r="E4587" s="7">
        <v>75</v>
      </c>
      <c r="F4587" t="s">
        <v>20</v>
      </c>
      <c r="G4587" t="s">
        <v>21</v>
      </c>
      <c r="H4587" t="str">
        <f>"SEPT. 2020"</f>
        <v>SEPT. 2020</v>
      </c>
      <c r="I4587" t="str">
        <f>"MARISSA XIMENEZ"</f>
        <v>MARISSA XIMENEZ</v>
      </c>
    </row>
    <row r="4588" spans="1:9" x14ac:dyDescent="0.25">
      <c r="A4588" s="6">
        <v>44076</v>
      </c>
      <c r="B4588" t="s">
        <v>26</v>
      </c>
      <c r="C4588">
        <v>64842</v>
      </c>
      <c r="D4588" t="s">
        <v>124</v>
      </c>
      <c r="E4588" s="7">
        <v>352.62</v>
      </c>
      <c r="F4588" t="s">
        <v>20</v>
      </c>
      <c r="G4588" t="s">
        <v>21</v>
      </c>
      <c r="H4588" t="str">
        <f>"11192947*"</f>
        <v>11192947*</v>
      </c>
      <c r="I4588" t="str">
        <f>"PAINT SUPPLIES"</f>
        <v>PAINT SUPPLIES</v>
      </c>
    </row>
    <row r="4589" spans="1:9" x14ac:dyDescent="0.25">
      <c r="E4589" s="7"/>
      <c r="F4589" t="s">
        <v>20</v>
      </c>
      <c r="G4589" t="s">
        <v>21</v>
      </c>
      <c r="H4589" t="str">
        <f>"11193085"</f>
        <v>11193085</v>
      </c>
      <c r="I4589" t="str">
        <f>"POOL PAINT SUPPLIES"</f>
        <v>POOL PAINT SUPPLIES</v>
      </c>
    </row>
    <row r="4590" spans="1:9" x14ac:dyDescent="0.25">
      <c r="E4590" s="7"/>
      <c r="F4590" t="s">
        <v>20</v>
      </c>
      <c r="G4590" t="s">
        <v>21</v>
      </c>
      <c r="H4590" t="str">
        <f>"11193459"</f>
        <v>11193459</v>
      </c>
      <c r="I4590" t="str">
        <f>"POOL REPAIR SUPPLIES"</f>
        <v>POOL REPAIR SUPPLIES</v>
      </c>
    </row>
    <row r="4591" spans="1:9" x14ac:dyDescent="0.25">
      <c r="A4591" s="6">
        <v>44076</v>
      </c>
      <c r="B4591" t="s">
        <v>26</v>
      </c>
      <c r="C4591">
        <v>64844</v>
      </c>
      <c r="D4591" t="s">
        <v>123</v>
      </c>
      <c r="E4591" s="7">
        <v>915</v>
      </c>
      <c r="F4591" t="s">
        <v>20</v>
      </c>
      <c r="G4591" t="s">
        <v>21</v>
      </c>
      <c r="H4591" t="str">
        <f>"111283549001"</f>
        <v>111283549001</v>
      </c>
      <c r="I4591" t="str">
        <f t="shared" ref="I4591:I4601" si="96">"OFFICE SUPPLIES"</f>
        <v>OFFICE SUPPLIES</v>
      </c>
    </row>
    <row r="4592" spans="1:9" x14ac:dyDescent="0.25">
      <c r="E4592" s="7"/>
      <c r="F4592" t="s">
        <v>20</v>
      </c>
      <c r="G4592" t="s">
        <v>21</v>
      </c>
      <c r="H4592" t="str">
        <f>"111456945001"</f>
        <v>111456945001</v>
      </c>
      <c r="I4592" t="str">
        <f t="shared" si="96"/>
        <v>OFFICE SUPPLIES</v>
      </c>
    </row>
    <row r="4593" spans="1:9" x14ac:dyDescent="0.25">
      <c r="E4593" s="7"/>
      <c r="F4593" t="s">
        <v>20</v>
      </c>
      <c r="G4593" t="s">
        <v>21</v>
      </c>
      <c r="H4593" t="str">
        <f>"111756122001"</f>
        <v>111756122001</v>
      </c>
      <c r="I4593" t="str">
        <f t="shared" si="96"/>
        <v>OFFICE SUPPLIES</v>
      </c>
    </row>
    <row r="4594" spans="1:9" x14ac:dyDescent="0.25">
      <c r="E4594" s="7"/>
      <c r="F4594" t="s">
        <v>20</v>
      </c>
      <c r="G4594" t="s">
        <v>21</v>
      </c>
      <c r="H4594" t="str">
        <f>"112107288001"</f>
        <v>112107288001</v>
      </c>
      <c r="I4594" t="str">
        <f t="shared" si="96"/>
        <v>OFFICE SUPPLIES</v>
      </c>
    </row>
    <row r="4595" spans="1:9" x14ac:dyDescent="0.25">
      <c r="E4595" s="7"/>
      <c r="F4595" t="s">
        <v>20</v>
      </c>
      <c r="G4595" t="s">
        <v>21</v>
      </c>
      <c r="H4595" t="str">
        <f>"112108766001"</f>
        <v>112108766001</v>
      </c>
      <c r="I4595" t="str">
        <f t="shared" si="96"/>
        <v>OFFICE SUPPLIES</v>
      </c>
    </row>
    <row r="4596" spans="1:9" x14ac:dyDescent="0.25">
      <c r="E4596" s="7"/>
      <c r="F4596" t="s">
        <v>20</v>
      </c>
      <c r="G4596" t="s">
        <v>21</v>
      </c>
      <c r="H4596" t="str">
        <f>"112108767001"</f>
        <v>112108767001</v>
      </c>
      <c r="I4596" t="str">
        <f t="shared" si="96"/>
        <v>OFFICE SUPPLIES</v>
      </c>
    </row>
    <row r="4597" spans="1:9" x14ac:dyDescent="0.25">
      <c r="E4597" s="7"/>
      <c r="F4597" t="s">
        <v>20</v>
      </c>
      <c r="G4597" t="s">
        <v>21</v>
      </c>
      <c r="H4597" t="str">
        <f>"112108771001"</f>
        <v>112108771001</v>
      </c>
      <c r="I4597" t="str">
        <f t="shared" si="96"/>
        <v>OFFICE SUPPLIES</v>
      </c>
    </row>
    <row r="4598" spans="1:9" x14ac:dyDescent="0.25">
      <c r="E4598" s="7"/>
      <c r="F4598" t="s">
        <v>20</v>
      </c>
      <c r="G4598" t="s">
        <v>21</v>
      </c>
      <c r="H4598" t="str">
        <f>"112108771002"</f>
        <v>112108771002</v>
      </c>
      <c r="I4598" t="str">
        <f t="shared" si="96"/>
        <v>OFFICE SUPPLIES</v>
      </c>
    </row>
    <row r="4599" spans="1:9" x14ac:dyDescent="0.25">
      <c r="E4599" s="7"/>
      <c r="F4599" t="s">
        <v>20</v>
      </c>
      <c r="G4599" t="s">
        <v>21</v>
      </c>
      <c r="H4599" t="str">
        <f>"112108775001"</f>
        <v>112108775001</v>
      </c>
      <c r="I4599" t="str">
        <f t="shared" si="96"/>
        <v>OFFICE SUPPLIES</v>
      </c>
    </row>
    <row r="4600" spans="1:9" x14ac:dyDescent="0.25">
      <c r="E4600" s="7"/>
      <c r="F4600" t="s">
        <v>20</v>
      </c>
      <c r="G4600" t="s">
        <v>21</v>
      </c>
      <c r="H4600" t="str">
        <f>"114090807001"</f>
        <v>114090807001</v>
      </c>
      <c r="I4600" t="str">
        <f t="shared" si="96"/>
        <v>OFFICE SUPPLIES</v>
      </c>
    </row>
    <row r="4601" spans="1:9" x14ac:dyDescent="0.25">
      <c r="E4601" s="7"/>
      <c r="F4601" t="s">
        <v>20</v>
      </c>
      <c r="G4601" t="s">
        <v>21</v>
      </c>
      <c r="H4601" t="str">
        <f>"114093820001"</f>
        <v>114093820001</v>
      </c>
      <c r="I4601" t="str">
        <f t="shared" si="96"/>
        <v>OFFICE SUPPLIES</v>
      </c>
    </row>
    <row r="4602" spans="1:9" x14ac:dyDescent="0.25">
      <c r="A4602" s="6">
        <v>44076</v>
      </c>
      <c r="B4602" t="s">
        <v>26</v>
      </c>
      <c r="C4602">
        <v>64849</v>
      </c>
      <c r="D4602" t="s">
        <v>184</v>
      </c>
      <c r="E4602" s="7">
        <v>234</v>
      </c>
      <c r="F4602" t="s">
        <v>20</v>
      </c>
      <c r="G4602" t="s">
        <v>21</v>
      </c>
      <c r="H4602" t="str">
        <f>"1059-985"</f>
        <v>1059-985</v>
      </c>
      <c r="I4602" t="str">
        <f>"POLLUTION CONTROL SERVICES"</f>
        <v>POLLUTION CONTROL SERVICES</v>
      </c>
    </row>
    <row r="4603" spans="1:9" x14ac:dyDescent="0.25">
      <c r="A4603" s="6">
        <v>44076</v>
      </c>
      <c r="B4603" t="s">
        <v>26</v>
      </c>
      <c r="C4603">
        <v>64850</v>
      </c>
      <c r="D4603" t="s">
        <v>108</v>
      </c>
      <c r="E4603" s="7">
        <v>2435.58</v>
      </c>
      <c r="F4603" t="s">
        <v>20</v>
      </c>
      <c r="G4603" t="s">
        <v>21</v>
      </c>
      <c r="H4603" t="str">
        <f>"041295657991"</f>
        <v>041295657991</v>
      </c>
      <c r="I4603" t="str">
        <f>"POOLSURE"</f>
        <v>POOLSURE</v>
      </c>
    </row>
    <row r="4604" spans="1:9" x14ac:dyDescent="0.25">
      <c r="A4604" s="6">
        <v>44076</v>
      </c>
      <c r="B4604" t="s">
        <v>26</v>
      </c>
      <c r="C4604">
        <v>64851</v>
      </c>
      <c r="D4604" t="s">
        <v>131</v>
      </c>
      <c r="E4604" s="7">
        <v>275.33</v>
      </c>
      <c r="F4604" t="s">
        <v>20</v>
      </c>
      <c r="G4604" t="s">
        <v>21</v>
      </c>
      <c r="H4604" t="str">
        <f>"052790"</f>
        <v>052790</v>
      </c>
      <c r="I4604" t="str">
        <f>"AIR/FUEL FILTERS"</f>
        <v>AIR/FUEL FILTERS</v>
      </c>
    </row>
    <row r="4605" spans="1:9" x14ac:dyDescent="0.25">
      <c r="E4605" s="7"/>
      <c r="F4605" t="s">
        <v>20</v>
      </c>
      <c r="G4605" t="s">
        <v>21</v>
      </c>
      <c r="H4605" t="str">
        <f>"052892"</f>
        <v>052892</v>
      </c>
      <c r="I4605" t="str">
        <f>"AIR HOSE  ADAPTER"</f>
        <v>AIR HOSE  ADAPTER</v>
      </c>
    </row>
    <row r="4606" spans="1:9" x14ac:dyDescent="0.25">
      <c r="A4606" s="6">
        <v>44076</v>
      </c>
      <c r="B4606" t="s">
        <v>26</v>
      </c>
      <c r="C4606">
        <v>64852</v>
      </c>
      <c r="D4606" t="s">
        <v>273</v>
      </c>
      <c r="E4606" s="7">
        <v>38.71</v>
      </c>
      <c r="F4606" t="s">
        <v>20</v>
      </c>
      <c r="G4606" t="s">
        <v>21</v>
      </c>
      <c r="H4606" t="str">
        <f>"5119-0000094094"</f>
        <v>5119-0000094094</v>
      </c>
      <c r="I4606" t="str">
        <f>"REPUBLIC SERVICES TESSMAN ROAD"</f>
        <v>REPUBLIC SERVICES TESSMAN ROAD</v>
      </c>
    </row>
    <row r="4607" spans="1:9" x14ac:dyDescent="0.25">
      <c r="A4607" s="6">
        <v>44076</v>
      </c>
      <c r="B4607" t="s">
        <v>26</v>
      </c>
      <c r="C4607">
        <v>64853</v>
      </c>
      <c r="D4607" t="s">
        <v>630</v>
      </c>
      <c r="E4607" s="7">
        <v>630.49</v>
      </c>
      <c r="F4607" t="s">
        <v>20</v>
      </c>
      <c r="G4607" t="s">
        <v>21</v>
      </c>
      <c r="H4607" t="str">
        <f>"30244"</f>
        <v>30244</v>
      </c>
      <c r="I4607" t="str">
        <f>"METER FOR STARBUCKS"</f>
        <v>METER FOR STARBUCKS</v>
      </c>
    </row>
    <row r="4608" spans="1:9" x14ac:dyDescent="0.25">
      <c r="A4608" s="6">
        <v>44076</v>
      </c>
      <c r="B4608" t="s">
        <v>26</v>
      </c>
      <c r="C4608">
        <v>64854</v>
      </c>
      <c r="D4608" t="s">
        <v>527</v>
      </c>
      <c r="E4608" s="7">
        <v>3400</v>
      </c>
      <c r="F4608" t="s">
        <v>20</v>
      </c>
      <c r="G4608" t="s">
        <v>21</v>
      </c>
      <c r="H4608" t="str">
        <f>"746162"</f>
        <v>746162</v>
      </c>
      <c r="I4608" t="str">
        <f>"FENCE REPAIR AT LIFT #8"</f>
        <v>FENCE REPAIR AT LIFT #8</v>
      </c>
    </row>
    <row r="4609" spans="1:9" x14ac:dyDescent="0.25">
      <c r="E4609" s="7"/>
      <c r="F4609" t="s">
        <v>20</v>
      </c>
      <c r="G4609" t="s">
        <v>21</v>
      </c>
      <c r="H4609" t="str">
        <f>"746163"</f>
        <v>746163</v>
      </c>
      <c r="I4609" t="str">
        <f>"FENCE REPAIR FOR POOL"</f>
        <v>FENCE REPAIR FOR POOL</v>
      </c>
    </row>
    <row r="4610" spans="1:9" x14ac:dyDescent="0.25">
      <c r="A4610" s="6">
        <v>44076</v>
      </c>
      <c r="B4610" t="s">
        <v>91</v>
      </c>
      <c r="C4610">
        <v>64855</v>
      </c>
      <c r="D4610" t="s">
        <v>515</v>
      </c>
      <c r="E4610" s="7">
        <v>19778</v>
      </c>
      <c r="F4610" t="s">
        <v>20</v>
      </c>
      <c r="G4610" t="s">
        <v>21</v>
      </c>
      <c r="H4610" t="str">
        <f>"1242"</f>
        <v>1242</v>
      </c>
      <c r="I4610" t="str">
        <f>"RIFLES/SANDMAN S SUPPRESS"</f>
        <v>RIFLES/SANDMAN S SUPPRESS</v>
      </c>
    </row>
    <row r="4611" spans="1:9" x14ac:dyDescent="0.25">
      <c r="A4611" s="6">
        <v>44076</v>
      </c>
      <c r="B4611" t="s">
        <v>91</v>
      </c>
      <c r="C4611">
        <v>64855</v>
      </c>
      <c r="D4611" t="s">
        <v>515</v>
      </c>
      <c r="E4611" s="7">
        <v>19778</v>
      </c>
      <c r="F4611" t="s">
        <v>20</v>
      </c>
      <c r="G4611" t="s">
        <v>93</v>
      </c>
      <c r="H4611" t="str">
        <f>"CHECK"</f>
        <v>CHECK</v>
      </c>
      <c r="I4611" t="str">
        <f>""</f>
        <v/>
      </c>
    </row>
    <row r="4612" spans="1:9" x14ac:dyDescent="0.25">
      <c r="A4612" s="6">
        <v>44076</v>
      </c>
      <c r="B4612" t="s">
        <v>26</v>
      </c>
      <c r="C4612">
        <v>64856</v>
      </c>
      <c r="D4612" t="s">
        <v>132</v>
      </c>
      <c r="E4612" s="7">
        <v>52.56</v>
      </c>
      <c r="F4612" t="s">
        <v>20</v>
      </c>
      <c r="G4612" t="s">
        <v>21</v>
      </c>
      <c r="H4612" t="str">
        <f>"2887 9/5/2020"</f>
        <v>2887 9/5/2020</v>
      </c>
      <c r="I4612" t="str">
        <f>"SPARKLETTS &amp; SIERRA SPRINGS"</f>
        <v>SPARKLETTS &amp; SIERRA SPRINGS</v>
      </c>
    </row>
    <row r="4613" spans="1:9" x14ac:dyDescent="0.25">
      <c r="A4613" s="6">
        <v>44076</v>
      </c>
      <c r="B4613" t="s">
        <v>26</v>
      </c>
      <c r="C4613">
        <v>64857</v>
      </c>
      <c r="D4613" t="s">
        <v>554</v>
      </c>
      <c r="E4613" s="7">
        <v>74.95</v>
      </c>
      <c r="F4613" t="s">
        <v>20</v>
      </c>
      <c r="G4613" t="s">
        <v>21</v>
      </c>
      <c r="H4613" t="str">
        <f>"AA96546"</f>
        <v>AA96546</v>
      </c>
      <c r="I4613" t="str">
        <f>"TEXAS WIRED MUSIC"</f>
        <v>TEXAS WIRED MUSIC</v>
      </c>
    </row>
    <row r="4614" spans="1:9" x14ac:dyDescent="0.25">
      <c r="A4614" s="6">
        <v>44076</v>
      </c>
      <c r="B4614" t="s">
        <v>26</v>
      </c>
      <c r="C4614">
        <v>64858</v>
      </c>
      <c r="D4614" t="s">
        <v>644</v>
      </c>
      <c r="E4614" s="7">
        <v>1315.98</v>
      </c>
      <c r="F4614" t="s">
        <v>20</v>
      </c>
      <c r="G4614" t="s">
        <v>21</v>
      </c>
      <c r="H4614" t="str">
        <f>"8213496472"</f>
        <v>8213496472</v>
      </c>
      <c r="I4614" t="str">
        <f t="shared" ref="I4614:I4632" si="97">"UNIFIRST CORPORATION"</f>
        <v>UNIFIRST CORPORATION</v>
      </c>
    </row>
    <row r="4615" spans="1:9" x14ac:dyDescent="0.25">
      <c r="E4615" s="7"/>
      <c r="F4615" t="s">
        <v>20</v>
      </c>
      <c r="G4615" t="s">
        <v>21</v>
      </c>
      <c r="H4615" t="str">
        <f>"8213496473"</f>
        <v>8213496473</v>
      </c>
      <c r="I4615" t="str">
        <f t="shared" si="97"/>
        <v>UNIFIRST CORPORATION</v>
      </c>
    </row>
    <row r="4616" spans="1:9" x14ac:dyDescent="0.25">
      <c r="E4616" s="7"/>
      <c r="F4616" t="s">
        <v>20</v>
      </c>
      <c r="G4616" t="s">
        <v>21</v>
      </c>
      <c r="H4616" t="str">
        <f>"8213496474"</f>
        <v>8213496474</v>
      </c>
      <c r="I4616" t="str">
        <f t="shared" si="97"/>
        <v>UNIFIRST CORPORATION</v>
      </c>
    </row>
    <row r="4617" spans="1:9" x14ac:dyDescent="0.25">
      <c r="E4617" s="7"/>
      <c r="F4617" t="s">
        <v>20</v>
      </c>
      <c r="G4617" t="s">
        <v>21</v>
      </c>
      <c r="H4617" t="str">
        <f>"8213496475"</f>
        <v>8213496475</v>
      </c>
      <c r="I4617" t="str">
        <f t="shared" si="97"/>
        <v>UNIFIRST CORPORATION</v>
      </c>
    </row>
    <row r="4618" spans="1:9" x14ac:dyDescent="0.25">
      <c r="E4618" s="7"/>
      <c r="F4618" t="s">
        <v>20</v>
      </c>
      <c r="G4618" t="s">
        <v>21</v>
      </c>
      <c r="H4618" t="str">
        <f>"8213496476"</f>
        <v>8213496476</v>
      </c>
      <c r="I4618" t="str">
        <f t="shared" si="97"/>
        <v>UNIFIRST CORPORATION</v>
      </c>
    </row>
    <row r="4619" spans="1:9" x14ac:dyDescent="0.25">
      <c r="E4619" s="7"/>
      <c r="F4619" t="s">
        <v>20</v>
      </c>
      <c r="G4619" t="s">
        <v>21</v>
      </c>
      <c r="H4619" t="str">
        <f>"8213496477"</f>
        <v>8213496477</v>
      </c>
      <c r="I4619" t="str">
        <f t="shared" si="97"/>
        <v>UNIFIRST CORPORATION</v>
      </c>
    </row>
    <row r="4620" spans="1:9" x14ac:dyDescent="0.25">
      <c r="E4620" s="7"/>
      <c r="F4620" t="s">
        <v>20</v>
      </c>
      <c r="G4620" t="s">
        <v>21</v>
      </c>
      <c r="H4620" t="str">
        <f>"8213499070"</f>
        <v>8213499070</v>
      </c>
      <c r="I4620" t="str">
        <f t="shared" si="97"/>
        <v>UNIFIRST CORPORATION</v>
      </c>
    </row>
    <row r="4621" spans="1:9" x14ac:dyDescent="0.25">
      <c r="E4621" s="7"/>
      <c r="F4621" t="s">
        <v>20</v>
      </c>
      <c r="G4621" t="s">
        <v>21</v>
      </c>
      <c r="H4621" t="str">
        <f>"8213499071"</f>
        <v>8213499071</v>
      </c>
      <c r="I4621" t="str">
        <f t="shared" si="97"/>
        <v>UNIFIRST CORPORATION</v>
      </c>
    </row>
    <row r="4622" spans="1:9" x14ac:dyDescent="0.25">
      <c r="E4622" s="7"/>
      <c r="F4622" t="s">
        <v>20</v>
      </c>
      <c r="G4622" t="s">
        <v>21</v>
      </c>
      <c r="H4622" t="str">
        <f>"8213499072"</f>
        <v>8213499072</v>
      </c>
      <c r="I4622" t="str">
        <f t="shared" si="97"/>
        <v>UNIFIRST CORPORATION</v>
      </c>
    </row>
    <row r="4623" spans="1:9" x14ac:dyDescent="0.25">
      <c r="E4623" s="7"/>
      <c r="F4623" t="s">
        <v>20</v>
      </c>
      <c r="G4623" t="s">
        <v>21</v>
      </c>
      <c r="H4623" t="str">
        <f>"8213499073"</f>
        <v>8213499073</v>
      </c>
      <c r="I4623" t="str">
        <f t="shared" si="97"/>
        <v>UNIFIRST CORPORATION</v>
      </c>
    </row>
    <row r="4624" spans="1:9" x14ac:dyDescent="0.25">
      <c r="E4624" s="7"/>
      <c r="F4624" t="s">
        <v>20</v>
      </c>
      <c r="G4624" t="s">
        <v>21</v>
      </c>
      <c r="H4624" t="str">
        <f>"8213499074"</f>
        <v>8213499074</v>
      </c>
      <c r="I4624" t="str">
        <f t="shared" si="97"/>
        <v>UNIFIRST CORPORATION</v>
      </c>
    </row>
    <row r="4625" spans="1:9" x14ac:dyDescent="0.25">
      <c r="E4625" s="7"/>
      <c r="F4625" t="s">
        <v>20</v>
      </c>
      <c r="G4625" t="s">
        <v>21</v>
      </c>
      <c r="H4625" t="str">
        <f>"8213499075"</f>
        <v>8213499075</v>
      </c>
      <c r="I4625" t="str">
        <f t="shared" si="97"/>
        <v>UNIFIRST CORPORATION</v>
      </c>
    </row>
    <row r="4626" spans="1:9" x14ac:dyDescent="0.25">
      <c r="E4626" s="7"/>
      <c r="F4626" t="s">
        <v>20</v>
      </c>
      <c r="G4626" t="s">
        <v>21</v>
      </c>
      <c r="H4626" t="str">
        <f>"8213501693"</f>
        <v>8213501693</v>
      </c>
      <c r="I4626" t="str">
        <f t="shared" si="97"/>
        <v>UNIFIRST CORPORATION</v>
      </c>
    </row>
    <row r="4627" spans="1:9" x14ac:dyDescent="0.25">
      <c r="E4627" s="7"/>
      <c r="F4627" t="s">
        <v>20</v>
      </c>
      <c r="G4627" t="s">
        <v>21</v>
      </c>
      <c r="H4627" t="str">
        <f>"8213501694"</f>
        <v>8213501694</v>
      </c>
      <c r="I4627" t="str">
        <f t="shared" si="97"/>
        <v>UNIFIRST CORPORATION</v>
      </c>
    </row>
    <row r="4628" spans="1:9" x14ac:dyDescent="0.25">
      <c r="E4628" s="7"/>
      <c r="F4628" t="s">
        <v>20</v>
      </c>
      <c r="G4628" t="s">
        <v>21</v>
      </c>
      <c r="H4628" t="str">
        <f>"8213501695"</f>
        <v>8213501695</v>
      </c>
      <c r="I4628" t="str">
        <f t="shared" si="97"/>
        <v>UNIFIRST CORPORATION</v>
      </c>
    </row>
    <row r="4629" spans="1:9" x14ac:dyDescent="0.25">
      <c r="E4629" s="7"/>
      <c r="F4629" t="s">
        <v>20</v>
      </c>
      <c r="G4629" t="s">
        <v>21</v>
      </c>
      <c r="H4629" t="str">
        <f>"8213501696"</f>
        <v>8213501696</v>
      </c>
      <c r="I4629" t="str">
        <f t="shared" si="97"/>
        <v>UNIFIRST CORPORATION</v>
      </c>
    </row>
    <row r="4630" spans="1:9" x14ac:dyDescent="0.25">
      <c r="E4630" s="7"/>
      <c r="F4630" t="s">
        <v>20</v>
      </c>
      <c r="G4630" t="s">
        <v>21</v>
      </c>
      <c r="H4630" t="str">
        <f>"8213501697"</f>
        <v>8213501697</v>
      </c>
      <c r="I4630" t="str">
        <f t="shared" si="97"/>
        <v>UNIFIRST CORPORATION</v>
      </c>
    </row>
    <row r="4631" spans="1:9" x14ac:dyDescent="0.25">
      <c r="E4631" s="7"/>
      <c r="F4631" t="s">
        <v>20</v>
      </c>
      <c r="G4631" t="s">
        <v>21</v>
      </c>
      <c r="H4631" t="str">
        <f>"8213501698"</f>
        <v>8213501698</v>
      </c>
      <c r="I4631" t="str">
        <f t="shared" si="97"/>
        <v>UNIFIRST CORPORATION</v>
      </c>
    </row>
    <row r="4632" spans="1:9" x14ac:dyDescent="0.25">
      <c r="E4632" s="7"/>
      <c r="F4632" t="s">
        <v>20</v>
      </c>
      <c r="G4632" t="s">
        <v>21</v>
      </c>
      <c r="H4632" t="str">
        <f>"8213501699"</f>
        <v>8213501699</v>
      </c>
      <c r="I4632" t="str">
        <f t="shared" si="97"/>
        <v>UNIFIRST CORPORATION</v>
      </c>
    </row>
    <row r="4633" spans="1:9" x14ac:dyDescent="0.25">
      <c r="A4633" s="6">
        <v>44076</v>
      </c>
      <c r="B4633" t="s">
        <v>26</v>
      </c>
      <c r="C4633">
        <v>64862</v>
      </c>
      <c r="D4633" t="s">
        <v>203</v>
      </c>
      <c r="E4633" s="7">
        <v>854.65</v>
      </c>
      <c r="F4633" t="s">
        <v>20</v>
      </c>
      <c r="G4633" t="s">
        <v>21</v>
      </c>
      <c r="H4633" t="str">
        <f>"325630"</f>
        <v>325630</v>
      </c>
      <c r="I4633" t="str">
        <f>"PH METER"</f>
        <v>PH METER</v>
      </c>
    </row>
    <row r="4634" spans="1:9" x14ac:dyDescent="0.25">
      <c r="E4634" s="7"/>
      <c r="F4634" t="s">
        <v>20</v>
      </c>
      <c r="G4634" t="s">
        <v>21</v>
      </c>
      <c r="H4634" t="str">
        <f>"334341"</f>
        <v>334341</v>
      </c>
      <c r="I4634" t="str">
        <f>"CHEMICALS"</f>
        <v>CHEMICALS</v>
      </c>
    </row>
    <row r="4635" spans="1:9" x14ac:dyDescent="0.25">
      <c r="A4635" s="6">
        <v>44076</v>
      </c>
      <c r="B4635" t="s">
        <v>26</v>
      </c>
      <c r="C4635">
        <v>64863</v>
      </c>
      <c r="D4635" t="s">
        <v>74</v>
      </c>
      <c r="E4635" s="7">
        <v>2509.13</v>
      </c>
      <c r="F4635" t="s">
        <v>20</v>
      </c>
      <c r="G4635" t="s">
        <v>21</v>
      </c>
      <c r="H4635" t="str">
        <f>"9861433746"</f>
        <v>9861433746</v>
      </c>
      <c r="I4635" t="str">
        <f>"VERIZON WIRELESS"</f>
        <v>VERIZON WIRELESS</v>
      </c>
    </row>
    <row r="4636" spans="1:9" x14ac:dyDescent="0.25">
      <c r="A4636" s="6">
        <v>44076</v>
      </c>
      <c r="B4636" t="s">
        <v>26</v>
      </c>
      <c r="C4636">
        <v>64864</v>
      </c>
      <c r="D4636" t="s">
        <v>122</v>
      </c>
      <c r="E4636" s="7">
        <v>10</v>
      </c>
      <c r="F4636" t="s">
        <v>20</v>
      </c>
      <c r="G4636" t="s">
        <v>21</v>
      </c>
      <c r="H4636" t="str">
        <f>"48611002"</f>
        <v>48611002</v>
      </c>
      <c r="I4636" t="str">
        <f>"VILLA TIRES"</f>
        <v>VILLA TIRES</v>
      </c>
    </row>
    <row r="4637" spans="1:9" x14ac:dyDescent="0.25">
      <c r="A4637" s="6">
        <v>44076</v>
      </c>
      <c r="B4637" t="s">
        <v>26</v>
      </c>
      <c r="C4637">
        <v>64865</v>
      </c>
      <c r="D4637" t="s">
        <v>186</v>
      </c>
      <c r="E4637" s="7">
        <v>7612.42</v>
      </c>
      <c r="F4637" t="s">
        <v>20</v>
      </c>
      <c r="G4637" t="s">
        <v>21</v>
      </c>
      <c r="H4637" t="str">
        <f>"10/1-12/31/20 4TH"</f>
        <v>10/1-12/31/20 4TH</v>
      </c>
      <c r="I4637" t="str">
        <f>"WILSON COUNTY APPRAISAL DISTRI"</f>
        <v>WILSON COUNTY APPRAISAL DISTRI</v>
      </c>
    </row>
    <row r="4638" spans="1:9" x14ac:dyDescent="0.25">
      <c r="A4638" s="6">
        <v>44076</v>
      </c>
      <c r="B4638" t="s">
        <v>91</v>
      </c>
      <c r="C4638">
        <v>64866</v>
      </c>
      <c r="D4638" t="s">
        <v>966</v>
      </c>
      <c r="E4638" s="7">
        <v>11725.5</v>
      </c>
      <c r="F4638" t="s">
        <v>20</v>
      </c>
      <c r="G4638" t="s">
        <v>21</v>
      </c>
      <c r="H4638" t="str">
        <f>"01956-2"</f>
        <v>01956-2</v>
      </c>
      <c r="I4638" t="str">
        <f>"ABC DISINFECTANT SPRAYING FOGG"</f>
        <v>ABC DISINFECTANT SPRAYING FOGG</v>
      </c>
    </row>
    <row r="4639" spans="1:9" x14ac:dyDescent="0.25">
      <c r="A4639" s="6">
        <v>44076</v>
      </c>
      <c r="B4639" t="s">
        <v>91</v>
      </c>
      <c r="C4639">
        <v>64866</v>
      </c>
      <c r="D4639" t="s">
        <v>966</v>
      </c>
      <c r="E4639" s="7">
        <v>11725.5</v>
      </c>
      <c r="F4639" t="s">
        <v>20</v>
      </c>
      <c r="G4639" t="s">
        <v>93</v>
      </c>
      <c r="H4639" t="str">
        <f>"CHECK"</f>
        <v>CHECK</v>
      </c>
      <c r="I4639" t="str">
        <f>""</f>
        <v/>
      </c>
    </row>
    <row r="4640" spans="1:9" x14ac:dyDescent="0.25">
      <c r="A4640" s="6">
        <v>44077</v>
      </c>
      <c r="B4640" t="s">
        <v>26</v>
      </c>
      <c r="C4640">
        <v>64867</v>
      </c>
      <c r="D4640" t="s">
        <v>90</v>
      </c>
      <c r="E4640" s="7">
        <v>1385.58</v>
      </c>
      <c r="F4640" t="s">
        <v>20</v>
      </c>
      <c r="G4640" t="s">
        <v>24</v>
      </c>
      <c r="H4640" t="str">
        <f>"AUGUST 2020"</f>
        <v>AUGUST 2020</v>
      </c>
      <c r="I4640" t="str">
        <f>"AFLAC"</f>
        <v>AFLAC</v>
      </c>
    </row>
    <row r="4641" spans="1:9" x14ac:dyDescent="0.25">
      <c r="E4641" s="7"/>
      <c r="F4641" t="s">
        <v>20</v>
      </c>
      <c r="G4641" t="s">
        <v>21</v>
      </c>
      <c r="H4641" t="str">
        <f>"ACA202008118580"</f>
        <v>ACA202008118580</v>
      </c>
      <c r="I4641" t="str">
        <f>"AFLAC INSURANCE"</f>
        <v>AFLAC INSURANCE</v>
      </c>
    </row>
    <row r="4642" spans="1:9" x14ac:dyDescent="0.25">
      <c r="E4642" s="7"/>
      <c r="F4642" t="s">
        <v>20</v>
      </c>
      <c r="G4642" t="s">
        <v>21</v>
      </c>
      <c r="H4642" t="str">
        <f>"ACA202008258582"</f>
        <v>ACA202008258582</v>
      </c>
      <c r="I4642" t="str">
        <f>"AFLAC INSURANCE"</f>
        <v>AFLAC INSURANCE</v>
      </c>
    </row>
    <row r="4643" spans="1:9" x14ac:dyDescent="0.25">
      <c r="E4643" s="7"/>
      <c r="F4643" t="s">
        <v>20</v>
      </c>
      <c r="G4643" t="s">
        <v>21</v>
      </c>
      <c r="H4643" t="str">
        <f>"ADR202008118580"</f>
        <v>ADR202008118580</v>
      </c>
      <c r="I4643" t="str">
        <f>"INSURANCE"</f>
        <v>INSURANCE</v>
      </c>
    </row>
    <row r="4644" spans="1:9" x14ac:dyDescent="0.25">
      <c r="E4644" s="7"/>
      <c r="F4644" t="s">
        <v>20</v>
      </c>
      <c r="G4644" t="s">
        <v>21</v>
      </c>
      <c r="H4644" t="str">
        <f>"ADR202008258582"</f>
        <v>ADR202008258582</v>
      </c>
      <c r="I4644" t="str">
        <f>"INSURANCE"</f>
        <v>INSURANCE</v>
      </c>
    </row>
    <row r="4645" spans="1:9" x14ac:dyDescent="0.25">
      <c r="E4645" s="7"/>
      <c r="F4645" t="s">
        <v>20</v>
      </c>
      <c r="G4645" t="s">
        <v>21</v>
      </c>
      <c r="H4645" t="str">
        <f>"AF1202008118580"</f>
        <v>AF1202008118580</v>
      </c>
      <c r="I4645" t="str">
        <f>"AFLAC INSURANCE"</f>
        <v>AFLAC INSURANCE</v>
      </c>
    </row>
    <row r="4646" spans="1:9" x14ac:dyDescent="0.25">
      <c r="E4646" s="7"/>
      <c r="F4646" t="s">
        <v>20</v>
      </c>
      <c r="G4646" t="s">
        <v>21</v>
      </c>
      <c r="H4646" t="str">
        <f>"AF1202008258582"</f>
        <v>AF1202008258582</v>
      </c>
      <c r="I4646" t="str">
        <f>"AFLAC INSURANCE"</f>
        <v>AFLAC INSURANCE</v>
      </c>
    </row>
    <row r="4647" spans="1:9" x14ac:dyDescent="0.25">
      <c r="E4647" s="7"/>
      <c r="F4647" t="s">
        <v>20</v>
      </c>
      <c r="G4647" t="s">
        <v>21</v>
      </c>
      <c r="H4647" t="str">
        <f>"AFS202008118580"</f>
        <v>AFS202008118580</v>
      </c>
      <c r="I4647" t="str">
        <f>"AFLAC STD"</f>
        <v>AFLAC STD</v>
      </c>
    </row>
    <row r="4648" spans="1:9" x14ac:dyDescent="0.25">
      <c r="E4648" s="7"/>
      <c r="F4648" t="s">
        <v>20</v>
      </c>
      <c r="G4648" t="s">
        <v>21</v>
      </c>
      <c r="H4648" t="str">
        <f>"AFS202008258582"</f>
        <v>AFS202008258582</v>
      </c>
      <c r="I4648" t="str">
        <f>"AFLAC STD"</f>
        <v>AFLAC STD</v>
      </c>
    </row>
    <row r="4649" spans="1:9" x14ac:dyDescent="0.25">
      <c r="E4649" s="7"/>
      <c r="F4649" t="s">
        <v>20</v>
      </c>
      <c r="G4649" t="s">
        <v>21</v>
      </c>
      <c r="H4649" t="str">
        <f>"ASP202008118580"</f>
        <v>ASP202008118580</v>
      </c>
      <c r="I4649" t="str">
        <f>"AFLAC INSURANCE"</f>
        <v>AFLAC INSURANCE</v>
      </c>
    </row>
    <row r="4650" spans="1:9" x14ac:dyDescent="0.25">
      <c r="E4650" s="7"/>
      <c r="F4650" t="s">
        <v>20</v>
      </c>
      <c r="G4650" t="s">
        <v>21</v>
      </c>
      <c r="H4650" t="str">
        <f>"ASP202008258582"</f>
        <v>ASP202008258582</v>
      </c>
      <c r="I4650" t="str">
        <f>"AFLAC INSURANCE"</f>
        <v>AFLAC INSURANCE</v>
      </c>
    </row>
    <row r="4651" spans="1:9" x14ac:dyDescent="0.25">
      <c r="E4651" s="7"/>
      <c r="F4651" t="s">
        <v>20</v>
      </c>
      <c r="G4651" t="s">
        <v>21</v>
      </c>
      <c r="H4651" t="str">
        <f>"HCO202008118580"</f>
        <v>HCO202008118580</v>
      </c>
      <c r="I4651" t="str">
        <f>"AFLAC INSURANCE"</f>
        <v>AFLAC INSURANCE</v>
      </c>
    </row>
    <row r="4652" spans="1:9" x14ac:dyDescent="0.25">
      <c r="E4652" s="7"/>
      <c r="F4652" t="s">
        <v>20</v>
      </c>
      <c r="G4652" t="s">
        <v>21</v>
      </c>
      <c r="H4652" t="str">
        <f>"HCO202008258582"</f>
        <v>HCO202008258582</v>
      </c>
      <c r="I4652" t="str">
        <f>"AFLAC INSURANCE"</f>
        <v>AFLAC INSURANCE</v>
      </c>
    </row>
    <row r="4653" spans="1:9" x14ac:dyDescent="0.25">
      <c r="A4653" s="6">
        <v>44077</v>
      </c>
      <c r="B4653" t="s">
        <v>26</v>
      </c>
      <c r="C4653">
        <v>64872</v>
      </c>
      <c r="D4653" t="s">
        <v>95</v>
      </c>
      <c r="E4653" s="7">
        <v>25.32</v>
      </c>
      <c r="F4653" t="s">
        <v>20</v>
      </c>
      <c r="G4653" t="s">
        <v>21</v>
      </c>
      <c r="H4653" t="str">
        <f>"202008113"</f>
        <v>202008113</v>
      </c>
      <c r="I4653" t="str">
        <f>"LEGAL PLANS"</f>
        <v>LEGAL PLANS</v>
      </c>
    </row>
    <row r="4654" spans="1:9" x14ac:dyDescent="0.25">
      <c r="E4654" s="7"/>
      <c r="F4654" t="s">
        <v>20</v>
      </c>
      <c r="G4654" t="s">
        <v>21</v>
      </c>
      <c r="H4654" t="str">
        <f>"LEA202008118580"</f>
        <v>LEA202008118580</v>
      </c>
      <c r="I4654" t="str">
        <f>"INSURANCE"</f>
        <v>INSURANCE</v>
      </c>
    </row>
    <row r="4655" spans="1:9" x14ac:dyDescent="0.25">
      <c r="E4655" s="7"/>
      <c r="F4655" t="s">
        <v>20</v>
      </c>
      <c r="G4655" t="s">
        <v>21</v>
      </c>
      <c r="H4655" t="str">
        <f>"LEA202008258582"</f>
        <v>LEA202008258582</v>
      </c>
      <c r="I4655" t="str">
        <f>"INSURANCE"</f>
        <v>INSURANCE</v>
      </c>
    </row>
    <row r="4656" spans="1:9" x14ac:dyDescent="0.25">
      <c r="A4656" s="6">
        <v>44077</v>
      </c>
      <c r="B4656" t="s">
        <v>26</v>
      </c>
      <c r="C4656">
        <v>64873</v>
      </c>
      <c r="D4656" t="s">
        <v>96</v>
      </c>
      <c r="E4656" s="7">
        <v>199.3</v>
      </c>
      <c r="F4656" t="s">
        <v>20</v>
      </c>
      <c r="G4656" t="s">
        <v>21</v>
      </c>
      <c r="H4656" t="str">
        <f>"AUGUST 2020"</f>
        <v>AUGUST 2020</v>
      </c>
      <c r="I4656" t="str">
        <f>"LEGALSHIELD"</f>
        <v>LEGALSHIELD</v>
      </c>
    </row>
    <row r="4657" spans="1:9" x14ac:dyDescent="0.25">
      <c r="E4657" s="7"/>
      <c r="F4657" t="s">
        <v>20</v>
      </c>
      <c r="G4657" t="s">
        <v>21</v>
      </c>
      <c r="H4657" t="str">
        <f>"PPL202008118580"</f>
        <v>PPL202008118580</v>
      </c>
      <c r="I4657" t="str">
        <f>"INSURANCE"</f>
        <v>INSURANCE</v>
      </c>
    </row>
    <row r="4658" spans="1:9" x14ac:dyDescent="0.25">
      <c r="E4658" s="7"/>
      <c r="F4658" t="s">
        <v>20</v>
      </c>
      <c r="G4658" t="s">
        <v>21</v>
      </c>
      <c r="H4658" t="str">
        <f>"PPL202008258582"</f>
        <v>PPL202008258582</v>
      </c>
      <c r="I4658" t="str">
        <f>"INSURANCE"</f>
        <v>INSURANCE</v>
      </c>
    </row>
    <row r="4659" spans="1:9" x14ac:dyDescent="0.25">
      <c r="A4659" s="6">
        <v>44077</v>
      </c>
      <c r="B4659" t="s">
        <v>26</v>
      </c>
      <c r="C4659">
        <v>64875</v>
      </c>
      <c r="D4659" t="s">
        <v>345</v>
      </c>
      <c r="E4659" s="7">
        <v>209</v>
      </c>
      <c r="F4659" t="s">
        <v>20</v>
      </c>
      <c r="G4659" t="s">
        <v>21</v>
      </c>
      <c r="H4659" t="str">
        <f>"8/31/2020"</f>
        <v>8/31/2020</v>
      </c>
      <c r="I4659" t="str">
        <f>"MICHAEL ISAAC MARTINEZ"</f>
        <v>MICHAEL ISAAC MARTINEZ</v>
      </c>
    </row>
    <row r="4660" spans="1:9" x14ac:dyDescent="0.25">
      <c r="A4660" s="6">
        <v>44077</v>
      </c>
      <c r="B4660" t="s">
        <v>26</v>
      </c>
      <c r="C4660">
        <v>64876</v>
      </c>
      <c r="D4660" t="s">
        <v>967</v>
      </c>
      <c r="E4660" s="7">
        <v>3000</v>
      </c>
      <c r="F4660" t="s">
        <v>20</v>
      </c>
      <c r="G4660" t="s">
        <v>21</v>
      </c>
      <c r="H4660" t="str">
        <f>"INV912020"</f>
        <v>INV912020</v>
      </c>
      <c r="I4660" t="str">
        <f>"DRAINAGE DITCH"</f>
        <v>DRAINAGE DITCH</v>
      </c>
    </row>
    <row r="4661" spans="1:9" x14ac:dyDescent="0.25">
      <c r="A4661" s="6">
        <v>44077</v>
      </c>
      <c r="B4661" t="s">
        <v>91</v>
      </c>
      <c r="C4661">
        <v>64877</v>
      </c>
      <c r="D4661" t="s">
        <v>966</v>
      </c>
      <c r="E4661" s="7">
        <v>12033</v>
      </c>
      <c r="F4661" t="s">
        <v>20</v>
      </c>
      <c r="G4661" t="s">
        <v>21</v>
      </c>
      <c r="H4661" t="str">
        <f>"01956-1 REISSUE"</f>
        <v>01956-1 REISSUE</v>
      </c>
      <c r="I4661" t="str">
        <f>"ABC DISINFECTANT SPRAYING AND"</f>
        <v>ABC DISINFECTANT SPRAYING AND</v>
      </c>
    </row>
    <row r="4662" spans="1:9" x14ac:dyDescent="0.25">
      <c r="A4662" s="6">
        <v>44077</v>
      </c>
      <c r="B4662" t="s">
        <v>91</v>
      </c>
      <c r="C4662">
        <v>64877</v>
      </c>
      <c r="D4662" t="s">
        <v>966</v>
      </c>
      <c r="E4662" s="7">
        <v>12033</v>
      </c>
      <c r="F4662" t="s">
        <v>20</v>
      </c>
      <c r="G4662" t="s">
        <v>93</v>
      </c>
      <c r="H4662" t="str">
        <f>"CHECK"</f>
        <v>CHECK</v>
      </c>
      <c r="I4662" t="str">
        <f>""</f>
        <v/>
      </c>
    </row>
    <row r="4663" spans="1:9" x14ac:dyDescent="0.25">
      <c r="A4663" s="6">
        <v>44077</v>
      </c>
      <c r="B4663" t="s">
        <v>91</v>
      </c>
      <c r="C4663">
        <v>64878</v>
      </c>
      <c r="D4663" t="s">
        <v>966</v>
      </c>
      <c r="E4663" s="7">
        <v>11725.5</v>
      </c>
      <c r="F4663" t="s">
        <v>20</v>
      </c>
      <c r="G4663" t="s">
        <v>21</v>
      </c>
      <c r="H4663" t="str">
        <f>"01956-2 REISSUE"</f>
        <v>01956-2 REISSUE</v>
      </c>
      <c r="I4663" t="str">
        <f>"ABC DISINFECTANT SPRAYING AND"</f>
        <v>ABC DISINFECTANT SPRAYING AND</v>
      </c>
    </row>
    <row r="4664" spans="1:9" x14ac:dyDescent="0.25">
      <c r="A4664" s="6">
        <v>44077</v>
      </c>
      <c r="B4664" t="s">
        <v>91</v>
      </c>
      <c r="C4664">
        <v>64878</v>
      </c>
      <c r="D4664" t="s">
        <v>966</v>
      </c>
      <c r="E4664" s="7">
        <v>11725.5</v>
      </c>
      <c r="F4664" t="s">
        <v>20</v>
      </c>
      <c r="G4664" t="s">
        <v>93</v>
      </c>
      <c r="H4664" t="str">
        <f>"CHECK"</f>
        <v>CHECK</v>
      </c>
      <c r="I4664" t="str">
        <f>""</f>
        <v/>
      </c>
    </row>
    <row r="4665" spans="1:9" x14ac:dyDescent="0.25">
      <c r="A4665" s="6">
        <v>44077</v>
      </c>
      <c r="B4665" t="s">
        <v>26</v>
      </c>
      <c r="C4665">
        <v>64879</v>
      </c>
      <c r="D4665" t="s">
        <v>968</v>
      </c>
      <c r="E4665" s="7">
        <v>12033</v>
      </c>
      <c r="F4665" t="s">
        <v>20</v>
      </c>
      <c r="G4665" t="s">
        <v>21</v>
      </c>
      <c r="H4665" t="str">
        <f>"01956-1"</f>
        <v>01956-1</v>
      </c>
      <c r="I4665" t="str">
        <f>"CLEVELAND DOUGLAS HURST"</f>
        <v>CLEVELAND DOUGLAS HURST</v>
      </c>
    </row>
    <row r="4666" spans="1:9" x14ac:dyDescent="0.25">
      <c r="A4666" s="6">
        <v>44077</v>
      </c>
      <c r="B4666" t="s">
        <v>26</v>
      </c>
      <c r="C4666">
        <v>64880</v>
      </c>
      <c r="D4666" t="s">
        <v>968</v>
      </c>
      <c r="E4666" s="7">
        <v>11725.5</v>
      </c>
      <c r="F4666" t="s">
        <v>20</v>
      </c>
      <c r="G4666" t="s">
        <v>21</v>
      </c>
      <c r="H4666" t="str">
        <f>"01956-2"</f>
        <v>01956-2</v>
      </c>
      <c r="I4666" t="str">
        <f>"CLEVELAND DOUGLAS HURST"</f>
        <v>CLEVELAND DOUGLAS HURST</v>
      </c>
    </row>
    <row r="4667" spans="1:9" x14ac:dyDescent="0.25">
      <c r="A4667" s="6">
        <v>44078</v>
      </c>
      <c r="B4667" t="s">
        <v>26</v>
      </c>
      <c r="C4667">
        <v>64881</v>
      </c>
      <c r="D4667" t="s">
        <v>97</v>
      </c>
      <c r="E4667" s="7">
        <v>45885.8</v>
      </c>
      <c r="F4667" t="s">
        <v>20</v>
      </c>
      <c r="G4667" t="s">
        <v>329</v>
      </c>
      <c r="H4667" t="str">
        <f>"AUG. 2020"</f>
        <v>AUG. 2020</v>
      </c>
      <c r="I4667" t="str">
        <f>"HEALTH CARE SERVICE CORPORATIO"</f>
        <v>HEALTH CARE SERVICE CORPORATIO</v>
      </c>
    </row>
    <row r="4668" spans="1:9" x14ac:dyDescent="0.25">
      <c r="E4668" s="7"/>
      <c r="F4668" t="s">
        <v>20</v>
      </c>
      <c r="G4668" t="s">
        <v>21</v>
      </c>
      <c r="H4668" t="str">
        <f>"DEN202008118580"</f>
        <v>DEN202008118580</v>
      </c>
      <c r="I4668" t="str">
        <f>"DENTAL INSURANCE"</f>
        <v>DENTAL INSURANCE</v>
      </c>
    </row>
    <row r="4669" spans="1:9" x14ac:dyDescent="0.25">
      <c r="E4669" s="7"/>
      <c r="F4669" t="s">
        <v>20</v>
      </c>
      <c r="G4669" t="s">
        <v>21</v>
      </c>
      <c r="H4669" t="str">
        <f>"DEN202008258582"</f>
        <v>DEN202008258582</v>
      </c>
      <c r="I4669" t="str">
        <f>"DENTAL INSURANCE"</f>
        <v>DENTAL INSURANCE</v>
      </c>
    </row>
    <row r="4670" spans="1:9" x14ac:dyDescent="0.25">
      <c r="E4670" s="7"/>
      <c r="F4670" t="s">
        <v>20</v>
      </c>
      <c r="G4670" t="s">
        <v>21</v>
      </c>
      <c r="H4670" t="str">
        <f>"MED202008118580"</f>
        <v>MED202008118580</v>
      </c>
      <c r="I4670" t="str">
        <f>"HEALTH &amp; DENTAL INSURANCE"</f>
        <v>HEALTH &amp; DENTAL INSURANCE</v>
      </c>
    </row>
    <row r="4671" spans="1:9" x14ac:dyDescent="0.25">
      <c r="E4671" s="7"/>
      <c r="F4671" t="s">
        <v>20</v>
      </c>
      <c r="G4671" t="s">
        <v>21</v>
      </c>
      <c r="H4671" t="str">
        <f>"MED202008258582"</f>
        <v>MED202008258582</v>
      </c>
      <c r="I4671" t="str">
        <f>"HEALTH &amp; DENTAL INSURANCE"</f>
        <v>HEALTH &amp; DENTAL INSURANCE</v>
      </c>
    </row>
    <row r="4672" spans="1:9" x14ac:dyDescent="0.25">
      <c r="A4672" s="6">
        <v>44078</v>
      </c>
      <c r="B4672" t="s">
        <v>91</v>
      </c>
      <c r="C4672">
        <v>64887</v>
      </c>
      <c r="D4672" t="s">
        <v>472</v>
      </c>
      <c r="E4672" s="7">
        <v>50</v>
      </c>
      <c r="F4672" t="s">
        <v>20</v>
      </c>
      <c r="G4672" t="s">
        <v>21</v>
      </c>
      <c r="H4672" t="str">
        <f>"ELECTION RECRD9/4"</f>
        <v>ELECTION RECRD9/4</v>
      </c>
      <c r="I4672" t="str">
        <f>"WILSON COUNTY CLERK  EVA S. MA"</f>
        <v>WILSON COUNTY CLERK  EVA S. MA</v>
      </c>
    </row>
    <row r="4673" spans="1:9" x14ac:dyDescent="0.25">
      <c r="A4673" s="6">
        <v>44078</v>
      </c>
      <c r="B4673" t="s">
        <v>91</v>
      </c>
      <c r="C4673">
        <v>64887</v>
      </c>
      <c r="D4673" t="s">
        <v>472</v>
      </c>
      <c r="E4673" s="7">
        <v>50</v>
      </c>
      <c r="F4673" t="s">
        <v>20</v>
      </c>
      <c r="G4673" t="s">
        <v>93</v>
      </c>
      <c r="H4673" t="str">
        <f>"CHECK"</f>
        <v>CHECK</v>
      </c>
      <c r="I4673" t="str">
        <f>""</f>
        <v/>
      </c>
    </row>
    <row r="4674" spans="1:9" x14ac:dyDescent="0.25">
      <c r="A4674" s="6">
        <v>44082</v>
      </c>
      <c r="B4674" t="s">
        <v>26</v>
      </c>
      <c r="C4674">
        <v>64888</v>
      </c>
      <c r="D4674" t="s">
        <v>98</v>
      </c>
      <c r="E4674" s="7">
        <v>3118.92</v>
      </c>
      <c r="F4674" t="s">
        <v>20</v>
      </c>
      <c r="G4674" t="s">
        <v>21</v>
      </c>
      <c r="H4674" t="str">
        <f>"LIF202008118580"</f>
        <v>LIF202008118580</v>
      </c>
      <c r="I4674" t="str">
        <f>"INSURANCE"</f>
        <v>INSURANCE</v>
      </c>
    </row>
    <row r="4675" spans="1:9" x14ac:dyDescent="0.25">
      <c r="E4675" s="7"/>
      <c r="F4675" t="s">
        <v>20</v>
      </c>
      <c r="G4675" t="s">
        <v>21</v>
      </c>
      <c r="H4675" t="str">
        <f>"LIF202008258582"</f>
        <v>LIF202008258582</v>
      </c>
      <c r="I4675" t="str">
        <f>"INSURANCE"</f>
        <v>INSURANCE</v>
      </c>
    </row>
    <row r="4676" spans="1:9" x14ac:dyDescent="0.25">
      <c r="E4676" s="7"/>
      <c r="F4676" t="s">
        <v>20</v>
      </c>
      <c r="G4676" t="s">
        <v>21</v>
      </c>
      <c r="H4676" t="str">
        <f>"STD202008118580"</f>
        <v>STD202008118580</v>
      </c>
      <c r="I4676" t="str">
        <f>"SHORT TERM DISABILITY"</f>
        <v>SHORT TERM DISABILITY</v>
      </c>
    </row>
    <row r="4677" spans="1:9" x14ac:dyDescent="0.25">
      <c r="E4677" s="7"/>
      <c r="F4677" t="s">
        <v>20</v>
      </c>
      <c r="G4677" t="s">
        <v>21</v>
      </c>
      <c r="H4677" t="str">
        <f>"STD202008258582"</f>
        <v>STD202008258582</v>
      </c>
      <c r="I4677" t="str">
        <f>"SHORT TERM DISABILITY"</f>
        <v>SHORT TERM DISABILITY</v>
      </c>
    </row>
    <row r="4678" spans="1:9" x14ac:dyDescent="0.25">
      <c r="E4678" s="7"/>
      <c r="F4678" t="s">
        <v>20</v>
      </c>
      <c r="G4678" t="s">
        <v>21</v>
      </c>
      <c r="H4678" t="str">
        <f>"VIS202008118580"</f>
        <v>VIS202008118580</v>
      </c>
      <c r="I4678" t="str">
        <f>"VISION INSURANCE"</f>
        <v>VISION INSURANCE</v>
      </c>
    </row>
    <row r="4679" spans="1:9" x14ac:dyDescent="0.25">
      <c r="E4679" s="7"/>
      <c r="F4679" t="s">
        <v>20</v>
      </c>
      <c r="G4679" t="s">
        <v>21</v>
      </c>
      <c r="H4679" t="str">
        <f>"VIS202008258582"</f>
        <v>VIS202008258582</v>
      </c>
      <c r="I4679" t="str">
        <f>"VISION INSURANCE"</f>
        <v>VISION INSURANCE</v>
      </c>
    </row>
    <row r="4680" spans="1:9" x14ac:dyDescent="0.25">
      <c r="E4680" s="7"/>
      <c r="F4680" t="s">
        <v>20</v>
      </c>
      <c r="G4680" t="s">
        <v>21</v>
      </c>
      <c r="H4680" t="str">
        <f>"VLC202008118580"</f>
        <v>VLC202008118580</v>
      </c>
      <c r="I4680" t="str">
        <f>"CHILD LIFE INSURANCE"</f>
        <v>CHILD LIFE INSURANCE</v>
      </c>
    </row>
    <row r="4681" spans="1:9" x14ac:dyDescent="0.25">
      <c r="E4681" s="7"/>
      <c r="F4681" t="s">
        <v>20</v>
      </c>
      <c r="G4681" t="s">
        <v>21</v>
      </c>
      <c r="H4681" t="str">
        <f>"VLC202008258582"</f>
        <v>VLC202008258582</v>
      </c>
      <c r="I4681" t="str">
        <f>"CHILD LIFE INSURANCE"</f>
        <v>CHILD LIFE INSURANCE</v>
      </c>
    </row>
    <row r="4682" spans="1:9" x14ac:dyDescent="0.25">
      <c r="E4682" s="7"/>
      <c r="F4682" t="s">
        <v>20</v>
      </c>
      <c r="G4682" t="s">
        <v>21</v>
      </c>
      <c r="H4682" t="str">
        <f>"VLS202008118580"</f>
        <v>VLS202008118580</v>
      </c>
      <c r="I4682" t="str">
        <f>"SPOUSE LIFE"</f>
        <v>SPOUSE LIFE</v>
      </c>
    </row>
    <row r="4683" spans="1:9" x14ac:dyDescent="0.25">
      <c r="E4683" s="7"/>
      <c r="F4683" t="s">
        <v>20</v>
      </c>
      <c r="G4683" t="s">
        <v>21</v>
      </c>
      <c r="H4683" t="str">
        <f>"VLS202008258582"</f>
        <v>VLS202008258582</v>
      </c>
      <c r="I4683" t="str">
        <f>"SPOUSE LIFE"</f>
        <v>SPOUSE LIFE</v>
      </c>
    </row>
    <row r="4684" spans="1:9" x14ac:dyDescent="0.25">
      <c r="E4684" s="7"/>
      <c r="F4684" t="s">
        <v>20</v>
      </c>
      <c r="G4684" t="s">
        <v>21</v>
      </c>
      <c r="H4684" t="str">
        <f>"VOE202008118580"</f>
        <v>VOE202008118580</v>
      </c>
      <c r="I4684" t="str">
        <f>"EMPLOYEE LIFE"</f>
        <v>EMPLOYEE LIFE</v>
      </c>
    </row>
    <row r="4685" spans="1:9" x14ac:dyDescent="0.25">
      <c r="E4685" s="7"/>
      <c r="F4685" t="s">
        <v>20</v>
      </c>
      <c r="G4685" t="s">
        <v>21</v>
      </c>
      <c r="H4685" t="str">
        <f>"VOE202008258582"</f>
        <v>VOE202008258582</v>
      </c>
      <c r="I4685" t="str">
        <f>"EMPLOYEE LIFE"</f>
        <v>EMPLOYEE LIFE</v>
      </c>
    </row>
    <row r="4686" spans="1:9" x14ac:dyDescent="0.25">
      <c r="E4686" s="7"/>
      <c r="F4686" t="s">
        <v>20</v>
      </c>
      <c r="G4686" t="s">
        <v>21</v>
      </c>
      <c r="H4686" t="str">
        <f>"VOL202008118580"</f>
        <v>VOL202008118580</v>
      </c>
      <c r="I4686" t="str">
        <f>"LIFE"</f>
        <v>LIFE</v>
      </c>
    </row>
    <row r="4687" spans="1:9" x14ac:dyDescent="0.25">
      <c r="E4687" s="7"/>
      <c r="F4687" t="s">
        <v>20</v>
      </c>
      <c r="G4687" t="s">
        <v>21</v>
      </c>
      <c r="H4687" t="str">
        <f>"VOL202008258582"</f>
        <v>VOL202008258582</v>
      </c>
      <c r="I4687" t="str">
        <f>"LIFE"</f>
        <v>LIFE</v>
      </c>
    </row>
    <row r="4688" spans="1:9" x14ac:dyDescent="0.25">
      <c r="A4688" s="6">
        <v>44082</v>
      </c>
      <c r="B4688" t="s">
        <v>26</v>
      </c>
      <c r="C4688">
        <v>64900</v>
      </c>
      <c r="D4688" t="s">
        <v>51</v>
      </c>
      <c r="E4688" s="7">
        <v>327.84</v>
      </c>
      <c r="F4688" t="s">
        <v>20</v>
      </c>
      <c r="G4688" t="s">
        <v>21</v>
      </c>
      <c r="H4688" t="str">
        <f>"CLE202009088583"</f>
        <v>CLE202009088583</v>
      </c>
      <c r="I4688" t="str">
        <f>"CLEAT ONLY DUES"</f>
        <v>CLEAT ONLY DUES</v>
      </c>
    </row>
    <row r="4689" spans="1:9" x14ac:dyDescent="0.25">
      <c r="E4689" s="7"/>
      <c r="F4689" t="s">
        <v>20</v>
      </c>
      <c r="G4689" t="s">
        <v>21</v>
      </c>
      <c r="H4689" t="str">
        <f>"PDD202009088583"</f>
        <v>PDD202009088583</v>
      </c>
      <c r="I4689" t="str">
        <f>"POLICE OFFICERS ASSOC DUES"</f>
        <v>POLICE OFFICERS ASSOC DUES</v>
      </c>
    </row>
    <row r="4690" spans="1:9" x14ac:dyDescent="0.25">
      <c r="A4690" s="6">
        <v>44082</v>
      </c>
      <c r="B4690" t="s">
        <v>26</v>
      </c>
      <c r="C4690">
        <v>64901</v>
      </c>
      <c r="D4690" t="s">
        <v>52</v>
      </c>
      <c r="E4690" s="7">
        <v>405</v>
      </c>
      <c r="F4690" t="s">
        <v>20</v>
      </c>
      <c r="G4690" t="s">
        <v>21</v>
      </c>
      <c r="H4690" t="str">
        <f>"CA1202009088583"</f>
        <v>CA1202009088583</v>
      </c>
      <c r="I4690" t="str">
        <f>"K RAMIREZ 001200229510060343CV"</f>
        <v>K RAMIREZ 001200229510060343CV</v>
      </c>
    </row>
    <row r="4691" spans="1:9" x14ac:dyDescent="0.25">
      <c r="E4691" s="7"/>
      <c r="F4691" t="s">
        <v>20</v>
      </c>
      <c r="G4691" t="s">
        <v>21</v>
      </c>
      <c r="H4691" t="str">
        <f>"CA2202009088583"</f>
        <v>CA2202009088583</v>
      </c>
      <c r="I4691" t="str">
        <f>"L HERNANDEZ 001016025203080354"</f>
        <v>L HERNANDEZ 001016025203080354</v>
      </c>
    </row>
    <row r="4692" spans="1:9" x14ac:dyDescent="0.25">
      <c r="E4692" s="7"/>
      <c r="F4692" t="s">
        <v>20</v>
      </c>
      <c r="G4692" t="s">
        <v>21</v>
      </c>
      <c r="H4692" t="str">
        <f>"CA3202009088583"</f>
        <v>CA3202009088583</v>
      </c>
      <c r="I4692" t="str">
        <f>"00120788612011EM5023JOLENEGARC"</f>
        <v>00120788612011EM5023JOLENEGARC</v>
      </c>
    </row>
    <row r="4693" spans="1:9" x14ac:dyDescent="0.25">
      <c r="E4693" s="7"/>
      <c r="F4693" t="s">
        <v>20</v>
      </c>
      <c r="G4693" t="s">
        <v>21</v>
      </c>
      <c r="H4693" t="str">
        <f>"CSA202009088583"</f>
        <v>CSA202009088583</v>
      </c>
      <c r="I4693" t="str">
        <f>"S RODRIGUEZ 001281730413050336"</f>
        <v>S RODRIGUEZ 001281730413050336</v>
      </c>
    </row>
    <row r="4694" spans="1:9" x14ac:dyDescent="0.25">
      <c r="A4694" s="6">
        <v>44082</v>
      </c>
      <c r="B4694" t="s">
        <v>26</v>
      </c>
      <c r="C4694">
        <v>64902</v>
      </c>
      <c r="D4694" t="s">
        <v>138</v>
      </c>
      <c r="E4694" s="7">
        <v>326.91000000000003</v>
      </c>
      <c r="F4694" t="s">
        <v>20</v>
      </c>
      <c r="G4694" t="s">
        <v>21</v>
      </c>
      <c r="H4694" t="str">
        <f>"FLX202009088583"</f>
        <v>FLX202009088583</v>
      </c>
      <c r="I4694" t="str">
        <f>"FLEX SPENDING"</f>
        <v>FLEX SPENDING</v>
      </c>
    </row>
    <row r="4695" spans="1:9" x14ac:dyDescent="0.25">
      <c r="A4695" s="6">
        <v>44082</v>
      </c>
      <c r="B4695" t="s">
        <v>26</v>
      </c>
      <c r="C4695">
        <v>64903</v>
      </c>
      <c r="D4695" t="s">
        <v>54</v>
      </c>
      <c r="E4695" s="7">
        <v>1161.68</v>
      </c>
      <c r="F4695" t="s">
        <v>20</v>
      </c>
      <c r="G4695" t="s">
        <v>21</v>
      </c>
      <c r="H4695" t="str">
        <f>"457202009088583"</f>
        <v>457202009088583</v>
      </c>
      <c r="I4695" t="str">
        <f>"CASE # 180-60751 457B DEDUCT"</f>
        <v>CASE # 180-60751 457B DEDUCT</v>
      </c>
    </row>
    <row r="4696" spans="1:9" x14ac:dyDescent="0.25">
      <c r="A4696" s="6">
        <v>44082</v>
      </c>
      <c r="B4696" t="s">
        <v>26</v>
      </c>
      <c r="C4696">
        <v>64904</v>
      </c>
      <c r="D4696" t="s">
        <v>969</v>
      </c>
      <c r="E4696" s="7">
        <v>88.74</v>
      </c>
      <c r="F4696" t="s">
        <v>20</v>
      </c>
      <c r="G4696" t="s">
        <v>21</v>
      </c>
      <c r="H4696" t="str">
        <f>"ATG202009088583"</f>
        <v>ATG202009088583</v>
      </c>
      <c r="I4696" t="str">
        <f>"WG1910853 A. TREVINO"</f>
        <v>WG1910853 A. TREVINO</v>
      </c>
    </row>
    <row r="4697" spans="1:9" x14ac:dyDescent="0.25">
      <c r="A4697" s="6">
        <v>44083</v>
      </c>
      <c r="B4697" t="s">
        <v>91</v>
      </c>
      <c r="C4697">
        <v>64906</v>
      </c>
      <c r="D4697" t="s">
        <v>104</v>
      </c>
      <c r="E4697" s="7">
        <v>150</v>
      </c>
      <c r="F4697" t="s">
        <v>20</v>
      </c>
      <c r="G4697" t="s">
        <v>21</v>
      </c>
      <c r="H4697" t="str">
        <f>"3756"</f>
        <v>3756</v>
      </c>
      <c r="I4697" t="str">
        <f>"WILSON COUNTY NEWS"</f>
        <v>WILSON COUNTY NEWS</v>
      </c>
    </row>
    <row r="4698" spans="1:9" x14ac:dyDescent="0.25">
      <c r="A4698" s="6">
        <v>44083</v>
      </c>
      <c r="B4698" t="s">
        <v>91</v>
      </c>
      <c r="C4698">
        <v>64906</v>
      </c>
      <c r="D4698" t="s">
        <v>104</v>
      </c>
      <c r="E4698" s="7">
        <v>150</v>
      </c>
      <c r="F4698" t="s">
        <v>20</v>
      </c>
      <c r="G4698" t="s">
        <v>93</v>
      </c>
      <c r="H4698" t="str">
        <f>"CHECK"</f>
        <v>CHECK</v>
      </c>
      <c r="I4698" t="str">
        <f>""</f>
        <v/>
      </c>
    </row>
    <row r="4699" spans="1:9" x14ac:dyDescent="0.25">
      <c r="A4699" s="6">
        <v>44083</v>
      </c>
      <c r="B4699" t="s">
        <v>26</v>
      </c>
      <c r="C4699">
        <v>64907</v>
      </c>
      <c r="D4699" t="s">
        <v>63</v>
      </c>
      <c r="E4699" s="7">
        <v>108.37</v>
      </c>
      <c r="F4699" t="s">
        <v>20</v>
      </c>
      <c r="G4699" t="s">
        <v>21</v>
      </c>
      <c r="H4699" t="str">
        <f>"8404775630"</f>
        <v>8404775630</v>
      </c>
      <c r="I4699" t="str">
        <f>"CINTAS CORPORATION"</f>
        <v>CINTAS CORPORATION</v>
      </c>
    </row>
    <row r="4700" spans="1:9" x14ac:dyDescent="0.25">
      <c r="A4700" s="6">
        <v>44083</v>
      </c>
      <c r="B4700" t="s">
        <v>26</v>
      </c>
      <c r="C4700">
        <v>64908</v>
      </c>
      <c r="D4700" t="s">
        <v>71</v>
      </c>
      <c r="E4700" s="7">
        <v>816.44</v>
      </c>
      <c r="F4700" t="s">
        <v>20</v>
      </c>
      <c r="G4700" t="s">
        <v>21</v>
      </c>
      <c r="H4700" t="str">
        <f>"4060130646"</f>
        <v>4060130646</v>
      </c>
      <c r="I4700" t="str">
        <f t="shared" ref="I4700:I4705" si="98">"CINTAS CORPORATION #087"</f>
        <v>CINTAS CORPORATION #087</v>
      </c>
    </row>
    <row r="4701" spans="1:9" x14ac:dyDescent="0.25">
      <c r="E4701" s="7"/>
      <c r="F4701" t="s">
        <v>20</v>
      </c>
      <c r="G4701" t="s">
        <v>21</v>
      </c>
      <c r="H4701" t="str">
        <f>"4060130651"</f>
        <v>4060130651</v>
      </c>
      <c r="I4701" t="str">
        <f t="shared" si="98"/>
        <v>CINTAS CORPORATION #087</v>
      </c>
    </row>
    <row r="4702" spans="1:9" x14ac:dyDescent="0.25">
      <c r="E4702" s="7"/>
      <c r="F4702" t="s">
        <v>20</v>
      </c>
      <c r="G4702" t="s">
        <v>21</v>
      </c>
      <c r="H4702" t="str">
        <f>"4060130654"</f>
        <v>4060130654</v>
      </c>
      <c r="I4702" t="str">
        <f t="shared" si="98"/>
        <v>CINTAS CORPORATION #087</v>
      </c>
    </row>
    <row r="4703" spans="1:9" x14ac:dyDescent="0.25">
      <c r="E4703" s="7"/>
      <c r="F4703" t="s">
        <v>20</v>
      </c>
      <c r="G4703" t="s">
        <v>21</v>
      </c>
      <c r="H4703" t="str">
        <f>"4060130676"</f>
        <v>4060130676</v>
      </c>
      <c r="I4703" t="str">
        <f t="shared" si="98"/>
        <v>CINTAS CORPORATION #087</v>
      </c>
    </row>
    <row r="4704" spans="1:9" x14ac:dyDescent="0.25">
      <c r="E4704" s="7"/>
      <c r="F4704" t="s">
        <v>20</v>
      </c>
      <c r="G4704" t="s">
        <v>21</v>
      </c>
      <c r="H4704" t="str">
        <f>"4061030618"</f>
        <v>4061030618</v>
      </c>
      <c r="I4704" t="str">
        <f t="shared" si="98"/>
        <v>CINTAS CORPORATION #087</v>
      </c>
    </row>
    <row r="4705" spans="1:9" x14ac:dyDescent="0.25">
      <c r="E4705" s="7"/>
      <c r="F4705" t="s">
        <v>20</v>
      </c>
      <c r="G4705" t="s">
        <v>21</v>
      </c>
      <c r="H4705" t="str">
        <f>"4061030663"</f>
        <v>4061030663</v>
      </c>
      <c r="I4705" t="str">
        <f t="shared" si="98"/>
        <v>CINTAS CORPORATION #087</v>
      </c>
    </row>
    <row r="4706" spans="1:9" x14ac:dyDescent="0.25">
      <c r="A4706" s="6">
        <v>44083</v>
      </c>
      <c r="B4706" t="s">
        <v>26</v>
      </c>
      <c r="C4706">
        <v>64910</v>
      </c>
      <c r="D4706" t="s">
        <v>74</v>
      </c>
      <c r="E4706" s="7">
        <v>129.99</v>
      </c>
      <c r="F4706" t="s">
        <v>20</v>
      </c>
      <c r="G4706" t="s">
        <v>21</v>
      </c>
      <c r="H4706" t="str">
        <f>"9861433747"</f>
        <v>9861433747</v>
      </c>
      <c r="I4706" t="str">
        <f>"VERIZON WIRELESS"</f>
        <v>VERIZON WIRELESS</v>
      </c>
    </row>
    <row r="4707" spans="1:9" x14ac:dyDescent="0.25">
      <c r="A4707" s="6">
        <v>44083</v>
      </c>
      <c r="B4707" t="s">
        <v>26</v>
      </c>
      <c r="C4707">
        <v>64911</v>
      </c>
      <c r="D4707" t="s">
        <v>661</v>
      </c>
      <c r="E4707" s="7">
        <v>107.17</v>
      </c>
      <c r="F4707" t="s">
        <v>20</v>
      </c>
      <c r="G4707" t="s">
        <v>21</v>
      </c>
      <c r="H4707" t="str">
        <f>"8404788729"</f>
        <v>8404788729</v>
      </c>
      <c r="I4707" t="str">
        <f>"CINTAS FAS LOCKBOX 631025"</f>
        <v>CINTAS FAS LOCKBOX 631025</v>
      </c>
    </row>
    <row r="4708" spans="1:9" x14ac:dyDescent="0.25">
      <c r="A4708" s="6">
        <v>44083</v>
      </c>
      <c r="B4708" t="s">
        <v>26</v>
      </c>
      <c r="C4708">
        <v>64912</v>
      </c>
      <c r="D4708" t="s">
        <v>126</v>
      </c>
      <c r="E4708" s="7">
        <v>86734.21</v>
      </c>
      <c r="F4708" t="s">
        <v>20</v>
      </c>
      <c r="G4708" t="s">
        <v>21</v>
      </c>
      <c r="H4708" t="str">
        <f>"0859-002637307"</f>
        <v>0859-002637307</v>
      </c>
      <c r="I4708" t="str">
        <f>"REPUBLIC SERVICES #859"</f>
        <v>REPUBLIC SERVICES #859</v>
      </c>
    </row>
    <row r="4709" spans="1:9" x14ac:dyDescent="0.25">
      <c r="A4709" s="6">
        <v>44083</v>
      </c>
      <c r="B4709" t="s">
        <v>26</v>
      </c>
      <c r="C4709">
        <v>64913</v>
      </c>
      <c r="D4709" t="s">
        <v>81</v>
      </c>
      <c r="E4709" s="7">
        <v>184.26</v>
      </c>
      <c r="F4709" t="s">
        <v>20</v>
      </c>
      <c r="G4709" t="s">
        <v>21</v>
      </c>
      <c r="H4709" t="str">
        <f>"A.MARTINEZ 9/8/20"</f>
        <v>A.MARTINEZ 9/8/20</v>
      </c>
      <c r="I4709" t="str">
        <f>"CITY OF FLORESVILLE -PETTY CAS"</f>
        <v>CITY OF FLORESVILLE -PETTY CAS</v>
      </c>
    </row>
    <row r="4710" spans="1:9" x14ac:dyDescent="0.25">
      <c r="A4710" s="6">
        <v>44083</v>
      </c>
      <c r="B4710" t="s">
        <v>26</v>
      </c>
      <c r="C4710">
        <v>64914</v>
      </c>
      <c r="D4710" t="s">
        <v>98</v>
      </c>
      <c r="E4710" s="7">
        <v>3494.2</v>
      </c>
      <c r="F4710" t="s">
        <v>20</v>
      </c>
      <c r="G4710" t="s">
        <v>21</v>
      </c>
      <c r="H4710" t="str">
        <f>"AUG. 2020"</f>
        <v>AUG. 2020</v>
      </c>
      <c r="I4710" t="str">
        <f>"DEARBORN LIFE INSURANCE COMPAN"</f>
        <v>DEARBORN LIFE INSURANCE COMPAN</v>
      </c>
    </row>
    <row r="4711" spans="1:9" x14ac:dyDescent="0.25">
      <c r="E4711" s="7"/>
      <c r="F4711" t="s">
        <v>20</v>
      </c>
      <c r="G4711" t="s">
        <v>21</v>
      </c>
      <c r="H4711" t="str">
        <f>"SEPT. 2020"</f>
        <v>SEPT. 2020</v>
      </c>
      <c r="I4711" t="str">
        <f>"DEARBORN LIFE INSURANCE COMPAN"</f>
        <v>DEARBORN LIFE INSURANCE COMPAN</v>
      </c>
    </row>
    <row r="4712" spans="1:9" x14ac:dyDescent="0.25">
      <c r="A4712" s="6">
        <v>44083</v>
      </c>
      <c r="B4712" t="s">
        <v>26</v>
      </c>
      <c r="C4712">
        <v>64918</v>
      </c>
      <c r="D4712" t="s">
        <v>85</v>
      </c>
      <c r="E4712" s="7">
        <v>1049.8</v>
      </c>
      <c r="F4712" t="s">
        <v>20</v>
      </c>
      <c r="G4712" t="s">
        <v>21</v>
      </c>
      <c r="H4712" t="str">
        <f>"2162691 AUG.2020"</f>
        <v>2162691 AUG.2020</v>
      </c>
      <c r="I4712" t="str">
        <f>"FRONTIER"</f>
        <v>FRONTIER</v>
      </c>
    </row>
    <row r="4713" spans="1:9" x14ac:dyDescent="0.25">
      <c r="E4713" s="7"/>
      <c r="F4713" t="s">
        <v>20</v>
      </c>
      <c r="G4713" t="s">
        <v>21</v>
      </c>
      <c r="H4713" t="str">
        <f>"3933718 AUG.2020"</f>
        <v>3933718 AUG.2020</v>
      </c>
      <c r="I4713" t="str">
        <f>"FRONTIER"</f>
        <v>FRONTIER</v>
      </c>
    </row>
    <row r="4714" spans="1:9" x14ac:dyDescent="0.25">
      <c r="E4714" s="7"/>
      <c r="F4714" t="s">
        <v>20</v>
      </c>
      <c r="G4714" t="s">
        <v>21</v>
      </c>
      <c r="H4714" t="str">
        <f>"3937070 SEPT.2020"</f>
        <v>3937070 SEPT.2020</v>
      </c>
      <c r="I4714" t="str">
        <f>"FRONTIER"</f>
        <v>FRONTIER</v>
      </c>
    </row>
    <row r="4715" spans="1:9" x14ac:dyDescent="0.25">
      <c r="E4715" s="7"/>
      <c r="F4715" t="s">
        <v>20</v>
      </c>
      <c r="G4715" t="s">
        <v>21</v>
      </c>
      <c r="H4715" t="str">
        <f>"8301970046 8/2020"</f>
        <v>8301970046 8/2020</v>
      </c>
      <c r="I4715" t="str">
        <f>"FRONTIER"</f>
        <v>FRONTIER</v>
      </c>
    </row>
    <row r="4716" spans="1:9" x14ac:dyDescent="0.25">
      <c r="A4716" s="6">
        <v>44083</v>
      </c>
      <c r="B4716" t="s">
        <v>26</v>
      </c>
      <c r="C4716">
        <v>64919</v>
      </c>
      <c r="D4716" t="s">
        <v>345</v>
      </c>
      <c r="E4716" s="7">
        <v>231</v>
      </c>
      <c r="F4716" t="s">
        <v>20</v>
      </c>
      <c r="G4716" t="s">
        <v>21</v>
      </c>
      <c r="H4716" t="str">
        <f>"9/7/2020"</f>
        <v>9/7/2020</v>
      </c>
      <c r="I4716" t="str">
        <f>"MICHAEL ISAAC MARTINEZ"</f>
        <v>MICHAEL ISAAC MARTINEZ</v>
      </c>
    </row>
    <row r="4717" spans="1:9" x14ac:dyDescent="0.25">
      <c r="A4717" s="6">
        <v>44083</v>
      </c>
      <c r="B4717" t="s">
        <v>26</v>
      </c>
      <c r="C4717">
        <v>64920</v>
      </c>
      <c r="D4717" t="s">
        <v>584</v>
      </c>
      <c r="E4717" s="7">
        <v>45</v>
      </c>
      <c r="F4717" t="s">
        <v>20</v>
      </c>
      <c r="G4717" t="s">
        <v>21</v>
      </c>
      <c r="H4717" t="str">
        <f>"9/6/2020"</f>
        <v>9/6/2020</v>
      </c>
      <c r="I4717" t="str">
        <f>"AMANDA SENDEJO"</f>
        <v>AMANDA SENDEJO</v>
      </c>
    </row>
    <row r="4718" spans="1:9" x14ac:dyDescent="0.25">
      <c r="A4718" s="6">
        <v>44083</v>
      </c>
      <c r="B4718" t="s">
        <v>26</v>
      </c>
      <c r="C4718">
        <v>64921</v>
      </c>
      <c r="D4718" t="s">
        <v>644</v>
      </c>
      <c r="E4718" s="7">
        <v>476.74</v>
      </c>
      <c r="F4718" t="s">
        <v>20</v>
      </c>
      <c r="G4718" t="s">
        <v>21</v>
      </c>
      <c r="H4718" t="str">
        <f>"8213504273"</f>
        <v>8213504273</v>
      </c>
      <c r="I4718" t="str">
        <f t="shared" ref="I4718:I4724" si="99">"UNIFIRST CORPORATION"</f>
        <v>UNIFIRST CORPORATION</v>
      </c>
    </row>
    <row r="4719" spans="1:9" x14ac:dyDescent="0.25">
      <c r="E4719" s="7"/>
      <c r="F4719" t="s">
        <v>20</v>
      </c>
      <c r="G4719" t="s">
        <v>21</v>
      </c>
      <c r="H4719" t="str">
        <f>"8213504274"</f>
        <v>8213504274</v>
      </c>
      <c r="I4719" t="str">
        <f t="shared" si="99"/>
        <v>UNIFIRST CORPORATION</v>
      </c>
    </row>
    <row r="4720" spans="1:9" x14ac:dyDescent="0.25">
      <c r="E4720" s="7"/>
      <c r="F4720" t="s">
        <v>20</v>
      </c>
      <c r="G4720" t="s">
        <v>21</v>
      </c>
      <c r="H4720" t="str">
        <f>"8213504275"</f>
        <v>8213504275</v>
      </c>
      <c r="I4720" t="str">
        <f t="shared" si="99"/>
        <v>UNIFIRST CORPORATION</v>
      </c>
    </row>
    <row r="4721" spans="1:9" x14ac:dyDescent="0.25">
      <c r="E4721" s="7"/>
      <c r="F4721" t="s">
        <v>20</v>
      </c>
      <c r="G4721" t="s">
        <v>21</v>
      </c>
      <c r="H4721" t="str">
        <f>"8213504276"</f>
        <v>8213504276</v>
      </c>
      <c r="I4721" t="str">
        <f t="shared" si="99"/>
        <v>UNIFIRST CORPORATION</v>
      </c>
    </row>
    <row r="4722" spans="1:9" x14ac:dyDescent="0.25">
      <c r="E4722" s="7"/>
      <c r="F4722" t="s">
        <v>20</v>
      </c>
      <c r="G4722" t="s">
        <v>21</v>
      </c>
      <c r="H4722" t="str">
        <f>"8213504277"</f>
        <v>8213504277</v>
      </c>
      <c r="I4722" t="str">
        <f t="shared" si="99"/>
        <v>UNIFIRST CORPORATION</v>
      </c>
    </row>
    <row r="4723" spans="1:9" x14ac:dyDescent="0.25">
      <c r="E4723" s="7"/>
      <c r="F4723" t="s">
        <v>20</v>
      </c>
      <c r="G4723" t="s">
        <v>21</v>
      </c>
      <c r="H4723" t="str">
        <f>"8213504278"</f>
        <v>8213504278</v>
      </c>
      <c r="I4723" t="str">
        <f t="shared" si="99"/>
        <v>UNIFIRST CORPORATION</v>
      </c>
    </row>
    <row r="4724" spans="1:9" x14ac:dyDescent="0.25">
      <c r="E4724" s="7"/>
      <c r="F4724" t="s">
        <v>20</v>
      </c>
      <c r="G4724" t="s">
        <v>21</v>
      </c>
      <c r="H4724" t="str">
        <f>"8213504279"</f>
        <v>8213504279</v>
      </c>
      <c r="I4724" t="str">
        <f t="shared" si="99"/>
        <v>UNIFIRST CORPORATION</v>
      </c>
    </row>
    <row r="4725" spans="1:9" x14ac:dyDescent="0.25">
      <c r="A4725" s="6">
        <v>44083</v>
      </c>
      <c r="B4725" t="s">
        <v>91</v>
      </c>
      <c r="C4725">
        <v>64923</v>
      </c>
      <c r="D4725" t="s">
        <v>647</v>
      </c>
      <c r="E4725" s="7">
        <v>693.5</v>
      </c>
      <c r="F4725" t="s">
        <v>20</v>
      </c>
      <c r="G4725" t="s">
        <v>21</v>
      </c>
      <c r="H4725" t="str">
        <f>"27776667"</f>
        <v>27776667</v>
      </c>
      <c r="I4725" t="str">
        <f>"DOCUMATION  INC."</f>
        <v>DOCUMATION  INC.</v>
      </c>
    </row>
    <row r="4726" spans="1:9" x14ac:dyDescent="0.25">
      <c r="A4726" s="6">
        <v>44083</v>
      </c>
      <c r="B4726" t="s">
        <v>91</v>
      </c>
      <c r="C4726">
        <v>64923</v>
      </c>
      <c r="D4726" t="s">
        <v>647</v>
      </c>
      <c r="E4726" s="7">
        <v>693.5</v>
      </c>
      <c r="F4726" t="s">
        <v>20</v>
      </c>
      <c r="G4726" t="s">
        <v>93</v>
      </c>
      <c r="H4726" t="str">
        <f>"CHECK"</f>
        <v>CHECK</v>
      </c>
      <c r="I4726" t="str">
        <f>""</f>
        <v/>
      </c>
    </row>
    <row r="4727" spans="1:9" x14ac:dyDescent="0.25">
      <c r="A4727" s="6">
        <v>44083</v>
      </c>
      <c r="B4727" t="s">
        <v>26</v>
      </c>
      <c r="C4727">
        <v>64924</v>
      </c>
      <c r="D4727" t="s">
        <v>698</v>
      </c>
      <c r="E4727" s="7">
        <v>45</v>
      </c>
      <c r="F4727" t="s">
        <v>20</v>
      </c>
      <c r="G4727" t="s">
        <v>21</v>
      </c>
      <c r="H4727" t="str">
        <f>"9/6/2020"</f>
        <v>9/6/2020</v>
      </c>
      <c r="I4727" t="str">
        <f>"TRACY ORTIZ"</f>
        <v>TRACY ORTIZ</v>
      </c>
    </row>
    <row r="4728" spans="1:9" x14ac:dyDescent="0.25">
      <c r="A4728" s="6">
        <v>44083</v>
      </c>
      <c r="B4728" t="s">
        <v>26</v>
      </c>
      <c r="C4728">
        <v>64925</v>
      </c>
      <c r="D4728" t="s">
        <v>868</v>
      </c>
      <c r="E4728" s="7">
        <v>3600</v>
      </c>
      <c r="F4728" t="s">
        <v>20</v>
      </c>
      <c r="G4728" t="s">
        <v>21</v>
      </c>
      <c r="H4728" t="str">
        <f>"CC19037-4"</f>
        <v>CC19037-4</v>
      </c>
      <c r="I4728" t="str">
        <f>"GONZALEZ-DE LA GARZA &amp; ASSOCIA"</f>
        <v>GONZALEZ-DE LA GARZA &amp; ASSOCIA</v>
      </c>
    </row>
    <row r="4729" spans="1:9" x14ac:dyDescent="0.25">
      <c r="A4729" s="6">
        <v>44083</v>
      </c>
      <c r="B4729" t="s">
        <v>26</v>
      </c>
      <c r="C4729">
        <v>64926</v>
      </c>
      <c r="D4729" t="s">
        <v>872</v>
      </c>
      <c r="E4729" s="7">
        <v>45</v>
      </c>
      <c r="F4729" t="s">
        <v>20</v>
      </c>
      <c r="G4729" t="s">
        <v>21</v>
      </c>
      <c r="H4729" t="str">
        <f>"9/6/2020"</f>
        <v>9/6/2020</v>
      </c>
      <c r="I4729" t="str">
        <f>"DEVIN BENAVIDES"</f>
        <v>DEVIN BENAVIDES</v>
      </c>
    </row>
    <row r="4730" spans="1:9" x14ac:dyDescent="0.25">
      <c r="A4730" s="6">
        <v>44083</v>
      </c>
      <c r="B4730" t="s">
        <v>26</v>
      </c>
      <c r="C4730">
        <v>64927</v>
      </c>
      <c r="D4730" t="s">
        <v>874</v>
      </c>
      <c r="E4730" s="7">
        <v>8157.5</v>
      </c>
      <c r="F4730" t="s">
        <v>20</v>
      </c>
      <c r="G4730" t="s">
        <v>21</v>
      </c>
      <c r="H4730" t="str">
        <f>"5/1-8/31/2020"</f>
        <v>5/1-8/31/2020</v>
      </c>
      <c r="I4730" t="str">
        <f>"GARZA GOLANDO MORAN"</f>
        <v>GARZA GOLANDO MORAN</v>
      </c>
    </row>
    <row r="4731" spans="1:9" x14ac:dyDescent="0.25">
      <c r="A4731" s="6">
        <v>44083</v>
      </c>
      <c r="B4731" t="s">
        <v>26</v>
      </c>
      <c r="C4731">
        <v>64928</v>
      </c>
      <c r="D4731" t="s">
        <v>941</v>
      </c>
      <c r="E4731" s="7">
        <v>22767.3</v>
      </c>
      <c r="F4731" t="s">
        <v>20</v>
      </c>
      <c r="G4731" t="s">
        <v>21</v>
      </c>
      <c r="H4731" t="str">
        <f>"18072"</f>
        <v>18072</v>
      </c>
      <c r="I4731" t="str">
        <f>"OUTFACING KIOSK -COVID"</f>
        <v>OUTFACING KIOSK -COVID</v>
      </c>
    </row>
    <row r="4732" spans="1:9" x14ac:dyDescent="0.25">
      <c r="A4732" s="6">
        <v>44083</v>
      </c>
      <c r="B4732" t="s">
        <v>26</v>
      </c>
      <c r="C4732">
        <v>64929</v>
      </c>
      <c r="D4732" t="s">
        <v>77</v>
      </c>
      <c r="E4732" s="7">
        <v>2231.5</v>
      </c>
      <c r="F4732" t="s">
        <v>20</v>
      </c>
      <c r="G4732" t="s">
        <v>21</v>
      </c>
      <c r="H4732" t="str">
        <f>"857001747-20"</f>
        <v>857001747-20</v>
      </c>
      <c r="I4732" t="str">
        <f>"CHLORINE ORDER"</f>
        <v>CHLORINE ORDER</v>
      </c>
    </row>
    <row r="4733" spans="1:9" x14ac:dyDescent="0.25">
      <c r="E4733" s="7"/>
      <c r="F4733" t="s">
        <v>20</v>
      </c>
      <c r="G4733" t="s">
        <v>21</v>
      </c>
      <c r="H4733" t="str">
        <f>"857001748-20"</f>
        <v>857001748-20</v>
      </c>
      <c r="I4733" t="str">
        <f>"CHLORINE ORDER"</f>
        <v>CHLORINE ORDER</v>
      </c>
    </row>
    <row r="4734" spans="1:9" x14ac:dyDescent="0.25">
      <c r="A4734" s="6">
        <v>44083</v>
      </c>
      <c r="B4734" t="s">
        <v>26</v>
      </c>
      <c r="C4734">
        <v>64930</v>
      </c>
      <c r="D4734" t="s">
        <v>471</v>
      </c>
      <c r="E4734" s="7">
        <v>1655.2</v>
      </c>
      <c r="F4734" t="s">
        <v>20</v>
      </c>
      <c r="G4734" t="s">
        <v>21</v>
      </c>
      <c r="H4734" t="str">
        <f>"7052"</f>
        <v>7052</v>
      </c>
      <c r="I4734" t="str">
        <f>"2009 FORD F-250"</f>
        <v>2009 FORD F-250</v>
      </c>
    </row>
    <row r="4735" spans="1:9" x14ac:dyDescent="0.25">
      <c r="A4735" s="6">
        <v>44083</v>
      </c>
      <c r="B4735" t="s">
        <v>26</v>
      </c>
      <c r="C4735">
        <v>64931</v>
      </c>
      <c r="D4735" t="s">
        <v>630</v>
      </c>
      <c r="E4735" s="7">
        <v>3770.6</v>
      </c>
      <c r="F4735" t="s">
        <v>20</v>
      </c>
      <c r="G4735" t="s">
        <v>21</v>
      </c>
      <c r="H4735" t="str">
        <f>"30296"</f>
        <v>30296</v>
      </c>
      <c r="I4735" t="str">
        <f>"WATER METERS FOR STOCK"</f>
        <v>WATER METERS FOR STOCK</v>
      </c>
    </row>
    <row r="4736" spans="1:9" x14ac:dyDescent="0.25">
      <c r="A4736" s="6">
        <v>44083</v>
      </c>
      <c r="B4736" t="s">
        <v>26</v>
      </c>
      <c r="C4736">
        <v>64932</v>
      </c>
      <c r="D4736" t="s">
        <v>967</v>
      </c>
      <c r="E4736" s="7">
        <v>16000</v>
      </c>
      <c r="F4736" t="s">
        <v>20</v>
      </c>
      <c r="G4736" t="s">
        <v>21</v>
      </c>
      <c r="H4736" t="str">
        <f>"INV952020"</f>
        <v>INV952020</v>
      </c>
      <c r="I4736" t="str">
        <f>"BASE PADS AND FENCES"</f>
        <v>BASE PADS AND FENCES</v>
      </c>
    </row>
    <row r="4737" spans="1:9" x14ac:dyDescent="0.25">
      <c r="A4737" s="6">
        <v>44089</v>
      </c>
      <c r="B4737" t="s">
        <v>26</v>
      </c>
      <c r="C4737">
        <v>64933</v>
      </c>
      <c r="D4737" t="s">
        <v>970</v>
      </c>
      <c r="E4737" s="7">
        <v>45</v>
      </c>
      <c r="F4737" t="s">
        <v>20</v>
      </c>
      <c r="G4737" t="s">
        <v>21</v>
      </c>
      <c r="H4737" t="str">
        <f>"9/13/2020"</f>
        <v>9/13/2020</v>
      </c>
      <c r="I4737" t="str">
        <f>"ABBYGAIL DELGADO"</f>
        <v>ABBYGAIL DELGADO</v>
      </c>
    </row>
    <row r="4738" spans="1:9" x14ac:dyDescent="0.25">
      <c r="A4738" s="6">
        <v>44089</v>
      </c>
      <c r="B4738" t="s">
        <v>26</v>
      </c>
      <c r="C4738">
        <v>64934</v>
      </c>
      <c r="D4738" t="s">
        <v>380</v>
      </c>
      <c r="E4738" s="7">
        <v>2150</v>
      </c>
      <c r="F4738" t="s">
        <v>20</v>
      </c>
      <c r="G4738" t="s">
        <v>21</v>
      </c>
      <c r="H4738" t="str">
        <f>"73943 4A"</f>
        <v>73943 4A</v>
      </c>
      <c r="I4738" t="str">
        <f>"ABIP CERTIFIED PUBLIC ACCOUNTA"</f>
        <v>ABIP CERTIFIED PUBLIC ACCOUNTA</v>
      </c>
    </row>
    <row r="4739" spans="1:9" x14ac:dyDescent="0.25">
      <c r="A4739" s="6">
        <v>44089</v>
      </c>
      <c r="B4739" t="s">
        <v>26</v>
      </c>
      <c r="C4739">
        <v>64935</v>
      </c>
      <c r="D4739" t="s">
        <v>828</v>
      </c>
      <c r="E4739" s="7">
        <v>2324.16</v>
      </c>
      <c r="F4739" t="s">
        <v>20</v>
      </c>
      <c r="G4739" t="s">
        <v>21</v>
      </c>
      <c r="H4739" t="str">
        <f>"1257793712"</f>
        <v>1257793712</v>
      </c>
      <c r="I4739" t="str">
        <f>"ADOBE LICENSES"</f>
        <v>ADOBE LICENSES</v>
      </c>
    </row>
    <row r="4740" spans="1:9" x14ac:dyDescent="0.25">
      <c r="A4740" s="6">
        <v>44089</v>
      </c>
      <c r="B4740" t="s">
        <v>26</v>
      </c>
      <c r="C4740">
        <v>64936</v>
      </c>
      <c r="D4740" t="s">
        <v>129</v>
      </c>
      <c r="E4740" s="7">
        <v>58.83</v>
      </c>
      <c r="F4740" t="s">
        <v>20</v>
      </c>
      <c r="G4740" t="s">
        <v>21</v>
      </c>
      <c r="H4740" t="str">
        <f>"P70734"</f>
        <v>P70734</v>
      </c>
      <c r="I4740" t="str">
        <f>"PULLEY"</f>
        <v>PULLEY</v>
      </c>
    </row>
    <row r="4741" spans="1:9" x14ac:dyDescent="0.25">
      <c r="A4741" s="6">
        <v>44089</v>
      </c>
      <c r="B4741" t="s">
        <v>26</v>
      </c>
      <c r="C4741">
        <v>64937</v>
      </c>
      <c r="D4741" t="s">
        <v>179</v>
      </c>
      <c r="E4741" s="7">
        <v>1998.83</v>
      </c>
      <c r="F4741" t="s">
        <v>20</v>
      </c>
      <c r="G4741" t="s">
        <v>21</v>
      </c>
      <c r="H4741" t="str">
        <f>"254485"</f>
        <v>254485</v>
      </c>
      <c r="I4741" t="str">
        <f>"2008 FORD EXPEDITION REPA"</f>
        <v>2008 FORD EXPEDITION REPA</v>
      </c>
    </row>
    <row r="4742" spans="1:9" x14ac:dyDescent="0.25">
      <c r="A4742" s="6">
        <v>44089</v>
      </c>
      <c r="B4742" t="s">
        <v>26</v>
      </c>
      <c r="C4742">
        <v>64938</v>
      </c>
      <c r="D4742" t="s">
        <v>139</v>
      </c>
      <c r="E4742" s="7">
        <v>65</v>
      </c>
      <c r="F4742" t="s">
        <v>20</v>
      </c>
      <c r="G4742" t="s">
        <v>21</v>
      </c>
      <c r="H4742" t="str">
        <f>"30257"</f>
        <v>30257</v>
      </c>
      <c r="I4742" t="str">
        <f>"ANGEL FIRE &amp; SAFETY"</f>
        <v>ANGEL FIRE &amp; SAFETY</v>
      </c>
    </row>
    <row r="4743" spans="1:9" x14ac:dyDescent="0.25">
      <c r="A4743" s="6">
        <v>44089</v>
      </c>
      <c r="B4743" t="s">
        <v>26</v>
      </c>
      <c r="C4743">
        <v>64939</v>
      </c>
      <c r="D4743" t="s">
        <v>836</v>
      </c>
      <c r="E4743" s="7">
        <v>5433.36</v>
      </c>
      <c r="F4743" t="s">
        <v>20</v>
      </c>
      <c r="G4743" t="s">
        <v>21</v>
      </c>
      <c r="H4743" t="str">
        <f>"67146"</f>
        <v>67146</v>
      </c>
      <c r="I4743" t="str">
        <f>"BARCOM TECHNOLOGY SOLUTIONS  I"</f>
        <v>BARCOM TECHNOLOGY SOLUTIONS  I</v>
      </c>
    </row>
    <row r="4744" spans="1:9" x14ac:dyDescent="0.25">
      <c r="E4744" s="7"/>
      <c r="F4744" t="s">
        <v>20</v>
      </c>
      <c r="G4744" t="s">
        <v>21</v>
      </c>
      <c r="H4744" t="str">
        <f>"67147"</f>
        <v>67147</v>
      </c>
      <c r="I4744" t="str">
        <f>"BARCOM TECHNOLOGY SOLUTIONS  I"</f>
        <v>BARCOM TECHNOLOGY SOLUTIONS  I</v>
      </c>
    </row>
    <row r="4745" spans="1:9" x14ac:dyDescent="0.25">
      <c r="A4745" s="6">
        <v>44089</v>
      </c>
      <c r="B4745" t="s">
        <v>26</v>
      </c>
      <c r="C4745">
        <v>64941</v>
      </c>
      <c r="D4745" t="s">
        <v>168</v>
      </c>
      <c r="E4745" s="7">
        <v>350</v>
      </c>
      <c r="F4745" t="s">
        <v>20</v>
      </c>
      <c r="G4745" t="s">
        <v>21</v>
      </c>
      <c r="H4745" t="str">
        <f>"LI-7178"</f>
        <v>LI-7178</v>
      </c>
      <c r="I4745" t="str">
        <f>"BEXAR COUNTY AUDITOR/ATTN:CRIM"</f>
        <v>BEXAR COUNTY AUDITOR/ATTN:CRIM</v>
      </c>
    </row>
    <row r="4746" spans="1:9" x14ac:dyDescent="0.25">
      <c r="A4746" s="6">
        <v>44089</v>
      </c>
      <c r="B4746" t="s">
        <v>26</v>
      </c>
      <c r="C4746">
        <v>64942</v>
      </c>
      <c r="D4746" t="s">
        <v>110</v>
      </c>
      <c r="E4746" s="7">
        <v>80287.33</v>
      </c>
      <c r="F4746" t="s">
        <v>20</v>
      </c>
      <c r="G4746" t="s">
        <v>21</v>
      </c>
      <c r="H4746" t="str">
        <f>"1538800"</f>
        <v>1538800</v>
      </c>
      <c r="I4746" t="str">
        <f t="shared" ref="I4746:I4776" si="100">"BUREAU VERITAS NORTH AMERICA"</f>
        <v>BUREAU VERITAS NORTH AMERICA</v>
      </c>
    </row>
    <row r="4747" spans="1:9" x14ac:dyDescent="0.25">
      <c r="E4747" s="7"/>
      <c r="F4747" t="s">
        <v>20</v>
      </c>
      <c r="G4747" t="s">
        <v>21</v>
      </c>
      <c r="H4747" t="str">
        <f>"1543786"</f>
        <v>1543786</v>
      </c>
      <c r="I4747" t="str">
        <f t="shared" si="100"/>
        <v>BUREAU VERITAS NORTH AMERICA</v>
      </c>
    </row>
    <row r="4748" spans="1:9" x14ac:dyDescent="0.25">
      <c r="E4748" s="7"/>
      <c r="F4748" t="s">
        <v>20</v>
      </c>
      <c r="G4748" t="s">
        <v>21</v>
      </c>
      <c r="H4748" t="str">
        <f>"1543788"</f>
        <v>1543788</v>
      </c>
      <c r="I4748" t="str">
        <f t="shared" si="100"/>
        <v>BUREAU VERITAS NORTH AMERICA</v>
      </c>
    </row>
    <row r="4749" spans="1:9" x14ac:dyDescent="0.25">
      <c r="E4749" s="7"/>
      <c r="F4749" t="s">
        <v>20</v>
      </c>
      <c r="G4749" t="s">
        <v>21</v>
      </c>
      <c r="H4749" t="str">
        <f>"1543789"</f>
        <v>1543789</v>
      </c>
      <c r="I4749" t="str">
        <f t="shared" si="100"/>
        <v>BUREAU VERITAS NORTH AMERICA</v>
      </c>
    </row>
    <row r="4750" spans="1:9" x14ac:dyDescent="0.25">
      <c r="E4750" s="7"/>
      <c r="F4750" t="s">
        <v>20</v>
      </c>
      <c r="G4750" t="s">
        <v>21</v>
      </c>
      <c r="H4750" t="str">
        <f>"1543790"</f>
        <v>1543790</v>
      </c>
      <c r="I4750" t="str">
        <f t="shared" si="100"/>
        <v>BUREAU VERITAS NORTH AMERICA</v>
      </c>
    </row>
    <row r="4751" spans="1:9" x14ac:dyDescent="0.25">
      <c r="E4751" s="7"/>
      <c r="F4751" t="s">
        <v>20</v>
      </c>
      <c r="G4751" t="s">
        <v>21</v>
      </c>
      <c r="H4751" t="str">
        <f>"1543791"</f>
        <v>1543791</v>
      </c>
      <c r="I4751" t="str">
        <f t="shared" si="100"/>
        <v>BUREAU VERITAS NORTH AMERICA</v>
      </c>
    </row>
    <row r="4752" spans="1:9" x14ac:dyDescent="0.25">
      <c r="E4752" s="7"/>
      <c r="F4752" t="s">
        <v>20</v>
      </c>
      <c r="G4752" t="s">
        <v>21</v>
      </c>
      <c r="H4752" t="str">
        <f>"1543792"</f>
        <v>1543792</v>
      </c>
      <c r="I4752" t="str">
        <f t="shared" si="100"/>
        <v>BUREAU VERITAS NORTH AMERICA</v>
      </c>
    </row>
    <row r="4753" spans="5:9" x14ac:dyDescent="0.25">
      <c r="E4753" s="7"/>
      <c r="F4753" t="s">
        <v>20</v>
      </c>
      <c r="G4753" t="s">
        <v>21</v>
      </c>
      <c r="H4753" t="str">
        <f>"1543793"</f>
        <v>1543793</v>
      </c>
      <c r="I4753" t="str">
        <f t="shared" si="100"/>
        <v>BUREAU VERITAS NORTH AMERICA</v>
      </c>
    </row>
    <row r="4754" spans="5:9" x14ac:dyDescent="0.25">
      <c r="E4754" s="7"/>
      <c r="F4754" t="s">
        <v>20</v>
      </c>
      <c r="G4754" t="s">
        <v>21</v>
      </c>
      <c r="H4754" t="str">
        <f>"1543794"</f>
        <v>1543794</v>
      </c>
      <c r="I4754" t="str">
        <f t="shared" si="100"/>
        <v>BUREAU VERITAS NORTH AMERICA</v>
      </c>
    </row>
    <row r="4755" spans="5:9" x14ac:dyDescent="0.25">
      <c r="E4755" s="7"/>
      <c r="F4755" t="s">
        <v>20</v>
      </c>
      <c r="G4755" t="s">
        <v>21</v>
      </c>
      <c r="H4755" t="str">
        <f>"1543795"</f>
        <v>1543795</v>
      </c>
      <c r="I4755" t="str">
        <f t="shared" si="100"/>
        <v>BUREAU VERITAS NORTH AMERICA</v>
      </c>
    </row>
    <row r="4756" spans="5:9" x14ac:dyDescent="0.25">
      <c r="E4756" s="7"/>
      <c r="F4756" t="s">
        <v>20</v>
      </c>
      <c r="G4756" t="s">
        <v>21</v>
      </c>
      <c r="H4756" t="str">
        <f>"1543796"</f>
        <v>1543796</v>
      </c>
      <c r="I4756" t="str">
        <f t="shared" si="100"/>
        <v>BUREAU VERITAS NORTH AMERICA</v>
      </c>
    </row>
    <row r="4757" spans="5:9" x14ac:dyDescent="0.25">
      <c r="E4757" s="7"/>
      <c r="F4757" t="s">
        <v>20</v>
      </c>
      <c r="G4757" t="s">
        <v>21</v>
      </c>
      <c r="H4757" t="str">
        <f>"1543797"</f>
        <v>1543797</v>
      </c>
      <c r="I4757" t="str">
        <f t="shared" si="100"/>
        <v>BUREAU VERITAS NORTH AMERICA</v>
      </c>
    </row>
    <row r="4758" spans="5:9" x14ac:dyDescent="0.25">
      <c r="E4758" s="7"/>
      <c r="F4758" t="s">
        <v>20</v>
      </c>
      <c r="G4758" t="s">
        <v>21</v>
      </c>
      <c r="H4758" t="str">
        <f>"1543798"</f>
        <v>1543798</v>
      </c>
      <c r="I4758" t="str">
        <f t="shared" si="100"/>
        <v>BUREAU VERITAS NORTH AMERICA</v>
      </c>
    </row>
    <row r="4759" spans="5:9" x14ac:dyDescent="0.25">
      <c r="E4759" s="7"/>
      <c r="F4759" t="s">
        <v>20</v>
      </c>
      <c r="G4759" t="s">
        <v>21</v>
      </c>
      <c r="H4759" t="str">
        <f>"1543799"</f>
        <v>1543799</v>
      </c>
      <c r="I4759" t="str">
        <f t="shared" si="100"/>
        <v>BUREAU VERITAS NORTH AMERICA</v>
      </c>
    </row>
    <row r="4760" spans="5:9" x14ac:dyDescent="0.25">
      <c r="E4760" s="7"/>
      <c r="F4760" t="s">
        <v>20</v>
      </c>
      <c r="G4760" t="s">
        <v>21</v>
      </c>
      <c r="H4760" t="str">
        <f>"1543800"</f>
        <v>1543800</v>
      </c>
      <c r="I4760" t="str">
        <f t="shared" si="100"/>
        <v>BUREAU VERITAS NORTH AMERICA</v>
      </c>
    </row>
    <row r="4761" spans="5:9" x14ac:dyDescent="0.25">
      <c r="E4761" s="7"/>
      <c r="F4761" t="s">
        <v>20</v>
      </c>
      <c r="G4761" t="s">
        <v>21</v>
      </c>
      <c r="H4761" t="str">
        <f>"1543801"</f>
        <v>1543801</v>
      </c>
      <c r="I4761" t="str">
        <f t="shared" si="100"/>
        <v>BUREAU VERITAS NORTH AMERICA</v>
      </c>
    </row>
    <row r="4762" spans="5:9" x14ac:dyDescent="0.25">
      <c r="E4762" s="7"/>
      <c r="F4762" t="s">
        <v>20</v>
      </c>
      <c r="G4762" t="s">
        <v>21</v>
      </c>
      <c r="H4762" t="str">
        <f>"1543802"</f>
        <v>1543802</v>
      </c>
      <c r="I4762" t="str">
        <f t="shared" si="100"/>
        <v>BUREAU VERITAS NORTH AMERICA</v>
      </c>
    </row>
    <row r="4763" spans="5:9" x14ac:dyDescent="0.25">
      <c r="E4763" s="7"/>
      <c r="F4763" t="s">
        <v>20</v>
      </c>
      <c r="G4763" t="s">
        <v>21</v>
      </c>
      <c r="H4763" t="str">
        <f>"1543803"</f>
        <v>1543803</v>
      </c>
      <c r="I4763" t="str">
        <f t="shared" si="100"/>
        <v>BUREAU VERITAS NORTH AMERICA</v>
      </c>
    </row>
    <row r="4764" spans="5:9" x14ac:dyDescent="0.25">
      <c r="E4764" s="7"/>
      <c r="F4764" t="s">
        <v>20</v>
      </c>
      <c r="G4764" t="s">
        <v>21</v>
      </c>
      <c r="H4764" t="str">
        <f>"1543804"</f>
        <v>1543804</v>
      </c>
      <c r="I4764" t="str">
        <f t="shared" si="100"/>
        <v>BUREAU VERITAS NORTH AMERICA</v>
      </c>
    </row>
    <row r="4765" spans="5:9" x14ac:dyDescent="0.25">
      <c r="E4765" s="7"/>
      <c r="F4765" t="s">
        <v>20</v>
      </c>
      <c r="G4765" t="s">
        <v>21</v>
      </c>
      <c r="H4765" t="str">
        <f>"1543805"</f>
        <v>1543805</v>
      </c>
      <c r="I4765" t="str">
        <f t="shared" si="100"/>
        <v>BUREAU VERITAS NORTH AMERICA</v>
      </c>
    </row>
    <row r="4766" spans="5:9" x14ac:dyDescent="0.25">
      <c r="E4766" s="7"/>
      <c r="F4766" t="s">
        <v>20</v>
      </c>
      <c r="G4766" t="s">
        <v>21</v>
      </c>
      <c r="H4766" t="str">
        <f>"1543806"</f>
        <v>1543806</v>
      </c>
      <c r="I4766" t="str">
        <f t="shared" si="100"/>
        <v>BUREAU VERITAS NORTH AMERICA</v>
      </c>
    </row>
    <row r="4767" spans="5:9" x14ac:dyDescent="0.25">
      <c r="E4767" s="7"/>
      <c r="F4767" t="s">
        <v>20</v>
      </c>
      <c r="G4767" t="s">
        <v>21</v>
      </c>
      <c r="H4767" t="str">
        <f>"1543807"</f>
        <v>1543807</v>
      </c>
      <c r="I4767" t="str">
        <f t="shared" si="100"/>
        <v>BUREAU VERITAS NORTH AMERICA</v>
      </c>
    </row>
    <row r="4768" spans="5:9" x14ac:dyDescent="0.25">
      <c r="E4768" s="7"/>
      <c r="F4768" t="s">
        <v>20</v>
      </c>
      <c r="G4768" t="s">
        <v>21</v>
      </c>
      <c r="H4768" t="str">
        <f>"1543808"</f>
        <v>1543808</v>
      </c>
      <c r="I4768" t="str">
        <f t="shared" si="100"/>
        <v>BUREAU VERITAS NORTH AMERICA</v>
      </c>
    </row>
    <row r="4769" spans="1:9" x14ac:dyDescent="0.25">
      <c r="E4769" s="7"/>
      <c r="F4769" t="s">
        <v>20</v>
      </c>
      <c r="G4769" t="s">
        <v>21</v>
      </c>
      <c r="H4769" t="str">
        <f>"1543809"</f>
        <v>1543809</v>
      </c>
      <c r="I4769" t="str">
        <f t="shared" si="100"/>
        <v>BUREAU VERITAS NORTH AMERICA</v>
      </c>
    </row>
    <row r="4770" spans="1:9" x14ac:dyDescent="0.25">
      <c r="E4770" s="7"/>
      <c r="F4770" t="s">
        <v>20</v>
      </c>
      <c r="G4770" t="s">
        <v>21</v>
      </c>
      <c r="H4770" t="str">
        <f>"1543810"</f>
        <v>1543810</v>
      </c>
      <c r="I4770" t="str">
        <f t="shared" si="100"/>
        <v>BUREAU VERITAS NORTH AMERICA</v>
      </c>
    </row>
    <row r="4771" spans="1:9" x14ac:dyDescent="0.25">
      <c r="E4771" s="7"/>
      <c r="F4771" t="s">
        <v>20</v>
      </c>
      <c r="G4771" t="s">
        <v>21</v>
      </c>
      <c r="H4771" t="str">
        <f>"1543811"</f>
        <v>1543811</v>
      </c>
      <c r="I4771" t="str">
        <f t="shared" si="100"/>
        <v>BUREAU VERITAS NORTH AMERICA</v>
      </c>
    </row>
    <row r="4772" spans="1:9" x14ac:dyDescent="0.25">
      <c r="E4772" s="7"/>
      <c r="F4772" t="s">
        <v>20</v>
      </c>
      <c r="G4772" t="s">
        <v>21</v>
      </c>
      <c r="H4772" t="str">
        <f>"1543812"</f>
        <v>1543812</v>
      </c>
      <c r="I4772" t="str">
        <f t="shared" si="100"/>
        <v>BUREAU VERITAS NORTH AMERICA</v>
      </c>
    </row>
    <row r="4773" spans="1:9" x14ac:dyDescent="0.25">
      <c r="E4773" s="7"/>
      <c r="F4773" t="s">
        <v>20</v>
      </c>
      <c r="G4773" t="s">
        <v>21</v>
      </c>
      <c r="H4773" t="str">
        <f>"1543814"</f>
        <v>1543814</v>
      </c>
      <c r="I4773" t="str">
        <f t="shared" si="100"/>
        <v>BUREAU VERITAS NORTH AMERICA</v>
      </c>
    </row>
    <row r="4774" spans="1:9" x14ac:dyDescent="0.25">
      <c r="E4774" s="7"/>
      <c r="F4774" t="s">
        <v>20</v>
      </c>
      <c r="G4774" t="s">
        <v>21</v>
      </c>
      <c r="H4774" t="str">
        <f>"1543815"</f>
        <v>1543815</v>
      </c>
      <c r="I4774" t="str">
        <f t="shared" si="100"/>
        <v>BUREAU VERITAS NORTH AMERICA</v>
      </c>
    </row>
    <row r="4775" spans="1:9" x14ac:dyDescent="0.25">
      <c r="E4775" s="7"/>
      <c r="F4775" t="s">
        <v>20</v>
      </c>
      <c r="G4775" t="s">
        <v>21</v>
      </c>
      <c r="H4775" t="str">
        <f>"1543816"</f>
        <v>1543816</v>
      </c>
      <c r="I4775" t="str">
        <f t="shared" si="100"/>
        <v>BUREAU VERITAS NORTH AMERICA</v>
      </c>
    </row>
    <row r="4776" spans="1:9" x14ac:dyDescent="0.25">
      <c r="E4776" s="7"/>
      <c r="F4776" t="s">
        <v>20</v>
      </c>
      <c r="G4776" t="s">
        <v>21</v>
      </c>
      <c r="H4776" t="str">
        <f>"1543817"</f>
        <v>1543817</v>
      </c>
      <c r="I4776" t="str">
        <f t="shared" si="100"/>
        <v>BUREAU VERITAS NORTH AMERICA</v>
      </c>
    </row>
    <row r="4777" spans="1:9" x14ac:dyDescent="0.25">
      <c r="A4777" s="6">
        <v>44089</v>
      </c>
      <c r="B4777" t="s">
        <v>26</v>
      </c>
      <c r="C4777">
        <v>64948</v>
      </c>
      <c r="D4777" t="s">
        <v>63</v>
      </c>
      <c r="E4777" s="7">
        <v>344.16</v>
      </c>
      <c r="F4777" t="s">
        <v>20</v>
      </c>
      <c r="G4777" t="s">
        <v>21</v>
      </c>
      <c r="H4777" t="str">
        <f>"8404782010"</f>
        <v>8404782010</v>
      </c>
      <c r="I4777" t="str">
        <f>"CINTAS CORPORATION"</f>
        <v>CINTAS CORPORATION</v>
      </c>
    </row>
    <row r="4778" spans="1:9" x14ac:dyDescent="0.25">
      <c r="A4778" s="6">
        <v>44089</v>
      </c>
      <c r="B4778" t="s">
        <v>26</v>
      </c>
      <c r="C4778">
        <v>64949</v>
      </c>
      <c r="D4778" t="s">
        <v>71</v>
      </c>
      <c r="E4778" s="7">
        <v>861.64</v>
      </c>
      <c r="F4778" t="s">
        <v>20</v>
      </c>
      <c r="G4778" t="s">
        <v>21</v>
      </c>
      <c r="H4778" t="str">
        <f>"4060908350"</f>
        <v>4060908350</v>
      </c>
      <c r="I4778" t="str">
        <f t="shared" ref="I4778:I4785" si="101">"CINTAS CORPORATION #087"</f>
        <v>CINTAS CORPORATION #087</v>
      </c>
    </row>
    <row r="4779" spans="1:9" x14ac:dyDescent="0.25">
      <c r="E4779" s="7"/>
      <c r="F4779" t="s">
        <v>20</v>
      </c>
      <c r="G4779" t="s">
        <v>21</v>
      </c>
      <c r="H4779" t="str">
        <f>"4060908395"</f>
        <v>4060908395</v>
      </c>
      <c r="I4779" t="str">
        <f t="shared" si="101"/>
        <v>CINTAS CORPORATION #087</v>
      </c>
    </row>
    <row r="4780" spans="1:9" x14ac:dyDescent="0.25">
      <c r="E4780" s="7"/>
      <c r="F4780" t="s">
        <v>20</v>
      </c>
      <c r="G4780" t="s">
        <v>21</v>
      </c>
      <c r="H4780" t="str">
        <f>"4060908402"</f>
        <v>4060908402</v>
      </c>
      <c r="I4780" t="str">
        <f t="shared" si="101"/>
        <v>CINTAS CORPORATION #087</v>
      </c>
    </row>
    <row r="4781" spans="1:9" x14ac:dyDescent="0.25">
      <c r="E4781" s="7"/>
      <c r="F4781" t="s">
        <v>20</v>
      </c>
      <c r="G4781" t="s">
        <v>21</v>
      </c>
      <c r="H4781" t="str">
        <f>"4060908405"</f>
        <v>4060908405</v>
      </c>
      <c r="I4781" t="str">
        <f t="shared" si="101"/>
        <v>CINTAS CORPORATION #087</v>
      </c>
    </row>
    <row r="4782" spans="1:9" x14ac:dyDescent="0.25">
      <c r="E4782" s="7"/>
      <c r="F4782" t="s">
        <v>20</v>
      </c>
      <c r="G4782" t="s">
        <v>21</v>
      </c>
      <c r="H4782" t="str">
        <f>"4060908413"</f>
        <v>4060908413</v>
      </c>
      <c r="I4782" t="str">
        <f t="shared" si="101"/>
        <v>CINTAS CORPORATION #087</v>
      </c>
    </row>
    <row r="4783" spans="1:9" x14ac:dyDescent="0.25">
      <c r="E4783" s="7"/>
      <c r="F4783" t="s">
        <v>20</v>
      </c>
      <c r="G4783" t="s">
        <v>21</v>
      </c>
      <c r="H4783" t="str">
        <f>"4060908434"</f>
        <v>4060908434</v>
      </c>
      <c r="I4783" t="str">
        <f t="shared" si="101"/>
        <v>CINTAS CORPORATION #087</v>
      </c>
    </row>
    <row r="4784" spans="1:9" x14ac:dyDescent="0.25">
      <c r="E4784" s="7"/>
      <c r="F4784" t="s">
        <v>20</v>
      </c>
      <c r="G4784" t="s">
        <v>21</v>
      </c>
      <c r="H4784" t="str">
        <f>"4060911260"</f>
        <v>4060911260</v>
      </c>
      <c r="I4784" t="str">
        <f t="shared" si="101"/>
        <v>CINTAS CORPORATION #087</v>
      </c>
    </row>
    <row r="4785" spans="1:9" x14ac:dyDescent="0.25">
      <c r="E4785" s="7"/>
      <c r="F4785" t="s">
        <v>20</v>
      </c>
      <c r="G4785" t="s">
        <v>21</v>
      </c>
      <c r="H4785" t="str">
        <f>"4060911327"</f>
        <v>4060911327</v>
      </c>
      <c r="I4785" t="str">
        <f t="shared" si="101"/>
        <v>CINTAS CORPORATION #087</v>
      </c>
    </row>
    <row r="4786" spans="1:9" x14ac:dyDescent="0.25">
      <c r="A4786" s="6">
        <v>44089</v>
      </c>
      <c r="B4786" t="s">
        <v>26</v>
      </c>
      <c r="C4786">
        <v>64951</v>
      </c>
      <c r="D4786" t="s">
        <v>58</v>
      </c>
      <c r="E4786" s="7">
        <v>430</v>
      </c>
      <c r="F4786" t="s">
        <v>20</v>
      </c>
      <c r="G4786" t="s">
        <v>21</v>
      </c>
      <c r="H4786" t="str">
        <f>"608482"</f>
        <v>608482</v>
      </c>
      <c r="I4786" t="str">
        <f>"DEASON ANIMAL HOSPITAL"</f>
        <v>DEASON ANIMAL HOSPITAL</v>
      </c>
    </row>
    <row r="4787" spans="1:9" x14ac:dyDescent="0.25">
      <c r="E4787" s="7"/>
      <c r="F4787" t="s">
        <v>20</v>
      </c>
      <c r="G4787" t="s">
        <v>21</v>
      </c>
      <c r="H4787" t="str">
        <f>"608554"</f>
        <v>608554</v>
      </c>
      <c r="I4787" t="str">
        <f>"DEASON ANIMAL HOSPITAL"</f>
        <v>DEASON ANIMAL HOSPITAL</v>
      </c>
    </row>
    <row r="4788" spans="1:9" x14ac:dyDescent="0.25">
      <c r="A4788" s="6">
        <v>44089</v>
      </c>
      <c r="B4788" t="s">
        <v>26</v>
      </c>
      <c r="C4788">
        <v>64952</v>
      </c>
      <c r="D4788" t="s">
        <v>872</v>
      </c>
      <c r="E4788" s="7">
        <v>45</v>
      </c>
      <c r="F4788" t="s">
        <v>20</v>
      </c>
      <c r="G4788" t="s">
        <v>21</v>
      </c>
      <c r="H4788" t="str">
        <f>"9/13/2020"</f>
        <v>9/13/2020</v>
      </c>
      <c r="I4788" t="str">
        <f>"DEVIN BENAVIDES"</f>
        <v>DEVIN BENAVIDES</v>
      </c>
    </row>
    <row r="4789" spans="1:9" x14ac:dyDescent="0.25">
      <c r="A4789" s="6">
        <v>44089</v>
      </c>
      <c r="B4789" t="s">
        <v>26</v>
      </c>
      <c r="C4789">
        <v>64953</v>
      </c>
      <c r="D4789" t="s">
        <v>214</v>
      </c>
      <c r="E4789" s="7">
        <v>307.52999999999997</v>
      </c>
      <c r="F4789" t="s">
        <v>20</v>
      </c>
      <c r="G4789" t="s">
        <v>21</v>
      </c>
      <c r="H4789" t="str">
        <f>"0036362-IN"</f>
        <v>0036362-IN</v>
      </c>
      <c r="I4789" t="str">
        <f>"FLAGS FOR EVENT CENTER"</f>
        <v>FLAGS FOR EVENT CENTER</v>
      </c>
    </row>
    <row r="4790" spans="1:9" x14ac:dyDescent="0.25">
      <c r="A4790" s="6">
        <v>44089</v>
      </c>
      <c r="B4790" t="s">
        <v>26</v>
      </c>
      <c r="C4790">
        <v>64954</v>
      </c>
      <c r="D4790" t="s">
        <v>647</v>
      </c>
      <c r="E4790" s="7">
        <v>3288.81</v>
      </c>
      <c r="F4790" t="s">
        <v>20</v>
      </c>
      <c r="G4790" t="s">
        <v>21</v>
      </c>
      <c r="H4790" t="str">
        <f>"27772669"</f>
        <v>27772669</v>
      </c>
      <c r="I4790" t="str">
        <f>"DOCUMATION  INC."</f>
        <v>DOCUMATION  INC.</v>
      </c>
    </row>
    <row r="4791" spans="1:9" x14ac:dyDescent="0.25">
      <c r="A4791" s="6">
        <v>44089</v>
      </c>
      <c r="B4791" t="s">
        <v>26</v>
      </c>
      <c r="C4791">
        <v>64955</v>
      </c>
      <c r="D4791" t="s">
        <v>103</v>
      </c>
      <c r="E4791" s="7">
        <v>78954.14</v>
      </c>
      <c r="F4791" t="s">
        <v>20</v>
      </c>
      <c r="G4791" t="s">
        <v>21</v>
      </c>
      <c r="H4791" t="str">
        <f>"SALES TAX SEPT2020"</f>
        <v>SALES TAX SEPT2020</v>
      </c>
      <c r="I4791" t="str">
        <f>"F. E. D. C."</f>
        <v>F. E. D. C.</v>
      </c>
    </row>
    <row r="4792" spans="1:9" x14ac:dyDescent="0.25">
      <c r="A4792" s="6">
        <v>44089</v>
      </c>
      <c r="B4792" t="s">
        <v>26</v>
      </c>
      <c r="C4792">
        <v>64956</v>
      </c>
      <c r="D4792" t="s">
        <v>57</v>
      </c>
      <c r="E4792" s="7">
        <v>9027.82</v>
      </c>
      <c r="F4792" t="s">
        <v>20</v>
      </c>
      <c r="G4792" t="s">
        <v>21</v>
      </c>
      <c r="H4792" t="str">
        <f>"11617-041 9/1/2020"</f>
        <v>11617-041 9/1/2020</v>
      </c>
      <c r="I4792" t="str">
        <f>"F.E.L.P.S."</f>
        <v>F.E.L.P.S.</v>
      </c>
    </row>
    <row r="4793" spans="1:9" x14ac:dyDescent="0.25">
      <c r="E4793" s="7"/>
      <c r="F4793" t="s">
        <v>20</v>
      </c>
      <c r="G4793" t="s">
        <v>21</v>
      </c>
      <c r="H4793" t="str">
        <f>"33062 AUG.2020"</f>
        <v>33062 AUG.2020</v>
      </c>
      <c r="I4793" t="str">
        <f>"F.E.L.P.S."</f>
        <v>F.E.L.P.S.</v>
      </c>
    </row>
    <row r="4794" spans="1:9" x14ac:dyDescent="0.25">
      <c r="A4794" s="6">
        <v>44089</v>
      </c>
      <c r="B4794" t="s">
        <v>26</v>
      </c>
      <c r="C4794">
        <v>64957</v>
      </c>
      <c r="D4794" t="s">
        <v>79</v>
      </c>
      <c r="E4794" s="7">
        <v>12.5</v>
      </c>
      <c r="F4794" t="s">
        <v>20</v>
      </c>
      <c r="G4794" t="s">
        <v>21</v>
      </c>
      <c r="H4794" t="str">
        <f>"7-113-00933"</f>
        <v>7-113-00933</v>
      </c>
      <c r="I4794" t="str">
        <f>"FEDEX"</f>
        <v>FEDEX</v>
      </c>
    </row>
    <row r="4795" spans="1:9" x14ac:dyDescent="0.25">
      <c r="A4795" s="6">
        <v>44089</v>
      </c>
      <c r="B4795" t="s">
        <v>26</v>
      </c>
      <c r="C4795">
        <v>64958</v>
      </c>
      <c r="D4795" t="s">
        <v>368</v>
      </c>
      <c r="E4795" s="7">
        <v>30000</v>
      </c>
      <c r="F4795" t="s">
        <v>20</v>
      </c>
      <c r="G4795" t="s">
        <v>21</v>
      </c>
      <c r="H4795" t="str">
        <f>"9/15/2020"</f>
        <v>9/15/2020</v>
      </c>
      <c r="I4795" t="str">
        <f>"FLORESVILLE FIRE DEPARTMENT"</f>
        <v>FLORESVILLE FIRE DEPARTMENT</v>
      </c>
    </row>
    <row r="4796" spans="1:9" x14ac:dyDescent="0.25">
      <c r="A4796" s="6">
        <v>44089</v>
      </c>
      <c r="B4796" t="s">
        <v>26</v>
      </c>
      <c r="C4796">
        <v>64959</v>
      </c>
      <c r="D4796" t="s">
        <v>85</v>
      </c>
      <c r="E4796" s="7">
        <v>185.34</v>
      </c>
      <c r="F4796" t="s">
        <v>20</v>
      </c>
      <c r="G4796" t="s">
        <v>21</v>
      </c>
      <c r="H4796" t="str">
        <f>"3930579 SEPT.2020"</f>
        <v>3930579 SEPT.2020</v>
      </c>
      <c r="I4796" t="str">
        <f>"FRONTIER"</f>
        <v>FRONTIER</v>
      </c>
    </row>
    <row r="4797" spans="1:9" x14ac:dyDescent="0.25">
      <c r="E4797" s="7"/>
      <c r="F4797" t="s">
        <v>20</v>
      </c>
      <c r="G4797" t="s">
        <v>21</v>
      </c>
      <c r="H4797" t="str">
        <f>"3933108 SEPT.2020"</f>
        <v>3933108 SEPT.2020</v>
      </c>
      <c r="I4797" t="str">
        <f>"FRONTIER"</f>
        <v>FRONTIER</v>
      </c>
    </row>
    <row r="4798" spans="1:9" x14ac:dyDescent="0.25">
      <c r="E4798" s="7"/>
      <c r="F4798" t="s">
        <v>20</v>
      </c>
      <c r="G4798" t="s">
        <v>21</v>
      </c>
      <c r="H4798" t="str">
        <f>"3939791 SEPT.2020"</f>
        <v>3939791 SEPT.2020</v>
      </c>
      <c r="I4798" t="str">
        <f>"FRONTIER"</f>
        <v>FRONTIER</v>
      </c>
    </row>
    <row r="4799" spans="1:9" x14ac:dyDescent="0.25">
      <c r="A4799" s="6">
        <v>44089</v>
      </c>
      <c r="B4799" t="s">
        <v>26</v>
      </c>
      <c r="C4799">
        <v>64960</v>
      </c>
      <c r="D4799" t="s">
        <v>56</v>
      </c>
      <c r="E4799" s="7">
        <v>81.2</v>
      </c>
      <c r="F4799" t="s">
        <v>20</v>
      </c>
      <c r="G4799" t="s">
        <v>21</v>
      </c>
      <c r="H4799" t="str">
        <f>"185909"</f>
        <v>185909</v>
      </c>
      <c r="I4799" t="str">
        <f>"HERBICIDE &amp; SPRAYER"</f>
        <v>HERBICIDE &amp; SPRAYER</v>
      </c>
    </row>
    <row r="4800" spans="1:9" x14ac:dyDescent="0.25">
      <c r="A4800" s="6">
        <v>44089</v>
      </c>
      <c r="B4800" t="s">
        <v>26</v>
      </c>
      <c r="C4800">
        <v>64961</v>
      </c>
      <c r="D4800" t="s">
        <v>398</v>
      </c>
      <c r="E4800" s="7">
        <v>55</v>
      </c>
      <c r="F4800" t="s">
        <v>20</v>
      </c>
      <c r="G4800" t="s">
        <v>21</v>
      </c>
      <c r="H4800" t="str">
        <f>"20200907"</f>
        <v>20200907</v>
      </c>
      <c r="I4800" t="str">
        <f>"INTERCEPTOR TECHNOLOGY GROUP L"</f>
        <v>INTERCEPTOR TECHNOLOGY GROUP L</v>
      </c>
    </row>
    <row r="4801" spans="1:9" x14ac:dyDescent="0.25">
      <c r="A4801" s="6">
        <v>44089</v>
      </c>
      <c r="B4801" t="s">
        <v>26</v>
      </c>
      <c r="C4801">
        <v>64962</v>
      </c>
      <c r="D4801" t="s">
        <v>125</v>
      </c>
      <c r="E4801" s="7">
        <v>4260.21</v>
      </c>
      <c r="F4801" t="s">
        <v>20</v>
      </c>
      <c r="G4801" t="s">
        <v>21</v>
      </c>
      <c r="H4801" t="str">
        <f>"19-1281 AUG.2020"</f>
        <v>19-1281 AUG.2020</v>
      </c>
      <c r="I4801" t="str">
        <f>"INTREPID SURVEYING CORPORATION"</f>
        <v>INTREPID SURVEYING CORPORATION</v>
      </c>
    </row>
    <row r="4802" spans="1:9" x14ac:dyDescent="0.25">
      <c r="E4802" s="7"/>
      <c r="F4802" t="s">
        <v>20</v>
      </c>
      <c r="G4802" t="s">
        <v>21</v>
      </c>
      <c r="H4802" t="str">
        <f>"20-0711 AUG.2020"</f>
        <v>20-0711 AUG.2020</v>
      </c>
      <c r="I4802" t="str">
        <f>"INTREPID SURVEYING CORPORATION"</f>
        <v>INTREPID SURVEYING CORPORATION</v>
      </c>
    </row>
    <row r="4803" spans="1:9" x14ac:dyDescent="0.25">
      <c r="E4803" s="7"/>
      <c r="F4803" t="s">
        <v>20</v>
      </c>
      <c r="G4803" t="s">
        <v>21</v>
      </c>
      <c r="H4803" t="str">
        <f>"20-0767 AUG.2020"</f>
        <v>20-0767 AUG.2020</v>
      </c>
      <c r="I4803" t="str">
        <f>"INTREPID SURVEYING CORPORATION"</f>
        <v>INTREPID SURVEYING CORPORATION</v>
      </c>
    </row>
    <row r="4804" spans="1:9" x14ac:dyDescent="0.25">
      <c r="A4804" s="6">
        <v>44089</v>
      </c>
      <c r="B4804" t="s">
        <v>26</v>
      </c>
      <c r="C4804">
        <v>64963</v>
      </c>
      <c r="D4804" t="s">
        <v>282</v>
      </c>
      <c r="E4804" s="7">
        <v>3750</v>
      </c>
      <c r="F4804" t="s">
        <v>20</v>
      </c>
      <c r="G4804" t="s">
        <v>21</v>
      </c>
      <c r="H4804" t="str">
        <f>"4068"</f>
        <v>4068</v>
      </c>
      <c r="I4804" t="str">
        <f>"LANGFORD COMMUNITY MANAGEMENT"</f>
        <v>LANGFORD COMMUNITY MANAGEMENT</v>
      </c>
    </row>
    <row r="4805" spans="1:9" x14ac:dyDescent="0.25">
      <c r="A4805" s="6">
        <v>44089</v>
      </c>
      <c r="B4805" t="s">
        <v>26</v>
      </c>
      <c r="C4805">
        <v>64964</v>
      </c>
      <c r="D4805" t="s">
        <v>107</v>
      </c>
      <c r="E4805" s="7">
        <v>29.58</v>
      </c>
      <c r="F4805" t="s">
        <v>20</v>
      </c>
      <c r="G4805" t="s">
        <v>21</v>
      </c>
      <c r="H4805" t="str">
        <f>"1166960-20200731"</f>
        <v>1166960-20200731</v>
      </c>
      <c r="I4805" t="str">
        <f>"LEXISNEXIS RISK SOLUTIONS"</f>
        <v>LEXISNEXIS RISK SOLUTIONS</v>
      </c>
    </row>
    <row r="4806" spans="1:9" x14ac:dyDescent="0.25">
      <c r="A4806" s="6">
        <v>44089</v>
      </c>
      <c r="B4806" t="s">
        <v>26</v>
      </c>
      <c r="C4806">
        <v>64965</v>
      </c>
      <c r="D4806" t="s">
        <v>66</v>
      </c>
      <c r="E4806" s="7">
        <v>459.08</v>
      </c>
      <c r="F4806" t="s">
        <v>20</v>
      </c>
      <c r="G4806" t="s">
        <v>21</v>
      </c>
      <c r="H4806" t="str">
        <f>"59023"</f>
        <v>59023</v>
      </c>
      <c r="I4806" t="str">
        <f>"LOPEZ EXTERMINATING SERVICE  I"</f>
        <v>LOPEZ EXTERMINATING SERVICE  I</v>
      </c>
    </row>
    <row r="4807" spans="1:9" x14ac:dyDescent="0.25">
      <c r="E4807" s="7"/>
      <c r="F4807" t="s">
        <v>20</v>
      </c>
      <c r="G4807" t="s">
        <v>21</v>
      </c>
      <c r="H4807" t="str">
        <f>"59051"</f>
        <v>59051</v>
      </c>
      <c r="I4807" t="str">
        <f>"LOPEZ EXTERMINATING SERVICE  I"</f>
        <v>LOPEZ EXTERMINATING SERVICE  I</v>
      </c>
    </row>
    <row r="4808" spans="1:9" x14ac:dyDescent="0.25">
      <c r="A4808" s="6">
        <v>44089</v>
      </c>
      <c r="B4808" t="s">
        <v>26</v>
      </c>
      <c r="C4808">
        <v>64966</v>
      </c>
      <c r="D4808" t="s">
        <v>326</v>
      </c>
      <c r="E4808" s="7">
        <v>38</v>
      </c>
      <c r="F4808" t="s">
        <v>20</v>
      </c>
      <c r="G4808" t="s">
        <v>21</v>
      </c>
      <c r="H4808" t="str">
        <f>"22230795"</f>
        <v>22230795</v>
      </c>
      <c r="I4808" t="str">
        <f>"MATHESON TRI-GAS INC"</f>
        <v>MATHESON TRI-GAS INC</v>
      </c>
    </row>
    <row r="4809" spans="1:9" x14ac:dyDescent="0.25">
      <c r="A4809" s="6">
        <v>44089</v>
      </c>
      <c r="B4809" t="s">
        <v>91</v>
      </c>
      <c r="C4809">
        <v>64967</v>
      </c>
      <c r="D4809" t="s">
        <v>672</v>
      </c>
      <c r="E4809" s="7">
        <v>264</v>
      </c>
      <c r="F4809" t="s">
        <v>20</v>
      </c>
      <c r="G4809" t="s">
        <v>21</v>
      </c>
      <c r="H4809" t="str">
        <f>"9/13/2020"</f>
        <v>9/13/2020</v>
      </c>
      <c r="I4809" t="str">
        <f>"MICHAEL ANGELO GOMEZ"</f>
        <v>MICHAEL ANGELO GOMEZ</v>
      </c>
    </row>
    <row r="4810" spans="1:9" x14ac:dyDescent="0.25">
      <c r="A4810" s="6">
        <v>44089</v>
      </c>
      <c r="B4810" t="s">
        <v>91</v>
      </c>
      <c r="C4810">
        <v>64967</v>
      </c>
      <c r="D4810" t="s">
        <v>672</v>
      </c>
      <c r="E4810" s="7">
        <v>264</v>
      </c>
      <c r="F4810" t="s">
        <v>20</v>
      </c>
      <c r="G4810" t="s">
        <v>93</v>
      </c>
      <c r="H4810" t="str">
        <f>"CHECK"</f>
        <v>CHECK</v>
      </c>
      <c r="I4810" t="str">
        <f>""</f>
        <v/>
      </c>
    </row>
    <row r="4811" spans="1:9" x14ac:dyDescent="0.25">
      <c r="A4811" s="6">
        <v>44089</v>
      </c>
      <c r="B4811" t="s">
        <v>26</v>
      </c>
      <c r="C4811">
        <v>64968</v>
      </c>
      <c r="D4811" t="s">
        <v>240</v>
      </c>
      <c r="E4811" s="7">
        <v>384.02</v>
      </c>
      <c r="F4811" t="s">
        <v>20</v>
      </c>
      <c r="G4811" t="s">
        <v>21</v>
      </c>
      <c r="H4811" t="str">
        <f>"0195054-IN"</f>
        <v>0195054-IN</v>
      </c>
      <c r="I4811" t="str">
        <f>"NARDIS PUBLIC SAFETY"</f>
        <v>NARDIS PUBLIC SAFETY</v>
      </c>
    </row>
    <row r="4812" spans="1:9" x14ac:dyDescent="0.25">
      <c r="A4812" s="6">
        <v>44089</v>
      </c>
      <c r="B4812" t="s">
        <v>26</v>
      </c>
      <c r="C4812">
        <v>64969</v>
      </c>
      <c r="D4812" t="s">
        <v>943</v>
      </c>
      <c r="E4812" s="7">
        <v>2560</v>
      </c>
      <c r="F4812" t="s">
        <v>20</v>
      </c>
      <c r="G4812" t="s">
        <v>21</v>
      </c>
      <c r="H4812" t="str">
        <f>"4063"</f>
        <v>4063</v>
      </c>
      <c r="I4812" t="str">
        <f>"B STREET WATER WELL"</f>
        <v>B STREET WATER WELL</v>
      </c>
    </row>
    <row r="4813" spans="1:9" x14ac:dyDescent="0.25">
      <c r="A4813" s="6">
        <v>44089</v>
      </c>
      <c r="B4813" t="s">
        <v>26</v>
      </c>
      <c r="C4813">
        <v>64970</v>
      </c>
      <c r="D4813" t="s">
        <v>215</v>
      </c>
      <c r="E4813" s="7">
        <v>792.5</v>
      </c>
      <c r="F4813" t="s">
        <v>20</v>
      </c>
      <c r="G4813" t="s">
        <v>21</v>
      </c>
      <c r="H4813" t="str">
        <f>"639016"</f>
        <v>639016</v>
      </c>
      <c r="I4813" t="str">
        <f>"GORMAN RUPP"</f>
        <v>GORMAN RUPP</v>
      </c>
    </row>
    <row r="4814" spans="1:9" x14ac:dyDescent="0.25">
      <c r="A4814" s="6">
        <v>44089</v>
      </c>
      <c r="B4814" t="s">
        <v>26</v>
      </c>
      <c r="C4814">
        <v>64971</v>
      </c>
      <c r="D4814" t="s">
        <v>106</v>
      </c>
      <c r="E4814" s="7">
        <v>375.2</v>
      </c>
      <c r="F4814" t="s">
        <v>20</v>
      </c>
      <c r="G4814" t="s">
        <v>21</v>
      </c>
      <c r="H4814" t="str">
        <f>"1ST QRT 2020*"</f>
        <v>1ST QRT 2020*</v>
      </c>
      <c r="I4814" t="str">
        <f>"OMNIBASE SERVICES OF TEXAS"</f>
        <v>OMNIBASE SERVICES OF TEXAS</v>
      </c>
    </row>
    <row r="4815" spans="1:9" x14ac:dyDescent="0.25">
      <c r="E4815" s="7"/>
      <c r="F4815" t="s">
        <v>20</v>
      </c>
      <c r="G4815" t="s">
        <v>21</v>
      </c>
      <c r="H4815" t="str">
        <f>"2ND QRT 2020*"</f>
        <v>2ND QRT 2020*</v>
      </c>
      <c r="I4815" t="str">
        <f>"OMNIBASE SERVICES OF TEXAS"</f>
        <v>OMNIBASE SERVICES OF TEXAS</v>
      </c>
    </row>
    <row r="4816" spans="1:9" x14ac:dyDescent="0.25">
      <c r="A4816" s="6">
        <v>44089</v>
      </c>
      <c r="B4816" t="s">
        <v>26</v>
      </c>
      <c r="C4816">
        <v>64972</v>
      </c>
      <c r="D4816" t="s">
        <v>947</v>
      </c>
      <c r="E4816" s="7">
        <v>279.23</v>
      </c>
      <c r="F4816" t="s">
        <v>20</v>
      </c>
      <c r="G4816" t="s">
        <v>21</v>
      </c>
      <c r="H4816" t="str">
        <f>"00178172"</f>
        <v>00178172</v>
      </c>
      <c r="I4816" t="str">
        <f>"PAINT SAN ANTONIO LLC"</f>
        <v>PAINT SAN ANTONIO LLC</v>
      </c>
    </row>
    <row r="4817" spans="1:9" x14ac:dyDescent="0.25">
      <c r="A4817" s="6">
        <v>44089</v>
      </c>
      <c r="B4817" t="s">
        <v>26</v>
      </c>
      <c r="C4817">
        <v>64973</v>
      </c>
      <c r="D4817" t="s">
        <v>323</v>
      </c>
      <c r="E4817" s="7">
        <v>530</v>
      </c>
      <c r="F4817" t="s">
        <v>20</v>
      </c>
      <c r="G4817" t="s">
        <v>21</v>
      </c>
      <c r="H4817" t="str">
        <f>"SEPT 2020"</f>
        <v>SEPT 2020</v>
      </c>
      <c r="I4817" t="str">
        <f>"POLLOK SELF STORAGE LLC"</f>
        <v>POLLOK SELF STORAGE LLC</v>
      </c>
    </row>
    <row r="4818" spans="1:9" x14ac:dyDescent="0.25">
      <c r="A4818" s="6">
        <v>44089</v>
      </c>
      <c r="B4818" t="s">
        <v>26</v>
      </c>
      <c r="C4818">
        <v>64974</v>
      </c>
      <c r="D4818" t="s">
        <v>62</v>
      </c>
      <c r="E4818" s="7">
        <v>210</v>
      </c>
      <c r="F4818" t="s">
        <v>20</v>
      </c>
      <c r="G4818" t="s">
        <v>21</v>
      </c>
      <c r="H4818" t="str">
        <f>"69791"</f>
        <v>69791</v>
      </c>
      <c r="I4818" t="str">
        <f>"PROFICIENT BENEFIT SOLUTIONS"</f>
        <v>PROFICIENT BENEFIT SOLUTIONS</v>
      </c>
    </row>
    <row r="4819" spans="1:9" x14ac:dyDescent="0.25">
      <c r="A4819" s="6">
        <v>44089</v>
      </c>
      <c r="B4819" t="s">
        <v>26</v>
      </c>
      <c r="C4819">
        <v>64975</v>
      </c>
      <c r="D4819" t="s">
        <v>131</v>
      </c>
      <c r="E4819" s="7">
        <v>148.99</v>
      </c>
      <c r="F4819" t="s">
        <v>20</v>
      </c>
      <c r="G4819" t="s">
        <v>21</v>
      </c>
      <c r="H4819" t="str">
        <f>"052475"</f>
        <v>052475</v>
      </c>
      <c r="I4819" t="str">
        <f>"NON VALVES FOR WW"</f>
        <v>NON VALVES FOR WW</v>
      </c>
    </row>
    <row r="4820" spans="1:9" x14ac:dyDescent="0.25">
      <c r="A4820" s="6">
        <v>44089</v>
      </c>
      <c r="B4820" t="s">
        <v>26</v>
      </c>
      <c r="C4820">
        <v>64976</v>
      </c>
      <c r="D4820" t="s">
        <v>971</v>
      </c>
      <c r="E4820" s="7">
        <v>111</v>
      </c>
      <c r="F4820" t="s">
        <v>20</v>
      </c>
      <c r="G4820" t="s">
        <v>21</v>
      </c>
      <c r="H4820" t="str">
        <f>"TCEQ LIC. RENEWAL"</f>
        <v>TCEQ LIC. RENEWAL</v>
      </c>
      <c r="I4820" t="str">
        <f>"RAYMUNDO REYES"</f>
        <v>RAYMUNDO REYES</v>
      </c>
    </row>
    <row r="4821" spans="1:9" x14ac:dyDescent="0.25">
      <c r="A4821" s="6">
        <v>44089</v>
      </c>
      <c r="B4821" t="s">
        <v>26</v>
      </c>
      <c r="C4821">
        <v>64977</v>
      </c>
      <c r="D4821" t="s">
        <v>126</v>
      </c>
      <c r="E4821" s="7">
        <v>4623.3999999999996</v>
      </c>
      <c r="F4821" t="s">
        <v>20</v>
      </c>
      <c r="G4821" t="s">
        <v>21</v>
      </c>
      <c r="H4821" t="str">
        <f>"0859-002633164"</f>
        <v>0859-002633164</v>
      </c>
      <c r="I4821" t="str">
        <f>"REPUBLIC SERVICES #859"</f>
        <v>REPUBLIC SERVICES #859</v>
      </c>
    </row>
    <row r="4822" spans="1:9" x14ac:dyDescent="0.25">
      <c r="A4822" s="6">
        <v>44089</v>
      </c>
      <c r="B4822" t="s">
        <v>26</v>
      </c>
      <c r="C4822">
        <v>64978</v>
      </c>
      <c r="D4822" t="s">
        <v>216</v>
      </c>
      <c r="E4822" s="7">
        <v>40313.99</v>
      </c>
      <c r="F4822" t="s">
        <v>20</v>
      </c>
      <c r="G4822" t="s">
        <v>21</v>
      </c>
      <c r="H4822" t="str">
        <f>"51548F"</f>
        <v>51548F</v>
      </c>
      <c r="I4822" t="str">
        <f>"PD VEHICLES"</f>
        <v>PD VEHICLES</v>
      </c>
    </row>
    <row r="4823" spans="1:9" x14ac:dyDescent="0.25">
      <c r="A4823" s="6">
        <v>44089</v>
      </c>
      <c r="B4823" t="s">
        <v>26</v>
      </c>
      <c r="C4823">
        <v>64979</v>
      </c>
      <c r="D4823" t="s">
        <v>967</v>
      </c>
      <c r="E4823" s="7">
        <v>500</v>
      </c>
      <c r="F4823" t="s">
        <v>20</v>
      </c>
      <c r="G4823" t="s">
        <v>21</v>
      </c>
      <c r="H4823" t="str">
        <f>"INV9102020"</f>
        <v>INV9102020</v>
      </c>
      <c r="I4823" t="str">
        <f>"BASE PAD ROAD"</f>
        <v>BASE PAD ROAD</v>
      </c>
    </row>
    <row r="4824" spans="1:9" x14ac:dyDescent="0.25">
      <c r="A4824" s="6">
        <v>44089</v>
      </c>
      <c r="B4824" t="s">
        <v>26</v>
      </c>
      <c r="C4824">
        <v>64980</v>
      </c>
      <c r="D4824" t="s">
        <v>147</v>
      </c>
      <c r="E4824" s="7">
        <v>295</v>
      </c>
      <c r="F4824" t="s">
        <v>20</v>
      </c>
      <c r="G4824" t="s">
        <v>21</v>
      </c>
      <c r="H4824" t="str">
        <f>"1734"</f>
        <v>1734</v>
      </c>
      <c r="I4824" t="str">
        <f>"SRALLA ELECTRIC"</f>
        <v>SRALLA ELECTRIC</v>
      </c>
    </row>
    <row r="4825" spans="1:9" x14ac:dyDescent="0.25">
      <c r="A4825" s="6">
        <v>44089</v>
      </c>
      <c r="B4825" t="s">
        <v>26</v>
      </c>
      <c r="C4825">
        <v>64981</v>
      </c>
      <c r="D4825" t="s">
        <v>84</v>
      </c>
      <c r="E4825" s="7">
        <v>7448.91</v>
      </c>
      <c r="F4825" t="s">
        <v>20</v>
      </c>
      <c r="G4825" t="s">
        <v>21</v>
      </c>
      <c r="H4825" t="str">
        <f>"1479461"</f>
        <v>1479461</v>
      </c>
      <c r="I4825" t="str">
        <f>"STANTEC CONSULTING SERVICES IN"</f>
        <v>STANTEC CONSULTING SERVICES IN</v>
      </c>
    </row>
    <row r="4826" spans="1:9" x14ac:dyDescent="0.25">
      <c r="E4826" s="7"/>
      <c r="F4826" t="s">
        <v>20</v>
      </c>
      <c r="G4826" t="s">
        <v>21</v>
      </c>
      <c r="H4826" t="str">
        <f>"1679459"</f>
        <v>1679459</v>
      </c>
      <c r="I4826" t="str">
        <f>"STANTEC CONSULTING SERVICES IN"</f>
        <v>STANTEC CONSULTING SERVICES IN</v>
      </c>
    </row>
    <row r="4827" spans="1:9" x14ac:dyDescent="0.25">
      <c r="E4827" s="7"/>
      <c r="F4827" t="s">
        <v>20</v>
      </c>
      <c r="G4827" t="s">
        <v>21</v>
      </c>
      <c r="H4827" t="str">
        <f>"1679463"</f>
        <v>1679463</v>
      </c>
      <c r="I4827" t="str">
        <f>"STANTEC CONSULTING SERVICES IN"</f>
        <v>STANTEC CONSULTING SERVICES IN</v>
      </c>
    </row>
    <row r="4828" spans="1:9" x14ac:dyDescent="0.25">
      <c r="A4828" s="6">
        <v>44089</v>
      </c>
      <c r="B4828" t="s">
        <v>26</v>
      </c>
      <c r="C4828">
        <v>64982</v>
      </c>
      <c r="D4828" t="s">
        <v>254</v>
      </c>
      <c r="E4828" s="7">
        <v>231.34</v>
      </c>
      <c r="F4828" t="s">
        <v>20</v>
      </c>
      <c r="G4828" t="s">
        <v>21</v>
      </c>
      <c r="H4828" t="str">
        <f>"074 6/30-7/31/2020"</f>
        <v>074 6/30-7/31/2020</v>
      </c>
      <c r="I4828" t="str">
        <f>"TEXAS WORKFORCE COMMISSION"</f>
        <v>TEXAS WORKFORCE COMMISSION</v>
      </c>
    </row>
    <row r="4829" spans="1:9" x14ac:dyDescent="0.25">
      <c r="A4829" s="6">
        <v>44089</v>
      </c>
      <c r="B4829" t="s">
        <v>26</v>
      </c>
      <c r="C4829">
        <v>64983</v>
      </c>
      <c r="D4829" t="s">
        <v>75</v>
      </c>
      <c r="E4829" s="7">
        <v>41.29</v>
      </c>
      <c r="F4829" t="s">
        <v>20</v>
      </c>
      <c r="G4829" t="s">
        <v>21</v>
      </c>
      <c r="H4829" t="str">
        <f>"8184 9/24/2020"</f>
        <v>8184 9/24/2020</v>
      </c>
      <c r="I4829" t="str">
        <f>"CLEANER FOR THE POOL"</f>
        <v>CLEANER FOR THE POOL</v>
      </c>
    </row>
    <row r="4830" spans="1:9" x14ac:dyDescent="0.25">
      <c r="E4830" s="7"/>
      <c r="F4830" t="s">
        <v>20</v>
      </c>
      <c r="G4830" t="s">
        <v>21</v>
      </c>
      <c r="H4830" t="str">
        <f>"8184 9/24/2020*"</f>
        <v>8184 9/24/2020*</v>
      </c>
      <c r="I4830" t="str">
        <f>"TRACTOR SUPPLY CREDIT PLAN"</f>
        <v>TRACTOR SUPPLY CREDIT PLAN</v>
      </c>
    </row>
    <row r="4831" spans="1:9" x14ac:dyDescent="0.25">
      <c r="A4831" s="6">
        <v>44089</v>
      </c>
      <c r="B4831" t="s">
        <v>26</v>
      </c>
      <c r="C4831">
        <v>64984</v>
      </c>
      <c r="D4831" t="s">
        <v>698</v>
      </c>
      <c r="E4831" s="7">
        <v>45</v>
      </c>
      <c r="F4831" t="s">
        <v>20</v>
      </c>
      <c r="G4831" t="s">
        <v>21</v>
      </c>
      <c r="H4831" t="str">
        <f>"9/13/2020"</f>
        <v>9/13/2020</v>
      </c>
      <c r="I4831" t="str">
        <f>"TRACY ORTIZ"</f>
        <v>TRACY ORTIZ</v>
      </c>
    </row>
    <row r="4832" spans="1:9" x14ac:dyDescent="0.25">
      <c r="A4832" s="6">
        <v>44089</v>
      </c>
      <c r="B4832" t="s">
        <v>26</v>
      </c>
      <c r="C4832">
        <v>64985</v>
      </c>
      <c r="D4832" t="s">
        <v>61</v>
      </c>
      <c r="E4832" s="7">
        <v>755.55</v>
      </c>
      <c r="F4832" t="s">
        <v>20</v>
      </c>
      <c r="G4832" t="s">
        <v>21</v>
      </c>
      <c r="H4832" t="str">
        <f>"025-304017"</f>
        <v>025-304017</v>
      </c>
      <c r="I4832" t="str">
        <f>"TYLER TECHNOLOGIES  INC."</f>
        <v>TYLER TECHNOLOGIES  INC.</v>
      </c>
    </row>
    <row r="4833" spans="1:9" x14ac:dyDescent="0.25">
      <c r="E4833" s="7"/>
      <c r="F4833" t="s">
        <v>20</v>
      </c>
      <c r="G4833" t="s">
        <v>21</v>
      </c>
      <c r="H4833" t="str">
        <f>"025-307586"</f>
        <v>025-307586</v>
      </c>
      <c r="I4833" t="str">
        <f>"TYLER TECHNOLOGIES  INC."</f>
        <v>TYLER TECHNOLOGIES  INC.</v>
      </c>
    </row>
    <row r="4834" spans="1:9" x14ac:dyDescent="0.25">
      <c r="E4834" s="7"/>
      <c r="F4834" t="s">
        <v>20</v>
      </c>
      <c r="G4834" t="s">
        <v>21</v>
      </c>
      <c r="H4834" t="str">
        <f>"025-308452"</f>
        <v>025-308452</v>
      </c>
      <c r="I4834" t="str">
        <f>"TYLER TECHNOLOGIES  INC."</f>
        <v>TYLER TECHNOLOGIES  INC.</v>
      </c>
    </row>
    <row r="4835" spans="1:9" x14ac:dyDescent="0.25">
      <c r="A4835" s="6">
        <v>44089</v>
      </c>
      <c r="B4835" t="s">
        <v>26</v>
      </c>
      <c r="C4835">
        <v>64986</v>
      </c>
      <c r="D4835" t="s">
        <v>811</v>
      </c>
      <c r="E4835" s="7">
        <v>832.91</v>
      </c>
      <c r="F4835" t="s">
        <v>20</v>
      </c>
      <c r="G4835" t="s">
        <v>21</v>
      </c>
      <c r="H4835" t="str">
        <f>"100"</f>
        <v>100</v>
      </c>
      <c r="I4835" t="str">
        <f>"RAS PUMPS VES PART"</f>
        <v>RAS PUMPS VES PART</v>
      </c>
    </row>
    <row r="4836" spans="1:9" x14ac:dyDescent="0.25">
      <c r="A4836" s="6">
        <v>44089</v>
      </c>
      <c r="B4836" t="s">
        <v>26</v>
      </c>
      <c r="C4836">
        <v>64987</v>
      </c>
      <c r="D4836" t="s">
        <v>122</v>
      </c>
      <c r="E4836" s="7">
        <v>100</v>
      </c>
      <c r="F4836" t="s">
        <v>20</v>
      </c>
      <c r="G4836" t="s">
        <v>21</v>
      </c>
      <c r="H4836" t="str">
        <f>"48611012"</f>
        <v>48611012</v>
      </c>
      <c r="I4836" t="str">
        <f>"VILLA TIRES"</f>
        <v>VILLA TIRES</v>
      </c>
    </row>
    <row r="4837" spans="1:9" x14ac:dyDescent="0.25">
      <c r="E4837" s="7"/>
      <c r="F4837" t="s">
        <v>20</v>
      </c>
      <c r="G4837" t="s">
        <v>21</v>
      </c>
      <c r="H4837" t="str">
        <f>"48611032"</f>
        <v>48611032</v>
      </c>
      <c r="I4837" t="str">
        <f>"VILLA TIRES"</f>
        <v>VILLA TIRES</v>
      </c>
    </row>
    <row r="4838" spans="1:9" x14ac:dyDescent="0.25">
      <c r="E4838" s="7"/>
      <c r="F4838" t="s">
        <v>20</v>
      </c>
      <c r="G4838" t="s">
        <v>21</v>
      </c>
      <c r="H4838" t="str">
        <f>"48611034"</f>
        <v>48611034</v>
      </c>
      <c r="I4838" t="str">
        <f>"VILLA TIRES"</f>
        <v>VILLA TIRES</v>
      </c>
    </row>
    <row r="4839" spans="1:9" x14ac:dyDescent="0.25">
      <c r="E4839" s="7"/>
      <c r="F4839" t="s">
        <v>20</v>
      </c>
      <c r="G4839" t="s">
        <v>21</v>
      </c>
      <c r="H4839" t="str">
        <f>"9/10/2020"</f>
        <v>9/10/2020</v>
      </c>
      <c r="I4839" t="str">
        <f>"VILLA TIRES"</f>
        <v>VILLA TIRES</v>
      </c>
    </row>
    <row r="4840" spans="1:9" x14ac:dyDescent="0.25">
      <c r="A4840" s="6">
        <v>44089</v>
      </c>
      <c r="B4840" t="s">
        <v>26</v>
      </c>
      <c r="C4840">
        <v>64988</v>
      </c>
      <c r="D4840" t="s">
        <v>202</v>
      </c>
      <c r="E4840" s="7">
        <v>3268.67</v>
      </c>
      <c r="F4840" t="s">
        <v>20</v>
      </c>
      <c r="G4840" t="s">
        <v>21</v>
      </c>
      <c r="H4840" t="str">
        <f>"62169202"</f>
        <v>62169202</v>
      </c>
      <c r="I4840" t="str">
        <f>"A-2 BASE AND COLD MIX"</f>
        <v>A-2 BASE AND COLD MIX</v>
      </c>
    </row>
    <row r="4841" spans="1:9" x14ac:dyDescent="0.25">
      <c r="A4841" s="6">
        <v>44089</v>
      </c>
      <c r="B4841" t="s">
        <v>26</v>
      </c>
      <c r="C4841">
        <v>64989</v>
      </c>
      <c r="D4841" t="s">
        <v>284</v>
      </c>
      <c r="E4841" s="7">
        <v>5020</v>
      </c>
      <c r="F4841" t="s">
        <v>20</v>
      </c>
      <c r="G4841" t="s">
        <v>21</v>
      </c>
      <c r="H4841" t="str">
        <f>"4ELXINV0007293"</f>
        <v>4ELXINV0007293</v>
      </c>
      <c r="I4841" t="str">
        <f>"4RE AND VISTA PROPOSAL"</f>
        <v>4RE AND VISTA PROPOSAL</v>
      </c>
    </row>
    <row r="4842" spans="1:9" x14ac:dyDescent="0.25">
      <c r="A4842" s="6">
        <v>44089</v>
      </c>
      <c r="B4842" t="s">
        <v>26</v>
      </c>
      <c r="C4842">
        <v>64990</v>
      </c>
      <c r="D4842" t="s">
        <v>104</v>
      </c>
      <c r="E4842" s="7">
        <v>962.25</v>
      </c>
      <c r="F4842" t="s">
        <v>20</v>
      </c>
      <c r="G4842" t="s">
        <v>21</v>
      </c>
      <c r="H4842" t="str">
        <f>"2807"</f>
        <v>2807</v>
      </c>
      <c r="I4842" t="str">
        <f>"WILSON COUNTY NEWS"</f>
        <v>WILSON COUNTY NEWS</v>
      </c>
    </row>
    <row r="4843" spans="1:9" x14ac:dyDescent="0.25">
      <c r="E4843" s="7"/>
      <c r="F4843" t="s">
        <v>20</v>
      </c>
      <c r="G4843" t="s">
        <v>21</v>
      </c>
      <c r="H4843" t="str">
        <f>"3420"</f>
        <v>3420</v>
      </c>
      <c r="I4843" t="str">
        <f>"WILSON COUNTY NEWS"</f>
        <v>WILSON COUNTY NEWS</v>
      </c>
    </row>
    <row r="4844" spans="1:9" x14ac:dyDescent="0.25">
      <c r="E4844" s="7"/>
      <c r="F4844" t="s">
        <v>20</v>
      </c>
      <c r="G4844" t="s">
        <v>21</v>
      </c>
      <c r="H4844" t="str">
        <f>"3421"</f>
        <v>3421</v>
      </c>
      <c r="I4844" t="str">
        <f>"WILSON COUNTY NEWS"</f>
        <v>WILSON COUNTY NEWS</v>
      </c>
    </row>
    <row r="4845" spans="1:9" x14ac:dyDescent="0.25">
      <c r="A4845" s="6">
        <v>44089</v>
      </c>
      <c r="B4845" t="s">
        <v>26</v>
      </c>
      <c r="C4845">
        <v>64991</v>
      </c>
      <c r="D4845" t="s">
        <v>368</v>
      </c>
      <c r="E4845" s="7">
        <v>15750</v>
      </c>
      <c r="F4845" t="s">
        <v>20</v>
      </c>
      <c r="G4845" t="s">
        <v>21</v>
      </c>
      <c r="H4845" t="str">
        <f>"FY 2018/2019"</f>
        <v>FY 2018/2019</v>
      </c>
      <c r="I4845" t="str">
        <f>"FLORESVILLE FIRE DEPARTMENT"</f>
        <v>FLORESVILLE FIRE DEPARTMENT</v>
      </c>
    </row>
    <row r="4846" spans="1:9" x14ac:dyDescent="0.25">
      <c r="A4846" s="6">
        <v>44089</v>
      </c>
      <c r="B4846" t="s">
        <v>26</v>
      </c>
      <c r="C4846">
        <v>64992</v>
      </c>
      <c r="D4846" t="s">
        <v>216</v>
      </c>
      <c r="E4846" s="7">
        <v>333.5</v>
      </c>
      <c r="F4846" t="s">
        <v>20</v>
      </c>
      <c r="G4846" t="s">
        <v>21</v>
      </c>
      <c r="H4846" t="str">
        <f>"C14390"</f>
        <v>C14390</v>
      </c>
      <c r="I4846" t="str">
        <f>"SILSBEE FORD  INC."</f>
        <v>SILSBEE FORD  INC.</v>
      </c>
    </row>
    <row r="4847" spans="1:9" x14ac:dyDescent="0.25">
      <c r="E4847" s="7"/>
      <c r="F4847" t="s">
        <v>20</v>
      </c>
      <c r="G4847" t="s">
        <v>21</v>
      </c>
      <c r="H4847" t="str">
        <f>"C51547"</f>
        <v>C51547</v>
      </c>
      <c r="I4847" t="str">
        <f>"SILSBEE FORD  INC."</f>
        <v>SILSBEE FORD  INC.</v>
      </c>
    </row>
    <row r="4848" spans="1:9" x14ac:dyDescent="0.25">
      <c r="A4848" s="6">
        <v>44089</v>
      </c>
      <c r="B4848" t="s">
        <v>26</v>
      </c>
      <c r="C4848">
        <v>64993</v>
      </c>
      <c r="D4848" t="s">
        <v>92</v>
      </c>
      <c r="E4848" s="7">
        <v>32296.45</v>
      </c>
      <c r="F4848" t="s">
        <v>20</v>
      </c>
      <c r="G4848" t="s">
        <v>21</v>
      </c>
      <c r="H4848" t="str">
        <f>"RET202008118580"</f>
        <v>RET202008118580</v>
      </c>
      <c r="I4848" t="str">
        <f>"TMRS CITY OF FLORESVILLE"</f>
        <v>TMRS CITY OF FLORESVILLE</v>
      </c>
    </row>
    <row r="4849" spans="1:9" x14ac:dyDescent="0.25">
      <c r="E4849" s="7"/>
      <c r="F4849" t="s">
        <v>20</v>
      </c>
      <c r="G4849" t="s">
        <v>21</v>
      </c>
      <c r="H4849" t="str">
        <f>"RET202008258582"</f>
        <v>RET202008258582</v>
      </c>
      <c r="I4849" t="str">
        <f>"TMRS CITY OF FLORESVILLE"</f>
        <v>TMRS CITY OF FLORESVILLE</v>
      </c>
    </row>
    <row r="4850" spans="1:9" x14ac:dyDescent="0.25">
      <c r="A4850" s="6">
        <v>44091</v>
      </c>
      <c r="B4850" t="s">
        <v>26</v>
      </c>
      <c r="C4850">
        <v>64997</v>
      </c>
      <c r="D4850" t="s">
        <v>110</v>
      </c>
      <c r="E4850" s="7">
        <v>5083.84</v>
      </c>
      <c r="F4850" t="s">
        <v>20</v>
      </c>
      <c r="G4850" t="s">
        <v>21</v>
      </c>
      <c r="H4850" t="str">
        <f>"1543878"</f>
        <v>1543878</v>
      </c>
      <c r="I4850" t="str">
        <f>"BUREAU VERITAS NORTH AMERICA"</f>
        <v>BUREAU VERITAS NORTH AMERICA</v>
      </c>
    </row>
    <row r="4851" spans="1:9" x14ac:dyDescent="0.25">
      <c r="A4851" s="6">
        <v>44091</v>
      </c>
      <c r="B4851" t="s">
        <v>26</v>
      </c>
      <c r="C4851">
        <v>64998</v>
      </c>
      <c r="D4851" t="s">
        <v>102</v>
      </c>
      <c r="E4851" s="7">
        <v>103.72</v>
      </c>
      <c r="F4851" t="s">
        <v>20</v>
      </c>
      <c r="G4851" t="s">
        <v>21</v>
      </c>
      <c r="H4851" t="str">
        <f>"1120 D ST. AUG2020"</f>
        <v>1120 D ST. AUG2020</v>
      </c>
      <c r="I4851" t="str">
        <f>"CENTERPOINT ENERGY ENTEX"</f>
        <v>CENTERPOINT ENERGY ENTEX</v>
      </c>
    </row>
    <row r="4852" spans="1:9" x14ac:dyDescent="0.25">
      <c r="E4852" s="7"/>
      <c r="F4852" t="s">
        <v>20</v>
      </c>
      <c r="G4852" t="s">
        <v>21</v>
      </c>
      <c r="H4852" t="str">
        <f>"1200 1ST AUG.2020"</f>
        <v>1200 1ST AUG.2020</v>
      </c>
      <c r="I4852" t="str">
        <f>"CENTERPOINT ENERGY ENTEX"</f>
        <v>CENTERPOINT ENERGY ENTEX</v>
      </c>
    </row>
    <row r="4853" spans="1:9" x14ac:dyDescent="0.25">
      <c r="E4853" s="7"/>
      <c r="F4853" t="s">
        <v>20</v>
      </c>
      <c r="G4853" t="s">
        <v>21</v>
      </c>
      <c r="H4853" t="str">
        <f>"920 C.ST AUG.2020"</f>
        <v>920 C.ST AUG.2020</v>
      </c>
      <c r="I4853" t="str">
        <f>"CENTERPOINT ENERGY ENTEX"</f>
        <v>CENTERPOINT ENERGY ENTEX</v>
      </c>
    </row>
    <row r="4854" spans="1:9" x14ac:dyDescent="0.25">
      <c r="A4854" s="6">
        <v>44091</v>
      </c>
      <c r="B4854" t="s">
        <v>91</v>
      </c>
      <c r="C4854">
        <v>64999</v>
      </c>
      <c r="D4854" t="s">
        <v>0</v>
      </c>
      <c r="E4854" s="7">
        <v>4361.82</v>
      </c>
      <c r="F4854" t="s">
        <v>20</v>
      </c>
      <c r="G4854" t="s">
        <v>21</v>
      </c>
      <c r="H4854" t="str">
        <f>"01-0195-00 AUG2020"</f>
        <v>01-0195-00 AUG2020</v>
      </c>
      <c r="I4854" t="str">
        <f>"CITY OF FLORESVILLE"</f>
        <v>CITY OF FLORESVILLE</v>
      </c>
    </row>
    <row r="4855" spans="1:9" x14ac:dyDescent="0.25">
      <c r="A4855" s="6">
        <v>44091</v>
      </c>
      <c r="B4855" t="s">
        <v>91</v>
      </c>
      <c r="C4855">
        <v>64999</v>
      </c>
      <c r="D4855" t="s">
        <v>0</v>
      </c>
      <c r="E4855" s="7">
        <v>4361.82</v>
      </c>
      <c r="F4855" t="s">
        <v>20</v>
      </c>
      <c r="G4855" t="s">
        <v>93</v>
      </c>
      <c r="H4855" t="str">
        <f>"CHECK"</f>
        <v>CHECK</v>
      </c>
      <c r="I4855" t="str">
        <f>""</f>
        <v/>
      </c>
    </row>
    <row r="4856" spans="1:9" x14ac:dyDescent="0.25">
      <c r="A4856" s="6">
        <v>44091</v>
      </c>
      <c r="B4856" t="s">
        <v>26</v>
      </c>
      <c r="C4856">
        <v>65000</v>
      </c>
      <c r="D4856" t="s">
        <v>956</v>
      </c>
      <c r="E4856" s="7">
        <v>5000</v>
      </c>
      <c r="F4856" t="s">
        <v>20</v>
      </c>
      <c r="G4856" t="s">
        <v>21</v>
      </c>
      <c r="H4856" t="str">
        <f>"9710"</f>
        <v>9710</v>
      </c>
      <c r="I4856" t="str">
        <f>"IMS OF TEXAS  LLC"</f>
        <v>IMS OF TEXAS  LLC</v>
      </c>
    </row>
    <row r="4857" spans="1:9" x14ac:dyDescent="0.25">
      <c r="A4857" s="6">
        <v>44091</v>
      </c>
      <c r="B4857" t="s">
        <v>91</v>
      </c>
      <c r="C4857">
        <v>65001</v>
      </c>
      <c r="D4857" t="s">
        <v>927</v>
      </c>
      <c r="E4857" s="7">
        <v>5083.84</v>
      </c>
      <c r="F4857" t="s">
        <v>20</v>
      </c>
      <c r="G4857" t="s">
        <v>21</v>
      </c>
      <c r="H4857" t="str">
        <f>"1543787"</f>
        <v>1543787</v>
      </c>
      <c r="I4857" t="str">
        <f>"JOELZ LAWN MOWING SERVICE"</f>
        <v>JOELZ LAWN MOWING SERVICE</v>
      </c>
    </row>
    <row r="4858" spans="1:9" x14ac:dyDescent="0.25">
      <c r="A4858" s="6">
        <v>44091</v>
      </c>
      <c r="B4858" t="s">
        <v>91</v>
      </c>
      <c r="C4858">
        <v>65001</v>
      </c>
      <c r="D4858" t="s">
        <v>927</v>
      </c>
      <c r="E4858" s="7">
        <v>5083.84</v>
      </c>
      <c r="F4858" t="s">
        <v>20</v>
      </c>
      <c r="G4858" t="s">
        <v>93</v>
      </c>
      <c r="H4858" t="str">
        <f>"CHECK"</f>
        <v>CHECK</v>
      </c>
      <c r="I4858" t="str">
        <f>""</f>
        <v/>
      </c>
    </row>
    <row r="4859" spans="1:9" x14ac:dyDescent="0.25">
      <c r="A4859" s="6">
        <v>44091</v>
      </c>
      <c r="B4859" t="s">
        <v>26</v>
      </c>
      <c r="C4859">
        <v>65002</v>
      </c>
      <c r="D4859" t="s">
        <v>117</v>
      </c>
      <c r="E4859" s="7">
        <v>2093.4499999999998</v>
      </c>
      <c r="F4859" t="s">
        <v>20</v>
      </c>
      <c r="G4859" t="s">
        <v>21</v>
      </c>
      <c r="H4859" t="str">
        <f>"AUGUST 2020"</f>
        <v>AUGUST 2020</v>
      </c>
      <c r="I4859" t="str">
        <f>"LINEBARGER GOGGAN BLAIR &amp; SAMP"</f>
        <v>LINEBARGER GOGGAN BLAIR &amp; SAMP</v>
      </c>
    </row>
    <row r="4860" spans="1:9" x14ac:dyDescent="0.25">
      <c r="A4860" s="6">
        <v>44091</v>
      </c>
      <c r="B4860" t="s">
        <v>91</v>
      </c>
      <c r="C4860">
        <v>65003</v>
      </c>
      <c r="D4860" t="s">
        <v>0</v>
      </c>
      <c r="E4860" s="7">
        <v>2361.8200000000002</v>
      </c>
      <c r="F4860" t="s">
        <v>20</v>
      </c>
      <c r="G4860" t="s">
        <v>21</v>
      </c>
      <c r="H4860" t="str">
        <f>"AUGUST 2020"</f>
        <v>AUGUST 2020</v>
      </c>
      <c r="I4860" t="str">
        <f>"CITY OF FLORESVILLE"</f>
        <v>CITY OF FLORESVILLE</v>
      </c>
    </row>
    <row r="4861" spans="1:9" x14ac:dyDescent="0.25">
      <c r="A4861" s="6">
        <v>44091</v>
      </c>
      <c r="B4861" t="s">
        <v>91</v>
      </c>
      <c r="C4861">
        <v>65003</v>
      </c>
      <c r="D4861" t="s">
        <v>0</v>
      </c>
      <c r="E4861" s="7">
        <v>2361.8200000000002</v>
      </c>
      <c r="F4861" t="s">
        <v>20</v>
      </c>
      <c r="G4861" t="s">
        <v>93</v>
      </c>
      <c r="H4861" t="str">
        <f>"CHECK"</f>
        <v>CHECK</v>
      </c>
      <c r="I4861" t="str">
        <f>""</f>
        <v/>
      </c>
    </row>
    <row r="4862" spans="1:9" x14ac:dyDescent="0.25">
      <c r="A4862" s="6">
        <v>44091</v>
      </c>
      <c r="B4862" t="s">
        <v>26</v>
      </c>
      <c r="C4862">
        <v>65004</v>
      </c>
      <c r="D4862" t="s">
        <v>345</v>
      </c>
      <c r="E4862" s="7">
        <v>264</v>
      </c>
      <c r="F4862" t="s">
        <v>20</v>
      </c>
      <c r="G4862" t="s">
        <v>21</v>
      </c>
      <c r="H4862" t="str">
        <f>"9/13/2020"</f>
        <v>9/13/2020</v>
      </c>
      <c r="I4862" t="str">
        <f>"MICHAEL ISAAC MARTINEZ"</f>
        <v>MICHAEL ISAAC MARTINEZ</v>
      </c>
    </row>
    <row r="4863" spans="1:9" x14ac:dyDescent="0.25">
      <c r="A4863" s="6">
        <v>44096</v>
      </c>
      <c r="B4863" t="s">
        <v>26</v>
      </c>
      <c r="C4863">
        <v>65009</v>
      </c>
      <c r="D4863" t="s">
        <v>51</v>
      </c>
      <c r="E4863" s="7">
        <v>309.37</v>
      </c>
      <c r="F4863" t="s">
        <v>20</v>
      </c>
      <c r="G4863" t="s">
        <v>21</v>
      </c>
      <c r="H4863" t="str">
        <f>"CLE202009228585"</f>
        <v>CLE202009228585</v>
      </c>
      <c r="I4863" t="str">
        <f>"CLEAT ONLY DUES"</f>
        <v>CLEAT ONLY DUES</v>
      </c>
    </row>
    <row r="4864" spans="1:9" x14ac:dyDescent="0.25">
      <c r="E4864" s="7"/>
      <c r="F4864" t="s">
        <v>20</v>
      </c>
      <c r="G4864" t="s">
        <v>21</v>
      </c>
      <c r="H4864" t="str">
        <f>"PDD202009228585"</f>
        <v>PDD202009228585</v>
      </c>
      <c r="I4864" t="str">
        <f>"POLICE OFFICERS ASSOC DUES"</f>
        <v>POLICE OFFICERS ASSOC DUES</v>
      </c>
    </row>
    <row r="4865" spans="1:9" x14ac:dyDescent="0.25">
      <c r="A4865" s="6">
        <v>44096</v>
      </c>
      <c r="B4865" t="s">
        <v>26</v>
      </c>
      <c r="C4865">
        <v>65010</v>
      </c>
      <c r="D4865" t="s">
        <v>52</v>
      </c>
      <c r="E4865" s="7">
        <v>405</v>
      </c>
      <c r="F4865" t="s">
        <v>20</v>
      </c>
      <c r="G4865" t="s">
        <v>21</v>
      </c>
      <c r="H4865" t="str">
        <f>"CA1202009228585"</f>
        <v>CA1202009228585</v>
      </c>
      <c r="I4865" t="str">
        <f>"K RAMIREZ 001200229510060343CV"</f>
        <v>K RAMIREZ 001200229510060343CV</v>
      </c>
    </row>
    <row r="4866" spans="1:9" x14ac:dyDescent="0.25">
      <c r="E4866" s="7"/>
      <c r="F4866" t="s">
        <v>20</v>
      </c>
      <c r="G4866" t="s">
        <v>21</v>
      </c>
      <c r="H4866" t="str">
        <f>"CA2202009228585"</f>
        <v>CA2202009228585</v>
      </c>
      <c r="I4866" t="str">
        <f>"L HERNANDEZ 001016025203080354"</f>
        <v>L HERNANDEZ 001016025203080354</v>
      </c>
    </row>
    <row r="4867" spans="1:9" x14ac:dyDescent="0.25">
      <c r="E4867" s="7"/>
      <c r="F4867" t="s">
        <v>20</v>
      </c>
      <c r="G4867" t="s">
        <v>21</v>
      </c>
      <c r="H4867" t="str">
        <f>"CA3202009228585"</f>
        <v>CA3202009228585</v>
      </c>
      <c r="I4867" t="str">
        <f>"00120788612011EM5023JOLENEGARC"</f>
        <v>00120788612011EM5023JOLENEGARC</v>
      </c>
    </row>
    <row r="4868" spans="1:9" x14ac:dyDescent="0.25">
      <c r="E4868" s="7"/>
      <c r="F4868" t="s">
        <v>20</v>
      </c>
      <c r="G4868" t="s">
        <v>21</v>
      </c>
      <c r="H4868" t="str">
        <f>"CSA202009228585"</f>
        <v>CSA202009228585</v>
      </c>
      <c r="I4868" t="str">
        <f>"S RODRIGUEZ 001281730413050336"</f>
        <v>S RODRIGUEZ 001281730413050336</v>
      </c>
    </row>
    <row r="4869" spans="1:9" x14ac:dyDescent="0.25">
      <c r="A4869" s="6">
        <v>44096</v>
      </c>
      <c r="B4869" t="s">
        <v>26</v>
      </c>
      <c r="C4869">
        <v>65011</v>
      </c>
      <c r="D4869" t="s">
        <v>138</v>
      </c>
      <c r="E4869" s="7">
        <v>326.91000000000003</v>
      </c>
      <c r="F4869" t="s">
        <v>20</v>
      </c>
      <c r="G4869" t="s">
        <v>21</v>
      </c>
      <c r="H4869" t="str">
        <f>"FLX202009228585"</f>
        <v>FLX202009228585</v>
      </c>
      <c r="I4869" t="str">
        <f>"FLEX SPENDING"</f>
        <v>FLEX SPENDING</v>
      </c>
    </row>
    <row r="4870" spans="1:9" x14ac:dyDescent="0.25">
      <c r="A4870" s="6">
        <v>44096</v>
      </c>
      <c r="B4870" t="s">
        <v>26</v>
      </c>
      <c r="C4870">
        <v>65012</v>
      </c>
      <c r="D4870" t="s">
        <v>54</v>
      </c>
      <c r="E4870" s="7">
        <v>1186.68</v>
      </c>
      <c r="F4870" t="s">
        <v>20</v>
      </c>
      <c r="G4870" t="s">
        <v>21</v>
      </c>
      <c r="H4870" t="str">
        <f>"457202009228585"</f>
        <v>457202009228585</v>
      </c>
      <c r="I4870" t="str">
        <f>"CASE # 180-60751 457B DEDUCT"</f>
        <v>CASE # 180-60751 457B DEDUCT</v>
      </c>
    </row>
    <row r="4871" spans="1:9" x14ac:dyDescent="0.25">
      <c r="A4871" s="6">
        <v>44096</v>
      </c>
      <c r="B4871" t="s">
        <v>26</v>
      </c>
      <c r="C4871">
        <v>65013</v>
      </c>
      <c r="D4871" t="s">
        <v>969</v>
      </c>
      <c r="E4871" s="7">
        <v>88.74</v>
      </c>
      <c r="F4871" t="s">
        <v>20</v>
      </c>
      <c r="G4871" t="s">
        <v>21</v>
      </c>
      <c r="H4871" t="str">
        <f>"ATG202009228585"</f>
        <v>ATG202009228585</v>
      </c>
      <c r="I4871" t="str">
        <f>"WG1910853 A. TREVINO"</f>
        <v>WG1910853 A. TREVINO</v>
      </c>
    </row>
    <row r="4872" spans="1:9" x14ac:dyDescent="0.25">
      <c r="A4872" s="6">
        <v>44096</v>
      </c>
      <c r="B4872" t="s">
        <v>91</v>
      </c>
      <c r="C4872">
        <v>65014</v>
      </c>
      <c r="D4872" t="s">
        <v>446</v>
      </c>
      <c r="E4872" s="7">
        <v>315</v>
      </c>
      <c r="F4872" t="s">
        <v>20</v>
      </c>
      <c r="G4872" t="s">
        <v>21</v>
      </c>
      <c r="H4872" t="str">
        <f>"9/19/2020"</f>
        <v>9/19/2020</v>
      </c>
      <c r="I4872" t="str">
        <f>"ISAIAH BARRIENTEZ"</f>
        <v>ISAIAH BARRIENTEZ</v>
      </c>
    </row>
    <row r="4873" spans="1:9" x14ac:dyDescent="0.25">
      <c r="A4873" s="6">
        <v>44096</v>
      </c>
      <c r="B4873" t="s">
        <v>91</v>
      </c>
      <c r="C4873">
        <v>65014</v>
      </c>
      <c r="D4873" t="s">
        <v>446</v>
      </c>
      <c r="E4873" s="7">
        <v>315</v>
      </c>
      <c r="F4873" t="s">
        <v>20</v>
      </c>
      <c r="G4873" t="s">
        <v>93</v>
      </c>
      <c r="H4873" t="str">
        <f>"CHECK"</f>
        <v>CHECK</v>
      </c>
      <c r="I4873" t="str">
        <f>""</f>
        <v/>
      </c>
    </row>
    <row r="4874" spans="1:9" x14ac:dyDescent="0.25">
      <c r="A4874" s="6">
        <v>44096</v>
      </c>
      <c r="B4874" t="s">
        <v>26</v>
      </c>
      <c r="C4874">
        <v>65015</v>
      </c>
      <c r="D4874" t="s">
        <v>863</v>
      </c>
      <c r="E4874" s="7">
        <v>315</v>
      </c>
      <c r="F4874" t="s">
        <v>20</v>
      </c>
      <c r="G4874" t="s">
        <v>21</v>
      </c>
      <c r="H4874" t="str">
        <f>"9/19/2020"</f>
        <v>9/19/2020</v>
      </c>
      <c r="I4874" t="str">
        <f>"KELLY LEE TREVINO"</f>
        <v>KELLY LEE TREVINO</v>
      </c>
    </row>
    <row r="4875" spans="1:9" x14ac:dyDescent="0.25">
      <c r="A4875" s="6">
        <v>44097</v>
      </c>
      <c r="B4875" t="s">
        <v>26</v>
      </c>
      <c r="C4875">
        <v>65016</v>
      </c>
      <c r="D4875" t="s">
        <v>970</v>
      </c>
      <c r="E4875" s="7">
        <v>55</v>
      </c>
      <c r="F4875" t="s">
        <v>20</v>
      </c>
      <c r="G4875" t="s">
        <v>21</v>
      </c>
      <c r="H4875" t="str">
        <f>"09/19/2020"</f>
        <v>09/19/2020</v>
      </c>
      <c r="I4875" t="str">
        <f>"ABBYGAIL DELGADO"</f>
        <v>ABBYGAIL DELGADO</v>
      </c>
    </row>
    <row r="4876" spans="1:9" x14ac:dyDescent="0.25">
      <c r="A4876" s="6">
        <v>44097</v>
      </c>
      <c r="B4876" t="s">
        <v>26</v>
      </c>
      <c r="C4876">
        <v>65017</v>
      </c>
      <c r="D4876" t="s">
        <v>0</v>
      </c>
      <c r="E4876" s="7">
        <v>4980.83</v>
      </c>
      <c r="F4876" t="s">
        <v>20</v>
      </c>
      <c r="G4876" t="s">
        <v>21</v>
      </c>
      <c r="H4876" t="str">
        <f>"01-0195-00*"</f>
        <v>01-0195-00*</v>
      </c>
      <c r="I4876" t="str">
        <f>"CITY OF FLORESVILLE"</f>
        <v>CITY OF FLORESVILLE</v>
      </c>
    </row>
    <row r="4877" spans="1:9" x14ac:dyDescent="0.25">
      <c r="A4877" s="6">
        <v>44097</v>
      </c>
      <c r="B4877" t="s">
        <v>26</v>
      </c>
      <c r="C4877">
        <v>65018</v>
      </c>
      <c r="D4877" t="s">
        <v>872</v>
      </c>
      <c r="E4877" s="7">
        <v>152.5</v>
      </c>
      <c r="F4877" t="s">
        <v>20</v>
      </c>
      <c r="G4877" t="s">
        <v>21</v>
      </c>
      <c r="H4877" t="str">
        <f>"09/19/2020"</f>
        <v>09/19/2020</v>
      </c>
      <c r="I4877" t="str">
        <f>"DEVIN BENAVIDES"</f>
        <v>DEVIN BENAVIDES</v>
      </c>
    </row>
    <row r="4878" spans="1:9" x14ac:dyDescent="0.25">
      <c r="A4878" s="6">
        <v>44097</v>
      </c>
      <c r="B4878" t="s">
        <v>26</v>
      </c>
      <c r="C4878">
        <v>65019</v>
      </c>
      <c r="D4878" t="s">
        <v>77</v>
      </c>
      <c r="E4878" s="7">
        <v>370</v>
      </c>
      <c r="F4878" t="s">
        <v>20</v>
      </c>
      <c r="G4878" t="s">
        <v>21</v>
      </c>
      <c r="H4878" t="str">
        <f>"DE85001782-20"</f>
        <v>DE85001782-20</v>
      </c>
      <c r="I4878" t="str">
        <f>"DPC INDUSTRIES  INC."</f>
        <v>DPC INDUSTRIES  INC.</v>
      </c>
    </row>
    <row r="4879" spans="1:9" x14ac:dyDescent="0.25">
      <c r="E4879" s="7"/>
      <c r="F4879" t="s">
        <v>20</v>
      </c>
      <c r="G4879" t="s">
        <v>21</v>
      </c>
      <c r="H4879" t="str">
        <f>"DE85001976-20"</f>
        <v>DE85001976-20</v>
      </c>
      <c r="I4879" t="str">
        <f>"DPC INDUSTRIES  INC."</f>
        <v>DPC INDUSTRIES  INC.</v>
      </c>
    </row>
    <row r="4880" spans="1:9" x14ac:dyDescent="0.25">
      <c r="A4880" s="6">
        <v>44097</v>
      </c>
      <c r="B4880" t="s">
        <v>26</v>
      </c>
      <c r="C4880">
        <v>65020</v>
      </c>
      <c r="D4880" t="s">
        <v>739</v>
      </c>
      <c r="E4880" s="7">
        <v>832.2</v>
      </c>
      <c r="F4880" t="s">
        <v>20</v>
      </c>
      <c r="G4880" t="s">
        <v>21</v>
      </c>
      <c r="H4880" t="str">
        <f>"287291275286"</f>
        <v>287291275286</v>
      </c>
      <c r="I4880" t="str">
        <f>"FIRSTNET/AT&amp;T MOBILITY LLC"</f>
        <v>FIRSTNET/AT&amp;T MOBILITY LLC</v>
      </c>
    </row>
    <row r="4881" spans="1:9" x14ac:dyDescent="0.25">
      <c r="A4881" s="6">
        <v>44097</v>
      </c>
      <c r="B4881" t="s">
        <v>26</v>
      </c>
      <c r="C4881">
        <v>65021</v>
      </c>
      <c r="D4881" t="s">
        <v>85</v>
      </c>
      <c r="E4881" s="7">
        <v>2180.31</v>
      </c>
      <c r="F4881" t="s">
        <v>20</v>
      </c>
      <c r="G4881" t="s">
        <v>21</v>
      </c>
      <c r="H4881" t="str">
        <f>"2162755 9/10/2020"</f>
        <v>2162755 9/10/2020</v>
      </c>
      <c r="I4881" t="str">
        <f>"FRONTIER"</f>
        <v>FRONTIER</v>
      </c>
    </row>
    <row r="4882" spans="1:9" x14ac:dyDescent="0.25">
      <c r="E4882" s="7"/>
      <c r="F4882" t="s">
        <v>20</v>
      </c>
      <c r="G4882" t="s">
        <v>21</v>
      </c>
      <c r="H4882" t="str">
        <f>"3932804 9/10/2020"</f>
        <v>3932804 9/10/2020</v>
      </c>
      <c r="I4882" t="str">
        <f>"FRONTIER"</f>
        <v>FRONTIER</v>
      </c>
    </row>
    <row r="4883" spans="1:9" x14ac:dyDescent="0.25">
      <c r="E4883" s="7"/>
      <c r="F4883" t="s">
        <v>20</v>
      </c>
      <c r="G4883" t="s">
        <v>21</v>
      </c>
      <c r="H4883" t="str">
        <f>"3936794 9/10/2020"</f>
        <v>3936794 9/10/2020</v>
      </c>
      <c r="I4883" t="str">
        <f>"FRONTIER"</f>
        <v>FRONTIER</v>
      </c>
    </row>
    <row r="4884" spans="1:9" x14ac:dyDescent="0.25">
      <c r="E4884" s="7"/>
      <c r="F4884" t="s">
        <v>20</v>
      </c>
      <c r="G4884" t="s">
        <v>21</v>
      </c>
      <c r="H4884" t="str">
        <f>"3938193 9/7/2020"</f>
        <v>3938193 9/7/2020</v>
      </c>
      <c r="I4884" t="str">
        <f>"FRONTIER"</f>
        <v>FRONTIER</v>
      </c>
    </row>
    <row r="4885" spans="1:9" x14ac:dyDescent="0.25">
      <c r="E4885" s="7"/>
      <c r="F4885" t="s">
        <v>20</v>
      </c>
      <c r="G4885" t="s">
        <v>21</v>
      </c>
      <c r="H4885" t="str">
        <f>"8301970025  9/2020"</f>
        <v>8301970025  9/2020</v>
      </c>
      <c r="I4885" t="str">
        <f>"FRONTIER"</f>
        <v>FRONTIER</v>
      </c>
    </row>
    <row r="4886" spans="1:9" x14ac:dyDescent="0.25">
      <c r="A4886" s="6">
        <v>44097</v>
      </c>
      <c r="B4886" t="s">
        <v>26</v>
      </c>
      <c r="C4886">
        <v>65023</v>
      </c>
      <c r="D4886" t="s">
        <v>80</v>
      </c>
      <c r="E4886" s="7">
        <v>449</v>
      </c>
      <c r="F4886" t="s">
        <v>20</v>
      </c>
      <c r="G4886" t="s">
        <v>21</v>
      </c>
      <c r="H4886" t="str">
        <f>"2313-20200901-01"</f>
        <v>2313-20200901-01</v>
      </c>
      <c r="I4886" t="str">
        <f>"LVWIFI.COM"</f>
        <v>LVWIFI.COM</v>
      </c>
    </row>
    <row r="4887" spans="1:9" x14ac:dyDescent="0.25">
      <c r="A4887" s="6">
        <v>44097</v>
      </c>
      <c r="B4887" t="s">
        <v>26</v>
      </c>
      <c r="C4887">
        <v>65024</v>
      </c>
      <c r="D4887" t="s">
        <v>29</v>
      </c>
      <c r="E4887" s="7">
        <v>3952.02</v>
      </c>
      <c r="F4887" t="s">
        <v>20</v>
      </c>
      <c r="G4887" t="s">
        <v>21</v>
      </c>
      <c r="H4887" t="str">
        <f>"46624"</f>
        <v>46624</v>
      </c>
      <c r="I4887" t="str">
        <f>"M &amp; S ENGINEERING  LLC"</f>
        <v>M &amp; S ENGINEERING  LLC</v>
      </c>
    </row>
    <row r="4888" spans="1:9" x14ac:dyDescent="0.25">
      <c r="E4888" s="7"/>
      <c r="F4888" t="s">
        <v>20</v>
      </c>
      <c r="G4888" t="s">
        <v>21</v>
      </c>
      <c r="H4888" t="str">
        <f>"46639"</f>
        <v>46639</v>
      </c>
      <c r="I4888" t="str">
        <f>"M &amp; S ENGINEERING  LLC"</f>
        <v>M &amp; S ENGINEERING  LLC</v>
      </c>
    </row>
    <row r="4889" spans="1:9" x14ac:dyDescent="0.25">
      <c r="A4889" s="6">
        <v>44097</v>
      </c>
      <c r="B4889" t="s">
        <v>26</v>
      </c>
      <c r="C4889">
        <v>65025</v>
      </c>
      <c r="D4889" t="s">
        <v>972</v>
      </c>
      <c r="E4889" s="7">
        <v>110</v>
      </c>
      <c r="F4889" t="s">
        <v>20</v>
      </c>
      <c r="G4889" t="s">
        <v>21</v>
      </c>
      <c r="H4889" t="str">
        <f>"09/19/2020"</f>
        <v>09/19/2020</v>
      </c>
      <c r="I4889" t="str">
        <f>"MIA GONZALES"</f>
        <v>MIA GONZALES</v>
      </c>
    </row>
    <row r="4890" spans="1:9" x14ac:dyDescent="0.25">
      <c r="A4890" s="6">
        <v>44097</v>
      </c>
      <c r="B4890" t="s">
        <v>26</v>
      </c>
      <c r="C4890">
        <v>65026</v>
      </c>
      <c r="D4890" t="s">
        <v>345</v>
      </c>
      <c r="E4890" s="7">
        <v>220</v>
      </c>
      <c r="F4890" t="s">
        <v>20</v>
      </c>
      <c r="G4890" t="s">
        <v>21</v>
      </c>
      <c r="H4890" t="str">
        <f>"09/21/2020"</f>
        <v>09/21/2020</v>
      </c>
      <c r="I4890" t="str">
        <f>"MICHAEL ISAAC MARTINEZ"</f>
        <v>MICHAEL ISAAC MARTINEZ</v>
      </c>
    </row>
    <row r="4891" spans="1:9" x14ac:dyDescent="0.25">
      <c r="A4891" s="6">
        <v>44097</v>
      </c>
      <c r="B4891" t="s">
        <v>26</v>
      </c>
      <c r="C4891">
        <v>65027</v>
      </c>
      <c r="D4891" t="s">
        <v>252</v>
      </c>
      <c r="E4891" s="7">
        <v>42813</v>
      </c>
      <c r="F4891" t="s">
        <v>20</v>
      </c>
      <c r="G4891" t="s">
        <v>21</v>
      </c>
      <c r="H4891" t="str">
        <f>"DRAW #2"</f>
        <v>DRAW #2</v>
      </c>
      <c r="I4891" t="str">
        <f>"RAM II GENERAL CONTRACTOR INC."</f>
        <v>RAM II GENERAL CONTRACTOR INC.</v>
      </c>
    </row>
    <row r="4892" spans="1:9" x14ac:dyDescent="0.25">
      <c r="A4892" s="6">
        <v>44097</v>
      </c>
      <c r="B4892" t="s">
        <v>26</v>
      </c>
      <c r="C4892">
        <v>65028</v>
      </c>
      <c r="D4892" t="s">
        <v>930</v>
      </c>
      <c r="E4892" s="7">
        <v>450</v>
      </c>
      <c r="F4892" t="s">
        <v>20</v>
      </c>
      <c r="G4892" t="s">
        <v>21</v>
      </c>
      <c r="H4892" t="str">
        <f>"9/6-9/19/2020"</f>
        <v>9/6-9/19/2020</v>
      </c>
      <c r="I4892" t="str">
        <f>"SAVANNAH TORRES"</f>
        <v>SAVANNAH TORRES</v>
      </c>
    </row>
    <row r="4893" spans="1:9" x14ac:dyDescent="0.25">
      <c r="A4893" s="6">
        <v>44097</v>
      </c>
      <c r="B4893" t="s">
        <v>26</v>
      </c>
      <c r="C4893">
        <v>65029</v>
      </c>
      <c r="D4893" t="s">
        <v>495</v>
      </c>
      <c r="E4893" s="7">
        <v>398.34</v>
      </c>
      <c r="F4893" t="s">
        <v>20</v>
      </c>
      <c r="G4893" t="s">
        <v>21</v>
      </c>
      <c r="H4893" t="str">
        <f>"0458415-IN"</f>
        <v>0458415-IN</v>
      </c>
      <c r="I4893" t="str">
        <f>"SIRCHIE"</f>
        <v>SIRCHIE</v>
      </c>
    </row>
    <row r="4894" spans="1:9" x14ac:dyDescent="0.25">
      <c r="A4894" s="6">
        <v>44097</v>
      </c>
      <c r="B4894" t="s">
        <v>26</v>
      </c>
      <c r="C4894">
        <v>65030</v>
      </c>
      <c r="D4894" t="s">
        <v>132</v>
      </c>
      <c r="E4894" s="7">
        <v>95.15</v>
      </c>
      <c r="F4894" t="s">
        <v>20</v>
      </c>
      <c r="G4894" t="s">
        <v>21</v>
      </c>
      <c r="H4894" t="str">
        <f>"1699288709102020"</f>
        <v>1699288709102020</v>
      </c>
      <c r="I4894" t="str">
        <f>"SPARKLETTS &amp; SIERRA SPRINGS"</f>
        <v>SPARKLETTS &amp; SIERRA SPRINGS</v>
      </c>
    </row>
    <row r="4895" spans="1:9" x14ac:dyDescent="0.25">
      <c r="A4895" s="6">
        <v>44097</v>
      </c>
      <c r="B4895" t="s">
        <v>26</v>
      </c>
      <c r="C4895">
        <v>65031</v>
      </c>
      <c r="D4895" t="s">
        <v>346</v>
      </c>
      <c r="E4895" s="7">
        <v>13750</v>
      </c>
      <c r="F4895" t="s">
        <v>20</v>
      </c>
      <c r="G4895" t="s">
        <v>21</v>
      </c>
      <c r="H4895" t="str">
        <f>"8/11-9/11/2020"</f>
        <v>8/11-9/11/2020</v>
      </c>
      <c r="I4895" t="str">
        <f>"SYLVIA RODRIGUEZ"</f>
        <v>SYLVIA RODRIGUEZ</v>
      </c>
    </row>
    <row r="4896" spans="1:9" x14ac:dyDescent="0.25">
      <c r="A4896" s="6">
        <v>44097</v>
      </c>
      <c r="B4896" t="s">
        <v>26</v>
      </c>
      <c r="C4896">
        <v>65032</v>
      </c>
      <c r="D4896" t="s">
        <v>698</v>
      </c>
      <c r="E4896" s="7">
        <v>55</v>
      </c>
      <c r="F4896" t="s">
        <v>20</v>
      </c>
      <c r="G4896" t="s">
        <v>21</v>
      </c>
      <c r="H4896" t="str">
        <f>"09/19/2020"</f>
        <v>09/19/2020</v>
      </c>
      <c r="I4896" t="str">
        <f>"TRACY ORTIZ"</f>
        <v>TRACY ORTIZ</v>
      </c>
    </row>
    <row r="4897" spans="1:9" x14ac:dyDescent="0.25">
      <c r="A4897" s="6">
        <v>44104</v>
      </c>
      <c r="B4897" t="s">
        <v>26</v>
      </c>
      <c r="C4897">
        <v>65033</v>
      </c>
      <c r="D4897" t="s">
        <v>941</v>
      </c>
      <c r="E4897" s="7">
        <v>129</v>
      </c>
      <c r="F4897" t="s">
        <v>20</v>
      </c>
      <c r="G4897" t="s">
        <v>21</v>
      </c>
      <c r="H4897" t="str">
        <f>"18448"</f>
        <v>18448</v>
      </c>
      <c r="I4897" t="str">
        <f>"ADCOMP SYSTEMS  INC"</f>
        <v>ADCOMP SYSTEMS  INC</v>
      </c>
    </row>
    <row r="4898" spans="1:9" x14ac:dyDescent="0.25">
      <c r="A4898" s="6">
        <v>44104</v>
      </c>
      <c r="B4898" t="s">
        <v>26</v>
      </c>
      <c r="C4898">
        <v>65034</v>
      </c>
      <c r="D4898" t="s">
        <v>188</v>
      </c>
      <c r="E4898" s="7">
        <v>334.96</v>
      </c>
      <c r="F4898" t="s">
        <v>20</v>
      </c>
      <c r="G4898" t="s">
        <v>21</v>
      </c>
      <c r="H4898" t="str">
        <f>"83198"</f>
        <v>83198</v>
      </c>
      <c r="I4898" t="str">
        <f>"HOSE FOR WW"</f>
        <v>HOSE FOR WW</v>
      </c>
    </row>
    <row r="4899" spans="1:9" x14ac:dyDescent="0.25">
      <c r="A4899" s="6">
        <v>44104</v>
      </c>
      <c r="B4899" t="s">
        <v>26</v>
      </c>
      <c r="C4899">
        <v>65035</v>
      </c>
      <c r="D4899" t="s">
        <v>195</v>
      </c>
      <c r="E4899" s="7">
        <v>540.38</v>
      </c>
      <c r="F4899" t="s">
        <v>20</v>
      </c>
      <c r="G4899" t="s">
        <v>21</v>
      </c>
      <c r="H4899" t="str">
        <f>"30406"</f>
        <v>30406</v>
      </c>
      <c r="I4899" t="str">
        <f>"ARISTA INFORMATION SYSTEMS  IN"</f>
        <v>ARISTA INFORMATION SYSTEMS  IN</v>
      </c>
    </row>
    <row r="4900" spans="1:9" x14ac:dyDescent="0.25">
      <c r="A4900" s="6">
        <v>44104</v>
      </c>
      <c r="B4900" t="s">
        <v>26</v>
      </c>
      <c r="C4900">
        <v>65036</v>
      </c>
      <c r="D4900" t="s">
        <v>189</v>
      </c>
      <c r="E4900" s="7">
        <v>53.9</v>
      </c>
      <c r="F4900" t="s">
        <v>20</v>
      </c>
      <c r="G4900" t="s">
        <v>21</v>
      </c>
      <c r="H4900" t="str">
        <f>"PSO188756-1"</f>
        <v>PSO188756-1</v>
      </c>
      <c r="I4900" t="str">
        <f>"BELT"</f>
        <v>BELT</v>
      </c>
    </row>
    <row r="4901" spans="1:9" x14ac:dyDescent="0.25">
      <c r="A4901" s="6">
        <v>44104</v>
      </c>
      <c r="B4901" t="s">
        <v>26</v>
      </c>
      <c r="C4901">
        <v>65037</v>
      </c>
      <c r="D4901" t="s">
        <v>781</v>
      </c>
      <c r="E4901" s="7">
        <v>45</v>
      </c>
      <c r="F4901" t="s">
        <v>20</v>
      </c>
      <c r="G4901" t="s">
        <v>21</v>
      </c>
      <c r="H4901" t="str">
        <f>"9/27/2020"</f>
        <v>9/27/2020</v>
      </c>
      <c r="I4901" t="str">
        <f>"ASHLEY MARTINEZ"</f>
        <v>ASHLEY MARTINEZ</v>
      </c>
    </row>
    <row r="4902" spans="1:9" x14ac:dyDescent="0.25">
      <c r="A4902" s="6">
        <v>44104</v>
      </c>
      <c r="B4902" t="s">
        <v>26</v>
      </c>
      <c r="C4902">
        <v>65038</v>
      </c>
      <c r="D4902" t="s">
        <v>533</v>
      </c>
      <c r="E4902" s="7">
        <v>75</v>
      </c>
      <c r="F4902" t="s">
        <v>20</v>
      </c>
      <c r="G4902" t="s">
        <v>21</v>
      </c>
      <c r="H4902" t="str">
        <f>"89697 M.XIMENEZ"</f>
        <v>89697 M.XIMENEZ</v>
      </c>
      <c r="I4902" t="str">
        <f>"ASSOCIATION OF HISPANIC MUNICI"</f>
        <v>ASSOCIATION OF HISPANIC MUNICI</v>
      </c>
    </row>
    <row r="4903" spans="1:9" x14ac:dyDescent="0.25">
      <c r="A4903" s="6">
        <v>44104</v>
      </c>
      <c r="B4903" t="s">
        <v>26</v>
      </c>
      <c r="C4903">
        <v>65039</v>
      </c>
      <c r="D4903" t="s">
        <v>115</v>
      </c>
      <c r="E4903" s="7">
        <v>335.99</v>
      </c>
      <c r="F4903" t="s">
        <v>20</v>
      </c>
      <c r="G4903" t="s">
        <v>21</v>
      </c>
      <c r="H4903" t="str">
        <f>"3547747967"</f>
        <v>3547747967</v>
      </c>
      <c r="I4903" t="str">
        <f>"TRUCK UNIT 503"</f>
        <v>TRUCK UNIT 503</v>
      </c>
    </row>
    <row r="4904" spans="1:9" x14ac:dyDescent="0.25">
      <c r="A4904" s="6">
        <v>44104</v>
      </c>
      <c r="B4904" t="s">
        <v>26</v>
      </c>
      <c r="C4904">
        <v>65040</v>
      </c>
      <c r="D4904" t="s">
        <v>973</v>
      </c>
      <c r="E4904" s="7">
        <v>2542.75</v>
      </c>
      <c r="F4904" t="s">
        <v>20</v>
      </c>
      <c r="G4904" t="s">
        <v>21</v>
      </c>
      <c r="H4904" t="str">
        <f>"209074521-REISSUE"</f>
        <v>209074521-REISSUE</v>
      </c>
      <c r="I4904" t="str">
        <f>"CHARTER COMMUNICATIONS"</f>
        <v>CHARTER COMMUNICATIONS</v>
      </c>
    </row>
    <row r="4905" spans="1:9" x14ac:dyDescent="0.25">
      <c r="A4905" s="6">
        <v>44104</v>
      </c>
      <c r="B4905" t="s">
        <v>26</v>
      </c>
      <c r="C4905">
        <v>65041</v>
      </c>
      <c r="D4905" t="s">
        <v>305</v>
      </c>
      <c r="E4905" s="7">
        <v>3840</v>
      </c>
      <c r="F4905" t="s">
        <v>20</v>
      </c>
      <c r="G4905" t="s">
        <v>21</v>
      </c>
      <c r="H4905" t="str">
        <f>"5543"</f>
        <v>5543</v>
      </c>
      <c r="I4905" t="str">
        <f>"CHEM EQUIPMENT"</f>
        <v>CHEM EQUIPMENT</v>
      </c>
    </row>
    <row r="4906" spans="1:9" x14ac:dyDescent="0.25">
      <c r="E4906" s="7"/>
      <c r="F4906" t="s">
        <v>20</v>
      </c>
      <c r="G4906" t="s">
        <v>21</v>
      </c>
      <c r="H4906" t="str">
        <f>"5544"</f>
        <v>5544</v>
      </c>
      <c r="I4906" t="str">
        <f>"CHEM EQUIPMENT"</f>
        <v>CHEM EQUIPMENT</v>
      </c>
    </row>
    <row r="4907" spans="1:9" x14ac:dyDescent="0.25">
      <c r="A4907" s="6">
        <v>44104</v>
      </c>
      <c r="B4907" t="s">
        <v>26</v>
      </c>
      <c r="C4907">
        <v>65042</v>
      </c>
      <c r="D4907" t="s">
        <v>63</v>
      </c>
      <c r="E4907" s="7">
        <v>560.88</v>
      </c>
      <c r="F4907" t="s">
        <v>20</v>
      </c>
      <c r="G4907" t="s">
        <v>21</v>
      </c>
      <c r="H4907" t="str">
        <f>"8404799493"</f>
        <v>8404799493</v>
      </c>
      <c r="I4907" t="str">
        <f>"CINTAS CORPORATION"</f>
        <v>CINTAS CORPORATION</v>
      </c>
    </row>
    <row r="4908" spans="1:9" x14ac:dyDescent="0.25">
      <c r="A4908" s="6">
        <v>44104</v>
      </c>
      <c r="B4908" t="s">
        <v>26</v>
      </c>
      <c r="C4908">
        <v>65043</v>
      </c>
      <c r="D4908" t="s">
        <v>71</v>
      </c>
      <c r="E4908" s="7">
        <v>1601.01</v>
      </c>
      <c r="F4908" t="s">
        <v>20</v>
      </c>
      <c r="G4908" t="s">
        <v>21</v>
      </c>
      <c r="H4908" t="str">
        <f>"1061530853"</f>
        <v>1061530853</v>
      </c>
      <c r="I4908" t="str">
        <f t="shared" ref="I4908:I4920" si="102">"CINTAS CORPORATION #087"</f>
        <v>CINTAS CORPORATION #087</v>
      </c>
    </row>
    <row r="4909" spans="1:9" x14ac:dyDescent="0.25">
      <c r="E4909" s="7"/>
      <c r="F4909" t="s">
        <v>20</v>
      </c>
      <c r="G4909" t="s">
        <v>21</v>
      </c>
      <c r="H4909" t="str">
        <f>"4060911372"</f>
        <v>4060911372</v>
      </c>
      <c r="I4909" t="str">
        <f t="shared" si="102"/>
        <v>CINTAS CORPORATION #087</v>
      </c>
    </row>
    <row r="4910" spans="1:9" x14ac:dyDescent="0.25">
      <c r="E4910" s="7"/>
      <c r="F4910" t="s">
        <v>20</v>
      </c>
      <c r="G4910" t="s">
        <v>21</v>
      </c>
      <c r="H4910" t="str">
        <f>"4061530805"</f>
        <v>4061530805</v>
      </c>
      <c r="I4910" t="str">
        <f t="shared" si="102"/>
        <v>CINTAS CORPORATION #087</v>
      </c>
    </row>
    <row r="4911" spans="1:9" x14ac:dyDescent="0.25">
      <c r="E4911" s="7"/>
      <c r="F4911" t="s">
        <v>20</v>
      </c>
      <c r="G4911" t="s">
        <v>21</v>
      </c>
      <c r="H4911" t="str">
        <f>"4061530820"</f>
        <v>4061530820</v>
      </c>
      <c r="I4911" t="str">
        <f t="shared" si="102"/>
        <v>CINTAS CORPORATION #087</v>
      </c>
    </row>
    <row r="4912" spans="1:9" x14ac:dyDescent="0.25">
      <c r="E4912" s="7"/>
      <c r="F4912" t="s">
        <v>20</v>
      </c>
      <c r="G4912" t="s">
        <v>21</v>
      </c>
      <c r="H4912" t="str">
        <f>"4061530839"</f>
        <v>4061530839</v>
      </c>
      <c r="I4912" t="str">
        <f t="shared" si="102"/>
        <v>CINTAS CORPORATION #087</v>
      </c>
    </row>
    <row r="4913" spans="1:9" x14ac:dyDescent="0.25">
      <c r="E4913" s="7"/>
      <c r="F4913" t="s">
        <v>20</v>
      </c>
      <c r="G4913" t="s">
        <v>21</v>
      </c>
      <c r="H4913" t="str">
        <f>"4061530882"</f>
        <v>4061530882</v>
      </c>
      <c r="I4913" t="str">
        <f t="shared" si="102"/>
        <v>CINTAS CORPORATION #087</v>
      </c>
    </row>
    <row r="4914" spans="1:9" x14ac:dyDescent="0.25">
      <c r="E4914" s="7"/>
      <c r="F4914" t="s">
        <v>20</v>
      </c>
      <c r="G4914" t="s">
        <v>21</v>
      </c>
      <c r="H4914" t="str">
        <f>"4061530892"</f>
        <v>4061530892</v>
      </c>
      <c r="I4914" t="str">
        <f t="shared" si="102"/>
        <v>CINTAS CORPORATION #087</v>
      </c>
    </row>
    <row r="4915" spans="1:9" x14ac:dyDescent="0.25">
      <c r="E4915" s="7"/>
      <c r="F4915" t="s">
        <v>20</v>
      </c>
      <c r="G4915" t="s">
        <v>21</v>
      </c>
      <c r="H4915" t="str">
        <f>"4062094366"</f>
        <v>4062094366</v>
      </c>
      <c r="I4915" t="str">
        <f t="shared" si="102"/>
        <v>CINTAS CORPORATION #087</v>
      </c>
    </row>
    <row r="4916" spans="1:9" x14ac:dyDescent="0.25">
      <c r="E4916" s="7"/>
      <c r="F4916" t="s">
        <v>20</v>
      </c>
      <c r="G4916" t="s">
        <v>21</v>
      </c>
      <c r="H4916" t="str">
        <f>"4062094378"</f>
        <v>4062094378</v>
      </c>
      <c r="I4916" t="str">
        <f t="shared" si="102"/>
        <v>CINTAS CORPORATION #087</v>
      </c>
    </row>
    <row r="4917" spans="1:9" x14ac:dyDescent="0.25">
      <c r="E4917" s="7"/>
      <c r="F4917" t="s">
        <v>20</v>
      </c>
      <c r="G4917" t="s">
        <v>21</v>
      </c>
      <c r="H4917" t="str">
        <f>"4062094444"</f>
        <v>4062094444</v>
      </c>
      <c r="I4917" t="str">
        <f t="shared" si="102"/>
        <v>CINTAS CORPORATION #087</v>
      </c>
    </row>
    <row r="4918" spans="1:9" x14ac:dyDescent="0.25">
      <c r="E4918" s="7"/>
      <c r="F4918" t="s">
        <v>20</v>
      </c>
      <c r="G4918" t="s">
        <v>21</v>
      </c>
      <c r="H4918" t="str">
        <f>"4062094464"</f>
        <v>4062094464</v>
      </c>
      <c r="I4918" t="str">
        <f t="shared" si="102"/>
        <v>CINTAS CORPORATION #087</v>
      </c>
    </row>
    <row r="4919" spans="1:9" x14ac:dyDescent="0.25">
      <c r="E4919" s="7"/>
      <c r="F4919" t="s">
        <v>20</v>
      </c>
      <c r="G4919" t="s">
        <v>21</v>
      </c>
      <c r="H4919" t="str">
        <f>"4062094494"</f>
        <v>4062094494</v>
      </c>
      <c r="I4919" t="str">
        <f t="shared" si="102"/>
        <v>CINTAS CORPORATION #087</v>
      </c>
    </row>
    <row r="4920" spans="1:9" x14ac:dyDescent="0.25">
      <c r="E4920" s="7"/>
      <c r="F4920" t="s">
        <v>20</v>
      </c>
      <c r="G4920" t="s">
        <v>21</v>
      </c>
      <c r="H4920" t="str">
        <f>"4062094502"</f>
        <v>4062094502</v>
      </c>
      <c r="I4920" t="str">
        <f t="shared" si="102"/>
        <v>CINTAS CORPORATION #087</v>
      </c>
    </row>
    <row r="4921" spans="1:9" x14ac:dyDescent="0.25">
      <c r="A4921" s="6">
        <v>44104</v>
      </c>
      <c r="B4921" t="s">
        <v>26</v>
      </c>
      <c r="C4921">
        <v>65046</v>
      </c>
      <c r="D4921" t="s">
        <v>81</v>
      </c>
      <c r="E4921" s="7">
        <v>122.06</v>
      </c>
      <c r="F4921" t="s">
        <v>20</v>
      </c>
      <c r="G4921" t="s">
        <v>21</v>
      </c>
      <c r="H4921" t="str">
        <f>"A.MARTINE 9/28/20"</f>
        <v>A.MARTINE 9/28/20</v>
      </c>
      <c r="I4921" t="str">
        <f>"CITY OF FLORESVILLE -PETTY CAS"</f>
        <v>CITY OF FLORESVILLE -PETTY CAS</v>
      </c>
    </row>
    <row r="4922" spans="1:9" x14ac:dyDescent="0.25">
      <c r="A4922" s="6">
        <v>44104</v>
      </c>
      <c r="B4922" t="s">
        <v>26</v>
      </c>
      <c r="C4922">
        <v>65047</v>
      </c>
      <c r="D4922" t="s">
        <v>872</v>
      </c>
      <c r="E4922" s="7">
        <v>45</v>
      </c>
      <c r="F4922" t="s">
        <v>20</v>
      </c>
      <c r="G4922" t="s">
        <v>21</v>
      </c>
      <c r="H4922" t="str">
        <f>"9/27/2020"</f>
        <v>9/27/2020</v>
      </c>
      <c r="I4922" t="str">
        <f>"DEVIN BENAVIDES"</f>
        <v>DEVIN BENAVIDES</v>
      </c>
    </row>
    <row r="4923" spans="1:9" x14ac:dyDescent="0.25">
      <c r="A4923" s="6">
        <v>44104</v>
      </c>
      <c r="B4923" t="s">
        <v>26</v>
      </c>
      <c r="C4923">
        <v>65048</v>
      </c>
      <c r="D4923" t="s">
        <v>77</v>
      </c>
      <c r="E4923" s="7">
        <v>1888.63</v>
      </c>
      <c r="F4923" t="s">
        <v>20</v>
      </c>
      <c r="G4923" t="s">
        <v>21</v>
      </c>
      <c r="H4923" t="str">
        <f>"857001922-20"</f>
        <v>857001922-20</v>
      </c>
      <c r="I4923" t="str">
        <f>"CHLORINE ORDER"</f>
        <v>CHLORINE ORDER</v>
      </c>
    </row>
    <row r="4924" spans="1:9" x14ac:dyDescent="0.25">
      <c r="E4924" s="7"/>
      <c r="F4924" t="s">
        <v>20</v>
      </c>
      <c r="G4924" t="s">
        <v>21</v>
      </c>
      <c r="H4924" t="str">
        <f>"857001933-20"</f>
        <v>857001933-20</v>
      </c>
      <c r="I4924" t="str">
        <f>"CHLORINE FOR B AND HOSPIT"</f>
        <v>CHLORINE FOR B AND HOSPIT</v>
      </c>
    </row>
    <row r="4925" spans="1:9" x14ac:dyDescent="0.25">
      <c r="E4925" s="7"/>
      <c r="F4925" t="s">
        <v>20</v>
      </c>
      <c r="G4925" t="s">
        <v>21</v>
      </c>
      <c r="H4925" t="str">
        <f>"857001934-20"</f>
        <v>857001934-20</v>
      </c>
      <c r="I4925" t="str">
        <f>"CHLORINE FOR B AND HOSPIT"</f>
        <v>CHLORINE FOR B AND HOSPIT</v>
      </c>
    </row>
    <row r="4926" spans="1:9" x14ac:dyDescent="0.25">
      <c r="E4926" s="7"/>
      <c r="F4926" t="s">
        <v>20</v>
      </c>
      <c r="G4926" t="s">
        <v>21</v>
      </c>
      <c r="H4926" t="str">
        <f>"857001935-20"</f>
        <v>857001935-20</v>
      </c>
      <c r="I4926" t="str">
        <f>"CHLORINE FOR B AND HOSPIT"</f>
        <v>CHLORINE FOR B AND HOSPIT</v>
      </c>
    </row>
    <row r="4927" spans="1:9" x14ac:dyDescent="0.25">
      <c r="A4927" s="6">
        <v>44104</v>
      </c>
      <c r="B4927" t="s">
        <v>26</v>
      </c>
      <c r="C4927">
        <v>65049</v>
      </c>
      <c r="D4927" t="s">
        <v>57</v>
      </c>
      <c r="E4927" s="7">
        <v>28258.06</v>
      </c>
      <c r="F4927" t="s">
        <v>20</v>
      </c>
      <c r="G4927" t="s">
        <v>21</v>
      </c>
      <c r="H4927" t="str">
        <f>"11617 9/16/2020"</f>
        <v>11617 9/16/2020</v>
      </c>
      <c r="I4927" t="str">
        <f>"F.E.L.P.S."</f>
        <v>F.E.L.P.S.</v>
      </c>
    </row>
    <row r="4928" spans="1:9" x14ac:dyDescent="0.25">
      <c r="A4928" s="6">
        <v>44104</v>
      </c>
      <c r="B4928" t="s">
        <v>26</v>
      </c>
      <c r="C4928">
        <v>65050</v>
      </c>
      <c r="D4928" t="s">
        <v>79</v>
      </c>
      <c r="E4928" s="7">
        <v>17.88</v>
      </c>
      <c r="F4928" t="s">
        <v>20</v>
      </c>
      <c r="G4928" t="s">
        <v>21</v>
      </c>
      <c r="H4928" t="str">
        <f>"7-125-09019"</f>
        <v>7-125-09019</v>
      </c>
      <c r="I4928" t="str">
        <f>"FEDEX"</f>
        <v>FEDEX</v>
      </c>
    </row>
    <row r="4929" spans="1:9" x14ac:dyDescent="0.25">
      <c r="A4929" s="6">
        <v>44104</v>
      </c>
      <c r="B4929" t="s">
        <v>26</v>
      </c>
      <c r="C4929">
        <v>65051</v>
      </c>
      <c r="D4929" t="s">
        <v>59</v>
      </c>
      <c r="E4929" s="7">
        <v>2202.1</v>
      </c>
      <c r="F4929" t="s">
        <v>20</v>
      </c>
      <c r="G4929" t="s">
        <v>21</v>
      </c>
      <c r="H4929" t="str">
        <f>"1041252*REISSUE"</f>
        <v>1041252*REISSUE</v>
      </c>
      <c r="I4929" t="str">
        <f>"FERGUSON WATERWORKS - MUNICIPA"</f>
        <v>FERGUSON WATERWORKS - MUNICIPA</v>
      </c>
    </row>
    <row r="4930" spans="1:9" x14ac:dyDescent="0.25">
      <c r="E4930" s="7"/>
      <c r="F4930" t="s">
        <v>20</v>
      </c>
      <c r="G4930" t="s">
        <v>21</v>
      </c>
      <c r="H4930" t="str">
        <f>"1067884"</f>
        <v>1067884</v>
      </c>
      <c r="I4930" t="str">
        <f>"FERGUSON WATERWORKS - MUNICIPA"</f>
        <v>FERGUSON WATERWORKS - MUNICIPA</v>
      </c>
    </row>
    <row r="4931" spans="1:9" x14ac:dyDescent="0.25">
      <c r="E4931" s="7"/>
      <c r="F4931" t="s">
        <v>20</v>
      </c>
      <c r="G4931" t="s">
        <v>21</v>
      </c>
      <c r="H4931" t="str">
        <f>"1079386"</f>
        <v>1079386</v>
      </c>
      <c r="I4931" t="str">
        <f>"STARBUCKS"</f>
        <v>STARBUCKS</v>
      </c>
    </row>
    <row r="4932" spans="1:9" x14ac:dyDescent="0.25">
      <c r="A4932" s="6">
        <v>44104</v>
      </c>
      <c r="B4932" t="s">
        <v>26</v>
      </c>
      <c r="C4932">
        <v>65052</v>
      </c>
      <c r="D4932" t="s">
        <v>85</v>
      </c>
      <c r="E4932" s="7">
        <v>865.38</v>
      </c>
      <c r="F4932" t="s">
        <v>20</v>
      </c>
      <c r="G4932" t="s">
        <v>21</v>
      </c>
      <c r="H4932" t="str">
        <f>"3932056  9/2020"</f>
        <v>3932056  9/2020</v>
      </c>
      <c r="I4932" t="str">
        <f>"FRONTIER"</f>
        <v>FRONTIER</v>
      </c>
    </row>
    <row r="4933" spans="1:9" x14ac:dyDescent="0.25">
      <c r="E4933" s="7"/>
      <c r="F4933" t="s">
        <v>20</v>
      </c>
      <c r="G4933" t="s">
        <v>21</v>
      </c>
      <c r="H4933" t="str">
        <f>"3933105 9/2020"</f>
        <v>3933105 9/2020</v>
      </c>
      <c r="I4933" t="str">
        <f>"FRONTIER"</f>
        <v>FRONTIER</v>
      </c>
    </row>
    <row r="4934" spans="1:9" x14ac:dyDescent="0.25">
      <c r="E4934" s="7"/>
      <c r="F4934" t="s">
        <v>20</v>
      </c>
      <c r="G4934" t="s">
        <v>21</v>
      </c>
      <c r="H4934" t="str">
        <f>"3933186 9/2020"</f>
        <v>3933186 9/2020</v>
      </c>
      <c r="I4934" t="str">
        <f>"FRONTIER"</f>
        <v>FRONTIER</v>
      </c>
    </row>
    <row r="4935" spans="1:9" x14ac:dyDescent="0.25">
      <c r="E4935" s="7"/>
      <c r="F4935" t="s">
        <v>20</v>
      </c>
      <c r="G4935" t="s">
        <v>21</v>
      </c>
      <c r="H4935" t="str">
        <f>"3936616  9/2020"</f>
        <v>3936616  9/2020</v>
      </c>
      <c r="I4935" t="str">
        <f>"FRONTIER"</f>
        <v>FRONTIER</v>
      </c>
    </row>
    <row r="4936" spans="1:9" x14ac:dyDescent="0.25">
      <c r="E4936" s="7"/>
      <c r="F4936" t="s">
        <v>20</v>
      </c>
      <c r="G4936" t="s">
        <v>21</v>
      </c>
      <c r="H4936" t="str">
        <f>"3939456  9/2020"</f>
        <v>3939456  9/2020</v>
      </c>
      <c r="I4936" t="str">
        <f>"FRONTIER"</f>
        <v>FRONTIER</v>
      </c>
    </row>
    <row r="4937" spans="1:9" x14ac:dyDescent="0.25">
      <c r="A4937" s="6">
        <v>44104</v>
      </c>
      <c r="B4937" t="s">
        <v>26</v>
      </c>
      <c r="C4937">
        <v>65054</v>
      </c>
      <c r="D4937" t="s">
        <v>56</v>
      </c>
      <c r="E4937" s="7">
        <v>45</v>
      </c>
      <c r="F4937" t="s">
        <v>20</v>
      </c>
      <c r="G4937" t="s">
        <v>21</v>
      </c>
      <c r="H4937" t="str">
        <f>"186256"</f>
        <v>186256</v>
      </c>
      <c r="I4937" t="str">
        <f>"DOG FOOD"</f>
        <v>DOG FOOD</v>
      </c>
    </row>
    <row r="4938" spans="1:9" x14ac:dyDescent="0.25">
      <c r="A4938" s="6">
        <v>44104</v>
      </c>
      <c r="B4938" t="s">
        <v>26</v>
      </c>
      <c r="C4938">
        <v>65055</v>
      </c>
      <c r="D4938" t="s">
        <v>398</v>
      </c>
      <c r="E4938" s="7">
        <v>105</v>
      </c>
      <c r="F4938" t="s">
        <v>20</v>
      </c>
      <c r="G4938" t="s">
        <v>21</v>
      </c>
      <c r="H4938" t="str">
        <f>"1847"</f>
        <v>1847</v>
      </c>
      <c r="I4938" t="str">
        <f>"INTERCEPTOR TECHNOLOGY GROUP L"</f>
        <v>INTERCEPTOR TECHNOLOGY GROUP L</v>
      </c>
    </row>
    <row r="4939" spans="1:9" x14ac:dyDescent="0.25">
      <c r="A4939" s="6">
        <v>44104</v>
      </c>
      <c r="B4939" t="s">
        <v>26</v>
      </c>
      <c r="C4939">
        <v>65056</v>
      </c>
      <c r="D4939" t="s">
        <v>471</v>
      </c>
      <c r="E4939" s="7">
        <v>5164.12</v>
      </c>
      <c r="F4939" t="s">
        <v>20</v>
      </c>
      <c r="G4939" t="s">
        <v>21</v>
      </c>
      <c r="H4939" t="str">
        <f>"7053"</f>
        <v>7053</v>
      </c>
      <c r="I4939" t="str">
        <f>"REPAIR OF THE 2015 MACK"</f>
        <v>REPAIR OF THE 2015 MACK</v>
      </c>
    </row>
    <row r="4940" spans="1:9" x14ac:dyDescent="0.25">
      <c r="E4940" s="7"/>
      <c r="F4940" t="s">
        <v>20</v>
      </c>
      <c r="G4940" t="s">
        <v>21</v>
      </c>
      <c r="H4940" t="str">
        <f>"7054"</f>
        <v>7054</v>
      </c>
      <c r="I4940" t="str">
        <f>"JOHNNY'S PAINT &amp; BODY"</f>
        <v>JOHNNY'S PAINT &amp; BODY</v>
      </c>
    </row>
    <row r="4941" spans="1:9" x14ac:dyDescent="0.25">
      <c r="A4941" s="6">
        <v>44104</v>
      </c>
      <c r="B4941" t="s">
        <v>26</v>
      </c>
      <c r="C4941">
        <v>65057</v>
      </c>
      <c r="D4941" t="s">
        <v>105</v>
      </c>
      <c r="E4941" s="7">
        <v>35</v>
      </c>
      <c r="F4941" t="s">
        <v>20</v>
      </c>
      <c r="G4941" t="s">
        <v>21</v>
      </c>
      <c r="H4941" t="str">
        <f>"366454"</f>
        <v>366454</v>
      </c>
      <c r="I4941" t="str">
        <f>"LUBE WORKS"</f>
        <v>LUBE WORKS</v>
      </c>
    </row>
    <row r="4942" spans="1:9" x14ac:dyDescent="0.25">
      <c r="E4942" s="7"/>
      <c r="F4942" t="s">
        <v>20</v>
      </c>
      <c r="G4942" t="s">
        <v>21</v>
      </c>
      <c r="H4942" t="str">
        <f>"366462"</f>
        <v>366462</v>
      </c>
      <c r="I4942" t="str">
        <f>"LUBE WORKS"</f>
        <v>LUBE WORKS</v>
      </c>
    </row>
    <row r="4943" spans="1:9" x14ac:dyDescent="0.25">
      <c r="E4943" s="7"/>
      <c r="F4943" t="s">
        <v>20</v>
      </c>
      <c r="G4943" t="s">
        <v>21</v>
      </c>
      <c r="H4943" t="str">
        <f>"366468"</f>
        <v>366468</v>
      </c>
      <c r="I4943" t="str">
        <f>"LUBE WORKS"</f>
        <v>LUBE WORKS</v>
      </c>
    </row>
    <row r="4944" spans="1:9" x14ac:dyDescent="0.25">
      <c r="E4944" s="7"/>
      <c r="F4944" t="s">
        <v>20</v>
      </c>
      <c r="G4944" t="s">
        <v>21</v>
      </c>
      <c r="H4944" t="str">
        <f>"366490"</f>
        <v>366490</v>
      </c>
      <c r="I4944" t="str">
        <f>"LUBE WORKS"</f>
        <v>LUBE WORKS</v>
      </c>
    </row>
    <row r="4945" spans="1:9" x14ac:dyDescent="0.25">
      <c r="E4945" s="7"/>
      <c r="F4945" t="s">
        <v>20</v>
      </c>
      <c r="G4945" t="s">
        <v>21</v>
      </c>
      <c r="H4945" t="str">
        <f>"366492"</f>
        <v>366492</v>
      </c>
      <c r="I4945" t="str">
        <f>"LUBE WORKS"</f>
        <v>LUBE WORKS</v>
      </c>
    </row>
    <row r="4946" spans="1:9" x14ac:dyDescent="0.25">
      <c r="A4946" s="6">
        <v>44104</v>
      </c>
      <c r="B4946" t="s">
        <v>26</v>
      </c>
      <c r="C4946">
        <v>65058</v>
      </c>
      <c r="D4946" t="s">
        <v>897</v>
      </c>
      <c r="E4946" s="7">
        <v>50</v>
      </c>
      <c r="F4946" t="s">
        <v>20</v>
      </c>
      <c r="G4946" t="s">
        <v>21</v>
      </c>
      <c r="H4946" t="str">
        <f>"63554 REISSUE"</f>
        <v>63554 REISSUE</v>
      </c>
      <c r="I4946" t="str">
        <f>"MAKAYLA GONZALES"</f>
        <v>MAKAYLA GONZALES</v>
      </c>
    </row>
    <row r="4947" spans="1:9" x14ac:dyDescent="0.25">
      <c r="A4947" s="6">
        <v>44104</v>
      </c>
      <c r="B4947" t="s">
        <v>26</v>
      </c>
      <c r="C4947">
        <v>65059</v>
      </c>
      <c r="D4947" t="s">
        <v>345</v>
      </c>
      <c r="E4947" s="7">
        <v>231</v>
      </c>
      <c r="F4947" t="s">
        <v>20</v>
      </c>
      <c r="G4947" t="s">
        <v>21</v>
      </c>
      <c r="H4947" t="str">
        <f>"9/28/2020"</f>
        <v>9/28/2020</v>
      </c>
      <c r="I4947" t="str">
        <f>"MICHAEL ISAAC MARTINEZ"</f>
        <v>MICHAEL ISAAC MARTINEZ</v>
      </c>
    </row>
    <row r="4948" spans="1:9" x14ac:dyDescent="0.25">
      <c r="A4948" s="6">
        <v>44104</v>
      </c>
      <c r="B4948" t="s">
        <v>26</v>
      </c>
      <c r="C4948">
        <v>65060</v>
      </c>
      <c r="D4948" t="s">
        <v>689</v>
      </c>
      <c r="E4948" s="7">
        <v>23482.51</v>
      </c>
      <c r="F4948" t="s">
        <v>20</v>
      </c>
      <c r="G4948" t="s">
        <v>21</v>
      </c>
      <c r="H4948" t="str">
        <f>"3075"</f>
        <v>3075</v>
      </c>
      <c r="I4948" t="str">
        <f>"MOY'S WATER WELL DRILLING &amp; SE"</f>
        <v>MOY'S WATER WELL DRILLING &amp; SE</v>
      </c>
    </row>
    <row r="4949" spans="1:9" x14ac:dyDescent="0.25">
      <c r="A4949" s="6">
        <v>44104</v>
      </c>
      <c r="B4949" t="s">
        <v>26</v>
      </c>
      <c r="C4949">
        <v>65061</v>
      </c>
      <c r="D4949" t="s">
        <v>123</v>
      </c>
      <c r="E4949" s="7">
        <v>1692.39</v>
      </c>
      <c r="F4949" t="s">
        <v>20</v>
      </c>
      <c r="G4949" t="s">
        <v>21</v>
      </c>
      <c r="H4949" t="str">
        <f>"120607422001"</f>
        <v>120607422001</v>
      </c>
      <c r="I4949" t="str">
        <f>"OFFICE SUPPLIES"</f>
        <v>OFFICE SUPPLIES</v>
      </c>
    </row>
    <row r="4950" spans="1:9" x14ac:dyDescent="0.25">
      <c r="E4950" s="7"/>
      <c r="F4950" t="s">
        <v>20</v>
      </c>
      <c r="G4950" t="s">
        <v>21</v>
      </c>
      <c r="H4950" t="str">
        <f>"121089872001"</f>
        <v>121089872001</v>
      </c>
      <c r="I4950" t="str">
        <f t="shared" ref="I4950:I4955" si="103">"OFFICE DEPOT  INC."</f>
        <v>OFFICE DEPOT  INC.</v>
      </c>
    </row>
    <row r="4951" spans="1:9" x14ac:dyDescent="0.25">
      <c r="E4951" s="7"/>
      <c r="F4951" t="s">
        <v>20</v>
      </c>
      <c r="G4951" t="s">
        <v>21</v>
      </c>
      <c r="H4951" t="str">
        <f>"121089872001*"</f>
        <v>121089872001*</v>
      </c>
      <c r="I4951" t="str">
        <f t="shared" si="103"/>
        <v>OFFICE DEPOT  INC.</v>
      </c>
    </row>
    <row r="4952" spans="1:9" x14ac:dyDescent="0.25">
      <c r="E4952" s="7"/>
      <c r="F4952" t="s">
        <v>20</v>
      </c>
      <c r="G4952" t="s">
        <v>21</v>
      </c>
      <c r="H4952" t="str">
        <f>"121089874001"</f>
        <v>121089874001</v>
      </c>
      <c r="I4952" t="str">
        <f t="shared" si="103"/>
        <v>OFFICE DEPOT  INC.</v>
      </c>
    </row>
    <row r="4953" spans="1:9" x14ac:dyDescent="0.25">
      <c r="E4953" s="7"/>
      <c r="F4953" t="s">
        <v>20</v>
      </c>
      <c r="G4953" t="s">
        <v>21</v>
      </c>
      <c r="H4953" t="str">
        <f>"121089874001*"</f>
        <v>121089874001*</v>
      </c>
      <c r="I4953" t="str">
        <f t="shared" si="103"/>
        <v>OFFICE DEPOT  INC.</v>
      </c>
    </row>
    <row r="4954" spans="1:9" x14ac:dyDescent="0.25">
      <c r="E4954" s="7"/>
      <c r="F4954" t="s">
        <v>20</v>
      </c>
      <c r="G4954" t="s">
        <v>21</v>
      </c>
      <c r="H4954" t="str">
        <f>"121730333001"</f>
        <v>121730333001</v>
      </c>
      <c r="I4954" t="str">
        <f t="shared" si="103"/>
        <v>OFFICE DEPOT  INC.</v>
      </c>
    </row>
    <row r="4955" spans="1:9" x14ac:dyDescent="0.25">
      <c r="E4955" s="7"/>
      <c r="F4955" t="s">
        <v>20</v>
      </c>
      <c r="G4955" t="s">
        <v>21</v>
      </c>
      <c r="H4955" t="str">
        <f>"121730333001*"</f>
        <v>121730333001*</v>
      </c>
      <c r="I4955" t="str">
        <f t="shared" si="103"/>
        <v>OFFICE DEPOT  INC.</v>
      </c>
    </row>
    <row r="4956" spans="1:9" x14ac:dyDescent="0.25">
      <c r="E4956" s="7"/>
      <c r="F4956" t="s">
        <v>20</v>
      </c>
      <c r="G4956" t="s">
        <v>21</v>
      </c>
      <c r="H4956" t="str">
        <f>"122100981001"</f>
        <v>122100981001</v>
      </c>
      <c r="I4956" t="str">
        <f>"OFFICE SUPPLIES"</f>
        <v>OFFICE SUPPLIES</v>
      </c>
    </row>
    <row r="4957" spans="1:9" x14ac:dyDescent="0.25">
      <c r="E4957" s="7"/>
      <c r="F4957" t="s">
        <v>20</v>
      </c>
      <c r="G4957" t="s">
        <v>21</v>
      </c>
      <c r="H4957" t="str">
        <f>"122100983001"</f>
        <v>122100983001</v>
      </c>
      <c r="I4957" t="str">
        <f>"OFFICE SUPPLIES"</f>
        <v>OFFICE SUPPLIES</v>
      </c>
    </row>
    <row r="4958" spans="1:9" x14ac:dyDescent="0.25">
      <c r="E4958" s="7"/>
      <c r="F4958" t="s">
        <v>20</v>
      </c>
      <c r="G4958" t="s">
        <v>21</v>
      </c>
      <c r="H4958" t="str">
        <f>"122100985001"</f>
        <v>122100985001</v>
      </c>
      <c r="I4958" t="str">
        <f>"OFFICE SUPPLIES"</f>
        <v>OFFICE SUPPLIES</v>
      </c>
    </row>
    <row r="4959" spans="1:9" x14ac:dyDescent="0.25">
      <c r="E4959" s="7"/>
      <c r="F4959" t="s">
        <v>20</v>
      </c>
      <c r="G4959" t="s">
        <v>21</v>
      </c>
      <c r="H4959" t="str">
        <f>"122100986001"</f>
        <v>122100986001</v>
      </c>
      <c r="I4959" t="str">
        <f>"OFFICE SUPPLIES"</f>
        <v>OFFICE SUPPLIES</v>
      </c>
    </row>
    <row r="4960" spans="1:9" x14ac:dyDescent="0.25">
      <c r="E4960" s="7"/>
      <c r="F4960" t="s">
        <v>20</v>
      </c>
      <c r="G4960" t="s">
        <v>21</v>
      </c>
      <c r="H4960" t="str">
        <f>"122118615001"</f>
        <v>122118615001</v>
      </c>
      <c r="I4960" t="str">
        <f>"ELECTION SUPPLIES"</f>
        <v>ELECTION SUPPLIES</v>
      </c>
    </row>
    <row r="4961" spans="1:9" x14ac:dyDescent="0.25">
      <c r="E4961" s="7"/>
      <c r="F4961" t="s">
        <v>20</v>
      </c>
      <c r="G4961" t="s">
        <v>21</v>
      </c>
      <c r="H4961" t="str">
        <f>"122119441001"</f>
        <v>122119441001</v>
      </c>
      <c r="I4961" t="str">
        <f>"ELECTION SUPPLIES"</f>
        <v>ELECTION SUPPLIES</v>
      </c>
    </row>
    <row r="4962" spans="1:9" x14ac:dyDescent="0.25">
      <c r="E4962" s="7"/>
      <c r="F4962" t="s">
        <v>20</v>
      </c>
      <c r="G4962" t="s">
        <v>21</v>
      </c>
      <c r="H4962" t="str">
        <f>"122119447001"</f>
        <v>122119447001</v>
      </c>
      <c r="I4962" t="str">
        <f>"ELECTION SUPPLIES"</f>
        <v>ELECTION SUPPLIES</v>
      </c>
    </row>
    <row r="4963" spans="1:9" x14ac:dyDescent="0.25">
      <c r="E4963" s="7"/>
      <c r="F4963" t="s">
        <v>20</v>
      </c>
      <c r="G4963" t="s">
        <v>21</v>
      </c>
      <c r="H4963" t="str">
        <f>"122119449001"</f>
        <v>122119449001</v>
      </c>
      <c r="I4963" t="str">
        <f>"ELECTION SUPPLIES"</f>
        <v>ELECTION SUPPLIES</v>
      </c>
    </row>
    <row r="4964" spans="1:9" x14ac:dyDescent="0.25">
      <c r="A4964" s="6">
        <v>44104</v>
      </c>
      <c r="B4964" t="s">
        <v>26</v>
      </c>
      <c r="C4964">
        <v>65067</v>
      </c>
      <c r="D4964" t="s">
        <v>137</v>
      </c>
      <c r="E4964" s="7">
        <v>69.95</v>
      </c>
      <c r="F4964" t="s">
        <v>20</v>
      </c>
      <c r="G4964" t="s">
        <v>21</v>
      </c>
      <c r="H4964" t="str">
        <f>"16289"</f>
        <v>16289</v>
      </c>
      <c r="I4964" t="str">
        <f>"OMNIBUS-M  INC.D.B.A."</f>
        <v>OMNIBUS-M  INC.D.B.A.</v>
      </c>
    </row>
    <row r="4965" spans="1:9" x14ac:dyDescent="0.25">
      <c r="A4965" s="6">
        <v>44104</v>
      </c>
      <c r="B4965" t="s">
        <v>26</v>
      </c>
      <c r="C4965">
        <v>65068</v>
      </c>
      <c r="D4965" t="s">
        <v>248</v>
      </c>
      <c r="E4965" s="7">
        <v>426.54</v>
      </c>
      <c r="F4965" t="s">
        <v>20</v>
      </c>
      <c r="G4965" t="s">
        <v>21</v>
      </c>
      <c r="H4965" t="str">
        <f>"1016372575"</f>
        <v>1016372575</v>
      </c>
      <c r="I4965" t="str">
        <f>"PITNEY BOWES"</f>
        <v>PITNEY BOWES</v>
      </c>
    </row>
    <row r="4966" spans="1:9" x14ac:dyDescent="0.25">
      <c r="E4966" s="7"/>
      <c r="F4966" t="s">
        <v>20</v>
      </c>
      <c r="G4966" t="s">
        <v>21</v>
      </c>
      <c r="H4966" t="str">
        <f>"1016377936"</f>
        <v>1016377936</v>
      </c>
      <c r="I4966" t="str">
        <f>"PITNEY BOWES"</f>
        <v>PITNEY BOWES</v>
      </c>
    </row>
    <row r="4967" spans="1:9" x14ac:dyDescent="0.25">
      <c r="A4967" s="6">
        <v>44104</v>
      </c>
      <c r="B4967" t="s">
        <v>26</v>
      </c>
      <c r="C4967">
        <v>65069</v>
      </c>
      <c r="D4967" t="s">
        <v>323</v>
      </c>
      <c r="E4967" s="7">
        <v>610</v>
      </c>
      <c r="F4967" t="s">
        <v>20</v>
      </c>
      <c r="G4967" t="s">
        <v>21</v>
      </c>
      <c r="H4967" t="str">
        <f>"183 9/2020"</f>
        <v>183 9/2020</v>
      </c>
      <c r="I4967" t="str">
        <f>"POLLOK SELF STORAGE LLC"</f>
        <v>POLLOK SELF STORAGE LLC</v>
      </c>
    </row>
    <row r="4968" spans="1:9" x14ac:dyDescent="0.25">
      <c r="E4968" s="7"/>
      <c r="F4968" t="s">
        <v>20</v>
      </c>
      <c r="G4968" t="s">
        <v>21</v>
      </c>
      <c r="H4968" t="str">
        <f>"185  9/2020"</f>
        <v>185  9/2020</v>
      </c>
      <c r="I4968" t="str">
        <f>"POLLOK SELF STORAGE LLC"</f>
        <v>POLLOK SELF STORAGE LLC</v>
      </c>
    </row>
    <row r="4969" spans="1:9" x14ac:dyDescent="0.25">
      <c r="E4969" s="7"/>
      <c r="F4969" t="s">
        <v>20</v>
      </c>
      <c r="G4969" t="s">
        <v>21</v>
      </c>
      <c r="H4969" t="str">
        <f>"186  9/2020"</f>
        <v>186  9/2020</v>
      </c>
      <c r="I4969" t="str">
        <f>"POLLOK SELF STORAGE LLC"</f>
        <v>POLLOK SELF STORAGE LLC</v>
      </c>
    </row>
    <row r="4970" spans="1:9" x14ac:dyDescent="0.25">
      <c r="E4970" s="7"/>
      <c r="F4970" t="s">
        <v>20</v>
      </c>
      <c r="G4970" t="s">
        <v>21</v>
      </c>
      <c r="H4970" t="str">
        <f>"187  9/2020"</f>
        <v>187  9/2020</v>
      </c>
      <c r="I4970" t="str">
        <f>"POLLOK SELF STORAGE LLC"</f>
        <v>POLLOK SELF STORAGE LLC</v>
      </c>
    </row>
    <row r="4971" spans="1:9" x14ac:dyDescent="0.25">
      <c r="A4971" s="6">
        <v>44104</v>
      </c>
      <c r="B4971" t="s">
        <v>26</v>
      </c>
      <c r="C4971">
        <v>65070</v>
      </c>
      <c r="D4971" t="s">
        <v>108</v>
      </c>
      <c r="E4971" s="7">
        <v>1485.2</v>
      </c>
      <c r="F4971" t="s">
        <v>20</v>
      </c>
      <c r="G4971" t="s">
        <v>21</v>
      </c>
      <c r="H4971" t="str">
        <f>"041295660404"</f>
        <v>041295660404</v>
      </c>
      <c r="I4971" t="str">
        <f>"POOLSURE"</f>
        <v>POOLSURE</v>
      </c>
    </row>
    <row r="4972" spans="1:9" x14ac:dyDescent="0.25">
      <c r="A4972" s="6">
        <v>44104</v>
      </c>
      <c r="B4972" t="s">
        <v>26</v>
      </c>
      <c r="C4972">
        <v>65071</v>
      </c>
      <c r="D4972" t="s">
        <v>528</v>
      </c>
      <c r="E4972" s="7">
        <v>302.2</v>
      </c>
      <c r="F4972" t="s">
        <v>20</v>
      </c>
      <c r="G4972" t="s">
        <v>21</v>
      </c>
      <c r="H4972" t="str">
        <f>"10390177"</f>
        <v>10390177</v>
      </c>
      <c r="I4972" t="str">
        <f>"PROSTAR SERVICES INC"</f>
        <v>PROSTAR SERVICES INC</v>
      </c>
    </row>
    <row r="4973" spans="1:9" x14ac:dyDescent="0.25">
      <c r="A4973" s="6">
        <v>44104</v>
      </c>
      <c r="B4973" t="s">
        <v>26</v>
      </c>
      <c r="C4973">
        <v>65072</v>
      </c>
      <c r="D4973" t="s">
        <v>131</v>
      </c>
      <c r="E4973" s="7">
        <v>127.3</v>
      </c>
      <c r="F4973" t="s">
        <v>20</v>
      </c>
      <c r="G4973" t="s">
        <v>21</v>
      </c>
      <c r="H4973" t="str">
        <f>"053466"</f>
        <v>053466</v>
      </c>
      <c r="I4973" t="str">
        <f>"POOL REPAIR SUPPLIES"</f>
        <v>POOL REPAIR SUPPLIES</v>
      </c>
    </row>
    <row r="4974" spans="1:9" x14ac:dyDescent="0.25">
      <c r="A4974" s="6">
        <v>44104</v>
      </c>
      <c r="B4974" t="s">
        <v>26</v>
      </c>
      <c r="C4974">
        <v>65073</v>
      </c>
      <c r="D4974" t="s">
        <v>273</v>
      </c>
      <c r="E4974" s="7">
        <v>2230.71</v>
      </c>
      <c r="F4974" t="s">
        <v>20</v>
      </c>
      <c r="G4974" t="s">
        <v>21</v>
      </c>
      <c r="H4974" t="str">
        <f>"5119-000093415*"</f>
        <v>5119-000093415*</v>
      </c>
      <c r="I4974" t="str">
        <f>"REPUBLIC SERVICES TESSMAN ROAD"</f>
        <v>REPUBLIC SERVICES TESSMAN ROAD</v>
      </c>
    </row>
    <row r="4975" spans="1:9" x14ac:dyDescent="0.25">
      <c r="A4975" s="6">
        <v>44104</v>
      </c>
      <c r="B4975" t="s">
        <v>26</v>
      </c>
      <c r="C4975">
        <v>65074</v>
      </c>
      <c r="D4975" t="s">
        <v>974</v>
      </c>
      <c r="E4975" s="7">
        <v>500</v>
      </c>
      <c r="F4975" t="s">
        <v>20</v>
      </c>
      <c r="G4975" t="s">
        <v>21</v>
      </c>
      <c r="H4975" t="str">
        <f>"REFND 11/28/2020"</f>
        <v>REFND 11/28/2020</v>
      </c>
      <c r="I4975" t="str">
        <f>"REFUND"</f>
        <v>REFUND</v>
      </c>
    </row>
    <row r="4976" spans="1:9" x14ac:dyDescent="0.25">
      <c r="A4976" s="6">
        <v>44104</v>
      </c>
      <c r="B4976" t="s">
        <v>26</v>
      </c>
      <c r="C4976">
        <v>65075</v>
      </c>
      <c r="D4976" t="s">
        <v>216</v>
      </c>
      <c r="E4976" s="7">
        <v>39913.949999999997</v>
      </c>
      <c r="F4976" t="s">
        <v>20</v>
      </c>
      <c r="G4976" t="s">
        <v>21</v>
      </c>
      <c r="H4976" t="str">
        <f>"14390F"</f>
        <v>14390F</v>
      </c>
      <c r="I4976" t="str">
        <f>"SILSBEE FORD  INC."</f>
        <v>SILSBEE FORD  INC.</v>
      </c>
    </row>
    <row r="4977" spans="1:9" x14ac:dyDescent="0.25">
      <c r="A4977" s="6">
        <v>44104</v>
      </c>
      <c r="B4977" t="s">
        <v>26</v>
      </c>
      <c r="C4977">
        <v>65076</v>
      </c>
      <c r="D4977" t="s">
        <v>945</v>
      </c>
      <c r="E4977" s="7">
        <v>476.84</v>
      </c>
      <c r="F4977" t="s">
        <v>20</v>
      </c>
      <c r="G4977" t="s">
        <v>21</v>
      </c>
      <c r="H4977" t="str">
        <f>"4710076782"</f>
        <v>4710076782</v>
      </c>
      <c r="I4977" t="str">
        <f>"LAWMMOWER TIRES"</f>
        <v>LAWMMOWER TIRES</v>
      </c>
    </row>
    <row r="4978" spans="1:9" x14ac:dyDescent="0.25">
      <c r="E4978" s="7"/>
      <c r="F4978" t="s">
        <v>20</v>
      </c>
      <c r="G4978" t="s">
        <v>21</v>
      </c>
      <c r="H4978" t="str">
        <f>"4710077198"</f>
        <v>4710077198</v>
      </c>
      <c r="I4978" t="str">
        <f>"LAWMMOWER TIRES"</f>
        <v>LAWMMOWER TIRES</v>
      </c>
    </row>
    <row r="4979" spans="1:9" x14ac:dyDescent="0.25">
      <c r="A4979" s="6">
        <v>44104</v>
      </c>
      <c r="B4979" t="s">
        <v>26</v>
      </c>
      <c r="C4979">
        <v>65077</v>
      </c>
      <c r="D4979" t="s">
        <v>975</v>
      </c>
      <c r="E4979" s="7">
        <v>404.48</v>
      </c>
      <c r="F4979" t="s">
        <v>20</v>
      </c>
      <c r="G4979" t="s">
        <v>21</v>
      </c>
      <c r="H4979" t="str">
        <f>"P71284"</f>
        <v>P71284</v>
      </c>
      <c r="I4979" t="str">
        <f>"TELLUS EQUIPMENT SOLUTIONS  LL"</f>
        <v>TELLUS EQUIPMENT SOLUTIONS  LL</v>
      </c>
    </row>
    <row r="4980" spans="1:9" x14ac:dyDescent="0.25">
      <c r="A4980" s="6">
        <v>44104</v>
      </c>
      <c r="B4980" t="s">
        <v>91</v>
      </c>
      <c r="C4980">
        <v>65078</v>
      </c>
      <c r="D4980" t="s">
        <v>92</v>
      </c>
      <c r="E4980" s="7">
        <v>69035.83</v>
      </c>
      <c r="F4980" t="s">
        <v>20</v>
      </c>
      <c r="G4980" t="s">
        <v>21</v>
      </c>
      <c r="H4980" t="str">
        <f>"RET202007148578"</f>
        <v>RET202007148578</v>
      </c>
      <c r="I4980" t="str">
        <f>"TMRS CITY OF FLORESVILLE"</f>
        <v>TMRS CITY OF FLORESVILLE</v>
      </c>
    </row>
    <row r="4981" spans="1:9" x14ac:dyDescent="0.25">
      <c r="E4981" s="7"/>
      <c r="F4981" t="s">
        <v>20</v>
      </c>
      <c r="G4981" t="s">
        <v>21</v>
      </c>
      <c r="H4981" t="str">
        <f>"RET202007288579"</f>
        <v>RET202007288579</v>
      </c>
      <c r="I4981" t="str">
        <f>"TMRS CITY OF FLORESVILLE"</f>
        <v>TMRS CITY OF FLORESVILLE</v>
      </c>
    </row>
    <row r="4982" spans="1:9" x14ac:dyDescent="0.25">
      <c r="E4982" s="7"/>
      <c r="F4982" t="s">
        <v>20</v>
      </c>
      <c r="G4982" t="s">
        <v>21</v>
      </c>
      <c r="H4982" t="str">
        <f>"RET202009088583"</f>
        <v>RET202009088583</v>
      </c>
      <c r="I4982" t="str">
        <f>"TMRS CITY OF FLORESVILLE"</f>
        <v>TMRS CITY OF FLORESVILLE</v>
      </c>
    </row>
    <row r="4983" spans="1:9" x14ac:dyDescent="0.25">
      <c r="E4983" s="7"/>
      <c r="F4983" t="s">
        <v>20</v>
      </c>
      <c r="G4983" t="s">
        <v>21</v>
      </c>
      <c r="H4983" t="str">
        <f>"RET202009228585"</f>
        <v>RET202009228585</v>
      </c>
      <c r="I4983" t="str">
        <f>"TMRS CITY OF FLORESVILLE"</f>
        <v>TMRS CITY OF FLORESVILLE</v>
      </c>
    </row>
    <row r="4984" spans="1:9" x14ac:dyDescent="0.25">
      <c r="A4984" s="6">
        <v>44104</v>
      </c>
      <c r="B4984" t="s">
        <v>91</v>
      </c>
      <c r="C4984">
        <v>65078</v>
      </c>
      <c r="D4984" t="s">
        <v>92</v>
      </c>
      <c r="E4984" s="7">
        <v>69035.83</v>
      </c>
      <c r="F4984" t="s">
        <v>20</v>
      </c>
      <c r="G4984" t="s">
        <v>93</v>
      </c>
      <c r="H4984" t="str">
        <f>"CHECK"</f>
        <v>CHECK</v>
      </c>
      <c r="I4984" t="str">
        <f>""</f>
        <v/>
      </c>
    </row>
    <row r="4985" spans="1:9" x14ac:dyDescent="0.25">
      <c r="A4985" s="6">
        <v>44104</v>
      </c>
      <c r="B4985" t="s">
        <v>26</v>
      </c>
      <c r="C4985">
        <v>65085</v>
      </c>
      <c r="D4985" t="s">
        <v>698</v>
      </c>
      <c r="E4985" s="7">
        <v>45</v>
      </c>
      <c r="F4985" t="s">
        <v>20</v>
      </c>
      <c r="G4985" t="s">
        <v>21</v>
      </c>
      <c r="H4985" t="str">
        <f>"9/27/2020"</f>
        <v>9/27/2020</v>
      </c>
      <c r="I4985" t="str">
        <f>"TRACY ORTIZ"</f>
        <v>TRACY ORTIZ</v>
      </c>
    </row>
    <row r="4986" spans="1:9" x14ac:dyDescent="0.25">
      <c r="A4986" s="6">
        <v>44104</v>
      </c>
      <c r="B4986" t="s">
        <v>26</v>
      </c>
      <c r="C4986">
        <v>65086</v>
      </c>
      <c r="D4986" t="s">
        <v>644</v>
      </c>
      <c r="E4986" s="7">
        <v>950.66</v>
      </c>
      <c r="F4986" t="s">
        <v>20</v>
      </c>
      <c r="G4986" t="s">
        <v>21</v>
      </c>
      <c r="H4986" t="str">
        <f>"8213506825"</f>
        <v>8213506825</v>
      </c>
      <c r="I4986" t="str">
        <f>"UNIFIRST CORPORATION"</f>
        <v>UNIFIRST CORPORATION</v>
      </c>
    </row>
    <row r="4987" spans="1:9" x14ac:dyDescent="0.25">
      <c r="E4987" s="7"/>
      <c r="F4987" t="s">
        <v>20</v>
      </c>
      <c r="G4987" t="s">
        <v>21</v>
      </c>
      <c r="H4987" t="str">
        <f>"8213506826"</f>
        <v>8213506826</v>
      </c>
      <c r="I4987" t="str">
        <f>"UNIFIRST CORPORATION"</f>
        <v>UNIFIRST CORPORATION</v>
      </c>
    </row>
    <row r="4989" spans="1:9" ht="15.75" thickBot="1" x14ac:dyDescent="0.3">
      <c r="D4989" t="s">
        <v>557</v>
      </c>
      <c r="E4989" s="8">
        <f>SUM(E5:E4988)</f>
        <v>16590572.350000069</v>
      </c>
    </row>
    <row r="4990" spans="1:9" ht="15.75" thickTop="1" x14ac:dyDescent="0.25"/>
  </sheetData>
  <autoFilter ref="A4:I209" xr:uid="{58D0CB75-CB27-4EA9-8104-AF7DC8A47FD3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DCC26-8FF3-4E6B-A7AC-7EE028C2DE87}">
  <dimension ref="A1:I4685"/>
  <sheetViews>
    <sheetView workbookViewId="0">
      <pane ySplit="4" topLeftCell="A5" activePane="bottomLeft" state="frozen"/>
      <selection pane="bottomLeft"/>
    </sheetView>
  </sheetViews>
  <sheetFormatPr defaultRowHeight="15" x14ac:dyDescent="0.25"/>
  <cols>
    <col min="1" max="1" width="10.7109375" bestFit="1" customWidth="1"/>
    <col min="3" max="3" width="9" bestFit="1" customWidth="1"/>
    <col min="4" max="4" width="54.5703125" bestFit="1" customWidth="1"/>
    <col min="5" max="5" width="14.28515625" bestFit="1" customWidth="1"/>
    <col min="6" max="6" width="10.85546875" bestFit="1" customWidth="1"/>
    <col min="7" max="7" width="16.7109375" style="10" bestFit="1" customWidth="1"/>
    <col min="8" max="8" width="22.140625" style="10" bestFit="1" customWidth="1"/>
    <col min="9" max="9" width="36.85546875" style="10" bestFit="1" customWidth="1"/>
    <col min="12" max="12" width="10.7109375" bestFit="1" customWidth="1"/>
  </cols>
  <sheetData>
    <row r="1" spans="1:9" x14ac:dyDescent="0.25">
      <c r="A1" s="1" t="s">
        <v>0</v>
      </c>
      <c r="B1" s="1"/>
      <c r="G1"/>
      <c r="H1" s="2" t="s">
        <v>1</v>
      </c>
      <c r="I1" s="3">
        <v>44105</v>
      </c>
    </row>
    <row r="2" spans="1:9" x14ac:dyDescent="0.25">
      <c r="A2" s="1" t="s">
        <v>2</v>
      </c>
      <c r="B2" s="1"/>
      <c r="G2"/>
      <c r="H2" s="2" t="s">
        <v>3</v>
      </c>
      <c r="I2" s="3">
        <v>44469</v>
      </c>
    </row>
    <row r="3" spans="1:9" x14ac:dyDescent="0.25">
      <c r="G3"/>
      <c r="H3"/>
      <c r="I3"/>
    </row>
    <row r="4" spans="1:9" ht="15.75" thickBot="1" x14ac:dyDescent="0.3">
      <c r="A4" s="4" t="s">
        <v>4</v>
      </c>
      <c r="B4" s="4" t="s">
        <v>5</v>
      </c>
      <c r="C4" s="5" t="s">
        <v>6</v>
      </c>
      <c r="D4" s="4" t="s">
        <v>7</v>
      </c>
      <c r="E4" s="5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x14ac:dyDescent="0.25">
      <c r="A5" s="6">
        <v>44112</v>
      </c>
      <c r="B5" t="s">
        <v>13</v>
      </c>
      <c r="C5">
        <v>65122</v>
      </c>
      <c r="D5" t="s">
        <v>14</v>
      </c>
      <c r="E5" s="7">
        <v>1537.4</v>
      </c>
      <c r="F5" t="s">
        <v>15</v>
      </c>
      <c r="G5" s="10" t="s">
        <v>15</v>
      </c>
      <c r="H5" s="10" t="s">
        <v>15</v>
      </c>
      <c r="I5" s="10" t="s">
        <v>15</v>
      </c>
    </row>
    <row r="6" spans="1:9" x14ac:dyDescent="0.25">
      <c r="A6" s="6">
        <v>44112</v>
      </c>
      <c r="B6" t="s">
        <v>13</v>
      </c>
      <c r="C6">
        <v>65123</v>
      </c>
      <c r="D6" t="s">
        <v>14</v>
      </c>
      <c r="E6" s="7">
        <v>1247.8399999999999</v>
      </c>
      <c r="F6" t="s">
        <v>15</v>
      </c>
      <c r="G6" s="10" t="s">
        <v>15</v>
      </c>
      <c r="H6" s="10" t="s">
        <v>15</v>
      </c>
      <c r="I6" s="10" t="s">
        <v>15</v>
      </c>
    </row>
    <row r="7" spans="1:9" x14ac:dyDescent="0.25">
      <c r="A7" s="6">
        <v>44112</v>
      </c>
      <c r="B7" t="s">
        <v>13</v>
      </c>
      <c r="C7">
        <v>65124</v>
      </c>
      <c r="D7" t="s">
        <v>14</v>
      </c>
      <c r="E7" s="7">
        <v>1182.3499999999999</v>
      </c>
      <c r="F7" t="s">
        <v>15</v>
      </c>
      <c r="G7" s="10" t="s">
        <v>15</v>
      </c>
      <c r="H7" s="10" t="s">
        <v>15</v>
      </c>
      <c r="I7" s="10" t="s">
        <v>15</v>
      </c>
    </row>
    <row r="8" spans="1:9" x14ac:dyDescent="0.25">
      <c r="A8" s="6">
        <v>44112</v>
      </c>
      <c r="B8" t="s">
        <v>13</v>
      </c>
      <c r="C8">
        <v>65125</v>
      </c>
      <c r="D8" t="s">
        <v>14</v>
      </c>
      <c r="E8" s="7">
        <v>561.46</v>
      </c>
      <c r="F8" t="s">
        <v>15</v>
      </c>
      <c r="G8" s="10" t="s">
        <v>15</v>
      </c>
      <c r="H8" s="10" t="s">
        <v>15</v>
      </c>
      <c r="I8" s="10" t="s">
        <v>15</v>
      </c>
    </row>
    <row r="9" spans="1:9" x14ac:dyDescent="0.25">
      <c r="A9" s="6">
        <v>44117</v>
      </c>
      <c r="B9" t="s">
        <v>13</v>
      </c>
      <c r="C9">
        <v>65149</v>
      </c>
      <c r="D9" t="s">
        <v>14</v>
      </c>
      <c r="E9" s="7">
        <v>5529.42</v>
      </c>
      <c r="F9" t="s">
        <v>15</v>
      </c>
      <c r="G9" s="10" t="s">
        <v>15</v>
      </c>
      <c r="H9" s="10" t="s">
        <v>15</v>
      </c>
      <c r="I9" s="10" t="s">
        <v>15</v>
      </c>
    </row>
    <row r="10" spans="1:9" x14ac:dyDescent="0.25">
      <c r="A10" s="6">
        <v>44126</v>
      </c>
      <c r="B10" t="s">
        <v>13</v>
      </c>
      <c r="C10">
        <v>65222</v>
      </c>
      <c r="D10" t="s">
        <v>14</v>
      </c>
      <c r="E10" s="7">
        <v>1544.14</v>
      </c>
      <c r="F10" t="s">
        <v>15</v>
      </c>
      <c r="G10" s="10" t="s">
        <v>15</v>
      </c>
      <c r="H10" s="10" t="s">
        <v>15</v>
      </c>
      <c r="I10" s="10" t="s">
        <v>15</v>
      </c>
    </row>
    <row r="11" spans="1:9" x14ac:dyDescent="0.25">
      <c r="A11" s="6">
        <v>44126</v>
      </c>
      <c r="B11" t="s">
        <v>13</v>
      </c>
      <c r="C11">
        <v>65223</v>
      </c>
      <c r="D11" t="s">
        <v>14</v>
      </c>
      <c r="E11" s="7">
        <v>1038.21</v>
      </c>
      <c r="F11" t="s">
        <v>15</v>
      </c>
      <c r="G11" s="10" t="s">
        <v>15</v>
      </c>
      <c r="H11" s="10" t="s">
        <v>15</v>
      </c>
      <c r="I11" s="10" t="s">
        <v>15</v>
      </c>
    </row>
    <row r="12" spans="1:9" x14ac:dyDescent="0.25">
      <c r="A12" s="6">
        <v>44126</v>
      </c>
      <c r="B12" t="s">
        <v>13</v>
      </c>
      <c r="C12">
        <v>65224</v>
      </c>
      <c r="D12" t="s">
        <v>14</v>
      </c>
      <c r="E12" s="7">
        <v>1185.92</v>
      </c>
      <c r="F12" t="s">
        <v>15</v>
      </c>
      <c r="G12" s="10" t="s">
        <v>15</v>
      </c>
      <c r="H12" s="10" t="s">
        <v>15</v>
      </c>
      <c r="I12" s="10" t="s">
        <v>15</v>
      </c>
    </row>
    <row r="13" spans="1:9" x14ac:dyDescent="0.25">
      <c r="A13" s="6">
        <v>44126</v>
      </c>
      <c r="B13" t="s">
        <v>13</v>
      </c>
      <c r="C13">
        <v>65225</v>
      </c>
      <c r="D13" t="s">
        <v>14</v>
      </c>
      <c r="E13" s="7">
        <v>592.21</v>
      </c>
      <c r="F13" t="s">
        <v>15</v>
      </c>
      <c r="G13" s="10" t="s">
        <v>15</v>
      </c>
      <c r="H13" s="10" t="s">
        <v>15</v>
      </c>
      <c r="I13" s="10" t="s">
        <v>15</v>
      </c>
    </row>
    <row r="14" spans="1:9" x14ac:dyDescent="0.25">
      <c r="A14" s="6">
        <v>44141</v>
      </c>
      <c r="B14" t="s">
        <v>13</v>
      </c>
      <c r="C14">
        <v>65327</v>
      </c>
      <c r="D14" t="s">
        <v>14</v>
      </c>
      <c r="E14" s="7">
        <v>1785.09</v>
      </c>
      <c r="F14" t="s">
        <v>15</v>
      </c>
      <c r="G14" s="10" t="s">
        <v>15</v>
      </c>
      <c r="H14" s="10" t="s">
        <v>15</v>
      </c>
      <c r="I14" s="10" t="s">
        <v>15</v>
      </c>
    </row>
    <row r="15" spans="1:9" x14ac:dyDescent="0.25">
      <c r="A15" s="6">
        <v>44141</v>
      </c>
      <c r="B15" t="s">
        <v>13</v>
      </c>
      <c r="C15">
        <v>65328</v>
      </c>
      <c r="D15" t="s">
        <v>14</v>
      </c>
      <c r="E15" s="7">
        <v>1370.58</v>
      </c>
      <c r="F15" t="s">
        <v>15</v>
      </c>
      <c r="G15" s="10" t="s">
        <v>15</v>
      </c>
      <c r="H15" s="10" t="s">
        <v>15</v>
      </c>
      <c r="I15" s="10" t="s">
        <v>15</v>
      </c>
    </row>
    <row r="16" spans="1:9" x14ac:dyDescent="0.25">
      <c r="A16" s="6">
        <v>44141</v>
      </c>
      <c r="B16" t="s">
        <v>13</v>
      </c>
      <c r="C16">
        <v>65329</v>
      </c>
      <c r="D16" t="s">
        <v>14</v>
      </c>
      <c r="E16" s="7">
        <v>1228.8</v>
      </c>
      <c r="F16" t="s">
        <v>15</v>
      </c>
      <c r="G16" s="10" t="s">
        <v>15</v>
      </c>
      <c r="H16" s="10" t="s">
        <v>15</v>
      </c>
      <c r="I16" s="10" t="s">
        <v>15</v>
      </c>
    </row>
    <row r="17" spans="1:9" x14ac:dyDescent="0.25">
      <c r="A17" s="6">
        <v>44141</v>
      </c>
      <c r="B17" t="s">
        <v>13</v>
      </c>
      <c r="C17">
        <v>65330</v>
      </c>
      <c r="D17" t="s">
        <v>14</v>
      </c>
      <c r="E17" s="7">
        <v>761.4</v>
      </c>
      <c r="F17" t="s">
        <v>15</v>
      </c>
      <c r="G17" s="10" t="s">
        <v>15</v>
      </c>
      <c r="H17" s="10" t="s">
        <v>15</v>
      </c>
      <c r="I17" s="10" t="s">
        <v>15</v>
      </c>
    </row>
    <row r="18" spans="1:9" x14ac:dyDescent="0.25">
      <c r="A18" s="6">
        <v>44155</v>
      </c>
      <c r="B18" t="s">
        <v>13</v>
      </c>
      <c r="C18">
        <v>65447</v>
      </c>
      <c r="D18" t="s">
        <v>14</v>
      </c>
      <c r="E18" s="7">
        <v>1676.19</v>
      </c>
      <c r="F18" t="s">
        <v>15</v>
      </c>
      <c r="G18" s="10" t="s">
        <v>15</v>
      </c>
      <c r="H18" s="10" t="s">
        <v>15</v>
      </c>
      <c r="I18" s="10" t="s">
        <v>15</v>
      </c>
    </row>
    <row r="19" spans="1:9" x14ac:dyDescent="0.25">
      <c r="A19" s="6">
        <v>44155</v>
      </c>
      <c r="B19" t="s">
        <v>13</v>
      </c>
      <c r="C19">
        <v>65448</v>
      </c>
      <c r="D19" t="s">
        <v>14</v>
      </c>
      <c r="E19" s="7">
        <v>1058.49</v>
      </c>
      <c r="F19" t="s">
        <v>15</v>
      </c>
      <c r="G19" s="10" t="s">
        <v>15</v>
      </c>
      <c r="H19" s="10" t="s">
        <v>15</v>
      </c>
      <c r="I19" s="10" t="s">
        <v>15</v>
      </c>
    </row>
    <row r="20" spans="1:9" x14ac:dyDescent="0.25">
      <c r="A20" s="6">
        <v>44155</v>
      </c>
      <c r="B20" t="s">
        <v>13</v>
      </c>
      <c r="C20">
        <v>65449</v>
      </c>
      <c r="D20" t="s">
        <v>14</v>
      </c>
      <c r="E20" s="7">
        <v>1215.57</v>
      </c>
      <c r="F20" t="s">
        <v>15</v>
      </c>
      <c r="G20" s="10" t="s">
        <v>15</v>
      </c>
      <c r="H20" s="10" t="s">
        <v>15</v>
      </c>
      <c r="I20" s="10" t="s">
        <v>15</v>
      </c>
    </row>
    <row r="21" spans="1:9" x14ac:dyDescent="0.25">
      <c r="A21" s="6">
        <v>44155</v>
      </c>
      <c r="B21" t="s">
        <v>13</v>
      </c>
      <c r="C21">
        <v>65450</v>
      </c>
      <c r="D21" t="s">
        <v>14</v>
      </c>
      <c r="E21" s="7">
        <v>646.04</v>
      </c>
      <c r="F21" t="s">
        <v>15</v>
      </c>
      <c r="G21" s="10" t="s">
        <v>15</v>
      </c>
      <c r="H21" s="10" t="s">
        <v>15</v>
      </c>
      <c r="I21" s="10" t="s">
        <v>15</v>
      </c>
    </row>
    <row r="22" spans="1:9" x14ac:dyDescent="0.25">
      <c r="A22" s="6">
        <v>44169</v>
      </c>
      <c r="B22" t="s">
        <v>13</v>
      </c>
      <c r="C22">
        <v>65516</v>
      </c>
      <c r="D22" t="s">
        <v>14</v>
      </c>
      <c r="E22" s="7">
        <v>1655.95</v>
      </c>
      <c r="F22" t="s">
        <v>15</v>
      </c>
      <c r="G22" s="10" t="s">
        <v>15</v>
      </c>
      <c r="H22" s="10" t="s">
        <v>15</v>
      </c>
      <c r="I22" s="10" t="s">
        <v>15</v>
      </c>
    </row>
    <row r="23" spans="1:9" x14ac:dyDescent="0.25">
      <c r="A23" s="6">
        <v>44169</v>
      </c>
      <c r="B23" t="s">
        <v>13</v>
      </c>
      <c r="C23">
        <v>65517</v>
      </c>
      <c r="D23" t="s">
        <v>14</v>
      </c>
      <c r="E23" s="7">
        <v>1135.05</v>
      </c>
      <c r="F23" t="s">
        <v>15</v>
      </c>
      <c r="G23" s="10" t="s">
        <v>15</v>
      </c>
      <c r="H23" s="10" t="s">
        <v>15</v>
      </c>
      <c r="I23" s="10" t="s">
        <v>15</v>
      </c>
    </row>
    <row r="24" spans="1:9" x14ac:dyDescent="0.25">
      <c r="A24" s="6">
        <v>44169</v>
      </c>
      <c r="B24" t="s">
        <v>13</v>
      </c>
      <c r="C24">
        <v>65518</v>
      </c>
      <c r="D24" t="s">
        <v>14</v>
      </c>
      <c r="E24" s="7">
        <v>562.30999999999995</v>
      </c>
      <c r="F24" t="s">
        <v>15</v>
      </c>
      <c r="G24" s="10" t="s">
        <v>15</v>
      </c>
      <c r="H24" s="10" t="s">
        <v>15</v>
      </c>
      <c r="I24" s="10" t="s">
        <v>15</v>
      </c>
    </row>
    <row r="25" spans="1:9" x14ac:dyDescent="0.25">
      <c r="A25" s="6">
        <v>44169</v>
      </c>
      <c r="B25" t="s">
        <v>13</v>
      </c>
      <c r="C25">
        <v>65519</v>
      </c>
      <c r="D25" t="s">
        <v>14</v>
      </c>
      <c r="E25" s="7">
        <v>1132.31</v>
      </c>
      <c r="F25" t="s">
        <v>15</v>
      </c>
      <c r="G25" s="10" t="s">
        <v>15</v>
      </c>
      <c r="H25" s="10" t="s">
        <v>15</v>
      </c>
      <c r="I25" s="10" t="s">
        <v>15</v>
      </c>
    </row>
    <row r="26" spans="1:9" x14ac:dyDescent="0.25">
      <c r="A26" s="6">
        <v>44169</v>
      </c>
      <c r="B26" t="s">
        <v>13</v>
      </c>
      <c r="C26">
        <v>65520</v>
      </c>
      <c r="D26" t="s">
        <v>14</v>
      </c>
      <c r="E26" s="7">
        <v>415.94</v>
      </c>
      <c r="F26" t="s">
        <v>15</v>
      </c>
      <c r="G26" s="10" t="s">
        <v>15</v>
      </c>
      <c r="H26" s="10" t="s">
        <v>15</v>
      </c>
      <c r="I26" s="10" t="s">
        <v>15</v>
      </c>
    </row>
    <row r="27" spans="1:9" x14ac:dyDescent="0.25">
      <c r="A27" s="6">
        <v>44183</v>
      </c>
      <c r="B27" t="s">
        <v>13</v>
      </c>
      <c r="C27">
        <v>65644</v>
      </c>
      <c r="D27" t="s">
        <v>14</v>
      </c>
      <c r="E27" s="7">
        <v>2024.12</v>
      </c>
      <c r="F27" t="s">
        <v>15</v>
      </c>
      <c r="G27" s="10" t="s">
        <v>15</v>
      </c>
      <c r="H27" s="10" t="s">
        <v>15</v>
      </c>
      <c r="I27" s="10" t="s">
        <v>15</v>
      </c>
    </row>
    <row r="28" spans="1:9" x14ac:dyDescent="0.25">
      <c r="A28" s="6">
        <v>44183</v>
      </c>
      <c r="B28" t="s">
        <v>13</v>
      </c>
      <c r="C28">
        <v>65645</v>
      </c>
      <c r="D28" t="s">
        <v>14</v>
      </c>
      <c r="E28" s="7">
        <v>1301.53</v>
      </c>
      <c r="F28" t="s">
        <v>15</v>
      </c>
      <c r="G28" s="10" t="s">
        <v>15</v>
      </c>
      <c r="H28" s="10" t="s">
        <v>15</v>
      </c>
      <c r="I28" s="10" t="s">
        <v>15</v>
      </c>
    </row>
    <row r="29" spans="1:9" x14ac:dyDescent="0.25">
      <c r="A29" s="6">
        <v>44183</v>
      </c>
      <c r="B29" t="s">
        <v>13</v>
      </c>
      <c r="C29">
        <v>65646</v>
      </c>
      <c r="D29" t="s">
        <v>14</v>
      </c>
      <c r="E29" s="7">
        <v>1378.76</v>
      </c>
      <c r="F29" t="s">
        <v>15</v>
      </c>
      <c r="G29" s="10" t="s">
        <v>15</v>
      </c>
      <c r="H29" s="10" t="s">
        <v>15</v>
      </c>
      <c r="I29" s="10" t="s">
        <v>15</v>
      </c>
    </row>
    <row r="30" spans="1:9" x14ac:dyDescent="0.25">
      <c r="A30" s="6">
        <v>44183</v>
      </c>
      <c r="B30" t="s">
        <v>13</v>
      </c>
      <c r="C30">
        <v>65647</v>
      </c>
      <c r="D30" t="s">
        <v>14</v>
      </c>
      <c r="E30" s="7">
        <v>520.44000000000005</v>
      </c>
      <c r="F30" t="s">
        <v>15</v>
      </c>
      <c r="G30" s="10" t="s">
        <v>15</v>
      </c>
      <c r="H30" s="10" t="s">
        <v>15</v>
      </c>
      <c r="I30" s="10" t="s">
        <v>15</v>
      </c>
    </row>
    <row r="31" spans="1:9" x14ac:dyDescent="0.25">
      <c r="A31" s="6">
        <v>44195</v>
      </c>
      <c r="B31" t="s">
        <v>13</v>
      </c>
      <c r="C31">
        <v>65652</v>
      </c>
      <c r="D31" t="s">
        <v>14</v>
      </c>
      <c r="E31" s="7">
        <v>2111.4899999999998</v>
      </c>
      <c r="F31" t="s">
        <v>15</v>
      </c>
      <c r="G31" s="10" t="s">
        <v>15</v>
      </c>
      <c r="H31" s="10" t="s">
        <v>15</v>
      </c>
      <c r="I31" s="10" t="s">
        <v>15</v>
      </c>
    </row>
    <row r="32" spans="1:9" x14ac:dyDescent="0.25">
      <c r="A32" s="6">
        <v>44195</v>
      </c>
      <c r="B32" t="s">
        <v>13</v>
      </c>
      <c r="C32">
        <v>65653</v>
      </c>
      <c r="D32" t="s">
        <v>14</v>
      </c>
      <c r="E32" s="7">
        <v>2775</v>
      </c>
      <c r="F32" t="s">
        <v>15</v>
      </c>
      <c r="G32" s="10" t="s">
        <v>15</v>
      </c>
      <c r="H32" s="10" t="s">
        <v>15</v>
      </c>
      <c r="I32" s="10" t="s">
        <v>15</v>
      </c>
    </row>
    <row r="33" spans="1:9" x14ac:dyDescent="0.25">
      <c r="A33" s="6">
        <v>44195</v>
      </c>
      <c r="B33" t="s">
        <v>13</v>
      </c>
      <c r="C33">
        <v>65654</v>
      </c>
      <c r="D33" t="s">
        <v>14</v>
      </c>
      <c r="E33" s="7">
        <v>1035.94</v>
      </c>
      <c r="F33" t="s">
        <v>15</v>
      </c>
      <c r="G33" s="10" t="s">
        <v>15</v>
      </c>
      <c r="H33" s="10" t="s">
        <v>15</v>
      </c>
      <c r="I33" s="10" t="s">
        <v>15</v>
      </c>
    </row>
    <row r="34" spans="1:9" x14ac:dyDescent="0.25">
      <c r="A34" s="6">
        <v>44195</v>
      </c>
      <c r="B34" t="s">
        <v>13</v>
      </c>
      <c r="C34">
        <v>65655</v>
      </c>
      <c r="D34" t="s">
        <v>14</v>
      </c>
      <c r="E34" s="7">
        <v>6831.49</v>
      </c>
      <c r="F34" t="s">
        <v>15</v>
      </c>
      <c r="G34" s="10" t="s">
        <v>15</v>
      </c>
      <c r="H34" s="10" t="s">
        <v>15</v>
      </c>
      <c r="I34" s="10" t="s">
        <v>15</v>
      </c>
    </row>
    <row r="35" spans="1:9" x14ac:dyDescent="0.25">
      <c r="A35" s="6">
        <v>44195</v>
      </c>
      <c r="B35" t="s">
        <v>13</v>
      </c>
      <c r="C35">
        <v>65656</v>
      </c>
      <c r="D35" t="s">
        <v>14</v>
      </c>
      <c r="E35" s="7">
        <v>622.33000000000004</v>
      </c>
      <c r="F35" t="s">
        <v>15</v>
      </c>
      <c r="G35" s="10" t="s">
        <v>15</v>
      </c>
      <c r="H35" s="10" t="s">
        <v>15</v>
      </c>
      <c r="I35" s="10" t="s">
        <v>15</v>
      </c>
    </row>
    <row r="36" spans="1:9" x14ac:dyDescent="0.25">
      <c r="A36" s="6">
        <v>44195</v>
      </c>
      <c r="B36" t="s">
        <v>13</v>
      </c>
      <c r="C36">
        <v>65657</v>
      </c>
      <c r="D36" t="s">
        <v>14</v>
      </c>
      <c r="E36" s="7">
        <v>2222.13</v>
      </c>
      <c r="F36" t="s">
        <v>15</v>
      </c>
      <c r="G36" s="10" t="s">
        <v>15</v>
      </c>
      <c r="H36" s="10" t="s">
        <v>15</v>
      </c>
      <c r="I36" s="10" t="s">
        <v>15</v>
      </c>
    </row>
    <row r="37" spans="1:9" x14ac:dyDescent="0.25">
      <c r="A37" s="6">
        <v>44195</v>
      </c>
      <c r="B37" t="s">
        <v>13</v>
      </c>
      <c r="C37">
        <v>65658</v>
      </c>
      <c r="D37" t="s">
        <v>14</v>
      </c>
      <c r="E37" s="7">
        <v>1828.53</v>
      </c>
      <c r="F37" t="s">
        <v>15</v>
      </c>
      <c r="G37" s="10" t="s">
        <v>15</v>
      </c>
      <c r="H37" s="10" t="s">
        <v>15</v>
      </c>
      <c r="I37" s="10" t="s">
        <v>15</v>
      </c>
    </row>
    <row r="38" spans="1:9" x14ac:dyDescent="0.25">
      <c r="A38" s="6">
        <v>44195</v>
      </c>
      <c r="B38" t="s">
        <v>13</v>
      </c>
      <c r="C38">
        <v>65659</v>
      </c>
      <c r="D38" t="s">
        <v>14</v>
      </c>
      <c r="E38" s="7">
        <v>1965.08</v>
      </c>
      <c r="F38" t="s">
        <v>15</v>
      </c>
      <c r="G38" s="10" t="s">
        <v>15</v>
      </c>
      <c r="H38" s="10" t="s">
        <v>15</v>
      </c>
      <c r="I38" s="10" t="s">
        <v>15</v>
      </c>
    </row>
    <row r="39" spans="1:9" x14ac:dyDescent="0.25">
      <c r="A39" s="6">
        <v>44195</v>
      </c>
      <c r="B39" t="s">
        <v>13</v>
      </c>
      <c r="C39">
        <v>65660</v>
      </c>
      <c r="D39" t="s">
        <v>14</v>
      </c>
      <c r="E39" s="7">
        <v>2148.61</v>
      </c>
      <c r="F39" t="s">
        <v>15</v>
      </c>
      <c r="G39" s="10" t="s">
        <v>15</v>
      </c>
      <c r="H39" s="10" t="s">
        <v>15</v>
      </c>
      <c r="I39" s="10" t="s">
        <v>15</v>
      </c>
    </row>
    <row r="40" spans="1:9" x14ac:dyDescent="0.25">
      <c r="A40" s="6">
        <v>44195</v>
      </c>
      <c r="B40" t="s">
        <v>13</v>
      </c>
      <c r="C40">
        <v>65747</v>
      </c>
      <c r="D40" t="s">
        <v>14</v>
      </c>
      <c r="E40" s="7">
        <v>2373.0100000000002</v>
      </c>
      <c r="F40" t="s">
        <v>15</v>
      </c>
      <c r="G40" s="10" t="s">
        <v>15</v>
      </c>
      <c r="H40" s="10" t="s">
        <v>15</v>
      </c>
      <c r="I40" s="10" t="s">
        <v>15</v>
      </c>
    </row>
    <row r="41" spans="1:9" x14ac:dyDescent="0.25">
      <c r="A41" s="6">
        <v>44195</v>
      </c>
      <c r="B41" t="s">
        <v>13</v>
      </c>
      <c r="C41">
        <v>65748</v>
      </c>
      <c r="D41" t="s">
        <v>14</v>
      </c>
      <c r="E41" s="7">
        <v>1216.77</v>
      </c>
      <c r="F41" t="s">
        <v>15</v>
      </c>
      <c r="G41" s="10" t="s">
        <v>15</v>
      </c>
      <c r="H41" s="10" t="s">
        <v>15</v>
      </c>
      <c r="I41" s="10" t="s">
        <v>15</v>
      </c>
    </row>
    <row r="42" spans="1:9" x14ac:dyDescent="0.25">
      <c r="A42" s="6">
        <v>44195</v>
      </c>
      <c r="B42" t="s">
        <v>13</v>
      </c>
      <c r="C42">
        <v>65749</v>
      </c>
      <c r="D42" t="s">
        <v>14</v>
      </c>
      <c r="E42" s="7">
        <v>1093</v>
      </c>
      <c r="F42" t="s">
        <v>15</v>
      </c>
      <c r="G42" s="10" t="s">
        <v>15</v>
      </c>
      <c r="H42" s="10" t="s">
        <v>15</v>
      </c>
      <c r="I42" s="10" t="s">
        <v>15</v>
      </c>
    </row>
    <row r="43" spans="1:9" x14ac:dyDescent="0.25">
      <c r="A43" s="6">
        <v>44195</v>
      </c>
      <c r="B43" t="s">
        <v>13</v>
      </c>
      <c r="C43">
        <v>65750</v>
      </c>
      <c r="D43" t="s">
        <v>14</v>
      </c>
      <c r="E43" s="7">
        <v>622.97</v>
      </c>
      <c r="F43" t="s">
        <v>15</v>
      </c>
      <c r="G43" s="10" t="s">
        <v>15</v>
      </c>
      <c r="H43" s="10" t="s">
        <v>15</v>
      </c>
      <c r="I43" s="10" t="s">
        <v>15</v>
      </c>
    </row>
    <row r="44" spans="1:9" x14ac:dyDescent="0.25">
      <c r="A44" s="6">
        <v>44211</v>
      </c>
      <c r="B44" t="s">
        <v>13</v>
      </c>
      <c r="C44">
        <v>65828</v>
      </c>
      <c r="D44" t="s">
        <v>14</v>
      </c>
      <c r="E44" s="7">
        <v>2059.35</v>
      </c>
      <c r="F44" t="s">
        <v>15</v>
      </c>
      <c r="G44" s="10" t="s">
        <v>15</v>
      </c>
      <c r="H44" s="10" t="s">
        <v>15</v>
      </c>
      <c r="I44" s="10" t="s">
        <v>15</v>
      </c>
    </row>
    <row r="45" spans="1:9" x14ac:dyDescent="0.25">
      <c r="A45" s="6">
        <v>44211</v>
      </c>
      <c r="B45" t="s">
        <v>13</v>
      </c>
      <c r="C45">
        <v>65829</v>
      </c>
      <c r="D45" t="s">
        <v>14</v>
      </c>
      <c r="E45" s="7">
        <v>1412.4</v>
      </c>
      <c r="F45" t="s">
        <v>15</v>
      </c>
      <c r="G45" s="10" t="s">
        <v>15</v>
      </c>
      <c r="H45" s="10" t="s">
        <v>15</v>
      </c>
      <c r="I45" s="10" t="s">
        <v>15</v>
      </c>
    </row>
    <row r="46" spans="1:9" x14ac:dyDescent="0.25">
      <c r="A46" s="6">
        <v>44211</v>
      </c>
      <c r="B46" t="s">
        <v>13</v>
      </c>
      <c r="C46">
        <v>65830</v>
      </c>
      <c r="D46" t="s">
        <v>14</v>
      </c>
      <c r="E46" s="7">
        <v>1348.17</v>
      </c>
      <c r="F46" t="s">
        <v>15</v>
      </c>
      <c r="G46" s="10" t="s">
        <v>15</v>
      </c>
      <c r="H46" s="10" t="s">
        <v>15</v>
      </c>
      <c r="I46" s="10" t="s">
        <v>15</v>
      </c>
    </row>
    <row r="47" spans="1:9" x14ac:dyDescent="0.25">
      <c r="A47" s="6">
        <v>44211</v>
      </c>
      <c r="B47" t="s">
        <v>13</v>
      </c>
      <c r="C47">
        <v>65831</v>
      </c>
      <c r="D47" t="s">
        <v>14</v>
      </c>
      <c r="E47" s="7">
        <v>500.59</v>
      </c>
      <c r="F47" t="s">
        <v>15</v>
      </c>
      <c r="G47" s="10" t="s">
        <v>15</v>
      </c>
      <c r="H47" s="10" t="s">
        <v>15</v>
      </c>
      <c r="I47" s="10" t="s">
        <v>15</v>
      </c>
    </row>
    <row r="48" spans="1:9" x14ac:dyDescent="0.25">
      <c r="A48" s="6">
        <v>44225</v>
      </c>
      <c r="B48" t="s">
        <v>13</v>
      </c>
      <c r="C48">
        <v>65959</v>
      </c>
      <c r="D48" t="s">
        <v>14</v>
      </c>
      <c r="E48" s="7">
        <v>1722.19</v>
      </c>
      <c r="F48" t="s">
        <v>15</v>
      </c>
      <c r="G48" s="10" t="s">
        <v>15</v>
      </c>
      <c r="H48" s="10" t="s">
        <v>15</v>
      </c>
      <c r="I48" s="10" t="s">
        <v>15</v>
      </c>
    </row>
    <row r="49" spans="1:9" x14ac:dyDescent="0.25">
      <c r="A49" s="6">
        <v>44225</v>
      </c>
      <c r="B49" t="s">
        <v>13</v>
      </c>
      <c r="C49">
        <v>65960</v>
      </c>
      <c r="D49" t="s">
        <v>14</v>
      </c>
      <c r="E49" s="7">
        <v>1122.76</v>
      </c>
      <c r="F49" t="s">
        <v>15</v>
      </c>
      <c r="G49" s="10" t="s">
        <v>15</v>
      </c>
      <c r="H49" s="10" t="s">
        <v>15</v>
      </c>
      <c r="I49" s="10" t="s">
        <v>15</v>
      </c>
    </row>
    <row r="50" spans="1:9" x14ac:dyDescent="0.25">
      <c r="A50" s="6">
        <v>44225</v>
      </c>
      <c r="B50" t="s">
        <v>13</v>
      </c>
      <c r="C50">
        <v>65961</v>
      </c>
      <c r="D50" t="s">
        <v>14</v>
      </c>
      <c r="E50" s="7">
        <v>2492.85</v>
      </c>
      <c r="F50" t="s">
        <v>15</v>
      </c>
      <c r="G50" s="10" t="s">
        <v>15</v>
      </c>
      <c r="H50" s="10" t="s">
        <v>15</v>
      </c>
      <c r="I50" s="10" t="s">
        <v>15</v>
      </c>
    </row>
    <row r="51" spans="1:9" x14ac:dyDescent="0.25">
      <c r="A51" s="6">
        <v>44225</v>
      </c>
      <c r="B51" t="s">
        <v>13</v>
      </c>
      <c r="C51">
        <v>65962</v>
      </c>
      <c r="D51" t="s">
        <v>14</v>
      </c>
      <c r="E51" s="7">
        <v>1255.1400000000001</v>
      </c>
      <c r="F51" t="s">
        <v>15</v>
      </c>
      <c r="G51" s="10" t="s">
        <v>15</v>
      </c>
      <c r="H51" s="10" t="s">
        <v>15</v>
      </c>
      <c r="I51" s="10" t="s">
        <v>15</v>
      </c>
    </row>
    <row r="52" spans="1:9" x14ac:dyDescent="0.25">
      <c r="A52" s="6">
        <v>44225</v>
      </c>
      <c r="B52" t="s">
        <v>13</v>
      </c>
      <c r="C52">
        <v>65963</v>
      </c>
      <c r="D52" t="s">
        <v>14</v>
      </c>
      <c r="E52" s="7">
        <v>856.19</v>
      </c>
      <c r="F52" t="s">
        <v>15</v>
      </c>
      <c r="G52" s="10" t="s">
        <v>15</v>
      </c>
      <c r="H52" s="10" t="s">
        <v>15</v>
      </c>
      <c r="I52" s="10" t="s">
        <v>15</v>
      </c>
    </row>
    <row r="53" spans="1:9" x14ac:dyDescent="0.25">
      <c r="A53" s="6">
        <v>44222</v>
      </c>
      <c r="B53" t="s">
        <v>13</v>
      </c>
      <c r="C53">
        <v>65965</v>
      </c>
      <c r="D53" t="s">
        <v>14</v>
      </c>
      <c r="E53" s="7">
        <v>3684.97</v>
      </c>
      <c r="F53" t="s">
        <v>15</v>
      </c>
      <c r="G53" s="10" t="s">
        <v>15</v>
      </c>
      <c r="H53" s="10" t="s">
        <v>15</v>
      </c>
      <c r="I53" s="10" t="s">
        <v>15</v>
      </c>
    </row>
    <row r="54" spans="1:9" x14ac:dyDescent="0.25">
      <c r="A54" s="6">
        <v>44239</v>
      </c>
      <c r="B54" t="s">
        <v>13</v>
      </c>
      <c r="C54">
        <v>66040</v>
      </c>
      <c r="D54" t="s">
        <v>14</v>
      </c>
      <c r="E54" s="7">
        <v>803.48</v>
      </c>
      <c r="F54" t="s">
        <v>15</v>
      </c>
      <c r="G54" s="10" t="s">
        <v>15</v>
      </c>
      <c r="H54" s="10" t="s">
        <v>15</v>
      </c>
      <c r="I54" s="10" t="s">
        <v>15</v>
      </c>
    </row>
    <row r="55" spans="1:9" x14ac:dyDescent="0.25">
      <c r="A55" s="6">
        <v>44239</v>
      </c>
      <c r="B55" t="s">
        <v>13</v>
      </c>
      <c r="C55">
        <v>66041</v>
      </c>
      <c r="D55" t="s">
        <v>14</v>
      </c>
      <c r="E55" s="7">
        <v>1712.38</v>
      </c>
      <c r="F55" t="s">
        <v>15</v>
      </c>
      <c r="G55" s="10" t="s">
        <v>15</v>
      </c>
      <c r="H55" s="10" t="s">
        <v>15</v>
      </c>
      <c r="I55" s="10" t="s">
        <v>15</v>
      </c>
    </row>
    <row r="56" spans="1:9" x14ac:dyDescent="0.25">
      <c r="A56" s="6">
        <v>44239</v>
      </c>
      <c r="B56" t="s">
        <v>13</v>
      </c>
      <c r="C56">
        <v>66042</v>
      </c>
      <c r="D56" t="s">
        <v>14</v>
      </c>
      <c r="E56" s="7">
        <v>1118.32</v>
      </c>
      <c r="F56" t="s">
        <v>15</v>
      </c>
      <c r="G56" s="10" t="s">
        <v>15</v>
      </c>
      <c r="H56" s="10" t="s">
        <v>15</v>
      </c>
      <c r="I56" s="10" t="s">
        <v>15</v>
      </c>
    </row>
    <row r="57" spans="1:9" x14ac:dyDescent="0.25">
      <c r="A57" s="6">
        <v>44239</v>
      </c>
      <c r="B57" t="s">
        <v>13</v>
      </c>
      <c r="C57">
        <v>66043</v>
      </c>
      <c r="D57" t="s">
        <v>14</v>
      </c>
      <c r="E57" s="7">
        <v>1131.98</v>
      </c>
      <c r="F57" t="s">
        <v>15</v>
      </c>
      <c r="G57" s="10" t="s">
        <v>15</v>
      </c>
      <c r="H57" s="10" t="s">
        <v>15</v>
      </c>
      <c r="I57" s="10" t="s">
        <v>15</v>
      </c>
    </row>
    <row r="58" spans="1:9" x14ac:dyDescent="0.25">
      <c r="A58" s="6">
        <v>44239</v>
      </c>
      <c r="B58" t="s">
        <v>13</v>
      </c>
      <c r="C58">
        <v>66044</v>
      </c>
      <c r="D58" t="s">
        <v>14</v>
      </c>
      <c r="E58" s="7">
        <v>500.59</v>
      </c>
      <c r="F58" t="s">
        <v>15</v>
      </c>
      <c r="G58" s="10" t="s">
        <v>15</v>
      </c>
      <c r="H58" s="10" t="s">
        <v>15</v>
      </c>
      <c r="I58" s="10" t="s">
        <v>15</v>
      </c>
    </row>
    <row r="59" spans="1:9" x14ac:dyDescent="0.25">
      <c r="A59" s="6">
        <v>44236</v>
      </c>
      <c r="B59" t="s">
        <v>13</v>
      </c>
      <c r="C59">
        <v>66049</v>
      </c>
      <c r="D59" t="s">
        <v>14</v>
      </c>
      <c r="E59" s="7">
        <v>4743.16</v>
      </c>
      <c r="F59" t="s">
        <v>15</v>
      </c>
      <c r="G59" s="10" t="s">
        <v>15</v>
      </c>
      <c r="H59" s="10" t="s">
        <v>15</v>
      </c>
      <c r="I59" s="10" t="s">
        <v>15</v>
      </c>
    </row>
    <row r="60" spans="1:9" x14ac:dyDescent="0.25">
      <c r="A60" s="6">
        <v>44253</v>
      </c>
      <c r="B60" t="s">
        <v>13</v>
      </c>
      <c r="C60">
        <v>66127</v>
      </c>
      <c r="D60" t="s">
        <v>14</v>
      </c>
      <c r="E60" s="7">
        <v>1908.99</v>
      </c>
      <c r="F60" t="s">
        <v>15</v>
      </c>
      <c r="G60" s="10" t="s">
        <v>15</v>
      </c>
      <c r="H60" s="10" t="s">
        <v>15</v>
      </c>
      <c r="I60" s="10" t="s">
        <v>15</v>
      </c>
    </row>
    <row r="61" spans="1:9" x14ac:dyDescent="0.25">
      <c r="A61" s="6">
        <v>44253</v>
      </c>
      <c r="B61" t="s">
        <v>13</v>
      </c>
      <c r="C61">
        <v>66128</v>
      </c>
      <c r="D61" t="s">
        <v>14</v>
      </c>
      <c r="E61" s="7">
        <v>1717.9</v>
      </c>
      <c r="F61" t="s">
        <v>15</v>
      </c>
      <c r="G61" s="10" t="s">
        <v>15</v>
      </c>
      <c r="H61" s="10" t="s">
        <v>15</v>
      </c>
      <c r="I61" s="10" t="s">
        <v>15</v>
      </c>
    </row>
    <row r="62" spans="1:9" x14ac:dyDescent="0.25">
      <c r="A62" s="6">
        <v>44253</v>
      </c>
      <c r="B62" t="s">
        <v>13</v>
      </c>
      <c r="C62">
        <v>66129</v>
      </c>
      <c r="D62" t="s">
        <v>14</v>
      </c>
      <c r="E62" s="7">
        <v>1195.95</v>
      </c>
      <c r="F62" t="s">
        <v>15</v>
      </c>
      <c r="G62" s="10" t="s">
        <v>15</v>
      </c>
      <c r="H62" s="10" t="s">
        <v>15</v>
      </c>
      <c r="I62" s="10" t="s">
        <v>15</v>
      </c>
    </row>
    <row r="63" spans="1:9" x14ac:dyDescent="0.25">
      <c r="A63" s="6">
        <v>44253</v>
      </c>
      <c r="B63" t="s">
        <v>13</v>
      </c>
      <c r="C63">
        <v>66130</v>
      </c>
      <c r="D63" t="s">
        <v>14</v>
      </c>
      <c r="E63" s="7">
        <v>500.59</v>
      </c>
      <c r="F63" t="s">
        <v>15</v>
      </c>
      <c r="G63" s="10" t="s">
        <v>15</v>
      </c>
      <c r="H63" s="10" t="s">
        <v>15</v>
      </c>
      <c r="I63" s="10" t="s">
        <v>15</v>
      </c>
    </row>
    <row r="64" spans="1:9" x14ac:dyDescent="0.25">
      <c r="A64" s="6">
        <v>44267</v>
      </c>
      <c r="B64" t="s">
        <v>13</v>
      </c>
      <c r="C64">
        <v>66242</v>
      </c>
      <c r="D64" t="s">
        <v>14</v>
      </c>
      <c r="E64" s="7">
        <v>1575.03</v>
      </c>
      <c r="F64" t="s">
        <v>15</v>
      </c>
      <c r="G64" s="10" t="s">
        <v>15</v>
      </c>
      <c r="H64" s="10" t="s">
        <v>15</v>
      </c>
      <c r="I64" s="10" t="s">
        <v>15</v>
      </c>
    </row>
    <row r="65" spans="1:9" x14ac:dyDescent="0.25">
      <c r="A65" s="6">
        <v>44267</v>
      </c>
      <c r="B65" t="s">
        <v>13</v>
      </c>
      <c r="C65">
        <v>66243</v>
      </c>
      <c r="D65" t="s">
        <v>14</v>
      </c>
      <c r="E65" s="7">
        <v>1200.04</v>
      </c>
      <c r="F65" t="s">
        <v>15</v>
      </c>
      <c r="G65" s="10" t="s">
        <v>15</v>
      </c>
      <c r="H65" s="10" t="s">
        <v>15</v>
      </c>
      <c r="I65" s="10" t="s">
        <v>15</v>
      </c>
    </row>
    <row r="66" spans="1:9" x14ac:dyDescent="0.25">
      <c r="A66" s="6">
        <v>44267</v>
      </c>
      <c r="B66" t="s">
        <v>13</v>
      </c>
      <c r="C66">
        <v>66244</v>
      </c>
      <c r="D66" t="s">
        <v>14</v>
      </c>
      <c r="E66" s="7">
        <v>1148.07</v>
      </c>
      <c r="F66" t="s">
        <v>15</v>
      </c>
      <c r="G66" s="10" t="s">
        <v>15</v>
      </c>
      <c r="H66" s="10" t="s">
        <v>15</v>
      </c>
      <c r="I66" s="10" t="s">
        <v>15</v>
      </c>
    </row>
    <row r="67" spans="1:9" x14ac:dyDescent="0.25">
      <c r="A67" s="6">
        <v>44267</v>
      </c>
      <c r="B67" t="s">
        <v>13</v>
      </c>
      <c r="C67">
        <v>66245</v>
      </c>
      <c r="D67" t="s">
        <v>14</v>
      </c>
      <c r="E67" s="7">
        <v>510.92</v>
      </c>
      <c r="F67" t="s">
        <v>15</v>
      </c>
      <c r="G67" s="10" t="s">
        <v>15</v>
      </c>
      <c r="H67" s="10" t="s">
        <v>15</v>
      </c>
      <c r="I67" s="10" t="s">
        <v>15</v>
      </c>
    </row>
    <row r="68" spans="1:9" x14ac:dyDescent="0.25">
      <c r="A68" s="6">
        <v>44281</v>
      </c>
      <c r="B68" t="s">
        <v>13</v>
      </c>
      <c r="C68">
        <v>66321</v>
      </c>
      <c r="D68" t="s">
        <v>14</v>
      </c>
      <c r="E68" s="7">
        <v>1589.01</v>
      </c>
      <c r="F68" t="s">
        <v>15</v>
      </c>
      <c r="G68" s="10" t="s">
        <v>15</v>
      </c>
      <c r="H68" s="10" t="s">
        <v>15</v>
      </c>
      <c r="I68" s="10" t="s">
        <v>15</v>
      </c>
    </row>
    <row r="69" spans="1:9" x14ac:dyDescent="0.25">
      <c r="A69" s="6">
        <v>44281</v>
      </c>
      <c r="B69" t="s">
        <v>13</v>
      </c>
      <c r="C69">
        <v>66322</v>
      </c>
      <c r="D69" t="s">
        <v>14</v>
      </c>
      <c r="E69" s="7">
        <v>1181.81</v>
      </c>
      <c r="F69" t="s">
        <v>15</v>
      </c>
      <c r="G69" s="10" t="s">
        <v>15</v>
      </c>
      <c r="H69" s="10" t="s">
        <v>15</v>
      </c>
      <c r="I69" s="10" t="s">
        <v>15</v>
      </c>
    </row>
    <row r="70" spans="1:9" x14ac:dyDescent="0.25">
      <c r="A70" s="6">
        <v>44281</v>
      </c>
      <c r="B70" t="s">
        <v>13</v>
      </c>
      <c r="C70">
        <v>66323</v>
      </c>
      <c r="D70" t="s">
        <v>14</v>
      </c>
      <c r="E70" s="7">
        <v>1202.02</v>
      </c>
      <c r="F70" t="s">
        <v>15</v>
      </c>
      <c r="G70" s="10" t="s">
        <v>15</v>
      </c>
      <c r="H70" s="10" t="s">
        <v>15</v>
      </c>
      <c r="I70" s="10" t="s">
        <v>15</v>
      </c>
    </row>
    <row r="71" spans="1:9" x14ac:dyDescent="0.25">
      <c r="A71" s="6">
        <v>44281</v>
      </c>
      <c r="B71" t="s">
        <v>13</v>
      </c>
      <c r="C71">
        <v>66324</v>
      </c>
      <c r="D71" t="s">
        <v>14</v>
      </c>
      <c r="E71" s="7">
        <v>500.59</v>
      </c>
      <c r="F71" t="s">
        <v>15</v>
      </c>
      <c r="G71" s="10" t="s">
        <v>15</v>
      </c>
      <c r="H71" s="10" t="s">
        <v>15</v>
      </c>
      <c r="I71" s="10" t="s">
        <v>15</v>
      </c>
    </row>
    <row r="72" spans="1:9" x14ac:dyDescent="0.25">
      <c r="A72" s="6">
        <v>44295</v>
      </c>
      <c r="B72" t="s">
        <v>13</v>
      </c>
      <c r="C72">
        <v>66433</v>
      </c>
      <c r="D72" t="s">
        <v>14</v>
      </c>
      <c r="E72" s="7">
        <v>1683.46</v>
      </c>
      <c r="F72" t="s">
        <v>15</v>
      </c>
      <c r="G72" s="10" t="s">
        <v>15</v>
      </c>
      <c r="H72" s="10" t="s">
        <v>15</v>
      </c>
      <c r="I72" s="10" t="s">
        <v>15</v>
      </c>
    </row>
    <row r="73" spans="1:9" x14ac:dyDescent="0.25">
      <c r="A73" s="6">
        <v>44295</v>
      </c>
      <c r="B73" t="s">
        <v>13</v>
      </c>
      <c r="C73">
        <v>66434</v>
      </c>
      <c r="D73" t="s">
        <v>14</v>
      </c>
      <c r="E73" s="7">
        <v>1033.8599999999999</v>
      </c>
      <c r="F73" t="s">
        <v>15</v>
      </c>
      <c r="G73" s="10" t="s">
        <v>15</v>
      </c>
      <c r="H73" s="10" t="s">
        <v>15</v>
      </c>
      <c r="I73" s="10" t="s">
        <v>15</v>
      </c>
    </row>
    <row r="74" spans="1:9" x14ac:dyDescent="0.25">
      <c r="A74" s="6">
        <v>44295</v>
      </c>
      <c r="B74" t="s">
        <v>13</v>
      </c>
      <c r="C74">
        <v>66435</v>
      </c>
      <c r="D74" t="s">
        <v>14</v>
      </c>
      <c r="E74" s="7">
        <v>1095.9000000000001</v>
      </c>
      <c r="F74" t="s">
        <v>15</v>
      </c>
      <c r="G74" s="10" t="s">
        <v>15</v>
      </c>
      <c r="H74" s="10" t="s">
        <v>15</v>
      </c>
      <c r="I74" s="10" t="s">
        <v>15</v>
      </c>
    </row>
    <row r="75" spans="1:9" x14ac:dyDescent="0.25">
      <c r="A75" s="6">
        <v>44295</v>
      </c>
      <c r="B75" t="s">
        <v>13</v>
      </c>
      <c r="C75">
        <v>66436</v>
      </c>
      <c r="D75" t="s">
        <v>14</v>
      </c>
      <c r="E75" s="7">
        <v>416.52</v>
      </c>
      <c r="F75" t="s">
        <v>15</v>
      </c>
      <c r="G75" s="10" t="s">
        <v>15</v>
      </c>
      <c r="H75" s="10" t="s">
        <v>15</v>
      </c>
      <c r="I75" s="10" t="s">
        <v>15</v>
      </c>
    </row>
    <row r="76" spans="1:9" x14ac:dyDescent="0.25">
      <c r="A76" s="6">
        <v>44308</v>
      </c>
      <c r="B76" t="s">
        <v>13</v>
      </c>
      <c r="C76">
        <v>66537</v>
      </c>
      <c r="D76" t="s">
        <v>14</v>
      </c>
      <c r="E76" s="7">
        <v>1908.03</v>
      </c>
      <c r="F76" t="s">
        <v>15</v>
      </c>
      <c r="G76" s="10" t="s">
        <v>15</v>
      </c>
      <c r="H76" s="10" t="s">
        <v>15</v>
      </c>
      <c r="I76" s="10" t="s">
        <v>15</v>
      </c>
    </row>
    <row r="77" spans="1:9" x14ac:dyDescent="0.25">
      <c r="A77" s="6">
        <v>44308</v>
      </c>
      <c r="B77" t="s">
        <v>13</v>
      </c>
      <c r="C77">
        <v>66538</v>
      </c>
      <c r="D77" t="s">
        <v>14</v>
      </c>
      <c r="E77" s="7">
        <v>1211.8900000000001</v>
      </c>
      <c r="F77" t="s">
        <v>15</v>
      </c>
      <c r="G77" s="10" t="s">
        <v>15</v>
      </c>
      <c r="H77" s="10" t="s">
        <v>15</v>
      </c>
      <c r="I77" s="10" t="s">
        <v>15</v>
      </c>
    </row>
    <row r="78" spans="1:9" x14ac:dyDescent="0.25">
      <c r="A78" s="6">
        <v>44308</v>
      </c>
      <c r="B78" t="s">
        <v>13</v>
      </c>
      <c r="C78">
        <v>66539</v>
      </c>
      <c r="D78" t="s">
        <v>14</v>
      </c>
      <c r="E78" s="7">
        <v>1184.8699999999999</v>
      </c>
      <c r="F78" t="s">
        <v>15</v>
      </c>
      <c r="G78" s="10" t="s">
        <v>15</v>
      </c>
      <c r="H78" s="10" t="s">
        <v>15</v>
      </c>
      <c r="I78" s="10" t="s">
        <v>15</v>
      </c>
    </row>
    <row r="79" spans="1:9" x14ac:dyDescent="0.25">
      <c r="A79" s="6">
        <v>44308</v>
      </c>
      <c r="B79" t="s">
        <v>13</v>
      </c>
      <c r="C79">
        <v>66540</v>
      </c>
      <c r="D79" t="s">
        <v>14</v>
      </c>
      <c r="E79" s="7">
        <v>572.45000000000005</v>
      </c>
      <c r="F79" t="s">
        <v>15</v>
      </c>
      <c r="G79" s="10" t="s">
        <v>15</v>
      </c>
      <c r="H79" s="10" t="s">
        <v>15</v>
      </c>
      <c r="I79" s="10" t="s">
        <v>15</v>
      </c>
    </row>
    <row r="80" spans="1:9" x14ac:dyDescent="0.25">
      <c r="A80" s="6">
        <v>44322</v>
      </c>
      <c r="B80" t="s">
        <v>13</v>
      </c>
      <c r="C80">
        <v>66616</v>
      </c>
      <c r="D80" t="s">
        <v>14</v>
      </c>
      <c r="E80" s="7">
        <v>1779.85</v>
      </c>
      <c r="F80" t="s">
        <v>15</v>
      </c>
      <c r="G80" s="10" t="s">
        <v>15</v>
      </c>
      <c r="H80" s="10" t="s">
        <v>15</v>
      </c>
      <c r="I80" s="10" t="s">
        <v>15</v>
      </c>
    </row>
    <row r="81" spans="1:9" x14ac:dyDescent="0.25">
      <c r="A81" s="6">
        <v>44322</v>
      </c>
      <c r="B81" t="s">
        <v>13</v>
      </c>
      <c r="C81">
        <v>66617</v>
      </c>
      <c r="D81" t="s">
        <v>14</v>
      </c>
      <c r="E81" s="7">
        <v>1033.8599999999999</v>
      </c>
      <c r="F81" t="s">
        <v>15</v>
      </c>
      <c r="G81" s="10" t="s">
        <v>15</v>
      </c>
      <c r="H81" s="10" t="s">
        <v>15</v>
      </c>
      <c r="I81" s="10" t="s">
        <v>15</v>
      </c>
    </row>
    <row r="82" spans="1:9" x14ac:dyDescent="0.25">
      <c r="A82" s="6">
        <v>44322</v>
      </c>
      <c r="B82" t="s">
        <v>13</v>
      </c>
      <c r="C82">
        <v>66618</v>
      </c>
      <c r="D82" t="s">
        <v>14</v>
      </c>
      <c r="E82" s="7">
        <v>1200.96</v>
      </c>
      <c r="F82" t="s">
        <v>15</v>
      </c>
      <c r="G82" s="10" t="s">
        <v>15</v>
      </c>
      <c r="H82" s="10" t="s">
        <v>15</v>
      </c>
      <c r="I82" s="10" t="s">
        <v>15</v>
      </c>
    </row>
    <row r="83" spans="1:9" x14ac:dyDescent="0.25">
      <c r="A83" s="6">
        <v>44322</v>
      </c>
      <c r="B83" t="s">
        <v>13</v>
      </c>
      <c r="C83">
        <v>66619</v>
      </c>
      <c r="D83" t="s">
        <v>14</v>
      </c>
      <c r="E83" s="7">
        <v>639.11</v>
      </c>
      <c r="F83" t="s">
        <v>15</v>
      </c>
      <c r="G83" s="10" t="s">
        <v>15</v>
      </c>
      <c r="H83" s="10" t="s">
        <v>15</v>
      </c>
      <c r="I83" s="10" t="s">
        <v>15</v>
      </c>
    </row>
    <row r="84" spans="1:9" x14ac:dyDescent="0.25">
      <c r="A84" s="6">
        <v>44322</v>
      </c>
      <c r="B84" t="s">
        <v>13</v>
      </c>
      <c r="C84">
        <v>66620</v>
      </c>
      <c r="D84" t="s">
        <v>14</v>
      </c>
      <c r="E84" s="7">
        <v>29.09</v>
      </c>
      <c r="F84" t="s">
        <v>15</v>
      </c>
      <c r="G84" s="10" t="s">
        <v>15</v>
      </c>
      <c r="H84" s="10" t="s">
        <v>15</v>
      </c>
      <c r="I84" s="10" t="s">
        <v>15</v>
      </c>
    </row>
    <row r="85" spans="1:9" x14ac:dyDescent="0.25">
      <c r="A85" s="6">
        <v>44336</v>
      </c>
      <c r="B85" t="s">
        <v>13</v>
      </c>
      <c r="C85">
        <v>66741</v>
      </c>
      <c r="D85" t="s">
        <v>14</v>
      </c>
      <c r="E85" s="7">
        <v>1622.74</v>
      </c>
      <c r="F85" t="s">
        <v>15</v>
      </c>
      <c r="G85" s="10" t="s">
        <v>15</v>
      </c>
      <c r="H85" s="10" t="s">
        <v>15</v>
      </c>
      <c r="I85" s="10" t="s">
        <v>15</v>
      </c>
    </row>
    <row r="86" spans="1:9" x14ac:dyDescent="0.25">
      <c r="A86" s="6">
        <v>44336</v>
      </c>
      <c r="B86" t="s">
        <v>13</v>
      </c>
      <c r="C86">
        <v>66742</v>
      </c>
      <c r="D86" t="s">
        <v>14</v>
      </c>
      <c r="E86" s="7">
        <v>1303.03</v>
      </c>
      <c r="F86" t="s">
        <v>15</v>
      </c>
      <c r="G86" s="10" t="s">
        <v>15</v>
      </c>
      <c r="H86" s="10" t="s">
        <v>15</v>
      </c>
      <c r="I86" s="10" t="s">
        <v>15</v>
      </c>
    </row>
    <row r="87" spans="1:9" x14ac:dyDescent="0.25">
      <c r="A87" s="6">
        <v>44336</v>
      </c>
      <c r="B87" t="s">
        <v>13</v>
      </c>
      <c r="C87">
        <v>66743</v>
      </c>
      <c r="D87" t="s">
        <v>14</v>
      </c>
      <c r="E87" s="7">
        <v>1194.17</v>
      </c>
      <c r="F87" t="s">
        <v>15</v>
      </c>
      <c r="G87" s="10" t="s">
        <v>15</v>
      </c>
      <c r="H87" s="10" t="s">
        <v>15</v>
      </c>
      <c r="I87" s="10" t="s">
        <v>15</v>
      </c>
    </row>
    <row r="88" spans="1:9" x14ac:dyDescent="0.25">
      <c r="A88" s="6">
        <v>44336</v>
      </c>
      <c r="B88" t="s">
        <v>13</v>
      </c>
      <c r="C88">
        <v>66744</v>
      </c>
      <c r="D88" t="s">
        <v>14</v>
      </c>
      <c r="E88" s="7">
        <v>500.59</v>
      </c>
      <c r="F88" t="s">
        <v>15</v>
      </c>
      <c r="G88" s="10" t="s">
        <v>15</v>
      </c>
      <c r="H88" s="10" t="s">
        <v>15</v>
      </c>
      <c r="I88" s="10" t="s">
        <v>15</v>
      </c>
    </row>
    <row r="89" spans="1:9" x14ac:dyDescent="0.25">
      <c r="A89" s="6">
        <v>44336</v>
      </c>
      <c r="B89" t="s">
        <v>13</v>
      </c>
      <c r="C89">
        <v>66745</v>
      </c>
      <c r="D89" t="s">
        <v>14</v>
      </c>
      <c r="E89" s="7">
        <v>89.7</v>
      </c>
      <c r="F89" t="s">
        <v>15</v>
      </c>
      <c r="G89" s="10" t="s">
        <v>15</v>
      </c>
      <c r="H89" s="10" t="s">
        <v>15</v>
      </c>
      <c r="I89" s="10" t="s">
        <v>15</v>
      </c>
    </row>
    <row r="90" spans="1:9" x14ac:dyDescent="0.25">
      <c r="A90" s="6">
        <v>44336</v>
      </c>
      <c r="B90" t="s">
        <v>13</v>
      </c>
      <c r="C90">
        <v>66777</v>
      </c>
      <c r="D90" t="s">
        <v>14</v>
      </c>
      <c r="E90" s="7">
        <v>1965.08</v>
      </c>
      <c r="F90" t="s">
        <v>15</v>
      </c>
      <c r="G90" s="10" t="s">
        <v>15</v>
      </c>
      <c r="H90" s="10" t="s">
        <v>15</v>
      </c>
      <c r="I90" s="10" t="s">
        <v>15</v>
      </c>
    </row>
    <row r="91" spans="1:9" x14ac:dyDescent="0.25">
      <c r="A91" s="6">
        <v>44343</v>
      </c>
      <c r="B91" t="s">
        <v>13</v>
      </c>
      <c r="C91">
        <v>66836</v>
      </c>
      <c r="D91" t="s">
        <v>14</v>
      </c>
      <c r="E91" s="7">
        <v>699.26</v>
      </c>
      <c r="F91" t="s">
        <v>15</v>
      </c>
      <c r="G91" s="10" t="s">
        <v>15</v>
      </c>
      <c r="H91" s="10" t="s">
        <v>15</v>
      </c>
      <c r="I91" s="10" t="s">
        <v>15</v>
      </c>
    </row>
    <row r="92" spans="1:9" x14ac:dyDescent="0.25">
      <c r="A92" s="6">
        <v>44343</v>
      </c>
      <c r="B92" t="s">
        <v>13</v>
      </c>
      <c r="C92">
        <v>66837</v>
      </c>
      <c r="D92" t="s">
        <v>14</v>
      </c>
      <c r="E92" s="7">
        <v>888.89</v>
      </c>
      <c r="F92" t="s">
        <v>15</v>
      </c>
      <c r="G92" s="10" t="s">
        <v>15</v>
      </c>
      <c r="H92" s="10" t="s">
        <v>15</v>
      </c>
      <c r="I92" s="10" t="s">
        <v>15</v>
      </c>
    </row>
    <row r="93" spans="1:9" x14ac:dyDescent="0.25">
      <c r="A93" s="6">
        <v>44351</v>
      </c>
      <c r="B93" t="s">
        <v>13</v>
      </c>
      <c r="C93">
        <v>66839</v>
      </c>
      <c r="D93" t="s">
        <v>14</v>
      </c>
      <c r="E93" s="7">
        <v>2175</v>
      </c>
      <c r="F93" t="s">
        <v>15</v>
      </c>
      <c r="G93" s="10" t="s">
        <v>15</v>
      </c>
      <c r="H93" s="10" t="s">
        <v>15</v>
      </c>
      <c r="I93" s="10" t="s">
        <v>15</v>
      </c>
    </row>
    <row r="94" spans="1:9" x14ac:dyDescent="0.25">
      <c r="A94" s="6">
        <v>44351</v>
      </c>
      <c r="B94" t="s">
        <v>13</v>
      </c>
      <c r="C94">
        <v>66840</v>
      </c>
      <c r="D94" t="s">
        <v>14</v>
      </c>
      <c r="E94" s="7">
        <v>1103.73</v>
      </c>
      <c r="F94" t="s">
        <v>15</v>
      </c>
      <c r="G94" s="10" t="s">
        <v>15</v>
      </c>
      <c r="H94" s="10" t="s">
        <v>15</v>
      </c>
      <c r="I94" s="10" t="s">
        <v>15</v>
      </c>
    </row>
    <row r="95" spans="1:9" x14ac:dyDescent="0.25">
      <c r="A95" s="6">
        <v>44351</v>
      </c>
      <c r="B95" t="s">
        <v>13</v>
      </c>
      <c r="C95">
        <v>66841</v>
      </c>
      <c r="D95" t="s">
        <v>14</v>
      </c>
      <c r="E95" s="7">
        <v>1058.01</v>
      </c>
      <c r="F95" t="s">
        <v>15</v>
      </c>
      <c r="G95" s="10" t="s">
        <v>15</v>
      </c>
      <c r="H95" s="10" t="s">
        <v>15</v>
      </c>
      <c r="I95" s="10" t="s">
        <v>15</v>
      </c>
    </row>
    <row r="96" spans="1:9" x14ac:dyDescent="0.25">
      <c r="A96" s="6">
        <v>44351</v>
      </c>
      <c r="B96" t="s">
        <v>13</v>
      </c>
      <c r="C96">
        <v>66842</v>
      </c>
      <c r="D96" t="s">
        <v>14</v>
      </c>
      <c r="E96" s="7">
        <v>1229.55</v>
      </c>
      <c r="F96" t="s">
        <v>15</v>
      </c>
      <c r="G96" s="10" t="s">
        <v>15</v>
      </c>
      <c r="H96" s="10" t="s">
        <v>15</v>
      </c>
      <c r="I96" s="10" t="s">
        <v>15</v>
      </c>
    </row>
    <row r="97" spans="1:9" x14ac:dyDescent="0.25">
      <c r="A97" s="6">
        <v>44351</v>
      </c>
      <c r="B97" t="s">
        <v>13</v>
      </c>
      <c r="C97">
        <v>66843</v>
      </c>
      <c r="D97" t="s">
        <v>14</v>
      </c>
      <c r="E97" s="7">
        <v>536.83000000000004</v>
      </c>
      <c r="F97" t="s">
        <v>15</v>
      </c>
      <c r="G97" s="10" t="s">
        <v>15</v>
      </c>
      <c r="H97" s="10" t="s">
        <v>15</v>
      </c>
      <c r="I97" s="10" t="s">
        <v>15</v>
      </c>
    </row>
    <row r="98" spans="1:9" x14ac:dyDescent="0.25">
      <c r="A98" s="6">
        <v>44351</v>
      </c>
      <c r="B98" t="s">
        <v>13</v>
      </c>
      <c r="C98">
        <v>66844</v>
      </c>
      <c r="D98" t="s">
        <v>14</v>
      </c>
      <c r="E98" s="7">
        <v>380.52</v>
      </c>
      <c r="F98" t="s">
        <v>15</v>
      </c>
      <c r="G98" s="10" t="s">
        <v>15</v>
      </c>
      <c r="H98" s="10" t="s">
        <v>15</v>
      </c>
      <c r="I98" s="10" t="s">
        <v>15</v>
      </c>
    </row>
    <row r="99" spans="1:9" x14ac:dyDescent="0.25">
      <c r="A99" s="6">
        <v>44348</v>
      </c>
      <c r="B99" t="s">
        <v>13</v>
      </c>
      <c r="C99">
        <v>66848</v>
      </c>
      <c r="D99" t="s">
        <v>14</v>
      </c>
      <c r="E99" s="7">
        <v>612.74</v>
      </c>
      <c r="F99" t="s">
        <v>15</v>
      </c>
      <c r="G99" s="10" t="s">
        <v>15</v>
      </c>
      <c r="H99" s="10" t="s">
        <v>15</v>
      </c>
      <c r="I99" s="10" t="s">
        <v>15</v>
      </c>
    </row>
    <row r="100" spans="1:9" x14ac:dyDescent="0.25">
      <c r="A100" s="6">
        <v>44362</v>
      </c>
      <c r="B100" t="s">
        <v>13</v>
      </c>
      <c r="C100">
        <v>66944</v>
      </c>
      <c r="D100" t="s">
        <v>14</v>
      </c>
      <c r="E100" s="7">
        <v>1558.17</v>
      </c>
      <c r="F100" t="s">
        <v>15</v>
      </c>
      <c r="G100" s="10" t="s">
        <v>15</v>
      </c>
      <c r="H100" s="10" t="s">
        <v>15</v>
      </c>
      <c r="I100" s="10" t="s">
        <v>15</v>
      </c>
    </row>
    <row r="101" spans="1:9" x14ac:dyDescent="0.25">
      <c r="A101" s="6">
        <v>44362</v>
      </c>
      <c r="B101" t="s">
        <v>13</v>
      </c>
      <c r="C101">
        <v>66945</v>
      </c>
      <c r="D101" t="s">
        <v>14</v>
      </c>
      <c r="E101" s="7">
        <v>1008.98</v>
      </c>
      <c r="F101" t="s">
        <v>15</v>
      </c>
      <c r="G101" s="10" t="s">
        <v>15</v>
      </c>
      <c r="H101" s="10" t="s">
        <v>15</v>
      </c>
      <c r="I101" s="10" t="s">
        <v>15</v>
      </c>
    </row>
    <row r="102" spans="1:9" x14ac:dyDescent="0.25">
      <c r="A102" s="6">
        <v>44362</v>
      </c>
      <c r="B102" t="s">
        <v>13</v>
      </c>
      <c r="C102">
        <v>66946</v>
      </c>
      <c r="D102" t="s">
        <v>14</v>
      </c>
      <c r="E102" s="7">
        <v>1266.7</v>
      </c>
      <c r="F102" t="s">
        <v>15</v>
      </c>
      <c r="G102" s="10" t="s">
        <v>15</v>
      </c>
      <c r="H102" s="10" t="s">
        <v>15</v>
      </c>
      <c r="I102" s="10" t="s">
        <v>15</v>
      </c>
    </row>
    <row r="103" spans="1:9" x14ac:dyDescent="0.25">
      <c r="A103" s="6">
        <v>44362</v>
      </c>
      <c r="B103" t="s">
        <v>13</v>
      </c>
      <c r="C103">
        <v>66947</v>
      </c>
      <c r="D103" t="s">
        <v>14</v>
      </c>
      <c r="E103" s="7">
        <v>803.27</v>
      </c>
      <c r="F103" t="s">
        <v>15</v>
      </c>
      <c r="G103" s="10" t="s">
        <v>15</v>
      </c>
      <c r="H103" s="10" t="s">
        <v>15</v>
      </c>
      <c r="I103" s="10" t="s">
        <v>15</v>
      </c>
    </row>
    <row r="104" spans="1:9" x14ac:dyDescent="0.25">
      <c r="A104" s="6">
        <v>44362</v>
      </c>
      <c r="B104" t="s">
        <v>13</v>
      </c>
      <c r="C104">
        <v>66948</v>
      </c>
      <c r="D104" t="s">
        <v>14</v>
      </c>
      <c r="E104" s="7">
        <v>506.77</v>
      </c>
      <c r="F104" t="s">
        <v>15</v>
      </c>
      <c r="G104" s="10" t="s">
        <v>15</v>
      </c>
      <c r="H104" s="10" t="s">
        <v>15</v>
      </c>
      <c r="I104" s="10" t="s">
        <v>15</v>
      </c>
    </row>
    <row r="105" spans="1:9" x14ac:dyDescent="0.25">
      <c r="A105" s="6">
        <v>44362</v>
      </c>
      <c r="B105" t="s">
        <v>13</v>
      </c>
      <c r="C105">
        <v>66949</v>
      </c>
      <c r="D105" t="s">
        <v>14</v>
      </c>
      <c r="E105" s="7">
        <v>171.65</v>
      </c>
      <c r="F105" t="s">
        <v>15</v>
      </c>
      <c r="G105" s="10" t="s">
        <v>15</v>
      </c>
      <c r="H105" s="10" t="s">
        <v>15</v>
      </c>
      <c r="I105" s="10" t="s">
        <v>15</v>
      </c>
    </row>
    <row r="106" spans="1:9" x14ac:dyDescent="0.25">
      <c r="A106" s="6">
        <v>44379</v>
      </c>
      <c r="B106" t="s">
        <v>13</v>
      </c>
      <c r="C106">
        <v>67017</v>
      </c>
      <c r="D106" t="s">
        <v>14</v>
      </c>
      <c r="E106" s="7">
        <v>1750.93</v>
      </c>
      <c r="F106" t="s">
        <v>15</v>
      </c>
      <c r="G106" s="10" t="s">
        <v>15</v>
      </c>
      <c r="H106" s="10" t="s">
        <v>15</v>
      </c>
      <c r="I106" s="10" t="s">
        <v>15</v>
      </c>
    </row>
    <row r="107" spans="1:9" x14ac:dyDescent="0.25">
      <c r="A107" s="6">
        <v>44379</v>
      </c>
      <c r="B107" t="s">
        <v>13</v>
      </c>
      <c r="C107">
        <v>67018</v>
      </c>
      <c r="D107" t="s">
        <v>14</v>
      </c>
      <c r="E107" s="7">
        <v>1073.96</v>
      </c>
      <c r="F107" t="s">
        <v>15</v>
      </c>
      <c r="G107" s="10" t="s">
        <v>15</v>
      </c>
      <c r="H107" s="10" t="s">
        <v>15</v>
      </c>
      <c r="I107" s="10" t="s">
        <v>15</v>
      </c>
    </row>
    <row r="108" spans="1:9" x14ac:dyDescent="0.25">
      <c r="A108" s="6">
        <v>44379</v>
      </c>
      <c r="B108" t="s">
        <v>13</v>
      </c>
      <c r="C108">
        <v>67019</v>
      </c>
      <c r="D108" t="s">
        <v>14</v>
      </c>
      <c r="E108" s="7">
        <v>1229.55</v>
      </c>
      <c r="F108" t="s">
        <v>15</v>
      </c>
      <c r="G108" s="10" t="s">
        <v>15</v>
      </c>
      <c r="H108" s="10" t="s">
        <v>15</v>
      </c>
      <c r="I108" s="10" t="s">
        <v>15</v>
      </c>
    </row>
    <row r="109" spans="1:9" x14ac:dyDescent="0.25">
      <c r="A109" s="6">
        <v>44379</v>
      </c>
      <c r="B109" t="s">
        <v>13</v>
      </c>
      <c r="C109">
        <v>67020</v>
      </c>
      <c r="D109" t="s">
        <v>14</v>
      </c>
      <c r="E109" s="7">
        <v>739.36</v>
      </c>
      <c r="F109" t="s">
        <v>15</v>
      </c>
      <c r="G109" s="10" t="s">
        <v>15</v>
      </c>
      <c r="H109" s="10" t="s">
        <v>15</v>
      </c>
      <c r="I109" s="10" t="s">
        <v>15</v>
      </c>
    </row>
    <row r="110" spans="1:9" x14ac:dyDescent="0.25">
      <c r="A110" s="6">
        <v>44379</v>
      </c>
      <c r="B110" t="s">
        <v>13</v>
      </c>
      <c r="C110">
        <v>67021</v>
      </c>
      <c r="D110" t="s">
        <v>14</v>
      </c>
      <c r="E110" s="7">
        <v>599.58000000000004</v>
      </c>
      <c r="F110" t="s">
        <v>15</v>
      </c>
      <c r="G110" s="10" t="s">
        <v>15</v>
      </c>
      <c r="H110" s="10" t="s">
        <v>15</v>
      </c>
      <c r="I110" s="10" t="s">
        <v>15</v>
      </c>
    </row>
    <row r="111" spans="1:9" x14ac:dyDescent="0.25">
      <c r="A111" s="6">
        <v>44379</v>
      </c>
      <c r="B111" t="s">
        <v>13</v>
      </c>
      <c r="C111">
        <v>67022</v>
      </c>
      <c r="D111" t="s">
        <v>14</v>
      </c>
      <c r="E111" s="7">
        <v>483.87</v>
      </c>
      <c r="F111" t="s">
        <v>15</v>
      </c>
      <c r="G111" s="10" t="s">
        <v>15</v>
      </c>
      <c r="H111" s="10" t="s">
        <v>15</v>
      </c>
      <c r="I111" s="10" t="s">
        <v>15</v>
      </c>
    </row>
    <row r="112" spans="1:9" x14ac:dyDescent="0.25">
      <c r="A112" s="6">
        <v>44393</v>
      </c>
      <c r="B112" t="s">
        <v>13</v>
      </c>
      <c r="C112">
        <v>67150</v>
      </c>
      <c r="D112" t="s">
        <v>14</v>
      </c>
      <c r="E112" s="7">
        <v>1736.48</v>
      </c>
      <c r="F112" t="s">
        <v>15</v>
      </c>
      <c r="G112" s="10" t="s">
        <v>15</v>
      </c>
      <c r="H112" s="10" t="s">
        <v>15</v>
      </c>
      <c r="I112" s="10" t="s">
        <v>15</v>
      </c>
    </row>
    <row r="113" spans="1:9" x14ac:dyDescent="0.25">
      <c r="A113" s="6">
        <v>44393</v>
      </c>
      <c r="B113" t="s">
        <v>13</v>
      </c>
      <c r="C113">
        <v>67151</v>
      </c>
      <c r="D113" t="s">
        <v>14</v>
      </c>
      <c r="E113" s="7">
        <v>1414.82</v>
      </c>
      <c r="F113" t="s">
        <v>15</v>
      </c>
      <c r="G113" s="10" t="s">
        <v>15</v>
      </c>
      <c r="H113" s="10" t="s">
        <v>15</v>
      </c>
      <c r="I113" s="10" t="s">
        <v>15</v>
      </c>
    </row>
    <row r="114" spans="1:9" x14ac:dyDescent="0.25">
      <c r="A114" s="6">
        <v>44393</v>
      </c>
      <c r="B114" t="s">
        <v>13</v>
      </c>
      <c r="C114">
        <v>67152</v>
      </c>
      <c r="D114" t="s">
        <v>14</v>
      </c>
      <c r="E114" s="7">
        <v>1293.8699999999999</v>
      </c>
      <c r="F114" t="s">
        <v>15</v>
      </c>
      <c r="G114" s="10" t="s">
        <v>15</v>
      </c>
      <c r="H114" s="10" t="s">
        <v>15</v>
      </c>
      <c r="I114" s="10" t="s">
        <v>15</v>
      </c>
    </row>
    <row r="115" spans="1:9" x14ac:dyDescent="0.25">
      <c r="A115" s="6">
        <v>44393</v>
      </c>
      <c r="B115" t="s">
        <v>13</v>
      </c>
      <c r="C115">
        <v>67153</v>
      </c>
      <c r="D115" t="s">
        <v>14</v>
      </c>
      <c r="E115" s="7">
        <v>703.89</v>
      </c>
      <c r="F115" t="s">
        <v>15</v>
      </c>
      <c r="G115" s="10" t="s">
        <v>15</v>
      </c>
      <c r="H115" s="10" t="s">
        <v>15</v>
      </c>
      <c r="I115" s="10" t="s">
        <v>15</v>
      </c>
    </row>
    <row r="116" spans="1:9" x14ac:dyDescent="0.25">
      <c r="A116" s="6">
        <v>44393</v>
      </c>
      <c r="B116" t="s">
        <v>13</v>
      </c>
      <c r="C116">
        <v>67154</v>
      </c>
      <c r="D116" t="s">
        <v>14</v>
      </c>
      <c r="E116" s="7">
        <v>447.53</v>
      </c>
      <c r="F116" t="s">
        <v>15</v>
      </c>
      <c r="G116" s="10" t="s">
        <v>15</v>
      </c>
      <c r="H116" s="10" t="s">
        <v>15</v>
      </c>
      <c r="I116" s="10" t="s">
        <v>15</v>
      </c>
    </row>
    <row r="117" spans="1:9" x14ac:dyDescent="0.25">
      <c r="A117" s="6">
        <v>44393</v>
      </c>
      <c r="B117" t="s">
        <v>13</v>
      </c>
      <c r="C117">
        <v>67155</v>
      </c>
      <c r="D117" t="s">
        <v>14</v>
      </c>
      <c r="E117" s="7">
        <v>187.3</v>
      </c>
      <c r="F117" t="s">
        <v>15</v>
      </c>
      <c r="G117" s="10" t="s">
        <v>15</v>
      </c>
      <c r="H117" s="10" t="s">
        <v>15</v>
      </c>
      <c r="I117" s="10" t="s">
        <v>15</v>
      </c>
    </row>
    <row r="118" spans="1:9" x14ac:dyDescent="0.25">
      <c r="A118" s="6">
        <v>44407</v>
      </c>
      <c r="B118" t="s">
        <v>13</v>
      </c>
      <c r="C118">
        <v>67249</v>
      </c>
      <c r="D118" t="s">
        <v>14</v>
      </c>
      <c r="E118" s="7">
        <v>1744.35</v>
      </c>
      <c r="F118" t="s">
        <v>15</v>
      </c>
      <c r="G118" s="10" t="s">
        <v>15</v>
      </c>
      <c r="H118" s="10" t="s">
        <v>15</v>
      </c>
      <c r="I118" s="10" t="s">
        <v>15</v>
      </c>
    </row>
    <row r="119" spans="1:9" x14ac:dyDescent="0.25">
      <c r="A119" s="6">
        <v>44407</v>
      </c>
      <c r="B119" t="s">
        <v>13</v>
      </c>
      <c r="C119">
        <v>67250</v>
      </c>
      <c r="D119" t="s">
        <v>14</v>
      </c>
      <c r="E119" s="7">
        <v>1077.8</v>
      </c>
      <c r="F119" t="s">
        <v>15</v>
      </c>
      <c r="G119" s="10" t="s">
        <v>15</v>
      </c>
      <c r="H119" s="10" t="s">
        <v>15</v>
      </c>
      <c r="I119" s="10" t="s">
        <v>15</v>
      </c>
    </row>
    <row r="120" spans="1:9" x14ac:dyDescent="0.25">
      <c r="A120" s="6">
        <v>44407</v>
      </c>
      <c r="B120" t="s">
        <v>13</v>
      </c>
      <c r="C120">
        <v>67251</v>
      </c>
      <c r="D120" t="s">
        <v>14</v>
      </c>
      <c r="E120" s="7">
        <v>1325.91</v>
      </c>
      <c r="F120" t="s">
        <v>15</v>
      </c>
      <c r="G120" s="10" t="s">
        <v>15</v>
      </c>
      <c r="H120" s="10" t="s">
        <v>15</v>
      </c>
      <c r="I120" s="10" t="s">
        <v>15</v>
      </c>
    </row>
    <row r="121" spans="1:9" x14ac:dyDescent="0.25">
      <c r="A121" s="6">
        <v>44407</v>
      </c>
      <c r="B121" t="s">
        <v>13</v>
      </c>
      <c r="C121">
        <v>67252</v>
      </c>
      <c r="D121" t="s">
        <v>14</v>
      </c>
      <c r="E121" s="7">
        <v>1238.3399999999999</v>
      </c>
      <c r="F121" t="s">
        <v>15</v>
      </c>
      <c r="G121" s="10" t="s">
        <v>15</v>
      </c>
      <c r="H121" s="10" t="s">
        <v>15</v>
      </c>
      <c r="I121" s="10" t="s">
        <v>15</v>
      </c>
    </row>
    <row r="122" spans="1:9" x14ac:dyDescent="0.25">
      <c r="A122" s="6">
        <v>44407</v>
      </c>
      <c r="B122" t="s">
        <v>13</v>
      </c>
      <c r="C122">
        <v>67253</v>
      </c>
      <c r="D122" t="s">
        <v>14</v>
      </c>
      <c r="E122" s="7">
        <v>608.01</v>
      </c>
      <c r="F122" t="s">
        <v>15</v>
      </c>
      <c r="G122" s="10" t="s">
        <v>15</v>
      </c>
      <c r="H122" s="10" t="s">
        <v>15</v>
      </c>
      <c r="I122" s="10" t="s">
        <v>15</v>
      </c>
    </row>
    <row r="123" spans="1:9" x14ac:dyDescent="0.25">
      <c r="A123" s="6">
        <v>44407</v>
      </c>
      <c r="B123" t="s">
        <v>13</v>
      </c>
      <c r="C123">
        <v>67254</v>
      </c>
      <c r="D123" t="s">
        <v>14</v>
      </c>
      <c r="E123" s="7">
        <v>422</v>
      </c>
      <c r="F123" t="s">
        <v>15</v>
      </c>
      <c r="G123" s="10" t="s">
        <v>15</v>
      </c>
      <c r="H123" s="10" t="s">
        <v>15</v>
      </c>
      <c r="I123" s="10" t="s">
        <v>15</v>
      </c>
    </row>
    <row r="124" spans="1:9" x14ac:dyDescent="0.25">
      <c r="A124" s="6">
        <v>44421</v>
      </c>
      <c r="B124" t="s">
        <v>13</v>
      </c>
      <c r="C124">
        <v>67341</v>
      </c>
      <c r="D124" t="s">
        <v>14</v>
      </c>
      <c r="E124" s="7">
        <v>1563.95</v>
      </c>
      <c r="F124" t="s">
        <v>15</v>
      </c>
      <c r="G124" s="10" t="s">
        <v>15</v>
      </c>
      <c r="H124" s="10" t="s">
        <v>15</v>
      </c>
      <c r="I124" s="10" t="s">
        <v>15</v>
      </c>
    </row>
    <row r="125" spans="1:9" x14ac:dyDescent="0.25">
      <c r="A125" s="6">
        <v>44421</v>
      </c>
      <c r="B125" t="s">
        <v>13</v>
      </c>
      <c r="C125">
        <v>67342</v>
      </c>
      <c r="D125" t="s">
        <v>14</v>
      </c>
      <c r="E125" s="7">
        <v>1066.67</v>
      </c>
      <c r="F125" t="s">
        <v>15</v>
      </c>
      <c r="G125" s="10" t="s">
        <v>15</v>
      </c>
      <c r="H125" s="10" t="s">
        <v>15</v>
      </c>
      <c r="I125" s="10" t="s">
        <v>15</v>
      </c>
    </row>
    <row r="126" spans="1:9" x14ac:dyDescent="0.25">
      <c r="A126" s="6">
        <v>44421</v>
      </c>
      <c r="B126" t="s">
        <v>13</v>
      </c>
      <c r="C126">
        <v>67343</v>
      </c>
      <c r="D126" t="s">
        <v>14</v>
      </c>
      <c r="E126" s="7">
        <v>1243.8399999999999</v>
      </c>
      <c r="F126" t="s">
        <v>15</v>
      </c>
      <c r="G126" s="10" t="s">
        <v>15</v>
      </c>
      <c r="H126" s="10" t="s">
        <v>15</v>
      </c>
      <c r="I126" s="10" t="s">
        <v>15</v>
      </c>
    </row>
    <row r="127" spans="1:9" x14ac:dyDescent="0.25">
      <c r="A127" s="6">
        <v>44421</v>
      </c>
      <c r="B127" t="s">
        <v>13</v>
      </c>
      <c r="C127">
        <v>67344</v>
      </c>
      <c r="D127" t="s">
        <v>14</v>
      </c>
      <c r="E127" s="7">
        <v>770</v>
      </c>
      <c r="F127" t="s">
        <v>15</v>
      </c>
      <c r="G127" s="10" t="s">
        <v>15</v>
      </c>
      <c r="H127" s="10" t="s">
        <v>15</v>
      </c>
      <c r="I127" s="10" t="s">
        <v>15</v>
      </c>
    </row>
    <row r="128" spans="1:9" x14ac:dyDescent="0.25">
      <c r="A128" s="6">
        <v>44421</v>
      </c>
      <c r="B128" t="s">
        <v>13</v>
      </c>
      <c r="C128">
        <v>67345</v>
      </c>
      <c r="D128" t="s">
        <v>14</v>
      </c>
      <c r="E128" s="7">
        <v>633.33000000000004</v>
      </c>
      <c r="F128" t="s">
        <v>15</v>
      </c>
      <c r="G128" s="10" t="s">
        <v>15</v>
      </c>
      <c r="H128" s="10" t="s">
        <v>15</v>
      </c>
      <c r="I128" s="10" t="s">
        <v>15</v>
      </c>
    </row>
    <row r="129" spans="1:9" x14ac:dyDescent="0.25">
      <c r="A129" s="6">
        <v>44421</v>
      </c>
      <c r="B129" t="s">
        <v>13</v>
      </c>
      <c r="C129">
        <v>67346</v>
      </c>
      <c r="D129" t="s">
        <v>14</v>
      </c>
      <c r="E129" s="7">
        <v>226.42</v>
      </c>
      <c r="F129" t="s">
        <v>15</v>
      </c>
      <c r="G129" s="10" t="s">
        <v>15</v>
      </c>
      <c r="H129" s="10" t="s">
        <v>15</v>
      </c>
      <c r="I129" s="10" t="s">
        <v>15</v>
      </c>
    </row>
    <row r="130" spans="1:9" x14ac:dyDescent="0.25">
      <c r="A130" s="6">
        <v>44435</v>
      </c>
      <c r="B130" t="s">
        <v>13</v>
      </c>
      <c r="C130">
        <v>67449</v>
      </c>
      <c r="D130" t="s">
        <v>14</v>
      </c>
      <c r="E130" s="7">
        <v>1789.49</v>
      </c>
      <c r="F130" t="s">
        <v>15</v>
      </c>
      <c r="G130" s="10" t="s">
        <v>15</v>
      </c>
      <c r="H130" s="10" t="s">
        <v>15</v>
      </c>
      <c r="I130" s="10" t="s">
        <v>15</v>
      </c>
    </row>
    <row r="131" spans="1:9" x14ac:dyDescent="0.25">
      <c r="A131" s="6">
        <v>44435</v>
      </c>
      <c r="B131" t="s">
        <v>13</v>
      </c>
      <c r="C131">
        <v>67450</v>
      </c>
      <c r="D131" t="s">
        <v>14</v>
      </c>
      <c r="E131" s="7">
        <v>1126.82</v>
      </c>
      <c r="F131" t="s">
        <v>15</v>
      </c>
      <c r="G131" s="10" t="s">
        <v>15</v>
      </c>
      <c r="H131" s="10" t="s">
        <v>15</v>
      </c>
      <c r="I131" s="10" t="s">
        <v>15</v>
      </c>
    </row>
    <row r="132" spans="1:9" x14ac:dyDescent="0.25">
      <c r="A132" s="6">
        <v>44435</v>
      </c>
      <c r="B132" t="s">
        <v>13</v>
      </c>
      <c r="C132">
        <v>67451</v>
      </c>
      <c r="D132" t="s">
        <v>14</v>
      </c>
      <c r="E132" s="7">
        <v>1208.1099999999999</v>
      </c>
      <c r="F132" t="s">
        <v>15</v>
      </c>
      <c r="G132" s="10" t="s">
        <v>15</v>
      </c>
      <c r="H132" s="10" t="s">
        <v>15</v>
      </c>
      <c r="I132" s="10" t="s">
        <v>15</v>
      </c>
    </row>
    <row r="133" spans="1:9" x14ac:dyDescent="0.25">
      <c r="A133" s="6">
        <v>44435</v>
      </c>
      <c r="B133" t="s">
        <v>13</v>
      </c>
      <c r="C133">
        <v>67452</v>
      </c>
      <c r="D133" t="s">
        <v>14</v>
      </c>
      <c r="E133" s="7">
        <v>713.61</v>
      </c>
      <c r="F133" t="s">
        <v>15</v>
      </c>
      <c r="G133" s="10" t="s">
        <v>15</v>
      </c>
      <c r="H133" s="10" t="s">
        <v>15</v>
      </c>
      <c r="I133" s="10" t="s">
        <v>15</v>
      </c>
    </row>
    <row r="134" spans="1:9" x14ac:dyDescent="0.25">
      <c r="A134" s="6">
        <v>44435</v>
      </c>
      <c r="B134" t="s">
        <v>13</v>
      </c>
      <c r="C134">
        <v>67453</v>
      </c>
      <c r="D134" t="s">
        <v>14</v>
      </c>
      <c r="E134" s="7">
        <v>352.41</v>
      </c>
      <c r="F134" t="s">
        <v>15</v>
      </c>
      <c r="G134" s="10" t="s">
        <v>15</v>
      </c>
      <c r="H134" s="10" t="s">
        <v>15</v>
      </c>
      <c r="I134" s="10" t="s">
        <v>15</v>
      </c>
    </row>
    <row r="135" spans="1:9" x14ac:dyDescent="0.25">
      <c r="A135" s="6">
        <v>44435</v>
      </c>
      <c r="B135" t="s">
        <v>13</v>
      </c>
      <c r="C135">
        <v>67454</v>
      </c>
      <c r="D135" t="s">
        <v>14</v>
      </c>
      <c r="E135" s="7">
        <v>218.6</v>
      </c>
      <c r="F135" t="s">
        <v>15</v>
      </c>
      <c r="G135" s="10" t="s">
        <v>15</v>
      </c>
      <c r="H135" s="10" t="s">
        <v>15</v>
      </c>
      <c r="I135" s="10" t="s">
        <v>15</v>
      </c>
    </row>
    <row r="136" spans="1:9" x14ac:dyDescent="0.25">
      <c r="A136" s="6">
        <v>44449</v>
      </c>
      <c r="B136" t="s">
        <v>13</v>
      </c>
      <c r="C136">
        <v>67564</v>
      </c>
      <c r="D136" t="s">
        <v>14</v>
      </c>
      <c r="E136" s="7">
        <v>915.59</v>
      </c>
      <c r="F136" t="s">
        <v>15</v>
      </c>
      <c r="G136" s="10" t="s">
        <v>15</v>
      </c>
      <c r="H136" s="10" t="s">
        <v>15</v>
      </c>
      <c r="I136" s="10" t="s">
        <v>15</v>
      </c>
    </row>
    <row r="137" spans="1:9" x14ac:dyDescent="0.25">
      <c r="A137" s="6">
        <v>44449</v>
      </c>
      <c r="B137" t="s">
        <v>13</v>
      </c>
      <c r="C137">
        <v>67565</v>
      </c>
      <c r="D137" t="s">
        <v>14</v>
      </c>
      <c r="E137" s="7">
        <v>1673.83</v>
      </c>
      <c r="F137" t="s">
        <v>15</v>
      </c>
      <c r="G137" s="10" t="s">
        <v>15</v>
      </c>
      <c r="H137" s="10" t="s">
        <v>15</v>
      </c>
      <c r="I137" s="10" t="s">
        <v>15</v>
      </c>
    </row>
    <row r="138" spans="1:9" x14ac:dyDescent="0.25">
      <c r="A138" s="6">
        <v>44449</v>
      </c>
      <c r="B138" t="s">
        <v>13</v>
      </c>
      <c r="C138">
        <v>67566</v>
      </c>
      <c r="D138" t="s">
        <v>14</v>
      </c>
      <c r="E138" s="7">
        <v>1117.72</v>
      </c>
      <c r="F138" t="s">
        <v>15</v>
      </c>
      <c r="G138" s="10" t="s">
        <v>15</v>
      </c>
      <c r="H138" s="10" t="s">
        <v>15</v>
      </c>
      <c r="I138" s="10" t="s">
        <v>15</v>
      </c>
    </row>
    <row r="139" spans="1:9" x14ac:dyDescent="0.25">
      <c r="A139" s="6">
        <v>44449</v>
      </c>
      <c r="B139" t="s">
        <v>13</v>
      </c>
      <c r="C139">
        <v>67567</v>
      </c>
      <c r="D139" t="s">
        <v>14</v>
      </c>
      <c r="E139" s="7">
        <v>1179.51</v>
      </c>
      <c r="F139" t="s">
        <v>15</v>
      </c>
      <c r="G139" s="10" t="s">
        <v>15</v>
      </c>
      <c r="H139" s="10" t="s">
        <v>15</v>
      </c>
      <c r="I139" s="10" t="s">
        <v>15</v>
      </c>
    </row>
    <row r="140" spans="1:9" x14ac:dyDescent="0.25">
      <c r="A140" s="6">
        <v>44449</v>
      </c>
      <c r="B140" t="s">
        <v>13</v>
      </c>
      <c r="C140">
        <v>67568</v>
      </c>
      <c r="D140" t="s">
        <v>14</v>
      </c>
      <c r="E140" s="7">
        <v>845.19</v>
      </c>
      <c r="F140" t="s">
        <v>15</v>
      </c>
      <c r="G140" s="10" t="s">
        <v>15</v>
      </c>
      <c r="H140" s="10" t="s">
        <v>15</v>
      </c>
      <c r="I140" s="10" t="s">
        <v>15</v>
      </c>
    </row>
    <row r="141" spans="1:9" x14ac:dyDescent="0.25">
      <c r="A141" s="6">
        <v>44449</v>
      </c>
      <c r="B141" t="s">
        <v>13</v>
      </c>
      <c r="C141">
        <v>67569</v>
      </c>
      <c r="D141" t="s">
        <v>14</v>
      </c>
      <c r="E141" s="7">
        <v>369.71</v>
      </c>
      <c r="F141" t="s">
        <v>15</v>
      </c>
      <c r="G141" s="10" t="s">
        <v>15</v>
      </c>
      <c r="H141" s="10" t="s">
        <v>15</v>
      </c>
      <c r="I141" s="10" t="s">
        <v>15</v>
      </c>
    </row>
    <row r="142" spans="1:9" x14ac:dyDescent="0.25">
      <c r="A142" s="6">
        <v>44449</v>
      </c>
      <c r="B142" t="s">
        <v>13</v>
      </c>
      <c r="C142">
        <v>67570</v>
      </c>
      <c r="D142" t="s">
        <v>14</v>
      </c>
      <c r="E142" s="7">
        <v>61.42</v>
      </c>
      <c r="F142" t="s">
        <v>15</v>
      </c>
      <c r="G142" s="10" t="s">
        <v>15</v>
      </c>
      <c r="H142" s="10" t="s">
        <v>15</v>
      </c>
      <c r="I142" s="10" t="s">
        <v>15</v>
      </c>
    </row>
    <row r="143" spans="1:9" x14ac:dyDescent="0.25">
      <c r="A143" s="6">
        <v>44463</v>
      </c>
      <c r="B143" t="s">
        <v>13</v>
      </c>
      <c r="C143">
        <v>67663</v>
      </c>
      <c r="D143" t="s">
        <v>14</v>
      </c>
      <c r="E143" s="7">
        <v>1635.27</v>
      </c>
      <c r="F143" t="s">
        <v>15</v>
      </c>
      <c r="G143" s="10" t="s">
        <v>15</v>
      </c>
      <c r="H143" s="10" t="s">
        <v>15</v>
      </c>
      <c r="I143" s="10" t="s">
        <v>15</v>
      </c>
    </row>
    <row r="144" spans="1:9" x14ac:dyDescent="0.25">
      <c r="A144" s="6">
        <v>44463</v>
      </c>
      <c r="B144" t="s">
        <v>13</v>
      </c>
      <c r="C144">
        <v>67664</v>
      </c>
      <c r="D144" t="s">
        <v>14</v>
      </c>
      <c r="E144" s="7">
        <v>1037.51</v>
      </c>
      <c r="F144" t="s">
        <v>15</v>
      </c>
      <c r="G144" s="10" t="s">
        <v>15</v>
      </c>
      <c r="H144" s="10" t="s">
        <v>15</v>
      </c>
      <c r="I144" s="10" t="s">
        <v>15</v>
      </c>
    </row>
    <row r="145" spans="1:9" x14ac:dyDescent="0.25">
      <c r="A145" s="6">
        <v>44463</v>
      </c>
      <c r="B145" t="s">
        <v>13</v>
      </c>
      <c r="C145">
        <v>67665</v>
      </c>
      <c r="D145" t="s">
        <v>14</v>
      </c>
      <c r="E145" s="7">
        <v>1158.43</v>
      </c>
      <c r="F145" t="s">
        <v>15</v>
      </c>
      <c r="G145" s="10" t="s">
        <v>15</v>
      </c>
      <c r="H145" s="10" t="s">
        <v>15</v>
      </c>
      <c r="I145" s="10" t="s">
        <v>15</v>
      </c>
    </row>
    <row r="146" spans="1:9" x14ac:dyDescent="0.25">
      <c r="A146" s="6">
        <v>44463</v>
      </c>
      <c r="B146" t="s">
        <v>13</v>
      </c>
      <c r="C146">
        <v>67666</v>
      </c>
      <c r="D146" t="s">
        <v>14</v>
      </c>
      <c r="E146" s="7">
        <v>812.29</v>
      </c>
      <c r="F146" t="s">
        <v>15</v>
      </c>
      <c r="G146" s="10" t="s">
        <v>15</v>
      </c>
      <c r="H146" s="10" t="s">
        <v>15</v>
      </c>
      <c r="I146" s="10" t="s">
        <v>15</v>
      </c>
    </row>
    <row r="147" spans="1:9" x14ac:dyDescent="0.25">
      <c r="A147" s="6">
        <v>44463</v>
      </c>
      <c r="B147" t="s">
        <v>13</v>
      </c>
      <c r="C147">
        <v>67667</v>
      </c>
      <c r="D147" t="s">
        <v>14</v>
      </c>
      <c r="E147" s="7">
        <v>144.88999999999999</v>
      </c>
      <c r="F147" t="s">
        <v>15</v>
      </c>
      <c r="G147" s="10" t="s">
        <v>15</v>
      </c>
      <c r="H147" s="10" t="s">
        <v>15</v>
      </c>
      <c r="I147" s="10" t="s">
        <v>15</v>
      </c>
    </row>
    <row r="148" spans="1:9" x14ac:dyDescent="0.25">
      <c r="A148" s="6">
        <v>44112</v>
      </c>
      <c r="B148" t="s">
        <v>16</v>
      </c>
      <c r="D148" t="s">
        <v>17</v>
      </c>
      <c r="E148" s="7">
        <v>74963.88</v>
      </c>
      <c r="F148" t="s">
        <v>15</v>
      </c>
      <c r="G148" s="10" t="s">
        <v>15</v>
      </c>
      <c r="H148" s="10" t="s">
        <v>15</v>
      </c>
      <c r="I148" s="10" t="s">
        <v>15</v>
      </c>
    </row>
    <row r="149" spans="1:9" x14ac:dyDescent="0.25">
      <c r="A149" s="6">
        <v>44126</v>
      </c>
      <c r="B149" t="s">
        <v>16</v>
      </c>
      <c r="D149" t="s">
        <v>17</v>
      </c>
      <c r="E149" s="7">
        <v>78476.94</v>
      </c>
      <c r="F149" t="s">
        <v>15</v>
      </c>
      <c r="G149" s="10" t="s">
        <v>15</v>
      </c>
      <c r="H149" s="10" t="s">
        <v>15</v>
      </c>
      <c r="I149" s="10" t="s">
        <v>15</v>
      </c>
    </row>
    <row r="150" spans="1:9" x14ac:dyDescent="0.25">
      <c r="A150" s="6">
        <v>44140</v>
      </c>
      <c r="B150" t="s">
        <v>16</v>
      </c>
      <c r="D150" t="s">
        <v>17</v>
      </c>
      <c r="E150" s="7">
        <v>75848.479999999996</v>
      </c>
      <c r="F150" t="s">
        <v>15</v>
      </c>
      <c r="G150" s="10" t="s">
        <v>15</v>
      </c>
      <c r="H150" s="10" t="s">
        <v>15</v>
      </c>
      <c r="I150" s="10" t="s">
        <v>15</v>
      </c>
    </row>
    <row r="151" spans="1:9" x14ac:dyDescent="0.25">
      <c r="A151" s="6">
        <v>44154</v>
      </c>
      <c r="B151" t="s">
        <v>16</v>
      </c>
      <c r="D151" t="s">
        <v>17</v>
      </c>
      <c r="E151" s="7">
        <v>80749.89</v>
      </c>
      <c r="F151" t="s">
        <v>15</v>
      </c>
      <c r="G151" s="10" t="s">
        <v>15</v>
      </c>
      <c r="H151" s="10" t="s">
        <v>15</v>
      </c>
      <c r="I151" s="10" t="s">
        <v>15</v>
      </c>
    </row>
    <row r="152" spans="1:9" x14ac:dyDescent="0.25">
      <c r="A152" s="6">
        <v>44168</v>
      </c>
      <c r="B152" t="s">
        <v>16</v>
      </c>
      <c r="D152" t="s">
        <v>17</v>
      </c>
      <c r="E152" s="7">
        <v>83173.289999999994</v>
      </c>
      <c r="F152" t="s">
        <v>15</v>
      </c>
      <c r="G152" s="10" t="s">
        <v>15</v>
      </c>
      <c r="H152" s="10" t="s">
        <v>15</v>
      </c>
      <c r="I152" s="10" t="s">
        <v>15</v>
      </c>
    </row>
    <row r="153" spans="1:9" x14ac:dyDescent="0.25">
      <c r="A153" s="6">
        <v>44182</v>
      </c>
      <c r="B153" t="s">
        <v>16</v>
      </c>
      <c r="D153" t="s">
        <v>17</v>
      </c>
      <c r="E153" s="7">
        <v>79543.070000000007</v>
      </c>
      <c r="F153" t="s">
        <v>15</v>
      </c>
      <c r="G153" s="10" t="s">
        <v>15</v>
      </c>
      <c r="H153" s="10" t="s">
        <v>15</v>
      </c>
      <c r="I153" s="10" t="s">
        <v>15</v>
      </c>
    </row>
    <row r="154" spans="1:9" x14ac:dyDescent="0.25">
      <c r="A154" s="6">
        <v>44195</v>
      </c>
      <c r="B154" t="s">
        <v>16</v>
      </c>
      <c r="D154" t="s">
        <v>17</v>
      </c>
      <c r="E154" s="7">
        <v>86469.37</v>
      </c>
      <c r="F154" t="s">
        <v>15</v>
      </c>
      <c r="G154" s="10" t="s">
        <v>15</v>
      </c>
      <c r="H154" s="10" t="s">
        <v>15</v>
      </c>
      <c r="I154" s="10" t="s">
        <v>15</v>
      </c>
    </row>
    <row r="155" spans="1:9" x14ac:dyDescent="0.25">
      <c r="A155" s="6">
        <v>44209</v>
      </c>
      <c r="B155" t="s">
        <v>16</v>
      </c>
      <c r="D155" t="s">
        <v>17</v>
      </c>
      <c r="E155" s="7">
        <v>1685.58</v>
      </c>
      <c r="F155" t="s">
        <v>15</v>
      </c>
      <c r="G155" s="10" t="s">
        <v>15</v>
      </c>
      <c r="H155" s="10" t="s">
        <v>15</v>
      </c>
      <c r="I155" s="10" t="s">
        <v>15</v>
      </c>
    </row>
    <row r="156" spans="1:9" x14ac:dyDescent="0.25">
      <c r="A156" s="6">
        <v>44210</v>
      </c>
      <c r="B156" t="s">
        <v>16</v>
      </c>
      <c r="D156" t="s">
        <v>17</v>
      </c>
      <c r="E156" s="7">
        <v>81514.55</v>
      </c>
      <c r="F156" t="s">
        <v>15</v>
      </c>
      <c r="G156" s="10" t="s">
        <v>15</v>
      </c>
      <c r="H156" s="10" t="s">
        <v>15</v>
      </c>
      <c r="I156" s="10" t="s">
        <v>15</v>
      </c>
    </row>
    <row r="157" spans="1:9" x14ac:dyDescent="0.25">
      <c r="A157" s="6">
        <v>44210</v>
      </c>
      <c r="B157" t="s">
        <v>16</v>
      </c>
      <c r="C157">
        <v>1</v>
      </c>
      <c r="D157" t="s">
        <v>17</v>
      </c>
      <c r="E157" s="7">
        <v>905.57</v>
      </c>
      <c r="F157" t="s">
        <v>15</v>
      </c>
      <c r="G157" s="10" t="s">
        <v>15</v>
      </c>
      <c r="H157" s="10" t="s">
        <v>15</v>
      </c>
      <c r="I157" s="10" t="s">
        <v>15</v>
      </c>
    </row>
    <row r="158" spans="1:9" x14ac:dyDescent="0.25">
      <c r="A158" s="6">
        <v>44224</v>
      </c>
      <c r="B158" t="s">
        <v>16</v>
      </c>
      <c r="D158" t="s">
        <v>17</v>
      </c>
      <c r="E158" s="7">
        <v>86768.36</v>
      </c>
      <c r="F158" t="s">
        <v>15</v>
      </c>
      <c r="G158" s="10" t="s">
        <v>15</v>
      </c>
      <c r="H158" s="10" t="s">
        <v>15</v>
      </c>
      <c r="I158" s="10" t="s">
        <v>15</v>
      </c>
    </row>
    <row r="159" spans="1:9" x14ac:dyDescent="0.25">
      <c r="A159" s="6">
        <v>44238</v>
      </c>
      <c r="B159" t="s">
        <v>16</v>
      </c>
      <c r="D159" t="s">
        <v>17</v>
      </c>
      <c r="E159" s="7">
        <v>76453.88</v>
      </c>
      <c r="F159" t="s">
        <v>15</v>
      </c>
      <c r="G159" s="10" t="s">
        <v>15</v>
      </c>
      <c r="H159" s="10" t="s">
        <v>15</v>
      </c>
      <c r="I159" s="10" t="s">
        <v>15</v>
      </c>
    </row>
    <row r="160" spans="1:9" x14ac:dyDescent="0.25">
      <c r="A160" s="6">
        <v>44252</v>
      </c>
      <c r="B160" t="s">
        <v>16</v>
      </c>
      <c r="D160" t="s">
        <v>17</v>
      </c>
      <c r="E160" s="7">
        <v>77631.289999999994</v>
      </c>
      <c r="F160" t="s">
        <v>15</v>
      </c>
      <c r="G160" s="10" t="s">
        <v>15</v>
      </c>
      <c r="H160" s="10" t="s">
        <v>15</v>
      </c>
      <c r="I160" s="10" t="s">
        <v>15</v>
      </c>
    </row>
    <row r="161" spans="1:9" x14ac:dyDescent="0.25">
      <c r="A161" s="6">
        <v>44266</v>
      </c>
      <c r="B161" t="s">
        <v>16</v>
      </c>
      <c r="D161" t="s">
        <v>17</v>
      </c>
      <c r="E161" s="7">
        <v>76979.72</v>
      </c>
      <c r="F161" t="s">
        <v>15</v>
      </c>
      <c r="G161" s="10" t="s">
        <v>15</v>
      </c>
      <c r="H161" s="10" t="s">
        <v>15</v>
      </c>
      <c r="I161" s="10" t="s">
        <v>15</v>
      </c>
    </row>
    <row r="162" spans="1:9" x14ac:dyDescent="0.25">
      <c r="A162" s="6">
        <v>44280</v>
      </c>
      <c r="B162" t="s">
        <v>16</v>
      </c>
      <c r="D162" t="s">
        <v>17</v>
      </c>
      <c r="E162" s="7">
        <v>77196.08</v>
      </c>
      <c r="F162" t="s">
        <v>15</v>
      </c>
      <c r="G162" s="10" t="s">
        <v>15</v>
      </c>
      <c r="H162" s="10" t="s">
        <v>15</v>
      </c>
      <c r="I162" s="10" t="s">
        <v>15</v>
      </c>
    </row>
    <row r="163" spans="1:9" x14ac:dyDescent="0.25">
      <c r="A163" s="6">
        <v>44294</v>
      </c>
      <c r="B163" t="s">
        <v>16</v>
      </c>
      <c r="D163" t="s">
        <v>17</v>
      </c>
      <c r="E163" s="7">
        <v>81550.17</v>
      </c>
      <c r="F163" t="s">
        <v>15</v>
      </c>
      <c r="G163" s="10" t="s">
        <v>15</v>
      </c>
      <c r="H163" s="10" t="s">
        <v>15</v>
      </c>
      <c r="I163" s="10" t="s">
        <v>15</v>
      </c>
    </row>
    <row r="164" spans="1:9" x14ac:dyDescent="0.25">
      <c r="A164" s="6">
        <v>44308</v>
      </c>
      <c r="B164" t="s">
        <v>16</v>
      </c>
      <c r="D164" t="s">
        <v>17</v>
      </c>
      <c r="E164" s="7">
        <v>78540.210000000006</v>
      </c>
      <c r="F164" t="s">
        <v>15</v>
      </c>
      <c r="G164" s="10" t="s">
        <v>15</v>
      </c>
      <c r="H164" s="10" t="s">
        <v>15</v>
      </c>
      <c r="I164" s="10" t="s">
        <v>15</v>
      </c>
    </row>
    <row r="165" spans="1:9" x14ac:dyDescent="0.25">
      <c r="A165" s="6">
        <v>44322</v>
      </c>
      <c r="B165" t="s">
        <v>16</v>
      </c>
      <c r="D165" t="s">
        <v>17</v>
      </c>
      <c r="E165" s="7">
        <v>79499.39</v>
      </c>
      <c r="F165" t="s">
        <v>15</v>
      </c>
      <c r="G165" s="10" t="s">
        <v>15</v>
      </c>
      <c r="H165" s="10" t="s">
        <v>15</v>
      </c>
      <c r="I165" s="10" t="s">
        <v>15</v>
      </c>
    </row>
    <row r="166" spans="1:9" x14ac:dyDescent="0.25">
      <c r="A166" s="6">
        <v>44336</v>
      </c>
      <c r="B166" t="s">
        <v>16</v>
      </c>
      <c r="D166" t="s">
        <v>17</v>
      </c>
      <c r="E166" s="7">
        <v>82129.2</v>
      </c>
      <c r="F166" t="s">
        <v>15</v>
      </c>
      <c r="G166" s="10" t="s">
        <v>15</v>
      </c>
      <c r="H166" s="10" t="s">
        <v>15</v>
      </c>
      <c r="I166" s="10" t="s">
        <v>15</v>
      </c>
    </row>
    <row r="167" spans="1:9" x14ac:dyDescent="0.25">
      <c r="A167" s="6">
        <v>44336</v>
      </c>
      <c r="B167" t="s">
        <v>16</v>
      </c>
      <c r="C167">
        <v>65659</v>
      </c>
      <c r="D167" t="s">
        <v>14</v>
      </c>
      <c r="E167" s="7">
        <v>-1965.08</v>
      </c>
      <c r="F167" t="s">
        <v>15</v>
      </c>
      <c r="G167" s="10" t="s">
        <v>15</v>
      </c>
      <c r="H167" s="10" t="s">
        <v>15</v>
      </c>
      <c r="I167" s="10" t="s">
        <v>15</v>
      </c>
    </row>
    <row r="168" spans="1:9" x14ac:dyDescent="0.25">
      <c r="A168" s="6">
        <v>44350</v>
      </c>
      <c r="B168" t="s">
        <v>16</v>
      </c>
      <c r="D168" t="s">
        <v>17</v>
      </c>
      <c r="E168" s="7">
        <v>81701.399999999994</v>
      </c>
      <c r="F168" t="s">
        <v>15</v>
      </c>
      <c r="G168" s="10" t="s">
        <v>15</v>
      </c>
      <c r="H168" s="10" t="s">
        <v>15</v>
      </c>
      <c r="I168" s="10" t="s">
        <v>15</v>
      </c>
    </row>
    <row r="169" spans="1:9" x14ac:dyDescent="0.25">
      <c r="A169" s="6">
        <v>44364</v>
      </c>
      <c r="B169" t="s">
        <v>16</v>
      </c>
      <c r="D169" t="s">
        <v>17</v>
      </c>
      <c r="E169" s="7">
        <v>86552.63</v>
      </c>
      <c r="F169" t="s">
        <v>15</v>
      </c>
      <c r="G169" s="10" t="s">
        <v>15</v>
      </c>
      <c r="H169" s="10" t="s">
        <v>15</v>
      </c>
      <c r="I169" s="10" t="s">
        <v>15</v>
      </c>
    </row>
    <row r="170" spans="1:9" x14ac:dyDescent="0.25">
      <c r="A170" s="6">
        <v>44378</v>
      </c>
      <c r="B170" t="s">
        <v>16</v>
      </c>
      <c r="D170" t="s">
        <v>17</v>
      </c>
      <c r="E170" s="7">
        <v>86133.16</v>
      </c>
      <c r="F170" t="s">
        <v>15</v>
      </c>
      <c r="G170" s="10" t="s">
        <v>15</v>
      </c>
      <c r="H170" s="10" t="s">
        <v>15</v>
      </c>
      <c r="I170" s="10" t="s">
        <v>15</v>
      </c>
    </row>
    <row r="171" spans="1:9" x14ac:dyDescent="0.25">
      <c r="A171" s="6">
        <v>44392</v>
      </c>
      <c r="B171" t="s">
        <v>16</v>
      </c>
      <c r="D171" t="s">
        <v>17</v>
      </c>
      <c r="E171" s="7">
        <v>86252.69</v>
      </c>
      <c r="F171" t="s">
        <v>15</v>
      </c>
      <c r="G171" s="10" t="s">
        <v>15</v>
      </c>
      <c r="H171" s="10" t="s">
        <v>15</v>
      </c>
      <c r="I171" s="10" t="s">
        <v>15</v>
      </c>
    </row>
    <row r="172" spans="1:9" x14ac:dyDescent="0.25">
      <c r="A172" s="6">
        <v>44406</v>
      </c>
      <c r="B172" t="s">
        <v>16</v>
      </c>
      <c r="D172" t="s">
        <v>17</v>
      </c>
      <c r="E172" s="7">
        <v>95612.5</v>
      </c>
      <c r="F172" t="s">
        <v>15</v>
      </c>
      <c r="G172" s="10" t="s">
        <v>15</v>
      </c>
      <c r="H172" s="10" t="s">
        <v>15</v>
      </c>
      <c r="I172" s="10" t="s">
        <v>15</v>
      </c>
    </row>
    <row r="173" spans="1:9" x14ac:dyDescent="0.25">
      <c r="A173" s="6">
        <v>44420</v>
      </c>
      <c r="B173" t="s">
        <v>16</v>
      </c>
      <c r="D173" t="s">
        <v>17</v>
      </c>
      <c r="E173" s="7">
        <v>92279.38</v>
      </c>
      <c r="F173" t="s">
        <v>15</v>
      </c>
      <c r="G173" s="10" t="s">
        <v>15</v>
      </c>
      <c r="H173" s="10" t="s">
        <v>15</v>
      </c>
      <c r="I173" s="10" t="s">
        <v>15</v>
      </c>
    </row>
    <row r="174" spans="1:9" x14ac:dyDescent="0.25">
      <c r="A174" s="6">
        <v>44434</v>
      </c>
      <c r="B174" t="s">
        <v>16</v>
      </c>
      <c r="D174" t="s">
        <v>17</v>
      </c>
      <c r="E174" s="7">
        <v>90940.23</v>
      </c>
      <c r="F174" t="s">
        <v>15</v>
      </c>
      <c r="G174" s="10" t="s">
        <v>15</v>
      </c>
      <c r="H174" s="10" t="s">
        <v>15</v>
      </c>
      <c r="I174" s="10" t="s">
        <v>15</v>
      </c>
    </row>
    <row r="175" spans="1:9" x14ac:dyDescent="0.25">
      <c r="A175" s="6">
        <v>44448</v>
      </c>
      <c r="B175" t="s">
        <v>16</v>
      </c>
      <c r="D175" t="s">
        <v>17</v>
      </c>
      <c r="E175" s="7">
        <v>88691.95</v>
      </c>
      <c r="F175" t="s">
        <v>15</v>
      </c>
      <c r="G175" s="10" t="s">
        <v>15</v>
      </c>
      <c r="H175" s="10" t="s">
        <v>15</v>
      </c>
      <c r="I175" s="10" t="s">
        <v>15</v>
      </c>
    </row>
    <row r="176" spans="1:9" x14ac:dyDescent="0.25">
      <c r="A176" s="6">
        <v>44456</v>
      </c>
      <c r="B176" t="s">
        <v>16</v>
      </c>
      <c r="D176" t="s">
        <v>17</v>
      </c>
      <c r="E176" s="7">
        <v>1962.98</v>
      </c>
      <c r="F176" t="s">
        <v>15</v>
      </c>
      <c r="G176" s="10" t="s">
        <v>15</v>
      </c>
      <c r="H176" s="10" t="s">
        <v>15</v>
      </c>
      <c r="I176" s="10" t="s">
        <v>15</v>
      </c>
    </row>
    <row r="177" spans="1:9" x14ac:dyDescent="0.25">
      <c r="A177" s="6">
        <v>44462</v>
      </c>
      <c r="B177" t="s">
        <v>16</v>
      </c>
      <c r="D177" t="s">
        <v>17</v>
      </c>
      <c r="E177" s="7">
        <v>86049.94</v>
      </c>
      <c r="F177" t="s">
        <v>15</v>
      </c>
      <c r="G177" s="10" t="s">
        <v>15</v>
      </c>
      <c r="H177" s="10" t="s">
        <v>15</v>
      </c>
      <c r="I177" s="10" t="s">
        <v>15</v>
      </c>
    </row>
    <row r="178" spans="1:9" x14ac:dyDescent="0.25">
      <c r="A178" s="6">
        <v>44459</v>
      </c>
      <c r="B178" t="s">
        <v>976</v>
      </c>
      <c r="C178">
        <v>1</v>
      </c>
      <c r="D178" t="s">
        <v>977</v>
      </c>
      <c r="E178" s="7">
        <v>2500</v>
      </c>
      <c r="F178" t="s">
        <v>20</v>
      </c>
      <c r="G178" s="10" t="s">
        <v>21</v>
      </c>
      <c r="H178" t="str">
        <f>"INV-016861"</f>
        <v>INV-016861</v>
      </c>
      <c r="I178" t="str">
        <f>"HIGH PROFILE PROMOTIONS  INC"</f>
        <v>HIGH PROFILE PROMOTIONS  INC</v>
      </c>
    </row>
    <row r="179" spans="1:9" x14ac:dyDescent="0.25">
      <c r="A179" s="6">
        <v>44110</v>
      </c>
      <c r="B179" t="s">
        <v>18</v>
      </c>
      <c r="C179">
        <v>95</v>
      </c>
      <c r="D179" t="s">
        <v>19</v>
      </c>
      <c r="E179" s="7">
        <v>25428.639999999999</v>
      </c>
      <c r="F179" t="s">
        <v>20</v>
      </c>
      <c r="G179" s="10" t="s">
        <v>21</v>
      </c>
      <c r="H179" t="str">
        <f>"T1 202010068586"</f>
        <v>T1 202010068586</v>
      </c>
      <c r="I179" t="str">
        <f>"FED WITHHOLDINGS"</f>
        <v>FED WITHHOLDINGS</v>
      </c>
    </row>
    <row r="180" spans="1:9" x14ac:dyDescent="0.25">
      <c r="E180" s="7"/>
      <c r="F180" t="s">
        <v>20</v>
      </c>
      <c r="G180" s="10" t="s">
        <v>21</v>
      </c>
      <c r="H180" t="str">
        <f>"T3 202010068586"</f>
        <v>T3 202010068586</v>
      </c>
      <c r="I180" t="str">
        <f>"FICA WITHHOLDINGS"</f>
        <v>FICA WITHHOLDINGS</v>
      </c>
    </row>
    <row r="181" spans="1:9" x14ac:dyDescent="0.25">
      <c r="E181" s="7"/>
      <c r="F181" t="s">
        <v>20</v>
      </c>
      <c r="G181" s="10" t="s">
        <v>21</v>
      </c>
      <c r="H181" t="str">
        <f>"T4 202010068586"</f>
        <v>T4 202010068586</v>
      </c>
      <c r="I181" t="str">
        <f>"MEDICARE WITHHOLDINGS"</f>
        <v>MEDICARE WITHHOLDINGS</v>
      </c>
    </row>
    <row r="182" spans="1:9" x14ac:dyDescent="0.25">
      <c r="A182" s="6">
        <v>44117</v>
      </c>
      <c r="B182" t="s">
        <v>18</v>
      </c>
      <c r="C182">
        <v>96</v>
      </c>
      <c r="D182" t="s">
        <v>19</v>
      </c>
      <c r="E182" s="7">
        <v>2226.5300000000002</v>
      </c>
      <c r="F182" t="s">
        <v>20</v>
      </c>
      <c r="G182" s="10" t="s">
        <v>21</v>
      </c>
      <c r="H182" t="str">
        <f>"T1 202010138587"</f>
        <v>T1 202010138587</v>
      </c>
      <c r="I182" t="str">
        <f>"FED WITHHOLDINGS"</f>
        <v>FED WITHHOLDINGS</v>
      </c>
    </row>
    <row r="183" spans="1:9" x14ac:dyDescent="0.25">
      <c r="E183" s="7"/>
      <c r="F183" t="s">
        <v>20</v>
      </c>
      <c r="G183" s="10" t="s">
        <v>21</v>
      </c>
      <c r="H183" t="str">
        <f>"T3 202010138587"</f>
        <v>T3 202010138587</v>
      </c>
      <c r="I183" t="str">
        <f>"FICA WITHHOLDINGS"</f>
        <v>FICA WITHHOLDINGS</v>
      </c>
    </row>
    <row r="184" spans="1:9" x14ac:dyDescent="0.25">
      <c r="E184" s="7"/>
      <c r="F184" t="s">
        <v>20</v>
      </c>
      <c r="G184" s="10" t="s">
        <v>21</v>
      </c>
      <c r="H184" t="str">
        <f>"T4 202010138587"</f>
        <v>T4 202010138587</v>
      </c>
      <c r="I184" t="str">
        <f>"MEDICARE WITHHOLDINGS"</f>
        <v>MEDICARE WITHHOLDINGS</v>
      </c>
    </row>
    <row r="185" spans="1:9" x14ac:dyDescent="0.25">
      <c r="A185" s="6">
        <v>44126</v>
      </c>
      <c r="B185" t="s">
        <v>18</v>
      </c>
      <c r="C185">
        <v>97</v>
      </c>
      <c r="D185" t="s">
        <v>19</v>
      </c>
      <c r="E185" s="7">
        <v>27048.1</v>
      </c>
      <c r="F185" t="s">
        <v>20</v>
      </c>
      <c r="G185" s="10" t="s">
        <v>21</v>
      </c>
      <c r="H185" t="str">
        <f>"T1 202010208588"</f>
        <v>T1 202010208588</v>
      </c>
      <c r="I185" t="str">
        <f>"FED WITHHOLDINGS"</f>
        <v>FED WITHHOLDINGS</v>
      </c>
    </row>
    <row r="186" spans="1:9" x14ac:dyDescent="0.25">
      <c r="E186" s="7"/>
      <c r="F186" t="s">
        <v>20</v>
      </c>
      <c r="G186" s="10" t="s">
        <v>21</v>
      </c>
      <c r="H186" t="str">
        <f>"T3 202010208588"</f>
        <v>T3 202010208588</v>
      </c>
      <c r="I186" t="str">
        <f>"FICA WITHHOLDINGS"</f>
        <v>FICA WITHHOLDINGS</v>
      </c>
    </row>
    <row r="187" spans="1:9" x14ac:dyDescent="0.25">
      <c r="E187" s="7"/>
      <c r="F187" t="s">
        <v>20</v>
      </c>
      <c r="G187" s="10" t="s">
        <v>21</v>
      </c>
      <c r="H187" t="str">
        <f>"T4 202010208588"</f>
        <v>T4 202010208588</v>
      </c>
      <c r="I187" t="str">
        <f>"MEDICARE WITHHOLDINGS"</f>
        <v>MEDICARE WITHHOLDINGS</v>
      </c>
    </row>
    <row r="188" spans="1:9" x14ac:dyDescent="0.25">
      <c r="A188" s="6">
        <v>44152</v>
      </c>
      <c r="B188" t="s">
        <v>18</v>
      </c>
      <c r="C188">
        <v>98</v>
      </c>
      <c r="D188" t="s">
        <v>19</v>
      </c>
      <c r="E188" s="7">
        <v>25878.25</v>
      </c>
      <c r="F188" t="s">
        <v>20</v>
      </c>
      <c r="G188" s="10" t="s">
        <v>21</v>
      </c>
      <c r="H188" t="str">
        <f>"T1 202011038589"</f>
        <v>T1 202011038589</v>
      </c>
      <c r="I188" t="str">
        <f>"FED WITHHOLDINGS"</f>
        <v>FED WITHHOLDINGS</v>
      </c>
    </row>
    <row r="189" spans="1:9" x14ac:dyDescent="0.25">
      <c r="E189" s="7"/>
      <c r="F189" t="s">
        <v>20</v>
      </c>
      <c r="G189" s="10" t="s">
        <v>21</v>
      </c>
      <c r="H189" t="str">
        <f>"T3 202011038589"</f>
        <v>T3 202011038589</v>
      </c>
      <c r="I189" t="str">
        <f>"FICA WITHHOLDINGS"</f>
        <v>FICA WITHHOLDINGS</v>
      </c>
    </row>
    <row r="190" spans="1:9" x14ac:dyDescent="0.25">
      <c r="E190" s="7"/>
      <c r="F190" t="s">
        <v>20</v>
      </c>
      <c r="G190" s="10" t="s">
        <v>21</v>
      </c>
      <c r="H190" t="str">
        <f>"T4 202011038589"</f>
        <v>T4 202011038589</v>
      </c>
      <c r="I190" t="str">
        <f>"MEDICARE WITHHOLDINGS"</f>
        <v>MEDICARE WITHHOLDINGS</v>
      </c>
    </row>
    <row r="191" spans="1:9" x14ac:dyDescent="0.25">
      <c r="A191" s="6">
        <v>44152</v>
      </c>
      <c r="B191" t="s">
        <v>18</v>
      </c>
      <c r="C191">
        <v>99</v>
      </c>
      <c r="D191" t="s">
        <v>19</v>
      </c>
      <c r="E191" s="7">
        <v>27787.3</v>
      </c>
      <c r="F191" t="s">
        <v>20</v>
      </c>
      <c r="G191" s="10" t="s">
        <v>21</v>
      </c>
      <c r="H191" t="str">
        <f>"T1 202011178590"</f>
        <v>T1 202011178590</v>
      </c>
      <c r="I191" t="str">
        <f>"FED WITHHOLDINGS"</f>
        <v>FED WITHHOLDINGS</v>
      </c>
    </row>
    <row r="192" spans="1:9" x14ac:dyDescent="0.25">
      <c r="E192" s="7"/>
      <c r="F192" t="s">
        <v>20</v>
      </c>
      <c r="G192" s="10" t="s">
        <v>21</v>
      </c>
      <c r="H192" t="str">
        <f>"T3 202011178590"</f>
        <v>T3 202011178590</v>
      </c>
      <c r="I192" t="str">
        <f>"FICA WITHHOLDINGS"</f>
        <v>FICA WITHHOLDINGS</v>
      </c>
    </row>
    <row r="193" spans="1:9" x14ac:dyDescent="0.25">
      <c r="E193" s="7"/>
      <c r="F193" t="s">
        <v>20</v>
      </c>
      <c r="G193" s="10" t="s">
        <v>21</v>
      </c>
      <c r="H193" t="str">
        <f>"T4 202011178590"</f>
        <v>T4 202011178590</v>
      </c>
      <c r="I193" t="str">
        <f>"MEDICARE WITHHOLDINGS"</f>
        <v>MEDICARE WITHHOLDINGS</v>
      </c>
    </row>
    <row r="194" spans="1:9" x14ac:dyDescent="0.25">
      <c r="A194" s="6">
        <v>44166</v>
      </c>
      <c r="B194" t="s">
        <v>18</v>
      </c>
      <c r="C194">
        <v>100</v>
      </c>
      <c r="D194" t="s">
        <v>19</v>
      </c>
      <c r="E194" s="7">
        <v>29442.07</v>
      </c>
      <c r="F194" t="s">
        <v>20</v>
      </c>
      <c r="G194" s="10" t="s">
        <v>21</v>
      </c>
      <c r="H194" t="str">
        <f>"T1 202012018591"</f>
        <v>T1 202012018591</v>
      </c>
      <c r="I194" t="str">
        <f>"FED WITHHOLDINGS"</f>
        <v>FED WITHHOLDINGS</v>
      </c>
    </row>
    <row r="195" spans="1:9" x14ac:dyDescent="0.25">
      <c r="E195" s="7"/>
      <c r="F195" t="s">
        <v>20</v>
      </c>
      <c r="G195" s="10" t="s">
        <v>21</v>
      </c>
      <c r="H195" t="str">
        <f>"T3 202012018591"</f>
        <v>T3 202012018591</v>
      </c>
      <c r="I195" t="str">
        <f>"FICA WITHHOLDINGS"</f>
        <v>FICA WITHHOLDINGS</v>
      </c>
    </row>
    <row r="196" spans="1:9" x14ac:dyDescent="0.25">
      <c r="E196" s="7"/>
      <c r="F196" t="s">
        <v>20</v>
      </c>
      <c r="G196" s="10" t="s">
        <v>21</v>
      </c>
      <c r="H196" t="str">
        <f>"T4 202012018591"</f>
        <v>T4 202012018591</v>
      </c>
      <c r="I196" t="str">
        <f>"MEDICARE WITHHOLDINGS"</f>
        <v>MEDICARE WITHHOLDINGS</v>
      </c>
    </row>
    <row r="197" spans="1:9" x14ac:dyDescent="0.25">
      <c r="A197" s="6">
        <v>44180</v>
      </c>
      <c r="B197" t="s">
        <v>18</v>
      </c>
      <c r="C197">
        <v>101</v>
      </c>
      <c r="D197" t="s">
        <v>19</v>
      </c>
      <c r="E197" s="7">
        <v>27277.86</v>
      </c>
      <c r="F197" t="s">
        <v>20</v>
      </c>
      <c r="G197" s="10" t="s">
        <v>21</v>
      </c>
      <c r="H197" t="str">
        <f>"T1 202012158592"</f>
        <v>T1 202012158592</v>
      </c>
      <c r="I197" t="str">
        <f>"FED WITHHOLDINGS"</f>
        <v>FED WITHHOLDINGS</v>
      </c>
    </row>
    <row r="198" spans="1:9" x14ac:dyDescent="0.25">
      <c r="E198" s="7"/>
      <c r="F198" t="s">
        <v>20</v>
      </c>
      <c r="G198" s="10" t="s">
        <v>21</v>
      </c>
      <c r="H198" t="str">
        <f>"T3 202012158592"</f>
        <v>T3 202012158592</v>
      </c>
      <c r="I198" t="str">
        <f>"FICA WITHHOLDINGS"</f>
        <v>FICA WITHHOLDINGS</v>
      </c>
    </row>
    <row r="199" spans="1:9" x14ac:dyDescent="0.25">
      <c r="E199" s="7"/>
      <c r="F199" t="s">
        <v>20</v>
      </c>
      <c r="G199" s="10" t="s">
        <v>21</v>
      </c>
      <c r="H199" t="str">
        <f>"T4 202012158592"</f>
        <v>T4 202012158592</v>
      </c>
      <c r="I199" t="str">
        <f>"MEDICARE WITHHOLDINGS"</f>
        <v>MEDICARE WITHHOLDINGS</v>
      </c>
    </row>
    <row r="200" spans="1:9" x14ac:dyDescent="0.25">
      <c r="A200" s="6">
        <v>44195</v>
      </c>
      <c r="B200" t="s">
        <v>18</v>
      </c>
      <c r="C200">
        <v>102</v>
      </c>
      <c r="D200" t="s">
        <v>19</v>
      </c>
      <c r="E200" s="7">
        <v>8401.1</v>
      </c>
      <c r="F200" t="s">
        <v>20</v>
      </c>
      <c r="G200" s="10" t="s">
        <v>21</v>
      </c>
      <c r="H200" t="str">
        <f>"T1 202012158593"</f>
        <v>T1 202012158593</v>
      </c>
      <c r="I200" t="str">
        <f>"FED WITHHOLDINGS"</f>
        <v>FED WITHHOLDINGS</v>
      </c>
    </row>
    <row r="201" spans="1:9" x14ac:dyDescent="0.25">
      <c r="E201" s="7"/>
      <c r="F201" t="s">
        <v>20</v>
      </c>
      <c r="G201" s="10" t="s">
        <v>21</v>
      </c>
      <c r="H201" t="str">
        <f>"T3 202012158593"</f>
        <v>T3 202012158593</v>
      </c>
      <c r="I201" t="str">
        <f>"FICA WITHHOLDINGS"</f>
        <v>FICA WITHHOLDINGS</v>
      </c>
    </row>
    <row r="202" spans="1:9" x14ac:dyDescent="0.25">
      <c r="E202" s="7"/>
      <c r="F202" t="s">
        <v>20</v>
      </c>
      <c r="G202" s="10" t="s">
        <v>21</v>
      </c>
      <c r="H202" t="str">
        <f>"T4 202012158593"</f>
        <v>T4 202012158593</v>
      </c>
      <c r="I202" t="str">
        <f>"MEDICARE WITHHOLDINGS"</f>
        <v>MEDICARE WITHHOLDINGS</v>
      </c>
    </row>
    <row r="203" spans="1:9" x14ac:dyDescent="0.25">
      <c r="A203" s="6">
        <v>44195</v>
      </c>
      <c r="B203" t="s">
        <v>18</v>
      </c>
      <c r="C203">
        <v>103</v>
      </c>
      <c r="D203" t="s">
        <v>19</v>
      </c>
      <c r="E203" s="7">
        <v>30944.560000000001</v>
      </c>
      <c r="F203" t="s">
        <v>20</v>
      </c>
      <c r="G203" s="10" t="s">
        <v>21</v>
      </c>
      <c r="H203" t="str">
        <f>"T1 202012288594"</f>
        <v>T1 202012288594</v>
      </c>
      <c r="I203" t="str">
        <f>"FED WITHHOLDINGS"</f>
        <v>FED WITHHOLDINGS</v>
      </c>
    </row>
    <row r="204" spans="1:9" x14ac:dyDescent="0.25">
      <c r="E204" s="7"/>
      <c r="F204" t="s">
        <v>20</v>
      </c>
      <c r="G204" s="10" t="s">
        <v>21</v>
      </c>
      <c r="H204" t="str">
        <f>"T3 202012288594"</f>
        <v>T3 202012288594</v>
      </c>
      <c r="I204" t="str">
        <f>"FICA WITHHOLDINGS"</f>
        <v>FICA WITHHOLDINGS</v>
      </c>
    </row>
    <row r="205" spans="1:9" x14ac:dyDescent="0.25">
      <c r="E205" s="7"/>
      <c r="F205" t="s">
        <v>20</v>
      </c>
      <c r="G205" s="10" t="s">
        <v>21</v>
      </c>
      <c r="H205" t="str">
        <f>"T4 202012288594"</f>
        <v>T4 202012288594</v>
      </c>
      <c r="I205" t="str">
        <f>"MEDICARE WITHHOLDINGS"</f>
        <v>MEDICARE WITHHOLDINGS</v>
      </c>
    </row>
    <row r="206" spans="1:9" x14ac:dyDescent="0.25">
      <c r="A206" s="6">
        <v>44208</v>
      </c>
      <c r="B206" t="s">
        <v>18</v>
      </c>
      <c r="C206">
        <v>104</v>
      </c>
      <c r="D206" t="s">
        <v>19</v>
      </c>
      <c r="E206" s="7">
        <v>28448.32</v>
      </c>
      <c r="F206" t="s">
        <v>20</v>
      </c>
      <c r="G206" s="10" t="s">
        <v>21</v>
      </c>
      <c r="H206" t="str">
        <f>"T1 202101128595"</f>
        <v>T1 202101128595</v>
      </c>
      <c r="I206" t="str">
        <f>"FED WITHHOLDINGS"</f>
        <v>FED WITHHOLDINGS</v>
      </c>
    </row>
    <row r="207" spans="1:9" x14ac:dyDescent="0.25">
      <c r="E207" s="7"/>
      <c r="F207" t="s">
        <v>20</v>
      </c>
      <c r="G207" s="10" t="s">
        <v>21</v>
      </c>
      <c r="H207" t="str">
        <f>"T3 202101128595"</f>
        <v>T3 202101128595</v>
      </c>
      <c r="I207" t="str">
        <f>"FICA WITHHOLDINGS"</f>
        <v>FICA WITHHOLDINGS</v>
      </c>
    </row>
    <row r="208" spans="1:9" x14ac:dyDescent="0.25">
      <c r="E208" s="7"/>
      <c r="F208" t="s">
        <v>20</v>
      </c>
      <c r="G208" s="10" t="s">
        <v>21</v>
      </c>
      <c r="H208" t="str">
        <f>"T4 202101128595"</f>
        <v>T4 202101128595</v>
      </c>
      <c r="I208" t="str">
        <f>"MEDICARE WITHHOLDINGS"</f>
        <v>MEDICARE WITHHOLDINGS</v>
      </c>
    </row>
    <row r="209" spans="1:9" x14ac:dyDescent="0.25">
      <c r="A209" s="6">
        <v>44209</v>
      </c>
      <c r="B209" t="s">
        <v>18</v>
      </c>
      <c r="C209">
        <v>105</v>
      </c>
      <c r="D209" t="s">
        <v>19</v>
      </c>
      <c r="E209" s="7">
        <v>501.99</v>
      </c>
      <c r="F209" t="s">
        <v>20</v>
      </c>
      <c r="G209" s="10" t="s">
        <v>21</v>
      </c>
      <c r="H209" t="str">
        <f>"T1 202101138597"</f>
        <v>T1 202101138597</v>
      </c>
      <c r="I209" t="str">
        <f>"FED WITHHOLDINGS"</f>
        <v>FED WITHHOLDINGS</v>
      </c>
    </row>
    <row r="210" spans="1:9" x14ac:dyDescent="0.25">
      <c r="E210" s="7"/>
      <c r="F210" t="s">
        <v>20</v>
      </c>
      <c r="G210" s="10" t="s">
        <v>21</v>
      </c>
      <c r="H210" t="str">
        <f>"T3 202101138597"</f>
        <v>T3 202101138597</v>
      </c>
      <c r="I210" t="str">
        <f>"FICA WITHHOLDINGS"</f>
        <v>FICA WITHHOLDINGS</v>
      </c>
    </row>
    <row r="211" spans="1:9" x14ac:dyDescent="0.25">
      <c r="E211" s="7"/>
      <c r="F211" t="s">
        <v>20</v>
      </c>
      <c r="G211" s="10" t="s">
        <v>21</v>
      </c>
      <c r="H211" t="str">
        <f>"T4 202101138597"</f>
        <v>T4 202101138597</v>
      </c>
      <c r="I211" t="str">
        <f>"MEDICARE WITHHOLDINGS"</f>
        <v>MEDICARE WITHHOLDINGS</v>
      </c>
    </row>
    <row r="212" spans="1:9" x14ac:dyDescent="0.25">
      <c r="A212" s="6">
        <v>44209</v>
      </c>
      <c r="B212" t="s">
        <v>18</v>
      </c>
      <c r="C212">
        <v>106</v>
      </c>
      <c r="D212" t="s">
        <v>19</v>
      </c>
      <c r="E212" s="7">
        <v>282.82</v>
      </c>
      <c r="F212" t="s">
        <v>20</v>
      </c>
      <c r="G212" s="10" t="s">
        <v>21</v>
      </c>
      <c r="H212" t="str">
        <f>"T1 202101138596"</f>
        <v>T1 202101138596</v>
      </c>
      <c r="I212" t="str">
        <f>"FED WITHHOLDINGS"</f>
        <v>FED WITHHOLDINGS</v>
      </c>
    </row>
    <row r="213" spans="1:9" x14ac:dyDescent="0.25">
      <c r="E213" s="7"/>
      <c r="F213" t="s">
        <v>20</v>
      </c>
      <c r="G213" s="10" t="s">
        <v>21</v>
      </c>
      <c r="H213" t="str">
        <f>"T3 202101138596"</f>
        <v>T3 202101138596</v>
      </c>
      <c r="I213" t="str">
        <f>"FICA WITHHOLDINGS"</f>
        <v>FICA WITHHOLDINGS</v>
      </c>
    </row>
    <row r="214" spans="1:9" x14ac:dyDescent="0.25">
      <c r="E214" s="7"/>
      <c r="F214" t="s">
        <v>20</v>
      </c>
      <c r="G214" s="10" t="s">
        <v>21</v>
      </c>
      <c r="H214" t="str">
        <f>"T4 202101138596"</f>
        <v>T4 202101138596</v>
      </c>
      <c r="I214" t="str">
        <f>"MEDICARE WITHHOLDINGS"</f>
        <v>MEDICARE WITHHOLDINGS</v>
      </c>
    </row>
    <row r="215" spans="1:9" x14ac:dyDescent="0.25">
      <c r="A215" s="6">
        <v>44222</v>
      </c>
      <c r="B215" t="s">
        <v>18</v>
      </c>
      <c r="C215">
        <v>107</v>
      </c>
      <c r="D215" t="s">
        <v>19</v>
      </c>
      <c r="E215" s="7">
        <v>30099.53</v>
      </c>
      <c r="F215" t="s">
        <v>20</v>
      </c>
      <c r="G215" s="10" t="s">
        <v>21</v>
      </c>
      <c r="H215" t="str">
        <f>"T1 202101268598"</f>
        <v>T1 202101268598</v>
      </c>
      <c r="I215" t="str">
        <f>"FED WITHHOLDINGS"</f>
        <v>FED WITHHOLDINGS</v>
      </c>
    </row>
    <row r="216" spans="1:9" x14ac:dyDescent="0.25">
      <c r="E216" s="7"/>
      <c r="F216" t="s">
        <v>20</v>
      </c>
      <c r="G216" s="10" t="s">
        <v>21</v>
      </c>
      <c r="H216" t="str">
        <f>"T3 202101268598"</f>
        <v>T3 202101268598</v>
      </c>
      <c r="I216" t="str">
        <f>"FICA WITHHOLDINGS"</f>
        <v>FICA WITHHOLDINGS</v>
      </c>
    </row>
    <row r="217" spans="1:9" x14ac:dyDescent="0.25">
      <c r="E217" s="7"/>
      <c r="F217" t="s">
        <v>20</v>
      </c>
      <c r="G217" s="10" t="s">
        <v>21</v>
      </c>
      <c r="H217" t="str">
        <f>"T4 202101268598"</f>
        <v>T4 202101268598</v>
      </c>
      <c r="I217" t="str">
        <f>"MEDICARE WITHHOLDINGS"</f>
        <v>MEDICARE WITHHOLDINGS</v>
      </c>
    </row>
    <row r="218" spans="1:9" x14ac:dyDescent="0.25">
      <c r="A218" s="6">
        <v>44222</v>
      </c>
      <c r="B218" t="s">
        <v>18</v>
      </c>
      <c r="C218">
        <v>108</v>
      </c>
      <c r="D218" t="s">
        <v>19</v>
      </c>
      <c r="E218" s="7">
        <v>1295.3900000000001</v>
      </c>
      <c r="F218" t="s">
        <v>20</v>
      </c>
      <c r="G218" s="10" t="s">
        <v>21</v>
      </c>
      <c r="H218" t="str">
        <f>"T1 202101268599"</f>
        <v>T1 202101268599</v>
      </c>
      <c r="I218" t="str">
        <f>"FED WITHHOLDINGS"</f>
        <v>FED WITHHOLDINGS</v>
      </c>
    </row>
    <row r="219" spans="1:9" x14ac:dyDescent="0.25">
      <c r="E219" s="7"/>
      <c r="F219" t="s">
        <v>20</v>
      </c>
      <c r="G219" s="10" t="s">
        <v>21</v>
      </c>
      <c r="H219" t="str">
        <f>"T3 202101268599"</f>
        <v>T3 202101268599</v>
      </c>
      <c r="I219" t="str">
        <f>"FICA WITHHOLDINGS"</f>
        <v>FICA WITHHOLDINGS</v>
      </c>
    </row>
    <row r="220" spans="1:9" x14ac:dyDescent="0.25">
      <c r="E220" s="7"/>
      <c r="F220" t="s">
        <v>20</v>
      </c>
      <c r="G220" s="10" t="s">
        <v>21</v>
      </c>
      <c r="H220" t="str">
        <f>"T4 202101268599"</f>
        <v>T4 202101268599</v>
      </c>
      <c r="I220" t="str">
        <f>"MEDICARE WITHHOLDINGS"</f>
        <v>MEDICARE WITHHOLDINGS</v>
      </c>
    </row>
    <row r="221" spans="1:9" x14ac:dyDescent="0.25">
      <c r="A221" s="6">
        <v>44239</v>
      </c>
      <c r="B221" t="s">
        <v>18</v>
      </c>
      <c r="C221">
        <v>109</v>
      </c>
      <c r="D221" t="s">
        <v>19</v>
      </c>
      <c r="E221" s="7">
        <v>26013.71</v>
      </c>
      <c r="F221" t="s">
        <v>20</v>
      </c>
      <c r="G221" s="10" t="s">
        <v>21</v>
      </c>
      <c r="H221" t="str">
        <f>"T1 202102098600"</f>
        <v>T1 202102098600</v>
      </c>
      <c r="I221" t="str">
        <f>"FED WITHHOLDINGS"</f>
        <v>FED WITHHOLDINGS</v>
      </c>
    </row>
    <row r="222" spans="1:9" x14ac:dyDescent="0.25">
      <c r="E222" s="7"/>
      <c r="F222" t="s">
        <v>20</v>
      </c>
      <c r="G222" s="10" t="s">
        <v>21</v>
      </c>
      <c r="H222" t="str">
        <f>"T3 202102098600"</f>
        <v>T3 202102098600</v>
      </c>
      <c r="I222" t="str">
        <f>"FICA WITHHOLDINGS"</f>
        <v>FICA WITHHOLDINGS</v>
      </c>
    </row>
    <row r="223" spans="1:9" x14ac:dyDescent="0.25">
      <c r="E223" s="7"/>
      <c r="F223" t="s">
        <v>20</v>
      </c>
      <c r="G223" s="10" t="s">
        <v>21</v>
      </c>
      <c r="H223" t="str">
        <f>"T4 202102098600"</f>
        <v>T4 202102098600</v>
      </c>
      <c r="I223" t="str">
        <f>"MEDICARE WITHHOLDINGS"</f>
        <v>MEDICARE WITHHOLDINGS</v>
      </c>
    </row>
    <row r="224" spans="1:9" x14ac:dyDescent="0.25">
      <c r="A224" s="6">
        <v>44236</v>
      </c>
      <c r="B224" t="s">
        <v>18</v>
      </c>
      <c r="C224">
        <v>110</v>
      </c>
      <c r="D224" t="s">
        <v>19</v>
      </c>
      <c r="E224" s="7">
        <v>2315.41</v>
      </c>
      <c r="F224" t="s">
        <v>20</v>
      </c>
      <c r="G224" s="10" t="s">
        <v>21</v>
      </c>
      <c r="H224" t="str">
        <f>"T1 202102098601"</f>
        <v>T1 202102098601</v>
      </c>
      <c r="I224" t="str">
        <f>"FED WITHHOLDINGS"</f>
        <v>FED WITHHOLDINGS</v>
      </c>
    </row>
    <row r="225" spans="1:9" x14ac:dyDescent="0.25">
      <c r="E225" s="7"/>
      <c r="F225" t="s">
        <v>20</v>
      </c>
      <c r="G225" s="10" t="s">
        <v>21</v>
      </c>
      <c r="H225" t="str">
        <f>"T3 202102098601"</f>
        <v>T3 202102098601</v>
      </c>
      <c r="I225" t="str">
        <f>"FICA WITHHOLDINGS"</f>
        <v>FICA WITHHOLDINGS</v>
      </c>
    </row>
    <row r="226" spans="1:9" x14ac:dyDescent="0.25">
      <c r="E226" s="7"/>
      <c r="F226" t="s">
        <v>20</v>
      </c>
      <c r="G226" s="10" t="s">
        <v>21</v>
      </c>
      <c r="H226" t="str">
        <f>"T4 202102098601"</f>
        <v>T4 202102098601</v>
      </c>
      <c r="I226" t="str">
        <f>"MEDICARE WITHHOLDINGS"</f>
        <v>MEDICARE WITHHOLDINGS</v>
      </c>
    </row>
    <row r="227" spans="1:9" x14ac:dyDescent="0.25">
      <c r="A227" s="6">
        <v>44250</v>
      </c>
      <c r="B227" t="s">
        <v>18</v>
      </c>
      <c r="C227">
        <v>111</v>
      </c>
      <c r="D227" t="s">
        <v>19</v>
      </c>
      <c r="E227" s="7">
        <v>26616.31</v>
      </c>
      <c r="F227" t="s">
        <v>20</v>
      </c>
      <c r="G227" s="10" t="s">
        <v>21</v>
      </c>
      <c r="H227" t="str">
        <f>"T1 202102238602"</f>
        <v>T1 202102238602</v>
      </c>
      <c r="I227" t="str">
        <f>"FED WITHHOLDINGS"</f>
        <v>FED WITHHOLDINGS</v>
      </c>
    </row>
    <row r="228" spans="1:9" x14ac:dyDescent="0.25">
      <c r="E228" s="7"/>
      <c r="F228" t="s">
        <v>20</v>
      </c>
      <c r="G228" s="10" t="s">
        <v>21</v>
      </c>
      <c r="H228" t="str">
        <f>"T3 202102238602"</f>
        <v>T3 202102238602</v>
      </c>
      <c r="I228" t="str">
        <f>"FICA WITHHOLDINGS"</f>
        <v>FICA WITHHOLDINGS</v>
      </c>
    </row>
    <row r="229" spans="1:9" x14ac:dyDescent="0.25">
      <c r="E229" s="7"/>
      <c r="F229" t="s">
        <v>20</v>
      </c>
      <c r="G229" s="10" t="s">
        <v>21</v>
      </c>
      <c r="H229" t="str">
        <f>"T4 202102238602"</f>
        <v>T4 202102238602</v>
      </c>
      <c r="I229" t="str">
        <f>"MEDICARE WITHHOLDINGS"</f>
        <v>MEDICARE WITHHOLDINGS</v>
      </c>
    </row>
    <row r="230" spans="1:9" x14ac:dyDescent="0.25">
      <c r="A230" s="6">
        <v>44264</v>
      </c>
      <c r="B230" t="s">
        <v>18</v>
      </c>
      <c r="C230">
        <v>112</v>
      </c>
      <c r="D230" t="s">
        <v>19</v>
      </c>
      <c r="E230" s="7">
        <v>25884.75</v>
      </c>
      <c r="F230" t="s">
        <v>20</v>
      </c>
      <c r="G230" s="10" t="s">
        <v>21</v>
      </c>
      <c r="H230" t="str">
        <f>"T1 202103098603"</f>
        <v>T1 202103098603</v>
      </c>
      <c r="I230" t="str">
        <f>"FED WITHHOLDINGS"</f>
        <v>FED WITHHOLDINGS</v>
      </c>
    </row>
    <row r="231" spans="1:9" x14ac:dyDescent="0.25">
      <c r="E231" s="7"/>
      <c r="F231" t="s">
        <v>20</v>
      </c>
      <c r="G231" s="10" t="s">
        <v>21</v>
      </c>
      <c r="H231" t="str">
        <f>"T3 202103098603"</f>
        <v>T3 202103098603</v>
      </c>
      <c r="I231" t="str">
        <f>"FICA WITHHOLDINGS"</f>
        <v>FICA WITHHOLDINGS</v>
      </c>
    </row>
    <row r="232" spans="1:9" x14ac:dyDescent="0.25">
      <c r="E232" s="7"/>
      <c r="F232" t="s">
        <v>20</v>
      </c>
      <c r="G232" s="10" t="s">
        <v>21</v>
      </c>
      <c r="H232" t="str">
        <f>"T4 202103098603"</f>
        <v>T4 202103098603</v>
      </c>
      <c r="I232" t="str">
        <f>"MEDICARE WITHHOLDINGS"</f>
        <v>MEDICARE WITHHOLDINGS</v>
      </c>
    </row>
    <row r="233" spans="1:9" x14ac:dyDescent="0.25">
      <c r="A233" s="6">
        <v>44278</v>
      </c>
      <c r="B233" t="s">
        <v>18</v>
      </c>
      <c r="C233">
        <v>113</v>
      </c>
      <c r="D233" t="s">
        <v>19</v>
      </c>
      <c r="E233" s="7">
        <v>25645.9</v>
      </c>
      <c r="F233" t="s">
        <v>20</v>
      </c>
      <c r="G233" s="10" t="s">
        <v>21</v>
      </c>
      <c r="H233" t="str">
        <f>"T1 202103238604"</f>
        <v>T1 202103238604</v>
      </c>
      <c r="I233" t="str">
        <f>"FED WITHHOLDINGS"</f>
        <v>FED WITHHOLDINGS</v>
      </c>
    </row>
    <row r="234" spans="1:9" x14ac:dyDescent="0.25">
      <c r="E234" s="7"/>
      <c r="F234" t="s">
        <v>20</v>
      </c>
      <c r="G234" s="10" t="s">
        <v>21</v>
      </c>
      <c r="H234" t="str">
        <f>"T3 202103238604"</f>
        <v>T3 202103238604</v>
      </c>
      <c r="I234" t="str">
        <f>"FICA WITHHOLDINGS"</f>
        <v>FICA WITHHOLDINGS</v>
      </c>
    </row>
    <row r="235" spans="1:9" x14ac:dyDescent="0.25">
      <c r="E235" s="7"/>
      <c r="F235" t="s">
        <v>20</v>
      </c>
      <c r="G235" s="10" t="s">
        <v>21</v>
      </c>
      <c r="H235" t="str">
        <f>"T4 202103238604"</f>
        <v>T4 202103238604</v>
      </c>
      <c r="I235" t="str">
        <f>"MEDICARE WITHHOLDINGS"</f>
        <v>MEDICARE WITHHOLDINGS</v>
      </c>
    </row>
    <row r="236" spans="1:9" x14ac:dyDescent="0.25">
      <c r="A236" s="6">
        <v>44293</v>
      </c>
      <c r="B236" t="s">
        <v>18</v>
      </c>
      <c r="C236">
        <v>114</v>
      </c>
      <c r="D236" t="s">
        <v>19</v>
      </c>
      <c r="E236" s="7">
        <v>27496.49</v>
      </c>
      <c r="F236" t="s">
        <v>20</v>
      </c>
      <c r="G236" s="10" t="s">
        <v>21</v>
      </c>
      <c r="H236" t="str">
        <f>"T1 202104078605"</f>
        <v>T1 202104078605</v>
      </c>
      <c r="I236" t="str">
        <f>"FED WITHHOLDINGS"</f>
        <v>FED WITHHOLDINGS</v>
      </c>
    </row>
    <row r="237" spans="1:9" x14ac:dyDescent="0.25">
      <c r="E237" s="7"/>
      <c r="F237" t="s">
        <v>20</v>
      </c>
      <c r="G237" s="10" t="s">
        <v>21</v>
      </c>
      <c r="H237" t="str">
        <f>"T3 202104078605"</f>
        <v>T3 202104078605</v>
      </c>
      <c r="I237" t="str">
        <f>"FICA WITHHOLDINGS"</f>
        <v>FICA WITHHOLDINGS</v>
      </c>
    </row>
    <row r="238" spans="1:9" x14ac:dyDescent="0.25">
      <c r="E238" s="7"/>
      <c r="F238" t="s">
        <v>20</v>
      </c>
      <c r="G238" s="10" t="s">
        <v>21</v>
      </c>
      <c r="H238" t="str">
        <f>"T4 202104078605"</f>
        <v>T4 202104078605</v>
      </c>
      <c r="I238" t="str">
        <f>"MEDICARE WITHHOLDINGS"</f>
        <v>MEDICARE WITHHOLDINGS</v>
      </c>
    </row>
    <row r="239" spans="1:9" x14ac:dyDescent="0.25">
      <c r="A239" s="6">
        <v>44306</v>
      </c>
      <c r="B239" t="s">
        <v>18</v>
      </c>
      <c r="C239">
        <v>115</v>
      </c>
      <c r="D239" t="s">
        <v>19</v>
      </c>
      <c r="E239" s="7">
        <v>26280.13</v>
      </c>
      <c r="F239" t="s">
        <v>20</v>
      </c>
      <c r="G239" s="10" t="s">
        <v>21</v>
      </c>
      <c r="H239" t="str">
        <f>"T1 202104208606"</f>
        <v>T1 202104208606</v>
      </c>
      <c r="I239" t="str">
        <f>"FED WITHHOLDINGS"</f>
        <v>FED WITHHOLDINGS</v>
      </c>
    </row>
    <row r="240" spans="1:9" x14ac:dyDescent="0.25">
      <c r="E240" s="7"/>
      <c r="F240" t="s">
        <v>20</v>
      </c>
      <c r="G240" s="10" t="s">
        <v>21</v>
      </c>
      <c r="H240" t="str">
        <f>"T3 202104208606"</f>
        <v>T3 202104208606</v>
      </c>
      <c r="I240" t="str">
        <f>"FICA WITHHOLDINGS"</f>
        <v>FICA WITHHOLDINGS</v>
      </c>
    </row>
    <row r="241" spans="1:9" x14ac:dyDescent="0.25">
      <c r="E241" s="7"/>
      <c r="F241" t="s">
        <v>20</v>
      </c>
      <c r="G241" s="10" t="s">
        <v>21</v>
      </c>
      <c r="H241" t="str">
        <f>"T4 202104208606"</f>
        <v>T4 202104208606</v>
      </c>
      <c r="I241" t="str">
        <f>"MEDICARE WITHHOLDINGS"</f>
        <v>MEDICARE WITHHOLDINGS</v>
      </c>
    </row>
    <row r="242" spans="1:9" x14ac:dyDescent="0.25">
      <c r="A242" s="6">
        <v>44322</v>
      </c>
      <c r="B242" t="s">
        <v>18</v>
      </c>
      <c r="C242">
        <v>116</v>
      </c>
      <c r="D242" t="s">
        <v>19</v>
      </c>
      <c r="E242" s="7">
        <v>26806.959999999999</v>
      </c>
      <c r="F242" t="s">
        <v>20</v>
      </c>
      <c r="G242" s="10" t="s">
        <v>21</v>
      </c>
      <c r="H242" t="str">
        <f>"T1 202105048607"</f>
        <v>T1 202105048607</v>
      </c>
      <c r="I242" t="str">
        <f>"FED WITHHOLDINGS"</f>
        <v>FED WITHHOLDINGS</v>
      </c>
    </row>
    <row r="243" spans="1:9" x14ac:dyDescent="0.25">
      <c r="E243" s="7"/>
      <c r="F243" t="s">
        <v>20</v>
      </c>
      <c r="G243" s="10" t="s">
        <v>21</v>
      </c>
      <c r="H243" t="str">
        <f>"T3 202105048607"</f>
        <v>T3 202105048607</v>
      </c>
      <c r="I243" t="str">
        <f>"FICA WITHHOLDINGS"</f>
        <v>FICA WITHHOLDINGS</v>
      </c>
    </row>
    <row r="244" spans="1:9" x14ac:dyDescent="0.25">
      <c r="E244" s="7"/>
      <c r="F244" t="s">
        <v>20</v>
      </c>
      <c r="G244" s="10" t="s">
        <v>21</v>
      </c>
      <c r="H244" t="str">
        <f>"T4 202105048607"</f>
        <v>T4 202105048607</v>
      </c>
      <c r="I244" t="str">
        <f>"MEDICARE WITHHOLDINGS"</f>
        <v>MEDICARE WITHHOLDINGS</v>
      </c>
    </row>
    <row r="245" spans="1:9" x14ac:dyDescent="0.25">
      <c r="A245" s="6">
        <v>44334</v>
      </c>
      <c r="B245" t="s">
        <v>18</v>
      </c>
      <c r="C245">
        <v>117</v>
      </c>
      <c r="D245" t="s">
        <v>19</v>
      </c>
      <c r="E245" s="7">
        <v>27370.81</v>
      </c>
      <c r="F245" t="s">
        <v>20</v>
      </c>
      <c r="G245" s="10" t="s">
        <v>21</v>
      </c>
      <c r="H245" t="str">
        <f>"T1 202105188608"</f>
        <v>T1 202105188608</v>
      </c>
      <c r="I245" t="str">
        <f>"FED WITHHOLDINGS"</f>
        <v>FED WITHHOLDINGS</v>
      </c>
    </row>
    <row r="246" spans="1:9" x14ac:dyDescent="0.25">
      <c r="E246" s="7"/>
      <c r="F246" t="s">
        <v>20</v>
      </c>
      <c r="G246" s="10" t="s">
        <v>21</v>
      </c>
      <c r="H246" t="str">
        <f>"T3 202105188608"</f>
        <v>T3 202105188608</v>
      </c>
      <c r="I246" t="str">
        <f>"FICA WITHHOLDINGS"</f>
        <v>FICA WITHHOLDINGS</v>
      </c>
    </row>
    <row r="247" spans="1:9" x14ac:dyDescent="0.25">
      <c r="E247" s="7"/>
      <c r="F247" t="s">
        <v>20</v>
      </c>
      <c r="G247" s="10" t="s">
        <v>21</v>
      </c>
      <c r="H247" t="str">
        <f>"T4 202105188608"</f>
        <v>T4 202105188608</v>
      </c>
      <c r="I247" t="str">
        <f>"MEDICARE WITHHOLDINGS"</f>
        <v>MEDICARE WITHHOLDINGS</v>
      </c>
    </row>
    <row r="248" spans="1:9" x14ac:dyDescent="0.25">
      <c r="A248" s="6">
        <v>44343</v>
      </c>
      <c r="B248" t="s">
        <v>18</v>
      </c>
      <c r="C248">
        <v>118</v>
      </c>
      <c r="D248" t="s">
        <v>19</v>
      </c>
      <c r="E248" s="7">
        <v>213</v>
      </c>
      <c r="F248" t="s">
        <v>20</v>
      </c>
      <c r="G248" s="10" t="s">
        <v>21</v>
      </c>
      <c r="H248" t="str">
        <f>"T1 202105278610"</f>
        <v>T1 202105278610</v>
      </c>
      <c r="I248" t="str">
        <f>"FED WITHHOLDINGS"</f>
        <v>FED WITHHOLDINGS</v>
      </c>
    </row>
    <row r="249" spans="1:9" x14ac:dyDescent="0.25">
      <c r="E249" s="7"/>
      <c r="F249" t="s">
        <v>20</v>
      </c>
      <c r="G249" s="10" t="s">
        <v>21</v>
      </c>
      <c r="H249" t="str">
        <f>"T3 202105278610"</f>
        <v>T3 202105278610</v>
      </c>
      <c r="I249" t="str">
        <f>"FICA WITHHOLDINGS"</f>
        <v>FICA WITHHOLDINGS</v>
      </c>
    </row>
    <row r="250" spans="1:9" x14ac:dyDescent="0.25">
      <c r="E250" s="7"/>
      <c r="F250" t="s">
        <v>20</v>
      </c>
      <c r="G250" s="10" t="s">
        <v>21</v>
      </c>
      <c r="H250" t="str">
        <f>"T4 202105278610"</f>
        <v>T4 202105278610</v>
      </c>
      <c r="I250" t="str">
        <f>"MEDICARE WITHHOLDINGS"</f>
        <v>MEDICARE WITHHOLDINGS</v>
      </c>
    </row>
    <row r="251" spans="1:9" x14ac:dyDescent="0.25">
      <c r="A251" s="6">
        <v>44343</v>
      </c>
      <c r="B251" t="s">
        <v>18</v>
      </c>
      <c r="C251">
        <v>119</v>
      </c>
      <c r="D251" t="s">
        <v>19</v>
      </c>
      <c r="E251" s="7">
        <v>267.32</v>
      </c>
      <c r="F251" t="s">
        <v>20</v>
      </c>
      <c r="G251" s="10" t="s">
        <v>21</v>
      </c>
      <c r="H251" t="str">
        <f>"T1 202105278611"</f>
        <v>T1 202105278611</v>
      </c>
      <c r="I251" t="str">
        <f>"FED WITHHOLDINGS"</f>
        <v>FED WITHHOLDINGS</v>
      </c>
    </row>
    <row r="252" spans="1:9" x14ac:dyDescent="0.25">
      <c r="E252" s="7"/>
      <c r="F252" t="s">
        <v>20</v>
      </c>
      <c r="G252" s="10" t="s">
        <v>21</v>
      </c>
      <c r="H252" t="str">
        <f>"T3 202105278611"</f>
        <v>T3 202105278611</v>
      </c>
      <c r="I252" t="str">
        <f>"FICA WITHHOLDINGS"</f>
        <v>FICA WITHHOLDINGS</v>
      </c>
    </row>
    <row r="253" spans="1:9" x14ac:dyDescent="0.25">
      <c r="E253" s="7"/>
      <c r="F253" t="s">
        <v>20</v>
      </c>
      <c r="G253" s="10" t="s">
        <v>21</v>
      </c>
      <c r="H253" t="str">
        <f>"T4 202105278611"</f>
        <v>T4 202105278611</v>
      </c>
      <c r="I253" t="str">
        <f>"MEDICARE WITHHOLDINGS"</f>
        <v>MEDICARE WITHHOLDINGS</v>
      </c>
    </row>
    <row r="254" spans="1:9" x14ac:dyDescent="0.25">
      <c r="A254" s="6">
        <v>44348</v>
      </c>
      <c r="B254" t="s">
        <v>18</v>
      </c>
      <c r="C254">
        <v>120</v>
      </c>
      <c r="D254" t="s">
        <v>19</v>
      </c>
      <c r="E254" s="7">
        <v>27622.38</v>
      </c>
      <c r="F254" t="s">
        <v>20</v>
      </c>
      <c r="G254" s="10" t="s">
        <v>21</v>
      </c>
      <c r="H254" t="str">
        <f>"T1 202106018612"</f>
        <v>T1 202106018612</v>
      </c>
      <c r="I254" t="str">
        <f>"FED WITHHOLDINGS"</f>
        <v>FED WITHHOLDINGS</v>
      </c>
    </row>
    <row r="255" spans="1:9" x14ac:dyDescent="0.25">
      <c r="E255" s="7"/>
      <c r="F255" t="s">
        <v>20</v>
      </c>
      <c r="G255" s="10" t="s">
        <v>21</v>
      </c>
      <c r="H255" t="str">
        <f>"T3 202106018612"</f>
        <v>T3 202106018612</v>
      </c>
      <c r="I255" t="str">
        <f>"FICA WITHHOLDINGS"</f>
        <v>FICA WITHHOLDINGS</v>
      </c>
    </row>
    <row r="256" spans="1:9" x14ac:dyDescent="0.25">
      <c r="E256" s="7"/>
      <c r="F256" t="s">
        <v>20</v>
      </c>
      <c r="G256" s="10" t="s">
        <v>21</v>
      </c>
      <c r="H256" t="str">
        <f>"T4 202106018612"</f>
        <v>T4 202106018612</v>
      </c>
      <c r="I256" t="str">
        <f>"MEDICARE WITHHOLDINGS"</f>
        <v>MEDICARE WITHHOLDINGS</v>
      </c>
    </row>
    <row r="257" spans="1:9" x14ac:dyDescent="0.25">
      <c r="A257" s="6">
        <v>44348</v>
      </c>
      <c r="B257" t="s">
        <v>18</v>
      </c>
      <c r="C257">
        <v>121</v>
      </c>
      <c r="D257" t="s">
        <v>19</v>
      </c>
      <c r="E257" s="7">
        <v>101.52</v>
      </c>
      <c r="F257" t="s">
        <v>20</v>
      </c>
      <c r="G257" s="10" t="s">
        <v>21</v>
      </c>
      <c r="H257" t="str">
        <f>"T3 202106018613"</f>
        <v>T3 202106018613</v>
      </c>
      <c r="I257" t="str">
        <f>"FICA WITHHOLDINGS"</f>
        <v>FICA WITHHOLDINGS</v>
      </c>
    </row>
    <row r="258" spans="1:9" x14ac:dyDescent="0.25">
      <c r="E258" s="7"/>
      <c r="F258" t="s">
        <v>20</v>
      </c>
      <c r="G258" s="10" t="s">
        <v>21</v>
      </c>
      <c r="H258" t="str">
        <f>"T4 202106018613"</f>
        <v>T4 202106018613</v>
      </c>
      <c r="I258" t="str">
        <f>"MEDICARE WITHHOLDINGS"</f>
        <v>MEDICARE WITHHOLDINGS</v>
      </c>
    </row>
    <row r="259" spans="1:9" x14ac:dyDescent="0.25">
      <c r="A259" s="6">
        <v>44362</v>
      </c>
      <c r="B259" t="s">
        <v>18</v>
      </c>
      <c r="C259">
        <v>122</v>
      </c>
      <c r="D259" t="s">
        <v>19</v>
      </c>
      <c r="E259" s="7">
        <v>29324.36</v>
      </c>
      <c r="F259" t="s">
        <v>20</v>
      </c>
      <c r="G259" s="10" t="s">
        <v>21</v>
      </c>
      <c r="H259" t="str">
        <f>"T1 202106158614"</f>
        <v>T1 202106158614</v>
      </c>
      <c r="I259" t="str">
        <f>"FED WITHHOLDINGS"</f>
        <v>FED WITHHOLDINGS</v>
      </c>
    </row>
    <row r="260" spans="1:9" x14ac:dyDescent="0.25">
      <c r="E260" s="7"/>
      <c r="F260" t="s">
        <v>20</v>
      </c>
      <c r="G260" s="10" t="s">
        <v>21</v>
      </c>
      <c r="H260" t="str">
        <f>"T3 202106158614"</f>
        <v>T3 202106158614</v>
      </c>
      <c r="I260" t="str">
        <f>"FICA WITHHOLDINGS"</f>
        <v>FICA WITHHOLDINGS</v>
      </c>
    </row>
    <row r="261" spans="1:9" x14ac:dyDescent="0.25">
      <c r="E261" s="7"/>
      <c r="F261" t="s">
        <v>20</v>
      </c>
      <c r="G261" s="10" t="s">
        <v>21</v>
      </c>
      <c r="H261" t="str">
        <f>"T4 202106158614"</f>
        <v>T4 202106158614</v>
      </c>
      <c r="I261" t="str">
        <f>"MEDICARE WITHHOLDINGS"</f>
        <v>MEDICARE WITHHOLDINGS</v>
      </c>
    </row>
    <row r="262" spans="1:9" x14ac:dyDescent="0.25">
      <c r="A262" s="6">
        <v>44376</v>
      </c>
      <c r="B262" t="s">
        <v>18</v>
      </c>
      <c r="C262">
        <v>123</v>
      </c>
      <c r="D262" t="s">
        <v>19</v>
      </c>
      <c r="E262" s="7">
        <v>28890.03</v>
      </c>
      <c r="F262" t="s">
        <v>20</v>
      </c>
      <c r="G262" s="10" t="s">
        <v>21</v>
      </c>
      <c r="H262" t="str">
        <f>"T1 202106298615"</f>
        <v>T1 202106298615</v>
      </c>
      <c r="I262" t="str">
        <f>"FED WITHHOLDINGS"</f>
        <v>FED WITHHOLDINGS</v>
      </c>
    </row>
    <row r="263" spans="1:9" x14ac:dyDescent="0.25">
      <c r="E263" s="7"/>
      <c r="F263" t="s">
        <v>20</v>
      </c>
      <c r="G263" s="10" t="s">
        <v>21</v>
      </c>
      <c r="H263" t="str">
        <f>"T3 202106298615"</f>
        <v>T3 202106298615</v>
      </c>
      <c r="I263" t="str">
        <f>"FICA WITHHOLDINGS"</f>
        <v>FICA WITHHOLDINGS</v>
      </c>
    </row>
    <row r="264" spans="1:9" x14ac:dyDescent="0.25">
      <c r="E264" s="7"/>
      <c r="F264" t="s">
        <v>20</v>
      </c>
      <c r="G264" s="10" t="s">
        <v>21</v>
      </c>
      <c r="H264" t="str">
        <f>"T4 202106298615"</f>
        <v>T4 202106298615</v>
      </c>
      <c r="I264" t="str">
        <f>"MEDICARE WITHHOLDINGS"</f>
        <v>MEDICARE WITHHOLDINGS</v>
      </c>
    </row>
    <row r="265" spans="1:9" x14ac:dyDescent="0.25">
      <c r="A265" s="6">
        <v>44390</v>
      </c>
      <c r="B265" t="s">
        <v>18</v>
      </c>
      <c r="C265">
        <v>124</v>
      </c>
      <c r="D265" t="s">
        <v>19</v>
      </c>
      <c r="E265" s="7">
        <v>29377.7</v>
      </c>
      <c r="F265" t="s">
        <v>20</v>
      </c>
      <c r="G265" s="10" t="s">
        <v>21</v>
      </c>
      <c r="H265" t="str">
        <f>"T1 202107138616"</f>
        <v>T1 202107138616</v>
      </c>
      <c r="I265" t="str">
        <f>"FED WITHHOLDINGS"</f>
        <v>FED WITHHOLDINGS</v>
      </c>
    </row>
    <row r="266" spans="1:9" x14ac:dyDescent="0.25">
      <c r="E266" s="7"/>
      <c r="F266" t="s">
        <v>20</v>
      </c>
      <c r="G266" s="10" t="s">
        <v>21</v>
      </c>
      <c r="H266" t="str">
        <f>"T3 202107138616"</f>
        <v>T3 202107138616</v>
      </c>
      <c r="I266" t="str">
        <f>"FICA WITHHOLDINGS"</f>
        <v>FICA WITHHOLDINGS</v>
      </c>
    </row>
    <row r="267" spans="1:9" x14ac:dyDescent="0.25">
      <c r="E267" s="7"/>
      <c r="F267" t="s">
        <v>20</v>
      </c>
      <c r="G267" s="10" t="s">
        <v>21</v>
      </c>
      <c r="H267" t="str">
        <f>"T4 202107138616"</f>
        <v>T4 202107138616</v>
      </c>
      <c r="I267" t="str">
        <f>"MEDICARE WITHHOLDINGS"</f>
        <v>MEDICARE WITHHOLDINGS</v>
      </c>
    </row>
    <row r="268" spans="1:9" x14ac:dyDescent="0.25">
      <c r="A268" s="6">
        <v>44404</v>
      </c>
      <c r="B268" t="s">
        <v>18</v>
      </c>
      <c r="C268">
        <v>125</v>
      </c>
      <c r="D268" t="s">
        <v>19</v>
      </c>
      <c r="E268" s="7">
        <v>31563.07</v>
      </c>
      <c r="F268" t="s">
        <v>20</v>
      </c>
      <c r="G268" s="10" t="s">
        <v>21</v>
      </c>
      <c r="H268" t="str">
        <f>"T1 202107278617"</f>
        <v>T1 202107278617</v>
      </c>
      <c r="I268" t="str">
        <f>"FED WITHHOLDINGS"</f>
        <v>FED WITHHOLDINGS</v>
      </c>
    </row>
    <row r="269" spans="1:9" x14ac:dyDescent="0.25">
      <c r="E269" s="7"/>
      <c r="F269" t="s">
        <v>20</v>
      </c>
      <c r="G269" s="10" t="s">
        <v>21</v>
      </c>
      <c r="H269" t="str">
        <f>"T3 202107278617"</f>
        <v>T3 202107278617</v>
      </c>
      <c r="I269" t="str">
        <f>"FICA WITHHOLDINGS"</f>
        <v>FICA WITHHOLDINGS</v>
      </c>
    </row>
    <row r="270" spans="1:9" x14ac:dyDescent="0.25">
      <c r="E270" s="7"/>
      <c r="F270" t="s">
        <v>20</v>
      </c>
      <c r="G270" s="10" t="s">
        <v>21</v>
      </c>
      <c r="H270" t="str">
        <f>"T4 202107278617"</f>
        <v>T4 202107278617</v>
      </c>
      <c r="I270" t="str">
        <f>"MEDICARE WITHHOLDINGS"</f>
        <v>MEDICARE WITHHOLDINGS</v>
      </c>
    </row>
    <row r="271" spans="1:9" x14ac:dyDescent="0.25">
      <c r="A271" s="6">
        <v>44418</v>
      </c>
      <c r="B271" t="s">
        <v>18</v>
      </c>
      <c r="C271">
        <v>126</v>
      </c>
      <c r="D271" t="s">
        <v>19</v>
      </c>
      <c r="E271" s="7">
        <v>30798.09</v>
      </c>
      <c r="F271" t="s">
        <v>20</v>
      </c>
      <c r="G271" s="10" t="s">
        <v>21</v>
      </c>
      <c r="H271" t="str">
        <f>"T1 202108108618"</f>
        <v>T1 202108108618</v>
      </c>
      <c r="I271" t="str">
        <f>"FED WITHHOLDINGS"</f>
        <v>FED WITHHOLDINGS</v>
      </c>
    </row>
    <row r="272" spans="1:9" x14ac:dyDescent="0.25">
      <c r="E272" s="7"/>
      <c r="F272" t="s">
        <v>20</v>
      </c>
      <c r="G272" s="10" t="s">
        <v>21</v>
      </c>
      <c r="H272" t="str">
        <f>"T3 202108108618"</f>
        <v>T3 202108108618</v>
      </c>
      <c r="I272" t="str">
        <f>"FICA WITHHOLDINGS"</f>
        <v>FICA WITHHOLDINGS</v>
      </c>
    </row>
    <row r="273" spans="1:9" x14ac:dyDescent="0.25">
      <c r="E273" s="7"/>
      <c r="F273" t="s">
        <v>20</v>
      </c>
      <c r="G273" s="10" t="s">
        <v>21</v>
      </c>
      <c r="H273" t="str">
        <f>"T4 202108108618"</f>
        <v>T4 202108108618</v>
      </c>
      <c r="I273" t="str">
        <f>"MEDICARE WITHHOLDINGS"</f>
        <v>MEDICARE WITHHOLDINGS</v>
      </c>
    </row>
    <row r="274" spans="1:9" x14ac:dyDescent="0.25">
      <c r="A274" s="6">
        <v>44432</v>
      </c>
      <c r="B274" t="s">
        <v>18</v>
      </c>
      <c r="C274">
        <v>127</v>
      </c>
      <c r="D274" t="s">
        <v>19</v>
      </c>
      <c r="E274" s="7">
        <v>30568.36</v>
      </c>
      <c r="F274" t="s">
        <v>20</v>
      </c>
      <c r="G274" s="10" t="s">
        <v>21</v>
      </c>
      <c r="H274" t="str">
        <f>"T1 202108248619"</f>
        <v>T1 202108248619</v>
      </c>
      <c r="I274" t="str">
        <f>"FED WITHHOLDINGS"</f>
        <v>FED WITHHOLDINGS</v>
      </c>
    </row>
    <row r="275" spans="1:9" x14ac:dyDescent="0.25">
      <c r="E275" s="7"/>
      <c r="F275" t="s">
        <v>20</v>
      </c>
      <c r="G275" s="10" t="s">
        <v>21</v>
      </c>
      <c r="H275" t="str">
        <f>"T3 202108248619"</f>
        <v>T3 202108248619</v>
      </c>
      <c r="I275" t="str">
        <f>"FICA WITHHOLDINGS"</f>
        <v>FICA WITHHOLDINGS</v>
      </c>
    </row>
    <row r="276" spans="1:9" x14ac:dyDescent="0.25">
      <c r="E276" s="7"/>
      <c r="F276" t="s">
        <v>20</v>
      </c>
      <c r="G276" s="10" t="s">
        <v>21</v>
      </c>
      <c r="H276" t="str">
        <f>"T4 202108248619"</f>
        <v>T4 202108248619</v>
      </c>
      <c r="I276" t="str">
        <f>"MEDICARE WITHHOLDINGS"</f>
        <v>MEDICARE WITHHOLDINGS</v>
      </c>
    </row>
    <row r="277" spans="1:9" x14ac:dyDescent="0.25">
      <c r="A277" s="6">
        <v>44446</v>
      </c>
      <c r="B277" t="s">
        <v>18</v>
      </c>
      <c r="C277">
        <v>128</v>
      </c>
      <c r="D277" t="s">
        <v>19</v>
      </c>
      <c r="E277" s="7">
        <v>30377.21</v>
      </c>
      <c r="F277" t="s">
        <v>20</v>
      </c>
      <c r="G277" s="10" t="s">
        <v>21</v>
      </c>
      <c r="H277" t="str">
        <f>"T1 202109078620"</f>
        <v>T1 202109078620</v>
      </c>
      <c r="I277" t="str">
        <f>"FED WITHHOLDINGS"</f>
        <v>FED WITHHOLDINGS</v>
      </c>
    </row>
    <row r="278" spans="1:9" x14ac:dyDescent="0.25">
      <c r="E278" s="7"/>
      <c r="F278" t="s">
        <v>20</v>
      </c>
      <c r="G278" s="10" t="s">
        <v>21</v>
      </c>
      <c r="H278" t="str">
        <f>"T3 202109078620"</f>
        <v>T3 202109078620</v>
      </c>
      <c r="I278" t="str">
        <f>"FICA WITHHOLDINGS"</f>
        <v>FICA WITHHOLDINGS</v>
      </c>
    </row>
    <row r="279" spans="1:9" x14ac:dyDescent="0.25">
      <c r="E279" s="7"/>
      <c r="F279" t="s">
        <v>20</v>
      </c>
      <c r="G279" s="10" t="s">
        <v>21</v>
      </c>
      <c r="H279" t="str">
        <f>"T4 202109078620"</f>
        <v>T4 202109078620</v>
      </c>
      <c r="I279" t="str">
        <f>"MEDICARE WITHHOLDINGS"</f>
        <v>MEDICARE WITHHOLDINGS</v>
      </c>
    </row>
    <row r="280" spans="1:9" x14ac:dyDescent="0.25">
      <c r="A280" s="6">
        <v>44456</v>
      </c>
      <c r="B280" t="s">
        <v>18</v>
      </c>
      <c r="C280">
        <v>129</v>
      </c>
      <c r="D280" t="s">
        <v>19</v>
      </c>
      <c r="E280" s="7">
        <v>390.4</v>
      </c>
      <c r="F280" t="s">
        <v>20</v>
      </c>
      <c r="G280" s="10" t="s">
        <v>21</v>
      </c>
      <c r="H280" t="str">
        <f>"T1 202109178621"</f>
        <v>T1 202109178621</v>
      </c>
      <c r="I280" t="str">
        <f>"FED WITHHOLDINGS"</f>
        <v>FED WITHHOLDINGS</v>
      </c>
    </row>
    <row r="281" spans="1:9" x14ac:dyDescent="0.25">
      <c r="E281" s="7"/>
      <c r="F281" t="s">
        <v>20</v>
      </c>
      <c r="G281" s="10" t="s">
        <v>21</v>
      </c>
      <c r="H281" t="str">
        <f>"T3 202109178621"</f>
        <v>T3 202109178621</v>
      </c>
      <c r="I281" t="str">
        <f>"FICA WITHHOLDINGS"</f>
        <v>FICA WITHHOLDINGS</v>
      </c>
    </row>
    <row r="282" spans="1:9" x14ac:dyDescent="0.25">
      <c r="E282" s="7"/>
      <c r="F282" t="s">
        <v>20</v>
      </c>
      <c r="G282" s="10" t="s">
        <v>21</v>
      </c>
      <c r="H282" t="str">
        <f>"T4 202109178621"</f>
        <v>T4 202109178621</v>
      </c>
      <c r="I282" t="str">
        <f>"MEDICARE WITHHOLDINGS"</f>
        <v>MEDICARE WITHHOLDINGS</v>
      </c>
    </row>
    <row r="283" spans="1:9" x14ac:dyDescent="0.25">
      <c r="A283" s="6">
        <v>44460</v>
      </c>
      <c r="B283" t="s">
        <v>18</v>
      </c>
      <c r="C283">
        <v>130</v>
      </c>
      <c r="D283" t="s">
        <v>19</v>
      </c>
      <c r="E283" s="7">
        <v>29316.78</v>
      </c>
      <c r="F283" t="s">
        <v>20</v>
      </c>
      <c r="G283" s="10" t="s">
        <v>21</v>
      </c>
      <c r="H283" t="str">
        <f>"T1 202109218622"</f>
        <v>T1 202109218622</v>
      </c>
      <c r="I283" t="str">
        <f>"FED WITHHOLDINGS"</f>
        <v>FED WITHHOLDINGS</v>
      </c>
    </row>
    <row r="284" spans="1:9" x14ac:dyDescent="0.25">
      <c r="E284" s="7"/>
      <c r="F284" t="s">
        <v>20</v>
      </c>
      <c r="G284" s="10" t="s">
        <v>21</v>
      </c>
      <c r="H284" t="str">
        <f>"T3 202109218622"</f>
        <v>T3 202109218622</v>
      </c>
      <c r="I284" t="str">
        <f>"FICA WITHHOLDINGS"</f>
        <v>FICA WITHHOLDINGS</v>
      </c>
    </row>
    <row r="285" spans="1:9" x14ac:dyDescent="0.25">
      <c r="E285" s="7"/>
      <c r="F285" t="s">
        <v>20</v>
      </c>
      <c r="G285" s="10" t="s">
        <v>21</v>
      </c>
      <c r="H285" t="str">
        <f>"T4 202109218622"</f>
        <v>T4 202109218622</v>
      </c>
      <c r="I285" t="str">
        <f>"MEDICARE WITHHOLDINGS"</f>
        <v>MEDICARE WITHHOLDINGS</v>
      </c>
    </row>
    <row r="286" spans="1:9" x14ac:dyDescent="0.25">
      <c r="A286" s="6">
        <v>44109</v>
      </c>
      <c r="B286" t="s">
        <v>26</v>
      </c>
      <c r="C286">
        <v>65095</v>
      </c>
      <c r="D286" t="s">
        <v>90</v>
      </c>
      <c r="E286" s="7">
        <v>1385.58</v>
      </c>
      <c r="F286" t="s">
        <v>20</v>
      </c>
      <c r="G286" s="10" t="s">
        <v>24</v>
      </c>
      <c r="H286" t="str">
        <f>"SEPT.2020"</f>
        <v>SEPT.2020</v>
      </c>
      <c r="I286" t="str">
        <f>"AFLAC"</f>
        <v>AFLAC</v>
      </c>
    </row>
    <row r="287" spans="1:9" x14ac:dyDescent="0.25">
      <c r="E287" s="7"/>
      <c r="F287" t="s">
        <v>20</v>
      </c>
      <c r="G287" s="10" t="s">
        <v>21</v>
      </c>
      <c r="H287" t="str">
        <f>"ACA202009088583"</f>
        <v>ACA202009088583</v>
      </c>
      <c r="I287" t="str">
        <f>"AFLAC INSURANCE"</f>
        <v>AFLAC INSURANCE</v>
      </c>
    </row>
    <row r="288" spans="1:9" x14ac:dyDescent="0.25">
      <c r="E288" s="7"/>
      <c r="F288" t="s">
        <v>20</v>
      </c>
      <c r="G288" s="10" t="s">
        <v>21</v>
      </c>
      <c r="H288" t="str">
        <f>"ACA202009228585"</f>
        <v>ACA202009228585</v>
      </c>
      <c r="I288" t="str">
        <f>"AFLAC INSURANCE"</f>
        <v>AFLAC INSURANCE</v>
      </c>
    </row>
    <row r="289" spans="1:9" x14ac:dyDescent="0.25">
      <c r="E289" s="7"/>
      <c r="F289" t="s">
        <v>20</v>
      </c>
      <c r="G289" s="10" t="s">
        <v>21</v>
      </c>
      <c r="H289" t="str">
        <f>"ADR202009088583"</f>
        <v>ADR202009088583</v>
      </c>
      <c r="I289" t="str">
        <f>"INSURANCE"</f>
        <v>INSURANCE</v>
      </c>
    </row>
    <row r="290" spans="1:9" x14ac:dyDescent="0.25">
      <c r="E290" s="7"/>
      <c r="F290" t="s">
        <v>20</v>
      </c>
      <c r="G290" s="10" t="s">
        <v>21</v>
      </c>
      <c r="H290" t="str">
        <f>"ADR202009228585"</f>
        <v>ADR202009228585</v>
      </c>
      <c r="I290" t="str">
        <f>"INSURANCE"</f>
        <v>INSURANCE</v>
      </c>
    </row>
    <row r="291" spans="1:9" x14ac:dyDescent="0.25">
      <c r="E291" s="7"/>
      <c r="F291" t="s">
        <v>20</v>
      </c>
      <c r="G291" s="10" t="s">
        <v>21</v>
      </c>
      <c r="H291" t="str">
        <f>"AF1202009088583"</f>
        <v>AF1202009088583</v>
      </c>
      <c r="I291" t="str">
        <f>"AFLAC INSURANCE"</f>
        <v>AFLAC INSURANCE</v>
      </c>
    </row>
    <row r="292" spans="1:9" x14ac:dyDescent="0.25">
      <c r="E292" s="7"/>
      <c r="F292" t="s">
        <v>20</v>
      </c>
      <c r="G292" s="10" t="s">
        <v>21</v>
      </c>
      <c r="H292" t="str">
        <f>"AF1202009228585"</f>
        <v>AF1202009228585</v>
      </c>
      <c r="I292" t="str">
        <f>"AFLAC INSURANCE"</f>
        <v>AFLAC INSURANCE</v>
      </c>
    </row>
    <row r="293" spans="1:9" x14ac:dyDescent="0.25">
      <c r="E293" s="7"/>
      <c r="F293" t="s">
        <v>20</v>
      </c>
      <c r="G293" s="10" t="s">
        <v>21</v>
      </c>
      <c r="H293" t="str">
        <f>"AFS202009088583"</f>
        <v>AFS202009088583</v>
      </c>
      <c r="I293" t="str">
        <f>"AFLAC STD"</f>
        <v>AFLAC STD</v>
      </c>
    </row>
    <row r="294" spans="1:9" x14ac:dyDescent="0.25">
      <c r="E294" s="7"/>
      <c r="F294" t="s">
        <v>20</v>
      </c>
      <c r="G294" s="10" t="s">
        <v>21</v>
      </c>
      <c r="H294" t="str">
        <f>"AFS202009228585"</f>
        <v>AFS202009228585</v>
      </c>
      <c r="I294" t="str">
        <f>"AFLAC STD"</f>
        <v>AFLAC STD</v>
      </c>
    </row>
    <row r="295" spans="1:9" x14ac:dyDescent="0.25">
      <c r="E295" s="7"/>
      <c r="F295" t="s">
        <v>20</v>
      </c>
      <c r="G295" s="10" t="s">
        <v>21</v>
      </c>
      <c r="H295" t="str">
        <f>"ASP202009088583"</f>
        <v>ASP202009088583</v>
      </c>
      <c r="I295" t="str">
        <f>"AFLAC INSURANCE"</f>
        <v>AFLAC INSURANCE</v>
      </c>
    </row>
    <row r="296" spans="1:9" x14ac:dyDescent="0.25">
      <c r="E296" s="7"/>
      <c r="F296" t="s">
        <v>20</v>
      </c>
      <c r="G296" s="10" t="s">
        <v>21</v>
      </c>
      <c r="H296" t="str">
        <f>"ASP202009228585"</f>
        <v>ASP202009228585</v>
      </c>
      <c r="I296" t="str">
        <f>"AFLAC INSURANCE"</f>
        <v>AFLAC INSURANCE</v>
      </c>
    </row>
    <row r="297" spans="1:9" x14ac:dyDescent="0.25">
      <c r="E297" s="7"/>
      <c r="F297" t="s">
        <v>20</v>
      </c>
      <c r="G297" s="10" t="s">
        <v>21</v>
      </c>
      <c r="H297" t="str">
        <f>"HCO202009088583"</f>
        <v>HCO202009088583</v>
      </c>
      <c r="I297" t="str">
        <f>"AFLAC INSURANCE"</f>
        <v>AFLAC INSURANCE</v>
      </c>
    </row>
    <row r="298" spans="1:9" x14ac:dyDescent="0.25">
      <c r="E298" s="7"/>
      <c r="F298" t="s">
        <v>20</v>
      </c>
      <c r="G298" s="10" t="s">
        <v>21</v>
      </c>
      <c r="H298" t="str">
        <f>"HCO202009228585"</f>
        <v>HCO202009228585</v>
      </c>
      <c r="I298" t="str">
        <f>"AFLAC INSURANCE"</f>
        <v>AFLAC INSURANCE</v>
      </c>
    </row>
    <row r="299" spans="1:9" x14ac:dyDescent="0.25">
      <c r="A299" s="6">
        <v>44109</v>
      </c>
      <c r="B299" t="s">
        <v>26</v>
      </c>
      <c r="C299">
        <v>65100</v>
      </c>
      <c r="D299" t="s">
        <v>98</v>
      </c>
      <c r="E299" s="7">
        <v>3683.86</v>
      </c>
      <c r="F299" t="s">
        <v>20</v>
      </c>
      <c r="G299" s="10" t="s">
        <v>329</v>
      </c>
      <c r="H299" t="str">
        <f>"OCT.2020"</f>
        <v>OCT.2020</v>
      </c>
      <c r="I299" t="str">
        <f>"DEARBORN LIFE INSURANCE COMPAN"</f>
        <v>DEARBORN LIFE INSURANCE COMPAN</v>
      </c>
    </row>
    <row r="300" spans="1:9" x14ac:dyDescent="0.25">
      <c r="E300" s="7"/>
      <c r="F300" t="s">
        <v>20</v>
      </c>
      <c r="G300" s="10" t="s">
        <v>21</v>
      </c>
      <c r="H300" t="str">
        <f>"LIF202009088583"</f>
        <v>LIF202009088583</v>
      </c>
      <c r="I300" t="str">
        <f>"INSURANCE"</f>
        <v>INSURANCE</v>
      </c>
    </row>
    <row r="301" spans="1:9" x14ac:dyDescent="0.25">
      <c r="E301" s="7"/>
      <c r="F301" t="s">
        <v>20</v>
      </c>
      <c r="G301" s="10" t="s">
        <v>21</v>
      </c>
      <c r="H301" t="str">
        <f>"LIF202009228585"</f>
        <v>LIF202009228585</v>
      </c>
      <c r="I301" t="str">
        <f>"INSURANCE"</f>
        <v>INSURANCE</v>
      </c>
    </row>
    <row r="302" spans="1:9" x14ac:dyDescent="0.25">
      <c r="E302" s="7"/>
      <c r="F302" t="s">
        <v>20</v>
      </c>
      <c r="G302" s="10" t="s">
        <v>21</v>
      </c>
      <c r="H302" t="str">
        <f>"STD202009088583"</f>
        <v>STD202009088583</v>
      </c>
      <c r="I302" t="str">
        <f>"SHORT TERM DISABILITY"</f>
        <v>SHORT TERM DISABILITY</v>
      </c>
    </row>
    <row r="303" spans="1:9" x14ac:dyDescent="0.25">
      <c r="E303" s="7"/>
      <c r="F303" t="s">
        <v>20</v>
      </c>
      <c r="G303" s="10" t="s">
        <v>21</v>
      </c>
      <c r="H303" t="str">
        <f>"STD202009228585"</f>
        <v>STD202009228585</v>
      </c>
      <c r="I303" t="str">
        <f>"SHORT TERM DISABILITY"</f>
        <v>SHORT TERM DISABILITY</v>
      </c>
    </row>
    <row r="304" spans="1:9" x14ac:dyDescent="0.25">
      <c r="E304" s="7"/>
      <c r="F304" t="s">
        <v>20</v>
      </c>
      <c r="G304" s="10" t="s">
        <v>21</v>
      </c>
      <c r="H304" t="str">
        <f>"VIS202009088583"</f>
        <v>VIS202009088583</v>
      </c>
      <c r="I304" t="str">
        <f>"VISION INSURANCE"</f>
        <v>VISION INSURANCE</v>
      </c>
    </row>
    <row r="305" spans="1:9" x14ac:dyDescent="0.25">
      <c r="E305" s="7"/>
      <c r="F305" t="s">
        <v>20</v>
      </c>
      <c r="G305" s="10" t="s">
        <v>21</v>
      </c>
      <c r="H305" t="str">
        <f>"VIS202009228585"</f>
        <v>VIS202009228585</v>
      </c>
      <c r="I305" t="str">
        <f>"VISION INSURANCE"</f>
        <v>VISION INSURANCE</v>
      </c>
    </row>
    <row r="306" spans="1:9" x14ac:dyDescent="0.25">
      <c r="E306" s="7"/>
      <c r="F306" t="s">
        <v>20</v>
      </c>
      <c r="G306" s="10" t="s">
        <v>21</v>
      </c>
      <c r="H306" t="str">
        <f>"VLC202009088583"</f>
        <v>VLC202009088583</v>
      </c>
      <c r="I306" t="str">
        <f>"CHILD LIFE INSURANCE"</f>
        <v>CHILD LIFE INSURANCE</v>
      </c>
    </row>
    <row r="307" spans="1:9" x14ac:dyDescent="0.25">
      <c r="E307" s="7"/>
      <c r="F307" t="s">
        <v>20</v>
      </c>
      <c r="G307" s="10" t="s">
        <v>21</v>
      </c>
      <c r="H307" t="str">
        <f>"VLC202009228585"</f>
        <v>VLC202009228585</v>
      </c>
      <c r="I307" t="str">
        <f>"CHILD LIFE INSURANCE"</f>
        <v>CHILD LIFE INSURANCE</v>
      </c>
    </row>
    <row r="308" spans="1:9" x14ac:dyDescent="0.25">
      <c r="E308" s="7"/>
      <c r="F308" t="s">
        <v>20</v>
      </c>
      <c r="G308" s="10" t="s">
        <v>21</v>
      </c>
      <c r="H308" t="str">
        <f>"VLS202009088583"</f>
        <v>VLS202009088583</v>
      </c>
      <c r="I308" t="str">
        <f>"SPOUSE LIFE"</f>
        <v>SPOUSE LIFE</v>
      </c>
    </row>
    <row r="309" spans="1:9" x14ac:dyDescent="0.25">
      <c r="E309" s="7"/>
      <c r="F309" t="s">
        <v>20</v>
      </c>
      <c r="G309" s="10" t="s">
        <v>21</v>
      </c>
      <c r="H309" t="str">
        <f>"VLS202009228585"</f>
        <v>VLS202009228585</v>
      </c>
      <c r="I309" t="str">
        <f>"SPOUSE LIFE"</f>
        <v>SPOUSE LIFE</v>
      </c>
    </row>
    <row r="310" spans="1:9" x14ac:dyDescent="0.25">
      <c r="E310" s="7"/>
      <c r="F310" t="s">
        <v>20</v>
      </c>
      <c r="G310" s="10" t="s">
        <v>21</v>
      </c>
      <c r="H310" t="str">
        <f>"VOE202009088583"</f>
        <v>VOE202009088583</v>
      </c>
      <c r="I310" t="str">
        <f>"EMPLOYEE LIFE"</f>
        <v>EMPLOYEE LIFE</v>
      </c>
    </row>
    <row r="311" spans="1:9" x14ac:dyDescent="0.25">
      <c r="E311" s="7"/>
      <c r="F311" t="s">
        <v>20</v>
      </c>
      <c r="G311" s="10" t="s">
        <v>21</v>
      </c>
      <c r="H311" t="str">
        <f>"VOE202009228585"</f>
        <v>VOE202009228585</v>
      </c>
      <c r="I311" t="str">
        <f>"EMPLOYEE LIFE"</f>
        <v>EMPLOYEE LIFE</v>
      </c>
    </row>
    <row r="312" spans="1:9" x14ac:dyDescent="0.25">
      <c r="E312" s="7"/>
      <c r="F312" t="s">
        <v>20</v>
      </c>
      <c r="G312" s="10" t="s">
        <v>21</v>
      </c>
      <c r="H312" t="str">
        <f>"VOL202009088583"</f>
        <v>VOL202009088583</v>
      </c>
      <c r="I312" t="str">
        <f>"LIFE"</f>
        <v>LIFE</v>
      </c>
    </row>
    <row r="313" spans="1:9" x14ac:dyDescent="0.25">
      <c r="E313" s="7"/>
      <c r="F313" t="s">
        <v>20</v>
      </c>
      <c r="G313" s="10" t="s">
        <v>21</v>
      </c>
      <c r="H313" t="str">
        <f>"VOL202009228585"</f>
        <v>VOL202009228585</v>
      </c>
      <c r="I313" t="str">
        <f>"LIFE"</f>
        <v>LIFE</v>
      </c>
    </row>
    <row r="314" spans="1:9" x14ac:dyDescent="0.25">
      <c r="A314" s="6">
        <v>44109</v>
      </c>
      <c r="B314" t="s">
        <v>26</v>
      </c>
      <c r="C314">
        <v>65110</v>
      </c>
      <c r="D314" t="s">
        <v>97</v>
      </c>
      <c r="E314" s="7">
        <v>45566.46</v>
      </c>
      <c r="F314" t="s">
        <v>20</v>
      </c>
      <c r="G314" s="10" t="s">
        <v>329</v>
      </c>
      <c r="H314" t="str">
        <f>"OCT.2020"</f>
        <v>OCT.2020</v>
      </c>
      <c r="I314" t="str">
        <f>"HEALTH CARE SERVICE CORPORATIO"</f>
        <v>HEALTH CARE SERVICE CORPORATIO</v>
      </c>
    </row>
    <row r="315" spans="1:9" x14ac:dyDescent="0.25">
      <c r="E315" s="7"/>
      <c r="F315" t="s">
        <v>20</v>
      </c>
      <c r="G315" s="10" t="s">
        <v>21</v>
      </c>
      <c r="H315" t="str">
        <f>"DEN202009088583"</f>
        <v>DEN202009088583</v>
      </c>
      <c r="I315" t="str">
        <f>"DENTAL INSURANCE"</f>
        <v>DENTAL INSURANCE</v>
      </c>
    </row>
    <row r="316" spans="1:9" x14ac:dyDescent="0.25">
      <c r="E316" s="7"/>
      <c r="F316" t="s">
        <v>20</v>
      </c>
      <c r="G316" s="10" t="s">
        <v>21</v>
      </c>
      <c r="H316" t="str">
        <f>"DEN202009228585"</f>
        <v>DEN202009228585</v>
      </c>
      <c r="I316" t="str">
        <f>"DENTAL INSURANCE"</f>
        <v>DENTAL INSURANCE</v>
      </c>
    </row>
    <row r="317" spans="1:9" x14ac:dyDescent="0.25">
      <c r="E317" s="7"/>
      <c r="F317" t="s">
        <v>20</v>
      </c>
      <c r="G317" s="10" t="s">
        <v>21</v>
      </c>
      <c r="H317" t="str">
        <f>"MED202009088583"</f>
        <v>MED202009088583</v>
      </c>
      <c r="I317" t="str">
        <f>"HEALTH &amp; DENTAL INSURANCE"</f>
        <v>HEALTH &amp; DENTAL INSURANCE</v>
      </c>
    </row>
    <row r="318" spans="1:9" x14ac:dyDescent="0.25">
      <c r="E318" s="7"/>
      <c r="F318" t="s">
        <v>20</v>
      </c>
      <c r="G318" s="10" t="s">
        <v>21</v>
      </c>
      <c r="H318" t="str">
        <f>"MED202009228585"</f>
        <v>MED202009228585</v>
      </c>
      <c r="I318" t="str">
        <f>"HEALTH &amp; DENTAL INSURANCE"</f>
        <v>HEALTH &amp; DENTAL INSURANCE</v>
      </c>
    </row>
    <row r="319" spans="1:9" x14ac:dyDescent="0.25">
      <c r="A319" s="6">
        <v>44109</v>
      </c>
      <c r="B319" t="s">
        <v>26</v>
      </c>
      <c r="C319">
        <v>65116</v>
      </c>
      <c r="D319" t="s">
        <v>96</v>
      </c>
      <c r="E319" s="7">
        <v>199.3</v>
      </c>
      <c r="F319" t="s">
        <v>20</v>
      </c>
      <c r="G319" s="10" t="s">
        <v>329</v>
      </c>
      <c r="H319" t="str">
        <f>"SEPT.2020"</f>
        <v>SEPT.2020</v>
      </c>
      <c r="I319" t="str">
        <f>"LEGALSHIELD"</f>
        <v>LEGALSHIELD</v>
      </c>
    </row>
    <row r="320" spans="1:9" x14ac:dyDescent="0.25">
      <c r="E320" s="7"/>
      <c r="F320" t="s">
        <v>20</v>
      </c>
      <c r="G320" s="10" t="s">
        <v>21</v>
      </c>
      <c r="H320" t="str">
        <f>"PPL202009088583"</f>
        <v>PPL202009088583</v>
      </c>
      <c r="I320" t="str">
        <f>"INSURANCE"</f>
        <v>INSURANCE</v>
      </c>
    </row>
    <row r="321" spans="1:9" x14ac:dyDescent="0.25">
      <c r="E321" s="7"/>
      <c r="F321" t="s">
        <v>20</v>
      </c>
      <c r="G321" s="10" t="s">
        <v>21</v>
      </c>
      <c r="H321" t="str">
        <f>"PPL202009228585"</f>
        <v>PPL202009228585</v>
      </c>
      <c r="I321" t="str">
        <f>"INSURANCE"</f>
        <v>INSURANCE</v>
      </c>
    </row>
    <row r="322" spans="1:9" x14ac:dyDescent="0.25">
      <c r="A322" s="6">
        <v>44109</v>
      </c>
      <c r="B322" t="s">
        <v>26</v>
      </c>
      <c r="C322">
        <v>65118</v>
      </c>
      <c r="D322" t="s">
        <v>92</v>
      </c>
      <c r="E322" s="7">
        <v>33378.129999999997</v>
      </c>
      <c r="F322" t="s">
        <v>20</v>
      </c>
      <c r="G322" s="10" t="s">
        <v>21</v>
      </c>
      <c r="H322" t="str">
        <f>"SEPT. 2020"</f>
        <v>SEPT. 2020</v>
      </c>
      <c r="I322" t="str">
        <f>"TEXAS MUNICIPAL RETIREMENT SYS"</f>
        <v>TEXAS MUNICIPAL RETIREMENT SYS</v>
      </c>
    </row>
    <row r="323" spans="1:9" x14ac:dyDescent="0.25">
      <c r="A323" s="6">
        <v>44110</v>
      </c>
      <c r="B323" t="s">
        <v>91</v>
      </c>
      <c r="C323">
        <v>65126</v>
      </c>
      <c r="D323" t="s">
        <v>51</v>
      </c>
      <c r="E323" s="7">
        <v>327.84</v>
      </c>
      <c r="F323" t="s">
        <v>20</v>
      </c>
      <c r="G323" s="10" t="s">
        <v>21</v>
      </c>
      <c r="H323" t="str">
        <f>"CLE202010068586"</f>
        <v>CLE202010068586</v>
      </c>
      <c r="I323" t="str">
        <f>"CLEAT ONLY DUES"</f>
        <v>CLEAT ONLY DUES</v>
      </c>
    </row>
    <row r="324" spans="1:9" x14ac:dyDescent="0.25">
      <c r="E324" s="7"/>
      <c r="F324" t="s">
        <v>20</v>
      </c>
      <c r="G324" s="10" t="s">
        <v>21</v>
      </c>
      <c r="H324" t="str">
        <f>"PDD202010068586"</f>
        <v>PDD202010068586</v>
      </c>
      <c r="I324" t="str">
        <f>"POLICE OFFICERS ASSOC DUES"</f>
        <v>POLICE OFFICERS ASSOC DUES</v>
      </c>
    </row>
    <row r="325" spans="1:9" x14ac:dyDescent="0.25">
      <c r="A325" s="6">
        <v>44166</v>
      </c>
      <c r="B325" t="s">
        <v>91</v>
      </c>
      <c r="C325">
        <v>65126</v>
      </c>
      <c r="D325" t="s">
        <v>51</v>
      </c>
      <c r="E325" s="7">
        <v>327.84</v>
      </c>
      <c r="F325" t="s">
        <v>20</v>
      </c>
      <c r="G325" s="10" t="s">
        <v>93</v>
      </c>
      <c r="H325" t="str">
        <f>"CHECK"</f>
        <v>CHECK</v>
      </c>
      <c r="I325" t="str">
        <f>""</f>
        <v/>
      </c>
    </row>
    <row r="326" spans="1:9" x14ac:dyDescent="0.25">
      <c r="A326" s="6">
        <v>44110</v>
      </c>
      <c r="B326" t="s">
        <v>26</v>
      </c>
      <c r="C326">
        <v>65127</v>
      </c>
      <c r="D326" t="s">
        <v>52</v>
      </c>
      <c r="E326" s="7">
        <v>405</v>
      </c>
      <c r="F326" t="s">
        <v>20</v>
      </c>
      <c r="G326" s="10" t="s">
        <v>21</v>
      </c>
      <c r="H326" t="str">
        <f>"CA1202010068586"</f>
        <v>CA1202010068586</v>
      </c>
      <c r="I326" t="str">
        <f>"K RAMIREZ 001200229510060343CV"</f>
        <v>K RAMIREZ 001200229510060343CV</v>
      </c>
    </row>
    <row r="327" spans="1:9" x14ac:dyDescent="0.25">
      <c r="E327" s="7"/>
      <c r="F327" t="s">
        <v>20</v>
      </c>
      <c r="G327" s="10" t="s">
        <v>21</v>
      </c>
      <c r="H327" t="str">
        <f>"CA2202010068586"</f>
        <v>CA2202010068586</v>
      </c>
      <c r="I327" t="str">
        <f>"L HERNANDEZ 001016025203080354"</f>
        <v>L HERNANDEZ 001016025203080354</v>
      </c>
    </row>
    <row r="328" spans="1:9" x14ac:dyDescent="0.25">
      <c r="E328" s="7"/>
      <c r="F328" t="s">
        <v>20</v>
      </c>
      <c r="G328" s="10" t="s">
        <v>21</v>
      </c>
      <c r="H328" t="str">
        <f>"CA3202010068586"</f>
        <v>CA3202010068586</v>
      </c>
      <c r="I328" t="str">
        <f>"00120788612011EM5023JOLENEGARC"</f>
        <v>00120788612011EM5023JOLENEGARC</v>
      </c>
    </row>
    <row r="329" spans="1:9" x14ac:dyDescent="0.25">
      <c r="E329" s="7"/>
      <c r="F329" t="s">
        <v>20</v>
      </c>
      <c r="G329" s="10" t="s">
        <v>21</v>
      </c>
      <c r="H329" t="str">
        <f>"CSA202010068586"</f>
        <v>CSA202010068586</v>
      </c>
      <c r="I329" t="str">
        <f>"S RODRIGUEZ 001281730413050336"</f>
        <v>S RODRIGUEZ 001281730413050336</v>
      </c>
    </row>
    <row r="330" spans="1:9" x14ac:dyDescent="0.25">
      <c r="A330" s="6">
        <v>44110</v>
      </c>
      <c r="B330" t="s">
        <v>26</v>
      </c>
      <c r="C330">
        <v>65128</v>
      </c>
      <c r="D330" t="s">
        <v>138</v>
      </c>
      <c r="E330" s="7">
        <v>615.36</v>
      </c>
      <c r="F330" t="s">
        <v>20</v>
      </c>
      <c r="G330" s="10" t="s">
        <v>21</v>
      </c>
      <c r="H330" t="str">
        <f>"FLX202010068586"</f>
        <v>FLX202010068586</v>
      </c>
      <c r="I330" t="str">
        <f>"FLEX SPENDING"</f>
        <v>FLEX SPENDING</v>
      </c>
    </row>
    <row r="331" spans="1:9" x14ac:dyDescent="0.25">
      <c r="A331" s="6">
        <v>44110</v>
      </c>
      <c r="B331" t="s">
        <v>26</v>
      </c>
      <c r="C331">
        <v>65129</v>
      </c>
      <c r="D331" t="s">
        <v>54</v>
      </c>
      <c r="E331" s="7">
        <v>1186.68</v>
      </c>
      <c r="F331" t="s">
        <v>20</v>
      </c>
      <c r="G331" s="10" t="s">
        <v>21</v>
      </c>
      <c r="H331" t="str">
        <f>"457202010068586"</f>
        <v>457202010068586</v>
      </c>
      <c r="I331" t="str">
        <f>"CASE # 180-60751 457B DEDUCT"</f>
        <v>CASE # 180-60751 457B DEDUCT</v>
      </c>
    </row>
    <row r="332" spans="1:9" x14ac:dyDescent="0.25">
      <c r="A332" s="6">
        <v>44110</v>
      </c>
      <c r="B332" t="s">
        <v>26</v>
      </c>
      <c r="C332">
        <v>65130</v>
      </c>
      <c r="D332" t="s">
        <v>969</v>
      </c>
      <c r="E332" s="7">
        <v>88.74</v>
      </c>
      <c r="F332" t="s">
        <v>20</v>
      </c>
      <c r="G332" s="10" t="s">
        <v>21</v>
      </c>
      <c r="H332" t="str">
        <f>"ATG202010068586"</f>
        <v>ATG202010068586</v>
      </c>
      <c r="I332" t="str">
        <f>"WG1910853 A. TREVINO"</f>
        <v>WG1910853 A. TREVINO</v>
      </c>
    </row>
    <row r="333" spans="1:9" x14ac:dyDescent="0.25">
      <c r="A333" s="6">
        <v>44110</v>
      </c>
      <c r="B333" t="s">
        <v>26</v>
      </c>
      <c r="C333">
        <v>65131</v>
      </c>
      <c r="D333" t="s">
        <v>81</v>
      </c>
      <c r="E333" s="7">
        <v>233.07</v>
      </c>
      <c r="F333" t="s">
        <v>20</v>
      </c>
      <c r="G333" s="10" t="s">
        <v>21</v>
      </c>
      <c r="H333" t="str">
        <f>"A.MONTOYA 9/30/20"</f>
        <v>A.MONTOYA 9/30/20</v>
      </c>
      <c r="I333" t="str">
        <f>"CITY OF FLORESVILLE -PETTY CAS"</f>
        <v>CITY OF FLORESVILLE -PETTY CAS</v>
      </c>
    </row>
    <row r="334" spans="1:9" x14ac:dyDescent="0.25">
      <c r="A334" s="6">
        <v>44110</v>
      </c>
      <c r="B334" t="s">
        <v>26</v>
      </c>
      <c r="C334">
        <v>65132</v>
      </c>
      <c r="D334" t="s">
        <v>739</v>
      </c>
      <c r="E334" s="7">
        <v>826.68</v>
      </c>
      <c r="F334" t="s">
        <v>20</v>
      </c>
      <c r="G334" s="10" t="s">
        <v>21</v>
      </c>
      <c r="H334" t="str">
        <f>"X09272020"</f>
        <v>X09272020</v>
      </c>
      <c r="I334" t="str">
        <f>"FIRSTNET/AT&amp;T MOBILITY LLC"</f>
        <v>FIRSTNET/AT&amp;T MOBILITY LLC</v>
      </c>
    </row>
    <row r="335" spans="1:9" x14ac:dyDescent="0.25">
      <c r="A335" s="6">
        <v>44110</v>
      </c>
      <c r="B335" t="s">
        <v>26</v>
      </c>
      <c r="C335">
        <v>65133</v>
      </c>
      <c r="D335" t="s">
        <v>194</v>
      </c>
      <c r="E335" s="7">
        <v>153</v>
      </c>
      <c r="F335" t="s">
        <v>20</v>
      </c>
      <c r="G335" s="10" t="s">
        <v>21</v>
      </c>
      <c r="H335" t="str">
        <f>"016413559"</f>
        <v>016413559</v>
      </c>
      <c r="I335" t="str">
        <f>"GALLS  LLC-D.B.A. STERLING'S U"</f>
        <v>GALLS  LLC-D.B.A. STERLING'S U</v>
      </c>
    </row>
    <row r="336" spans="1:9" x14ac:dyDescent="0.25">
      <c r="A336" s="6">
        <v>44110</v>
      </c>
      <c r="B336" t="s">
        <v>26</v>
      </c>
      <c r="C336">
        <v>65134</v>
      </c>
      <c r="D336" t="s">
        <v>430</v>
      </c>
      <c r="E336" s="7">
        <v>82</v>
      </c>
      <c r="F336" t="s">
        <v>20</v>
      </c>
      <c r="G336" s="10" t="s">
        <v>21</v>
      </c>
      <c r="H336" t="str">
        <f>"TASER INST. 9/6/20"</f>
        <v>TASER INST. 9/6/20</v>
      </c>
      <c r="I336" t="str">
        <f>"GILBERT RODRIGUEZ"</f>
        <v>GILBERT RODRIGUEZ</v>
      </c>
    </row>
    <row r="337" spans="1:9" x14ac:dyDescent="0.25">
      <c r="A337" s="6">
        <v>44110</v>
      </c>
      <c r="B337" t="s">
        <v>26</v>
      </c>
      <c r="C337">
        <v>65135</v>
      </c>
      <c r="D337" t="s">
        <v>446</v>
      </c>
      <c r="E337" s="7">
        <v>315</v>
      </c>
      <c r="F337" t="s">
        <v>20</v>
      </c>
      <c r="G337" s="10" t="s">
        <v>21</v>
      </c>
      <c r="H337" t="str">
        <f>"9/19/2020 REISSUE"</f>
        <v>9/19/2020 REISSUE</v>
      </c>
      <c r="I337" t="str">
        <f>"ISAIAH BARRIENTEZ"</f>
        <v>ISAIAH BARRIENTEZ</v>
      </c>
    </row>
    <row r="338" spans="1:9" x14ac:dyDescent="0.25">
      <c r="A338" s="6">
        <v>44110</v>
      </c>
      <c r="B338" t="s">
        <v>26</v>
      </c>
      <c r="C338">
        <v>65136</v>
      </c>
      <c r="D338" t="s">
        <v>80</v>
      </c>
      <c r="E338" s="7">
        <v>1500</v>
      </c>
      <c r="F338" t="s">
        <v>20</v>
      </c>
      <c r="G338" s="10" t="s">
        <v>21</v>
      </c>
      <c r="H338" t="str">
        <f>"1648-20201001-1"</f>
        <v>1648-20201001-1</v>
      </c>
      <c r="I338" t="str">
        <f>"LVWIFI.COM"</f>
        <v>LVWIFI.COM</v>
      </c>
    </row>
    <row r="339" spans="1:9" x14ac:dyDescent="0.25">
      <c r="E339" s="7"/>
      <c r="F339" t="s">
        <v>20</v>
      </c>
      <c r="G339" s="10" t="s">
        <v>21</v>
      </c>
      <c r="H339" t="str">
        <f>"2313-20201001-1"</f>
        <v>2313-20201001-1</v>
      </c>
      <c r="I339" t="str">
        <f>"LVWIFI.COM"</f>
        <v>LVWIFI.COM</v>
      </c>
    </row>
    <row r="340" spans="1:9" x14ac:dyDescent="0.25">
      <c r="A340" s="6">
        <v>44110</v>
      </c>
      <c r="B340" t="s">
        <v>26</v>
      </c>
      <c r="C340">
        <v>65137</v>
      </c>
      <c r="D340" t="s">
        <v>978</v>
      </c>
      <c r="E340" s="7">
        <v>1500</v>
      </c>
      <c r="F340" t="s">
        <v>20</v>
      </c>
      <c r="G340" s="10" t="s">
        <v>21</v>
      </c>
      <c r="H340" t="str">
        <f>"557-2019"</f>
        <v>557-2019</v>
      </c>
      <c r="I340" t="str">
        <f>"SPECIALIZED PUBLIC FINANCE INC"</f>
        <v>SPECIALIZED PUBLIC FINANCE INC</v>
      </c>
    </row>
    <row r="341" spans="1:9" x14ac:dyDescent="0.25">
      <c r="A341" s="6">
        <v>44110</v>
      </c>
      <c r="B341" t="s">
        <v>26</v>
      </c>
      <c r="C341">
        <v>65138</v>
      </c>
      <c r="D341" t="s">
        <v>74</v>
      </c>
      <c r="E341" s="7">
        <v>37.549999999999997</v>
      </c>
      <c r="F341" t="s">
        <v>20</v>
      </c>
      <c r="G341" s="10" t="s">
        <v>21</v>
      </c>
      <c r="H341" t="str">
        <f>"9863514414"</f>
        <v>9863514414</v>
      </c>
      <c r="I341" t="str">
        <f>"VERIZON WIRELESS"</f>
        <v>VERIZON WIRELESS</v>
      </c>
    </row>
    <row r="342" spans="1:9" x14ac:dyDescent="0.25">
      <c r="A342" s="6">
        <v>44110</v>
      </c>
      <c r="B342" t="s">
        <v>26</v>
      </c>
      <c r="C342">
        <v>65139</v>
      </c>
      <c r="D342" t="s">
        <v>968</v>
      </c>
      <c r="E342" s="7">
        <v>11725.5</v>
      </c>
      <c r="F342" t="s">
        <v>20</v>
      </c>
      <c r="G342" s="10" t="s">
        <v>21</v>
      </c>
      <c r="H342" t="str">
        <f>"01956-3"</f>
        <v>01956-3</v>
      </c>
      <c r="I342" t="str">
        <f>"CLEVELAND DOUGLAS HURST"</f>
        <v>CLEVELAND DOUGLAS HURST</v>
      </c>
    </row>
    <row r="343" spans="1:9" x14ac:dyDescent="0.25">
      <c r="A343" s="6">
        <v>44111</v>
      </c>
      <c r="B343" t="s">
        <v>26</v>
      </c>
      <c r="C343">
        <v>65140</v>
      </c>
      <c r="D343" t="s">
        <v>74</v>
      </c>
      <c r="E343" s="7">
        <v>3554.92</v>
      </c>
      <c r="F343" t="s">
        <v>20</v>
      </c>
      <c r="G343" s="10" t="s">
        <v>21</v>
      </c>
      <c r="H343" t="str">
        <f>"9863514413"</f>
        <v>9863514413</v>
      </c>
      <c r="I343" t="str">
        <f>"VERIZON WIRELESS"</f>
        <v>VERIZON WIRELESS</v>
      </c>
    </row>
    <row r="344" spans="1:9" x14ac:dyDescent="0.25">
      <c r="A344" s="6">
        <v>44111</v>
      </c>
      <c r="B344" t="s">
        <v>26</v>
      </c>
      <c r="C344">
        <v>65141</v>
      </c>
      <c r="D344" t="s">
        <v>345</v>
      </c>
      <c r="E344" s="7">
        <v>159.5</v>
      </c>
      <c r="F344" t="s">
        <v>20</v>
      </c>
      <c r="G344" s="10" t="s">
        <v>21</v>
      </c>
      <c r="H344" t="str">
        <f>"9/28-9/30/2020"</f>
        <v>9/28-9/30/2020</v>
      </c>
      <c r="I344" t="str">
        <f>"MICHAEL ISAAC MARTINEZ"</f>
        <v>MICHAEL ISAAC MARTINEZ</v>
      </c>
    </row>
    <row r="345" spans="1:9" x14ac:dyDescent="0.25">
      <c r="A345" s="6">
        <v>44111</v>
      </c>
      <c r="B345" t="s">
        <v>26</v>
      </c>
      <c r="C345">
        <v>65142</v>
      </c>
      <c r="D345" t="s">
        <v>345</v>
      </c>
      <c r="E345" s="7">
        <v>55</v>
      </c>
      <c r="F345" t="s">
        <v>20</v>
      </c>
      <c r="G345" s="10" t="s">
        <v>21</v>
      </c>
      <c r="H345" t="str">
        <f>"10/02/2020"</f>
        <v>10/02/2020</v>
      </c>
      <c r="I345" t="str">
        <f>"MICHAEL ISAAC MARTINEZ"</f>
        <v>MICHAEL ISAAC MARTINEZ</v>
      </c>
    </row>
    <row r="346" spans="1:9" x14ac:dyDescent="0.25">
      <c r="A346" s="6">
        <v>44112</v>
      </c>
      <c r="B346" t="s">
        <v>26</v>
      </c>
      <c r="C346">
        <v>65143</v>
      </c>
      <c r="D346" t="s">
        <v>38</v>
      </c>
      <c r="E346" s="7">
        <v>100</v>
      </c>
      <c r="F346" t="s">
        <v>20</v>
      </c>
      <c r="G346" s="10" t="s">
        <v>21</v>
      </c>
      <c r="H346" t="str">
        <f t="shared" ref="H346:H351" si="0">"OCTOBER 2020"</f>
        <v>OCTOBER 2020</v>
      </c>
      <c r="I346" t="str">
        <f>"CECELIA GONZALEZ-DIPPEL"</f>
        <v>CECELIA GONZALEZ-DIPPEL</v>
      </c>
    </row>
    <row r="347" spans="1:9" x14ac:dyDescent="0.25">
      <c r="A347" s="6">
        <v>44112</v>
      </c>
      <c r="B347" t="s">
        <v>26</v>
      </c>
      <c r="C347">
        <v>65144</v>
      </c>
      <c r="D347" t="s">
        <v>36</v>
      </c>
      <c r="E347" s="7">
        <v>75</v>
      </c>
      <c r="F347" t="s">
        <v>20</v>
      </c>
      <c r="G347" s="10" t="s">
        <v>21</v>
      </c>
      <c r="H347" t="str">
        <f t="shared" si="0"/>
        <v>OCTOBER 2020</v>
      </c>
      <c r="I347" t="str">
        <f>"GLORIA M. CANTU"</f>
        <v>GLORIA M. CANTU</v>
      </c>
    </row>
    <row r="348" spans="1:9" x14ac:dyDescent="0.25">
      <c r="A348" s="6">
        <v>44112</v>
      </c>
      <c r="B348" t="s">
        <v>26</v>
      </c>
      <c r="C348">
        <v>65145</v>
      </c>
      <c r="D348" t="s">
        <v>637</v>
      </c>
      <c r="E348" s="7">
        <v>75</v>
      </c>
      <c r="F348" t="s">
        <v>20</v>
      </c>
      <c r="G348" s="10" t="s">
        <v>21</v>
      </c>
      <c r="H348" t="str">
        <f t="shared" si="0"/>
        <v>OCTOBER 2020</v>
      </c>
      <c r="I348" t="str">
        <f>"GLORIA MARTINEZ"</f>
        <v>GLORIA MARTINEZ</v>
      </c>
    </row>
    <row r="349" spans="1:9" x14ac:dyDescent="0.25">
      <c r="A349" s="6">
        <v>44112</v>
      </c>
      <c r="B349" t="s">
        <v>26</v>
      </c>
      <c r="C349">
        <v>65146</v>
      </c>
      <c r="D349" t="s">
        <v>889</v>
      </c>
      <c r="E349" s="7">
        <v>75</v>
      </c>
      <c r="F349" t="s">
        <v>20</v>
      </c>
      <c r="G349" s="10" t="s">
        <v>21</v>
      </c>
      <c r="H349" t="str">
        <f t="shared" si="0"/>
        <v>OCTOBER 2020</v>
      </c>
      <c r="I349" t="str">
        <f>"JADE JIMENEZ"</f>
        <v>JADE JIMENEZ</v>
      </c>
    </row>
    <row r="350" spans="1:9" x14ac:dyDescent="0.25">
      <c r="A350" s="6">
        <v>44112</v>
      </c>
      <c r="B350" t="s">
        <v>26</v>
      </c>
      <c r="C350">
        <v>65147</v>
      </c>
      <c r="D350" t="s">
        <v>223</v>
      </c>
      <c r="E350" s="7">
        <v>75</v>
      </c>
      <c r="F350" t="s">
        <v>20</v>
      </c>
      <c r="G350" s="10" t="s">
        <v>21</v>
      </c>
      <c r="H350" t="str">
        <f t="shared" si="0"/>
        <v>OCTOBER 2020</v>
      </c>
      <c r="I350" t="str">
        <f>"JUAN ORTIZ"</f>
        <v>JUAN ORTIZ</v>
      </c>
    </row>
    <row r="351" spans="1:9" x14ac:dyDescent="0.25">
      <c r="A351" s="6">
        <v>44112</v>
      </c>
      <c r="B351" t="s">
        <v>26</v>
      </c>
      <c r="C351">
        <v>65148</v>
      </c>
      <c r="D351" t="s">
        <v>558</v>
      </c>
      <c r="E351" s="7">
        <v>75</v>
      </c>
      <c r="F351" t="s">
        <v>20</v>
      </c>
      <c r="G351" s="10" t="s">
        <v>21</v>
      </c>
      <c r="H351" t="str">
        <f t="shared" si="0"/>
        <v>OCTOBER 2020</v>
      </c>
      <c r="I351" t="str">
        <f>"MARISSA XIMENEZ"</f>
        <v>MARISSA XIMENEZ</v>
      </c>
    </row>
    <row r="352" spans="1:9" x14ac:dyDescent="0.25">
      <c r="A352" s="6">
        <v>44118</v>
      </c>
      <c r="B352" t="s">
        <v>26</v>
      </c>
      <c r="C352">
        <v>65150</v>
      </c>
      <c r="D352" t="s">
        <v>970</v>
      </c>
      <c r="E352" s="7">
        <v>155</v>
      </c>
      <c r="F352" t="s">
        <v>20</v>
      </c>
      <c r="G352" s="10" t="s">
        <v>21</v>
      </c>
      <c r="H352" t="str">
        <f>"10/10/2020"</f>
        <v>10/10/2020</v>
      </c>
      <c r="I352" t="str">
        <f>"ABBYGAIL DELGADO"</f>
        <v>ABBYGAIL DELGADO</v>
      </c>
    </row>
    <row r="353" spans="1:9" x14ac:dyDescent="0.25">
      <c r="A353" s="6">
        <v>44118</v>
      </c>
      <c r="B353" t="s">
        <v>26</v>
      </c>
      <c r="C353">
        <v>65151</v>
      </c>
      <c r="D353" t="s">
        <v>139</v>
      </c>
      <c r="E353" s="7">
        <v>65</v>
      </c>
      <c r="F353" t="s">
        <v>20</v>
      </c>
      <c r="G353" s="10" t="s">
        <v>21</v>
      </c>
      <c r="H353" t="str">
        <f>"30541"</f>
        <v>30541</v>
      </c>
      <c r="I353" t="str">
        <f>"ANGEL FIRE &amp; SAFETY"</f>
        <v>ANGEL FIRE &amp; SAFETY</v>
      </c>
    </row>
    <row r="354" spans="1:9" x14ac:dyDescent="0.25">
      <c r="A354" s="6">
        <v>44118</v>
      </c>
      <c r="B354" t="s">
        <v>26</v>
      </c>
      <c r="C354">
        <v>65152</v>
      </c>
      <c r="D354" t="s">
        <v>83</v>
      </c>
      <c r="E354" s="7">
        <v>1080</v>
      </c>
      <c r="F354" t="s">
        <v>20</v>
      </c>
      <c r="G354" s="10" t="s">
        <v>21</v>
      </c>
      <c r="H354" t="str">
        <f>"1311322"</f>
        <v>1311322</v>
      </c>
      <c r="I354" t="str">
        <f>"APPRIVER"</f>
        <v>APPRIVER</v>
      </c>
    </row>
    <row r="355" spans="1:9" x14ac:dyDescent="0.25">
      <c r="A355" s="6">
        <v>44118</v>
      </c>
      <c r="B355" t="s">
        <v>26</v>
      </c>
      <c r="C355">
        <v>65153</v>
      </c>
      <c r="D355" t="s">
        <v>304</v>
      </c>
      <c r="E355" s="7">
        <v>367.76</v>
      </c>
      <c r="F355" t="s">
        <v>20</v>
      </c>
      <c r="G355" s="10" t="s">
        <v>21</v>
      </c>
      <c r="H355" t="str">
        <f>"100005562145"</f>
        <v>100005562145</v>
      </c>
      <c r="I355" t="str">
        <f>"ASCAP"</f>
        <v>ASCAP</v>
      </c>
    </row>
    <row r="356" spans="1:9" x14ac:dyDescent="0.25">
      <c r="A356" s="6">
        <v>44118</v>
      </c>
      <c r="B356" t="s">
        <v>26</v>
      </c>
      <c r="C356">
        <v>65154</v>
      </c>
      <c r="D356" t="s">
        <v>949</v>
      </c>
      <c r="E356" s="7">
        <v>430.5</v>
      </c>
      <c r="F356" t="s">
        <v>20</v>
      </c>
      <c r="G356" s="10" t="s">
        <v>21</v>
      </c>
      <c r="H356" t="str">
        <f>"16492"</f>
        <v>16492</v>
      </c>
      <c r="I356" t="str">
        <f>"22  DOOR DECALS - W &amp; WW"</f>
        <v>22  DOOR DECALS - W &amp; WW</v>
      </c>
    </row>
    <row r="357" spans="1:9" x14ac:dyDescent="0.25">
      <c r="A357" s="6">
        <v>44118</v>
      </c>
      <c r="B357" t="s">
        <v>26</v>
      </c>
      <c r="C357">
        <v>65155</v>
      </c>
      <c r="D357" t="s">
        <v>115</v>
      </c>
      <c r="E357" s="7">
        <v>36.99</v>
      </c>
      <c r="F357" t="s">
        <v>20</v>
      </c>
      <c r="G357" s="10" t="s">
        <v>21</v>
      </c>
      <c r="H357" t="str">
        <f>"3547761409"</f>
        <v>3547761409</v>
      </c>
      <c r="I357" t="str">
        <f>"BRAKES FOR PD UNIT 330"</f>
        <v>BRAKES FOR PD UNIT 330</v>
      </c>
    </row>
    <row r="358" spans="1:9" x14ac:dyDescent="0.25">
      <c r="A358" s="6">
        <v>44118</v>
      </c>
      <c r="B358" t="s">
        <v>26</v>
      </c>
      <c r="C358">
        <v>65156</v>
      </c>
      <c r="D358" t="s">
        <v>836</v>
      </c>
      <c r="E358" s="7">
        <v>31426.86</v>
      </c>
      <c r="F358" t="s">
        <v>20</v>
      </c>
      <c r="G358" s="10" t="s">
        <v>21</v>
      </c>
      <c r="H358" t="str">
        <f>"65871-1"</f>
        <v>65871-1</v>
      </c>
      <c r="I358" t="str">
        <f>"BARCOM TECHNOLOGY SOLUTIONS  I"</f>
        <v>BARCOM TECHNOLOGY SOLUTIONS  I</v>
      </c>
    </row>
    <row r="359" spans="1:9" x14ac:dyDescent="0.25">
      <c r="E359" s="7"/>
      <c r="F359" t="s">
        <v>20</v>
      </c>
      <c r="G359" s="10" t="s">
        <v>21</v>
      </c>
      <c r="H359" t="str">
        <f>"65871-2"</f>
        <v>65871-2</v>
      </c>
      <c r="I359" t="str">
        <f>"BARCOM TECHNOLOGY SOLUTIONS  I"</f>
        <v>BARCOM TECHNOLOGY SOLUTIONS  I</v>
      </c>
    </row>
    <row r="360" spans="1:9" x14ac:dyDescent="0.25">
      <c r="E360" s="7"/>
      <c r="F360" t="s">
        <v>20</v>
      </c>
      <c r="G360" s="10" t="s">
        <v>21</v>
      </c>
      <c r="H360" t="str">
        <f>"65871-3"</f>
        <v>65871-3</v>
      </c>
      <c r="I360" t="str">
        <f>"BARCOM TECHNOLOGY SOLUTIONS  I"</f>
        <v>BARCOM TECHNOLOGY SOLUTIONS  I</v>
      </c>
    </row>
    <row r="361" spans="1:9" x14ac:dyDescent="0.25">
      <c r="E361" s="7"/>
      <c r="F361" t="s">
        <v>20</v>
      </c>
      <c r="G361" s="10" t="s">
        <v>21</v>
      </c>
      <c r="H361" t="str">
        <f>"68028"</f>
        <v>68028</v>
      </c>
      <c r="I361" t="str">
        <f>"BARCOM TECHNOLOGY SOLUTIONS  I"</f>
        <v>BARCOM TECHNOLOGY SOLUTIONS  I</v>
      </c>
    </row>
    <row r="362" spans="1:9" x14ac:dyDescent="0.25">
      <c r="E362" s="7"/>
      <c r="F362" t="s">
        <v>20</v>
      </c>
      <c r="G362" s="10" t="s">
        <v>21</v>
      </c>
      <c r="H362" t="str">
        <f>"68029"</f>
        <v>68029</v>
      </c>
      <c r="I362" t="str">
        <f>"BARCOM TECHNOLOGY SOLUTIONS  I"</f>
        <v>BARCOM TECHNOLOGY SOLUTIONS  I</v>
      </c>
    </row>
    <row r="363" spans="1:9" x14ac:dyDescent="0.25">
      <c r="A363" s="6">
        <v>44118</v>
      </c>
      <c r="B363" t="s">
        <v>26</v>
      </c>
      <c r="C363">
        <v>65159</v>
      </c>
      <c r="D363" t="s">
        <v>168</v>
      </c>
      <c r="E363" s="7">
        <v>924</v>
      </c>
      <c r="F363" t="s">
        <v>20</v>
      </c>
      <c r="G363" s="10" t="s">
        <v>21</v>
      </c>
      <c r="H363" t="str">
        <f>"LI-7219"</f>
        <v>LI-7219</v>
      </c>
      <c r="I363" t="str">
        <f>"BEXAR COUNTY AUDITOR/ATTN:CRIM"</f>
        <v>BEXAR COUNTY AUDITOR/ATTN:CRIM</v>
      </c>
    </row>
    <row r="364" spans="1:9" x14ac:dyDescent="0.25">
      <c r="E364" s="7"/>
      <c r="F364" t="s">
        <v>20</v>
      </c>
      <c r="G364" s="10" t="s">
        <v>21</v>
      </c>
      <c r="H364" t="str">
        <f>"LI-7220"</f>
        <v>LI-7220</v>
      </c>
      <c r="I364" t="str">
        <f>"BEXAR COUNTY AUDITOR/ATTN:CRIM"</f>
        <v>BEXAR COUNTY AUDITOR/ATTN:CRIM</v>
      </c>
    </row>
    <row r="365" spans="1:9" x14ac:dyDescent="0.25">
      <c r="A365" s="6">
        <v>44118</v>
      </c>
      <c r="B365" t="s">
        <v>26</v>
      </c>
      <c r="C365">
        <v>65160</v>
      </c>
      <c r="D365" t="s">
        <v>979</v>
      </c>
      <c r="E365" s="7">
        <v>683.25</v>
      </c>
      <c r="F365" t="s">
        <v>20</v>
      </c>
      <c r="G365" s="10" t="s">
        <v>21</v>
      </c>
      <c r="H365" t="str">
        <f>"10/1-10/10/2020"</f>
        <v>10/1-10/10/2020</v>
      </c>
      <c r="I365" t="str">
        <f>"BIANCA CANTU"</f>
        <v>BIANCA CANTU</v>
      </c>
    </row>
    <row r="366" spans="1:9" x14ac:dyDescent="0.25">
      <c r="A366" s="6">
        <v>44118</v>
      </c>
      <c r="B366" t="s">
        <v>26</v>
      </c>
      <c r="C366">
        <v>65161</v>
      </c>
      <c r="D366" t="s">
        <v>110</v>
      </c>
      <c r="E366" s="7">
        <v>17149.46</v>
      </c>
      <c r="F366" t="s">
        <v>20</v>
      </c>
      <c r="G366" s="10" t="s">
        <v>21</v>
      </c>
      <c r="H366" t="str">
        <f>"1548896"</f>
        <v>1548896</v>
      </c>
      <c r="I366" t="str">
        <f t="shared" ref="I366:I385" si="1">"BUREAU VERITAS NORTH AMERICA"</f>
        <v>BUREAU VERITAS NORTH AMERICA</v>
      </c>
    </row>
    <row r="367" spans="1:9" x14ac:dyDescent="0.25">
      <c r="E367" s="7"/>
      <c r="F367" t="s">
        <v>20</v>
      </c>
      <c r="G367" s="10" t="s">
        <v>21</v>
      </c>
      <c r="H367" t="str">
        <f>"1548897"</f>
        <v>1548897</v>
      </c>
      <c r="I367" t="str">
        <f t="shared" si="1"/>
        <v>BUREAU VERITAS NORTH AMERICA</v>
      </c>
    </row>
    <row r="368" spans="1:9" x14ac:dyDescent="0.25">
      <c r="E368" s="7"/>
      <c r="F368" t="s">
        <v>20</v>
      </c>
      <c r="G368" s="10" t="s">
        <v>21</v>
      </c>
      <c r="H368" t="str">
        <f>"1548898"</f>
        <v>1548898</v>
      </c>
      <c r="I368" t="str">
        <f t="shared" si="1"/>
        <v>BUREAU VERITAS NORTH AMERICA</v>
      </c>
    </row>
    <row r="369" spans="5:9" x14ac:dyDescent="0.25">
      <c r="E369" s="7"/>
      <c r="F369" t="s">
        <v>20</v>
      </c>
      <c r="G369" s="10" t="s">
        <v>21</v>
      </c>
      <c r="H369" t="str">
        <f>"1548900"</f>
        <v>1548900</v>
      </c>
      <c r="I369" t="str">
        <f t="shared" si="1"/>
        <v>BUREAU VERITAS NORTH AMERICA</v>
      </c>
    </row>
    <row r="370" spans="5:9" x14ac:dyDescent="0.25">
      <c r="E370" s="7"/>
      <c r="F370" t="s">
        <v>20</v>
      </c>
      <c r="G370" s="10" t="s">
        <v>21</v>
      </c>
      <c r="H370" t="str">
        <f>"1548901"</f>
        <v>1548901</v>
      </c>
      <c r="I370" t="str">
        <f t="shared" si="1"/>
        <v>BUREAU VERITAS NORTH AMERICA</v>
      </c>
    </row>
    <row r="371" spans="5:9" x14ac:dyDescent="0.25">
      <c r="E371" s="7"/>
      <c r="F371" t="s">
        <v>20</v>
      </c>
      <c r="G371" s="10" t="s">
        <v>21</v>
      </c>
      <c r="H371" t="str">
        <f>"1548902"</f>
        <v>1548902</v>
      </c>
      <c r="I371" t="str">
        <f t="shared" si="1"/>
        <v>BUREAU VERITAS NORTH AMERICA</v>
      </c>
    </row>
    <row r="372" spans="5:9" x14ac:dyDescent="0.25">
      <c r="E372" s="7"/>
      <c r="F372" t="s">
        <v>20</v>
      </c>
      <c r="G372" s="10" t="s">
        <v>21</v>
      </c>
      <c r="H372" t="str">
        <f>"1548903"</f>
        <v>1548903</v>
      </c>
      <c r="I372" t="str">
        <f t="shared" si="1"/>
        <v>BUREAU VERITAS NORTH AMERICA</v>
      </c>
    </row>
    <row r="373" spans="5:9" x14ac:dyDescent="0.25">
      <c r="E373" s="7"/>
      <c r="F373" t="s">
        <v>20</v>
      </c>
      <c r="G373" s="10" t="s">
        <v>21</v>
      </c>
      <c r="H373" t="str">
        <f>"1548904"</f>
        <v>1548904</v>
      </c>
      <c r="I373" t="str">
        <f t="shared" si="1"/>
        <v>BUREAU VERITAS NORTH AMERICA</v>
      </c>
    </row>
    <row r="374" spans="5:9" x14ac:dyDescent="0.25">
      <c r="E374" s="7"/>
      <c r="F374" t="s">
        <v>20</v>
      </c>
      <c r="G374" s="10" t="s">
        <v>21</v>
      </c>
      <c r="H374" t="str">
        <f>"1550503"</f>
        <v>1550503</v>
      </c>
      <c r="I374" t="str">
        <f t="shared" si="1"/>
        <v>BUREAU VERITAS NORTH AMERICA</v>
      </c>
    </row>
    <row r="375" spans="5:9" x14ac:dyDescent="0.25">
      <c r="E375" s="7"/>
      <c r="F375" t="s">
        <v>20</v>
      </c>
      <c r="G375" s="10" t="s">
        <v>21</v>
      </c>
      <c r="H375" t="str">
        <f>"1550721"</f>
        <v>1550721</v>
      </c>
      <c r="I375" t="str">
        <f t="shared" si="1"/>
        <v>BUREAU VERITAS NORTH AMERICA</v>
      </c>
    </row>
    <row r="376" spans="5:9" x14ac:dyDescent="0.25">
      <c r="E376" s="7"/>
      <c r="F376" t="s">
        <v>20</v>
      </c>
      <c r="G376" s="10" t="s">
        <v>21</v>
      </c>
      <c r="H376" t="str">
        <f>"1550722"</f>
        <v>1550722</v>
      </c>
      <c r="I376" t="str">
        <f t="shared" si="1"/>
        <v>BUREAU VERITAS NORTH AMERICA</v>
      </c>
    </row>
    <row r="377" spans="5:9" x14ac:dyDescent="0.25">
      <c r="E377" s="7"/>
      <c r="F377" t="s">
        <v>20</v>
      </c>
      <c r="G377" s="10" t="s">
        <v>21</v>
      </c>
      <c r="H377" t="str">
        <f>"1550723"</f>
        <v>1550723</v>
      </c>
      <c r="I377" t="str">
        <f t="shared" si="1"/>
        <v>BUREAU VERITAS NORTH AMERICA</v>
      </c>
    </row>
    <row r="378" spans="5:9" x14ac:dyDescent="0.25">
      <c r="E378" s="7"/>
      <c r="F378" t="s">
        <v>20</v>
      </c>
      <c r="G378" s="10" t="s">
        <v>21</v>
      </c>
      <c r="H378" t="str">
        <f>"1550724"</f>
        <v>1550724</v>
      </c>
      <c r="I378" t="str">
        <f t="shared" si="1"/>
        <v>BUREAU VERITAS NORTH AMERICA</v>
      </c>
    </row>
    <row r="379" spans="5:9" x14ac:dyDescent="0.25">
      <c r="E379" s="7"/>
      <c r="F379" t="s">
        <v>20</v>
      </c>
      <c r="G379" s="10" t="s">
        <v>21</v>
      </c>
      <c r="H379" t="str">
        <f>"1550725"</f>
        <v>1550725</v>
      </c>
      <c r="I379" t="str">
        <f t="shared" si="1"/>
        <v>BUREAU VERITAS NORTH AMERICA</v>
      </c>
    </row>
    <row r="380" spans="5:9" x14ac:dyDescent="0.25">
      <c r="E380" s="7"/>
      <c r="F380" t="s">
        <v>20</v>
      </c>
      <c r="G380" s="10" t="s">
        <v>21</v>
      </c>
      <c r="H380" t="str">
        <f>"1550726"</f>
        <v>1550726</v>
      </c>
      <c r="I380" t="str">
        <f t="shared" si="1"/>
        <v>BUREAU VERITAS NORTH AMERICA</v>
      </c>
    </row>
    <row r="381" spans="5:9" x14ac:dyDescent="0.25">
      <c r="E381" s="7"/>
      <c r="F381" t="s">
        <v>20</v>
      </c>
      <c r="G381" s="10" t="s">
        <v>21</v>
      </c>
      <c r="H381" t="str">
        <f>"1550727"</f>
        <v>1550727</v>
      </c>
      <c r="I381" t="str">
        <f t="shared" si="1"/>
        <v>BUREAU VERITAS NORTH AMERICA</v>
      </c>
    </row>
    <row r="382" spans="5:9" x14ac:dyDescent="0.25">
      <c r="E382" s="7"/>
      <c r="F382" t="s">
        <v>20</v>
      </c>
      <c r="G382" s="10" t="s">
        <v>21</v>
      </c>
      <c r="H382" t="str">
        <f>"1550728"</f>
        <v>1550728</v>
      </c>
      <c r="I382" t="str">
        <f t="shared" si="1"/>
        <v>BUREAU VERITAS NORTH AMERICA</v>
      </c>
    </row>
    <row r="383" spans="5:9" x14ac:dyDescent="0.25">
      <c r="E383" s="7"/>
      <c r="F383" t="s">
        <v>20</v>
      </c>
      <c r="G383" s="10" t="s">
        <v>21</v>
      </c>
      <c r="H383" t="str">
        <f>"1550729"</f>
        <v>1550729</v>
      </c>
      <c r="I383" t="str">
        <f t="shared" si="1"/>
        <v>BUREAU VERITAS NORTH AMERICA</v>
      </c>
    </row>
    <row r="384" spans="5:9" x14ac:dyDescent="0.25">
      <c r="E384" s="7"/>
      <c r="F384" t="s">
        <v>20</v>
      </c>
      <c r="G384" s="10" t="s">
        <v>21</v>
      </c>
      <c r="H384" t="str">
        <f>"1550730"</f>
        <v>1550730</v>
      </c>
      <c r="I384" t="str">
        <f t="shared" si="1"/>
        <v>BUREAU VERITAS NORTH AMERICA</v>
      </c>
    </row>
    <row r="385" spans="1:9" x14ac:dyDescent="0.25">
      <c r="E385" s="7"/>
      <c r="F385" t="s">
        <v>20</v>
      </c>
      <c r="G385" s="10" t="s">
        <v>21</v>
      </c>
      <c r="H385" t="str">
        <f>"1550731"</f>
        <v>1550731</v>
      </c>
      <c r="I385" t="str">
        <f t="shared" si="1"/>
        <v>BUREAU VERITAS NORTH AMERICA</v>
      </c>
    </row>
    <row r="386" spans="1:9" x14ac:dyDescent="0.25">
      <c r="A386" s="6">
        <v>44118</v>
      </c>
      <c r="B386" t="s">
        <v>26</v>
      </c>
      <c r="C386">
        <v>65165</v>
      </c>
      <c r="D386" t="s">
        <v>63</v>
      </c>
      <c r="E386" s="7">
        <v>937.11</v>
      </c>
      <c r="F386" t="s">
        <v>20</v>
      </c>
      <c r="G386" s="10" t="s">
        <v>21</v>
      </c>
      <c r="H386" t="str">
        <f>"8404819367"</f>
        <v>8404819367</v>
      </c>
      <c r="I386" t="str">
        <f>"CINTAS CORPORATION"</f>
        <v>CINTAS CORPORATION</v>
      </c>
    </row>
    <row r="387" spans="1:9" x14ac:dyDescent="0.25">
      <c r="A387" s="6">
        <v>44118</v>
      </c>
      <c r="B387" t="s">
        <v>26</v>
      </c>
      <c r="C387">
        <v>65166</v>
      </c>
      <c r="D387" t="s">
        <v>71</v>
      </c>
      <c r="E387" s="7">
        <v>1775.08</v>
      </c>
      <c r="F387" t="s">
        <v>20</v>
      </c>
      <c r="G387" s="10" t="s">
        <v>21</v>
      </c>
      <c r="H387" t="str">
        <f>"4062744168"</f>
        <v>4062744168</v>
      </c>
      <c r="I387" t="str">
        <f t="shared" ref="I387:I399" si="2">"CINTAS CORPORATION #087"</f>
        <v>CINTAS CORPORATION #087</v>
      </c>
    </row>
    <row r="388" spans="1:9" x14ac:dyDescent="0.25">
      <c r="E388" s="7"/>
      <c r="F388" t="s">
        <v>20</v>
      </c>
      <c r="G388" s="10" t="s">
        <v>21</v>
      </c>
      <c r="H388" t="str">
        <f>"4062744188"</f>
        <v>4062744188</v>
      </c>
      <c r="I388" t="str">
        <f t="shared" si="2"/>
        <v>CINTAS CORPORATION #087</v>
      </c>
    </row>
    <row r="389" spans="1:9" x14ac:dyDescent="0.25">
      <c r="E389" s="7"/>
      <c r="F389" t="s">
        <v>20</v>
      </c>
      <c r="G389" s="10" t="s">
        <v>21</v>
      </c>
      <c r="H389" t="str">
        <f>"4062744238"</f>
        <v>4062744238</v>
      </c>
      <c r="I389" t="str">
        <f t="shared" si="2"/>
        <v>CINTAS CORPORATION #087</v>
      </c>
    </row>
    <row r="390" spans="1:9" x14ac:dyDescent="0.25">
      <c r="E390" s="7"/>
      <c r="F390" t="s">
        <v>20</v>
      </c>
      <c r="G390" s="10" t="s">
        <v>21</v>
      </c>
      <c r="H390" t="str">
        <f>"4062744267"</f>
        <v>4062744267</v>
      </c>
      <c r="I390" t="str">
        <f t="shared" si="2"/>
        <v>CINTAS CORPORATION #087</v>
      </c>
    </row>
    <row r="391" spans="1:9" x14ac:dyDescent="0.25">
      <c r="E391" s="7"/>
      <c r="F391" t="s">
        <v>20</v>
      </c>
      <c r="G391" s="10" t="s">
        <v>21</v>
      </c>
      <c r="H391" t="str">
        <f>"4062744288"</f>
        <v>4062744288</v>
      </c>
      <c r="I391" t="str">
        <f t="shared" si="2"/>
        <v>CINTAS CORPORATION #087</v>
      </c>
    </row>
    <row r="392" spans="1:9" x14ac:dyDescent="0.25">
      <c r="E392" s="7"/>
      <c r="F392" t="s">
        <v>20</v>
      </c>
      <c r="G392" s="10" t="s">
        <v>21</v>
      </c>
      <c r="H392" t="str">
        <f>"4062744305"</f>
        <v>4062744305</v>
      </c>
      <c r="I392" t="str">
        <f t="shared" si="2"/>
        <v>CINTAS CORPORATION #087</v>
      </c>
    </row>
    <row r="393" spans="1:9" x14ac:dyDescent="0.25">
      <c r="E393" s="7"/>
      <c r="F393" t="s">
        <v>20</v>
      </c>
      <c r="G393" s="10" t="s">
        <v>21</v>
      </c>
      <c r="H393" t="str">
        <f>"4063401320"</f>
        <v>4063401320</v>
      </c>
      <c r="I393" t="str">
        <f t="shared" si="2"/>
        <v>CINTAS CORPORATION #087</v>
      </c>
    </row>
    <row r="394" spans="1:9" x14ac:dyDescent="0.25">
      <c r="E394" s="7"/>
      <c r="F394" t="s">
        <v>20</v>
      </c>
      <c r="G394" s="10" t="s">
        <v>21</v>
      </c>
      <c r="H394" t="str">
        <f>"4063401370"</f>
        <v>4063401370</v>
      </c>
      <c r="I394" t="str">
        <f t="shared" si="2"/>
        <v>CINTAS CORPORATION #087</v>
      </c>
    </row>
    <row r="395" spans="1:9" x14ac:dyDescent="0.25">
      <c r="E395" s="7"/>
      <c r="F395" t="s">
        <v>20</v>
      </c>
      <c r="G395" s="10" t="s">
        <v>21</v>
      </c>
      <c r="H395" t="str">
        <f>"4063401383"</f>
        <v>4063401383</v>
      </c>
      <c r="I395" t="str">
        <f t="shared" si="2"/>
        <v>CINTAS CORPORATION #087</v>
      </c>
    </row>
    <row r="396" spans="1:9" x14ac:dyDescent="0.25">
      <c r="E396" s="7"/>
      <c r="F396" t="s">
        <v>20</v>
      </c>
      <c r="G396" s="10" t="s">
        <v>21</v>
      </c>
      <c r="H396" t="str">
        <f>"4063401385"</f>
        <v>4063401385</v>
      </c>
      <c r="I396" t="str">
        <f t="shared" si="2"/>
        <v>CINTAS CORPORATION #087</v>
      </c>
    </row>
    <row r="397" spans="1:9" x14ac:dyDescent="0.25">
      <c r="E397" s="7"/>
      <c r="F397" t="s">
        <v>20</v>
      </c>
      <c r="G397" s="10" t="s">
        <v>21</v>
      </c>
      <c r="H397" t="str">
        <f>"4063401389"</f>
        <v>4063401389</v>
      </c>
      <c r="I397" t="str">
        <f t="shared" si="2"/>
        <v>CINTAS CORPORATION #087</v>
      </c>
    </row>
    <row r="398" spans="1:9" x14ac:dyDescent="0.25">
      <c r="E398" s="7"/>
      <c r="F398" t="s">
        <v>20</v>
      </c>
      <c r="G398" s="10" t="s">
        <v>21</v>
      </c>
      <c r="H398" t="str">
        <f>"4063401469"</f>
        <v>4063401469</v>
      </c>
      <c r="I398" t="str">
        <f t="shared" si="2"/>
        <v>CINTAS CORPORATION #087</v>
      </c>
    </row>
    <row r="399" spans="1:9" x14ac:dyDescent="0.25">
      <c r="E399" s="7"/>
      <c r="F399" t="s">
        <v>20</v>
      </c>
      <c r="G399" s="10" t="s">
        <v>21</v>
      </c>
      <c r="H399" t="str">
        <f>"4063409439"</f>
        <v>4063409439</v>
      </c>
      <c r="I399" t="str">
        <f t="shared" si="2"/>
        <v>CINTAS CORPORATION #087</v>
      </c>
    </row>
    <row r="400" spans="1:9" x14ac:dyDescent="0.25">
      <c r="A400" s="6">
        <v>44118</v>
      </c>
      <c r="B400" t="s">
        <v>26</v>
      </c>
      <c r="C400">
        <v>65169</v>
      </c>
      <c r="D400" t="s">
        <v>661</v>
      </c>
      <c r="E400" s="7">
        <v>99</v>
      </c>
      <c r="F400" t="s">
        <v>20</v>
      </c>
      <c r="G400" s="10" t="s">
        <v>21</v>
      </c>
      <c r="H400" t="str">
        <f>"8404824913"</f>
        <v>8404824913</v>
      </c>
      <c r="I400" t="str">
        <f>"CINTAS FAS LOCKBOX 631025"</f>
        <v>CINTAS FAS LOCKBOX 631025</v>
      </c>
    </row>
    <row r="401" spans="1:9" x14ac:dyDescent="0.25">
      <c r="A401" s="6">
        <v>44118</v>
      </c>
      <c r="B401" t="s">
        <v>26</v>
      </c>
      <c r="C401">
        <v>65170</v>
      </c>
      <c r="D401" t="s">
        <v>0</v>
      </c>
      <c r="E401" s="7">
        <v>8205.42</v>
      </c>
      <c r="F401" t="s">
        <v>20</v>
      </c>
      <c r="G401" s="10" t="s">
        <v>21</v>
      </c>
      <c r="H401" t="str">
        <f>"SEPT. 2020"</f>
        <v>SEPT. 2020</v>
      </c>
      <c r="I401" t="str">
        <f>"CITY OF FLORESVILLE"</f>
        <v>CITY OF FLORESVILLE</v>
      </c>
    </row>
    <row r="402" spans="1:9" x14ac:dyDescent="0.25">
      <c r="A402" s="6">
        <v>44118</v>
      </c>
      <c r="B402" t="s">
        <v>26</v>
      </c>
      <c r="C402">
        <v>65171</v>
      </c>
      <c r="D402" t="s">
        <v>366</v>
      </c>
      <c r="E402" s="7">
        <v>5796.62</v>
      </c>
      <c r="F402" t="s">
        <v>20</v>
      </c>
      <c r="G402" s="10" t="s">
        <v>21</v>
      </c>
      <c r="H402" t="str">
        <f>"QRT RD 9/30/2020"</f>
        <v>QRT RD 9/30/2020</v>
      </c>
      <c r="I402" t="str">
        <f>"COMPTROLLER OF PUBLIC ACCOUNTS"</f>
        <v>COMPTROLLER OF PUBLIC ACCOUNTS</v>
      </c>
    </row>
    <row r="403" spans="1:9" x14ac:dyDescent="0.25">
      <c r="A403" s="6">
        <v>44118</v>
      </c>
      <c r="B403" t="s">
        <v>26</v>
      </c>
      <c r="C403">
        <v>65172</v>
      </c>
      <c r="D403" t="s">
        <v>875</v>
      </c>
      <c r="E403" s="7">
        <v>407.74</v>
      </c>
      <c r="F403" t="s">
        <v>20</v>
      </c>
      <c r="G403" s="10" t="s">
        <v>21</v>
      </c>
      <c r="H403" t="str">
        <f>"35214"</f>
        <v>35214</v>
      </c>
      <c r="I403" t="str">
        <f>"BLUE LASER POOL CASH CHEC"</f>
        <v>BLUE LASER POOL CASH CHEC</v>
      </c>
    </row>
    <row r="404" spans="1:9" x14ac:dyDescent="0.25">
      <c r="A404" s="6">
        <v>44118</v>
      </c>
      <c r="B404" t="s">
        <v>26</v>
      </c>
      <c r="C404">
        <v>65173</v>
      </c>
      <c r="D404" t="s">
        <v>872</v>
      </c>
      <c r="E404" s="7">
        <v>140</v>
      </c>
      <c r="F404" t="s">
        <v>20</v>
      </c>
      <c r="G404" s="10" t="s">
        <v>21</v>
      </c>
      <c r="H404" t="str">
        <f>"10/13/2020"</f>
        <v>10/13/2020</v>
      </c>
      <c r="I404" t="str">
        <f>"DEVIN BENAVIDES"</f>
        <v>DEVIN BENAVIDES</v>
      </c>
    </row>
    <row r="405" spans="1:9" x14ac:dyDescent="0.25">
      <c r="A405" s="6">
        <v>44118</v>
      </c>
      <c r="B405" t="s">
        <v>26</v>
      </c>
      <c r="C405">
        <v>65174</v>
      </c>
      <c r="D405" t="s">
        <v>980</v>
      </c>
      <c r="E405" s="7">
        <v>228</v>
      </c>
      <c r="F405" t="s">
        <v>20</v>
      </c>
      <c r="G405" s="10" t="s">
        <v>21</v>
      </c>
      <c r="H405" t="str">
        <f>"242-1848 ANNUALFEE"</f>
        <v>242-1848 ANNUALFEE</v>
      </c>
      <c r="I405" t="str">
        <f>"DOMAIN LISTINGS"</f>
        <v>DOMAIN LISTINGS</v>
      </c>
    </row>
    <row r="406" spans="1:9" x14ac:dyDescent="0.25">
      <c r="A406" s="6">
        <v>44118</v>
      </c>
      <c r="B406" t="s">
        <v>26</v>
      </c>
      <c r="C406">
        <v>65175</v>
      </c>
      <c r="D406" t="s">
        <v>64</v>
      </c>
      <c r="E406" s="7">
        <v>2582</v>
      </c>
      <c r="F406" t="s">
        <v>20</v>
      </c>
      <c r="G406" s="10" t="s">
        <v>21</v>
      </c>
      <c r="H406" t="str">
        <f>"8256"</f>
        <v>8256</v>
      </c>
      <c r="I406" t="str">
        <f>"DREWA DESIGNS  INC."</f>
        <v>DREWA DESIGNS  INC.</v>
      </c>
    </row>
    <row r="407" spans="1:9" x14ac:dyDescent="0.25">
      <c r="E407" s="7"/>
      <c r="F407" t="s">
        <v>20</v>
      </c>
      <c r="G407" s="10" t="s">
        <v>21</v>
      </c>
      <c r="H407" t="str">
        <f>"8260"</f>
        <v>8260</v>
      </c>
      <c r="I407" t="str">
        <f>"DREWA DESIGNS  INC."</f>
        <v>DREWA DESIGNS  INC.</v>
      </c>
    </row>
    <row r="408" spans="1:9" x14ac:dyDescent="0.25">
      <c r="A408" s="6">
        <v>44118</v>
      </c>
      <c r="B408" t="s">
        <v>26</v>
      </c>
      <c r="C408">
        <v>65176</v>
      </c>
      <c r="D408" t="s">
        <v>143</v>
      </c>
      <c r="E408" s="7">
        <v>373.75</v>
      </c>
      <c r="F408" t="s">
        <v>20</v>
      </c>
      <c r="G408" s="10" t="s">
        <v>21</v>
      </c>
      <c r="H408" t="str">
        <f>"9402344898"</f>
        <v>9402344898</v>
      </c>
      <c r="I408" t="str">
        <f>"200 GALLON OIL"</f>
        <v>200 GALLON OIL</v>
      </c>
    </row>
    <row r="409" spans="1:9" x14ac:dyDescent="0.25">
      <c r="A409" s="6">
        <v>44118</v>
      </c>
      <c r="B409" t="s">
        <v>26</v>
      </c>
      <c r="C409">
        <v>65177</v>
      </c>
      <c r="D409" t="s">
        <v>69</v>
      </c>
      <c r="E409" s="7">
        <v>172.06</v>
      </c>
      <c r="F409" t="s">
        <v>20</v>
      </c>
      <c r="G409" s="10" t="s">
        <v>21</v>
      </c>
      <c r="H409" t="str">
        <f>"3C02456"</f>
        <v>3C02456</v>
      </c>
      <c r="I409" t="str">
        <f>"EWALD KUBOTA  INC."</f>
        <v>EWALD KUBOTA  INC.</v>
      </c>
    </row>
    <row r="410" spans="1:9" x14ac:dyDescent="0.25">
      <c r="A410" s="6">
        <v>44118</v>
      </c>
      <c r="B410" t="s">
        <v>26</v>
      </c>
      <c r="C410">
        <v>65178</v>
      </c>
      <c r="D410" t="s">
        <v>57</v>
      </c>
      <c r="E410" s="7">
        <v>7982.3</v>
      </c>
      <c r="F410" t="s">
        <v>20</v>
      </c>
      <c r="G410" s="10" t="s">
        <v>21</v>
      </c>
      <c r="H410" t="str">
        <f>"11617 8/24-9/22/20"</f>
        <v>11617 8/24-9/22/20</v>
      </c>
      <c r="I410" t="str">
        <f>"F.E.L.P.S."</f>
        <v>F.E.L.P.S.</v>
      </c>
    </row>
    <row r="411" spans="1:9" x14ac:dyDescent="0.25">
      <c r="E411" s="7"/>
      <c r="F411" t="s">
        <v>20</v>
      </c>
      <c r="G411" s="10" t="s">
        <v>21</v>
      </c>
      <c r="H411" t="str">
        <f>"33062 8/24-9/22/20"</f>
        <v>33062 8/24-9/22/20</v>
      </c>
      <c r="I411" t="str">
        <f>"F.E.L.P.S."</f>
        <v>F.E.L.P.S.</v>
      </c>
    </row>
    <row r="412" spans="1:9" x14ac:dyDescent="0.25">
      <c r="A412" s="6">
        <v>44118</v>
      </c>
      <c r="B412" t="s">
        <v>26</v>
      </c>
      <c r="C412">
        <v>65179</v>
      </c>
      <c r="D412" t="s">
        <v>79</v>
      </c>
      <c r="E412" s="7">
        <v>12.56</v>
      </c>
      <c r="F412" t="s">
        <v>20</v>
      </c>
      <c r="G412" s="10" t="s">
        <v>21</v>
      </c>
      <c r="H412" t="str">
        <f>"7-132-78787"</f>
        <v>7-132-78787</v>
      </c>
      <c r="I412" t="str">
        <f>"FEDEX"</f>
        <v>FEDEX</v>
      </c>
    </row>
    <row r="413" spans="1:9" x14ac:dyDescent="0.25">
      <c r="A413" s="6">
        <v>44118</v>
      </c>
      <c r="B413" t="s">
        <v>26</v>
      </c>
      <c r="C413">
        <v>65180</v>
      </c>
      <c r="D413" t="s">
        <v>59</v>
      </c>
      <c r="E413" s="7">
        <v>297.94</v>
      </c>
      <c r="F413" t="s">
        <v>20</v>
      </c>
      <c r="G413" s="10" t="s">
        <v>21</v>
      </c>
      <c r="H413" t="str">
        <f>"1077214"</f>
        <v>1077214</v>
      </c>
      <c r="I413" t="str">
        <f>"SAFETY BOOTS"</f>
        <v>SAFETY BOOTS</v>
      </c>
    </row>
    <row r="414" spans="1:9" x14ac:dyDescent="0.25">
      <c r="A414" s="6">
        <v>44118</v>
      </c>
      <c r="B414" t="s">
        <v>26</v>
      </c>
      <c r="C414">
        <v>65181</v>
      </c>
      <c r="D414" t="s">
        <v>368</v>
      </c>
      <c r="E414" s="7">
        <v>3000</v>
      </c>
      <c r="F414" t="s">
        <v>20</v>
      </c>
      <c r="G414" s="10" t="s">
        <v>21</v>
      </c>
      <c r="H414" t="str">
        <f>"3RD QRT BALANCE"</f>
        <v>3RD QRT BALANCE</v>
      </c>
      <c r="I414" t="str">
        <f>"FLORESVILLE FIRE DEPARTMENT"</f>
        <v>FLORESVILLE FIRE DEPARTMENT</v>
      </c>
    </row>
    <row r="415" spans="1:9" x14ac:dyDescent="0.25">
      <c r="A415" s="6">
        <v>44118</v>
      </c>
      <c r="B415" t="s">
        <v>26</v>
      </c>
      <c r="C415">
        <v>65182</v>
      </c>
      <c r="D415" t="s">
        <v>85</v>
      </c>
      <c r="E415" s="7">
        <v>1049.8</v>
      </c>
      <c r="F415" t="s">
        <v>20</v>
      </c>
      <c r="G415" s="10" t="s">
        <v>21</v>
      </c>
      <c r="H415" t="str">
        <f>"2162691 9/2020"</f>
        <v>2162691 9/2020</v>
      </c>
      <c r="I415" t="str">
        <f>"FRONTIER"</f>
        <v>FRONTIER</v>
      </c>
    </row>
    <row r="416" spans="1:9" x14ac:dyDescent="0.25">
      <c r="E416" s="7"/>
      <c r="F416" t="s">
        <v>20</v>
      </c>
      <c r="G416" s="10" t="s">
        <v>21</v>
      </c>
      <c r="H416" t="str">
        <f>"3933718 9/2020"</f>
        <v>3933718 9/2020</v>
      </c>
      <c r="I416" t="str">
        <f>"FRONTIER"</f>
        <v>FRONTIER</v>
      </c>
    </row>
    <row r="417" spans="1:9" x14ac:dyDescent="0.25">
      <c r="E417" s="7"/>
      <c r="F417" t="s">
        <v>20</v>
      </c>
      <c r="G417" s="10" t="s">
        <v>21</v>
      </c>
      <c r="H417" t="str">
        <f>"3937070 9/30/2020*"</f>
        <v>3937070 9/30/2020*</v>
      </c>
      <c r="I417" t="str">
        <f>"FRONTIER"</f>
        <v>FRONTIER</v>
      </c>
    </row>
    <row r="418" spans="1:9" x14ac:dyDescent="0.25">
      <c r="E418" s="7"/>
      <c r="F418" t="s">
        <v>20</v>
      </c>
      <c r="G418" s="10" t="s">
        <v>21</v>
      </c>
      <c r="H418" t="str">
        <f>"8301970046 9/2020"</f>
        <v>8301970046 9/2020</v>
      </c>
      <c r="I418" t="str">
        <f>"FRONTIER"</f>
        <v>FRONTIER</v>
      </c>
    </row>
    <row r="419" spans="1:9" x14ac:dyDescent="0.25">
      <c r="A419" s="6">
        <v>44118</v>
      </c>
      <c r="B419" t="s">
        <v>91</v>
      </c>
      <c r="C419">
        <v>65183</v>
      </c>
      <c r="D419" t="s">
        <v>194</v>
      </c>
      <c r="E419" s="7">
        <v>7856</v>
      </c>
      <c r="F419" t="s">
        <v>20</v>
      </c>
      <c r="G419" s="10" t="s">
        <v>21</v>
      </c>
      <c r="H419" t="str">
        <f>"016433967"</f>
        <v>016433967</v>
      </c>
      <c r="I419" t="str">
        <f>"PD CUSTOM VEST"</f>
        <v>PD CUSTOM VEST</v>
      </c>
    </row>
    <row r="420" spans="1:9" x14ac:dyDescent="0.25">
      <c r="A420" s="6">
        <v>44118</v>
      </c>
      <c r="B420" t="s">
        <v>91</v>
      </c>
      <c r="C420">
        <v>65183</v>
      </c>
      <c r="D420" t="s">
        <v>194</v>
      </c>
      <c r="E420" s="7">
        <v>7856</v>
      </c>
      <c r="F420" t="s">
        <v>20</v>
      </c>
      <c r="G420" s="10" t="s">
        <v>93</v>
      </c>
      <c r="H420" t="str">
        <f>"CHECK"</f>
        <v>CHECK</v>
      </c>
      <c r="I420" t="str">
        <f>""</f>
        <v/>
      </c>
    </row>
    <row r="421" spans="1:9" x14ac:dyDescent="0.25">
      <c r="A421" s="6">
        <v>44118</v>
      </c>
      <c r="B421" t="s">
        <v>26</v>
      </c>
      <c r="C421">
        <v>65184</v>
      </c>
      <c r="D421" t="s">
        <v>561</v>
      </c>
      <c r="E421" s="7">
        <v>1574.15</v>
      </c>
      <c r="F421" t="s">
        <v>20</v>
      </c>
      <c r="G421" s="10" t="s">
        <v>21</v>
      </c>
      <c r="H421" t="str">
        <f>"081585"</f>
        <v>081585</v>
      </c>
      <c r="I421" t="str">
        <f>"ELECTION SUPPLIES"</f>
        <v>ELECTION SUPPLIES</v>
      </c>
    </row>
    <row r="422" spans="1:9" x14ac:dyDescent="0.25">
      <c r="A422" s="6">
        <v>44118</v>
      </c>
      <c r="B422" t="s">
        <v>26</v>
      </c>
      <c r="C422">
        <v>65186</v>
      </c>
      <c r="D422" t="s">
        <v>398</v>
      </c>
      <c r="E422" s="7">
        <v>55</v>
      </c>
      <c r="F422" t="s">
        <v>20</v>
      </c>
      <c r="G422" s="10" t="s">
        <v>21</v>
      </c>
      <c r="H422" t="str">
        <f>"20201010"</f>
        <v>20201010</v>
      </c>
      <c r="I422" t="str">
        <f>"INTERCEPTOR TECHNOLOGY GROUP L"</f>
        <v>INTERCEPTOR TECHNOLOGY GROUP L</v>
      </c>
    </row>
    <row r="423" spans="1:9" x14ac:dyDescent="0.25">
      <c r="A423" s="6">
        <v>44118</v>
      </c>
      <c r="B423" t="s">
        <v>26</v>
      </c>
      <c r="C423">
        <v>65187</v>
      </c>
      <c r="D423" t="s">
        <v>125</v>
      </c>
      <c r="E423" s="7">
        <v>2829.79</v>
      </c>
      <c r="F423" t="s">
        <v>20</v>
      </c>
      <c r="G423" s="10" t="s">
        <v>21</v>
      </c>
      <c r="H423" t="str">
        <f>"20-0767 SEPT 2020"</f>
        <v>20-0767 SEPT 2020</v>
      </c>
      <c r="I423" t="str">
        <f>"INTREPID SURVEYING CORPORATION"</f>
        <v>INTREPID SURVEYING CORPORATION</v>
      </c>
    </row>
    <row r="424" spans="1:9" x14ac:dyDescent="0.25">
      <c r="A424" s="6">
        <v>44118</v>
      </c>
      <c r="B424" t="s">
        <v>26</v>
      </c>
      <c r="C424">
        <v>65188</v>
      </c>
      <c r="D424" t="s">
        <v>646</v>
      </c>
      <c r="E424" s="7">
        <v>8200</v>
      </c>
      <c r="F424" t="s">
        <v>20</v>
      </c>
      <c r="G424" s="10" t="s">
        <v>21</v>
      </c>
      <c r="H424" t="str">
        <f>"0121824"</f>
        <v>0121824</v>
      </c>
      <c r="I424" t="str">
        <f>"KIOSK INSTALLATION"</f>
        <v>KIOSK INSTALLATION</v>
      </c>
    </row>
    <row r="425" spans="1:9" x14ac:dyDescent="0.25">
      <c r="A425" s="6">
        <v>44118</v>
      </c>
      <c r="B425" t="s">
        <v>26</v>
      </c>
      <c r="C425">
        <v>65189</v>
      </c>
      <c r="D425" t="s">
        <v>107</v>
      </c>
      <c r="E425" s="7">
        <v>49.84</v>
      </c>
      <c r="F425" t="s">
        <v>20</v>
      </c>
      <c r="G425" s="10" t="s">
        <v>21</v>
      </c>
      <c r="H425" t="str">
        <f>"1166960-20200831"</f>
        <v>1166960-20200831</v>
      </c>
      <c r="I425" t="str">
        <f>"LEXISNEXIS RISK SOLUTIONS"</f>
        <v>LEXISNEXIS RISK SOLUTIONS</v>
      </c>
    </row>
    <row r="426" spans="1:9" x14ac:dyDescent="0.25">
      <c r="A426" s="6">
        <v>44118</v>
      </c>
      <c r="B426" t="s">
        <v>26</v>
      </c>
      <c r="C426">
        <v>65190</v>
      </c>
      <c r="D426" t="s">
        <v>66</v>
      </c>
      <c r="E426" s="7">
        <v>502.88</v>
      </c>
      <c r="F426" t="s">
        <v>20</v>
      </c>
      <c r="G426" s="10" t="s">
        <v>21</v>
      </c>
      <c r="H426" t="str">
        <f>"59234"</f>
        <v>59234</v>
      </c>
      <c r="I426" t="str">
        <f>"LOPEZ EXTERMINATING SERVICE  I"</f>
        <v>LOPEZ EXTERMINATING SERVICE  I</v>
      </c>
    </row>
    <row r="427" spans="1:9" x14ac:dyDescent="0.25">
      <c r="A427" s="6">
        <v>44118</v>
      </c>
      <c r="B427" t="s">
        <v>26</v>
      </c>
      <c r="C427">
        <v>65191</v>
      </c>
      <c r="D427" t="s">
        <v>326</v>
      </c>
      <c r="E427" s="7">
        <v>38</v>
      </c>
      <c r="F427" t="s">
        <v>20</v>
      </c>
      <c r="G427" s="10" t="s">
        <v>21</v>
      </c>
      <c r="H427" t="str">
        <f>"22387753"</f>
        <v>22387753</v>
      </c>
      <c r="I427" t="str">
        <f>"MATHESON TRI-GAS INC"</f>
        <v>MATHESON TRI-GAS INC</v>
      </c>
    </row>
    <row r="428" spans="1:9" x14ac:dyDescent="0.25">
      <c r="A428" s="6">
        <v>44118</v>
      </c>
      <c r="B428" t="s">
        <v>26</v>
      </c>
      <c r="C428">
        <v>65192</v>
      </c>
      <c r="D428" t="s">
        <v>124</v>
      </c>
      <c r="E428" s="7">
        <v>146.88</v>
      </c>
      <c r="F428" t="s">
        <v>20</v>
      </c>
      <c r="G428" s="10" t="s">
        <v>21</v>
      </c>
      <c r="H428" t="str">
        <f>"11194560"</f>
        <v>11194560</v>
      </c>
      <c r="I428" t="str">
        <f>"MATERIAL FOR PD"</f>
        <v>MATERIAL FOR PD</v>
      </c>
    </row>
    <row r="429" spans="1:9" x14ac:dyDescent="0.25">
      <c r="E429" s="7"/>
      <c r="F429" t="s">
        <v>20</v>
      </c>
      <c r="G429" s="10" t="s">
        <v>21</v>
      </c>
      <c r="H429" t="str">
        <f>"11194770"</f>
        <v>11194770</v>
      </c>
      <c r="I429" t="str">
        <f>"ICE MACHINE REPAIR"</f>
        <v>ICE MACHINE REPAIR</v>
      </c>
    </row>
    <row r="430" spans="1:9" x14ac:dyDescent="0.25">
      <c r="A430" s="6">
        <v>44118</v>
      </c>
      <c r="B430" t="s">
        <v>26</v>
      </c>
      <c r="C430">
        <v>65193</v>
      </c>
      <c r="D430" t="s">
        <v>905</v>
      </c>
      <c r="E430" s="7">
        <v>1002.88</v>
      </c>
      <c r="F430" t="s">
        <v>20</v>
      </c>
      <c r="G430" s="10" t="s">
        <v>21</v>
      </c>
      <c r="H430" t="str">
        <f>"59817"</f>
        <v>59817</v>
      </c>
      <c r="I430" t="str">
        <f>"MID-WEST PRINTING COMPANY"</f>
        <v>MID-WEST PRINTING COMPANY</v>
      </c>
    </row>
    <row r="431" spans="1:9" x14ac:dyDescent="0.25">
      <c r="A431" s="6">
        <v>44118</v>
      </c>
      <c r="B431" t="s">
        <v>26</v>
      </c>
      <c r="C431">
        <v>65194</v>
      </c>
      <c r="D431" t="s">
        <v>340</v>
      </c>
      <c r="E431" s="7">
        <v>6.63</v>
      </c>
      <c r="F431" t="s">
        <v>20</v>
      </c>
      <c r="G431" s="10" t="s">
        <v>21</v>
      </c>
      <c r="H431" t="str">
        <f>"686888 9/2020"</f>
        <v>686888 9/2020</v>
      </c>
      <c r="I431" t="str">
        <f>"O'REILLY AUTO PARTS"</f>
        <v>O'REILLY AUTO PARTS</v>
      </c>
    </row>
    <row r="432" spans="1:9" x14ac:dyDescent="0.25">
      <c r="A432" s="6">
        <v>44118</v>
      </c>
      <c r="B432" t="s">
        <v>26</v>
      </c>
      <c r="C432">
        <v>65195</v>
      </c>
      <c r="D432" t="s">
        <v>123</v>
      </c>
      <c r="E432" s="7">
        <v>565.1</v>
      </c>
      <c r="F432" t="s">
        <v>20</v>
      </c>
      <c r="G432" s="10" t="s">
        <v>21</v>
      </c>
      <c r="H432" t="str">
        <f>"122797033001"</f>
        <v>122797033001</v>
      </c>
      <c r="I432" t="str">
        <f>"OFFICE SUPPLIES"</f>
        <v>OFFICE SUPPLIES</v>
      </c>
    </row>
    <row r="433" spans="1:9" x14ac:dyDescent="0.25">
      <c r="E433" s="7"/>
      <c r="F433" t="s">
        <v>20</v>
      </c>
      <c r="G433" s="10" t="s">
        <v>21</v>
      </c>
      <c r="H433" t="str">
        <f>"126456115001"</f>
        <v>126456115001</v>
      </c>
      <c r="I433" t="str">
        <f>"OFFICE SUPPLIES"</f>
        <v>OFFICE SUPPLIES</v>
      </c>
    </row>
    <row r="434" spans="1:9" x14ac:dyDescent="0.25">
      <c r="E434" s="7"/>
      <c r="F434" t="s">
        <v>20</v>
      </c>
      <c r="G434" s="10" t="s">
        <v>21</v>
      </c>
      <c r="H434" t="str">
        <f>"126457661001"</f>
        <v>126457661001</v>
      </c>
      <c r="I434" t="str">
        <f>"OFFICE SUPPLIES"</f>
        <v>OFFICE SUPPLIES</v>
      </c>
    </row>
    <row r="435" spans="1:9" x14ac:dyDescent="0.25">
      <c r="E435" s="7"/>
      <c r="F435" t="s">
        <v>20</v>
      </c>
      <c r="G435" s="10" t="s">
        <v>21</v>
      </c>
      <c r="H435" t="str">
        <f>"126457662001"</f>
        <v>126457662001</v>
      </c>
      <c r="I435" t="str">
        <f>"OFFICE SUPPLIES"</f>
        <v>OFFICE SUPPLIES</v>
      </c>
    </row>
    <row r="436" spans="1:9" x14ac:dyDescent="0.25">
      <c r="A436" s="6">
        <v>44118</v>
      </c>
      <c r="B436" t="s">
        <v>26</v>
      </c>
      <c r="C436">
        <v>65196</v>
      </c>
      <c r="D436" t="s">
        <v>159</v>
      </c>
      <c r="E436" s="7">
        <v>361.8</v>
      </c>
      <c r="F436" t="s">
        <v>20</v>
      </c>
      <c r="G436" s="10" t="s">
        <v>21</v>
      </c>
      <c r="H436" t="str">
        <f>"2-3515"</f>
        <v>2-3515</v>
      </c>
      <c r="I436" t="str">
        <f>"PHOTOGRAPHS BY JIM"</f>
        <v>PHOTOGRAPHS BY JIM</v>
      </c>
    </row>
    <row r="437" spans="1:9" x14ac:dyDescent="0.25">
      <c r="A437" s="6">
        <v>44118</v>
      </c>
      <c r="B437" t="s">
        <v>91</v>
      </c>
      <c r="C437">
        <v>65197</v>
      </c>
      <c r="D437" t="s">
        <v>981</v>
      </c>
      <c r="E437" s="7">
        <v>80</v>
      </c>
      <c r="F437" t="s">
        <v>20</v>
      </c>
      <c r="G437" s="10" t="s">
        <v>21</v>
      </c>
      <c r="H437" t="str">
        <f>"183 9/29/2020"</f>
        <v>183 9/29/2020</v>
      </c>
      <c r="I437" t="str">
        <f>"POLLOK &amp; SONS SURVEYING INC."</f>
        <v>POLLOK &amp; SONS SURVEYING INC.</v>
      </c>
    </row>
    <row r="438" spans="1:9" x14ac:dyDescent="0.25">
      <c r="A438" s="6">
        <v>44118</v>
      </c>
      <c r="B438" t="s">
        <v>91</v>
      </c>
      <c r="C438">
        <v>65197</v>
      </c>
      <c r="D438" t="s">
        <v>981</v>
      </c>
      <c r="E438" s="7">
        <v>80</v>
      </c>
      <c r="F438" t="s">
        <v>20</v>
      </c>
      <c r="G438" s="10" t="s">
        <v>93</v>
      </c>
      <c r="H438" t="str">
        <f>"CHECK"</f>
        <v>CHECK</v>
      </c>
      <c r="I438" t="str">
        <f>""</f>
        <v/>
      </c>
    </row>
    <row r="439" spans="1:9" x14ac:dyDescent="0.25">
      <c r="A439" s="6">
        <v>44118</v>
      </c>
      <c r="B439" t="s">
        <v>26</v>
      </c>
      <c r="C439">
        <v>65198</v>
      </c>
      <c r="D439" t="s">
        <v>62</v>
      </c>
      <c r="E439" s="7">
        <v>210</v>
      </c>
      <c r="F439" t="s">
        <v>20</v>
      </c>
      <c r="G439" s="10" t="s">
        <v>21</v>
      </c>
      <c r="H439" t="str">
        <f>"70191"</f>
        <v>70191</v>
      </c>
      <c r="I439" t="str">
        <f>"PROFICIENT BENEFIT SOLUTIONS"</f>
        <v>PROFICIENT BENEFIT SOLUTIONS</v>
      </c>
    </row>
    <row r="440" spans="1:9" x14ac:dyDescent="0.25">
      <c r="A440" s="6">
        <v>44118</v>
      </c>
      <c r="B440" t="s">
        <v>26</v>
      </c>
      <c r="C440">
        <v>65199</v>
      </c>
      <c r="D440" t="s">
        <v>528</v>
      </c>
      <c r="E440" s="7">
        <v>69</v>
      </c>
      <c r="F440" t="s">
        <v>20</v>
      </c>
      <c r="G440" s="10" t="s">
        <v>21</v>
      </c>
      <c r="H440" t="str">
        <f>"10401460"</f>
        <v>10401460</v>
      </c>
      <c r="I440" t="str">
        <f>"PROSTAR SERVICES INC"</f>
        <v>PROSTAR SERVICES INC</v>
      </c>
    </row>
    <row r="441" spans="1:9" x14ac:dyDescent="0.25">
      <c r="A441" s="6">
        <v>44118</v>
      </c>
      <c r="B441" t="s">
        <v>26</v>
      </c>
      <c r="C441">
        <v>65200</v>
      </c>
      <c r="D441" t="s">
        <v>131</v>
      </c>
      <c r="E441" s="7">
        <v>76.27</v>
      </c>
      <c r="F441" t="s">
        <v>20</v>
      </c>
      <c r="G441" s="10" t="s">
        <v>21</v>
      </c>
      <c r="H441" t="str">
        <f>"053450"</f>
        <v>053450</v>
      </c>
      <c r="I441" t="str">
        <f>"PLANT MAINTENANCE SUPPLIE"</f>
        <v>PLANT MAINTENANCE SUPPLIE</v>
      </c>
    </row>
    <row r="442" spans="1:9" x14ac:dyDescent="0.25">
      <c r="A442" s="6">
        <v>44118</v>
      </c>
      <c r="B442" t="s">
        <v>26</v>
      </c>
      <c r="C442">
        <v>65201</v>
      </c>
      <c r="D442" t="s">
        <v>505</v>
      </c>
      <c r="E442" s="7">
        <v>800</v>
      </c>
      <c r="F442" t="s">
        <v>20</v>
      </c>
      <c r="G442" s="10" t="s">
        <v>21</v>
      </c>
      <c r="H442" t="str">
        <f>"150"</f>
        <v>150</v>
      </c>
      <c r="I442" t="str">
        <f>"REALITY DEFENSE INC"</f>
        <v>REALITY DEFENSE INC</v>
      </c>
    </row>
    <row r="443" spans="1:9" x14ac:dyDescent="0.25">
      <c r="A443" s="6">
        <v>44118</v>
      </c>
      <c r="B443" t="s">
        <v>26</v>
      </c>
      <c r="C443">
        <v>65202</v>
      </c>
      <c r="D443" t="s">
        <v>126</v>
      </c>
      <c r="E443" s="7">
        <v>89914.04</v>
      </c>
      <c r="F443" t="s">
        <v>20</v>
      </c>
      <c r="G443" s="10" t="s">
        <v>21</v>
      </c>
      <c r="H443" t="str">
        <f>"0859-002662049"</f>
        <v>0859-002662049</v>
      </c>
      <c r="I443" t="str">
        <f>"REPUBLIC SERVICES #859"</f>
        <v>REPUBLIC SERVICES #859</v>
      </c>
    </row>
    <row r="444" spans="1:9" x14ac:dyDescent="0.25">
      <c r="E444" s="7"/>
      <c r="F444" t="s">
        <v>20</v>
      </c>
      <c r="G444" s="10" t="s">
        <v>21</v>
      </c>
      <c r="H444" t="str">
        <f>"0859-002666359"</f>
        <v>0859-002666359</v>
      </c>
      <c r="I444" t="str">
        <f>"REPUBLIC SERVICES #859"</f>
        <v>REPUBLIC SERVICES #859</v>
      </c>
    </row>
    <row r="445" spans="1:9" x14ac:dyDescent="0.25">
      <c r="A445" s="6">
        <v>44118</v>
      </c>
      <c r="B445" t="s">
        <v>26</v>
      </c>
      <c r="C445">
        <v>65203</v>
      </c>
      <c r="D445" t="s">
        <v>630</v>
      </c>
      <c r="E445" s="7">
        <v>144.28</v>
      </c>
      <c r="F445" t="s">
        <v>20</v>
      </c>
      <c r="G445" s="10" t="s">
        <v>21</v>
      </c>
      <c r="H445" t="str">
        <f>"30595"</f>
        <v>30595</v>
      </c>
      <c r="I445" t="str">
        <f>"HOUSING AND RINGS FOR MET"</f>
        <v>HOUSING AND RINGS FOR MET</v>
      </c>
    </row>
    <row r="446" spans="1:9" x14ac:dyDescent="0.25">
      <c r="A446" s="6">
        <v>44118</v>
      </c>
      <c r="B446" t="s">
        <v>26</v>
      </c>
      <c r="C446">
        <v>65204</v>
      </c>
      <c r="D446" t="s">
        <v>930</v>
      </c>
      <c r="E446" s="7">
        <v>602.54999999999995</v>
      </c>
      <c r="F446" t="s">
        <v>20</v>
      </c>
      <c r="G446" s="10" t="s">
        <v>21</v>
      </c>
      <c r="H446" t="str">
        <f>"10/1-10/10/2020"</f>
        <v>10/1-10/10/2020</v>
      </c>
      <c r="I446" t="str">
        <f>"SAVANNAH TORRES"</f>
        <v>SAVANNAH TORRES</v>
      </c>
    </row>
    <row r="447" spans="1:9" x14ac:dyDescent="0.25">
      <c r="A447" s="6">
        <v>44118</v>
      </c>
      <c r="B447" t="s">
        <v>26</v>
      </c>
      <c r="C447">
        <v>65205</v>
      </c>
      <c r="D447" t="s">
        <v>346</v>
      </c>
      <c r="E447" s="7">
        <v>13750</v>
      </c>
      <c r="F447" t="s">
        <v>20</v>
      </c>
      <c r="G447" s="10" t="s">
        <v>21</v>
      </c>
      <c r="H447" t="str">
        <f>"9/11-10/11/2020"</f>
        <v>9/11-10/11/2020</v>
      </c>
      <c r="I447" t="str">
        <f>"SYLVIA RODRIGUEZ"</f>
        <v>SYLVIA RODRIGUEZ</v>
      </c>
    </row>
    <row r="448" spans="1:9" x14ac:dyDescent="0.25">
      <c r="A448" s="6">
        <v>44118</v>
      </c>
      <c r="B448" t="s">
        <v>26</v>
      </c>
      <c r="C448">
        <v>65206</v>
      </c>
      <c r="D448" t="s">
        <v>975</v>
      </c>
      <c r="E448" s="7">
        <v>51.3</v>
      </c>
      <c r="F448" t="s">
        <v>20</v>
      </c>
      <c r="G448" s="10" t="s">
        <v>21</v>
      </c>
      <c r="H448" t="str">
        <f>"P72554"</f>
        <v>P72554</v>
      </c>
      <c r="I448" t="str">
        <f>"LAWN MOWER REPAIR"</f>
        <v>LAWN MOWER REPAIR</v>
      </c>
    </row>
    <row r="449" spans="1:9" x14ac:dyDescent="0.25">
      <c r="A449" s="6">
        <v>44118</v>
      </c>
      <c r="B449" t="s">
        <v>26</v>
      </c>
      <c r="C449">
        <v>65207</v>
      </c>
      <c r="D449" t="s">
        <v>982</v>
      </c>
      <c r="E449" s="7">
        <v>100</v>
      </c>
      <c r="F449" t="s">
        <v>20</v>
      </c>
      <c r="G449" s="10" t="s">
        <v>21</v>
      </c>
      <c r="H449" t="str">
        <f>"M2470 ANL FEE"</f>
        <v>M2470 ANL FEE</v>
      </c>
      <c r="I449" t="str">
        <f>"TEXAS COMPTROLLER OF PUBLIC AC"</f>
        <v>TEXAS COMPTROLLER OF PUBLIC AC</v>
      </c>
    </row>
    <row r="450" spans="1:9" x14ac:dyDescent="0.25">
      <c r="A450" s="6">
        <v>44118</v>
      </c>
      <c r="B450" t="s">
        <v>91</v>
      </c>
      <c r="C450">
        <v>65208</v>
      </c>
      <c r="D450" t="s">
        <v>606</v>
      </c>
      <c r="E450" s="7">
        <v>75</v>
      </c>
      <c r="F450" t="s">
        <v>20</v>
      </c>
      <c r="G450" s="10" t="s">
        <v>21</v>
      </c>
      <c r="H450" t="str">
        <f>"2020-2021MEMBERSP"</f>
        <v>2020-2021MEMBERSP</v>
      </c>
      <c r="I450" t="str">
        <f>"TEXAS MUNICIPAL COURTS ASSOCIA"</f>
        <v>TEXAS MUNICIPAL COURTS ASSOCIA</v>
      </c>
    </row>
    <row r="451" spans="1:9" x14ac:dyDescent="0.25">
      <c r="A451" s="6">
        <v>44118</v>
      </c>
      <c r="B451" t="s">
        <v>91</v>
      </c>
      <c r="C451">
        <v>65208</v>
      </c>
      <c r="D451" t="s">
        <v>606</v>
      </c>
      <c r="E451" s="7">
        <v>75</v>
      </c>
      <c r="F451" t="s">
        <v>20</v>
      </c>
      <c r="G451" s="10" t="s">
        <v>93</v>
      </c>
      <c r="H451" t="str">
        <f>"CHECK"</f>
        <v>CHECK</v>
      </c>
      <c r="I451" t="str">
        <f>""</f>
        <v/>
      </c>
    </row>
    <row r="452" spans="1:9" x14ac:dyDescent="0.25">
      <c r="A452" s="6">
        <v>44118</v>
      </c>
      <c r="B452" t="s">
        <v>26</v>
      </c>
      <c r="C452">
        <v>65209</v>
      </c>
      <c r="D452" t="s">
        <v>554</v>
      </c>
      <c r="E452" s="7">
        <v>74.95</v>
      </c>
      <c r="F452" t="s">
        <v>20</v>
      </c>
      <c r="G452" s="10" t="s">
        <v>21</v>
      </c>
      <c r="H452" t="str">
        <f>"AB00870"</f>
        <v>AB00870</v>
      </c>
      <c r="I452" t="str">
        <f>"TEXAS WIRED MUSIC"</f>
        <v>TEXAS WIRED MUSIC</v>
      </c>
    </row>
    <row r="453" spans="1:9" x14ac:dyDescent="0.25">
      <c r="A453" s="6">
        <v>44118</v>
      </c>
      <c r="B453" t="s">
        <v>26</v>
      </c>
      <c r="C453">
        <v>65210</v>
      </c>
      <c r="D453" t="s">
        <v>31</v>
      </c>
      <c r="E453" s="7">
        <v>4000</v>
      </c>
      <c r="F453" t="s">
        <v>20</v>
      </c>
      <c r="G453" s="10" t="s">
        <v>21</v>
      </c>
      <c r="H453" t="str">
        <f>"2020246"</f>
        <v>2020246</v>
      </c>
      <c r="I453" t="str">
        <f>"THE LAW OFFICE OF TOM CALDWELL"</f>
        <v>THE LAW OFFICE OF TOM CALDWELL</v>
      </c>
    </row>
    <row r="454" spans="1:9" x14ac:dyDescent="0.25">
      <c r="A454" s="6">
        <v>44118</v>
      </c>
      <c r="B454" t="s">
        <v>26</v>
      </c>
      <c r="C454">
        <v>65211</v>
      </c>
      <c r="D454" t="s">
        <v>73</v>
      </c>
      <c r="E454" s="7">
        <v>40823</v>
      </c>
      <c r="F454" t="s">
        <v>20</v>
      </c>
      <c r="G454" s="10" t="s">
        <v>21</v>
      </c>
      <c r="H454" t="str">
        <f>"8027 OCT.2020"</f>
        <v>8027 OCT.2020</v>
      </c>
      <c r="I454" t="str">
        <f>"TML INTERGOVERNMENTAL RISK POO"</f>
        <v>TML INTERGOVERNMENTAL RISK POO</v>
      </c>
    </row>
    <row r="455" spans="1:9" x14ac:dyDescent="0.25">
      <c r="A455" s="6">
        <v>44118</v>
      </c>
      <c r="B455" t="s">
        <v>26</v>
      </c>
      <c r="C455">
        <v>65212</v>
      </c>
      <c r="D455" t="s">
        <v>75</v>
      </c>
      <c r="E455" s="7">
        <v>214.98</v>
      </c>
      <c r="F455" t="s">
        <v>20</v>
      </c>
      <c r="G455" s="10" t="s">
        <v>21</v>
      </c>
      <c r="H455" t="str">
        <f>"8184 9/30/2020"</f>
        <v>8184 9/30/2020</v>
      </c>
      <c r="I455" t="str">
        <f>"ANIMAIL CONTROL SUPPLIES"</f>
        <v>ANIMAIL CONTROL SUPPLIES</v>
      </c>
    </row>
    <row r="456" spans="1:9" x14ac:dyDescent="0.25">
      <c r="E456" s="7"/>
      <c r="F456" t="s">
        <v>20</v>
      </c>
      <c r="G456" s="10" t="s">
        <v>21</v>
      </c>
      <c r="H456" t="str">
        <f>"8184* 9/30/2020"</f>
        <v>8184* 9/30/2020</v>
      </c>
      <c r="I456" t="str">
        <f>"IMPACT DRILL"</f>
        <v>IMPACT DRILL</v>
      </c>
    </row>
    <row r="457" spans="1:9" x14ac:dyDescent="0.25">
      <c r="A457" s="6">
        <v>44118</v>
      </c>
      <c r="B457" t="s">
        <v>26</v>
      </c>
      <c r="C457">
        <v>65213</v>
      </c>
      <c r="D457" t="s">
        <v>698</v>
      </c>
      <c r="E457" s="7">
        <v>155</v>
      </c>
      <c r="F457" t="s">
        <v>20</v>
      </c>
      <c r="G457" s="10" t="s">
        <v>21</v>
      </c>
      <c r="H457" t="str">
        <f>"10/10/2020"</f>
        <v>10/10/2020</v>
      </c>
      <c r="I457" t="str">
        <f>"TRACY ORTIZ"</f>
        <v>TRACY ORTIZ</v>
      </c>
    </row>
    <row r="458" spans="1:9" x14ac:dyDescent="0.25">
      <c r="A458" s="6">
        <v>44118</v>
      </c>
      <c r="B458" t="s">
        <v>26</v>
      </c>
      <c r="C458">
        <v>65214</v>
      </c>
      <c r="D458" t="s">
        <v>644</v>
      </c>
      <c r="E458" s="7">
        <v>975.29</v>
      </c>
      <c r="F458" t="s">
        <v>20</v>
      </c>
      <c r="G458" s="10" t="s">
        <v>21</v>
      </c>
      <c r="H458" t="str">
        <f>"8213511890"</f>
        <v>8213511890</v>
      </c>
      <c r="I458" t="str">
        <f t="shared" ref="I458:I471" si="3">"UNIFIRST CORPORATION"</f>
        <v>UNIFIRST CORPORATION</v>
      </c>
    </row>
    <row r="459" spans="1:9" x14ac:dyDescent="0.25">
      <c r="E459" s="7"/>
      <c r="F459" t="s">
        <v>20</v>
      </c>
      <c r="G459" s="10" t="s">
        <v>21</v>
      </c>
      <c r="H459" t="str">
        <f>"8213511891"</f>
        <v>8213511891</v>
      </c>
      <c r="I459" t="str">
        <f t="shared" si="3"/>
        <v>UNIFIRST CORPORATION</v>
      </c>
    </row>
    <row r="460" spans="1:9" x14ac:dyDescent="0.25">
      <c r="E460" s="7"/>
      <c r="F460" t="s">
        <v>20</v>
      </c>
      <c r="G460" s="10" t="s">
        <v>21</v>
      </c>
      <c r="H460" t="str">
        <f>"8213511892"</f>
        <v>8213511892</v>
      </c>
      <c r="I460" t="str">
        <f t="shared" si="3"/>
        <v>UNIFIRST CORPORATION</v>
      </c>
    </row>
    <row r="461" spans="1:9" x14ac:dyDescent="0.25">
      <c r="E461" s="7"/>
      <c r="F461" t="s">
        <v>20</v>
      </c>
      <c r="G461" s="10" t="s">
        <v>21</v>
      </c>
      <c r="H461" t="str">
        <f>"8213511893"</f>
        <v>8213511893</v>
      </c>
      <c r="I461" t="str">
        <f t="shared" si="3"/>
        <v>UNIFIRST CORPORATION</v>
      </c>
    </row>
    <row r="462" spans="1:9" x14ac:dyDescent="0.25">
      <c r="E462" s="7"/>
      <c r="F462" t="s">
        <v>20</v>
      </c>
      <c r="G462" s="10" t="s">
        <v>21</v>
      </c>
      <c r="H462" t="str">
        <f>"8213511894"</f>
        <v>8213511894</v>
      </c>
      <c r="I462" t="str">
        <f t="shared" si="3"/>
        <v>UNIFIRST CORPORATION</v>
      </c>
    </row>
    <row r="463" spans="1:9" x14ac:dyDescent="0.25">
      <c r="E463" s="7"/>
      <c r="F463" t="s">
        <v>20</v>
      </c>
      <c r="G463" s="10" t="s">
        <v>21</v>
      </c>
      <c r="H463" t="str">
        <f>"8213511895"</f>
        <v>8213511895</v>
      </c>
      <c r="I463" t="str">
        <f t="shared" si="3"/>
        <v>UNIFIRST CORPORATION</v>
      </c>
    </row>
    <row r="464" spans="1:9" x14ac:dyDescent="0.25">
      <c r="E464" s="7"/>
      <c r="F464" t="s">
        <v>20</v>
      </c>
      <c r="G464" s="10" t="s">
        <v>21</v>
      </c>
      <c r="H464" t="str">
        <f>"8213511896"</f>
        <v>8213511896</v>
      </c>
      <c r="I464" t="str">
        <f t="shared" si="3"/>
        <v>UNIFIRST CORPORATION</v>
      </c>
    </row>
    <row r="465" spans="1:9" x14ac:dyDescent="0.25">
      <c r="E465" s="7"/>
      <c r="F465" t="s">
        <v>20</v>
      </c>
      <c r="G465" s="10" t="s">
        <v>21</v>
      </c>
      <c r="H465" t="str">
        <f>"8213514419"</f>
        <v>8213514419</v>
      </c>
      <c r="I465" t="str">
        <f t="shared" si="3"/>
        <v>UNIFIRST CORPORATION</v>
      </c>
    </row>
    <row r="466" spans="1:9" x14ac:dyDescent="0.25">
      <c r="E466" s="7"/>
      <c r="F466" t="s">
        <v>20</v>
      </c>
      <c r="G466" s="10" t="s">
        <v>21</v>
      </c>
      <c r="H466" t="str">
        <f>"8213514420"</f>
        <v>8213514420</v>
      </c>
      <c r="I466" t="str">
        <f t="shared" si="3"/>
        <v>UNIFIRST CORPORATION</v>
      </c>
    </row>
    <row r="467" spans="1:9" x14ac:dyDescent="0.25">
      <c r="E467" s="7"/>
      <c r="F467" t="s">
        <v>20</v>
      </c>
      <c r="G467" s="10" t="s">
        <v>21</v>
      </c>
      <c r="H467" t="str">
        <f>"8213514421"</f>
        <v>8213514421</v>
      </c>
      <c r="I467" t="str">
        <f t="shared" si="3"/>
        <v>UNIFIRST CORPORATION</v>
      </c>
    </row>
    <row r="468" spans="1:9" x14ac:dyDescent="0.25">
      <c r="E468" s="7"/>
      <c r="F468" t="s">
        <v>20</v>
      </c>
      <c r="G468" s="10" t="s">
        <v>21</v>
      </c>
      <c r="H468" t="str">
        <f>"8213514422"</f>
        <v>8213514422</v>
      </c>
      <c r="I468" t="str">
        <f t="shared" si="3"/>
        <v>UNIFIRST CORPORATION</v>
      </c>
    </row>
    <row r="469" spans="1:9" x14ac:dyDescent="0.25">
      <c r="E469" s="7"/>
      <c r="F469" t="s">
        <v>20</v>
      </c>
      <c r="G469" s="10" t="s">
        <v>21</v>
      </c>
      <c r="H469" t="str">
        <f>"8213514423"</f>
        <v>8213514423</v>
      </c>
      <c r="I469" t="str">
        <f t="shared" si="3"/>
        <v>UNIFIRST CORPORATION</v>
      </c>
    </row>
    <row r="470" spans="1:9" x14ac:dyDescent="0.25">
      <c r="E470" s="7"/>
      <c r="F470" t="s">
        <v>20</v>
      </c>
      <c r="G470" s="10" t="s">
        <v>21</v>
      </c>
      <c r="H470" t="str">
        <f>"8213514424"</f>
        <v>8213514424</v>
      </c>
      <c r="I470" t="str">
        <f t="shared" si="3"/>
        <v>UNIFIRST CORPORATION</v>
      </c>
    </row>
    <row r="471" spans="1:9" x14ac:dyDescent="0.25">
      <c r="E471" s="7"/>
      <c r="F471" t="s">
        <v>20</v>
      </c>
      <c r="G471" s="10" t="s">
        <v>21</v>
      </c>
      <c r="H471" t="str">
        <f>"8213514425"</f>
        <v>8213514425</v>
      </c>
      <c r="I471" t="str">
        <f t="shared" si="3"/>
        <v>UNIFIRST CORPORATION</v>
      </c>
    </row>
    <row r="472" spans="1:9" x14ac:dyDescent="0.25">
      <c r="A472" s="6">
        <v>44118</v>
      </c>
      <c r="B472" t="s">
        <v>26</v>
      </c>
      <c r="C472">
        <v>65217</v>
      </c>
      <c r="D472" t="s">
        <v>104</v>
      </c>
      <c r="E472" s="7">
        <v>4339.2700000000004</v>
      </c>
      <c r="F472" t="s">
        <v>20</v>
      </c>
      <c r="G472" s="10" t="s">
        <v>21</v>
      </c>
      <c r="H472" t="str">
        <f>"4044"</f>
        <v>4044</v>
      </c>
      <c r="I472" t="str">
        <f t="shared" ref="I472:I481" si="4">"WILSON COUNTY NEWS"</f>
        <v>WILSON COUNTY NEWS</v>
      </c>
    </row>
    <row r="473" spans="1:9" x14ac:dyDescent="0.25">
      <c r="E473" s="7"/>
      <c r="F473" t="s">
        <v>20</v>
      </c>
      <c r="G473" s="10" t="s">
        <v>21</v>
      </c>
      <c r="H473" t="str">
        <f>"4045"</f>
        <v>4045</v>
      </c>
      <c r="I473" t="str">
        <f t="shared" si="4"/>
        <v>WILSON COUNTY NEWS</v>
      </c>
    </row>
    <row r="474" spans="1:9" x14ac:dyDescent="0.25">
      <c r="E474" s="7"/>
      <c r="F474" t="s">
        <v>20</v>
      </c>
      <c r="G474" s="10" t="s">
        <v>21</v>
      </c>
      <c r="H474" t="str">
        <f>"4046"</f>
        <v>4046</v>
      </c>
      <c r="I474" t="str">
        <f t="shared" si="4"/>
        <v>WILSON COUNTY NEWS</v>
      </c>
    </row>
    <row r="475" spans="1:9" x14ac:dyDescent="0.25">
      <c r="E475" s="7"/>
      <c r="F475" t="s">
        <v>20</v>
      </c>
      <c r="G475" s="10" t="s">
        <v>21</v>
      </c>
      <c r="H475" t="str">
        <f>"4047"</f>
        <v>4047</v>
      </c>
      <c r="I475" t="str">
        <f t="shared" si="4"/>
        <v>WILSON COUNTY NEWS</v>
      </c>
    </row>
    <row r="476" spans="1:9" x14ac:dyDescent="0.25">
      <c r="E476" s="7"/>
      <c r="F476" t="s">
        <v>20</v>
      </c>
      <c r="G476" s="10" t="s">
        <v>21</v>
      </c>
      <c r="H476" t="str">
        <f>"4466"</f>
        <v>4466</v>
      </c>
      <c r="I476" t="str">
        <f t="shared" si="4"/>
        <v>WILSON COUNTY NEWS</v>
      </c>
    </row>
    <row r="477" spans="1:9" x14ac:dyDescent="0.25">
      <c r="E477" s="7"/>
      <c r="F477" t="s">
        <v>20</v>
      </c>
      <c r="G477" s="10" t="s">
        <v>21</v>
      </c>
      <c r="H477" t="str">
        <f>"5024"</f>
        <v>5024</v>
      </c>
      <c r="I477" t="str">
        <f t="shared" si="4"/>
        <v>WILSON COUNTY NEWS</v>
      </c>
    </row>
    <row r="478" spans="1:9" x14ac:dyDescent="0.25">
      <c r="E478" s="7"/>
      <c r="F478" t="s">
        <v>20</v>
      </c>
      <c r="G478" s="10" t="s">
        <v>21</v>
      </c>
      <c r="H478" t="str">
        <f>"5260"</f>
        <v>5260</v>
      </c>
      <c r="I478" t="str">
        <f t="shared" si="4"/>
        <v>WILSON COUNTY NEWS</v>
      </c>
    </row>
    <row r="479" spans="1:9" x14ac:dyDescent="0.25">
      <c r="E479" s="7"/>
      <c r="F479" t="s">
        <v>20</v>
      </c>
      <c r="G479" s="10" t="s">
        <v>21</v>
      </c>
      <c r="H479" t="str">
        <f>"5345"</f>
        <v>5345</v>
      </c>
      <c r="I479" t="str">
        <f t="shared" si="4"/>
        <v>WILSON COUNTY NEWS</v>
      </c>
    </row>
    <row r="480" spans="1:9" x14ac:dyDescent="0.25">
      <c r="E480" s="7"/>
      <c r="F480" t="s">
        <v>20</v>
      </c>
      <c r="G480" s="10" t="s">
        <v>21</v>
      </c>
      <c r="H480" t="str">
        <f>"5347"</f>
        <v>5347</v>
      </c>
      <c r="I480" t="str">
        <f t="shared" si="4"/>
        <v>WILSON COUNTY NEWS</v>
      </c>
    </row>
    <row r="481" spans="1:9" x14ac:dyDescent="0.25">
      <c r="E481" s="7"/>
      <c r="F481" t="s">
        <v>20</v>
      </c>
      <c r="G481" s="10" t="s">
        <v>21</v>
      </c>
      <c r="H481" t="str">
        <f>"5395"</f>
        <v>5395</v>
      </c>
      <c r="I481" t="str">
        <f t="shared" si="4"/>
        <v>WILSON COUNTY NEWS</v>
      </c>
    </row>
    <row r="482" spans="1:9" x14ac:dyDescent="0.25">
      <c r="A482" s="6">
        <v>44118</v>
      </c>
      <c r="B482" t="s">
        <v>26</v>
      </c>
      <c r="C482">
        <v>65219</v>
      </c>
      <c r="D482" t="s">
        <v>76</v>
      </c>
      <c r="E482" s="7">
        <v>3012.15</v>
      </c>
      <c r="F482" t="s">
        <v>20</v>
      </c>
      <c r="G482" s="10" t="s">
        <v>21</v>
      </c>
      <c r="H482" t="str">
        <f>"1126 4TH QRT"</f>
        <v>1126 4TH QRT</v>
      </c>
      <c r="I482" t="str">
        <f>"WILSON COUNTY TAX COLLECTOR"</f>
        <v>WILSON COUNTY TAX COLLECTOR</v>
      </c>
    </row>
    <row r="483" spans="1:9" x14ac:dyDescent="0.25">
      <c r="A483" s="6">
        <v>44118</v>
      </c>
      <c r="B483" t="s">
        <v>26</v>
      </c>
      <c r="C483">
        <v>65220</v>
      </c>
      <c r="D483" t="s">
        <v>366</v>
      </c>
      <c r="E483" s="7">
        <v>100</v>
      </c>
      <c r="F483" t="s">
        <v>20</v>
      </c>
      <c r="G483" s="10" t="s">
        <v>21</v>
      </c>
      <c r="H483" t="str">
        <f>"CS QT END 9/30/20"</f>
        <v>CS QT END 9/30/20</v>
      </c>
      <c r="I483" t="str">
        <f>"COMPTROLLER OF PUBLIC ACCOUNTS"</f>
        <v>COMPTROLLER OF PUBLIC ACCOUNTS</v>
      </c>
    </row>
    <row r="484" spans="1:9" x14ac:dyDescent="0.25">
      <c r="A484" s="6">
        <v>44118</v>
      </c>
      <c r="B484" t="s">
        <v>26</v>
      </c>
      <c r="C484">
        <v>65221</v>
      </c>
      <c r="D484" t="s">
        <v>345</v>
      </c>
      <c r="E484" s="7">
        <v>220</v>
      </c>
      <c r="F484" t="s">
        <v>20</v>
      </c>
      <c r="G484" s="10" t="s">
        <v>21</v>
      </c>
      <c r="H484" t="str">
        <f>"10/12/2020"</f>
        <v>10/12/2020</v>
      </c>
      <c r="I484" t="str">
        <f>"MICHAEL ISAAC MARTINEZ"</f>
        <v>MICHAEL ISAAC MARTINEZ</v>
      </c>
    </row>
    <row r="485" spans="1:9" x14ac:dyDescent="0.25">
      <c r="A485" s="6">
        <v>44124</v>
      </c>
      <c r="B485" t="s">
        <v>26</v>
      </c>
      <c r="C485">
        <v>65226</v>
      </c>
      <c r="D485" t="s">
        <v>970</v>
      </c>
      <c r="E485" s="7">
        <v>55</v>
      </c>
      <c r="F485" t="s">
        <v>20</v>
      </c>
      <c r="G485" s="10" t="s">
        <v>21</v>
      </c>
      <c r="H485" t="str">
        <f>"10/18/2020"</f>
        <v>10/18/2020</v>
      </c>
      <c r="I485" t="str">
        <f>"ABBYGAIL DELGADO"</f>
        <v>ABBYGAIL DELGADO</v>
      </c>
    </row>
    <row r="486" spans="1:9" x14ac:dyDescent="0.25">
      <c r="A486" s="6">
        <v>44124</v>
      </c>
      <c r="B486" t="s">
        <v>26</v>
      </c>
      <c r="C486">
        <v>65227</v>
      </c>
      <c r="D486" t="s">
        <v>979</v>
      </c>
      <c r="E486" s="7">
        <v>810</v>
      </c>
      <c r="F486" t="s">
        <v>20</v>
      </c>
      <c r="G486" s="10" t="s">
        <v>21</v>
      </c>
      <c r="H486" t="str">
        <f>"10/11-10/24/2020"</f>
        <v>10/11-10/24/2020</v>
      </c>
      <c r="I486" t="str">
        <f>"BIANCA CANTU"</f>
        <v>BIANCA CANTU</v>
      </c>
    </row>
    <row r="487" spans="1:9" x14ac:dyDescent="0.25">
      <c r="A487" s="6">
        <v>44124</v>
      </c>
      <c r="B487" t="s">
        <v>26</v>
      </c>
      <c r="C487">
        <v>65228</v>
      </c>
      <c r="D487" t="s">
        <v>983</v>
      </c>
      <c r="E487" s="7">
        <v>724.75</v>
      </c>
      <c r="F487" t="s">
        <v>20</v>
      </c>
      <c r="G487" s="10" t="s">
        <v>21</v>
      </c>
      <c r="H487" t="str">
        <f>"10/4-10/17/2020"</f>
        <v>10/4-10/17/2020</v>
      </c>
      <c r="I487" t="str">
        <f>"BRANDON CANTU"</f>
        <v>BRANDON CANTU</v>
      </c>
    </row>
    <row r="488" spans="1:9" x14ac:dyDescent="0.25">
      <c r="A488" s="6">
        <v>44124</v>
      </c>
      <c r="B488" t="s">
        <v>26</v>
      </c>
      <c r="C488">
        <v>65229</v>
      </c>
      <c r="D488" t="s">
        <v>102</v>
      </c>
      <c r="E488" s="7">
        <v>103.72</v>
      </c>
      <c r="F488" t="s">
        <v>20</v>
      </c>
      <c r="G488" s="10" t="s">
        <v>21</v>
      </c>
      <c r="H488" t="str">
        <f>"1120 D. ST SEPT202"</f>
        <v>1120 D. ST SEPT202</v>
      </c>
      <c r="I488" t="str">
        <f>"CENTERPOINT ENERGY ENTEX"</f>
        <v>CENTERPOINT ENERGY ENTEX</v>
      </c>
    </row>
    <row r="489" spans="1:9" x14ac:dyDescent="0.25">
      <c r="E489" s="7"/>
      <c r="F489" t="s">
        <v>20</v>
      </c>
      <c r="G489" s="10" t="s">
        <v>21</v>
      </c>
      <c r="H489" t="str">
        <f>"1200 1ST SEPT.2020"</f>
        <v>1200 1ST SEPT.2020</v>
      </c>
      <c r="I489" t="str">
        <f>"CENTERPOINT ENERGY ENTEX"</f>
        <v>CENTERPOINT ENERGY ENTEX</v>
      </c>
    </row>
    <row r="490" spans="1:9" x14ac:dyDescent="0.25">
      <c r="E490" s="7"/>
      <c r="F490" t="s">
        <v>20</v>
      </c>
      <c r="G490" s="10" t="s">
        <v>21</v>
      </c>
      <c r="H490" t="str">
        <f>"920 C ST SEPT 2020"</f>
        <v>920 C ST SEPT 2020</v>
      </c>
      <c r="I490" t="str">
        <f>"CENTERPOINT ENERGY ENTEX"</f>
        <v>CENTERPOINT ENERGY ENTEX</v>
      </c>
    </row>
    <row r="491" spans="1:9" x14ac:dyDescent="0.25">
      <c r="A491" s="6">
        <v>44124</v>
      </c>
      <c r="B491" t="s">
        <v>26</v>
      </c>
      <c r="C491">
        <v>65230</v>
      </c>
      <c r="D491" t="s">
        <v>81</v>
      </c>
      <c r="E491" s="7">
        <v>58.44</v>
      </c>
      <c r="F491" t="s">
        <v>20</v>
      </c>
      <c r="G491" s="10" t="s">
        <v>21</v>
      </c>
      <c r="H491" t="str">
        <f>"A.MARTINEZ 10/2020"</f>
        <v>A.MARTINEZ 10/2020</v>
      </c>
      <c r="I491" t="str">
        <f>"CITY OF FLORESVILLE -PETTY CAS"</f>
        <v>CITY OF FLORESVILLE -PETTY CAS</v>
      </c>
    </row>
    <row r="492" spans="1:9" x14ac:dyDescent="0.25">
      <c r="A492" s="6">
        <v>44124</v>
      </c>
      <c r="B492" t="s">
        <v>26</v>
      </c>
      <c r="C492">
        <v>65231</v>
      </c>
      <c r="D492" t="s">
        <v>872</v>
      </c>
      <c r="E492" s="7">
        <v>55</v>
      </c>
      <c r="F492" t="s">
        <v>20</v>
      </c>
      <c r="G492" s="10" t="s">
        <v>21</v>
      </c>
      <c r="H492" t="str">
        <f>"10/18/2020"</f>
        <v>10/18/2020</v>
      </c>
      <c r="I492" t="str">
        <f>"DEVIN BENAVIDES"</f>
        <v>DEVIN BENAVIDES</v>
      </c>
    </row>
    <row r="493" spans="1:9" x14ac:dyDescent="0.25">
      <c r="A493" s="6">
        <v>44124</v>
      </c>
      <c r="B493" t="s">
        <v>26</v>
      </c>
      <c r="C493">
        <v>65232</v>
      </c>
      <c r="D493" t="s">
        <v>614</v>
      </c>
      <c r="E493" s="7">
        <v>377</v>
      </c>
      <c r="F493" t="s">
        <v>20</v>
      </c>
      <c r="G493" s="10" t="s">
        <v>21</v>
      </c>
      <c r="H493" t="str">
        <f>"10/11-10/17/2020"</f>
        <v>10/11-10/17/2020</v>
      </c>
      <c r="I493" t="str">
        <f>"DONNA PEREZ"</f>
        <v>DONNA PEREZ</v>
      </c>
    </row>
    <row r="494" spans="1:9" x14ac:dyDescent="0.25">
      <c r="A494" s="6">
        <v>44124</v>
      </c>
      <c r="B494" t="s">
        <v>26</v>
      </c>
      <c r="C494">
        <v>65233</v>
      </c>
      <c r="D494" t="s">
        <v>984</v>
      </c>
      <c r="E494" s="7">
        <v>96.9</v>
      </c>
      <c r="F494" t="s">
        <v>20</v>
      </c>
      <c r="G494" s="10" t="s">
        <v>21</v>
      </c>
      <c r="H494" t="str">
        <f>"REIMB. FOR NOTARY"</f>
        <v>REIMB. FOR NOTARY</v>
      </c>
      <c r="I494" t="str">
        <f>"EVELYN GARCIA-OLIVO"</f>
        <v>EVELYN GARCIA-OLIVO</v>
      </c>
    </row>
    <row r="495" spans="1:9" x14ac:dyDescent="0.25">
      <c r="A495" s="6">
        <v>44124</v>
      </c>
      <c r="B495" t="s">
        <v>26</v>
      </c>
      <c r="C495">
        <v>65234</v>
      </c>
      <c r="D495" t="s">
        <v>103</v>
      </c>
      <c r="E495" s="7">
        <v>76625.88</v>
      </c>
      <c r="F495" t="s">
        <v>20</v>
      </c>
      <c r="G495" s="10" t="s">
        <v>21</v>
      </c>
      <c r="H495" t="str">
        <f>"OCTOBER SALES TAX"</f>
        <v>OCTOBER SALES TAX</v>
      </c>
      <c r="I495" t="str">
        <f>"F. E. D. C."</f>
        <v>F. E. D. C.</v>
      </c>
    </row>
    <row r="496" spans="1:9" x14ac:dyDescent="0.25">
      <c r="A496" s="6">
        <v>44124</v>
      </c>
      <c r="B496" t="s">
        <v>26</v>
      </c>
      <c r="C496">
        <v>65235</v>
      </c>
      <c r="D496" t="s">
        <v>85</v>
      </c>
      <c r="E496" s="7">
        <v>185.58</v>
      </c>
      <c r="F496" t="s">
        <v>20</v>
      </c>
      <c r="G496" s="10" t="s">
        <v>21</v>
      </c>
      <c r="H496" t="str">
        <f>"3930579 OCT.2020"</f>
        <v>3930579 OCT.2020</v>
      </c>
      <c r="I496" t="str">
        <f>"FRONTIER"</f>
        <v>FRONTIER</v>
      </c>
    </row>
    <row r="497" spans="1:9" x14ac:dyDescent="0.25">
      <c r="E497" s="7"/>
      <c r="F497" t="s">
        <v>20</v>
      </c>
      <c r="G497" s="10" t="s">
        <v>21</v>
      </c>
      <c r="H497" t="str">
        <f>"3933108 OCT. 2020"</f>
        <v>3933108 OCT. 2020</v>
      </c>
      <c r="I497" t="str">
        <f>"FRONTIER"</f>
        <v>FRONTIER</v>
      </c>
    </row>
    <row r="498" spans="1:9" x14ac:dyDescent="0.25">
      <c r="E498" s="7"/>
      <c r="F498" t="s">
        <v>20</v>
      </c>
      <c r="G498" s="10" t="s">
        <v>21</v>
      </c>
      <c r="H498" t="str">
        <f>"3939791 OCT.2020"</f>
        <v>3939791 OCT.2020</v>
      </c>
      <c r="I498" t="str">
        <f>"FRONTIER"</f>
        <v>FRONTIER</v>
      </c>
    </row>
    <row r="499" spans="1:9" x14ac:dyDescent="0.25">
      <c r="A499" s="6">
        <v>44124</v>
      </c>
      <c r="B499" t="s">
        <v>26</v>
      </c>
      <c r="C499">
        <v>65236</v>
      </c>
      <c r="D499" t="s">
        <v>985</v>
      </c>
      <c r="E499" s="7">
        <v>468</v>
      </c>
      <c r="F499" t="s">
        <v>20</v>
      </c>
      <c r="G499" s="10" t="s">
        <v>21</v>
      </c>
      <c r="H499" t="str">
        <f>"10/11-10/17/2020"</f>
        <v>10/11-10/17/2020</v>
      </c>
      <c r="I499" t="str">
        <f>"GUADALUPE ARANDA"</f>
        <v>GUADALUPE ARANDA</v>
      </c>
    </row>
    <row r="500" spans="1:9" x14ac:dyDescent="0.25">
      <c r="A500" s="6">
        <v>44124</v>
      </c>
      <c r="B500" t="s">
        <v>91</v>
      </c>
      <c r="C500">
        <v>65237</v>
      </c>
      <c r="D500" t="s">
        <v>47</v>
      </c>
      <c r="E500" s="7">
        <v>60592.88</v>
      </c>
      <c r="F500" t="s">
        <v>20</v>
      </c>
      <c r="G500" s="10" t="s">
        <v>21</v>
      </c>
      <c r="H500" t="str">
        <f>"COFEP1082020"</f>
        <v>COFEP1082020</v>
      </c>
      <c r="I500" t="str">
        <f>"HEARTLAND PARK &amp; RECREATION  L"</f>
        <v>HEARTLAND PARK &amp; RECREATION  L</v>
      </c>
    </row>
    <row r="501" spans="1:9" x14ac:dyDescent="0.25">
      <c r="A501" s="6">
        <v>44124</v>
      </c>
      <c r="B501" t="s">
        <v>91</v>
      </c>
      <c r="C501">
        <v>65237</v>
      </c>
      <c r="D501" t="s">
        <v>47</v>
      </c>
      <c r="E501" s="7">
        <v>60592.88</v>
      </c>
      <c r="F501" t="s">
        <v>20</v>
      </c>
      <c r="G501" s="10" t="s">
        <v>93</v>
      </c>
      <c r="H501" t="str">
        <f>"CHECK"</f>
        <v>CHECK</v>
      </c>
      <c r="I501" t="str">
        <f>""</f>
        <v/>
      </c>
    </row>
    <row r="502" spans="1:9" x14ac:dyDescent="0.25">
      <c r="A502" s="6">
        <v>44124</v>
      </c>
      <c r="B502" t="s">
        <v>26</v>
      </c>
      <c r="C502">
        <v>65238</v>
      </c>
      <c r="D502" t="s">
        <v>617</v>
      </c>
      <c r="E502" s="7">
        <v>686.14</v>
      </c>
      <c r="F502" t="s">
        <v>20</v>
      </c>
      <c r="G502" s="10" t="s">
        <v>21</v>
      </c>
      <c r="H502" t="str">
        <f>"10/4-10/17/2020"</f>
        <v>10/4-10/17/2020</v>
      </c>
      <c r="I502" t="str">
        <f>"KASSANDRA ARANDA"</f>
        <v>KASSANDRA ARANDA</v>
      </c>
    </row>
    <row r="503" spans="1:9" x14ac:dyDescent="0.25">
      <c r="A503" s="6">
        <v>44124</v>
      </c>
      <c r="B503" t="s">
        <v>26</v>
      </c>
      <c r="C503">
        <v>65239</v>
      </c>
      <c r="D503" t="s">
        <v>986</v>
      </c>
      <c r="E503" s="7">
        <v>1008.75</v>
      </c>
      <c r="F503" t="s">
        <v>20</v>
      </c>
      <c r="G503" s="10" t="s">
        <v>21</v>
      </c>
      <c r="H503" t="str">
        <f>"10/4-10/17/2020"</f>
        <v>10/4-10/17/2020</v>
      </c>
      <c r="I503" t="str">
        <f>"KERRY L. ESQUIVEL"</f>
        <v>KERRY L. ESQUIVEL</v>
      </c>
    </row>
    <row r="504" spans="1:9" x14ac:dyDescent="0.25">
      <c r="A504" s="6">
        <v>44124</v>
      </c>
      <c r="B504" t="s">
        <v>26</v>
      </c>
      <c r="C504">
        <v>65240</v>
      </c>
      <c r="D504" t="s">
        <v>117</v>
      </c>
      <c r="E504" s="7">
        <v>3009.2</v>
      </c>
      <c r="F504" t="s">
        <v>20</v>
      </c>
      <c r="G504" s="10" t="s">
        <v>21</v>
      </c>
      <c r="H504" t="str">
        <f>"SEPT.2020"</f>
        <v>SEPT.2020</v>
      </c>
      <c r="I504" t="str">
        <f>"LINEBARGER GOGGAN BLAIR &amp; SAMP"</f>
        <v>LINEBARGER GOGGAN BLAIR &amp; SAMP</v>
      </c>
    </row>
    <row r="505" spans="1:9" x14ac:dyDescent="0.25">
      <c r="A505" s="6">
        <v>44124</v>
      </c>
      <c r="B505" t="s">
        <v>26</v>
      </c>
      <c r="C505">
        <v>65241</v>
      </c>
      <c r="D505" t="s">
        <v>972</v>
      </c>
      <c r="E505" s="7">
        <v>140</v>
      </c>
      <c r="F505" t="s">
        <v>20</v>
      </c>
      <c r="G505" s="10" t="s">
        <v>21</v>
      </c>
      <c r="H505" t="str">
        <f>"10/13/2020"</f>
        <v>10/13/2020</v>
      </c>
      <c r="I505" t="str">
        <f>"MIA GONZALES"</f>
        <v>MIA GONZALES</v>
      </c>
    </row>
    <row r="506" spans="1:9" x14ac:dyDescent="0.25">
      <c r="A506" s="6">
        <v>44124</v>
      </c>
      <c r="B506" t="s">
        <v>26</v>
      </c>
      <c r="C506">
        <v>65242</v>
      </c>
      <c r="D506" t="s">
        <v>106</v>
      </c>
      <c r="E506" s="7">
        <v>70.36</v>
      </c>
      <c r="F506" t="s">
        <v>20</v>
      </c>
      <c r="G506" s="10" t="s">
        <v>21</v>
      </c>
      <c r="H506" t="str">
        <f>"JULY-SEPT.2020"</f>
        <v>JULY-SEPT.2020</v>
      </c>
      <c r="I506" t="str">
        <f>"OMNIBASE SERVICES OF TEXAS"</f>
        <v>OMNIBASE SERVICES OF TEXAS</v>
      </c>
    </row>
    <row r="507" spans="1:9" x14ac:dyDescent="0.25">
      <c r="A507" s="6">
        <v>44124</v>
      </c>
      <c r="B507" t="s">
        <v>26</v>
      </c>
      <c r="C507">
        <v>65243</v>
      </c>
      <c r="D507" t="s">
        <v>738</v>
      </c>
      <c r="E507" s="7">
        <v>315</v>
      </c>
      <c r="F507" t="s">
        <v>20</v>
      </c>
      <c r="G507" s="10" t="s">
        <v>21</v>
      </c>
      <c r="H507" t="str">
        <f>"SECURITY SFBAL GAM"</f>
        <v>SECURITY SFBAL GAM</v>
      </c>
      <c r="I507" t="str">
        <f>"PATRICIO BARRERA HERNANDEZ"</f>
        <v>PATRICIO BARRERA HERNANDEZ</v>
      </c>
    </row>
    <row r="508" spans="1:9" x14ac:dyDescent="0.25">
      <c r="A508" s="6">
        <v>44124</v>
      </c>
      <c r="B508" t="s">
        <v>26</v>
      </c>
      <c r="C508">
        <v>65244</v>
      </c>
      <c r="D508" t="s">
        <v>987</v>
      </c>
      <c r="E508" s="7">
        <v>2732.35</v>
      </c>
      <c r="F508" t="s">
        <v>20</v>
      </c>
      <c r="G508" s="10" t="s">
        <v>21</v>
      </c>
      <c r="H508" t="str">
        <f>"INV758674"</f>
        <v>INV758674</v>
      </c>
      <c r="I508" t="str">
        <f>"PIONEER ATHLETICS / REVERE PRO"</f>
        <v>PIONEER ATHLETICS / REVERE PRO</v>
      </c>
    </row>
    <row r="509" spans="1:9" x14ac:dyDescent="0.25">
      <c r="A509" s="6">
        <v>44124</v>
      </c>
      <c r="B509" t="s">
        <v>26</v>
      </c>
      <c r="C509">
        <v>65245</v>
      </c>
      <c r="D509" t="s">
        <v>323</v>
      </c>
      <c r="E509" s="7">
        <v>100</v>
      </c>
      <c r="F509" t="s">
        <v>20</v>
      </c>
      <c r="G509" s="10" t="s">
        <v>21</v>
      </c>
      <c r="H509" t="str">
        <f>"183"</f>
        <v>183</v>
      </c>
      <c r="I509" t="str">
        <f>"POLLOK SELF STORAGE LLC"</f>
        <v>POLLOK SELF STORAGE LLC</v>
      </c>
    </row>
    <row r="510" spans="1:9" x14ac:dyDescent="0.25">
      <c r="A510" s="6">
        <v>44124</v>
      </c>
      <c r="B510" t="s">
        <v>26</v>
      </c>
      <c r="C510">
        <v>65246</v>
      </c>
      <c r="D510" t="s">
        <v>930</v>
      </c>
      <c r="E510" s="7">
        <v>828.75</v>
      </c>
      <c r="F510" t="s">
        <v>20</v>
      </c>
      <c r="G510" s="10" t="s">
        <v>21</v>
      </c>
      <c r="H510" t="str">
        <f>"10/11-10/17/2020"</f>
        <v>10/11-10/17/2020</v>
      </c>
      <c r="I510" t="str">
        <f>"SAVANNAH TORRES"</f>
        <v>SAVANNAH TORRES</v>
      </c>
    </row>
    <row r="511" spans="1:9" x14ac:dyDescent="0.25">
      <c r="A511" s="6">
        <v>44124</v>
      </c>
      <c r="B511" t="s">
        <v>26</v>
      </c>
      <c r="C511">
        <v>65247</v>
      </c>
      <c r="D511" t="s">
        <v>616</v>
      </c>
      <c r="E511" s="7">
        <v>839.54</v>
      </c>
      <c r="F511" t="s">
        <v>20</v>
      </c>
      <c r="G511" s="10" t="s">
        <v>21</v>
      </c>
      <c r="H511" t="str">
        <f>"10/4-10/17/2020"</f>
        <v>10/4-10/17/2020</v>
      </c>
      <c r="I511" t="str">
        <f>"SERENA VELA"</f>
        <v>SERENA VELA</v>
      </c>
    </row>
    <row r="512" spans="1:9" x14ac:dyDescent="0.25">
      <c r="A512" s="6">
        <v>44124</v>
      </c>
      <c r="B512" t="s">
        <v>26</v>
      </c>
      <c r="C512">
        <v>65248</v>
      </c>
      <c r="D512" t="s">
        <v>926</v>
      </c>
      <c r="E512" s="7">
        <v>88329.26</v>
      </c>
      <c r="F512" t="s">
        <v>20</v>
      </c>
      <c r="G512" s="10" t="s">
        <v>21</v>
      </c>
      <c r="H512" t="str">
        <f>"APP #3"</f>
        <v>APP #3</v>
      </c>
      <c r="I512" t="str">
        <f>"SLP CONSTRUCTORS INC"</f>
        <v>SLP CONSTRUCTORS INC</v>
      </c>
    </row>
    <row r="513" spans="1:9" x14ac:dyDescent="0.25">
      <c r="A513" s="6">
        <v>44124</v>
      </c>
      <c r="B513" t="s">
        <v>26</v>
      </c>
      <c r="C513">
        <v>65249</v>
      </c>
      <c r="D513" t="s">
        <v>988</v>
      </c>
      <c r="E513" s="7">
        <v>695.5</v>
      </c>
      <c r="F513" t="s">
        <v>20</v>
      </c>
      <c r="G513" s="10" t="s">
        <v>21</v>
      </c>
      <c r="H513" t="str">
        <f>"10/11-10/17/2020"</f>
        <v>10/11-10/17/2020</v>
      </c>
      <c r="I513" t="str">
        <f>"SONYA R ARANDA"</f>
        <v>SONYA R ARANDA</v>
      </c>
    </row>
    <row r="514" spans="1:9" x14ac:dyDescent="0.25">
      <c r="A514" s="6">
        <v>44124</v>
      </c>
      <c r="B514" t="s">
        <v>26</v>
      </c>
      <c r="C514">
        <v>65250</v>
      </c>
      <c r="D514" t="s">
        <v>84</v>
      </c>
      <c r="E514" s="7">
        <v>3386</v>
      </c>
      <c r="F514" t="s">
        <v>20</v>
      </c>
      <c r="G514" s="10" t="s">
        <v>21</v>
      </c>
      <c r="H514" t="str">
        <f>"1688445"</f>
        <v>1688445</v>
      </c>
      <c r="I514" t="str">
        <f>"STANTEC CONSULTING SERVICES IN"</f>
        <v>STANTEC CONSULTING SERVICES IN</v>
      </c>
    </row>
    <row r="515" spans="1:9" x14ac:dyDescent="0.25">
      <c r="E515" s="7"/>
      <c r="F515" t="s">
        <v>20</v>
      </c>
      <c r="G515" s="10" t="s">
        <v>21</v>
      </c>
      <c r="H515" t="str">
        <f>"1688446"</f>
        <v>1688446</v>
      </c>
      <c r="I515" t="str">
        <f>"STANTEC CONSULTING SERVICES IN"</f>
        <v>STANTEC CONSULTING SERVICES IN</v>
      </c>
    </row>
    <row r="516" spans="1:9" x14ac:dyDescent="0.25">
      <c r="E516" s="7"/>
      <c r="F516" t="s">
        <v>20</v>
      </c>
      <c r="G516" s="10" t="s">
        <v>21</v>
      </c>
      <c r="H516" t="str">
        <f>"1700065"</f>
        <v>1700065</v>
      </c>
      <c r="I516" t="str">
        <f>"STANTEC CONSULTING SERVICES IN"</f>
        <v>STANTEC CONSULTING SERVICES IN</v>
      </c>
    </row>
    <row r="517" spans="1:9" x14ac:dyDescent="0.25">
      <c r="A517" s="6">
        <v>44124</v>
      </c>
      <c r="B517" t="s">
        <v>26</v>
      </c>
      <c r="C517">
        <v>65251</v>
      </c>
      <c r="D517" t="s">
        <v>698</v>
      </c>
      <c r="E517" s="7">
        <v>55</v>
      </c>
      <c r="F517" t="s">
        <v>20</v>
      </c>
      <c r="G517" s="10" t="s">
        <v>21</v>
      </c>
      <c r="H517" t="str">
        <f>"10/18/2020"</f>
        <v>10/18/2020</v>
      </c>
      <c r="I517" t="str">
        <f>"TRACY ORTIZ"</f>
        <v>TRACY ORTIZ</v>
      </c>
    </row>
    <row r="518" spans="1:9" x14ac:dyDescent="0.25">
      <c r="A518" s="6">
        <v>44126</v>
      </c>
      <c r="B518" t="s">
        <v>26</v>
      </c>
      <c r="C518">
        <v>65252</v>
      </c>
      <c r="D518" t="s">
        <v>81</v>
      </c>
      <c r="E518" s="7">
        <v>67.06</v>
      </c>
      <c r="F518" t="s">
        <v>20</v>
      </c>
      <c r="G518" s="10" t="s">
        <v>21</v>
      </c>
      <c r="H518" t="str">
        <f>"A.MARTINEZ10/19/20"</f>
        <v>A.MARTINEZ10/19/20</v>
      </c>
      <c r="I518" t="str">
        <f>"CITY OF FLORESVILLE -PETTY CAS"</f>
        <v>CITY OF FLORESVILLE -PETTY CAS</v>
      </c>
    </row>
    <row r="519" spans="1:9" x14ac:dyDescent="0.25">
      <c r="A519" s="6">
        <v>44126</v>
      </c>
      <c r="B519" t="s">
        <v>26</v>
      </c>
      <c r="C519">
        <v>65253</v>
      </c>
      <c r="D519" t="s">
        <v>345</v>
      </c>
      <c r="E519" s="7">
        <v>220</v>
      </c>
      <c r="F519" t="s">
        <v>20</v>
      </c>
      <c r="G519" s="10" t="s">
        <v>21</v>
      </c>
      <c r="H519" t="str">
        <f>"10/19/2020"</f>
        <v>10/19/2020</v>
      </c>
      <c r="I519" t="str">
        <f>"MICHAEL ISAAC MARTINEZ"</f>
        <v>MICHAEL ISAAC MARTINEZ</v>
      </c>
    </row>
    <row r="520" spans="1:9" x14ac:dyDescent="0.25">
      <c r="A520" s="6">
        <v>44126</v>
      </c>
      <c r="B520" t="s">
        <v>26</v>
      </c>
      <c r="C520">
        <v>65254</v>
      </c>
      <c r="D520" t="s">
        <v>989</v>
      </c>
      <c r="E520" s="7">
        <v>300</v>
      </c>
      <c r="F520" t="s">
        <v>20</v>
      </c>
      <c r="G520" s="10" t="s">
        <v>21</v>
      </c>
      <c r="H520" t="str">
        <f>"101920201"</f>
        <v>101920201</v>
      </c>
      <c r="I520" t="str">
        <f>"STEVEN PANKRATZ"</f>
        <v>STEVEN PANKRATZ</v>
      </c>
    </row>
    <row r="521" spans="1:9" x14ac:dyDescent="0.25">
      <c r="A521" s="6">
        <v>44126</v>
      </c>
      <c r="B521" t="s">
        <v>26</v>
      </c>
      <c r="C521">
        <v>65255</v>
      </c>
      <c r="D521" t="s">
        <v>51</v>
      </c>
      <c r="E521" s="7">
        <v>327.84</v>
      </c>
      <c r="F521" t="s">
        <v>20</v>
      </c>
      <c r="G521" s="10" t="s">
        <v>21</v>
      </c>
      <c r="H521" t="str">
        <f>"CLE202010208588"</f>
        <v>CLE202010208588</v>
      </c>
      <c r="I521" t="str">
        <f>"CLEAT ONLY DUES"</f>
        <v>CLEAT ONLY DUES</v>
      </c>
    </row>
    <row r="522" spans="1:9" x14ac:dyDescent="0.25">
      <c r="E522" s="7"/>
      <c r="F522" t="s">
        <v>20</v>
      </c>
      <c r="G522" s="10" t="s">
        <v>21</v>
      </c>
      <c r="H522" t="str">
        <f>"PDD202010208588"</f>
        <v>PDD202010208588</v>
      </c>
      <c r="I522" t="str">
        <f>"POLICE OFFICERS ASSOC DUES"</f>
        <v>POLICE OFFICERS ASSOC DUES</v>
      </c>
    </row>
    <row r="523" spans="1:9" x14ac:dyDescent="0.25">
      <c r="A523" s="6">
        <v>44126</v>
      </c>
      <c r="B523" t="s">
        <v>26</v>
      </c>
      <c r="C523">
        <v>65256</v>
      </c>
      <c r="D523" t="s">
        <v>52</v>
      </c>
      <c r="E523" s="7">
        <v>405</v>
      </c>
      <c r="F523" t="s">
        <v>20</v>
      </c>
      <c r="G523" s="10" t="s">
        <v>21</v>
      </c>
      <c r="H523" t="str">
        <f>"CA1202010208588"</f>
        <v>CA1202010208588</v>
      </c>
      <c r="I523" t="str">
        <f>"K RAMIREZ 001200229510060343CV"</f>
        <v>K RAMIREZ 001200229510060343CV</v>
      </c>
    </row>
    <row r="524" spans="1:9" x14ac:dyDescent="0.25">
      <c r="E524" s="7"/>
      <c r="F524" t="s">
        <v>20</v>
      </c>
      <c r="G524" s="10" t="s">
        <v>21</v>
      </c>
      <c r="H524" t="str">
        <f>"CA2202010208588"</f>
        <v>CA2202010208588</v>
      </c>
      <c r="I524" t="str">
        <f>"L HERNANDEZ 001016025203080354"</f>
        <v>L HERNANDEZ 001016025203080354</v>
      </c>
    </row>
    <row r="525" spans="1:9" x14ac:dyDescent="0.25">
      <c r="E525" s="7"/>
      <c r="F525" t="s">
        <v>20</v>
      </c>
      <c r="G525" s="10" t="s">
        <v>21</v>
      </c>
      <c r="H525" t="str">
        <f>"CA3202010208588"</f>
        <v>CA3202010208588</v>
      </c>
      <c r="I525" t="str">
        <f>"00120788612011EM5023JOLENEGARC"</f>
        <v>00120788612011EM5023JOLENEGARC</v>
      </c>
    </row>
    <row r="526" spans="1:9" x14ac:dyDescent="0.25">
      <c r="E526" s="7"/>
      <c r="F526" t="s">
        <v>20</v>
      </c>
      <c r="G526" s="10" t="s">
        <v>21</v>
      </c>
      <c r="H526" t="str">
        <f>"CSA202010208588"</f>
        <v>CSA202010208588</v>
      </c>
      <c r="I526" t="str">
        <f>"S RODRIGUEZ 001281730413050336"</f>
        <v>S RODRIGUEZ 001281730413050336</v>
      </c>
    </row>
    <row r="527" spans="1:9" x14ac:dyDescent="0.25">
      <c r="A527" s="6">
        <v>44126</v>
      </c>
      <c r="B527" t="s">
        <v>26</v>
      </c>
      <c r="C527">
        <v>65257</v>
      </c>
      <c r="D527" t="s">
        <v>138</v>
      </c>
      <c r="E527" s="7">
        <v>615.36</v>
      </c>
      <c r="F527" t="s">
        <v>20</v>
      </c>
      <c r="G527" s="10" t="s">
        <v>21</v>
      </c>
      <c r="H527" t="str">
        <f>"FLX202010208588"</f>
        <v>FLX202010208588</v>
      </c>
      <c r="I527" t="str">
        <f>"FLEX SPENDING"</f>
        <v>FLEX SPENDING</v>
      </c>
    </row>
    <row r="528" spans="1:9" x14ac:dyDescent="0.25">
      <c r="A528" s="6">
        <v>44126</v>
      </c>
      <c r="B528" t="s">
        <v>26</v>
      </c>
      <c r="C528">
        <v>65258</v>
      </c>
      <c r="D528" t="s">
        <v>54</v>
      </c>
      <c r="E528" s="7">
        <v>1186.68</v>
      </c>
      <c r="F528" t="s">
        <v>20</v>
      </c>
      <c r="G528" s="10" t="s">
        <v>21</v>
      </c>
      <c r="H528" t="str">
        <f>"457202010208588"</f>
        <v>457202010208588</v>
      </c>
      <c r="I528" t="str">
        <f>"CASE # 180-60751 457B DEDUCT"</f>
        <v>CASE # 180-60751 457B DEDUCT</v>
      </c>
    </row>
    <row r="529" spans="1:9" x14ac:dyDescent="0.25">
      <c r="A529" s="6">
        <v>44126</v>
      </c>
      <c r="B529" t="s">
        <v>26</v>
      </c>
      <c r="C529">
        <v>65259</v>
      </c>
      <c r="D529" t="s">
        <v>969</v>
      </c>
      <c r="E529" s="7">
        <v>88.74</v>
      </c>
      <c r="F529" t="s">
        <v>20</v>
      </c>
      <c r="G529" s="10" t="s">
        <v>21</v>
      </c>
      <c r="H529" t="str">
        <f>"ATG202010208588"</f>
        <v>ATG202010208588</v>
      </c>
      <c r="I529" t="str">
        <f>"WG1910853 A. TREVINO"</f>
        <v>WG1910853 A. TREVINO</v>
      </c>
    </row>
    <row r="530" spans="1:9" x14ac:dyDescent="0.25">
      <c r="A530" s="6">
        <v>44131</v>
      </c>
      <c r="B530" t="s">
        <v>26</v>
      </c>
      <c r="C530">
        <v>65260</v>
      </c>
      <c r="D530" t="s">
        <v>273</v>
      </c>
      <c r="E530" s="7">
        <v>2177.1799999999998</v>
      </c>
      <c r="F530" t="s">
        <v>20</v>
      </c>
      <c r="G530" s="10" t="s">
        <v>21</v>
      </c>
      <c r="H530" t="str">
        <f>"5119-000094779"</f>
        <v>5119-000094779</v>
      </c>
      <c r="I530" t="str">
        <f>"REPUBLIC SERVICES TESSMAN ROAD"</f>
        <v>REPUBLIC SERVICES TESSMAN ROAD</v>
      </c>
    </row>
    <row r="531" spans="1:9" x14ac:dyDescent="0.25">
      <c r="A531" s="6">
        <v>44131</v>
      </c>
      <c r="B531" t="s">
        <v>26</v>
      </c>
      <c r="C531">
        <v>65261</v>
      </c>
      <c r="D531" t="s">
        <v>29</v>
      </c>
      <c r="E531" s="7">
        <v>11696.25</v>
      </c>
      <c r="F531" t="s">
        <v>20</v>
      </c>
      <c r="G531" s="10" t="s">
        <v>21</v>
      </c>
      <c r="H531" t="str">
        <f>"46434"</f>
        <v>46434</v>
      </c>
      <c r="I531" t="str">
        <f>"M &amp; S ENGINEERING  LLC"</f>
        <v>M &amp; S ENGINEERING  LLC</v>
      </c>
    </row>
    <row r="532" spans="1:9" x14ac:dyDescent="0.25">
      <c r="A532" s="6">
        <v>44131</v>
      </c>
      <c r="B532" t="s">
        <v>26</v>
      </c>
      <c r="C532">
        <v>65262</v>
      </c>
      <c r="D532" t="s">
        <v>170</v>
      </c>
      <c r="E532" s="7">
        <v>2308</v>
      </c>
      <c r="F532" t="s">
        <v>20</v>
      </c>
      <c r="G532" s="10" t="s">
        <v>21</v>
      </c>
      <c r="H532" t="str">
        <f>"0000032997"</f>
        <v>0000032997</v>
      </c>
      <c r="I532" t="str">
        <f>"BARRETT &amp; SONS  INC."</f>
        <v>BARRETT &amp; SONS  INC.</v>
      </c>
    </row>
    <row r="533" spans="1:9" x14ac:dyDescent="0.25">
      <c r="A533" s="6">
        <v>44131</v>
      </c>
      <c r="B533" t="s">
        <v>26</v>
      </c>
      <c r="C533">
        <v>65263</v>
      </c>
      <c r="D533" t="s">
        <v>77</v>
      </c>
      <c r="E533" s="7">
        <v>320</v>
      </c>
      <c r="F533" t="s">
        <v>20</v>
      </c>
      <c r="G533" s="10" t="s">
        <v>21</v>
      </c>
      <c r="H533" t="str">
        <f>"DE85002037-20"</f>
        <v>DE85002037-20</v>
      </c>
      <c r="I533" t="str">
        <f>"DPC INDUSTRIES  INC."</f>
        <v>DPC INDUSTRIES  INC.</v>
      </c>
    </row>
    <row r="534" spans="1:9" x14ac:dyDescent="0.25">
      <c r="E534" s="7"/>
      <c r="F534" t="s">
        <v>20</v>
      </c>
      <c r="G534" s="10" t="s">
        <v>21</v>
      </c>
      <c r="H534" t="str">
        <f>"DE85002231-20"</f>
        <v>DE85002231-20</v>
      </c>
      <c r="I534" t="str">
        <f>"DPC INDUSTRIES  INC."</f>
        <v>DPC INDUSTRIES  INC.</v>
      </c>
    </row>
    <row r="535" spans="1:9" x14ac:dyDescent="0.25">
      <c r="A535" s="6">
        <v>44131</v>
      </c>
      <c r="B535" t="s">
        <v>26</v>
      </c>
      <c r="C535">
        <v>65264</v>
      </c>
      <c r="D535" t="s">
        <v>345</v>
      </c>
      <c r="E535" s="7">
        <v>209</v>
      </c>
      <c r="F535" t="s">
        <v>20</v>
      </c>
      <c r="G535" s="10" t="s">
        <v>21</v>
      </c>
      <c r="H535" t="str">
        <f>"10/26/2020"</f>
        <v>10/26/2020</v>
      </c>
      <c r="I535" t="str">
        <f>"MICHAEL ISAAC MARTINEZ"</f>
        <v>MICHAEL ISAAC MARTINEZ</v>
      </c>
    </row>
    <row r="536" spans="1:9" x14ac:dyDescent="0.25">
      <c r="A536" s="6">
        <v>44131</v>
      </c>
      <c r="B536" t="s">
        <v>26</v>
      </c>
      <c r="C536">
        <v>65265</v>
      </c>
      <c r="D536" t="s">
        <v>644</v>
      </c>
      <c r="E536" s="7">
        <v>309.94</v>
      </c>
      <c r="F536" t="s">
        <v>20</v>
      </c>
      <c r="G536" s="10" t="s">
        <v>21</v>
      </c>
      <c r="H536" t="str">
        <f>"8213493872"</f>
        <v>8213493872</v>
      </c>
      <c r="I536" t="str">
        <f>"UNIFIRST CORPORATION"</f>
        <v>UNIFIRST CORPORATION</v>
      </c>
    </row>
    <row r="537" spans="1:9" x14ac:dyDescent="0.25">
      <c r="E537" s="7"/>
      <c r="F537" t="s">
        <v>20</v>
      </c>
      <c r="G537" s="10" t="s">
        <v>21</v>
      </c>
      <c r="H537" t="str">
        <f>"8213499069"</f>
        <v>8213499069</v>
      </c>
      <c r="I537" t="str">
        <f>"UNIFIRST CORPORATION"</f>
        <v>UNIFIRST CORPORATION</v>
      </c>
    </row>
    <row r="538" spans="1:9" x14ac:dyDescent="0.25">
      <c r="A538" s="6">
        <v>44131</v>
      </c>
      <c r="B538" t="s">
        <v>26</v>
      </c>
      <c r="C538">
        <v>65266</v>
      </c>
      <c r="D538" t="s">
        <v>698</v>
      </c>
      <c r="E538" s="7">
        <v>45</v>
      </c>
      <c r="F538" t="s">
        <v>20</v>
      </c>
      <c r="G538" s="10" t="s">
        <v>21</v>
      </c>
      <c r="H538" t="str">
        <f>"10/25/2020"</f>
        <v>10/25/2020</v>
      </c>
      <c r="I538" t="str">
        <f>"TRACY ORTIZ"</f>
        <v>TRACY ORTIZ</v>
      </c>
    </row>
    <row r="539" spans="1:9" x14ac:dyDescent="0.25">
      <c r="A539" s="6">
        <v>44131</v>
      </c>
      <c r="B539" t="s">
        <v>26</v>
      </c>
      <c r="C539">
        <v>65267</v>
      </c>
      <c r="D539" t="s">
        <v>843</v>
      </c>
      <c r="E539" s="7">
        <v>225</v>
      </c>
      <c r="F539" t="s">
        <v>20</v>
      </c>
      <c r="G539" s="10" t="s">
        <v>21</v>
      </c>
      <c r="H539" t="str">
        <f>"115"</f>
        <v>115</v>
      </c>
      <c r="I539" t="str">
        <f>"LEGACY IW DESIGNS"</f>
        <v>LEGACY IW DESIGNS</v>
      </c>
    </row>
    <row r="540" spans="1:9" x14ac:dyDescent="0.25">
      <c r="A540" s="6">
        <v>44131</v>
      </c>
      <c r="B540" t="s">
        <v>26</v>
      </c>
      <c r="C540">
        <v>65268</v>
      </c>
      <c r="D540" t="s">
        <v>872</v>
      </c>
      <c r="E540" s="7">
        <v>45</v>
      </c>
      <c r="F540" t="s">
        <v>20</v>
      </c>
      <c r="G540" s="10" t="s">
        <v>21</v>
      </c>
      <c r="H540" t="str">
        <f>"10/25/2020"</f>
        <v>10/25/2020</v>
      </c>
      <c r="I540" t="str">
        <f>"DEVIN BENAVIDES"</f>
        <v>DEVIN BENAVIDES</v>
      </c>
    </row>
    <row r="541" spans="1:9" x14ac:dyDescent="0.25">
      <c r="A541" s="6">
        <v>44131</v>
      </c>
      <c r="B541" t="s">
        <v>26</v>
      </c>
      <c r="C541">
        <v>65269</v>
      </c>
      <c r="D541" t="s">
        <v>943</v>
      </c>
      <c r="E541" s="7">
        <v>140</v>
      </c>
      <c r="F541" t="s">
        <v>20</v>
      </c>
      <c r="G541" s="10" t="s">
        <v>21</v>
      </c>
      <c r="H541" t="str">
        <f>"4093"</f>
        <v>4093</v>
      </c>
      <c r="I541" t="str">
        <f>"NICKEL INDUSTRIAL CONTRACTORS"</f>
        <v>NICKEL INDUSTRIAL CONTRACTORS</v>
      </c>
    </row>
    <row r="542" spans="1:9" x14ac:dyDescent="0.25">
      <c r="A542" s="6">
        <v>44131</v>
      </c>
      <c r="B542" t="s">
        <v>26</v>
      </c>
      <c r="C542">
        <v>65270</v>
      </c>
      <c r="D542" t="s">
        <v>970</v>
      </c>
      <c r="E542" s="7">
        <v>45</v>
      </c>
      <c r="F542" t="s">
        <v>20</v>
      </c>
      <c r="G542" s="10" t="s">
        <v>21</v>
      </c>
      <c r="H542" t="str">
        <f>"10/25/2020"</f>
        <v>10/25/2020</v>
      </c>
      <c r="I542" t="str">
        <f>"ABBYGAIL DELGADO"</f>
        <v>ABBYGAIL DELGADO</v>
      </c>
    </row>
    <row r="543" spans="1:9" x14ac:dyDescent="0.25">
      <c r="A543" s="6">
        <v>44131</v>
      </c>
      <c r="B543" t="s">
        <v>26</v>
      </c>
      <c r="C543">
        <v>65271</v>
      </c>
      <c r="D543" t="s">
        <v>990</v>
      </c>
      <c r="E543" s="7">
        <v>500</v>
      </c>
      <c r="F543" t="s">
        <v>20</v>
      </c>
      <c r="G543" s="10" t="s">
        <v>21</v>
      </c>
      <c r="H543" t="str">
        <f>"501311"</f>
        <v>501311</v>
      </c>
      <c r="I543" t="str">
        <f>"FLUID METER SERVICE CORPORATIO"</f>
        <v>FLUID METER SERVICE CORPORATIO</v>
      </c>
    </row>
    <row r="544" spans="1:9" x14ac:dyDescent="0.25">
      <c r="A544" s="6">
        <v>44131</v>
      </c>
      <c r="B544" t="s">
        <v>26</v>
      </c>
      <c r="C544">
        <v>65272</v>
      </c>
      <c r="D544" t="s">
        <v>991</v>
      </c>
      <c r="E544" s="7">
        <v>2400</v>
      </c>
      <c r="F544" t="s">
        <v>20</v>
      </c>
      <c r="G544" s="10" t="s">
        <v>21</v>
      </c>
      <c r="H544" t="str">
        <f>"211278"</f>
        <v>211278</v>
      </c>
      <c r="I544" t="str">
        <f t="shared" ref="I544:I549" si="5">"ACADEMIC PRODUCTIONS/ NTFC  IN"</f>
        <v>ACADEMIC PRODUCTIONS/ NTFC  IN</v>
      </c>
    </row>
    <row r="545" spans="1:9" x14ac:dyDescent="0.25">
      <c r="E545" s="7"/>
      <c r="F545" t="s">
        <v>20</v>
      </c>
      <c r="G545" s="10" t="s">
        <v>21</v>
      </c>
      <c r="H545" t="str">
        <f>"211279"</f>
        <v>211279</v>
      </c>
      <c r="I545" t="str">
        <f t="shared" si="5"/>
        <v>ACADEMIC PRODUCTIONS/ NTFC  IN</v>
      </c>
    </row>
    <row r="546" spans="1:9" x14ac:dyDescent="0.25">
      <c r="E546" s="7"/>
      <c r="F546" t="s">
        <v>20</v>
      </c>
      <c r="G546" s="10" t="s">
        <v>21</v>
      </c>
      <c r="H546" t="str">
        <f>"211376"</f>
        <v>211376</v>
      </c>
      <c r="I546" t="str">
        <f t="shared" si="5"/>
        <v>ACADEMIC PRODUCTIONS/ NTFC  IN</v>
      </c>
    </row>
    <row r="547" spans="1:9" x14ac:dyDescent="0.25">
      <c r="E547" s="7"/>
      <c r="F547" t="s">
        <v>20</v>
      </c>
      <c r="G547" s="10" t="s">
        <v>21</v>
      </c>
      <c r="H547" t="str">
        <f>"211377"</f>
        <v>211377</v>
      </c>
      <c r="I547" t="str">
        <f t="shared" si="5"/>
        <v>ACADEMIC PRODUCTIONS/ NTFC  IN</v>
      </c>
    </row>
    <row r="548" spans="1:9" x14ac:dyDescent="0.25">
      <c r="E548" s="7"/>
      <c r="F548" t="s">
        <v>20</v>
      </c>
      <c r="G548" s="10" t="s">
        <v>21</v>
      </c>
      <c r="H548" t="str">
        <f>"211378"</f>
        <v>211378</v>
      </c>
      <c r="I548" t="str">
        <f t="shared" si="5"/>
        <v>ACADEMIC PRODUCTIONS/ NTFC  IN</v>
      </c>
    </row>
    <row r="549" spans="1:9" x14ac:dyDescent="0.25">
      <c r="E549" s="7"/>
      <c r="F549" t="s">
        <v>20</v>
      </c>
      <c r="G549" s="10" t="s">
        <v>21</v>
      </c>
      <c r="H549" t="str">
        <f>"211379"</f>
        <v>211379</v>
      </c>
      <c r="I549" t="str">
        <f t="shared" si="5"/>
        <v>ACADEMIC PRODUCTIONS/ NTFC  IN</v>
      </c>
    </row>
    <row r="550" spans="1:9" x14ac:dyDescent="0.25">
      <c r="A550" s="6">
        <v>44132</v>
      </c>
      <c r="B550" t="s">
        <v>26</v>
      </c>
      <c r="C550">
        <v>65273</v>
      </c>
      <c r="D550" t="s">
        <v>179</v>
      </c>
      <c r="E550" s="7">
        <v>130</v>
      </c>
      <c r="F550" t="s">
        <v>20</v>
      </c>
      <c r="G550" s="10" t="s">
        <v>21</v>
      </c>
      <c r="H550" t="str">
        <f>"256076"</f>
        <v>256076</v>
      </c>
      <c r="I550" t="str">
        <f>"DIAGNOSTIC FOR UNIT 330PD"</f>
        <v>DIAGNOSTIC FOR UNIT 330PD</v>
      </c>
    </row>
    <row r="551" spans="1:9" x14ac:dyDescent="0.25">
      <c r="A551" s="6">
        <v>44132</v>
      </c>
      <c r="B551" t="s">
        <v>26</v>
      </c>
      <c r="C551">
        <v>65274</v>
      </c>
      <c r="D551" t="s">
        <v>195</v>
      </c>
      <c r="E551" s="7">
        <v>1269.6600000000001</v>
      </c>
      <c r="F551" t="s">
        <v>20</v>
      </c>
      <c r="G551" s="10" t="s">
        <v>21</v>
      </c>
      <c r="H551" t="str">
        <f>"1565202010"</f>
        <v>1565202010</v>
      </c>
      <c r="I551" t="str">
        <f>"ARISTA INFORMATION SYSTEMS  IN"</f>
        <v>ARISTA INFORMATION SYSTEMS  IN</v>
      </c>
    </row>
    <row r="552" spans="1:9" x14ac:dyDescent="0.25">
      <c r="E552" s="7"/>
      <c r="F552" t="s">
        <v>20</v>
      </c>
      <c r="G552" s="10" t="s">
        <v>21</v>
      </c>
      <c r="H552" t="str">
        <f>"30585"</f>
        <v>30585</v>
      </c>
      <c r="I552" t="str">
        <f>"ARISTA INFORMATION SYSTEMS  IN"</f>
        <v>ARISTA INFORMATION SYSTEMS  IN</v>
      </c>
    </row>
    <row r="553" spans="1:9" x14ac:dyDescent="0.25">
      <c r="A553" s="6">
        <v>44132</v>
      </c>
      <c r="B553" t="s">
        <v>26</v>
      </c>
      <c r="C553">
        <v>65275</v>
      </c>
      <c r="D553" t="s">
        <v>115</v>
      </c>
      <c r="E553" s="7">
        <v>587.32000000000005</v>
      </c>
      <c r="F553" t="s">
        <v>20</v>
      </c>
      <c r="G553" s="10" t="s">
        <v>21</v>
      </c>
      <c r="H553" t="str">
        <f>"3547769149"</f>
        <v>3547769149</v>
      </c>
      <c r="I553" t="str">
        <f>"BRAKES"</f>
        <v>BRAKES</v>
      </c>
    </row>
    <row r="554" spans="1:9" x14ac:dyDescent="0.25">
      <c r="E554" s="7"/>
      <c r="F554" t="s">
        <v>20</v>
      </c>
      <c r="G554" s="10" t="s">
        <v>21</v>
      </c>
      <c r="H554" t="str">
        <f>"3547773126"</f>
        <v>3547773126</v>
      </c>
      <c r="I554" t="str">
        <f>"STREETS DEPT-UNIT 401"</f>
        <v>STREETS DEPT-UNIT 401</v>
      </c>
    </row>
    <row r="555" spans="1:9" x14ac:dyDescent="0.25">
      <c r="E555" s="7"/>
      <c r="F555" t="s">
        <v>20</v>
      </c>
      <c r="G555" s="10" t="s">
        <v>21</v>
      </c>
      <c r="H555" t="str">
        <f>"3547774414"</f>
        <v>3547774414</v>
      </c>
      <c r="I555" t="str">
        <f>"STREET DEPT-UNIT 601"</f>
        <v>STREET DEPT-UNIT 601</v>
      </c>
    </row>
    <row r="556" spans="1:9" x14ac:dyDescent="0.25">
      <c r="A556" s="6">
        <v>44132</v>
      </c>
      <c r="B556" t="s">
        <v>26</v>
      </c>
      <c r="C556">
        <v>65276</v>
      </c>
      <c r="D556" t="s">
        <v>836</v>
      </c>
      <c r="E556" s="7">
        <v>1108</v>
      </c>
      <c r="F556" t="s">
        <v>20</v>
      </c>
      <c r="G556" s="10" t="s">
        <v>21</v>
      </c>
      <c r="H556" t="str">
        <f>"68726"</f>
        <v>68726</v>
      </c>
      <c r="I556" t="str">
        <f>"BARCOM TECHNOLOGY SOLUTIONS  I"</f>
        <v>BARCOM TECHNOLOGY SOLUTIONS  I</v>
      </c>
    </row>
    <row r="557" spans="1:9" x14ac:dyDescent="0.25">
      <c r="A557" s="6">
        <v>44132</v>
      </c>
      <c r="B557" t="s">
        <v>26</v>
      </c>
      <c r="C557">
        <v>65277</v>
      </c>
      <c r="D557" t="s">
        <v>63</v>
      </c>
      <c r="E557" s="7">
        <v>1069.54</v>
      </c>
      <c r="F557" t="s">
        <v>20</v>
      </c>
      <c r="G557" s="10" t="s">
        <v>21</v>
      </c>
      <c r="H557" t="str">
        <f>"8404836173"</f>
        <v>8404836173</v>
      </c>
      <c r="I557" t="str">
        <f>"CINTAS CORPORATION"</f>
        <v>CINTAS CORPORATION</v>
      </c>
    </row>
    <row r="558" spans="1:9" x14ac:dyDescent="0.25">
      <c r="A558" s="6">
        <v>44132</v>
      </c>
      <c r="B558" t="s">
        <v>26</v>
      </c>
      <c r="C558">
        <v>65278</v>
      </c>
      <c r="D558" t="s">
        <v>71</v>
      </c>
      <c r="E558" s="7">
        <v>1627.13</v>
      </c>
      <c r="F558" t="s">
        <v>20</v>
      </c>
      <c r="G558" s="10" t="s">
        <v>21</v>
      </c>
      <c r="H558" t="str">
        <f>"4063409400"</f>
        <v>4063409400</v>
      </c>
      <c r="I558" t="str">
        <f t="shared" ref="I558:I570" si="6">"CINTAS CORPORATION #087"</f>
        <v>CINTAS CORPORATION #087</v>
      </c>
    </row>
    <row r="559" spans="1:9" x14ac:dyDescent="0.25">
      <c r="E559" s="7"/>
      <c r="F559" t="s">
        <v>20</v>
      </c>
      <c r="G559" s="10" t="s">
        <v>21</v>
      </c>
      <c r="H559" t="str">
        <f>"4064138841"</f>
        <v>4064138841</v>
      </c>
      <c r="I559" t="str">
        <f t="shared" si="6"/>
        <v>CINTAS CORPORATION #087</v>
      </c>
    </row>
    <row r="560" spans="1:9" x14ac:dyDescent="0.25">
      <c r="E560" s="7"/>
      <c r="F560" t="s">
        <v>20</v>
      </c>
      <c r="G560" s="10" t="s">
        <v>21</v>
      </c>
      <c r="H560" t="str">
        <f>"4064138886"</f>
        <v>4064138886</v>
      </c>
      <c r="I560" t="str">
        <f t="shared" si="6"/>
        <v>CINTAS CORPORATION #087</v>
      </c>
    </row>
    <row r="561" spans="1:9" x14ac:dyDescent="0.25">
      <c r="E561" s="7"/>
      <c r="F561" t="s">
        <v>20</v>
      </c>
      <c r="G561" s="10" t="s">
        <v>21</v>
      </c>
      <c r="H561" t="str">
        <f>"4064138936"</f>
        <v>4064138936</v>
      </c>
      <c r="I561" t="str">
        <f t="shared" si="6"/>
        <v>CINTAS CORPORATION #087</v>
      </c>
    </row>
    <row r="562" spans="1:9" x14ac:dyDescent="0.25">
      <c r="E562" s="7"/>
      <c r="F562" t="s">
        <v>20</v>
      </c>
      <c r="G562" s="10" t="s">
        <v>21</v>
      </c>
      <c r="H562" t="str">
        <f>"4064138938"</f>
        <v>4064138938</v>
      </c>
      <c r="I562" t="str">
        <f t="shared" si="6"/>
        <v>CINTAS CORPORATION #087</v>
      </c>
    </row>
    <row r="563" spans="1:9" x14ac:dyDescent="0.25">
      <c r="E563" s="7"/>
      <c r="F563" t="s">
        <v>20</v>
      </c>
      <c r="G563" s="10" t="s">
        <v>21</v>
      </c>
      <c r="H563" t="str">
        <f>"4064138955"</f>
        <v>4064138955</v>
      </c>
      <c r="I563" t="str">
        <f t="shared" si="6"/>
        <v>CINTAS CORPORATION #087</v>
      </c>
    </row>
    <row r="564" spans="1:9" x14ac:dyDescent="0.25">
      <c r="E564" s="7"/>
      <c r="F564" t="s">
        <v>20</v>
      </c>
      <c r="G564" s="10" t="s">
        <v>21</v>
      </c>
      <c r="H564" t="str">
        <f>"4064139004"</f>
        <v>4064139004</v>
      </c>
      <c r="I564" t="str">
        <f t="shared" si="6"/>
        <v>CINTAS CORPORATION #087</v>
      </c>
    </row>
    <row r="565" spans="1:9" x14ac:dyDescent="0.25">
      <c r="E565" s="7"/>
      <c r="F565" t="s">
        <v>20</v>
      </c>
      <c r="G565" s="10" t="s">
        <v>21</v>
      </c>
      <c r="H565" t="str">
        <f>"4064765960"</f>
        <v>4064765960</v>
      </c>
      <c r="I565" t="str">
        <f t="shared" si="6"/>
        <v>CINTAS CORPORATION #087</v>
      </c>
    </row>
    <row r="566" spans="1:9" x14ac:dyDescent="0.25">
      <c r="E566" s="7"/>
      <c r="F566" t="s">
        <v>20</v>
      </c>
      <c r="G566" s="10" t="s">
        <v>21</v>
      </c>
      <c r="H566" t="str">
        <f>"4064766019"</f>
        <v>4064766019</v>
      </c>
      <c r="I566" t="str">
        <f t="shared" si="6"/>
        <v>CINTAS CORPORATION #087</v>
      </c>
    </row>
    <row r="567" spans="1:9" x14ac:dyDescent="0.25">
      <c r="E567" s="7"/>
      <c r="F567" t="s">
        <v>20</v>
      </c>
      <c r="G567" s="10" t="s">
        <v>21</v>
      </c>
      <c r="H567" t="str">
        <f>"4064766028"</f>
        <v>4064766028</v>
      </c>
      <c r="I567" t="str">
        <f t="shared" si="6"/>
        <v>CINTAS CORPORATION #087</v>
      </c>
    </row>
    <row r="568" spans="1:9" x14ac:dyDescent="0.25">
      <c r="E568" s="7"/>
      <c r="F568" t="s">
        <v>20</v>
      </c>
      <c r="G568" s="10" t="s">
        <v>21</v>
      </c>
      <c r="H568" t="str">
        <f>"4064766060"</f>
        <v>4064766060</v>
      </c>
      <c r="I568" t="str">
        <f t="shared" si="6"/>
        <v>CINTAS CORPORATION #087</v>
      </c>
    </row>
    <row r="569" spans="1:9" x14ac:dyDescent="0.25">
      <c r="E569" s="7"/>
      <c r="F569" t="s">
        <v>20</v>
      </c>
      <c r="G569" s="10" t="s">
        <v>21</v>
      </c>
      <c r="H569" t="str">
        <f>"4064766084"</f>
        <v>4064766084</v>
      </c>
      <c r="I569" t="str">
        <f t="shared" si="6"/>
        <v>CINTAS CORPORATION #087</v>
      </c>
    </row>
    <row r="570" spans="1:9" x14ac:dyDescent="0.25">
      <c r="E570" s="7"/>
      <c r="F570" t="s">
        <v>20</v>
      </c>
      <c r="G570" s="10" t="s">
        <v>21</v>
      </c>
      <c r="H570" t="str">
        <f>"4064766116"</f>
        <v>4064766116</v>
      </c>
      <c r="I570" t="str">
        <f t="shared" si="6"/>
        <v>CINTAS CORPORATION #087</v>
      </c>
    </row>
    <row r="571" spans="1:9" x14ac:dyDescent="0.25">
      <c r="A571" s="6">
        <v>44132</v>
      </c>
      <c r="B571" t="s">
        <v>26</v>
      </c>
      <c r="C571">
        <v>65281</v>
      </c>
      <c r="D571" t="s">
        <v>633</v>
      </c>
      <c r="E571" s="7">
        <v>1958.98</v>
      </c>
      <c r="F571" t="s">
        <v>20</v>
      </c>
      <c r="G571" s="10" t="s">
        <v>21</v>
      </c>
      <c r="H571" t="str">
        <f>"0096550847"</f>
        <v>0096550847</v>
      </c>
      <c r="I571" t="str">
        <f>"CINTAS FIRE 636525"</f>
        <v>CINTAS FIRE 636525</v>
      </c>
    </row>
    <row r="572" spans="1:9" x14ac:dyDescent="0.25">
      <c r="E572" s="7"/>
      <c r="F572" t="s">
        <v>20</v>
      </c>
      <c r="G572" s="10" t="s">
        <v>21</v>
      </c>
      <c r="H572" t="str">
        <f>"0096550848"</f>
        <v>0096550848</v>
      </c>
      <c r="I572" t="str">
        <f>"CINTAS FIRE 636525"</f>
        <v>CINTAS FIRE 636525</v>
      </c>
    </row>
    <row r="573" spans="1:9" x14ac:dyDescent="0.25">
      <c r="E573" s="7"/>
      <c r="F573" t="s">
        <v>20</v>
      </c>
      <c r="G573" s="10" t="s">
        <v>21</v>
      </c>
      <c r="H573" t="str">
        <f>"0096550869"</f>
        <v>0096550869</v>
      </c>
      <c r="I573" t="str">
        <f>"CINTAS FIRE 636525"</f>
        <v>CINTAS FIRE 636525</v>
      </c>
    </row>
    <row r="574" spans="1:9" x14ac:dyDescent="0.25">
      <c r="E574" s="7"/>
      <c r="F574" t="s">
        <v>20</v>
      </c>
      <c r="G574" s="10" t="s">
        <v>21</v>
      </c>
      <c r="H574" t="str">
        <f>"0096550885"</f>
        <v>0096550885</v>
      </c>
      <c r="I574" t="str">
        <f>"CINTAS FIRE 636525"</f>
        <v>CINTAS FIRE 636525</v>
      </c>
    </row>
    <row r="575" spans="1:9" x14ac:dyDescent="0.25">
      <c r="A575" s="6">
        <v>44132</v>
      </c>
      <c r="B575" t="s">
        <v>26</v>
      </c>
      <c r="C575">
        <v>65282</v>
      </c>
      <c r="D575" t="s">
        <v>647</v>
      </c>
      <c r="E575" s="7">
        <v>3288.81</v>
      </c>
      <c r="F575" t="s">
        <v>20</v>
      </c>
      <c r="G575" s="10" t="s">
        <v>21</v>
      </c>
      <c r="H575" t="str">
        <f>"27958202"</f>
        <v>27958202</v>
      </c>
      <c r="I575" t="str">
        <f>"DOCUMATION  INC."</f>
        <v>DOCUMATION  INC.</v>
      </c>
    </row>
    <row r="576" spans="1:9" x14ac:dyDescent="0.25">
      <c r="A576" s="6">
        <v>44132</v>
      </c>
      <c r="B576" t="s">
        <v>26</v>
      </c>
      <c r="C576">
        <v>65283</v>
      </c>
      <c r="D576" t="s">
        <v>992</v>
      </c>
      <c r="E576" s="7">
        <v>1700</v>
      </c>
      <c r="F576" t="s">
        <v>20</v>
      </c>
      <c r="G576" s="10" t="s">
        <v>21</v>
      </c>
      <c r="H576" t="str">
        <f>"WEDDING RFN11/2020"</f>
        <v>WEDDING RFN11/2020</v>
      </c>
      <c r="I576" t="str">
        <f>"REFUND"</f>
        <v>REFUND</v>
      </c>
    </row>
    <row r="577" spans="1:9" x14ac:dyDescent="0.25">
      <c r="A577" s="6">
        <v>44132</v>
      </c>
      <c r="B577" t="s">
        <v>26</v>
      </c>
      <c r="C577">
        <v>65284</v>
      </c>
      <c r="D577" t="s">
        <v>69</v>
      </c>
      <c r="E577" s="7">
        <v>74.989999999999995</v>
      </c>
      <c r="F577" t="s">
        <v>20</v>
      </c>
      <c r="G577" s="10" t="s">
        <v>21</v>
      </c>
      <c r="H577" t="str">
        <f>"3C03089"</f>
        <v>3C03089</v>
      </c>
      <c r="I577" t="str">
        <f>"EVENT CENTER-LAWN MOWER"</f>
        <v>EVENT CENTER-LAWN MOWER</v>
      </c>
    </row>
    <row r="578" spans="1:9" x14ac:dyDescent="0.25">
      <c r="A578" s="6">
        <v>44132</v>
      </c>
      <c r="B578" t="s">
        <v>26</v>
      </c>
      <c r="C578">
        <v>65285</v>
      </c>
      <c r="D578" t="s">
        <v>79</v>
      </c>
      <c r="E578" s="7">
        <v>22.05</v>
      </c>
      <c r="F578" t="s">
        <v>20</v>
      </c>
      <c r="G578" s="10" t="s">
        <v>21</v>
      </c>
      <c r="H578" t="str">
        <f>"7-138-81121"</f>
        <v>7-138-81121</v>
      </c>
      <c r="I578" t="str">
        <f>"FEDEX"</f>
        <v>FEDEX</v>
      </c>
    </row>
    <row r="579" spans="1:9" x14ac:dyDescent="0.25">
      <c r="A579" s="6">
        <v>44132</v>
      </c>
      <c r="B579" t="s">
        <v>26</v>
      </c>
      <c r="C579">
        <v>65286</v>
      </c>
      <c r="D579" t="s">
        <v>85</v>
      </c>
      <c r="E579" s="7">
        <v>959.68</v>
      </c>
      <c r="F579" t="s">
        <v>20</v>
      </c>
      <c r="G579" s="10" t="s">
        <v>21</v>
      </c>
      <c r="H579" t="str">
        <f>"2162755 OCT.2020"</f>
        <v>2162755 OCT.2020</v>
      </c>
      <c r="I579" t="str">
        <f>"FRONTIER"</f>
        <v>FRONTIER</v>
      </c>
    </row>
    <row r="580" spans="1:9" x14ac:dyDescent="0.25">
      <c r="E580" s="7"/>
      <c r="F580" t="s">
        <v>20</v>
      </c>
      <c r="G580" s="10" t="s">
        <v>21</v>
      </c>
      <c r="H580" t="str">
        <f>"3932804 OCT.2020"</f>
        <v>3932804 OCT.2020</v>
      </c>
      <c r="I580" t="str">
        <f>"FRONTIER"</f>
        <v>FRONTIER</v>
      </c>
    </row>
    <row r="581" spans="1:9" x14ac:dyDescent="0.25">
      <c r="E581" s="7"/>
      <c r="F581" t="s">
        <v>20</v>
      </c>
      <c r="G581" s="10" t="s">
        <v>21</v>
      </c>
      <c r="H581" t="str">
        <f>"3933105 OCT.2020"</f>
        <v>3933105 OCT.2020</v>
      </c>
      <c r="I581" t="str">
        <f>"FRONTIER"</f>
        <v>FRONTIER</v>
      </c>
    </row>
    <row r="582" spans="1:9" x14ac:dyDescent="0.25">
      <c r="E582" s="7"/>
      <c r="F582" t="s">
        <v>20</v>
      </c>
      <c r="G582" s="10" t="s">
        <v>21</v>
      </c>
      <c r="H582" t="str">
        <f>"3936794 OCT.2020"</f>
        <v>3936794 OCT.2020</v>
      </c>
      <c r="I582" t="str">
        <f>"FRONTIER"</f>
        <v>FRONTIER</v>
      </c>
    </row>
    <row r="583" spans="1:9" x14ac:dyDescent="0.25">
      <c r="E583" s="7"/>
      <c r="F583" t="s">
        <v>20</v>
      </c>
      <c r="G583" s="10" t="s">
        <v>21</v>
      </c>
      <c r="H583" t="str">
        <f>"3938193 OCT.2020"</f>
        <v>3938193 OCT.2020</v>
      </c>
      <c r="I583" t="str">
        <f>"FRONTIER"</f>
        <v>FRONTIER</v>
      </c>
    </row>
    <row r="584" spans="1:9" x14ac:dyDescent="0.25">
      <c r="A584" s="6">
        <v>44132</v>
      </c>
      <c r="B584" t="s">
        <v>26</v>
      </c>
      <c r="C584">
        <v>65288</v>
      </c>
      <c r="D584" t="s">
        <v>56</v>
      </c>
      <c r="E584" s="7">
        <v>92.5</v>
      </c>
      <c r="F584" t="s">
        <v>20</v>
      </c>
      <c r="G584" s="10" t="s">
        <v>21</v>
      </c>
      <c r="H584" t="str">
        <f>"187095"</f>
        <v>187095</v>
      </c>
      <c r="I584" t="str">
        <f>"CHEMICAL SUPPLIES FOR WW"</f>
        <v>CHEMICAL SUPPLIES FOR WW</v>
      </c>
    </row>
    <row r="585" spans="1:9" x14ac:dyDescent="0.25">
      <c r="A585" s="6">
        <v>44132</v>
      </c>
      <c r="B585" t="s">
        <v>26</v>
      </c>
      <c r="C585">
        <v>65289</v>
      </c>
      <c r="D585" t="s">
        <v>868</v>
      </c>
      <c r="E585" s="7">
        <v>1260</v>
      </c>
      <c r="F585" t="s">
        <v>20</v>
      </c>
      <c r="G585" s="10" t="s">
        <v>21</v>
      </c>
      <c r="H585" t="str">
        <f>"CC19037-5"</f>
        <v>CC19037-5</v>
      </c>
      <c r="I585" t="str">
        <f>"GONZALEZ-DE LA GARZA &amp; ASSOCIA"</f>
        <v>GONZALEZ-DE LA GARZA &amp; ASSOCIA</v>
      </c>
    </row>
    <row r="586" spans="1:9" x14ac:dyDescent="0.25">
      <c r="A586" s="6">
        <v>44132</v>
      </c>
      <c r="B586" t="s">
        <v>26</v>
      </c>
      <c r="C586">
        <v>65290</v>
      </c>
      <c r="D586" t="s">
        <v>29</v>
      </c>
      <c r="E586" s="7">
        <v>3727.5</v>
      </c>
      <c r="F586" t="s">
        <v>20</v>
      </c>
      <c r="G586" s="10" t="s">
        <v>21</v>
      </c>
      <c r="H586" t="str">
        <f>"47221"</f>
        <v>47221</v>
      </c>
      <c r="I586" t="str">
        <f>"M &amp; S ENGINEERING  LLC"</f>
        <v>M &amp; S ENGINEERING  LLC</v>
      </c>
    </row>
    <row r="587" spans="1:9" x14ac:dyDescent="0.25">
      <c r="E587" s="7"/>
      <c r="F587" t="s">
        <v>20</v>
      </c>
      <c r="G587" s="10" t="s">
        <v>21</v>
      </c>
      <c r="H587" t="str">
        <f>"47363"</f>
        <v>47363</v>
      </c>
      <c r="I587" t="str">
        <f>"M &amp; S ENGINEERING  LLC"</f>
        <v>M &amp; S ENGINEERING  LLC</v>
      </c>
    </row>
    <row r="588" spans="1:9" x14ac:dyDescent="0.25">
      <c r="A588" s="6">
        <v>44132</v>
      </c>
      <c r="B588" t="s">
        <v>26</v>
      </c>
      <c r="C588">
        <v>65291</v>
      </c>
      <c r="D588" t="s">
        <v>124</v>
      </c>
      <c r="E588" s="7">
        <v>203.44</v>
      </c>
      <c r="F588" t="s">
        <v>20</v>
      </c>
      <c r="G588" s="10" t="s">
        <v>21</v>
      </c>
      <c r="H588" t="str">
        <f>"11195861"</f>
        <v>11195861</v>
      </c>
      <c r="I588" t="str">
        <f>"WW PLANT SUPPLIES"</f>
        <v>WW PLANT SUPPLIES</v>
      </c>
    </row>
    <row r="589" spans="1:9" x14ac:dyDescent="0.25">
      <c r="E589" s="7"/>
      <c r="F589" t="s">
        <v>20</v>
      </c>
      <c r="G589" s="10" t="s">
        <v>21</v>
      </c>
      <c r="H589" t="str">
        <f>"11196157"</f>
        <v>11196157</v>
      </c>
      <c r="I589" t="str">
        <f>"FIRE ANT KILLER"</f>
        <v>FIRE ANT KILLER</v>
      </c>
    </row>
    <row r="590" spans="1:9" x14ac:dyDescent="0.25">
      <c r="A590" s="6">
        <v>44132</v>
      </c>
      <c r="B590" t="s">
        <v>26</v>
      </c>
      <c r="C590">
        <v>65292</v>
      </c>
      <c r="D590" t="s">
        <v>123</v>
      </c>
      <c r="E590" s="7">
        <v>544.82000000000005</v>
      </c>
      <c r="F590" t="s">
        <v>20</v>
      </c>
      <c r="G590" s="10" t="s">
        <v>21</v>
      </c>
      <c r="H590" t="str">
        <f>"128105835001"</f>
        <v>128105835001</v>
      </c>
      <c r="I590" t="str">
        <f>"OFFICE SUPPLIES END OF YR"</f>
        <v>OFFICE SUPPLIES END OF YR</v>
      </c>
    </row>
    <row r="591" spans="1:9" x14ac:dyDescent="0.25">
      <c r="E591" s="7"/>
      <c r="F591" t="s">
        <v>20</v>
      </c>
      <c r="G591" s="10" t="s">
        <v>21</v>
      </c>
      <c r="H591" t="str">
        <f>"128107084001"</f>
        <v>128107084001</v>
      </c>
      <c r="I591" t="str">
        <f>"OFFICE SUPPLIES END OF YR"</f>
        <v>OFFICE SUPPLIES END OF YR</v>
      </c>
    </row>
    <row r="592" spans="1:9" x14ac:dyDescent="0.25">
      <c r="E592" s="7"/>
      <c r="F592" t="s">
        <v>20</v>
      </c>
      <c r="G592" s="10" t="s">
        <v>21</v>
      </c>
      <c r="H592" t="str">
        <f>"128135190001"</f>
        <v>128135190001</v>
      </c>
      <c r="I592" t="str">
        <f>"FILE CABINETS FOR HR"</f>
        <v>FILE CABINETS FOR HR</v>
      </c>
    </row>
    <row r="593" spans="1:9" x14ac:dyDescent="0.25">
      <c r="A593" s="6">
        <v>44132</v>
      </c>
      <c r="B593" t="s">
        <v>26</v>
      </c>
      <c r="C593">
        <v>65294</v>
      </c>
      <c r="D593" t="s">
        <v>137</v>
      </c>
      <c r="E593" s="7">
        <v>121.9</v>
      </c>
      <c r="F593" t="s">
        <v>20</v>
      </c>
      <c r="G593" s="10" t="s">
        <v>21</v>
      </c>
      <c r="H593" t="str">
        <f>"17379"</f>
        <v>17379</v>
      </c>
      <c r="I593" t="str">
        <f>"OMNIBUS-M  INC.D.B.A."</f>
        <v>OMNIBUS-M  INC.D.B.A.</v>
      </c>
    </row>
    <row r="594" spans="1:9" x14ac:dyDescent="0.25">
      <c r="E594" s="7"/>
      <c r="F594" t="s">
        <v>20</v>
      </c>
      <c r="G594" s="10" t="s">
        <v>21</v>
      </c>
      <c r="H594" t="str">
        <f>"17380"</f>
        <v>17380</v>
      </c>
      <c r="I594" t="str">
        <f>"OMNIBUS-M  INC.D.B.A."</f>
        <v>OMNIBUS-M  INC.D.B.A.</v>
      </c>
    </row>
    <row r="595" spans="1:9" x14ac:dyDescent="0.25">
      <c r="A595" s="6">
        <v>44132</v>
      </c>
      <c r="B595" t="s">
        <v>26</v>
      </c>
      <c r="C595">
        <v>65295</v>
      </c>
      <c r="D595" t="s">
        <v>166</v>
      </c>
      <c r="E595" s="7">
        <v>601</v>
      </c>
      <c r="F595" t="s">
        <v>20</v>
      </c>
      <c r="G595" s="10" t="s">
        <v>21</v>
      </c>
      <c r="H595" t="str">
        <f>"9567  10/2020"</f>
        <v>9567  10/2020</v>
      </c>
      <c r="I595" t="str">
        <f>"PITNEY BOWES PURCHASE POWER"</f>
        <v>PITNEY BOWES PURCHASE POWER</v>
      </c>
    </row>
    <row r="596" spans="1:9" x14ac:dyDescent="0.25">
      <c r="A596" s="6">
        <v>44132</v>
      </c>
      <c r="B596" t="s">
        <v>26</v>
      </c>
      <c r="C596">
        <v>65296</v>
      </c>
      <c r="D596" t="s">
        <v>184</v>
      </c>
      <c r="E596" s="7">
        <v>1997</v>
      </c>
      <c r="F596" t="s">
        <v>20</v>
      </c>
      <c r="G596" s="10" t="s">
        <v>21</v>
      </c>
      <c r="H596" t="str">
        <f>"1060-676"</f>
        <v>1060-676</v>
      </c>
      <c r="I596" t="str">
        <f>"POLLUTION CONTROL SERVICES"</f>
        <v>POLLUTION CONTROL SERVICES</v>
      </c>
    </row>
    <row r="597" spans="1:9" x14ac:dyDescent="0.25">
      <c r="E597" s="7"/>
      <c r="F597" t="s">
        <v>20</v>
      </c>
      <c r="G597" s="10" t="s">
        <v>21</v>
      </c>
      <c r="H597" t="str">
        <f>"1060-677"</f>
        <v>1060-677</v>
      </c>
      <c r="I597" t="str">
        <f>"POLLUTION CONTROL SERVICES"</f>
        <v>POLLUTION CONTROL SERVICES</v>
      </c>
    </row>
    <row r="598" spans="1:9" x14ac:dyDescent="0.25">
      <c r="A598" s="6">
        <v>44132</v>
      </c>
      <c r="B598" t="s">
        <v>26</v>
      </c>
      <c r="C598">
        <v>65297</v>
      </c>
      <c r="D598" t="s">
        <v>249</v>
      </c>
      <c r="E598" s="7">
        <v>85</v>
      </c>
      <c r="F598" t="s">
        <v>20</v>
      </c>
      <c r="G598" s="10" t="s">
        <v>21</v>
      </c>
      <c r="H598" t="str">
        <f>"70412"</f>
        <v>70412</v>
      </c>
      <c r="I598" t="str">
        <f>"PRUSKI'S SERVICE CENTER  INC."</f>
        <v>PRUSKI'S SERVICE CENTER  INC.</v>
      </c>
    </row>
    <row r="599" spans="1:9" x14ac:dyDescent="0.25">
      <c r="A599" s="6">
        <v>44132</v>
      </c>
      <c r="B599" t="s">
        <v>26</v>
      </c>
      <c r="C599">
        <v>65298</v>
      </c>
      <c r="D599" t="s">
        <v>630</v>
      </c>
      <c r="E599" s="7">
        <v>144.28</v>
      </c>
      <c r="F599" t="s">
        <v>20</v>
      </c>
      <c r="G599" s="10" t="s">
        <v>21</v>
      </c>
      <c r="H599" t="str">
        <f>"30595*"</f>
        <v>30595*</v>
      </c>
      <c r="I599" t="str">
        <f>"HOUSING AND RINGS FOR MET"</f>
        <v>HOUSING AND RINGS FOR MET</v>
      </c>
    </row>
    <row r="600" spans="1:9" x14ac:dyDescent="0.25">
      <c r="A600" s="6">
        <v>44132</v>
      </c>
      <c r="B600" t="s">
        <v>26</v>
      </c>
      <c r="C600">
        <v>65299</v>
      </c>
      <c r="D600" t="s">
        <v>27</v>
      </c>
      <c r="E600" s="7">
        <v>97</v>
      </c>
      <c r="F600" t="s">
        <v>20</v>
      </c>
      <c r="G600" s="10" t="s">
        <v>21</v>
      </c>
      <c r="H600" t="str">
        <f>"REIMB DL RENEWAL"</f>
        <v>REIMB DL RENEWAL</v>
      </c>
      <c r="I600" t="str">
        <f>"RICARDO CARRASCO"</f>
        <v>RICARDO CARRASCO</v>
      </c>
    </row>
    <row r="601" spans="1:9" x14ac:dyDescent="0.25">
      <c r="A601" s="6">
        <v>44132</v>
      </c>
      <c r="B601" t="s">
        <v>26</v>
      </c>
      <c r="C601">
        <v>65300</v>
      </c>
      <c r="D601" t="s">
        <v>945</v>
      </c>
      <c r="E601" s="7">
        <v>346</v>
      </c>
      <c r="F601" t="s">
        <v>20</v>
      </c>
      <c r="G601" s="10" t="s">
        <v>21</v>
      </c>
      <c r="H601" t="str">
        <f>"4710079518"</f>
        <v>4710079518</v>
      </c>
      <c r="I601" t="str">
        <f>"LAWN MOWER TIRES"</f>
        <v>LAWN MOWER TIRES</v>
      </c>
    </row>
    <row r="602" spans="1:9" x14ac:dyDescent="0.25">
      <c r="A602" s="6">
        <v>44132</v>
      </c>
      <c r="B602" t="s">
        <v>26</v>
      </c>
      <c r="C602">
        <v>65301</v>
      </c>
      <c r="D602" t="s">
        <v>185</v>
      </c>
      <c r="E602" s="7">
        <v>97.24</v>
      </c>
      <c r="F602" t="s">
        <v>20</v>
      </c>
      <c r="G602" s="10" t="s">
        <v>21</v>
      </c>
      <c r="H602" t="str">
        <f>"798488"</f>
        <v>798488</v>
      </c>
      <c r="I602" t="str">
        <f>"WATER TRUCK"</f>
        <v>WATER TRUCK</v>
      </c>
    </row>
    <row r="603" spans="1:9" x14ac:dyDescent="0.25">
      <c r="A603" s="6">
        <v>44132</v>
      </c>
      <c r="B603" t="s">
        <v>26</v>
      </c>
      <c r="C603">
        <v>65302</v>
      </c>
      <c r="D603" t="s">
        <v>132</v>
      </c>
      <c r="E603" s="7">
        <v>47.72</v>
      </c>
      <c r="F603" t="s">
        <v>20</v>
      </c>
      <c r="G603" s="10" t="s">
        <v>21</v>
      </c>
      <c r="H603" t="str">
        <f>"16992887 100820"</f>
        <v>16992887 100820</v>
      </c>
      <c r="I603" t="str">
        <f>"SPARKLETTS &amp; SIERRA SPRINGS"</f>
        <v>SPARKLETTS &amp; SIERRA SPRINGS</v>
      </c>
    </row>
    <row r="604" spans="1:9" x14ac:dyDescent="0.25">
      <c r="A604" s="6">
        <v>44132</v>
      </c>
      <c r="B604" t="s">
        <v>26</v>
      </c>
      <c r="C604">
        <v>65303</v>
      </c>
      <c r="D604" t="s">
        <v>891</v>
      </c>
      <c r="E604" s="7">
        <v>50</v>
      </c>
      <c r="F604" t="s">
        <v>20</v>
      </c>
      <c r="G604" s="10" t="s">
        <v>21</v>
      </c>
      <c r="H604" t="str">
        <f>"WTR OP CERT.10/20"</f>
        <v>WTR OP CERT.10/20</v>
      </c>
      <c r="I604" t="str">
        <f>"TEXAS A&amp;M ENGINEERING EXTENSIO"</f>
        <v>TEXAS A&amp;M ENGINEERING EXTENSIO</v>
      </c>
    </row>
    <row r="605" spans="1:9" x14ac:dyDescent="0.25">
      <c r="A605" s="6">
        <v>44132</v>
      </c>
      <c r="B605" t="s">
        <v>26</v>
      </c>
      <c r="C605">
        <v>65304</v>
      </c>
      <c r="D605" t="s">
        <v>61</v>
      </c>
      <c r="E605" s="7">
        <v>1227.95</v>
      </c>
      <c r="F605" t="s">
        <v>20</v>
      </c>
      <c r="G605" s="10" t="s">
        <v>21</v>
      </c>
      <c r="H605" t="str">
        <f>"025-309693"</f>
        <v>025-309693</v>
      </c>
      <c r="I605" t="str">
        <f>"TYLER TECHNOLOGIES  INC."</f>
        <v>TYLER TECHNOLOGIES  INC.</v>
      </c>
    </row>
    <row r="606" spans="1:9" x14ac:dyDescent="0.25">
      <c r="E606" s="7"/>
      <c r="F606" t="s">
        <v>20</v>
      </c>
      <c r="G606" s="10" t="s">
        <v>21</v>
      </c>
      <c r="H606" t="str">
        <f>"025-310079"</f>
        <v>025-310079</v>
      </c>
      <c r="I606" t="str">
        <f>"TYLER TECHNOLOGIES  INC."</f>
        <v>TYLER TECHNOLOGIES  INC.</v>
      </c>
    </row>
    <row r="607" spans="1:9" x14ac:dyDescent="0.25">
      <c r="E607" s="7"/>
      <c r="F607" t="s">
        <v>20</v>
      </c>
      <c r="G607" s="10" t="s">
        <v>21</v>
      </c>
      <c r="H607" t="str">
        <f>"025-311117"</f>
        <v>025-311117</v>
      </c>
      <c r="I607" t="str">
        <f>"TYLER TECHNOLOGIES  INC."</f>
        <v>TYLER TECHNOLOGIES  INC.</v>
      </c>
    </row>
    <row r="608" spans="1:9" x14ac:dyDescent="0.25">
      <c r="A608" s="6">
        <v>44132</v>
      </c>
      <c r="B608" t="s">
        <v>26</v>
      </c>
      <c r="C608">
        <v>65305</v>
      </c>
      <c r="D608" t="s">
        <v>644</v>
      </c>
      <c r="E608" s="7">
        <v>921.68</v>
      </c>
      <c r="F608" t="s">
        <v>20</v>
      </c>
      <c r="G608" s="10" t="s">
        <v>21</v>
      </c>
      <c r="H608" t="str">
        <f>"8213516956"</f>
        <v>8213516956</v>
      </c>
      <c r="I608" t="str">
        <f t="shared" ref="I608:I621" si="7">"UNIFIRST CORPORATION"</f>
        <v>UNIFIRST CORPORATION</v>
      </c>
    </row>
    <row r="609" spans="1:9" x14ac:dyDescent="0.25">
      <c r="E609" s="7"/>
      <c r="F609" t="s">
        <v>20</v>
      </c>
      <c r="G609" s="10" t="s">
        <v>21</v>
      </c>
      <c r="H609" t="str">
        <f>"8213516957"</f>
        <v>8213516957</v>
      </c>
      <c r="I609" t="str">
        <f t="shared" si="7"/>
        <v>UNIFIRST CORPORATION</v>
      </c>
    </row>
    <row r="610" spans="1:9" x14ac:dyDescent="0.25">
      <c r="E610" s="7"/>
      <c r="F610" t="s">
        <v>20</v>
      </c>
      <c r="G610" s="10" t="s">
        <v>21</v>
      </c>
      <c r="H610" t="str">
        <f>"8213516958"</f>
        <v>8213516958</v>
      </c>
      <c r="I610" t="str">
        <f t="shared" si="7"/>
        <v>UNIFIRST CORPORATION</v>
      </c>
    </row>
    <row r="611" spans="1:9" x14ac:dyDescent="0.25">
      <c r="E611" s="7"/>
      <c r="F611" t="s">
        <v>20</v>
      </c>
      <c r="G611" s="10" t="s">
        <v>21</v>
      </c>
      <c r="H611" t="str">
        <f>"8213516959"</f>
        <v>8213516959</v>
      </c>
      <c r="I611" t="str">
        <f t="shared" si="7"/>
        <v>UNIFIRST CORPORATION</v>
      </c>
    </row>
    <row r="612" spans="1:9" x14ac:dyDescent="0.25">
      <c r="E612" s="7"/>
      <c r="F612" t="s">
        <v>20</v>
      </c>
      <c r="G612" s="10" t="s">
        <v>21</v>
      </c>
      <c r="H612" t="str">
        <f>"8213516960"</f>
        <v>8213516960</v>
      </c>
      <c r="I612" t="str">
        <f t="shared" si="7"/>
        <v>UNIFIRST CORPORATION</v>
      </c>
    </row>
    <row r="613" spans="1:9" x14ac:dyDescent="0.25">
      <c r="E613" s="7"/>
      <c r="F613" t="s">
        <v>20</v>
      </c>
      <c r="G613" s="10" t="s">
        <v>21</v>
      </c>
      <c r="H613" t="str">
        <f>"8213516961"</f>
        <v>8213516961</v>
      </c>
      <c r="I613" t="str">
        <f t="shared" si="7"/>
        <v>UNIFIRST CORPORATION</v>
      </c>
    </row>
    <row r="614" spans="1:9" x14ac:dyDescent="0.25">
      <c r="E614" s="7"/>
      <c r="F614" t="s">
        <v>20</v>
      </c>
      <c r="G614" s="10" t="s">
        <v>21</v>
      </c>
      <c r="H614" t="str">
        <f>"8213516962"</f>
        <v>8213516962</v>
      </c>
      <c r="I614" t="str">
        <f t="shared" si="7"/>
        <v>UNIFIRST CORPORATION</v>
      </c>
    </row>
    <row r="615" spans="1:9" x14ac:dyDescent="0.25">
      <c r="E615" s="7"/>
      <c r="F615" t="s">
        <v>20</v>
      </c>
      <c r="G615" s="10" t="s">
        <v>21</v>
      </c>
      <c r="H615" t="str">
        <f>"8213519468"</f>
        <v>8213519468</v>
      </c>
      <c r="I615" t="str">
        <f t="shared" si="7"/>
        <v>UNIFIRST CORPORATION</v>
      </c>
    </row>
    <row r="616" spans="1:9" x14ac:dyDescent="0.25">
      <c r="E616" s="7"/>
      <c r="F616" t="s">
        <v>20</v>
      </c>
      <c r="G616" s="10" t="s">
        <v>21</v>
      </c>
      <c r="H616" t="str">
        <f>"8213519469"</f>
        <v>8213519469</v>
      </c>
      <c r="I616" t="str">
        <f t="shared" si="7"/>
        <v>UNIFIRST CORPORATION</v>
      </c>
    </row>
    <row r="617" spans="1:9" x14ac:dyDescent="0.25">
      <c r="E617" s="7"/>
      <c r="F617" t="s">
        <v>20</v>
      </c>
      <c r="G617" s="10" t="s">
        <v>21</v>
      </c>
      <c r="H617" t="str">
        <f>"8213519470"</f>
        <v>8213519470</v>
      </c>
      <c r="I617" t="str">
        <f t="shared" si="7"/>
        <v>UNIFIRST CORPORATION</v>
      </c>
    </row>
    <row r="618" spans="1:9" x14ac:dyDescent="0.25">
      <c r="E618" s="7"/>
      <c r="F618" t="s">
        <v>20</v>
      </c>
      <c r="G618" s="10" t="s">
        <v>21</v>
      </c>
      <c r="H618" t="str">
        <f>"8213519471"</f>
        <v>8213519471</v>
      </c>
      <c r="I618" t="str">
        <f t="shared" si="7"/>
        <v>UNIFIRST CORPORATION</v>
      </c>
    </row>
    <row r="619" spans="1:9" x14ac:dyDescent="0.25">
      <c r="E619" s="7"/>
      <c r="F619" t="s">
        <v>20</v>
      </c>
      <c r="G619" s="10" t="s">
        <v>21</v>
      </c>
      <c r="H619" t="str">
        <f>"8213519472"</f>
        <v>8213519472</v>
      </c>
      <c r="I619" t="str">
        <f t="shared" si="7"/>
        <v>UNIFIRST CORPORATION</v>
      </c>
    </row>
    <row r="620" spans="1:9" x14ac:dyDescent="0.25">
      <c r="E620" s="7"/>
      <c r="F620" t="s">
        <v>20</v>
      </c>
      <c r="G620" s="10" t="s">
        <v>21</v>
      </c>
      <c r="H620" t="str">
        <f>"8213519473"</f>
        <v>8213519473</v>
      </c>
      <c r="I620" t="str">
        <f t="shared" si="7"/>
        <v>UNIFIRST CORPORATION</v>
      </c>
    </row>
    <row r="621" spans="1:9" x14ac:dyDescent="0.25">
      <c r="E621" s="7"/>
      <c r="F621" t="s">
        <v>20</v>
      </c>
      <c r="G621" s="10" t="s">
        <v>21</v>
      </c>
      <c r="H621" t="str">
        <f>"8213519474"</f>
        <v>8213519474</v>
      </c>
      <c r="I621" t="str">
        <f t="shared" si="7"/>
        <v>UNIFIRST CORPORATION</v>
      </c>
    </row>
    <row r="622" spans="1:9" x14ac:dyDescent="0.25">
      <c r="A622" s="6">
        <v>44132</v>
      </c>
      <c r="B622" t="s">
        <v>26</v>
      </c>
      <c r="C622">
        <v>65308</v>
      </c>
      <c r="D622" t="s">
        <v>122</v>
      </c>
      <c r="E622" s="7">
        <v>93</v>
      </c>
      <c r="F622" t="s">
        <v>20</v>
      </c>
      <c r="G622" s="10" t="s">
        <v>21</v>
      </c>
      <c r="H622" t="str">
        <f>"48611050"</f>
        <v>48611050</v>
      </c>
      <c r="I622" t="str">
        <f t="shared" ref="I622:I628" si="8">"VILLA TIRES"</f>
        <v>VILLA TIRES</v>
      </c>
    </row>
    <row r="623" spans="1:9" x14ac:dyDescent="0.25">
      <c r="E623" s="7"/>
      <c r="F623" t="s">
        <v>20</v>
      </c>
      <c r="G623" s="10" t="s">
        <v>21</v>
      </c>
      <c r="H623" t="str">
        <f>"54712859"</f>
        <v>54712859</v>
      </c>
      <c r="I623" t="str">
        <f t="shared" si="8"/>
        <v>VILLA TIRES</v>
      </c>
    </row>
    <row r="624" spans="1:9" x14ac:dyDescent="0.25">
      <c r="E624" s="7"/>
      <c r="F624" t="s">
        <v>20</v>
      </c>
      <c r="G624" s="10" t="s">
        <v>21</v>
      </c>
      <c r="H624" t="str">
        <f>"54712871"</f>
        <v>54712871</v>
      </c>
      <c r="I624" t="str">
        <f t="shared" si="8"/>
        <v>VILLA TIRES</v>
      </c>
    </row>
    <row r="625" spans="1:9" x14ac:dyDescent="0.25">
      <c r="E625" s="7"/>
      <c r="F625" t="s">
        <v>20</v>
      </c>
      <c r="G625" s="10" t="s">
        <v>21</v>
      </c>
      <c r="H625" t="str">
        <f>"54712874"</f>
        <v>54712874</v>
      </c>
      <c r="I625" t="str">
        <f t="shared" si="8"/>
        <v>VILLA TIRES</v>
      </c>
    </row>
    <row r="626" spans="1:9" x14ac:dyDescent="0.25">
      <c r="E626" s="7"/>
      <c r="F626" t="s">
        <v>20</v>
      </c>
      <c r="G626" s="10" t="s">
        <v>21</v>
      </c>
      <c r="H626" t="str">
        <f>"54712879"</f>
        <v>54712879</v>
      </c>
      <c r="I626" t="str">
        <f t="shared" si="8"/>
        <v>VILLA TIRES</v>
      </c>
    </row>
    <row r="627" spans="1:9" x14ac:dyDescent="0.25">
      <c r="E627" s="7"/>
      <c r="F627" t="s">
        <v>20</v>
      </c>
      <c r="G627" s="10" t="s">
        <v>21</v>
      </c>
      <c r="H627" t="str">
        <f>"54712884"</f>
        <v>54712884</v>
      </c>
      <c r="I627" t="str">
        <f t="shared" si="8"/>
        <v>VILLA TIRES</v>
      </c>
    </row>
    <row r="628" spans="1:9" x14ac:dyDescent="0.25">
      <c r="E628" s="7"/>
      <c r="F628" t="s">
        <v>20</v>
      </c>
      <c r="G628" s="10" t="s">
        <v>21</v>
      </c>
      <c r="H628" t="str">
        <f>"54712888"</f>
        <v>54712888</v>
      </c>
      <c r="I628" t="str">
        <f t="shared" si="8"/>
        <v>VILLA TIRES</v>
      </c>
    </row>
    <row r="629" spans="1:9" x14ac:dyDescent="0.25">
      <c r="A629" s="6">
        <v>44132</v>
      </c>
      <c r="B629" t="s">
        <v>26</v>
      </c>
      <c r="C629">
        <v>65310</v>
      </c>
      <c r="D629" t="s">
        <v>979</v>
      </c>
      <c r="E629" s="7">
        <v>810</v>
      </c>
      <c r="F629" t="s">
        <v>20</v>
      </c>
      <c r="G629" s="10" t="s">
        <v>21</v>
      </c>
      <c r="H629" t="str">
        <f>"10/18-10/24/2020"</f>
        <v>10/18-10/24/2020</v>
      </c>
      <c r="I629" t="str">
        <f>"BIANCA CANTU"</f>
        <v>BIANCA CANTU</v>
      </c>
    </row>
    <row r="630" spans="1:9" x14ac:dyDescent="0.25">
      <c r="A630" s="6">
        <v>44132</v>
      </c>
      <c r="B630" t="s">
        <v>26</v>
      </c>
      <c r="C630">
        <v>65311</v>
      </c>
      <c r="D630" t="s">
        <v>983</v>
      </c>
      <c r="E630" s="7">
        <v>601.25</v>
      </c>
      <c r="F630" t="s">
        <v>20</v>
      </c>
      <c r="G630" s="10" t="s">
        <v>21</v>
      </c>
      <c r="H630" t="str">
        <f>"10/18-10/24/2020"</f>
        <v>10/18-10/24/2020</v>
      </c>
      <c r="I630" t="str">
        <f>"BRANDON CANTU"</f>
        <v>BRANDON CANTU</v>
      </c>
    </row>
    <row r="631" spans="1:9" x14ac:dyDescent="0.25">
      <c r="A631" s="6">
        <v>44132</v>
      </c>
      <c r="B631" t="s">
        <v>26</v>
      </c>
      <c r="C631">
        <v>65312</v>
      </c>
      <c r="D631" t="s">
        <v>614</v>
      </c>
      <c r="E631" s="7">
        <v>156</v>
      </c>
      <c r="F631" t="s">
        <v>20</v>
      </c>
      <c r="G631" s="10" t="s">
        <v>21</v>
      </c>
      <c r="H631" t="str">
        <f>"10/11-10/24/2020"</f>
        <v>10/11-10/24/2020</v>
      </c>
      <c r="I631" t="str">
        <f>"DONNA PEREZ"</f>
        <v>DONNA PEREZ</v>
      </c>
    </row>
    <row r="632" spans="1:9" x14ac:dyDescent="0.25">
      <c r="A632" s="6">
        <v>44132</v>
      </c>
      <c r="B632" t="s">
        <v>26</v>
      </c>
      <c r="C632">
        <v>65313</v>
      </c>
      <c r="D632" t="s">
        <v>985</v>
      </c>
      <c r="E632" s="7">
        <v>250.25</v>
      </c>
      <c r="F632" t="s">
        <v>20</v>
      </c>
      <c r="G632" s="10" t="s">
        <v>21</v>
      </c>
      <c r="H632" t="str">
        <f>"10/11-10/24/2020"</f>
        <v>10/11-10/24/2020</v>
      </c>
      <c r="I632" t="str">
        <f>"GUADALUPE ARANDA"</f>
        <v>GUADALUPE ARANDA</v>
      </c>
    </row>
    <row r="633" spans="1:9" x14ac:dyDescent="0.25">
      <c r="A633" s="6">
        <v>44132</v>
      </c>
      <c r="B633" t="s">
        <v>26</v>
      </c>
      <c r="C633">
        <v>65314</v>
      </c>
      <c r="D633" t="s">
        <v>617</v>
      </c>
      <c r="E633" s="7">
        <v>518.96</v>
      </c>
      <c r="F633" t="s">
        <v>20</v>
      </c>
      <c r="G633" s="10" t="s">
        <v>21</v>
      </c>
      <c r="H633" t="str">
        <f>"10/18-10/24/2020"</f>
        <v>10/18-10/24/2020</v>
      </c>
      <c r="I633" t="str">
        <f>"KASSANDRA ARANDA"</f>
        <v>KASSANDRA ARANDA</v>
      </c>
    </row>
    <row r="634" spans="1:9" x14ac:dyDescent="0.25">
      <c r="A634" s="6">
        <v>44132</v>
      </c>
      <c r="B634" t="s">
        <v>26</v>
      </c>
      <c r="C634">
        <v>65315</v>
      </c>
      <c r="D634" t="s">
        <v>986</v>
      </c>
      <c r="E634" s="7">
        <v>738.75</v>
      </c>
      <c r="F634" t="s">
        <v>20</v>
      </c>
      <c r="G634" s="10" t="s">
        <v>21</v>
      </c>
      <c r="H634" t="str">
        <f>"10/18-10/24/2020"</f>
        <v>10/18-10/24/2020</v>
      </c>
      <c r="I634" t="str">
        <f>"KERRY L. ESQUIVEL"</f>
        <v>KERRY L. ESQUIVEL</v>
      </c>
    </row>
    <row r="635" spans="1:9" x14ac:dyDescent="0.25">
      <c r="A635" s="6">
        <v>44132</v>
      </c>
      <c r="B635" t="s">
        <v>26</v>
      </c>
      <c r="C635">
        <v>65316</v>
      </c>
      <c r="D635" t="s">
        <v>930</v>
      </c>
      <c r="E635" s="7">
        <v>646.20000000000005</v>
      </c>
      <c r="F635" t="s">
        <v>20</v>
      </c>
      <c r="G635" s="10" t="s">
        <v>21</v>
      </c>
      <c r="H635" t="str">
        <f>"10/18-10/24/2020"</f>
        <v>10/18-10/24/2020</v>
      </c>
      <c r="I635" t="str">
        <f>"SAVANNAH TORRES"</f>
        <v>SAVANNAH TORRES</v>
      </c>
    </row>
    <row r="636" spans="1:9" x14ac:dyDescent="0.25">
      <c r="A636" s="6">
        <v>44132</v>
      </c>
      <c r="B636" t="s">
        <v>26</v>
      </c>
      <c r="C636">
        <v>65317</v>
      </c>
      <c r="D636" t="s">
        <v>616</v>
      </c>
      <c r="E636" s="7">
        <v>581.75</v>
      </c>
      <c r="F636" t="s">
        <v>20</v>
      </c>
      <c r="G636" s="10" t="s">
        <v>21</v>
      </c>
      <c r="H636" t="str">
        <f>"10/18-10/24/2020"</f>
        <v>10/18-10/24/2020</v>
      </c>
      <c r="I636" t="str">
        <f>"SERENA VELA"</f>
        <v>SERENA VELA</v>
      </c>
    </row>
    <row r="637" spans="1:9" x14ac:dyDescent="0.25">
      <c r="A637" s="6">
        <v>44132</v>
      </c>
      <c r="B637" t="s">
        <v>26</v>
      </c>
      <c r="C637">
        <v>65318</v>
      </c>
      <c r="D637" t="s">
        <v>988</v>
      </c>
      <c r="E637" s="7">
        <v>676</v>
      </c>
      <c r="F637" t="s">
        <v>20</v>
      </c>
      <c r="G637" s="10" t="s">
        <v>21</v>
      </c>
      <c r="H637" t="str">
        <f>"10/18-10/24/2020"</f>
        <v>10/18-10/24/2020</v>
      </c>
      <c r="I637" t="str">
        <f>"SONYA R ARANDA"</f>
        <v>SONYA R ARANDA</v>
      </c>
    </row>
    <row r="638" spans="1:9" x14ac:dyDescent="0.25">
      <c r="A638" s="6">
        <v>44132</v>
      </c>
      <c r="B638" t="s">
        <v>26</v>
      </c>
      <c r="C638">
        <v>65319</v>
      </c>
      <c r="D638" t="s">
        <v>71</v>
      </c>
      <c r="E638" s="7">
        <v>2367.35</v>
      </c>
      <c r="F638" t="s">
        <v>20</v>
      </c>
      <c r="G638" s="10" t="s">
        <v>21</v>
      </c>
      <c r="H638" t="str">
        <f>"4045940905"</f>
        <v>4045940905</v>
      </c>
      <c r="I638" t="str">
        <f t="shared" ref="I638:I664" si="9">"CINTAS CORPORATION #087"</f>
        <v>CINTAS CORPORATION #087</v>
      </c>
    </row>
    <row r="639" spans="1:9" x14ac:dyDescent="0.25">
      <c r="E639" s="7"/>
      <c r="F639" t="s">
        <v>20</v>
      </c>
      <c r="G639" s="10" t="s">
        <v>21</v>
      </c>
      <c r="H639" t="str">
        <f>"4045940932"</f>
        <v>4045940932</v>
      </c>
      <c r="I639" t="str">
        <f t="shared" si="9"/>
        <v>CINTAS CORPORATION #087</v>
      </c>
    </row>
    <row r="640" spans="1:9" x14ac:dyDescent="0.25">
      <c r="E640" s="7"/>
      <c r="F640" t="s">
        <v>20</v>
      </c>
      <c r="G640" s="10" t="s">
        <v>21</v>
      </c>
      <c r="H640" t="str">
        <f>"4045940975"</f>
        <v>4045940975</v>
      </c>
      <c r="I640" t="str">
        <f t="shared" si="9"/>
        <v>CINTAS CORPORATION #087</v>
      </c>
    </row>
    <row r="641" spans="5:9" x14ac:dyDescent="0.25">
      <c r="E641" s="7"/>
      <c r="F641" t="s">
        <v>20</v>
      </c>
      <c r="G641" s="10" t="s">
        <v>21</v>
      </c>
      <c r="H641" t="str">
        <f>"4047161811"</f>
        <v>4047161811</v>
      </c>
      <c r="I641" t="str">
        <f t="shared" si="9"/>
        <v>CINTAS CORPORATION #087</v>
      </c>
    </row>
    <row r="642" spans="5:9" x14ac:dyDescent="0.25">
      <c r="E642" s="7"/>
      <c r="F642" t="s">
        <v>20</v>
      </c>
      <c r="G642" s="10" t="s">
        <v>21</v>
      </c>
      <c r="H642" t="str">
        <f>"4047161882"</f>
        <v>4047161882</v>
      </c>
      <c r="I642" t="str">
        <f t="shared" si="9"/>
        <v>CINTAS CORPORATION #087</v>
      </c>
    </row>
    <row r="643" spans="5:9" x14ac:dyDescent="0.25">
      <c r="E643" s="7"/>
      <c r="F643" t="s">
        <v>20</v>
      </c>
      <c r="G643" s="10" t="s">
        <v>21</v>
      </c>
      <c r="H643" t="str">
        <f>"4047734267"</f>
        <v>4047734267</v>
      </c>
      <c r="I643" t="str">
        <f t="shared" si="9"/>
        <v>CINTAS CORPORATION #087</v>
      </c>
    </row>
    <row r="644" spans="5:9" x14ac:dyDescent="0.25">
      <c r="E644" s="7"/>
      <c r="F644" t="s">
        <v>20</v>
      </c>
      <c r="G644" s="10" t="s">
        <v>21</v>
      </c>
      <c r="H644" t="str">
        <f>"4047734283"</f>
        <v>4047734283</v>
      </c>
      <c r="I644" t="str">
        <f t="shared" si="9"/>
        <v>CINTAS CORPORATION #087</v>
      </c>
    </row>
    <row r="645" spans="5:9" x14ac:dyDescent="0.25">
      <c r="E645" s="7"/>
      <c r="F645" t="s">
        <v>20</v>
      </c>
      <c r="G645" s="10" t="s">
        <v>21</v>
      </c>
      <c r="H645" t="str">
        <f>"4047800423"</f>
        <v>4047800423</v>
      </c>
      <c r="I645" t="str">
        <f t="shared" si="9"/>
        <v>CINTAS CORPORATION #087</v>
      </c>
    </row>
    <row r="646" spans="5:9" x14ac:dyDescent="0.25">
      <c r="E646" s="7"/>
      <c r="F646" t="s">
        <v>20</v>
      </c>
      <c r="G646" s="10" t="s">
        <v>21</v>
      </c>
      <c r="H646" t="str">
        <f>"4048373142"</f>
        <v>4048373142</v>
      </c>
      <c r="I646" t="str">
        <f t="shared" si="9"/>
        <v>CINTAS CORPORATION #087</v>
      </c>
    </row>
    <row r="647" spans="5:9" x14ac:dyDescent="0.25">
      <c r="E647" s="7"/>
      <c r="F647" t="s">
        <v>20</v>
      </c>
      <c r="G647" s="10" t="s">
        <v>21</v>
      </c>
      <c r="H647" t="str">
        <f>"4048874268"</f>
        <v>4048874268</v>
      </c>
      <c r="I647" t="str">
        <f t="shared" si="9"/>
        <v>CINTAS CORPORATION #087</v>
      </c>
    </row>
    <row r="648" spans="5:9" x14ac:dyDescent="0.25">
      <c r="E648" s="7"/>
      <c r="F648" t="s">
        <v>20</v>
      </c>
      <c r="G648" s="10" t="s">
        <v>21</v>
      </c>
      <c r="H648" t="str">
        <f>"4048874280"</f>
        <v>4048874280</v>
      </c>
      <c r="I648" t="str">
        <f t="shared" si="9"/>
        <v>CINTAS CORPORATION #087</v>
      </c>
    </row>
    <row r="649" spans="5:9" x14ac:dyDescent="0.25">
      <c r="E649" s="7"/>
      <c r="F649" t="s">
        <v>20</v>
      </c>
      <c r="G649" s="10" t="s">
        <v>21</v>
      </c>
      <c r="H649" t="str">
        <f>"4049501497"</f>
        <v>4049501497</v>
      </c>
      <c r="I649" t="str">
        <f t="shared" si="9"/>
        <v>CINTAS CORPORATION #087</v>
      </c>
    </row>
    <row r="650" spans="5:9" x14ac:dyDescent="0.25">
      <c r="E650" s="7"/>
      <c r="F650" t="s">
        <v>20</v>
      </c>
      <c r="G650" s="10" t="s">
        <v>21</v>
      </c>
      <c r="H650" t="str">
        <f>"4050674314"</f>
        <v>4050674314</v>
      </c>
      <c r="I650" t="str">
        <f t="shared" si="9"/>
        <v>CINTAS CORPORATION #087</v>
      </c>
    </row>
    <row r="651" spans="5:9" x14ac:dyDescent="0.25">
      <c r="E651" s="7"/>
      <c r="F651" t="s">
        <v>20</v>
      </c>
      <c r="G651" s="10" t="s">
        <v>21</v>
      </c>
      <c r="H651" t="str">
        <f>"4050674363"</f>
        <v>4050674363</v>
      </c>
      <c r="I651" t="str">
        <f t="shared" si="9"/>
        <v>CINTAS CORPORATION #087</v>
      </c>
    </row>
    <row r="652" spans="5:9" x14ac:dyDescent="0.25">
      <c r="E652" s="7"/>
      <c r="F652" t="s">
        <v>20</v>
      </c>
      <c r="G652" s="10" t="s">
        <v>21</v>
      </c>
      <c r="H652" t="str">
        <f>"4050674405"</f>
        <v>4050674405</v>
      </c>
      <c r="I652" t="str">
        <f t="shared" si="9"/>
        <v>CINTAS CORPORATION #087</v>
      </c>
    </row>
    <row r="653" spans="5:9" x14ac:dyDescent="0.25">
      <c r="E653" s="7"/>
      <c r="F653" t="s">
        <v>20</v>
      </c>
      <c r="G653" s="10" t="s">
        <v>21</v>
      </c>
      <c r="H653" t="str">
        <f>"4052496362"</f>
        <v>4052496362</v>
      </c>
      <c r="I653" t="str">
        <f t="shared" si="9"/>
        <v>CINTAS CORPORATION #087</v>
      </c>
    </row>
    <row r="654" spans="5:9" x14ac:dyDescent="0.25">
      <c r="E654" s="7"/>
      <c r="F654" t="s">
        <v>20</v>
      </c>
      <c r="G654" s="10" t="s">
        <v>21</v>
      </c>
      <c r="H654" t="str">
        <f>"4054376106"</f>
        <v>4054376106</v>
      </c>
      <c r="I654" t="str">
        <f t="shared" si="9"/>
        <v>CINTAS CORPORATION #087</v>
      </c>
    </row>
    <row r="655" spans="5:9" x14ac:dyDescent="0.25">
      <c r="E655" s="7"/>
      <c r="F655" t="s">
        <v>20</v>
      </c>
      <c r="G655" s="10" t="s">
        <v>21</v>
      </c>
      <c r="H655" t="str">
        <f>"4054376108"</f>
        <v>4054376108</v>
      </c>
      <c r="I655" t="str">
        <f t="shared" si="9"/>
        <v>CINTAS CORPORATION #087</v>
      </c>
    </row>
    <row r="656" spans="5:9" x14ac:dyDescent="0.25">
      <c r="E656" s="7"/>
      <c r="F656" t="s">
        <v>20</v>
      </c>
      <c r="G656" s="10" t="s">
        <v>21</v>
      </c>
      <c r="H656" t="str">
        <f>"4054376112"</f>
        <v>4054376112</v>
      </c>
      <c r="I656" t="str">
        <f t="shared" si="9"/>
        <v>CINTAS CORPORATION #087</v>
      </c>
    </row>
    <row r="657" spans="1:9" x14ac:dyDescent="0.25">
      <c r="E657" s="7"/>
      <c r="F657" t="s">
        <v>20</v>
      </c>
      <c r="G657" s="10" t="s">
        <v>21</v>
      </c>
      <c r="H657" t="str">
        <f>"4054990642"</f>
        <v>4054990642</v>
      </c>
      <c r="I657" t="str">
        <f t="shared" si="9"/>
        <v>CINTAS CORPORATION #087</v>
      </c>
    </row>
    <row r="658" spans="1:9" x14ac:dyDescent="0.25">
      <c r="E658" s="7"/>
      <c r="F658" t="s">
        <v>20</v>
      </c>
      <c r="G658" s="10" t="s">
        <v>21</v>
      </c>
      <c r="H658" t="str">
        <f>"4054990663"</f>
        <v>4054990663</v>
      </c>
      <c r="I658" t="str">
        <f t="shared" si="9"/>
        <v>CINTAS CORPORATION #087</v>
      </c>
    </row>
    <row r="659" spans="1:9" x14ac:dyDescent="0.25">
      <c r="E659" s="7"/>
      <c r="F659" t="s">
        <v>20</v>
      </c>
      <c r="G659" s="10" t="s">
        <v>21</v>
      </c>
      <c r="H659" t="str">
        <f>"4055633939"</f>
        <v>4055633939</v>
      </c>
      <c r="I659" t="str">
        <f t="shared" si="9"/>
        <v>CINTAS CORPORATION #087</v>
      </c>
    </row>
    <row r="660" spans="1:9" x14ac:dyDescent="0.25">
      <c r="E660" s="7"/>
      <c r="F660" t="s">
        <v>20</v>
      </c>
      <c r="G660" s="10" t="s">
        <v>21</v>
      </c>
      <c r="H660" t="str">
        <f>"4055634002"</f>
        <v>4055634002</v>
      </c>
      <c r="I660" t="str">
        <f t="shared" si="9"/>
        <v>CINTAS CORPORATION #087</v>
      </c>
    </row>
    <row r="661" spans="1:9" x14ac:dyDescent="0.25">
      <c r="E661" s="7"/>
      <c r="F661" t="s">
        <v>20</v>
      </c>
      <c r="G661" s="10" t="s">
        <v>21</v>
      </c>
      <c r="H661" t="str">
        <f>"4055634062"</f>
        <v>4055634062</v>
      </c>
      <c r="I661" t="str">
        <f t="shared" si="9"/>
        <v>CINTAS CORPORATION #087</v>
      </c>
    </row>
    <row r="662" spans="1:9" x14ac:dyDescent="0.25">
      <c r="E662" s="7"/>
      <c r="F662" t="s">
        <v>20</v>
      </c>
      <c r="G662" s="10" t="s">
        <v>21</v>
      </c>
      <c r="H662" t="str">
        <f>"4059483570"</f>
        <v>4059483570</v>
      </c>
      <c r="I662" t="str">
        <f t="shared" si="9"/>
        <v>CINTAS CORPORATION #087</v>
      </c>
    </row>
    <row r="663" spans="1:9" x14ac:dyDescent="0.25">
      <c r="E663" s="7"/>
      <c r="F663" t="s">
        <v>20</v>
      </c>
      <c r="G663" s="10" t="s">
        <v>21</v>
      </c>
      <c r="H663" t="str">
        <f>"4059483584"</f>
        <v>4059483584</v>
      </c>
      <c r="I663" t="str">
        <f t="shared" si="9"/>
        <v>CINTAS CORPORATION #087</v>
      </c>
    </row>
    <row r="664" spans="1:9" x14ac:dyDescent="0.25">
      <c r="E664" s="7"/>
      <c r="F664" t="s">
        <v>20</v>
      </c>
      <c r="G664" s="10" t="s">
        <v>21</v>
      </c>
      <c r="H664" t="str">
        <f>"4059483609"</f>
        <v>4059483609</v>
      </c>
      <c r="I664" t="str">
        <f t="shared" si="9"/>
        <v>CINTAS CORPORATION #087</v>
      </c>
    </row>
    <row r="665" spans="1:9" x14ac:dyDescent="0.25">
      <c r="A665" s="6">
        <v>44132</v>
      </c>
      <c r="B665" t="s">
        <v>91</v>
      </c>
      <c r="C665">
        <v>65325</v>
      </c>
      <c r="D665" t="s">
        <v>194</v>
      </c>
      <c r="E665" s="7">
        <v>8369.2000000000007</v>
      </c>
      <c r="F665" t="s">
        <v>20</v>
      </c>
      <c r="G665" s="10" t="s">
        <v>21</v>
      </c>
      <c r="H665" t="str">
        <f>"011622837"</f>
        <v>011622837</v>
      </c>
      <c r="I665" t="str">
        <f>"GALLS  LLC-D.B.A. STERLING'S U"</f>
        <v>GALLS  LLC-D.B.A. STERLING'S U</v>
      </c>
    </row>
    <row r="666" spans="1:9" x14ac:dyDescent="0.25">
      <c r="E666" s="7"/>
      <c r="F666" t="s">
        <v>20</v>
      </c>
      <c r="G666" s="10" t="s">
        <v>21</v>
      </c>
      <c r="H666" t="str">
        <f>"014634837*"</f>
        <v>014634837*</v>
      </c>
      <c r="I666" t="str">
        <f>"GALLS  LLC-D.B.A. STERLING'S U"</f>
        <v>GALLS  LLC-D.B.A. STERLING'S U</v>
      </c>
    </row>
    <row r="667" spans="1:9" x14ac:dyDescent="0.25">
      <c r="E667" s="7"/>
      <c r="F667" t="s">
        <v>20</v>
      </c>
      <c r="G667" s="10" t="s">
        <v>21</v>
      </c>
      <c r="H667" t="str">
        <f>"016433967*"</f>
        <v>016433967*</v>
      </c>
      <c r="I667" t="str">
        <f>"GALLS  LLC-D.B.A. STERLING'S U"</f>
        <v>GALLS  LLC-D.B.A. STERLING'S U</v>
      </c>
    </row>
    <row r="668" spans="1:9" x14ac:dyDescent="0.25">
      <c r="E668" s="7"/>
      <c r="F668" t="s">
        <v>20</v>
      </c>
      <c r="G668" s="10" t="s">
        <v>21</v>
      </c>
      <c r="H668" t="str">
        <f>"BC0732822"</f>
        <v>BC0732822</v>
      </c>
      <c r="I668" t="str">
        <f>"GALLS  LLC-D.B.A. STERLING'S U"</f>
        <v>GALLS  LLC-D.B.A. STERLING'S U</v>
      </c>
    </row>
    <row r="669" spans="1:9" x14ac:dyDescent="0.25">
      <c r="A669" s="6">
        <v>44166</v>
      </c>
      <c r="B669" t="s">
        <v>91</v>
      </c>
      <c r="C669">
        <v>65325</v>
      </c>
      <c r="D669" t="s">
        <v>194</v>
      </c>
      <c r="E669" s="7">
        <v>8369.2000000000007</v>
      </c>
      <c r="F669" t="s">
        <v>20</v>
      </c>
      <c r="G669" s="10" t="s">
        <v>93</v>
      </c>
      <c r="H669" t="str">
        <f>"CHECK"</f>
        <v>CHECK</v>
      </c>
      <c r="I669" t="str">
        <f>""</f>
        <v/>
      </c>
    </row>
    <row r="670" spans="1:9" x14ac:dyDescent="0.25">
      <c r="A670" s="6">
        <v>44132</v>
      </c>
      <c r="B670" t="s">
        <v>26</v>
      </c>
      <c r="C670">
        <v>65326</v>
      </c>
      <c r="D670" t="s">
        <v>956</v>
      </c>
      <c r="E670" s="7">
        <v>5000</v>
      </c>
      <c r="F670" t="s">
        <v>20</v>
      </c>
      <c r="G670" s="10" t="s">
        <v>21</v>
      </c>
      <c r="H670" t="str">
        <f>"8942"</f>
        <v>8942</v>
      </c>
      <c r="I670" t="str">
        <f>"IMS OF TEXAS  LLC"</f>
        <v>IMS OF TEXAS  LLC</v>
      </c>
    </row>
    <row r="671" spans="1:9" x14ac:dyDescent="0.25">
      <c r="A671" s="6">
        <v>44139</v>
      </c>
      <c r="B671" t="s">
        <v>26</v>
      </c>
      <c r="C671">
        <v>65331</v>
      </c>
      <c r="D671" t="s">
        <v>970</v>
      </c>
      <c r="E671" s="7">
        <v>70</v>
      </c>
      <c r="F671" t="s">
        <v>20</v>
      </c>
      <c r="G671" s="10" t="s">
        <v>21</v>
      </c>
      <c r="H671" t="str">
        <f>"11/01/2020"</f>
        <v>11/01/2020</v>
      </c>
      <c r="I671" t="str">
        <f>"ABBYGAIL DELGADO"</f>
        <v>ABBYGAIL DELGADO</v>
      </c>
    </row>
    <row r="672" spans="1:9" x14ac:dyDescent="0.25">
      <c r="A672" s="6">
        <v>44139</v>
      </c>
      <c r="B672" t="s">
        <v>26</v>
      </c>
      <c r="C672">
        <v>65332</v>
      </c>
      <c r="D672" t="s">
        <v>993</v>
      </c>
      <c r="E672" s="7">
        <v>136.5</v>
      </c>
      <c r="F672" t="s">
        <v>20</v>
      </c>
      <c r="G672" s="10" t="s">
        <v>21</v>
      </c>
      <c r="H672" t="str">
        <f>"11/04/2020"</f>
        <v>11/04/2020</v>
      </c>
      <c r="I672" t="str">
        <f>"ADELA M. ESQUIVEL"</f>
        <v>ADELA M. ESQUIVEL</v>
      </c>
    </row>
    <row r="673" spans="1:9" x14ac:dyDescent="0.25">
      <c r="A673" s="6">
        <v>44139</v>
      </c>
      <c r="B673" t="s">
        <v>26</v>
      </c>
      <c r="C673">
        <v>65333</v>
      </c>
      <c r="D673" t="s">
        <v>83</v>
      </c>
      <c r="E673" s="7">
        <v>1080</v>
      </c>
      <c r="F673" t="s">
        <v>20</v>
      </c>
      <c r="G673" s="10" t="s">
        <v>21</v>
      </c>
      <c r="H673" t="str">
        <f>"1346186"</f>
        <v>1346186</v>
      </c>
      <c r="I673" t="str">
        <f>"APPRIVER"</f>
        <v>APPRIVER</v>
      </c>
    </row>
    <row r="674" spans="1:9" x14ac:dyDescent="0.25">
      <c r="A674" s="6">
        <v>44139</v>
      </c>
      <c r="B674" t="s">
        <v>26</v>
      </c>
      <c r="C674">
        <v>65334</v>
      </c>
      <c r="D674" t="s">
        <v>979</v>
      </c>
      <c r="E674" s="7">
        <v>1066.2</v>
      </c>
      <c r="F674" t="s">
        <v>20</v>
      </c>
      <c r="G674" s="10" t="s">
        <v>21</v>
      </c>
      <c r="H674" t="str">
        <f>"10/25-11/02/2020"</f>
        <v>10/25-11/02/2020</v>
      </c>
      <c r="I674" t="str">
        <f>"BIANCA CANTU"</f>
        <v>BIANCA CANTU</v>
      </c>
    </row>
    <row r="675" spans="1:9" x14ac:dyDescent="0.25">
      <c r="A675" s="6">
        <v>44139</v>
      </c>
      <c r="B675" t="s">
        <v>26</v>
      </c>
      <c r="C675">
        <v>65335</v>
      </c>
      <c r="D675" t="s">
        <v>994</v>
      </c>
      <c r="E675" s="7">
        <v>136.5</v>
      </c>
      <c r="F675" t="s">
        <v>20</v>
      </c>
      <c r="G675" s="10" t="s">
        <v>21</v>
      </c>
      <c r="H675" t="str">
        <f>"11/04/2020"</f>
        <v>11/04/2020</v>
      </c>
      <c r="I675" t="str">
        <f>"BONNA REED"</f>
        <v>BONNA REED</v>
      </c>
    </row>
    <row r="676" spans="1:9" x14ac:dyDescent="0.25">
      <c r="A676" s="6">
        <v>44139</v>
      </c>
      <c r="B676" t="s">
        <v>26</v>
      </c>
      <c r="C676">
        <v>65336</v>
      </c>
      <c r="D676" t="s">
        <v>983</v>
      </c>
      <c r="E676" s="7">
        <v>737.75</v>
      </c>
      <c r="F676" t="s">
        <v>20</v>
      </c>
      <c r="G676" s="10" t="s">
        <v>21</v>
      </c>
      <c r="H676" t="str">
        <f>"10/25-11/03/2020"</f>
        <v>10/25-11/03/2020</v>
      </c>
      <c r="I676" t="str">
        <f>"BRANDON CANTU"</f>
        <v>BRANDON CANTU</v>
      </c>
    </row>
    <row r="677" spans="1:9" x14ac:dyDescent="0.25">
      <c r="A677" s="6">
        <v>44139</v>
      </c>
      <c r="B677" t="s">
        <v>26</v>
      </c>
      <c r="C677">
        <v>65337</v>
      </c>
      <c r="D677" t="s">
        <v>38</v>
      </c>
      <c r="E677" s="7">
        <v>100</v>
      </c>
      <c r="F677" t="s">
        <v>20</v>
      </c>
      <c r="G677" s="10" t="s">
        <v>21</v>
      </c>
      <c r="H677" t="str">
        <f>"NOV. 2020"</f>
        <v>NOV. 2020</v>
      </c>
      <c r="I677" t="str">
        <f>"CECELIA GONZALEZ-DIPPEL"</f>
        <v>CECELIA GONZALEZ-DIPPEL</v>
      </c>
    </row>
    <row r="678" spans="1:9" x14ac:dyDescent="0.25">
      <c r="A678" s="6">
        <v>44139</v>
      </c>
      <c r="B678" t="s">
        <v>26</v>
      </c>
      <c r="C678">
        <v>65338</v>
      </c>
      <c r="D678" t="s">
        <v>0</v>
      </c>
      <c r="E678" s="7">
        <v>2108.27</v>
      </c>
      <c r="F678" t="s">
        <v>20</v>
      </c>
      <c r="G678" s="10" t="s">
        <v>21</v>
      </c>
      <c r="H678" t="str">
        <f>"01-0195-00 NOV.20"</f>
        <v>01-0195-00 NOV.20</v>
      </c>
      <c r="I678" t="str">
        <f>"CITY OF FLORESVILLE"</f>
        <v>CITY OF FLORESVILLE</v>
      </c>
    </row>
    <row r="679" spans="1:9" x14ac:dyDescent="0.25">
      <c r="A679" s="6">
        <v>44139</v>
      </c>
      <c r="B679" t="s">
        <v>26</v>
      </c>
      <c r="C679">
        <v>65339</v>
      </c>
      <c r="D679" t="s">
        <v>81</v>
      </c>
      <c r="E679" s="7">
        <v>307.64999999999998</v>
      </c>
      <c r="F679" t="s">
        <v>20</v>
      </c>
      <c r="G679" s="10" t="s">
        <v>21</v>
      </c>
      <c r="H679" t="str">
        <f>"A.MARTINEZ 11/2/20"</f>
        <v>A.MARTINEZ 11/2/20</v>
      </c>
      <c r="I679" t="str">
        <f>"CITY OF FLORESVILLE -PETTY CAS"</f>
        <v>CITY OF FLORESVILLE -PETTY CAS</v>
      </c>
    </row>
    <row r="680" spans="1:9" x14ac:dyDescent="0.25">
      <c r="E680" s="7"/>
      <c r="F680" t="s">
        <v>20</v>
      </c>
      <c r="G680" s="10" t="s">
        <v>21</v>
      </c>
      <c r="H680" t="str">
        <f>"KIOSK CHANGE"</f>
        <v>KIOSK CHANGE</v>
      </c>
      <c r="I680" t="str">
        <f>"CITY OF FLORESVILLE -PETTY CAS"</f>
        <v>CITY OF FLORESVILLE -PETTY CAS</v>
      </c>
    </row>
    <row r="681" spans="1:9" x14ac:dyDescent="0.25">
      <c r="A681" s="6">
        <v>44139</v>
      </c>
      <c r="B681" t="s">
        <v>26</v>
      </c>
      <c r="C681">
        <v>65340</v>
      </c>
      <c r="D681" t="s">
        <v>872</v>
      </c>
      <c r="E681" s="7">
        <v>70</v>
      </c>
      <c r="F681" t="s">
        <v>20</v>
      </c>
      <c r="G681" s="10" t="s">
        <v>21</v>
      </c>
      <c r="H681" t="str">
        <f>"11/01/2020"</f>
        <v>11/01/2020</v>
      </c>
      <c r="I681" t="str">
        <f>"DEVIN BENAVIDES"</f>
        <v>DEVIN BENAVIDES</v>
      </c>
    </row>
    <row r="682" spans="1:9" x14ac:dyDescent="0.25">
      <c r="A682" s="6">
        <v>44139</v>
      </c>
      <c r="B682" t="s">
        <v>26</v>
      </c>
      <c r="C682">
        <v>65341</v>
      </c>
      <c r="D682" t="s">
        <v>614</v>
      </c>
      <c r="E682" s="7">
        <v>328.25</v>
      </c>
      <c r="F682" t="s">
        <v>20</v>
      </c>
      <c r="G682" s="10" t="s">
        <v>21</v>
      </c>
      <c r="H682" t="str">
        <f>"10/25-11/03/2020"</f>
        <v>10/25-11/03/2020</v>
      </c>
      <c r="I682" t="str">
        <f>"DONNA PEREZ"</f>
        <v>DONNA PEREZ</v>
      </c>
    </row>
    <row r="683" spans="1:9" x14ac:dyDescent="0.25">
      <c r="A683" s="6">
        <v>44139</v>
      </c>
      <c r="B683" t="s">
        <v>26</v>
      </c>
      <c r="C683">
        <v>65342</v>
      </c>
      <c r="D683" t="s">
        <v>69</v>
      </c>
      <c r="E683" s="7">
        <v>16.13</v>
      </c>
      <c r="F683" t="s">
        <v>20</v>
      </c>
      <c r="G683" s="10" t="s">
        <v>21</v>
      </c>
      <c r="H683" t="str">
        <f>"3C03198"</f>
        <v>3C03198</v>
      </c>
      <c r="I683" t="str">
        <f>"PARTS"</f>
        <v>PARTS</v>
      </c>
    </row>
    <row r="684" spans="1:9" x14ac:dyDescent="0.25">
      <c r="A684" s="6">
        <v>44139</v>
      </c>
      <c r="B684" t="s">
        <v>26</v>
      </c>
      <c r="C684">
        <v>65343</v>
      </c>
      <c r="D684" t="s">
        <v>57</v>
      </c>
      <c r="E684" s="7">
        <v>27960.49</v>
      </c>
      <c r="F684" t="s">
        <v>20</v>
      </c>
      <c r="G684" s="10" t="s">
        <v>21</v>
      </c>
      <c r="H684" t="str">
        <f>"11617 9/8-10/15/20"</f>
        <v>11617 9/8-10/15/20</v>
      </c>
      <c r="I684" t="str">
        <f>"F.E.L.P.S."</f>
        <v>F.E.L.P.S.</v>
      </c>
    </row>
    <row r="685" spans="1:9" x14ac:dyDescent="0.25">
      <c r="A685" s="6">
        <v>44139</v>
      </c>
      <c r="B685" t="s">
        <v>26</v>
      </c>
      <c r="C685">
        <v>65344</v>
      </c>
      <c r="D685" t="s">
        <v>995</v>
      </c>
      <c r="E685" s="7">
        <v>600</v>
      </c>
      <c r="F685" t="s">
        <v>20</v>
      </c>
      <c r="G685" s="10" t="s">
        <v>21</v>
      </c>
      <c r="H685" t="str">
        <f>"RFND HYDRANT"</f>
        <v>RFND HYDRANT</v>
      </c>
      <c r="I685" t="str">
        <f>"FORMATIVE STRUCTURES"</f>
        <v>FORMATIVE STRUCTURES</v>
      </c>
    </row>
    <row r="686" spans="1:9" x14ac:dyDescent="0.25">
      <c r="A686" s="6">
        <v>44139</v>
      </c>
      <c r="B686" t="s">
        <v>26</v>
      </c>
      <c r="C686">
        <v>65345</v>
      </c>
      <c r="D686" t="s">
        <v>85</v>
      </c>
      <c r="E686" s="7">
        <v>814.06</v>
      </c>
      <c r="F686" t="s">
        <v>20</v>
      </c>
      <c r="G686" s="10" t="s">
        <v>21</v>
      </c>
      <c r="H686" t="str">
        <f>"2162691 OCT.2020"</f>
        <v>2162691 OCT.2020</v>
      </c>
      <c r="I686" t="str">
        <f t="shared" ref="I686:I692" si="10">"FRONTIER"</f>
        <v>FRONTIER</v>
      </c>
    </row>
    <row r="687" spans="1:9" x14ac:dyDescent="0.25">
      <c r="E687" s="7"/>
      <c r="F687" t="s">
        <v>20</v>
      </c>
      <c r="G687" s="10" t="s">
        <v>21</v>
      </c>
      <c r="H687" t="str">
        <f>"3932056 OCT.2020"</f>
        <v>3932056 OCT.2020</v>
      </c>
      <c r="I687" t="str">
        <f t="shared" si="10"/>
        <v>FRONTIER</v>
      </c>
    </row>
    <row r="688" spans="1:9" x14ac:dyDescent="0.25">
      <c r="E688" s="7"/>
      <c r="F688" t="s">
        <v>20</v>
      </c>
      <c r="G688" s="10" t="s">
        <v>21</v>
      </c>
      <c r="H688" t="str">
        <f>"3933186 OCT.2020"</f>
        <v>3933186 OCT.2020</v>
      </c>
      <c r="I688" t="str">
        <f t="shared" si="10"/>
        <v>FRONTIER</v>
      </c>
    </row>
    <row r="689" spans="1:9" x14ac:dyDescent="0.25">
      <c r="E689" s="7"/>
      <c r="F689" t="s">
        <v>20</v>
      </c>
      <c r="G689" s="10" t="s">
        <v>21</v>
      </c>
      <c r="H689" t="str">
        <f>"3933718 OCT.2020"</f>
        <v>3933718 OCT.2020</v>
      </c>
      <c r="I689" t="str">
        <f t="shared" si="10"/>
        <v>FRONTIER</v>
      </c>
    </row>
    <row r="690" spans="1:9" x14ac:dyDescent="0.25">
      <c r="E690" s="7"/>
      <c r="F690" t="s">
        <v>20</v>
      </c>
      <c r="G690" s="10" t="s">
        <v>21</v>
      </c>
      <c r="H690" t="str">
        <f>"3936616 OCT.2020"</f>
        <v>3936616 OCT.2020</v>
      </c>
      <c r="I690" t="str">
        <f t="shared" si="10"/>
        <v>FRONTIER</v>
      </c>
    </row>
    <row r="691" spans="1:9" x14ac:dyDescent="0.25">
      <c r="E691" s="7"/>
      <c r="F691" t="s">
        <v>20</v>
      </c>
      <c r="G691" s="10" t="s">
        <v>21</v>
      </c>
      <c r="H691" t="str">
        <f>"3939456 OCT.2020"</f>
        <v>3939456 OCT.2020</v>
      </c>
      <c r="I691" t="str">
        <f t="shared" si="10"/>
        <v>FRONTIER</v>
      </c>
    </row>
    <row r="692" spans="1:9" x14ac:dyDescent="0.25">
      <c r="E692" s="7"/>
      <c r="F692" t="s">
        <v>20</v>
      </c>
      <c r="G692" s="10" t="s">
        <v>21</v>
      </c>
      <c r="H692" t="str">
        <f>"8301970045 10/2020"</f>
        <v>8301970045 10/2020</v>
      </c>
      <c r="I692" t="str">
        <f t="shared" si="10"/>
        <v>FRONTIER</v>
      </c>
    </row>
    <row r="693" spans="1:9" x14ac:dyDescent="0.25">
      <c r="A693" s="6">
        <v>44139</v>
      </c>
      <c r="B693" t="s">
        <v>91</v>
      </c>
      <c r="C693">
        <v>65347</v>
      </c>
      <c r="D693" t="s">
        <v>455</v>
      </c>
      <c r="E693" s="7">
        <v>315.25</v>
      </c>
      <c r="F693" t="s">
        <v>20</v>
      </c>
      <c r="G693" s="10" t="s">
        <v>21</v>
      </c>
      <c r="H693" t="str">
        <f>"10/25-11/03/2020"</f>
        <v>10/25-11/03/2020</v>
      </c>
      <c r="I693" t="str">
        <f>"GABRIELLE BARRERA"</f>
        <v>GABRIELLE BARRERA</v>
      </c>
    </row>
    <row r="694" spans="1:9" x14ac:dyDescent="0.25">
      <c r="A694" s="6">
        <v>44139</v>
      </c>
      <c r="B694" t="s">
        <v>91</v>
      </c>
      <c r="C694">
        <v>65347</v>
      </c>
      <c r="D694" t="s">
        <v>455</v>
      </c>
      <c r="E694" s="7">
        <v>315.25</v>
      </c>
      <c r="F694" t="s">
        <v>20</v>
      </c>
      <c r="G694" s="10" t="s">
        <v>93</v>
      </c>
      <c r="H694" t="str">
        <f>"CHECK"</f>
        <v>CHECK</v>
      </c>
      <c r="I694" t="str">
        <f>""</f>
        <v/>
      </c>
    </row>
    <row r="695" spans="1:9" x14ac:dyDescent="0.25">
      <c r="A695" s="6">
        <v>44139</v>
      </c>
      <c r="B695" t="s">
        <v>26</v>
      </c>
      <c r="C695">
        <v>65348</v>
      </c>
      <c r="D695" t="s">
        <v>36</v>
      </c>
      <c r="E695" s="7">
        <v>75</v>
      </c>
      <c r="F695" t="s">
        <v>20</v>
      </c>
      <c r="G695" s="10" t="s">
        <v>21</v>
      </c>
      <c r="H695" t="str">
        <f>"NOV. 2020"</f>
        <v>NOV. 2020</v>
      </c>
      <c r="I695" t="str">
        <f>"GLORIA M. CANTU"</f>
        <v>GLORIA M. CANTU</v>
      </c>
    </row>
    <row r="696" spans="1:9" x14ac:dyDescent="0.25">
      <c r="A696" s="6">
        <v>44139</v>
      </c>
      <c r="B696" t="s">
        <v>26</v>
      </c>
      <c r="C696">
        <v>65349</v>
      </c>
      <c r="D696" t="s">
        <v>637</v>
      </c>
      <c r="E696" s="7">
        <v>75</v>
      </c>
      <c r="F696" t="s">
        <v>20</v>
      </c>
      <c r="G696" s="10" t="s">
        <v>21</v>
      </c>
      <c r="H696" t="str">
        <f>"NOV. 2020"</f>
        <v>NOV. 2020</v>
      </c>
      <c r="I696" t="str">
        <f>"GLORIA MARTINEZ"</f>
        <v>GLORIA MARTINEZ</v>
      </c>
    </row>
    <row r="697" spans="1:9" x14ac:dyDescent="0.25">
      <c r="A697" s="6">
        <v>44139</v>
      </c>
      <c r="B697" t="s">
        <v>26</v>
      </c>
      <c r="C697">
        <v>65350</v>
      </c>
      <c r="D697" t="s">
        <v>532</v>
      </c>
      <c r="E697" s="7">
        <v>80</v>
      </c>
      <c r="F697" t="s">
        <v>20</v>
      </c>
      <c r="G697" s="10" t="s">
        <v>21</v>
      </c>
      <c r="H697" t="str">
        <f>"MEMBERSHIP RENEWAL"</f>
        <v>MEMBERSHIP RENEWAL</v>
      </c>
      <c r="I697" t="str">
        <f>"GOVERNMENT FINANCE OFFICERS AS"</f>
        <v>GOVERNMENT FINANCE OFFICERS AS</v>
      </c>
    </row>
    <row r="698" spans="1:9" x14ac:dyDescent="0.25">
      <c r="A698" s="6">
        <v>44139</v>
      </c>
      <c r="B698" t="s">
        <v>26</v>
      </c>
      <c r="C698">
        <v>65351</v>
      </c>
      <c r="D698" t="s">
        <v>985</v>
      </c>
      <c r="E698" s="7">
        <v>445.25</v>
      </c>
      <c r="F698" t="s">
        <v>20</v>
      </c>
      <c r="G698" s="10" t="s">
        <v>21</v>
      </c>
      <c r="H698" t="str">
        <f>"10/25-11/03/2020"</f>
        <v>10/25-11/03/2020</v>
      </c>
      <c r="I698" t="str">
        <f>"GUADALUPE ARANDA"</f>
        <v>GUADALUPE ARANDA</v>
      </c>
    </row>
    <row r="699" spans="1:9" x14ac:dyDescent="0.25">
      <c r="A699" s="6">
        <v>44139</v>
      </c>
      <c r="B699" t="s">
        <v>26</v>
      </c>
      <c r="C699">
        <v>65352</v>
      </c>
      <c r="D699" t="s">
        <v>889</v>
      </c>
      <c r="E699" s="7">
        <v>75</v>
      </c>
      <c r="F699" t="s">
        <v>20</v>
      </c>
      <c r="G699" s="10" t="s">
        <v>21</v>
      </c>
      <c r="H699" t="str">
        <f>"NOV. 2020"</f>
        <v>NOV. 2020</v>
      </c>
      <c r="I699" t="str">
        <f>"JADE JIMENEZ"</f>
        <v>JADE JIMENEZ</v>
      </c>
    </row>
    <row r="700" spans="1:9" x14ac:dyDescent="0.25">
      <c r="A700" s="6">
        <v>44139</v>
      </c>
      <c r="B700" t="s">
        <v>26</v>
      </c>
      <c r="C700">
        <v>65353</v>
      </c>
      <c r="D700" t="s">
        <v>223</v>
      </c>
      <c r="E700" s="7">
        <v>75</v>
      </c>
      <c r="F700" t="s">
        <v>20</v>
      </c>
      <c r="G700" s="10" t="s">
        <v>21</v>
      </c>
      <c r="H700" t="str">
        <f>"NOV. 2020"</f>
        <v>NOV. 2020</v>
      </c>
      <c r="I700" t="str">
        <f>"JUAN ORTIZ"</f>
        <v>JUAN ORTIZ</v>
      </c>
    </row>
    <row r="701" spans="1:9" x14ac:dyDescent="0.25">
      <c r="A701" s="6">
        <v>44139</v>
      </c>
      <c r="B701" t="s">
        <v>26</v>
      </c>
      <c r="C701">
        <v>65354</v>
      </c>
      <c r="D701" t="s">
        <v>996</v>
      </c>
      <c r="E701" s="7">
        <v>91</v>
      </c>
      <c r="F701" t="s">
        <v>20</v>
      </c>
      <c r="G701" s="10" t="s">
        <v>21</v>
      </c>
      <c r="H701" t="str">
        <f>"11/04/2020"</f>
        <v>11/04/2020</v>
      </c>
      <c r="I701" t="str">
        <f>"JULIEANN TRINIDAD"</f>
        <v>JULIEANN TRINIDAD</v>
      </c>
    </row>
    <row r="702" spans="1:9" x14ac:dyDescent="0.25">
      <c r="A702" s="6">
        <v>44139</v>
      </c>
      <c r="B702" t="s">
        <v>26</v>
      </c>
      <c r="C702">
        <v>65355</v>
      </c>
      <c r="D702" t="s">
        <v>617</v>
      </c>
      <c r="E702" s="7">
        <v>214.5</v>
      </c>
      <c r="F702" t="s">
        <v>20</v>
      </c>
      <c r="G702" s="10" t="s">
        <v>21</v>
      </c>
      <c r="H702" t="str">
        <f>"11/04/2020"</f>
        <v>11/04/2020</v>
      </c>
      <c r="I702" t="str">
        <f>"KASSANDRA ARANDA"</f>
        <v>KASSANDRA ARANDA</v>
      </c>
    </row>
    <row r="703" spans="1:9" x14ac:dyDescent="0.25">
      <c r="A703" s="6">
        <v>44139</v>
      </c>
      <c r="B703" t="s">
        <v>26</v>
      </c>
      <c r="C703">
        <v>65356</v>
      </c>
      <c r="D703" t="s">
        <v>986</v>
      </c>
      <c r="E703" s="7">
        <v>1177.5</v>
      </c>
      <c r="F703" t="s">
        <v>20</v>
      </c>
      <c r="G703" s="10" t="s">
        <v>21</v>
      </c>
      <c r="H703" t="str">
        <f>"10/26-11/03/2020"</f>
        <v>10/26-11/03/2020</v>
      </c>
      <c r="I703" t="str">
        <f>"KERRY L. ESQUIVEL"</f>
        <v>KERRY L. ESQUIVEL</v>
      </c>
    </row>
    <row r="704" spans="1:9" x14ac:dyDescent="0.25">
      <c r="A704" s="6">
        <v>44139</v>
      </c>
      <c r="B704" t="s">
        <v>26</v>
      </c>
      <c r="C704">
        <v>65357</v>
      </c>
      <c r="D704" t="s">
        <v>80</v>
      </c>
      <c r="E704" s="7">
        <v>1510</v>
      </c>
      <c r="F704" t="s">
        <v>20</v>
      </c>
      <c r="G704" s="10" t="s">
        <v>21</v>
      </c>
      <c r="H704" t="str">
        <f>"1648-20201101-1"</f>
        <v>1648-20201101-1</v>
      </c>
      <c r="I704" t="str">
        <f>"LVWIFI.COM"</f>
        <v>LVWIFI.COM</v>
      </c>
    </row>
    <row r="705" spans="1:9" x14ac:dyDescent="0.25">
      <c r="E705" s="7"/>
      <c r="F705" t="s">
        <v>20</v>
      </c>
      <c r="G705" s="10" t="s">
        <v>21</v>
      </c>
      <c r="H705" t="str">
        <f>"2313-20201101-1"</f>
        <v>2313-20201101-1</v>
      </c>
      <c r="I705" t="str">
        <f>"LVWIFI.COM"</f>
        <v>LVWIFI.COM</v>
      </c>
    </row>
    <row r="706" spans="1:9" x14ac:dyDescent="0.25">
      <c r="A706" s="6">
        <v>44139</v>
      </c>
      <c r="B706" t="s">
        <v>26</v>
      </c>
      <c r="C706">
        <v>65358</v>
      </c>
      <c r="D706" t="s">
        <v>558</v>
      </c>
      <c r="E706" s="7">
        <v>75</v>
      </c>
      <c r="F706" t="s">
        <v>20</v>
      </c>
      <c r="G706" s="10" t="s">
        <v>21</v>
      </c>
      <c r="H706" t="str">
        <f>"NOV. 2020"</f>
        <v>NOV. 2020</v>
      </c>
      <c r="I706" t="str">
        <f>"MARISSA XIMENEZ"</f>
        <v>MARISSA XIMENEZ</v>
      </c>
    </row>
    <row r="707" spans="1:9" x14ac:dyDescent="0.25">
      <c r="A707" s="6">
        <v>44139</v>
      </c>
      <c r="B707" t="s">
        <v>26</v>
      </c>
      <c r="C707">
        <v>65359</v>
      </c>
      <c r="D707" t="s">
        <v>345</v>
      </c>
      <c r="E707" s="7">
        <v>220</v>
      </c>
      <c r="F707" t="s">
        <v>20</v>
      </c>
      <c r="G707" s="10" t="s">
        <v>21</v>
      </c>
      <c r="H707" t="str">
        <f>"11/02/2020"</f>
        <v>11/02/2020</v>
      </c>
      <c r="I707" t="str">
        <f>"MICHAEL ISAAC MARTINEZ"</f>
        <v>MICHAEL ISAAC MARTINEZ</v>
      </c>
    </row>
    <row r="708" spans="1:9" x14ac:dyDescent="0.25">
      <c r="A708" s="6">
        <v>44139</v>
      </c>
      <c r="B708" t="s">
        <v>26</v>
      </c>
      <c r="C708">
        <v>65360</v>
      </c>
      <c r="D708" t="s">
        <v>123</v>
      </c>
      <c r="E708" s="7">
        <v>140.63999999999999</v>
      </c>
      <c r="F708" t="s">
        <v>20</v>
      </c>
      <c r="G708" s="10" t="s">
        <v>21</v>
      </c>
      <c r="H708" t="str">
        <f>"131404577001"</f>
        <v>131404577001</v>
      </c>
      <c r="I708" t="str">
        <f>"OFFICE SUPPLIES END OF YR"</f>
        <v>OFFICE SUPPLIES END OF YR</v>
      </c>
    </row>
    <row r="709" spans="1:9" x14ac:dyDescent="0.25">
      <c r="E709" s="7"/>
      <c r="F709" t="s">
        <v>20</v>
      </c>
      <c r="G709" s="10" t="s">
        <v>21</v>
      </c>
      <c r="H709" t="str">
        <f>"132003137001"</f>
        <v>132003137001</v>
      </c>
      <c r="I709" t="str">
        <f>"WW OFFICE SUPPLIES"</f>
        <v>WW OFFICE SUPPLIES</v>
      </c>
    </row>
    <row r="710" spans="1:9" x14ac:dyDescent="0.25">
      <c r="E710" s="7"/>
      <c r="F710" t="s">
        <v>20</v>
      </c>
      <c r="G710" s="10" t="s">
        <v>21</v>
      </c>
      <c r="H710" t="str">
        <f>"132058792001"</f>
        <v>132058792001</v>
      </c>
      <c r="I710" t="str">
        <f>"OFFICE SUPPLIES FOR WATER"</f>
        <v>OFFICE SUPPLIES FOR WATER</v>
      </c>
    </row>
    <row r="711" spans="1:9" x14ac:dyDescent="0.25">
      <c r="A711" s="6">
        <v>44139</v>
      </c>
      <c r="B711" t="s">
        <v>26</v>
      </c>
      <c r="C711">
        <v>65361</v>
      </c>
      <c r="D711" t="s">
        <v>997</v>
      </c>
      <c r="E711" s="7">
        <v>1692</v>
      </c>
      <c r="F711" t="s">
        <v>20</v>
      </c>
      <c r="G711" s="10" t="s">
        <v>21</v>
      </c>
      <c r="H711" t="str">
        <f>"101"</f>
        <v>101</v>
      </c>
      <c r="I711" t="str">
        <f>"ORLANDO SALAS LOPEZ"</f>
        <v>ORLANDO SALAS LOPEZ</v>
      </c>
    </row>
    <row r="712" spans="1:9" x14ac:dyDescent="0.25">
      <c r="A712" s="6">
        <v>44139</v>
      </c>
      <c r="B712" t="s">
        <v>26</v>
      </c>
      <c r="C712">
        <v>65362</v>
      </c>
      <c r="D712" t="s">
        <v>998</v>
      </c>
      <c r="E712" s="7">
        <v>136.5</v>
      </c>
      <c r="F712" t="s">
        <v>20</v>
      </c>
      <c r="G712" s="10" t="s">
        <v>21</v>
      </c>
      <c r="H712" t="str">
        <f>"11/04/2020"</f>
        <v>11/04/2020</v>
      </c>
      <c r="I712" t="str">
        <f>"SARAH JIMENEZ"</f>
        <v>SARAH JIMENEZ</v>
      </c>
    </row>
    <row r="713" spans="1:9" x14ac:dyDescent="0.25">
      <c r="A713" s="6">
        <v>44139</v>
      </c>
      <c r="B713" t="s">
        <v>26</v>
      </c>
      <c r="C713">
        <v>65363</v>
      </c>
      <c r="D713" t="s">
        <v>930</v>
      </c>
      <c r="E713" s="7">
        <v>968.7</v>
      </c>
      <c r="F713" t="s">
        <v>20</v>
      </c>
      <c r="G713" s="10" t="s">
        <v>21</v>
      </c>
      <c r="H713" t="str">
        <f>"10/18-11/03/2020"</f>
        <v>10/18-11/03/2020</v>
      </c>
      <c r="I713" t="str">
        <f>"SAVANNAH TORRES"</f>
        <v>SAVANNAH TORRES</v>
      </c>
    </row>
    <row r="714" spans="1:9" x14ac:dyDescent="0.25">
      <c r="A714" s="6">
        <v>44139</v>
      </c>
      <c r="B714" t="s">
        <v>26</v>
      </c>
      <c r="C714">
        <v>65364</v>
      </c>
      <c r="D714" t="s">
        <v>616</v>
      </c>
      <c r="E714" s="7">
        <v>811.46</v>
      </c>
      <c r="F714" t="s">
        <v>20</v>
      </c>
      <c r="G714" s="10" t="s">
        <v>21</v>
      </c>
      <c r="H714" t="str">
        <f>"10/26-11/03/2020"</f>
        <v>10/26-11/03/2020</v>
      </c>
      <c r="I714" t="str">
        <f>"SERENA VELA"</f>
        <v>SERENA VELA</v>
      </c>
    </row>
    <row r="715" spans="1:9" x14ac:dyDescent="0.25">
      <c r="A715" s="6">
        <v>44139</v>
      </c>
      <c r="B715" t="s">
        <v>26</v>
      </c>
      <c r="C715">
        <v>65365</v>
      </c>
      <c r="D715" t="s">
        <v>988</v>
      </c>
      <c r="E715" s="7">
        <v>796.25</v>
      </c>
      <c r="F715" t="s">
        <v>20</v>
      </c>
      <c r="G715" s="10" t="s">
        <v>21</v>
      </c>
      <c r="H715" t="str">
        <f>"10/25-11/03/2020"</f>
        <v>10/25-11/03/2020</v>
      </c>
      <c r="I715" t="str">
        <f>"SONYA R ARANDA"</f>
        <v>SONYA R ARANDA</v>
      </c>
    </row>
    <row r="716" spans="1:9" x14ac:dyDescent="0.25">
      <c r="A716" s="6">
        <v>44139</v>
      </c>
      <c r="B716" t="s">
        <v>26</v>
      </c>
      <c r="C716">
        <v>65366</v>
      </c>
      <c r="D716" t="s">
        <v>698</v>
      </c>
      <c r="E716" s="7">
        <v>70</v>
      </c>
      <c r="F716" t="s">
        <v>20</v>
      </c>
      <c r="G716" s="10" t="s">
        <v>21</v>
      </c>
      <c r="H716" t="str">
        <f>"11/01/2020"</f>
        <v>11/01/2020</v>
      </c>
      <c r="I716" t="str">
        <f>"TRACY ORTIZ"</f>
        <v>TRACY ORTIZ</v>
      </c>
    </row>
    <row r="717" spans="1:9" x14ac:dyDescent="0.25">
      <c r="A717" s="6">
        <v>44139</v>
      </c>
      <c r="B717" t="s">
        <v>26</v>
      </c>
      <c r="C717">
        <v>65367</v>
      </c>
      <c r="D717" t="s">
        <v>648</v>
      </c>
      <c r="E717" s="7">
        <v>1381.5</v>
      </c>
      <c r="F717" t="s">
        <v>20</v>
      </c>
      <c r="G717" s="10" t="s">
        <v>21</v>
      </c>
      <c r="H717" t="str">
        <f>"CP134B"</f>
        <v>CP134B</v>
      </c>
      <c r="I717" t="str">
        <f>"UNITED STATES TREASURY- IRS"</f>
        <v>UNITED STATES TREASURY- IRS</v>
      </c>
    </row>
    <row r="718" spans="1:9" x14ac:dyDescent="0.25">
      <c r="A718" s="6">
        <v>44139</v>
      </c>
      <c r="B718" t="s">
        <v>26</v>
      </c>
      <c r="C718">
        <v>65369</v>
      </c>
      <c r="D718" t="s">
        <v>999</v>
      </c>
      <c r="E718" s="7">
        <v>550</v>
      </c>
      <c r="F718" t="s">
        <v>20</v>
      </c>
      <c r="G718" s="10" t="s">
        <v>21</v>
      </c>
      <c r="H718" t="str">
        <f>"DONATION -GERARD"</f>
        <v>DONATION -GERARD</v>
      </c>
      <c r="I718" t="str">
        <f>"WALMART SUPERCENTER #465"</f>
        <v>WALMART SUPERCENTER #465</v>
      </c>
    </row>
    <row r="719" spans="1:9" x14ac:dyDescent="0.25">
      <c r="A719" s="6">
        <v>44139</v>
      </c>
      <c r="B719" t="s">
        <v>26</v>
      </c>
      <c r="C719">
        <v>65370</v>
      </c>
      <c r="D719" t="s">
        <v>618</v>
      </c>
      <c r="E719" s="7">
        <v>247.5</v>
      </c>
      <c r="F719" t="s">
        <v>20</v>
      </c>
      <c r="G719" s="10" t="s">
        <v>21</v>
      </c>
      <c r="H719" t="str">
        <f>"11/04/2020"</f>
        <v>11/04/2020</v>
      </c>
      <c r="I719" t="str">
        <f>"SYLVIA TREVINO"</f>
        <v>SYLVIA TREVINO</v>
      </c>
    </row>
    <row r="720" spans="1:9" x14ac:dyDescent="0.25">
      <c r="A720" s="6">
        <v>44139</v>
      </c>
      <c r="B720" t="s">
        <v>26</v>
      </c>
      <c r="C720">
        <v>65371</v>
      </c>
      <c r="D720" t="s">
        <v>1000</v>
      </c>
      <c r="E720" s="7">
        <v>315.25</v>
      </c>
      <c r="F720" t="s">
        <v>20</v>
      </c>
      <c r="G720" s="10" t="s">
        <v>21</v>
      </c>
      <c r="H720" t="str">
        <f>"10/26-11/03/2020"</f>
        <v>10/26-11/03/2020</v>
      </c>
      <c r="I720" t="str">
        <f>"GABRIELLA ARANDA"</f>
        <v>GABRIELLA ARANDA</v>
      </c>
    </row>
    <row r="721" spans="1:9" x14ac:dyDescent="0.25">
      <c r="A721" s="6">
        <v>44141</v>
      </c>
      <c r="B721" t="s">
        <v>26</v>
      </c>
      <c r="C721">
        <v>65372</v>
      </c>
      <c r="D721" t="s">
        <v>1001</v>
      </c>
      <c r="E721" s="7">
        <v>76075</v>
      </c>
      <c r="F721" t="s">
        <v>20</v>
      </c>
      <c r="G721" s="10" t="s">
        <v>21</v>
      </c>
      <c r="H721" t="str">
        <f>"1139"</f>
        <v>1139</v>
      </c>
      <c r="I721" t="str">
        <f>"VEHICLE EQUIPMENT"</f>
        <v>VEHICLE EQUIPMENT</v>
      </c>
    </row>
    <row r="722" spans="1:9" x14ac:dyDescent="0.25">
      <c r="A722" s="6">
        <v>44145</v>
      </c>
      <c r="B722" t="s">
        <v>26</v>
      </c>
      <c r="C722">
        <v>65373</v>
      </c>
      <c r="D722" t="s">
        <v>970</v>
      </c>
      <c r="E722" s="7">
        <v>70</v>
      </c>
      <c r="F722" t="s">
        <v>20</v>
      </c>
      <c r="G722" s="10" t="s">
        <v>21</v>
      </c>
      <c r="H722" t="str">
        <f>"11/7/2020"</f>
        <v>11/7/2020</v>
      </c>
      <c r="I722" t="str">
        <f>"ABBYGAIL DELGADO"</f>
        <v>ABBYGAIL DELGADO</v>
      </c>
    </row>
    <row r="723" spans="1:9" x14ac:dyDescent="0.25">
      <c r="A723" s="6">
        <v>44145</v>
      </c>
      <c r="B723" t="s">
        <v>91</v>
      </c>
      <c r="C723">
        <v>65374</v>
      </c>
      <c r="D723" t="s">
        <v>179</v>
      </c>
      <c r="E723" s="7">
        <v>130</v>
      </c>
      <c r="F723" t="s">
        <v>20</v>
      </c>
      <c r="G723" s="10" t="s">
        <v>21</v>
      </c>
      <c r="H723" t="str">
        <f>"30-256076"</f>
        <v>30-256076</v>
      </c>
      <c r="I723" t="str">
        <f>"ANCIRA FORD-MERCURY"</f>
        <v>ANCIRA FORD-MERCURY</v>
      </c>
    </row>
    <row r="724" spans="1:9" x14ac:dyDescent="0.25">
      <c r="A724" s="6">
        <v>44145</v>
      </c>
      <c r="B724" t="s">
        <v>91</v>
      </c>
      <c r="C724">
        <v>65374</v>
      </c>
      <c r="D724" t="s">
        <v>179</v>
      </c>
      <c r="E724" s="7">
        <v>130</v>
      </c>
      <c r="F724" t="s">
        <v>20</v>
      </c>
      <c r="G724" s="10" t="s">
        <v>93</v>
      </c>
      <c r="H724" t="str">
        <f>"CHECK"</f>
        <v>CHECK</v>
      </c>
      <c r="I724" t="str">
        <f>""</f>
        <v/>
      </c>
    </row>
    <row r="725" spans="1:9" x14ac:dyDescent="0.25">
      <c r="A725" s="6">
        <v>44145</v>
      </c>
      <c r="B725" t="s">
        <v>26</v>
      </c>
      <c r="C725">
        <v>65375</v>
      </c>
      <c r="D725" t="s">
        <v>139</v>
      </c>
      <c r="E725" s="7">
        <v>65</v>
      </c>
      <c r="F725" t="s">
        <v>20</v>
      </c>
      <c r="G725" s="10" t="s">
        <v>21</v>
      </c>
      <c r="H725" t="str">
        <f>"30770"</f>
        <v>30770</v>
      </c>
      <c r="I725" t="str">
        <f>"ANGEL FIRE &amp; SAFETY"</f>
        <v>ANGEL FIRE &amp; SAFETY</v>
      </c>
    </row>
    <row r="726" spans="1:9" x14ac:dyDescent="0.25">
      <c r="A726" s="6">
        <v>44145</v>
      </c>
      <c r="B726" t="s">
        <v>26</v>
      </c>
      <c r="C726">
        <v>65376</v>
      </c>
      <c r="D726" t="s">
        <v>115</v>
      </c>
      <c r="E726" s="7">
        <v>187.98</v>
      </c>
      <c r="F726" t="s">
        <v>20</v>
      </c>
      <c r="G726" s="10" t="s">
        <v>21</v>
      </c>
      <c r="H726" t="str">
        <f>"3547777586"</f>
        <v>3547777586</v>
      </c>
      <c r="I726" t="str">
        <f>"BATTERY"</f>
        <v>BATTERY</v>
      </c>
    </row>
    <row r="727" spans="1:9" x14ac:dyDescent="0.25">
      <c r="E727" s="7"/>
      <c r="F727" t="s">
        <v>20</v>
      </c>
      <c r="G727" s="10" t="s">
        <v>21</v>
      </c>
      <c r="H727" t="str">
        <f>"3547783472"</f>
        <v>3547783472</v>
      </c>
      <c r="I727" t="str">
        <f>"LIGHTS FOR STREET TRAILER"</f>
        <v>LIGHTS FOR STREET TRAILER</v>
      </c>
    </row>
    <row r="728" spans="1:9" x14ac:dyDescent="0.25">
      <c r="A728" s="6">
        <v>44145</v>
      </c>
      <c r="B728" t="s">
        <v>26</v>
      </c>
      <c r="C728">
        <v>65377</v>
      </c>
      <c r="D728" t="s">
        <v>836</v>
      </c>
      <c r="E728" s="7">
        <v>5445.96</v>
      </c>
      <c r="F728" t="s">
        <v>20</v>
      </c>
      <c r="G728" s="10" t="s">
        <v>21</v>
      </c>
      <c r="H728" t="str">
        <f>"69035"</f>
        <v>69035</v>
      </c>
      <c r="I728" t="str">
        <f>"BARCOM TECHNOLOGY SOLUTIONS  I"</f>
        <v>BARCOM TECHNOLOGY SOLUTIONS  I</v>
      </c>
    </row>
    <row r="729" spans="1:9" x14ac:dyDescent="0.25">
      <c r="E729" s="7"/>
      <c r="F729" t="s">
        <v>20</v>
      </c>
      <c r="G729" s="10" t="s">
        <v>21</v>
      </c>
      <c r="H729" t="str">
        <f>"69036"</f>
        <v>69036</v>
      </c>
      <c r="I729" t="str">
        <f>"BARCOM TECHNOLOGY SOLUTIONS  I"</f>
        <v>BARCOM TECHNOLOGY SOLUTIONS  I</v>
      </c>
    </row>
    <row r="730" spans="1:9" x14ac:dyDescent="0.25">
      <c r="A730" s="6">
        <v>44145</v>
      </c>
      <c r="B730" t="s">
        <v>91</v>
      </c>
      <c r="C730">
        <v>65378</v>
      </c>
      <c r="D730" t="s">
        <v>908</v>
      </c>
      <c r="E730" s="7">
        <v>2955</v>
      </c>
      <c r="F730" t="s">
        <v>20</v>
      </c>
      <c r="G730" s="10" t="s">
        <v>21</v>
      </c>
      <c r="H730" t="str">
        <f>"5092387"</f>
        <v>5092387</v>
      </c>
      <c r="I730" t="str">
        <f>"KENWOOD RADIO"</f>
        <v>KENWOOD RADIO</v>
      </c>
    </row>
    <row r="731" spans="1:9" x14ac:dyDescent="0.25">
      <c r="A731" s="6">
        <v>44145</v>
      </c>
      <c r="B731" t="s">
        <v>91</v>
      </c>
      <c r="C731">
        <v>65378</v>
      </c>
      <c r="D731" t="s">
        <v>908</v>
      </c>
      <c r="E731" s="7">
        <v>2955</v>
      </c>
      <c r="F731" t="s">
        <v>20</v>
      </c>
      <c r="G731" s="10" t="s">
        <v>93</v>
      </c>
      <c r="H731" t="str">
        <f>"CHECK"</f>
        <v>CHECK</v>
      </c>
      <c r="I731" t="str">
        <f>""</f>
        <v/>
      </c>
    </row>
    <row r="732" spans="1:9" x14ac:dyDescent="0.25">
      <c r="A732" s="6">
        <v>44145</v>
      </c>
      <c r="B732" t="s">
        <v>26</v>
      </c>
      <c r="C732">
        <v>65380</v>
      </c>
      <c r="D732" t="s">
        <v>118</v>
      </c>
      <c r="E732" s="7">
        <v>696</v>
      </c>
      <c r="F732" t="s">
        <v>20</v>
      </c>
      <c r="G732" s="10" t="s">
        <v>21</v>
      </c>
      <c r="H732" t="str">
        <f>"12077"</f>
        <v>12077</v>
      </c>
      <c r="I732" t="str">
        <f>"BRYAN AIR CONDITIONING &amp; HEATI"</f>
        <v>BRYAN AIR CONDITIONING &amp; HEATI</v>
      </c>
    </row>
    <row r="733" spans="1:9" x14ac:dyDescent="0.25">
      <c r="A733" s="6">
        <v>44145</v>
      </c>
      <c r="B733" t="s">
        <v>26</v>
      </c>
      <c r="C733">
        <v>65381</v>
      </c>
      <c r="D733" t="s">
        <v>63</v>
      </c>
      <c r="E733" s="7">
        <v>1443.68</v>
      </c>
      <c r="F733" t="s">
        <v>20</v>
      </c>
      <c r="G733" s="10" t="s">
        <v>21</v>
      </c>
      <c r="H733" t="str">
        <f>"8404858550"</f>
        <v>8404858550</v>
      </c>
      <c r="I733" t="str">
        <f>"CINTAS CORPORATION"</f>
        <v>CINTAS CORPORATION</v>
      </c>
    </row>
    <row r="734" spans="1:9" x14ac:dyDescent="0.25">
      <c r="E734" s="7"/>
      <c r="F734" t="s">
        <v>20</v>
      </c>
      <c r="G734" s="10" t="s">
        <v>21</v>
      </c>
      <c r="H734" t="str">
        <f>"8404865184"</f>
        <v>8404865184</v>
      </c>
      <c r="I734" t="str">
        <f>"CINTAS CORPORATION"</f>
        <v>CINTAS CORPORATION</v>
      </c>
    </row>
    <row r="735" spans="1:9" x14ac:dyDescent="0.25">
      <c r="A735" s="6">
        <v>44145</v>
      </c>
      <c r="B735" t="s">
        <v>26</v>
      </c>
      <c r="C735">
        <v>65382</v>
      </c>
      <c r="D735" t="s">
        <v>71</v>
      </c>
      <c r="E735" s="7">
        <v>2062.0500000000002</v>
      </c>
      <c r="F735" t="s">
        <v>20</v>
      </c>
      <c r="G735" s="10" t="s">
        <v>21</v>
      </c>
      <c r="H735" t="str">
        <f>"4065384999"</f>
        <v>4065384999</v>
      </c>
      <c r="I735" t="str">
        <f t="shared" ref="I735:I748" si="11">"CINTAS CORPORATION #087"</f>
        <v>CINTAS CORPORATION #087</v>
      </c>
    </row>
    <row r="736" spans="1:9" x14ac:dyDescent="0.25">
      <c r="E736" s="7"/>
      <c r="F736" t="s">
        <v>20</v>
      </c>
      <c r="G736" s="10" t="s">
        <v>21</v>
      </c>
      <c r="H736" t="str">
        <f>"4065385071"</f>
        <v>4065385071</v>
      </c>
      <c r="I736" t="str">
        <f t="shared" si="11"/>
        <v>CINTAS CORPORATION #087</v>
      </c>
    </row>
    <row r="737" spans="1:9" x14ac:dyDescent="0.25">
      <c r="E737" s="7"/>
      <c r="F737" t="s">
        <v>20</v>
      </c>
      <c r="G737" s="10" t="s">
        <v>21</v>
      </c>
      <c r="H737" t="str">
        <f>"4065385111"</f>
        <v>4065385111</v>
      </c>
      <c r="I737" t="str">
        <f t="shared" si="11"/>
        <v>CINTAS CORPORATION #087</v>
      </c>
    </row>
    <row r="738" spans="1:9" x14ac:dyDescent="0.25">
      <c r="E738" s="7"/>
      <c r="F738" t="s">
        <v>20</v>
      </c>
      <c r="G738" s="10" t="s">
        <v>21</v>
      </c>
      <c r="H738" t="str">
        <f>"4065385152"</f>
        <v>4065385152</v>
      </c>
      <c r="I738" t="str">
        <f t="shared" si="11"/>
        <v>CINTAS CORPORATION #087</v>
      </c>
    </row>
    <row r="739" spans="1:9" x14ac:dyDescent="0.25">
      <c r="E739" s="7"/>
      <c r="F739" t="s">
        <v>20</v>
      </c>
      <c r="G739" s="10" t="s">
        <v>21</v>
      </c>
      <c r="H739" t="str">
        <f>"4065385154"</f>
        <v>4065385154</v>
      </c>
      <c r="I739" t="str">
        <f t="shared" si="11"/>
        <v>CINTAS CORPORATION #087</v>
      </c>
    </row>
    <row r="740" spans="1:9" x14ac:dyDescent="0.25">
      <c r="E740" s="7"/>
      <c r="F740" t="s">
        <v>20</v>
      </c>
      <c r="G740" s="10" t="s">
        <v>21</v>
      </c>
      <c r="H740" t="str">
        <f>"4065385188"</f>
        <v>4065385188</v>
      </c>
      <c r="I740" t="str">
        <f t="shared" si="11"/>
        <v>CINTAS CORPORATION #087</v>
      </c>
    </row>
    <row r="741" spans="1:9" x14ac:dyDescent="0.25">
      <c r="E741" s="7"/>
      <c r="F741" t="s">
        <v>20</v>
      </c>
      <c r="G741" s="10" t="s">
        <v>21</v>
      </c>
      <c r="H741" t="str">
        <f>"4066060139"</f>
        <v>4066060139</v>
      </c>
      <c r="I741" t="str">
        <f t="shared" si="11"/>
        <v>CINTAS CORPORATION #087</v>
      </c>
    </row>
    <row r="742" spans="1:9" x14ac:dyDescent="0.25">
      <c r="E742" s="7"/>
      <c r="F742" t="s">
        <v>20</v>
      </c>
      <c r="G742" s="10" t="s">
        <v>21</v>
      </c>
      <c r="H742" t="str">
        <f>"4066060233"</f>
        <v>4066060233</v>
      </c>
      <c r="I742" t="str">
        <f t="shared" si="11"/>
        <v>CINTAS CORPORATION #087</v>
      </c>
    </row>
    <row r="743" spans="1:9" x14ac:dyDescent="0.25">
      <c r="E743" s="7"/>
      <c r="F743" t="s">
        <v>20</v>
      </c>
      <c r="G743" s="10" t="s">
        <v>21</v>
      </c>
      <c r="H743" t="str">
        <f>"4066060256"</f>
        <v>4066060256</v>
      </c>
      <c r="I743" t="str">
        <f t="shared" si="11"/>
        <v>CINTAS CORPORATION #087</v>
      </c>
    </row>
    <row r="744" spans="1:9" x14ac:dyDescent="0.25">
      <c r="E744" s="7"/>
      <c r="F744" t="s">
        <v>20</v>
      </c>
      <c r="G744" s="10" t="s">
        <v>21</v>
      </c>
      <c r="H744" t="str">
        <f>"4066060263"</f>
        <v>4066060263</v>
      </c>
      <c r="I744" t="str">
        <f t="shared" si="11"/>
        <v>CINTAS CORPORATION #087</v>
      </c>
    </row>
    <row r="745" spans="1:9" x14ac:dyDescent="0.25">
      <c r="E745" s="7"/>
      <c r="F745" t="s">
        <v>20</v>
      </c>
      <c r="G745" s="10" t="s">
        <v>21</v>
      </c>
      <c r="H745" t="str">
        <f>"4066060282"</f>
        <v>4066060282</v>
      </c>
      <c r="I745" t="str">
        <f t="shared" si="11"/>
        <v>CINTAS CORPORATION #087</v>
      </c>
    </row>
    <row r="746" spans="1:9" x14ac:dyDescent="0.25">
      <c r="E746" s="7"/>
      <c r="F746" t="s">
        <v>20</v>
      </c>
      <c r="G746" s="10" t="s">
        <v>21</v>
      </c>
      <c r="H746" t="str">
        <f>"4066060312"</f>
        <v>4066060312</v>
      </c>
      <c r="I746" t="str">
        <f t="shared" si="11"/>
        <v>CINTAS CORPORATION #087</v>
      </c>
    </row>
    <row r="747" spans="1:9" x14ac:dyDescent="0.25">
      <c r="E747" s="7"/>
      <c r="F747" t="s">
        <v>20</v>
      </c>
      <c r="G747" s="10" t="s">
        <v>21</v>
      </c>
      <c r="H747" t="str">
        <f>"4066069281"</f>
        <v>4066069281</v>
      </c>
      <c r="I747" t="str">
        <f t="shared" si="11"/>
        <v>CINTAS CORPORATION #087</v>
      </c>
    </row>
    <row r="748" spans="1:9" x14ac:dyDescent="0.25">
      <c r="E748" s="7"/>
      <c r="F748" t="s">
        <v>20</v>
      </c>
      <c r="G748" s="10" t="s">
        <v>21</v>
      </c>
      <c r="H748" t="str">
        <f>"4066069363"</f>
        <v>4066069363</v>
      </c>
      <c r="I748" t="str">
        <f t="shared" si="11"/>
        <v>CINTAS CORPORATION #087</v>
      </c>
    </row>
    <row r="749" spans="1:9" x14ac:dyDescent="0.25">
      <c r="A749" s="6">
        <v>44145</v>
      </c>
      <c r="B749" t="s">
        <v>26</v>
      </c>
      <c r="C749">
        <v>65385</v>
      </c>
      <c r="D749" t="s">
        <v>661</v>
      </c>
      <c r="E749" s="7">
        <v>99</v>
      </c>
      <c r="F749" t="s">
        <v>20</v>
      </c>
      <c r="G749" s="10" t="s">
        <v>21</v>
      </c>
      <c r="H749" t="str">
        <f>"8404871864"</f>
        <v>8404871864</v>
      </c>
      <c r="I749" t="str">
        <f>"CINTAS FAS LOCKBOX 631025"</f>
        <v>CINTAS FAS LOCKBOX 631025</v>
      </c>
    </row>
    <row r="750" spans="1:9" x14ac:dyDescent="0.25">
      <c r="A750" s="6">
        <v>44145</v>
      </c>
      <c r="B750" t="s">
        <v>26</v>
      </c>
      <c r="C750">
        <v>65386</v>
      </c>
      <c r="D750" t="s">
        <v>58</v>
      </c>
      <c r="E750" s="7">
        <v>950</v>
      </c>
      <c r="F750" t="s">
        <v>20</v>
      </c>
      <c r="G750" s="10" t="s">
        <v>21</v>
      </c>
      <c r="H750" t="str">
        <f>"616148"</f>
        <v>616148</v>
      </c>
      <c r="I750" t="str">
        <f>"RABIES QUARATINE 901 PLUM"</f>
        <v>RABIES QUARATINE 901 PLUM</v>
      </c>
    </row>
    <row r="751" spans="1:9" x14ac:dyDescent="0.25">
      <c r="A751" s="6">
        <v>44145</v>
      </c>
      <c r="B751" t="s">
        <v>26</v>
      </c>
      <c r="C751">
        <v>65387</v>
      </c>
      <c r="D751" t="s">
        <v>77</v>
      </c>
      <c r="E751" s="7">
        <v>2017.96</v>
      </c>
      <c r="F751" t="s">
        <v>20</v>
      </c>
      <c r="G751" s="10" t="s">
        <v>21</v>
      </c>
      <c r="H751" t="str">
        <f>"857002135-20"</f>
        <v>857002135-20</v>
      </c>
      <c r="I751" t="str">
        <f>"CHLORINE"</f>
        <v>CHLORINE</v>
      </c>
    </row>
    <row r="752" spans="1:9" x14ac:dyDescent="0.25">
      <c r="E752" s="7"/>
      <c r="F752" t="s">
        <v>20</v>
      </c>
      <c r="G752" s="10" t="s">
        <v>21</v>
      </c>
      <c r="H752" t="str">
        <f>"857002161-20"</f>
        <v>857002161-20</v>
      </c>
      <c r="I752" t="str">
        <f>"CHLORINE"</f>
        <v>CHLORINE</v>
      </c>
    </row>
    <row r="753" spans="1:9" x14ac:dyDescent="0.25">
      <c r="E753" s="7"/>
      <c r="F753" t="s">
        <v>20</v>
      </c>
      <c r="G753" s="10" t="s">
        <v>21</v>
      </c>
      <c r="H753" t="str">
        <f>"857002162-20"</f>
        <v>857002162-20</v>
      </c>
      <c r="I753" t="str">
        <f>"CHLORINE"</f>
        <v>CHLORINE</v>
      </c>
    </row>
    <row r="754" spans="1:9" x14ac:dyDescent="0.25">
      <c r="A754" s="6">
        <v>44145</v>
      </c>
      <c r="B754" t="s">
        <v>26</v>
      </c>
      <c r="C754">
        <v>65388</v>
      </c>
      <c r="D754" t="s">
        <v>64</v>
      </c>
      <c r="E754" s="7">
        <v>2734</v>
      </c>
      <c r="F754" t="s">
        <v>20</v>
      </c>
      <c r="G754" s="10" t="s">
        <v>21</v>
      </c>
      <c r="H754" t="str">
        <f>"8283"</f>
        <v>8283</v>
      </c>
      <c r="I754" t="str">
        <f>"DREWA DESIGNS  INC."</f>
        <v>DREWA DESIGNS  INC.</v>
      </c>
    </row>
    <row r="755" spans="1:9" x14ac:dyDescent="0.25">
      <c r="A755" s="6">
        <v>44145</v>
      </c>
      <c r="B755" t="s">
        <v>26</v>
      </c>
      <c r="C755">
        <v>65389</v>
      </c>
      <c r="D755" t="s">
        <v>69</v>
      </c>
      <c r="E755" s="7">
        <v>271.49</v>
      </c>
      <c r="F755" t="s">
        <v>20</v>
      </c>
      <c r="G755" s="10" t="s">
        <v>21</v>
      </c>
      <c r="H755" t="str">
        <f>"3C03283"</f>
        <v>3C03283</v>
      </c>
      <c r="I755" t="str">
        <f>"MIRROR HEAD"</f>
        <v>MIRROR HEAD</v>
      </c>
    </row>
    <row r="756" spans="1:9" x14ac:dyDescent="0.25">
      <c r="E756" s="7"/>
      <c r="F756" t="s">
        <v>20</v>
      </c>
      <c r="G756" s="10" t="s">
        <v>21</v>
      </c>
      <c r="H756" t="str">
        <f>"3C03304"</f>
        <v>3C03304</v>
      </c>
      <c r="I756" t="str">
        <f>"HAND HELD UNITS FOR WW"</f>
        <v>HAND HELD UNITS FOR WW</v>
      </c>
    </row>
    <row r="757" spans="1:9" x14ac:dyDescent="0.25">
      <c r="A757" s="6">
        <v>44145</v>
      </c>
      <c r="B757" t="s">
        <v>26</v>
      </c>
      <c r="C757">
        <v>65390</v>
      </c>
      <c r="D757" t="s">
        <v>79</v>
      </c>
      <c r="E757" s="7">
        <v>24.46</v>
      </c>
      <c r="F757" t="s">
        <v>20</v>
      </c>
      <c r="G757" s="10" t="s">
        <v>21</v>
      </c>
      <c r="H757" t="str">
        <f>"7-093-59954"</f>
        <v>7-093-59954</v>
      </c>
      <c r="I757" t="str">
        <f>"FEDEX"</f>
        <v>FEDEX</v>
      </c>
    </row>
    <row r="758" spans="1:9" x14ac:dyDescent="0.25">
      <c r="E758" s="7"/>
      <c r="F758" t="s">
        <v>20</v>
      </c>
      <c r="G758" s="10" t="s">
        <v>21</v>
      </c>
      <c r="H758" t="str">
        <f>"7-152-37254"</f>
        <v>7-152-37254</v>
      </c>
      <c r="I758" t="str">
        <f>"FEDEX"</f>
        <v>FEDEX</v>
      </c>
    </row>
    <row r="759" spans="1:9" x14ac:dyDescent="0.25">
      <c r="E759" s="7"/>
      <c r="F759" t="s">
        <v>20</v>
      </c>
      <c r="G759" s="10" t="s">
        <v>21</v>
      </c>
      <c r="H759" t="str">
        <f>"7-158-37484"</f>
        <v>7-158-37484</v>
      </c>
      <c r="I759" t="str">
        <f>"FEDEX"</f>
        <v>FEDEX</v>
      </c>
    </row>
    <row r="760" spans="1:9" x14ac:dyDescent="0.25">
      <c r="A760" s="6">
        <v>44145</v>
      </c>
      <c r="B760" t="s">
        <v>26</v>
      </c>
      <c r="C760">
        <v>65391</v>
      </c>
      <c r="D760" t="s">
        <v>739</v>
      </c>
      <c r="E760" s="7">
        <v>827.25</v>
      </c>
      <c r="F760" t="s">
        <v>20</v>
      </c>
      <c r="G760" s="10" t="s">
        <v>21</v>
      </c>
      <c r="H760" t="str">
        <f>"5286X10272020"</f>
        <v>5286X10272020</v>
      </c>
      <c r="I760" t="str">
        <f>"FIRSTNET/AT&amp;T MOBILITY LLC"</f>
        <v>FIRSTNET/AT&amp;T MOBILITY LLC</v>
      </c>
    </row>
    <row r="761" spans="1:9" x14ac:dyDescent="0.25">
      <c r="A761" s="6">
        <v>44145</v>
      </c>
      <c r="B761" t="s">
        <v>26</v>
      </c>
      <c r="C761">
        <v>65392</v>
      </c>
      <c r="D761" t="s">
        <v>85</v>
      </c>
      <c r="E761" s="7">
        <v>2972.13</v>
      </c>
      <c r="F761" t="s">
        <v>20</v>
      </c>
      <c r="G761" s="10" t="s">
        <v>21</v>
      </c>
      <c r="H761" t="str">
        <f>"3934055 OCT.2020"</f>
        <v>3934055 OCT.2020</v>
      </c>
      <c r="I761" t="str">
        <f>"FRONTIER"</f>
        <v>FRONTIER</v>
      </c>
    </row>
    <row r="762" spans="1:9" x14ac:dyDescent="0.25">
      <c r="E762" s="7"/>
      <c r="F762" t="s">
        <v>20</v>
      </c>
      <c r="G762" s="10" t="s">
        <v>21</v>
      </c>
      <c r="H762" t="str">
        <f>"3937070 OCT.2020"</f>
        <v>3937070 OCT.2020</v>
      </c>
      <c r="I762" t="str">
        <f>"FRONTIER"</f>
        <v>FRONTIER</v>
      </c>
    </row>
    <row r="763" spans="1:9" x14ac:dyDescent="0.25">
      <c r="E763" s="7"/>
      <c r="F763" t="s">
        <v>20</v>
      </c>
      <c r="G763" s="10" t="s">
        <v>21</v>
      </c>
      <c r="H763" t="str">
        <f>"8301970025 OCT2020"</f>
        <v>8301970025 OCT2020</v>
      </c>
      <c r="I763" t="str">
        <f>"FRONTIER"</f>
        <v>FRONTIER</v>
      </c>
    </row>
    <row r="764" spans="1:9" x14ac:dyDescent="0.25">
      <c r="A764" s="6">
        <v>44145</v>
      </c>
      <c r="B764" t="s">
        <v>26</v>
      </c>
      <c r="C764">
        <v>65393</v>
      </c>
      <c r="D764" t="s">
        <v>194</v>
      </c>
      <c r="E764" s="7">
        <v>217.6</v>
      </c>
      <c r="F764" t="s">
        <v>20</v>
      </c>
      <c r="G764" s="10" t="s">
        <v>21</v>
      </c>
      <c r="H764" t="str">
        <f>"016690583"</f>
        <v>016690583</v>
      </c>
      <c r="I764" t="str">
        <f>"GALLS  LLC-D.B.A. STERLING'S U"</f>
        <v>GALLS  LLC-D.B.A. STERLING'S U</v>
      </c>
    </row>
    <row r="765" spans="1:9" x14ac:dyDescent="0.25">
      <c r="A765" s="6">
        <v>44145</v>
      </c>
      <c r="B765" t="s">
        <v>26</v>
      </c>
      <c r="C765">
        <v>65394</v>
      </c>
      <c r="D765" t="s">
        <v>1002</v>
      </c>
      <c r="E765" s="7">
        <v>1762.66</v>
      </c>
      <c r="F765" t="s">
        <v>20</v>
      </c>
      <c r="G765" s="10" t="s">
        <v>21</v>
      </c>
      <c r="H765" t="str">
        <f>"220361"</f>
        <v>220361</v>
      </c>
      <c r="I765" t="str">
        <f>"REPAIR ON VACUUM TRUCK"</f>
        <v>REPAIR ON VACUUM TRUCK</v>
      </c>
    </row>
    <row r="766" spans="1:9" x14ac:dyDescent="0.25">
      <c r="A766" s="6">
        <v>44145</v>
      </c>
      <c r="B766" t="s">
        <v>26</v>
      </c>
      <c r="C766">
        <v>65395</v>
      </c>
      <c r="D766" t="s">
        <v>1003</v>
      </c>
      <c r="E766" s="7">
        <v>25994.75</v>
      </c>
      <c r="F766" t="s">
        <v>20</v>
      </c>
      <c r="G766" s="10" t="s">
        <v>21</v>
      </c>
      <c r="H766" t="str">
        <f>"DG210117"</f>
        <v>DG210117</v>
      </c>
      <c r="I766" t="str">
        <f>"GUNN BUICK GMC  LTD"</f>
        <v>GUNN BUICK GMC  LTD</v>
      </c>
    </row>
    <row r="767" spans="1:9" x14ac:dyDescent="0.25">
      <c r="A767" s="6">
        <v>44145</v>
      </c>
      <c r="B767" t="s">
        <v>26</v>
      </c>
      <c r="C767">
        <v>65396</v>
      </c>
      <c r="D767" t="s">
        <v>561</v>
      </c>
      <c r="E767" s="7">
        <v>49</v>
      </c>
      <c r="F767" t="s">
        <v>20</v>
      </c>
      <c r="G767" s="10" t="s">
        <v>21</v>
      </c>
      <c r="H767" t="str">
        <f>"082329"</f>
        <v>082329</v>
      </c>
      <c r="I767" t="str">
        <f>"SUPPLIES/CITY ELECTIONS"</f>
        <v>SUPPLIES/CITY ELECTIONS</v>
      </c>
    </row>
    <row r="768" spans="1:9" x14ac:dyDescent="0.25">
      <c r="A768" s="6">
        <v>44145</v>
      </c>
      <c r="B768" t="s">
        <v>26</v>
      </c>
      <c r="C768">
        <v>65397</v>
      </c>
      <c r="D768" t="s">
        <v>398</v>
      </c>
      <c r="E768" s="7">
        <v>56.5</v>
      </c>
      <c r="F768" t="s">
        <v>20</v>
      </c>
      <c r="G768" s="10" t="s">
        <v>21</v>
      </c>
      <c r="H768" t="str">
        <f>"20201107"</f>
        <v>20201107</v>
      </c>
      <c r="I768" t="str">
        <f>"INTERCEPTOR TECHNOLOGY GROUP L"</f>
        <v>INTERCEPTOR TECHNOLOGY GROUP L</v>
      </c>
    </row>
    <row r="769" spans="1:9" x14ac:dyDescent="0.25">
      <c r="A769" s="6">
        <v>44145</v>
      </c>
      <c r="B769" t="s">
        <v>26</v>
      </c>
      <c r="C769">
        <v>65398</v>
      </c>
      <c r="D769" t="s">
        <v>95</v>
      </c>
      <c r="E769" s="7">
        <v>11.69</v>
      </c>
      <c r="F769" t="s">
        <v>20</v>
      </c>
      <c r="G769" s="10" t="s">
        <v>21</v>
      </c>
      <c r="H769" t="str">
        <f>"LEA202011038589"</f>
        <v>LEA202011038589</v>
      </c>
      <c r="I769" t="str">
        <f>"INSURANCE"</f>
        <v>INSURANCE</v>
      </c>
    </row>
    <row r="770" spans="1:9" x14ac:dyDescent="0.25">
      <c r="A770" s="6">
        <v>44145</v>
      </c>
      <c r="B770" t="s">
        <v>91</v>
      </c>
      <c r="C770">
        <v>65399</v>
      </c>
      <c r="D770" t="s">
        <v>96</v>
      </c>
      <c r="E770" s="7">
        <v>91.97</v>
      </c>
      <c r="F770" t="s">
        <v>20</v>
      </c>
      <c r="G770" s="10" t="s">
        <v>21</v>
      </c>
      <c r="H770" t="str">
        <f>"PPL202011038589"</f>
        <v>PPL202011038589</v>
      </c>
      <c r="I770" t="str">
        <f>"INSURANCE"</f>
        <v>INSURANCE</v>
      </c>
    </row>
    <row r="771" spans="1:9" x14ac:dyDescent="0.25">
      <c r="A771" s="6">
        <v>44145</v>
      </c>
      <c r="B771" t="s">
        <v>91</v>
      </c>
      <c r="C771">
        <v>65399</v>
      </c>
      <c r="D771" t="s">
        <v>96</v>
      </c>
      <c r="E771" s="7">
        <v>91.97</v>
      </c>
      <c r="F771" t="s">
        <v>20</v>
      </c>
      <c r="G771" s="10" t="s">
        <v>93</v>
      </c>
      <c r="H771" t="str">
        <f>"CHECK"</f>
        <v>CHECK</v>
      </c>
      <c r="I771" t="str">
        <f>""</f>
        <v/>
      </c>
    </row>
    <row r="772" spans="1:9" x14ac:dyDescent="0.25">
      <c r="A772" s="6">
        <v>44145</v>
      </c>
      <c r="B772" t="s">
        <v>26</v>
      </c>
      <c r="C772">
        <v>65400</v>
      </c>
      <c r="D772" t="s">
        <v>66</v>
      </c>
      <c r="E772" s="7">
        <v>50</v>
      </c>
      <c r="F772" t="s">
        <v>20</v>
      </c>
      <c r="G772" s="10" t="s">
        <v>21</v>
      </c>
      <c r="H772" t="str">
        <f>"59455"</f>
        <v>59455</v>
      </c>
      <c r="I772" t="str">
        <f>"LOPEZ EXTERMINATING SERVICE  I"</f>
        <v>LOPEZ EXTERMINATING SERVICE  I</v>
      </c>
    </row>
    <row r="773" spans="1:9" x14ac:dyDescent="0.25">
      <c r="A773" s="6">
        <v>44145</v>
      </c>
      <c r="B773" t="s">
        <v>26</v>
      </c>
      <c r="C773">
        <v>65401</v>
      </c>
      <c r="D773" t="s">
        <v>124</v>
      </c>
      <c r="E773" s="7">
        <v>587.11</v>
      </c>
      <c r="F773" t="s">
        <v>20</v>
      </c>
      <c r="G773" s="10" t="s">
        <v>21</v>
      </c>
      <c r="H773" t="str">
        <f>"11196243"</f>
        <v>11196243</v>
      </c>
      <c r="I773" t="str">
        <f>"WW PLANT MAINTENACE"</f>
        <v>WW PLANT MAINTENACE</v>
      </c>
    </row>
    <row r="774" spans="1:9" x14ac:dyDescent="0.25">
      <c r="E774" s="7"/>
      <c r="F774" t="s">
        <v>20</v>
      </c>
      <c r="G774" s="10" t="s">
        <v>21</v>
      </c>
      <c r="H774" t="str">
        <f>"11196546"</f>
        <v>11196546</v>
      </c>
      <c r="I774" t="str">
        <f>"WW PLANT SUPPLIES"</f>
        <v>WW PLANT SUPPLIES</v>
      </c>
    </row>
    <row r="775" spans="1:9" x14ac:dyDescent="0.25">
      <c r="E775" s="7"/>
      <c r="F775" t="s">
        <v>20</v>
      </c>
      <c r="G775" s="10" t="s">
        <v>21</v>
      </c>
      <c r="H775" t="str">
        <f>"11196658"</f>
        <v>11196658</v>
      </c>
      <c r="I775" t="str">
        <f>"TRAILER REPAIR"</f>
        <v>TRAILER REPAIR</v>
      </c>
    </row>
    <row r="776" spans="1:9" x14ac:dyDescent="0.25">
      <c r="A776" s="6">
        <v>44145</v>
      </c>
      <c r="B776" t="s">
        <v>26</v>
      </c>
      <c r="C776">
        <v>65402</v>
      </c>
      <c r="D776" t="s">
        <v>345</v>
      </c>
      <c r="E776" s="7">
        <v>231</v>
      </c>
      <c r="F776" t="s">
        <v>20</v>
      </c>
      <c r="G776" s="10" t="s">
        <v>21</v>
      </c>
      <c r="H776" t="str">
        <f>"11/9/2020"</f>
        <v>11/9/2020</v>
      </c>
      <c r="I776" t="str">
        <f>"MICHAEL ISAAC MARTINEZ"</f>
        <v>MICHAEL ISAAC MARTINEZ</v>
      </c>
    </row>
    <row r="777" spans="1:9" x14ac:dyDescent="0.25">
      <c r="A777" s="6">
        <v>44145</v>
      </c>
      <c r="B777" t="s">
        <v>26</v>
      </c>
      <c r="C777">
        <v>65403</v>
      </c>
      <c r="D777" t="s">
        <v>240</v>
      </c>
      <c r="E777" s="7">
        <v>1008.81</v>
      </c>
      <c r="F777" t="s">
        <v>20</v>
      </c>
      <c r="G777" s="10" t="s">
        <v>21</v>
      </c>
      <c r="H777" t="str">
        <f>"01990174-IN"</f>
        <v>01990174-IN</v>
      </c>
      <c r="I777" t="str">
        <f>"NARDIS PUBLIC SAFETY"</f>
        <v>NARDIS PUBLIC SAFETY</v>
      </c>
    </row>
    <row r="778" spans="1:9" x14ac:dyDescent="0.25">
      <c r="E778" s="7"/>
      <c r="F778" t="s">
        <v>20</v>
      </c>
      <c r="G778" s="10" t="s">
        <v>21</v>
      </c>
      <c r="H778" t="str">
        <f>"0199019-IN"</f>
        <v>0199019-IN</v>
      </c>
      <c r="I778" t="str">
        <f>"J.GUTIERREZ UNIFORM ALLOW"</f>
        <v>J.GUTIERREZ UNIFORM ALLOW</v>
      </c>
    </row>
    <row r="779" spans="1:9" x14ac:dyDescent="0.25">
      <c r="A779" s="6">
        <v>44145</v>
      </c>
      <c r="B779" t="s">
        <v>26</v>
      </c>
      <c r="C779">
        <v>65404</v>
      </c>
      <c r="D779" t="s">
        <v>123</v>
      </c>
      <c r="E779" s="7">
        <v>68.27</v>
      </c>
      <c r="F779" t="s">
        <v>20</v>
      </c>
      <c r="G779" s="10" t="s">
        <v>21</v>
      </c>
      <c r="H779" t="str">
        <f>"128105835002"</f>
        <v>128105835002</v>
      </c>
      <c r="I779" t="str">
        <f>"OFFICE SUPPLIES END OF YR"</f>
        <v>OFFICE SUPPLIES END OF YR</v>
      </c>
    </row>
    <row r="780" spans="1:9" x14ac:dyDescent="0.25">
      <c r="E780" s="7"/>
      <c r="F780" t="s">
        <v>20</v>
      </c>
      <c r="G780" s="10" t="s">
        <v>21</v>
      </c>
      <c r="H780" t="str">
        <f>"132057175001"</f>
        <v>132057175001</v>
      </c>
      <c r="I780" t="str">
        <f>"OFFICE SUPPLIES FOR WATER"</f>
        <v>OFFICE SUPPLIES FOR WATER</v>
      </c>
    </row>
    <row r="781" spans="1:9" x14ac:dyDescent="0.25">
      <c r="A781" s="6">
        <v>44145</v>
      </c>
      <c r="B781" t="s">
        <v>26</v>
      </c>
      <c r="C781">
        <v>65405</v>
      </c>
      <c r="D781" t="s">
        <v>137</v>
      </c>
      <c r="E781" s="7">
        <v>51.95</v>
      </c>
      <c r="F781" t="s">
        <v>20</v>
      </c>
      <c r="G781" s="10" t="s">
        <v>21</v>
      </c>
      <c r="H781" t="str">
        <f>"16288"</f>
        <v>16288</v>
      </c>
      <c r="I781" t="str">
        <f>"OMNIBUS-M  INC.D.B.A."</f>
        <v>OMNIBUS-M  INC.D.B.A.</v>
      </c>
    </row>
    <row r="782" spans="1:9" x14ac:dyDescent="0.25">
      <c r="A782" s="6">
        <v>44145</v>
      </c>
      <c r="B782" t="s">
        <v>26</v>
      </c>
      <c r="C782">
        <v>65406</v>
      </c>
      <c r="D782" t="s">
        <v>108</v>
      </c>
      <c r="E782" s="7">
        <v>1485.2</v>
      </c>
      <c r="F782" t="s">
        <v>20</v>
      </c>
      <c r="G782" s="10" t="s">
        <v>21</v>
      </c>
      <c r="H782" t="str">
        <f>"041295662481"</f>
        <v>041295662481</v>
      </c>
      <c r="I782" t="str">
        <f>"POOLSURE"</f>
        <v>POOLSURE</v>
      </c>
    </row>
    <row r="783" spans="1:9" x14ac:dyDescent="0.25">
      <c r="A783" s="6">
        <v>44145</v>
      </c>
      <c r="B783" t="s">
        <v>26</v>
      </c>
      <c r="C783">
        <v>65407</v>
      </c>
      <c r="D783" t="s">
        <v>62</v>
      </c>
      <c r="E783" s="7">
        <v>210</v>
      </c>
      <c r="F783" t="s">
        <v>20</v>
      </c>
      <c r="G783" s="10" t="s">
        <v>21</v>
      </c>
      <c r="H783" t="str">
        <f>"70604"</f>
        <v>70604</v>
      </c>
      <c r="I783" t="str">
        <f>"PROFICIENT BENEFIT SOLUTIONS"</f>
        <v>PROFICIENT BENEFIT SOLUTIONS</v>
      </c>
    </row>
    <row r="784" spans="1:9" x14ac:dyDescent="0.25">
      <c r="A784" s="6">
        <v>44145</v>
      </c>
      <c r="B784" t="s">
        <v>26</v>
      </c>
      <c r="C784">
        <v>65408</v>
      </c>
      <c r="D784" t="s">
        <v>528</v>
      </c>
      <c r="E784" s="7">
        <v>262.48</v>
      </c>
      <c r="F784" t="s">
        <v>20</v>
      </c>
      <c r="G784" s="10" t="s">
        <v>21</v>
      </c>
      <c r="H784" t="str">
        <f>"10304010*"</f>
        <v>10304010*</v>
      </c>
      <c r="I784" t="str">
        <f>"PROSTAR SERVICES INC"</f>
        <v>PROSTAR SERVICES INC</v>
      </c>
    </row>
    <row r="785" spans="1:9" x14ac:dyDescent="0.25">
      <c r="E785" s="7"/>
      <c r="F785" t="s">
        <v>20</v>
      </c>
      <c r="G785" s="10" t="s">
        <v>21</v>
      </c>
      <c r="H785" t="str">
        <f>"10425918"</f>
        <v>10425918</v>
      </c>
      <c r="I785" t="str">
        <f>"PROSTAR SERVICES INC"</f>
        <v>PROSTAR SERVICES INC</v>
      </c>
    </row>
    <row r="786" spans="1:9" x14ac:dyDescent="0.25">
      <c r="A786" s="6">
        <v>44145</v>
      </c>
      <c r="B786" t="s">
        <v>26</v>
      </c>
      <c r="C786">
        <v>65409</v>
      </c>
      <c r="D786" t="s">
        <v>131</v>
      </c>
      <c r="E786" s="7">
        <v>647.73</v>
      </c>
      <c r="F786" t="s">
        <v>20</v>
      </c>
      <c r="G786" s="10" t="s">
        <v>21</v>
      </c>
      <c r="H786" t="str">
        <f>"054536"</f>
        <v>054536</v>
      </c>
      <c r="I786" t="str">
        <f>"WW PLANT MAINTENANCE"</f>
        <v>WW PLANT MAINTENANCE</v>
      </c>
    </row>
    <row r="787" spans="1:9" x14ac:dyDescent="0.25">
      <c r="E787" s="7"/>
      <c r="F787" t="s">
        <v>20</v>
      </c>
      <c r="G787" s="10" t="s">
        <v>21</v>
      </c>
      <c r="H787" t="str">
        <f>"054580"</f>
        <v>054580</v>
      </c>
      <c r="I787" t="str">
        <f>"WW TOOLS FOR PLANT MAINTE"</f>
        <v>WW TOOLS FOR PLANT MAINTE</v>
      </c>
    </row>
    <row r="788" spans="1:9" x14ac:dyDescent="0.25">
      <c r="E788" s="7"/>
      <c r="F788" t="s">
        <v>20</v>
      </c>
      <c r="G788" s="10" t="s">
        <v>21</v>
      </c>
      <c r="H788" t="str">
        <f>"054746"</f>
        <v>054746</v>
      </c>
      <c r="I788" t="str">
        <f>"WATER DEPT UNIT 103"</f>
        <v>WATER DEPT UNIT 103</v>
      </c>
    </row>
    <row r="789" spans="1:9" x14ac:dyDescent="0.25">
      <c r="E789" s="7"/>
      <c r="F789" t="s">
        <v>20</v>
      </c>
      <c r="G789" s="10" t="s">
        <v>21</v>
      </c>
      <c r="H789" t="str">
        <f>"054810"</f>
        <v>054810</v>
      </c>
      <c r="I789" t="str">
        <f>"PARKS DEPT REPAIR"</f>
        <v>PARKS DEPT REPAIR</v>
      </c>
    </row>
    <row r="790" spans="1:9" x14ac:dyDescent="0.25">
      <c r="A790" s="6">
        <v>44145</v>
      </c>
      <c r="B790" t="s">
        <v>26</v>
      </c>
      <c r="C790">
        <v>65411</v>
      </c>
      <c r="D790" t="s">
        <v>126</v>
      </c>
      <c r="E790" s="7">
        <v>85914.26</v>
      </c>
      <c r="F790" t="s">
        <v>20</v>
      </c>
      <c r="G790" s="10" t="s">
        <v>21</v>
      </c>
      <c r="H790" t="str">
        <f>"0859-002687783"</f>
        <v>0859-002687783</v>
      </c>
      <c r="I790" t="str">
        <f>"REPUBLIC SERVICES #859"</f>
        <v>REPUBLIC SERVICES #859</v>
      </c>
    </row>
    <row r="791" spans="1:9" x14ac:dyDescent="0.25">
      <c r="A791" s="6">
        <v>44145</v>
      </c>
      <c r="B791" t="s">
        <v>26</v>
      </c>
      <c r="C791">
        <v>65412</v>
      </c>
      <c r="D791" t="s">
        <v>273</v>
      </c>
      <c r="E791" s="7">
        <v>4107.24</v>
      </c>
      <c r="F791" t="s">
        <v>20</v>
      </c>
      <c r="G791" s="10" t="s">
        <v>21</v>
      </c>
      <c r="H791" t="str">
        <f>"5119-000095163"</f>
        <v>5119-000095163</v>
      </c>
      <c r="I791" t="str">
        <f>"REPUBLIC SERVICES TESSMAN ROAD"</f>
        <v>REPUBLIC SERVICES TESSMAN ROAD</v>
      </c>
    </row>
    <row r="792" spans="1:9" x14ac:dyDescent="0.25">
      <c r="A792" s="6">
        <v>44145</v>
      </c>
      <c r="B792" t="s">
        <v>26</v>
      </c>
      <c r="C792">
        <v>65413</v>
      </c>
      <c r="D792" t="s">
        <v>630</v>
      </c>
      <c r="E792" s="7">
        <v>24450</v>
      </c>
      <c r="F792" t="s">
        <v>20</v>
      </c>
      <c r="G792" s="10" t="s">
        <v>21</v>
      </c>
      <c r="H792" t="str">
        <f>"30762"</f>
        <v>30762</v>
      </c>
      <c r="I792" t="str">
        <f>"RIVERBEND METERS"</f>
        <v>RIVERBEND METERS</v>
      </c>
    </row>
    <row r="793" spans="1:9" x14ac:dyDescent="0.25">
      <c r="E793" s="7"/>
      <c r="F793" t="s">
        <v>20</v>
      </c>
      <c r="G793" s="10" t="s">
        <v>21</v>
      </c>
      <c r="H793" t="str">
        <f>"30763"</f>
        <v>30763</v>
      </c>
      <c r="I793" t="str">
        <f>"RIVERBEND SUB"</f>
        <v>RIVERBEND SUB</v>
      </c>
    </row>
    <row r="794" spans="1:9" x14ac:dyDescent="0.25">
      <c r="E794" s="7"/>
      <c r="F794" t="s">
        <v>20</v>
      </c>
      <c r="G794" s="10" t="s">
        <v>21</v>
      </c>
      <c r="H794" t="str">
        <f>"30764"</f>
        <v>30764</v>
      </c>
      <c r="I794" t="str">
        <f>"METERS FOR STOCK"</f>
        <v>METERS FOR STOCK</v>
      </c>
    </row>
    <row r="795" spans="1:9" x14ac:dyDescent="0.25">
      <c r="A795" s="6">
        <v>44145</v>
      </c>
      <c r="B795" t="s">
        <v>26</v>
      </c>
      <c r="C795">
        <v>65414</v>
      </c>
      <c r="D795" t="s">
        <v>945</v>
      </c>
      <c r="E795" s="7">
        <v>216</v>
      </c>
      <c r="F795" t="s">
        <v>20</v>
      </c>
      <c r="G795" s="10" t="s">
        <v>21</v>
      </c>
      <c r="H795" t="str">
        <f>"4710082581"</f>
        <v>4710082581</v>
      </c>
      <c r="I795" t="str">
        <f>"STREET-SWEEPER REPAIR"</f>
        <v>STREET-SWEEPER REPAIR</v>
      </c>
    </row>
    <row r="796" spans="1:9" x14ac:dyDescent="0.25">
      <c r="E796" s="7"/>
      <c r="F796" t="s">
        <v>20</v>
      </c>
      <c r="G796" s="10" t="s">
        <v>21</v>
      </c>
      <c r="H796" t="str">
        <f>"4710083330"</f>
        <v>4710083330</v>
      </c>
      <c r="I796" t="str">
        <f>"TRLMASTER ST RWL"</f>
        <v>TRLMASTER ST RWL</v>
      </c>
    </row>
    <row r="797" spans="1:9" x14ac:dyDescent="0.25">
      <c r="A797" s="6">
        <v>44145</v>
      </c>
      <c r="B797" t="s">
        <v>26</v>
      </c>
      <c r="C797">
        <v>65415</v>
      </c>
      <c r="D797" t="s">
        <v>339</v>
      </c>
      <c r="E797" s="7">
        <v>5171.5200000000004</v>
      </c>
      <c r="F797" t="s">
        <v>20</v>
      </c>
      <c r="G797" s="10" t="s">
        <v>21</v>
      </c>
      <c r="H797" t="str">
        <f>"820785"</f>
        <v>820785</v>
      </c>
      <c r="I797" t="str">
        <f>"SOUTHWEST PUBLIC SAFETY"</f>
        <v>SOUTHWEST PUBLIC SAFETY</v>
      </c>
    </row>
    <row r="798" spans="1:9" x14ac:dyDescent="0.25">
      <c r="E798" s="7"/>
      <c r="F798" t="s">
        <v>20</v>
      </c>
      <c r="G798" s="10" t="s">
        <v>21</v>
      </c>
      <c r="H798" t="str">
        <f>"821469"</f>
        <v>821469</v>
      </c>
      <c r="I798" t="str">
        <f>"SOUTHWEST PUBLIC SAFETY"</f>
        <v>SOUTHWEST PUBLIC SAFETY</v>
      </c>
    </row>
    <row r="799" spans="1:9" x14ac:dyDescent="0.25">
      <c r="A799" s="6">
        <v>44145</v>
      </c>
      <c r="B799" t="s">
        <v>26</v>
      </c>
      <c r="C799">
        <v>65416</v>
      </c>
      <c r="D799" t="s">
        <v>148</v>
      </c>
      <c r="E799" s="7">
        <v>7057.85</v>
      </c>
      <c r="F799" t="s">
        <v>20</v>
      </c>
      <c r="G799" s="10" t="s">
        <v>21</v>
      </c>
      <c r="H799" t="str">
        <f>"CWQ0062814"</f>
        <v>CWQ0062814</v>
      </c>
      <c r="I799" t="str">
        <f>"TEXAS COMMISSION ON ENVIRONMEN"</f>
        <v>TEXAS COMMISSION ON ENVIRONMEN</v>
      </c>
    </row>
    <row r="800" spans="1:9" x14ac:dyDescent="0.25">
      <c r="E800" s="7"/>
      <c r="F800" t="s">
        <v>20</v>
      </c>
      <c r="G800" s="10" t="s">
        <v>21</v>
      </c>
      <c r="H800" t="str">
        <f>"STX0047229"</f>
        <v>STX0047229</v>
      </c>
      <c r="I800" t="str">
        <f>"TEXAS COMMISSION ON ENVIRONMEN"</f>
        <v>TEXAS COMMISSION ON ENVIRONMEN</v>
      </c>
    </row>
    <row r="801" spans="1:9" x14ac:dyDescent="0.25">
      <c r="E801" s="7"/>
      <c r="F801" t="s">
        <v>20</v>
      </c>
      <c r="G801" s="10" t="s">
        <v>21</v>
      </c>
      <c r="H801" t="str">
        <f>"STX0047230"</f>
        <v>STX0047230</v>
      </c>
      <c r="I801" t="str">
        <f>"TEXAS COMMISSION ON ENVIRONMEN"</f>
        <v>TEXAS COMMISSION ON ENVIRONMEN</v>
      </c>
    </row>
    <row r="802" spans="1:9" x14ac:dyDescent="0.25">
      <c r="A802" s="6">
        <v>44145</v>
      </c>
      <c r="B802" t="s">
        <v>26</v>
      </c>
      <c r="C802">
        <v>65417</v>
      </c>
      <c r="D802" t="s">
        <v>691</v>
      </c>
      <c r="E802" s="7">
        <v>110</v>
      </c>
      <c r="F802" t="s">
        <v>20</v>
      </c>
      <c r="G802" s="10" t="s">
        <v>21</v>
      </c>
      <c r="H802" t="str">
        <f>"RENEWAL"</f>
        <v>RENEWAL</v>
      </c>
      <c r="I802" t="str">
        <f>"TEXAS WATER UTILITIES ASSOCIAT"</f>
        <v>TEXAS WATER UTILITIES ASSOCIAT</v>
      </c>
    </row>
    <row r="803" spans="1:9" x14ac:dyDescent="0.25">
      <c r="A803" s="6">
        <v>44145</v>
      </c>
      <c r="B803" t="s">
        <v>26</v>
      </c>
      <c r="C803">
        <v>65418</v>
      </c>
      <c r="D803" t="s">
        <v>554</v>
      </c>
      <c r="E803" s="7">
        <v>74.95</v>
      </c>
      <c r="F803" t="s">
        <v>20</v>
      </c>
      <c r="G803" s="10" t="s">
        <v>21</v>
      </c>
      <c r="H803" t="str">
        <f>"AB05274"</f>
        <v>AB05274</v>
      </c>
      <c r="I803" t="str">
        <f>"TEXAS WIRED MUSIC"</f>
        <v>TEXAS WIRED MUSIC</v>
      </c>
    </row>
    <row r="804" spans="1:9" x14ac:dyDescent="0.25">
      <c r="A804" s="6">
        <v>44145</v>
      </c>
      <c r="B804" t="s">
        <v>26</v>
      </c>
      <c r="C804">
        <v>65419</v>
      </c>
      <c r="D804" t="s">
        <v>415</v>
      </c>
      <c r="E804" s="7">
        <v>683.76</v>
      </c>
      <c r="F804" t="s">
        <v>20</v>
      </c>
      <c r="G804" s="10" t="s">
        <v>21</v>
      </c>
      <c r="H804" t="str">
        <f>"20027623"</f>
        <v>20027623</v>
      </c>
      <c r="I804" t="str">
        <f>"DOOR REPAIRS"</f>
        <v>DOOR REPAIRS</v>
      </c>
    </row>
    <row r="805" spans="1:9" x14ac:dyDescent="0.25">
      <c r="A805" s="6">
        <v>44145</v>
      </c>
      <c r="B805" t="s">
        <v>26</v>
      </c>
      <c r="C805">
        <v>65420</v>
      </c>
      <c r="D805" t="s">
        <v>75</v>
      </c>
      <c r="E805" s="7">
        <v>279.97000000000003</v>
      </c>
      <c r="F805" t="s">
        <v>20</v>
      </c>
      <c r="G805" s="10" t="s">
        <v>21</v>
      </c>
      <c r="H805" t="str">
        <f>"8184  11.24.2020"</f>
        <v>8184  11.24.2020</v>
      </c>
      <c r="I805" t="str">
        <f>"WEED KILLER"</f>
        <v>WEED KILLER</v>
      </c>
    </row>
    <row r="806" spans="1:9" x14ac:dyDescent="0.25">
      <c r="E806" s="7"/>
      <c r="F806" t="s">
        <v>20</v>
      </c>
      <c r="G806" s="10" t="s">
        <v>21</v>
      </c>
      <c r="H806" t="str">
        <f>"8184 11/24/2020"</f>
        <v>8184 11/24/2020</v>
      </c>
      <c r="I806" t="str">
        <f>"WATER DEPT- BOOTS"</f>
        <v>WATER DEPT- BOOTS</v>
      </c>
    </row>
    <row r="807" spans="1:9" x14ac:dyDescent="0.25">
      <c r="A807" s="6">
        <v>44145</v>
      </c>
      <c r="B807" t="s">
        <v>26</v>
      </c>
      <c r="C807">
        <v>65421</v>
      </c>
      <c r="D807" t="s">
        <v>698</v>
      </c>
      <c r="E807" s="7">
        <v>70</v>
      </c>
      <c r="F807" t="s">
        <v>20</v>
      </c>
      <c r="G807" s="10" t="s">
        <v>21</v>
      </c>
      <c r="H807" t="str">
        <f>"11/7/2020"</f>
        <v>11/7/2020</v>
      </c>
      <c r="I807" t="str">
        <f>"TRACY ORTIZ"</f>
        <v>TRACY ORTIZ</v>
      </c>
    </row>
    <row r="808" spans="1:9" x14ac:dyDescent="0.25">
      <c r="A808" s="6">
        <v>44145</v>
      </c>
      <c r="B808" t="s">
        <v>26</v>
      </c>
      <c r="C808">
        <v>65422</v>
      </c>
      <c r="D808" t="s">
        <v>61</v>
      </c>
      <c r="E808" s="7">
        <v>3508</v>
      </c>
      <c r="F808" t="s">
        <v>20</v>
      </c>
      <c r="G808" s="10" t="s">
        <v>21</v>
      </c>
      <c r="H808" t="str">
        <f>"025-312951"</f>
        <v>025-312951</v>
      </c>
      <c r="I808" t="str">
        <f>"TYLER TECHNOLOGIES  INC."</f>
        <v>TYLER TECHNOLOGIES  INC.</v>
      </c>
    </row>
    <row r="809" spans="1:9" x14ac:dyDescent="0.25">
      <c r="E809" s="7"/>
      <c r="F809" t="s">
        <v>20</v>
      </c>
      <c r="G809" s="10" t="s">
        <v>21</v>
      </c>
      <c r="H809" t="str">
        <f>"025-313301"</f>
        <v>025-313301</v>
      </c>
      <c r="I809" t="str">
        <f>"TYLER TECHNOLOGIES  INC."</f>
        <v>TYLER TECHNOLOGIES  INC.</v>
      </c>
    </row>
    <row r="810" spans="1:9" x14ac:dyDescent="0.25">
      <c r="E810" s="7"/>
      <c r="F810" t="s">
        <v>20</v>
      </c>
      <c r="G810" s="10" t="s">
        <v>21</v>
      </c>
      <c r="H810" t="str">
        <f>"025-313791"</f>
        <v>025-313791</v>
      </c>
      <c r="I810" t="str">
        <f>"TYLER TECHNOLOGIES  INC."</f>
        <v>TYLER TECHNOLOGIES  INC.</v>
      </c>
    </row>
    <row r="811" spans="1:9" x14ac:dyDescent="0.25">
      <c r="A811" s="6">
        <v>44145</v>
      </c>
      <c r="B811" t="s">
        <v>26</v>
      </c>
      <c r="C811">
        <v>65423</v>
      </c>
      <c r="D811" t="s">
        <v>644</v>
      </c>
      <c r="E811" s="7">
        <v>934.73</v>
      </c>
      <c r="F811" t="s">
        <v>20</v>
      </c>
      <c r="G811" s="10" t="s">
        <v>21</v>
      </c>
      <c r="H811" t="str">
        <f>"8213522054"</f>
        <v>8213522054</v>
      </c>
      <c r="I811" t="str">
        <f t="shared" ref="I811:I824" si="12">"UNIFIRST CORPORATION"</f>
        <v>UNIFIRST CORPORATION</v>
      </c>
    </row>
    <row r="812" spans="1:9" x14ac:dyDescent="0.25">
      <c r="E812" s="7"/>
      <c r="F812" t="s">
        <v>20</v>
      </c>
      <c r="G812" s="10" t="s">
        <v>21</v>
      </c>
      <c r="H812" t="str">
        <f>"8213522055"</f>
        <v>8213522055</v>
      </c>
      <c r="I812" t="str">
        <f t="shared" si="12"/>
        <v>UNIFIRST CORPORATION</v>
      </c>
    </row>
    <row r="813" spans="1:9" x14ac:dyDescent="0.25">
      <c r="E813" s="7"/>
      <c r="F813" t="s">
        <v>20</v>
      </c>
      <c r="G813" s="10" t="s">
        <v>21</v>
      </c>
      <c r="H813" t="str">
        <f>"8213522056"</f>
        <v>8213522056</v>
      </c>
      <c r="I813" t="str">
        <f t="shared" si="12"/>
        <v>UNIFIRST CORPORATION</v>
      </c>
    </row>
    <row r="814" spans="1:9" x14ac:dyDescent="0.25">
      <c r="E814" s="7"/>
      <c r="F814" t="s">
        <v>20</v>
      </c>
      <c r="G814" s="10" t="s">
        <v>21</v>
      </c>
      <c r="H814" t="str">
        <f>"8213522057"</f>
        <v>8213522057</v>
      </c>
      <c r="I814" t="str">
        <f t="shared" si="12"/>
        <v>UNIFIRST CORPORATION</v>
      </c>
    </row>
    <row r="815" spans="1:9" x14ac:dyDescent="0.25">
      <c r="E815" s="7"/>
      <c r="F815" t="s">
        <v>20</v>
      </c>
      <c r="G815" s="10" t="s">
        <v>21</v>
      </c>
      <c r="H815" t="str">
        <f>"8213522058"</f>
        <v>8213522058</v>
      </c>
      <c r="I815" t="str">
        <f t="shared" si="12"/>
        <v>UNIFIRST CORPORATION</v>
      </c>
    </row>
    <row r="816" spans="1:9" x14ac:dyDescent="0.25">
      <c r="E816" s="7"/>
      <c r="F816" t="s">
        <v>20</v>
      </c>
      <c r="G816" s="10" t="s">
        <v>21</v>
      </c>
      <c r="H816" t="str">
        <f>"8213522059"</f>
        <v>8213522059</v>
      </c>
      <c r="I816" t="str">
        <f t="shared" si="12"/>
        <v>UNIFIRST CORPORATION</v>
      </c>
    </row>
    <row r="817" spans="1:9" x14ac:dyDescent="0.25">
      <c r="E817" s="7"/>
      <c r="F817" t="s">
        <v>20</v>
      </c>
      <c r="G817" s="10" t="s">
        <v>21</v>
      </c>
      <c r="H817" t="str">
        <f>"8213522060"</f>
        <v>8213522060</v>
      </c>
      <c r="I817" t="str">
        <f t="shared" si="12"/>
        <v>UNIFIRST CORPORATION</v>
      </c>
    </row>
    <row r="818" spans="1:9" x14ac:dyDescent="0.25">
      <c r="E818" s="7"/>
      <c r="F818" t="s">
        <v>20</v>
      </c>
      <c r="G818" s="10" t="s">
        <v>21</v>
      </c>
      <c r="H818" t="str">
        <f>"8213524658"</f>
        <v>8213524658</v>
      </c>
      <c r="I818" t="str">
        <f t="shared" si="12"/>
        <v>UNIFIRST CORPORATION</v>
      </c>
    </row>
    <row r="819" spans="1:9" x14ac:dyDescent="0.25">
      <c r="E819" s="7"/>
      <c r="F819" t="s">
        <v>20</v>
      </c>
      <c r="G819" s="10" t="s">
        <v>21</v>
      </c>
      <c r="H819" t="str">
        <f>"8213524659"</f>
        <v>8213524659</v>
      </c>
      <c r="I819" t="str">
        <f t="shared" si="12"/>
        <v>UNIFIRST CORPORATION</v>
      </c>
    </row>
    <row r="820" spans="1:9" x14ac:dyDescent="0.25">
      <c r="E820" s="7"/>
      <c r="F820" t="s">
        <v>20</v>
      </c>
      <c r="G820" s="10" t="s">
        <v>21</v>
      </c>
      <c r="H820" t="str">
        <f>"8213524660"</f>
        <v>8213524660</v>
      </c>
      <c r="I820" t="str">
        <f t="shared" si="12"/>
        <v>UNIFIRST CORPORATION</v>
      </c>
    </row>
    <row r="821" spans="1:9" x14ac:dyDescent="0.25">
      <c r="E821" s="7"/>
      <c r="F821" t="s">
        <v>20</v>
      </c>
      <c r="G821" s="10" t="s">
        <v>21</v>
      </c>
      <c r="H821" t="str">
        <f>"8213524661"</f>
        <v>8213524661</v>
      </c>
      <c r="I821" t="str">
        <f t="shared" si="12"/>
        <v>UNIFIRST CORPORATION</v>
      </c>
    </row>
    <row r="822" spans="1:9" x14ac:dyDescent="0.25">
      <c r="E822" s="7"/>
      <c r="F822" t="s">
        <v>20</v>
      </c>
      <c r="G822" s="10" t="s">
        <v>21</v>
      </c>
      <c r="H822" t="str">
        <f>"8213524662"</f>
        <v>8213524662</v>
      </c>
      <c r="I822" t="str">
        <f t="shared" si="12"/>
        <v>UNIFIRST CORPORATION</v>
      </c>
    </row>
    <row r="823" spans="1:9" x14ac:dyDescent="0.25">
      <c r="E823" s="7"/>
      <c r="F823" t="s">
        <v>20</v>
      </c>
      <c r="G823" s="10" t="s">
        <v>21</v>
      </c>
      <c r="H823" t="str">
        <f>"8213524663"</f>
        <v>8213524663</v>
      </c>
      <c r="I823" t="str">
        <f t="shared" si="12"/>
        <v>UNIFIRST CORPORATION</v>
      </c>
    </row>
    <row r="824" spans="1:9" x14ac:dyDescent="0.25">
      <c r="E824" s="7"/>
      <c r="F824" t="s">
        <v>20</v>
      </c>
      <c r="G824" s="10" t="s">
        <v>21</v>
      </c>
      <c r="H824" t="str">
        <f>"8213524664"</f>
        <v>8213524664</v>
      </c>
      <c r="I824" t="str">
        <f t="shared" si="12"/>
        <v>UNIFIRST CORPORATION</v>
      </c>
    </row>
    <row r="825" spans="1:9" x14ac:dyDescent="0.25">
      <c r="A825" s="6">
        <v>44145</v>
      </c>
      <c r="B825" t="s">
        <v>26</v>
      </c>
      <c r="C825">
        <v>65426</v>
      </c>
      <c r="D825" t="s">
        <v>203</v>
      </c>
      <c r="E825" s="7">
        <v>188.06</v>
      </c>
      <c r="F825" t="s">
        <v>20</v>
      </c>
      <c r="G825" s="10" t="s">
        <v>21</v>
      </c>
      <c r="H825" t="str">
        <f>"394712"</f>
        <v>394712</v>
      </c>
      <c r="I825" t="str">
        <f>"WW PLANT SUPPLIES"</f>
        <v>WW PLANT SUPPLIES</v>
      </c>
    </row>
    <row r="826" spans="1:9" x14ac:dyDescent="0.25">
      <c r="E826" s="7"/>
      <c r="F826" t="s">
        <v>20</v>
      </c>
      <c r="G826" s="10" t="s">
        <v>21</v>
      </c>
      <c r="H826" t="str">
        <f>"401908"</f>
        <v>401908</v>
      </c>
      <c r="I826" t="str">
        <f>"WW PLANT SUPPLIES"</f>
        <v>WW PLANT SUPPLIES</v>
      </c>
    </row>
    <row r="827" spans="1:9" x14ac:dyDescent="0.25">
      <c r="A827" s="6">
        <v>44145</v>
      </c>
      <c r="B827" t="s">
        <v>26</v>
      </c>
      <c r="C827">
        <v>65427</v>
      </c>
      <c r="D827" t="s">
        <v>74</v>
      </c>
      <c r="E827" s="7">
        <v>2839.13</v>
      </c>
      <c r="F827" t="s">
        <v>20</v>
      </c>
      <c r="G827" s="10" t="s">
        <v>21</v>
      </c>
      <c r="H827" t="str">
        <f>"9865607703"</f>
        <v>9865607703</v>
      </c>
      <c r="I827" t="str">
        <f>"VERIZON WIRELESS"</f>
        <v>VERIZON WIRELESS</v>
      </c>
    </row>
    <row r="828" spans="1:9" x14ac:dyDescent="0.25">
      <c r="E828" s="7"/>
      <c r="F828" t="s">
        <v>20</v>
      </c>
      <c r="G828" s="10" t="s">
        <v>21</v>
      </c>
      <c r="H828" t="str">
        <f>"9865607704"</f>
        <v>9865607704</v>
      </c>
      <c r="I828" t="str">
        <f>"VERIZON WIRELESS"</f>
        <v>VERIZON WIRELESS</v>
      </c>
    </row>
    <row r="829" spans="1:9" x14ac:dyDescent="0.25">
      <c r="A829" s="6">
        <v>44145</v>
      </c>
      <c r="B829" t="s">
        <v>26</v>
      </c>
      <c r="C829">
        <v>65429</v>
      </c>
      <c r="D829" t="s">
        <v>122</v>
      </c>
      <c r="E829" s="7">
        <v>20</v>
      </c>
      <c r="F829" t="s">
        <v>20</v>
      </c>
      <c r="G829" s="10" t="s">
        <v>21</v>
      </c>
      <c r="H829" t="str">
        <f>"54712891"</f>
        <v>54712891</v>
      </c>
      <c r="I829" t="str">
        <f>"VILLA TIRES"</f>
        <v>VILLA TIRES</v>
      </c>
    </row>
    <row r="830" spans="1:9" x14ac:dyDescent="0.25">
      <c r="E830" s="7"/>
      <c r="F830" t="s">
        <v>20</v>
      </c>
      <c r="G830" s="10" t="s">
        <v>21</v>
      </c>
      <c r="H830" t="str">
        <f>"54712895"</f>
        <v>54712895</v>
      </c>
      <c r="I830" t="str">
        <f>"VILLA TIRES"</f>
        <v>VILLA TIRES</v>
      </c>
    </row>
    <row r="831" spans="1:9" x14ac:dyDescent="0.25">
      <c r="A831" s="6">
        <v>44145</v>
      </c>
      <c r="B831" t="s">
        <v>26</v>
      </c>
      <c r="C831">
        <v>65430</v>
      </c>
      <c r="D831" t="s">
        <v>104</v>
      </c>
      <c r="E831" s="7">
        <v>855.82</v>
      </c>
      <c r="F831" t="s">
        <v>20</v>
      </c>
      <c r="G831" s="10" t="s">
        <v>21</v>
      </c>
      <c r="H831" t="str">
        <f>"5346"</f>
        <v>5346</v>
      </c>
      <c r="I831" t="str">
        <f>"WILSON COUNTY NEWS"</f>
        <v>WILSON COUNTY NEWS</v>
      </c>
    </row>
    <row r="832" spans="1:9" x14ac:dyDescent="0.25">
      <c r="E832" s="7"/>
      <c r="F832" t="s">
        <v>20</v>
      </c>
      <c r="G832" s="10" t="s">
        <v>21</v>
      </c>
      <c r="H832" t="str">
        <f>"5572"</f>
        <v>5572</v>
      </c>
      <c r="I832" t="str">
        <f>"WILSON COUNTY NEWS"</f>
        <v>WILSON COUNTY NEWS</v>
      </c>
    </row>
    <row r="833" spans="1:9" x14ac:dyDescent="0.25">
      <c r="A833" s="6">
        <v>44145</v>
      </c>
      <c r="B833" t="s">
        <v>26</v>
      </c>
      <c r="C833">
        <v>65431</v>
      </c>
      <c r="D833" t="s">
        <v>1003</v>
      </c>
      <c r="E833" s="7">
        <v>25994.75</v>
      </c>
      <c r="F833" t="s">
        <v>20</v>
      </c>
      <c r="G833" s="10" t="s">
        <v>21</v>
      </c>
      <c r="H833" t="str">
        <f>"DG210118"</f>
        <v>DG210118</v>
      </c>
      <c r="I833" t="str">
        <f>"GUNN BUICK GMC  LTD"</f>
        <v>GUNN BUICK GMC  LTD</v>
      </c>
    </row>
    <row r="834" spans="1:9" x14ac:dyDescent="0.25">
      <c r="A834" s="6">
        <v>44145</v>
      </c>
      <c r="B834" t="s">
        <v>26</v>
      </c>
      <c r="C834">
        <v>65432</v>
      </c>
      <c r="D834" t="s">
        <v>1003</v>
      </c>
      <c r="E834" s="7">
        <v>77217</v>
      </c>
      <c r="F834" t="s">
        <v>20</v>
      </c>
      <c r="G834" s="10" t="s">
        <v>21</v>
      </c>
      <c r="H834" t="str">
        <f>"DG210175"</f>
        <v>DG210175</v>
      </c>
      <c r="I834" t="str">
        <f>"GUNN BUICK GMC  LTD"</f>
        <v>GUNN BUICK GMC  LTD</v>
      </c>
    </row>
    <row r="835" spans="1:9" x14ac:dyDescent="0.25">
      <c r="A835" s="6">
        <v>44147</v>
      </c>
      <c r="B835" t="s">
        <v>26</v>
      </c>
      <c r="C835">
        <v>65433</v>
      </c>
      <c r="D835" t="s">
        <v>125</v>
      </c>
      <c r="E835" s="7">
        <v>3510</v>
      </c>
      <c r="F835" t="s">
        <v>20</v>
      </c>
      <c r="G835" s="10" t="s">
        <v>21</v>
      </c>
      <c r="H835" t="str">
        <f>"20-0711 OCT.2020"</f>
        <v>20-0711 OCT.2020</v>
      </c>
      <c r="I835" t="str">
        <f>"INTREPID SURVEYING CORPORATION"</f>
        <v>INTREPID SURVEYING CORPORATION</v>
      </c>
    </row>
    <row r="836" spans="1:9" x14ac:dyDescent="0.25">
      <c r="E836" s="7"/>
      <c r="F836" t="s">
        <v>20</v>
      </c>
      <c r="G836" s="10" t="s">
        <v>21</v>
      </c>
      <c r="H836" t="str">
        <f>"20-0899 OCT.2020"</f>
        <v>20-0899 OCT.2020</v>
      </c>
      <c r="I836" t="str">
        <f>"INTREPID SURVEYING CORPORATION"</f>
        <v>INTREPID SURVEYING CORPORATION</v>
      </c>
    </row>
    <row r="837" spans="1:9" x14ac:dyDescent="0.25">
      <c r="A837" s="6">
        <v>44147</v>
      </c>
      <c r="B837" t="s">
        <v>91</v>
      </c>
      <c r="C837">
        <v>65434</v>
      </c>
      <c r="D837" t="s">
        <v>724</v>
      </c>
      <c r="E837" s="7">
        <v>675</v>
      </c>
      <c r="F837" t="s">
        <v>20</v>
      </c>
      <c r="G837" s="10" t="s">
        <v>21</v>
      </c>
      <c r="H837" t="str">
        <f>"REISSUE SMR PROG."</f>
        <v>REISSUE SMR PROG.</v>
      </c>
      <c r="I837" t="str">
        <f>"FLORESVILLE YOUTH BASKETBALL L"</f>
        <v>FLORESVILLE YOUTH BASKETBALL L</v>
      </c>
    </row>
    <row r="838" spans="1:9" x14ac:dyDescent="0.25">
      <c r="A838" s="6">
        <v>44147</v>
      </c>
      <c r="B838" t="s">
        <v>91</v>
      </c>
      <c r="C838">
        <v>65434</v>
      </c>
      <c r="D838" t="s">
        <v>724</v>
      </c>
      <c r="E838" s="7">
        <v>675</v>
      </c>
      <c r="F838" t="s">
        <v>20</v>
      </c>
      <c r="G838" s="10" t="s">
        <v>93</v>
      </c>
      <c r="H838" t="str">
        <f>"CHECK"</f>
        <v>CHECK</v>
      </c>
      <c r="I838" t="str">
        <f>""</f>
        <v/>
      </c>
    </row>
    <row r="839" spans="1:9" x14ac:dyDescent="0.25">
      <c r="A839" s="6">
        <v>44147</v>
      </c>
      <c r="B839" t="s">
        <v>26</v>
      </c>
      <c r="C839">
        <v>65435</v>
      </c>
      <c r="D839" t="s">
        <v>81</v>
      </c>
      <c r="E839" s="7">
        <v>99</v>
      </c>
      <c r="F839" t="s">
        <v>20</v>
      </c>
      <c r="G839" s="10" t="s">
        <v>21</v>
      </c>
      <c r="H839" t="str">
        <f>"CHANGE FOR KIOSK"</f>
        <v>CHANGE FOR KIOSK</v>
      </c>
      <c r="I839" t="str">
        <f>"CITY OF FLORESVILLE -PETTY CAS"</f>
        <v>CITY OF FLORESVILLE -PETTY CAS</v>
      </c>
    </row>
    <row r="840" spans="1:9" x14ac:dyDescent="0.25">
      <c r="A840" s="6">
        <v>44147</v>
      </c>
      <c r="B840" t="s">
        <v>91</v>
      </c>
      <c r="C840">
        <v>65436</v>
      </c>
      <c r="D840" t="s">
        <v>725</v>
      </c>
      <c r="E840" s="7">
        <v>675</v>
      </c>
      <c r="F840" t="s">
        <v>20</v>
      </c>
      <c r="G840" s="10" t="s">
        <v>21</v>
      </c>
      <c r="H840" t="str">
        <f>"REISSUE SMR PROG."</f>
        <v>REISSUE SMR PROG.</v>
      </c>
      <c r="I840" t="str">
        <f>"FLORESVILLE WILDCATS"</f>
        <v>FLORESVILLE WILDCATS</v>
      </c>
    </row>
    <row r="841" spans="1:9" x14ac:dyDescent="0.25">
      <c r="A841" s="6">
        <v>44147</v>
      </c>
      <c r="B841" t="s">
        <v>91</v>
      </c>
      <c r="C841">
        <v>65436</v>
      </c>
      <c r="D841" t="s">
        <v>725</v>
      </c>
      <c r="E841" s="7">
        <v>675</v>
      </c>
      <c r="F841" t="s">
        <v>20</v>
      </c>
      <c r="G841" s="10" t="s">
        <v>93</v>
      </c>
      <c r="H841" t="str">
        <f>"CHECK"</f>
        <v>CHECK</v>
      </c>
      <c r="I841" t="str">
        <f>""</f>
        <v/>
      </c>
    </row>
    <row r="842" spans="1:9" x14ac:dyDescent="0.25">
      <c r="A842" s="6">
        <v>44147</v>
      </c>
      <c r="B842" t="s">
        <v>26</v>
      </c>
      <c r="C842">
        <v>65437</v>
      </c>
      <c r="D842" t="s">
        <v>405</v>
      </c>
      <c r="E842" s="7">
        <v>685</v>
      </c>
      <c r="F842" t="s">
        <v>20</v>
      </c>
      <c r="G842" s="10" t="s">
        <v>21</v>
      </c>
      <c r="H842" t="str">
        <f>"REISSUE SMR PROG."</f>
        <v>REISSUE SMR PROG.</v>
      </c>
      <c r="I842" t="str">
        <f>"ALL CITY YOUTH PROGRAMS"</f>
        <v>ALL CITY YOUTH PROGRAMS</v>
      </c>
    </row>
    <row r="843" spans="1:9" x14ac:dyDescent="0.25">
      <c r="A843" s="6">
        <v>44147</v>
      </c>
      <c r="B843" t="s">
        <v>26</v>
      </c>
      <c r="C843">
        <v>65438</v>
      </c>
      <c r="D843" t="s">
        <v>979</v>
      </c>
      <c r="E843" s="7">
        <v>577.5</v>
      </c>
      <c r="F843" t="s">
        <v>20</v>
      </c>
      <c r="G843" s="10" t="s">
        <v>21</v>
      </c>
      <c r="H843" t="str">
        <f>"11/1-11/14/2020"</f>
        <v>11/1-11/14/2020</v>
      </c>
      <c r="I843" t="str">
        <f>"BIANCA CANTU"</f>
        <v>BIANCA CANTU</v>
      </c>
    </row>
    <row r="844" spans="1:9" x14ac:dyDescent="0.25">
      <c r="A844" s="6">
        <v>44147</v>
      </c>
      <c r="B844" t="s">
        <v>26</v>
      </c>
      <c r="C844">
        <v>65439</v>
      </c>
      <c r="D844" t="s">
        <v>986</v>
      </c>
      <c r="E844" s="7">
        <v>435</v>
      </c>
      <c r="F844" t="s">
        <v>20</v>
      </c>
      <c r="G844" s="10" t="s">
        <v>21</v>
      </c>
      <c r="H844" t="str">
        <f>"11/1-11/14/2020"</f>
        <v>11/1-11/14/2020</v>
      </c>
      <c r="I844" t="str">
        <f>"KERRY L. ESQUIVEL"</f>
        <v>KERRY L. ESQUIVEL</v>
      </c>
    </row>
    <row r="845" spans="1:9" x14ac:dyDescent="0.25">
      <c r="A845" s="6">
        <v>44147</v>
      </c>
      <c r="B845" t="s">
        <v>26</v>
      </c>
      <c r="C845">
        <v>65440</v>
      </c>
      <c r="D845" t="s">
        <v>92</v>
      </c>
      <c r="E845" s="7">
        <v>34054.65</v>
      </c>
      <c r="F845" t="s">
        <v>20</v>
      </c>
      <c r="G845" s="10" t="s">
        <v>21</v>
      </c>
      <c r="H845" t="str">
        <f>"RET202010068586"</f>
        <v>RET202010068586</v>
      </c>
      <c r="I845" t="str">
        <f>"TMRS CITY OF FLORESVILLE"</f>
        <v>TMRS CITY OF FLORESVILLE</v>
      </c>
    </row>
    <row r="846" spans="1:9" x14ac:dyDescent="0.25">
      <c r="E846" s="7"/>
      <c r="F846" t="s">
        <v>20</v>
      </c>
      <c r="G846" s="10" t="s">
        <v>21</v>
      </c>
      <c r="H846" t="str">
        <f>"RET202010208588"</f>
        <v>RET202010208588</v>
      </c>
      <c r="I846" t="str">
        <f>"TMRS CITY OF FLORESVILLE"</f>
        <v>TMRS CITY OF FLORESVILLE</v>
      </c>
    </row>
    <row r="847" spans="1:9" x14ac:dyDescent="0.25">
      <c r="A847" s="6">
        <v>44147</v>
      </c>
      <c r="B847" t="s">
        <v>91</v>
      </c>
      <c r="C847">
        <v>65444</v>
      </c>
      <c r="D847" t="s">
        <v>205</v>
      </c>
      <c r="E847" s="7">
        <v>250.35</v>
      </c>
      <c r="F847" t="s">
        <v>20</v>
      </c>
      <c r="G847" s="10" t="s">
        <v>21</v>
      </c>
      <c r="H847" t="str">
        <f>"EVENT 11/14/2020"</f>
        <v>EVENT 11/14/2020</v>
      </c>
      <c r="I847" t="str">
        <f>"SILVER EAGLE DISTRIBUTORS"</f>
        <v>SILVER EAGLE DISTRIBUTORS</v>
      </c>
    </row>
    <row r="848" spans="1:9" x14ac:dyDescent="0.25">
      <c r="A848" s="6">
        <v>44147</v>
      </c>
      <c r="B848" t="s">
        <v>91</v>
      </c>
      <c r="C848">
        <v>65444</v>
      </c>
      <c r="D848" t="s">
        <v>205</v>
      </c>
      <c r="E848" s="7">
        <v>250.35</v>
      </c>
      <c r="F848" t="s">
        <v>20</v>
      </c>
      <c r="G848" s="10" t="s">
        <v>93</v>
      </c>
      <c r="H848" t="str">
        <f>"CHECK"</f>
        <v>CHECK</v>
      </c>
      <c r="I848" t="str">
        <f>""</f>
        <v/>
      </c>
    </row>
    <row r="849" spans="1:9" x14ac:dyDescent="0.25">
      <c r="A849" s="6">
        <v>44147</v>
      </c>
      <c r="B849" t="s">
        <v>26</v>
      </c>
      <c r="C849">
        <v>65445</v>
      </c>
      <c r="D849" t="s">
        <v>205</v>
      </c>
      <c r="E849" s="7">
        <v>250.35</v>
      </c>
      <c r="F849" t="s">
        <v>20</v>
      </c>
      <c r="G849" s="10" t="s">
        <v>21</v>
      </c>
      <c r="H849" t="str">
        <f>"REISSUE 11/14/2020"</f>
        <v>REISSUE 11/14/2020</v>
      </c>
      <c r="I849" t="str">
        <f>"SILVER EAGLE DISTRIBUTORS"</f>
        <v>SILVER EAGLE DISTRIBUTORS</v>
      </c>
    </row>
    <row r="850" spans="1:9" x14ac:dyDescent="0.25">
      <c r="A850" s="6">
        <v>44148</v>
      </c>
      <c r="B850" t="s">
        <v>26</v>
      </c>
      <c r="C850">
        <v>65446</v>
      </c>
      <c r="D850" t="s">
        <v>930</v>
      </c>
      <c r="E850" s="7">
        <v>322.5</v>
      </c>
      <c r="F850" t="s">
        <v>20</v>
      </c>
      <c r="G850" s="10" t="s">
        <v>21</v>
      </c>
      <c r="H850" t="str">
        <f>"11/1-14/2020"</f>
        <v>11/1-14/2020</v>
      </c>
      <c r="I850" t="str">
        <f>"SAVANNAH TORRES"</f>
        <v>SAVANNAH TORRES</v>
      </c>
    </row>
    <row r="851" spans="1:9" x14ac:dyDescent="0.25">
      <c r="A851" s="6">
        <v>44152</v>
      </c>
      <c r="B851" t="s">
        <v>26</v>
      </c>
      <c r="C851">
        <v>65451</v>
      </c>
      <c r="D851" t="s">
        <v>51</v>
      </c>
      <c r="E851" s="7">
        <v>327.84</v>
      </c>
      <c r="F851" t="s">
        <v>20</v>
      </c>
      <c r="G851" s="10" t="s">
        <v>21</v>
      </c>
      <c r="H851" t="str">
        <f>"CLE202011038589"</f>
        <v>CLE202011038589</v>
      </c>
      <c r="I851" t="str">
        <f>"CLEAT ONLY DUES"</f>
        <v>CLEAT ONLY DUES</v>
      </c>
    </row>
    <row r="852" spans="1:9" x14ac:dyDescent="0.25">
      <c r="E852" s="7"/>
      <c r="F852" t="s">
        <v>20</v>
      </c>
      <c r="G852" s="10" t="s">
        <v>21</v>
      </c>
      <c r="H852" t="str">
        <f>"PDD202011038589"</f>
        <v>PDD202011038589</v>
      </c>
      <c r="I852" t="str">
        <f>"POLICE OFFICERS ASSOC DUES"</f>
        <v>POLICE OFFICERS ASSOC DUES</v>
      </c>
    </row>
    <row r="853" spans="1:9" x14ac:dyDescent="0.25">
      <c r="A853" s="6">
        <v>44152</v>
      </c>
      <c r="B853" t="s">
        <v>26</v>
      </c>
      <c r="C853">
        <v>65452</v>
      </c>
      <c r="D853" t="s">
        <v>52</v>
      </c>
      <c r="E853" s="7">
        <v>405</v>
      </c>
      <c r="F853" t="s">
        <v>20</v>
      </c>
      <c r="G853" s="10" t="s">
        <v>21</v>
      </c>
      <c r="H853" t="str">
        <f>"CA1202011038589"</f>
        <v>CA1202011038589</v>
      </c>
      <c r="I853" t="str">
        <f>"K RAMIREZ 001200229510060343CV"</f>
        <v>K RAMIREZ 001200229510060343CV</v>
      </c>
    </row>
    <row r="854" spans="1:9" x14ac:dyDescent="0.25">
      <c r="E854" s="7"/>
      <c r="F854" t="s">
        <v>20</v>
      </c>
      <c r="G854" s="10" t="s">
        <v>21</v>
      </c>
      <c r="H854" t="str">
        <f>"CA2202011038589"</f>
        <v>CA2202011038589</v>
      </c>
      <c r="I854" t="str">
        <f>"L HERNANDEZ 001016025203080354"</f>
        <v>L HERNANDEZ 001016025203080354</v>
      </c>
    </row>
    <row r="855" spans="1:9" x14ac:dyDescent="0.25">
      <c r="E855" s="7"/>
      <c r="F855" t="s">
        <v>20</v>
      </c>
      <c r="G855" s="10" t="s">
        <v>21</v>
      </c>
      <c r="H855" t="str">
        <f>"CA3202011038589"</f>
        <v>CA3202011038589</v>
      </c>
      <c r="I855" t="str">
        <f>"00120788612011EM5023JOLENEGARC"</f>
        <v>00120788612011EM5023JOLENEGARC</v>
      </c>
    </row>
    <row r="856" spans="1:9" x14ac:dyDescent="0.25">
      <c r="E856" s="7"/>
      <c r="F856" t="s">
        <v>20</v>
      </c>
      <c r="G856" s="10" t="s">
        <v>21</v>
      </c>
      <c r="H856" t="str">
        <f>"CSA202011038589"</f>
        <v>CSA202011038589</v>
      </c>
      <c r="I856" t="str">
        <f>"S RODRIGUEZ 001281730413050336"</f>
        <v>S RODRIGUEZ 001281730413050336</v>
      </c>
    </row>
    <row r="857" spans="1:9" x14ac:dyDescent="0.25">
      <c r="A857" s="6">
        <v>44152</v>
      </c>
      <c r="B857" t="s">
        <v>26</v>
      </c>
      <c r="C857">
        <v>65453</v>
      </c>
      <c r="D857" t="s">
        <v>54</v>
      </c>
      <c r="E857" s="7">
        <v>1186.68</v>
      </c>
      <c r="F857" t="s">
        <v>20</v>
      </c>
      <c r="G857" s="10" t="s">
        <v>21</v>
      </c>
      <c r="H857" t="str">
        <f>"457202011038589"</f>
        <v>457202011038589</v>
      </c>
      <c r="I857" t="str">
        <f>"CASE # 180-60751 457B DEDUCT"</f>
        <v>CASE # 180-60751 457B DEDUCT</v>
      </c>
    </row>
    <row r="858" spans="1:9" x14ac:dyDescent="0.25">
      <c r="A858" s="6">
        <v>44152</v>
      </c>
      <c r="B858" t="s">
        <v>26</v>
      </c>
      <c r="C858">
        <v>65454</v>
      </c>
      <c r="D858" t="s">
        <v>969</v>
      </c>
      <c r="E858" s="7">
        <v>88.74</v>
      </c>
      <c r="F858" t="s">
        <v>20</v>
      </c>
      <c r="G858" s="10" t="s">
        <v>21</v>
      </c>
      <c r="H858" t="str">
        <f>"ATG202011038589"</f>
        <v>ATG202011038589</v>
      </c>
      <c r="I858" t="str">
        <f>"WG1910853 A. TREVINO"</f>
        <v>WG1910853 A. TREVINO</v>
      </c>
    </row>
    <row r="859" spans="1:9" x14ac:dyDescent="0.25">
      <c r="A859" s="6">
        <v>44152</v>
      </c>
      <c r="B859" t="s">
        <v>26</v>
      </c>
      <c r="C859">
        <v>65455</v>
      </c>
      <c r="D859" t="s">
        <v>51</v>
      </c>
      <c r="E859" s="7">
        <v>327.84</v>
      </c>
      <c r="F859" t="s">
        <v>20</v>
      </c>
      <c r="G859" s="10" t="s">
        <v>21</v>
      </c>
      <c r="H859" t="str">
        <f>"CLE202011178590"</f>
        <v>CLE202011178590</v>
      </c>
      <c r="I859" t="str">
        <f>"CLEAT ONLY DUES"</f>
        <v>CLEAT ONLY DUES</v>
      </c>
    </row>
    <row r="860" spans="1:9" x14ac:dyDescent="0.25">
      <c r="E860" s="7"/>
      <c r="F860" t="s">
        <v>20</v>
      </c>
      <c r="G860" s="10" t="s">
        <v>21</v>
      </c>
      <c r="H860" t="str">
        <f>"PDD202011178590"</f>
        <v>PDD202011178590</v>
      </c>
      <c r="I860" t="str">
        <f>"POLICE OFFICERS ASSOC DUES"</f>
        <v>POLICE OFFICERS ASSOC DUES</v>
      </c>
    </row>
    <row r="861" spans="1:9" x14ac:dyDescent="0.25">
      <c r="A861" s="6">
        <v>44152</v>
      </c>
      <c r="B861" t="s">
        <v>26</v>
      </c>
      <c r="C861">
        <v>65456</v>
      </c>
      <c r="D861" t="s">
        <v>52</v>
      </c>
      <c r="E861" s="7">
        <v>405</v>
      </c>
      <c r="F861" t="s">
        <v>20</v>
      </c>
      <c r="G861" s="10" t="s">
        <v>21</v>
      </c>
      <c r="H861" t="str">
        <f>"CA1202011178590"</f>
        <v>CA1202011178590</v>
      </c>
      <c r="I861" t="str">
        <f>"K RAMIREZ 001200229510060343CV"</f>
        <v>K RAMIREZ 001200229510060343CV</v>
      </c>
    </row>
    <row r="862" spans="1:9" x14ac:dyDescent="0.25">
      <c r="E862" s="7"/>
      <c r="F862" t="s">
        <v>20</v>
      </c>
      <c r="G862" s="10" t="s">
        <v>21</v>
      </c>
      <c r="H862" t="str">
        <f>"CA2202011178590"</f>
        <v>CA2202011178590</v>
      </c>
      <c r="I862" t="str">
        <f>"L HERNANDEZ 001016025203080354"</f>
        <v>L HERNANDEZ 001016025203080354</v>
      </c>
    </row>
    <row r="863" spans="1:9" x14ac:dyDescent="0.25">
      <c r="E863" s="7"/>
      <c r="F863" t="s">
        <v>20</v>
      </c>
      <c r="G863" s="10" t="s">
        <v>21</v>
      </c>
      <c r="H863" t="str">
        <f>"CA3202011178590"</f>
        <v>CA3202011178590</v>
      </c>
      <c r="I863" t="str">
        <f>"00120788612011EM5023JOLENEGARC"</f>
        <v>00120788612011EM5023JOLENEGARC</v>
      </c>
    </row>
    <row r="864" spans="1:9" x14ac:dyDescent="0.25">
      <c r="E864" s="7"/>
      <c r="F864" t="s">
        <v>20</v>
      </c>
      <c r="G864" s="10" t="s">
        <v>21</v>
      </c>
      <c r="H864" t="str">
        <f>"CSA202011178590"</f>
        <v>CSA202011178590</v>
      </c>
      <c r="I864" t="str">
        <f>"S RODRIGUEZ 001281730413050336"</f>
        <v>S RODRIGUEZ 001281730413050336</v>
      </c>
    </row>
    <row r="865" spans="1:9" x14ac:dyDescent="0.25">
      <c r="A865" s="6">
        <v>44152</v>
      </c>
      <c r="B865" t="s">
        <v>26</v>
      </c>
      <c r="C865">
        <v>65457</v>
      </c>
      <c r="D865" t="s">
        <v>54</v>
      </c>
      <c r="E865" s="7">
        <v>1186.68</v>
      </c>
      <c r="F865" t="s">
        <v>20</v>
      </c>
      <c r="G865" s="10" t="s">
        <v>21</v>
      </c>
      <c r="H865" t="str">
        <f>"457202011178590"</f>
        <v>457202011178590</v>
      </c>
      <c r="I865" t="str">
        <f>"CASE # 180-60751 457B DEDUCT"</f>
        <v>CASE # 180-60751 457B DEDUCT</v>
      </c>
    </row>
    <row r="866" spans="1:9" x14ac:dyDescent="0.25">
      <c r="A866" s="6">
        <v>44152</v>
      </c>
      <c r="B866" t="s">
        <v>26</v>
      </c>
      <c r="C866">
        <v>65458</v>
      </c>
      <c r="D866" t="s">
        <v>969</v>
      </c>
      <c r="E866" s="7">
        <v>88.74</v>
      </c>
      <c r="F866" t="s">
        <v>20</v>
      </c>
      <c r="G866" s="10" t="s">
        <v>21</v>
      </c>
      <c r="H866" t="str">
        <f>"ATG202011178590"</f>
        <v>ATG202011178590</v>
      </c>
      <c r="I866" t="str">
        <f>"WG1910853 A. TREVINO"</f>
        <v>WG1910853 A. TREVINO</v>
      </c>
    </row>
    <row r="867" spans="1:9" x14ac:dyDescent="0.25">
      <c r="A867" s="6">
        <v>44154</v>
      </c>
      <c r="B867" t="s">
        <v>26</v>
      </c>
      <c r="C867">
        <v>65459</v>
      </c>
      <c r="D867" t="s">
        <v>345</v>
      </c>
      <c r="E867" s="7">
        <v>286</v>
      </c>
      <c r="F867" t="s">
        <v>20</v>
      </c>
      <c r="G867" s="10" t="s">
        <v>21</v>
      </c>
      <c r="H867" t="str">
        <f>"11-16-2020"</f>
        <v>11-16-2020</v>
      </c>
      <c r="I867" t="str">
        <f>"MICHAEL ISAAC MARTINEZ"</f>
        <v>MICHAEL ISAAC MARTINEZ</v>
      </c>
    </row>
    <row r="868" spans="1:9" x14ac:dyDescent="0.25">
      <c r="A868" s="6">
        <v>44154</v>
      </c>
      <c r="B868" t="s">
        <v>26</v>
      </c>
      <c r="C868">
        <v>65460</v>
      </c>
      <c r="D868" t="s">
        <v>698</v>
      </c>
      <c r="E868" s="7">
        <v>120</v>
      </c>
      <c r="F868" t="s">
        <v>20</v>
      </c>
      <c r="G868" s="10" t="s">
        <v>21</v>
      </c>
      <c r="H868" t="str">
        <f>"11-14-2020"</f>
        <v>11-14-2020</v>
      </c>
      <c r="I868" t="str">
        <f>"TRACY ORTIZ"</f>
        <v>TRACY ORTIZ</v>
      </c>
    </row>
    <row r="869" spans="1:9" x14ac:dyDescent="0.25">
      <c r="A869" s="6">
        <v>44154</v>
      </c>
      <c r="B869" t="s">
        <v>26</v>
      </c>
      <c r="C869">
        <v>65461</v>
      </c>
      <c r="D869" t="s">
        <v>970</v>
      </c>
      <c r="E869" s="7">
        <v>120</v>
      </c>
      <c r="F869" t="s">
        <v>20</v>
      </c>
      <c r="G869" s="10" t="s">
        <v>21</v>
      </c>
      <c r="H869" t="str">
        <f>"11-14-2020"</f>
        <v>11-14-2020</v>
      </c>
      <c r="I869" t="str">
        <f>"ABBYGAIL DELGADO"</f>
        <v>ABBYGAIL DELGADO</v>
      </c>
    </row>
    <row r="870" spans="1:9" x14ac:dyDescent="0.25">
      <c r="A870" s="6">
        <v>44154</v>
      </c>
      <c r="B870" t="s">
        <v>26</v>
      </c>
      <c r="C870">
        <v>65462</v>
      </c>
      <c r="D870" t="s">
        <v>1004</v>
      </c>
      <c r="E870" s="7">
        <v>1150</v>
      </c>
      <c r="F870" t="s">
        <v>20</v>
      </c>
      <c r="G870" s="10" t="s">
        <v>21</v>
      </c>
      <c r="H870" t="str">
        <f>"1"</f>
        <v>1</v>
      </c>
      <c r="I870" t="str">
        <f>"VICTOR V RODRIGUEZ"</f>
        <v>VICTOR V RODRIGUEZ</v>
      </c>
    </row>
    <row r="871" spans="1:9" x14ac:dyDescent="0.25">
      <c r="E871" s="7"/>
      <c r="F871" t="s">
        <v>20</v>
      </c>
      <c r="G871" s="10" t="s">
        <v>21</v>
      </c>
      <c r="H871" t="str">
        <f>"2"</f>
        <v>2</v>
      </c>
      <c r="I871" t="str">
        <f>"VICTOR V RODRIGUEZ"</f>
        <v>VICTOR V RODRIGUEZ</v>
      </c>
    </row>
    <row r="872" spans="1:9" x14ac:dyDescent="0.25">
      <c r="A872" s="6">
        <v>44154</v>
      </c>
      <c r="B872" t="s">
        <v>26</v>
      </c>
      <c r="C872">
        <v>65463</v>
      </c>
      <c r="D872" t="s">
        <v>189</v>
      </c>
      <c r="E872" s="7">
        <v>36250</v>
      </c>
      <c r="F872" t="s">
        <v>20</v>
      </c>
      <c r="G872" s="10" t="s">
        <v>21</v>
      </c>
      <c r="H872" t="str">
        <f>"ESA010316"</f>
        <v>ESA010316</v>
      </c>
      <c r="I872" t="str">
        <f>"CASE SKID STEER"</f>
        <v>CASE SKID STEER</v>
      </c>
    </row>
    <row r="873" spans="1:9" x14ac:dyDescent="0.25">
      <c r="A873" s="6">
        <v>44154</v>
      </c>
      <c r="B873" t="s">
        <v>26</v>
      </c>
      <c r="C873">
        <v>65464</v>
      </c>
      <c r="D873" t="s">
        <v>346</v>
      </c>
      <c r="E873" s="7">
        <v>13750</v>
      </c>
      <c r="F873" t="s">
        <v>20</v>
      </c>
      <c r="G873" s="10" t="s">
        <v>21</v>
      </c>
      <c r="H873" t="str">
        <f>"2020-010"</f>
        <v>2020-010</v>
      </c>
      <c r="I873" t="str">
        <f>"SYLVIA RODRIGUEZ"</f>
        <v>SYLVIA RODRIGUEZ</v>
      </c>
    </row>
    <row r="874" spans="1:9" x14ac:dyDescent="0.25">
      <c r="A874" s="6">
        <v>44158</v>
      </c>
      <c r="B874" t="s">
        <v>26</v>
      </c>
      <c r="C874">
        <v>65465</v>
      </c>
      <c r="D874" t="s">
        <v>90</v>
      </c>
      <c r="E874" s="7">
        <v>2412</v>
      </c>
      <c r="F874" t="s">
        <v>20</v>
      </c>
      <c r="G874" s="10" t="s">
        <v>329</v>
      </c>
      <c r="H874" t="str">
        <f>"OCT. 2020"</f>
        <v>OCT. 2020</v>
      </c>
      <c r="I874" t="str">
        <f>"AFLAC"</f>
        <v>AFLAC</v>
      </c>
    </row>
    <row r="875" spans="1:9" x14ac:dyDescent="0.25">
      <c r="E875" s="7"/>
      <c r="F875" t="s">
        <v>20</v>
      </c>
      <c r="G875" s="10" t="s">
        <v>21</v>
      </c>
      <c r="H875" t="str">
        <f>"ACA202010068586"</f>
        <v>ACA202010068586</v>
      </c>
      <c r="I875" t="str">
        <f>"AFLAC INSURANCE"</f>
        <v>AFLAC INSURANCE</v>
      </c>
    </row>
    <row r="876" spans="1:9" x14ac:dyDescent="0.25">
      <c r="E876" s="7"/>
      <c r="F876" t="s">
        <v>20</v>
      </c>
      <c r="G876" s="10" t="s">
        <v>21</v>
      </c>
      <c r="H876" t="str">
        <f>"ACA202010208588"</f>
        <v>ACA202010208588</v>
      </c>
      <c r="I876" t="str">
        <f>"AFLAC INSURANCE"</f>
        <v>AFLAC INSURANCE</v>
      </c>
    </row>
    <row r="877" spans="1:9" x14ac:dyDescent="0.25">
      <c r="E877" s="7"/>
      <c r="F877" t="s">
        <v>20</v>
      </c>
      <c r="G877" s="10" t="s">
        <v>21</v>
      </c>
      <c r="H877" t="str">
        <f>"ACA202011038589"</f>
        <v>ACA202011038589</v>
      </c>
      <c r="I877" t="str">
        <f>"AFLAC INSURANCE"</f>
        <v>AFLAC INSURANCE</v>
      </c>
    </row>
    <row r="878" spans="1:9" x14ac:dyDescent="0.25">
      <c r="E878" s="7"/>
      <c r="F878" t="s">
        <v>20</v>
      </c>
      <c r="G878" s="10" t="s">
        <v>21</v>
      </c>
      <c r="H878" t="str">
        <f>"ACA202011178590"</f>
        <v>ACA202011178590</v>
      </c>
      <c r="I878" t="str">
        <f>"AFLAC INSURANCE"</f>
        <v>AFLAC INSURANCE</v>
      </c>
    </row>
    <row r="879" spans="1:9" x14ac:dyDescent="0.25">
      <c r="E879" s="7"/>
      <c r="F879" t="s">
        <v>20</v>
      </c>
      <c r="G879" s="10" t="s">
        <v>21</v>
      </c>
      <c r="H879" t="str">
        <f>"ADR202010068586"</f>
        <v>ADR202010068586</v>
      </c>
      <c r="I879" t="str">
        <f>"INSURANCE"</f>
        <v>INSURANCE</v>
      </c>
    </row>
    <row r="880" spans="1:9" x14ac:dyDescent="0.25">
      <c r="E880" s="7"/>
      <c r="F880" t="s">
        <v>20</v>
      </c>
      <c r="G880" s="10" t="s">
        <v>21</v>
      </c>
      <c r="H880" t="str">
        <f>"ADR202010208588"</f>
        <v>ADR202010208588</v>
      </c>
      <c r="I880" t="str">
        <f>"INSURANCE"</f>
        <v>INSURANCE</v>
      </c>
    </row>
    <row r="881" spans="1:9" x14ac:dyDescent="0.25">
      <c r="E881" s="7"/>
      <c r="F881" t="s">
        <v>20</v>
      </c>
      <c r="G881" s="10" t="s">
        <v>21</v>
      </c>
      <c r="H881" t="str">
        <f>"ADR202011038589"</f>
        <v>ADR202011038589</v>
      </c>
      <c r="I881" t="str">
        <f>"INSURANCE"</f>
        <v>INSURANCE</v>
      </c>
    </row>
    <row r="882" spans="1:9" x14ac:dyDescent="0.25">
      <c r="E882" s="7"/>
      <c r="F882" t="s">
        <v>20</v>
      </c>
      <c r="G882" s="10" t="s">
        <v>21</v>
      </c>
      <c r="H882" t="str">
        <f>"ADR202011178590"</f>
        <v>ADR202011178590</v>
      </c>
      <c r="I882" t="str">
        <f>"INSURANCE"</f>
        <v>INSURANCE</v>
      </c>
    </row>
    <row r="883" spans="1:9" x14ac:dyDescent="0.25">
      <c r="E883" s="7"/>
      <c r="F883" t="s">
        <v>20</v>
      </c>
      <c r="G883" s="10" t="s">
        <v>21</v>
      </c>
      <c r="H883" t="str">
        <f>"AFS202010068586"</f>
        <v>AFS202010068586</v>
      </c>
      <c r="I883" t="str">
        <f>"AFLAC STD"</f>
        <v>AFLAC STD</v>
      </c>
    </row>
    <row r="884" spans="1:9" x14ac:dyDescent="0.25">
      <c r="E884" s="7"/>
      <c r="F884" t="s">
        <v>20</v>
      </c>
      <c r="G884" s="10" t="s">
        <v>21</v>
      </c>
      <c r="H884" t="str">
        <f>"AFS202010208588"</f>
        <v>AFS202010208588</v>
      </c>
      <c r="I884" t="str">
        <f>"AFLAC STD"</f>
        <v>AFLAC STD</v>
      </c>
    </row>
    <row r="885" spans="1:9" x14ac:dyDescent="0.25">
      <c r="E885" s="7"/>
      <c r="F885" t="s">
        <v>20</v>
      </c>
      <c r="G885" s="10" t="s">
        <v>21</v>
      </c>
      <c r="H885" t="str">
        <f>"AFS202011038589"</f>
        <v>AFS202011038589</v>
      </c>
      <c r="I885" t="str">
        <f>"AFLAC STD"</f>
        <v>AFLAC STD</v>
      </c>
    </row>
    <row r="886" spans="1:9" x14ac:dyDescent="0.25">
      <c r="E886" s="7"/>
      <c r="F886" t="s">
        <v>20</v>
      </c>
      <c r="G886" s="10" t="s">
        <v>21</v>
      </c>
      <c r="H886" t="str">
        <f>"AFS202011178590"</f>
        <v>AFS202011178590</v>
      </c>
      <c r="I886" t="str">
        <f>"AFLAC STD"</f>
        <v>AFLAC STD</v>
      </c>
    </row>
    <row r="887" spans="1:9" x14ac:dyDescent="0.25">
      <c r="E887" s="7"/>
      <c r="F887" t="s">
        <v>20</v>
      </c>
      <c r="G887" s="10" t="s">
        <v>21</v>
      </c>
      <c r="H887" t="str">
        <f>"ASP202010068586"</f>
        <v>ASP202010068586</v>
      </c>
      <c r="I887" t="str">
        <f t="shared" ref="I887:I894" si="13">"AFLAC INSURANCE"</f>
        <v>AFLAC INSURANCE</v>
      </c>
    </row>
    <row r="888" spans="1:9" x14ac:dyDescent="0.25">
      <c r="E888" s="7"/>
      <c r="F888" t="s">
        <v>20</v>
      </c>
      <c r="G888" s="10" t="s">
        <v>21</v>
      </c>
      <c r="H888" t="str">
        <f>"ASP202010208588"</f>
        <v>ASP202010208588</v>
      </c>
      <c r="I888" t="str">
        <f t="shared" si="13"/>
        <v>AFLAC INSURANCE</v>
      </c>
    </row>
    <row r="889" spans="1:9" x14ac:dyDescent="0.25">
      <c r="E889" s="7"/>
      <c r="F889" t="s">
        <v>20</v>
      </c>
      <c r="G889" s="10" t="s">
        <v>21</v>
      </c>
      <c r="H889" t="str">
        <f>"ASP202011038589"</f>
        <v>ASP202011038589</v>
      </c>
      <c r="I889" t="str">
        <f t="shared" si="13"/>
        <v>AFLAC INSURANCE</v>
      </c>
    </row>
    <row r="890" spans="1:9" x14ac:dyDescent="0.25">
      <c r="E890" s="7"/>
      <c r="F890" t="s">
        <v>20</v>
      </c>
      <c r="G890" s="10" t="s">
        <v>21</v>
      </c>
      <c r="H890" t="str">
        <f>"ASP202011178590"</f>
        <v>ASP202011178590</v>
      </c>
      <c r="I890" t="str">
        <f t="shared" si="13"/>
        <v>AFLAC INSURANCE</v>
      </c>
    </row>
    <row r="891" spans="1:9" x14ac:dyDescent="0.25">
      <c r="E891" s="7"/>
      <c r="F891" t="s">
        <v>20</v>
      </c>
      <c r="G891" s="10" t="s">
        <v>21</v>
      </c>
      <c r="H891" t="str">
        <f>"HCO202010068586"</f>
        <v>HCO202010068586</v>
      </c>
      <c r="I891" t="str">
        <f t="shared" si="13"/>
        <v>AFLAC INSURANCE</v>
      </c>
    </row>
    <row r="892" spans="1:9" x14ac:dyDescent="0.25">
      <c r="E892" s="7"/>
      <c r="F892" t="s">
        <v>20</v>
      </c>
      <c r="G892" s="10" t="s">
        <v>21</v>
      </c>
      <c r="H892" t="str">
        <f>"HCO202010208588"</f>
        <v>HCO202010208588</v>
      </c>
      <c r="I892" t="str">
        <f t="shared" si="13"/>
        <v>AFLAC INSURANCE</v>
      </c>
    </row>
    <row r="893" spans="1:9" x14ac:dyDescent="0.25">
      <c r="E893" s="7"/>
      <c r="F893" t="s">
        <v>20</v>
      </c>
      <c r="G893" s="10" t="s">
        <v>21</v>
      </c>
      <c r="H893" t="str">
        <f>"HCO202011038589"</f>
        <v>HCO202011038589</v>
      </c>
      <c r="I893" t="str">
        <f t="shared" si="13"/>
        <v>AFLAC INSURANCE</v>
      </c>
    </row>
    <row r="894" spans="1:9" x14ac:dyDescent="0.25">
      <c r="E894" s="7"/>
      <c r="F894" t="s">
        <v>20</v>
      </c>
      <c r="G894" s="10" t="s">
        <v>21</v>
      </c>
      <c r="H894" t="str">
        <f>"HCO202011178590"</f>
        <v>HCO202011178590</v>
      </c>
      <c r="I894" t="str">
        <f t="shared" si="13"/>
        <v>AFLAC INSURANCE</v>
      </c>
    </row>
    <row r="895" spans="1:9" x14ac:dyDescent="0.25">
      <c r="A895" s="6">
        <v>44158</v>
      </c>
      <c r="B895" t="s">
        <v>26</v>
      </c>
      <c r="C895">
        <v>65474</v>
      </c>
      <c r="D895" t="s">
        <v>95</v>
      </c>
      <c r="E895" s="7">
        <v>50.64</v>
      </c>
      <c r="F895" t="s">
        <v>20</v>
      </c>
      <c r="G895" s="10" t="s">
        <v>329</v>
      </c>
      <c r="H895" t="str">
        <f>"AUG./SEPT.2020"</f>
        <v>AUG./SEPT.2020</v>
      </c>
      <c r="I895" t="str">
        <f>"LEGAL PLANS"</f>
        <v>LEGAL PLANS</v>
      </c>
    </row>
    <row r="896" spans="1:9" x14ac:dyDescent="0.25">
      <c r="E896" s="7"/>
      <c r="F896" t="s">
        <v>20</v>
      </c>
      <c r="G896" s="10" t="s">
        <v>21</v>
      </c>
      <c r="H896" t="str">
        <f>"LEA202009088583"</f>
        <v>LEA202009088583</v>
      </c>
      <c r="I896" t="str">
        <f>"INSURANCE"</f>
        <v>INSURANCE</v>
      </c>
    </row>
    <row r="897" spans="1:9" x14ac:dyDescent="0.25">
      <c r="E897" s="7"/>
      <c r="F897" t="s">
        <v>20</v>
      </c>
      <c r="G897" s="10" t="s">
        <v>21</v>
      </c>
      <c r="H897" t="str">
        <f>"LEA202009228585"</f>
        <v>LEA202009228585</v>
      </c>
      <c r="I897" t="str">
        <f>"INSURANCE"</f>
        <v>INSURANCE</v>
      </c>
    </row>
    <row r="898" spans="1:9" x14ac:dyDescent="0.25">
      <c r="E898" s="7"/>
      <c r="F898" t="s">
        <v>20</v>
      </c>
      <c r="G898" s="10" t="s">
        <v>21</v>
      </c>
      <c r="H898" t="str">
        <f>"LEA202010068586"</f>
        <v>LEA202010068586</v>
      </c>
      <c r="I898" t="str">
        <f>"INSURANCE"</f>
        <v>INSURANCE</v>
      </c>
    </row>
    <row r="899" spans="1:9" x14ac:dyDescent="0.25">
      <c r="E899" s="7"/>
      <c r="F899" t="s">
        <v>20</v>
      </c>
      <c r="G899" s="10" t="s">
        <v>21</v>
      </c>
      <c r="H899" t="str">
        <f>"LEA202010208588"</f>
        <v>LEA202010208588</v>
      </c>
      <c r="I899" t="str">
        <f>"INSURANCE"</f>
        <v>INSURANCE</v>
      </c>
    </row>
    <row r="900" spans="1:9" x14ac:dyDescent="0.25">
      <c r="A900" s="6">
        <v>44158</v>
      </c>
      <c r="B900" t="s">
        <v>26</v>
      </c>
      <c r="C900">
        <v>65475</v>
      </c>
      <c r="D900" t="s">
        <v>96</v>
      </c>
      <c r="E900" s="7">
        <v>199.3</v>
      </c>
      <c r="F900" t="s">
        <v>20</v>
      </c>
      <c r="G900" s="10" t="s">
        <v>329</v>
      </c>
      <c r="H900" t="str">
        <f>"OCT. 2020"</f>
        <v>OCT. 2020</v>
      </c>
      <c r="I900" t="str">
        <f>"LEGALSHIELD"</f>
        <v>LEGALSHIELD</v>
      </c>
    </row>
    <row r="901" spans="1:9" x14ac:dyDescent="0.25">
      <c r="E901" s="7"/>
      <c r="F901" t="s">
        <v>20</v>
      </c>
      <c r="G901" s="10" t="s">
        <v>21</v>
      </c>
      <c r="H901" t="str">
        <f>"PPL202010068586"</f>
        <v>PPL202010068586</v>
      </c>
      <c r="I901" t="str">
        <f>"INSURANCE"</f>
        <v>INSURANCE</v>
      </c>
    </row>
    <row r="902" spans="1:9" x14ac:dyDescent="0.25">
      <c r="E902" s="7"/>
      <c r="F902" t="s">
        <v>20</v>
      </c>
      <c r="G902" s="10" t="s">
        <v>21</v>
      </c>
      <c r="H902" t="str">
        <f>"PPL202010208588"</f>
        <v>PPL202010208588</v>
      </c>
      <c r="I902" t="str">
        <f>"INSURANCE"</f>
        <v>INSURANCE</v>
      </c>
    </row>
    <row r="903" spans="1:9" x14ac:dyDescent="0.25">
      <c r="A903" s="6">
        <v>44158</v>
      </c>
      <c r="B903" t="s">
        <v>26</v>
      </c>
      <c r="C903">
        <v>65477</v>
      </c>
      <c r="D903" t="s">
        <v>97</v>
      </c>
      <c r="E903" s="7">
        <v>17221.97</v>
      </c>
      <c r="F903" t="s">
        <v>20</v>
      </c>
      <c r="G903" s="10" t="s">
        <v>24</v>
      </c>
      <c r="H903" t="str">
        <f>"NOV. 2020"</f>
        <v>NOV. 2020</v>
      </c>
      <c r="I903" t="str">
        <f>"HEALTH CARE SERVICE CORPORATIO"</f>
        <v>HEALTH CARE SERVICE CORPORATIO</v>
      </c>
    </row>
    <row r="904" spans="1:9" x14ac:dyDescent="0.25">
      <c r="E904" s="7"/>
      <c r="F904" t="s">
        <v>20</v>
      </c>
      <c r="G904" s="10" t="s">
        <v>329</v>
      </c>
      <c r="H904" t="str">
        <f>"NOV.2020"</f>
        <v>NOV.2020</v>
      </c>
      <c r="I904" t="str">
        <f>"HEALTH CARE SERVICE CORPORATIO"</f>
        <v>HEALTH CARE SERVICE CORPORATIO</v>
      </c>
    </row>
    <row r="905" spans="1:9" x14ac:dyDescent="0.25">
      <c r="E905" s="7"/>
      <c r="F905" t="s">
        <v>20</v>
      </c>
      <c r="G905" s="10" t="s">
        <v>21</v>
      </c>
      <c r="H905" t="str">
        <f>"DEN202010068586"</f>
        <v>DEN202010068586</v>
      </c>
      <c r="I905" t="str">
        <f>"DENTAL INSURANCE"</f>
        <v>DENTAL INSURANCE</v>
      </c>
    </row>
    <row r="906" spans="1:9" x14ac:dyDescent="0.25">
      <c r="E906" s="7"/>
      <c r="F906" t="s">
        <v>20</v>
      </c>
      <c r="G906" s="10" t="s">
        <v>21</v>
      </c>
      <c r="H906" t="str">
        <f>"DEN202010208588"</f>
        <v>DEN202010208588</v>
      </c>
      <c r="I906" t="str">
        <f>"DENTAL INSURANCE"</f>
        <v>DENTAL INSURANCE</v>
      </c>
    </row>
    <row r="907" spans="1:9" x14ac:dyDescent="0.25">
      <c r="E907" s="7"/>
      <c r="F907" t="s">
        <v>20</v>
      </c>
      <c r="G907" s="10" t="s">
        <v>21</v>
      </c>
      <c r="H907" t="str">
        <f>"MED202010068586"</f>
        <v>MED202010068586</v>
      </c>
      <c r="I907" t="str">
        <f>"HEALTH &amp; DENTAL INSURANCE"</f>
        <v>HEALTH &amp; DENTAL INSURANCE</v>
      </c>
    </row>
    <row r="908" spans="1:9" x14ac:dyDescent="0.25">
      <c r="E908" s="7"/>
      <c r="F908" t="s">
        <v>20</v>
      </c>
      <c r="G908" s="10" t="s">
        <v>21</v>
      </c>
      <c r="H908" t="str">
        <f>"MED202010208588"</f>
        <v>MED202010208588</v>
      </c>
      <c r="I908" t="str">
        <f>"HEALTH &amp; DENTAL INSURANCE"</f>
        <v>HEALTH &amp; DENTAL INSURANCE</v>
      </c>
    </row>
    <row r="909" spans="1:9" x14ac:dyDescent="0.25">
      <c r="A909" s="6">
        <v>44158</v>
      </c>
      <c r="B909" t="s">
        <v>26</v>
      </c>
      <c r="C909">
        <v>65483</v>
      </c>
      <c r="D909" t="s">
        <v>98</v>
      </c>
      <c r="E909" s="7">
        <v>3779.44</v>
      </c>
      <c r="F909" t="s">
        <v>20</v>
      </c>
      <c r="G909" s="10" t="s">
        <v>24</v>
      </c>
      <c r="H909" t="str">
        <f>"NOV. 2020"</f>
        <v>NOV. 2020</v>
      </c>
      <c r="I909" t="str">
        <f>"DEARBORN LIFE INSURANCE COMPAN"</f>
        <v>DEARBORN LIFE INSURANCE COMPAN</v>
      </c>
    </row>
    <row r="910" spans="1:9" x14ac:dyDescent="0.25">
      <c r="E910" s="7"/>
      <c r="F910" t="s">
        <v>20</v>
      </c>
      <c r="G910" s="10" t="s">
        <v>329</v>
      </c>
      <c r="H910" t="str">
        <f>"NOV. 2020"</f>
        <v>NOV. 2020</v>
      </c>
      <c r="I910" t="str">
        <f>"DEARBORN LIFE INSURANCE COMPAN"</f>
        <v>DEARBORN LIFE INSURANCE COMPAN</v>
      </c>
    </row>
    <row r="911" spans="1:9" x14ac:dyDescent="0.25">
      <c r="E911" s="7"/>
      <c r="F911" t="s">
        <v>20</v>
      </c>
      <c r="G911" s="10" t="s">
        <v>21</v>
      </c>
      <c r="H911" t="str">
        <f>"STD202011038589"</f>
        <v>STD202011038589</v>
      </c>
      <c r="I911" t="str">
        <f>"SHORT TERM DISABILITY"</f>
        <v>SHORT TERM DISABILITY</v>
      </c>
    </row>
    <row r="912" spans="1:9" x14ac:dyDescent="0.25">
      <c r="E912" s="7"/>
      <c r="F912" t="s">
        <v>20</v>
      </c>
      <c r="G912" s="10" t="s">
        <v>21</v>
      </c>
      <c r="H912" t="str">
        <f>"STD202011178590"</f>
        <v>STD202011178590</v>
      </c>
      <c r="I912" t="str">
        <f>"SHORT TERM DISABILITY"</f>
        <v>SHORT TERM DISABILITY</v>
      </c>
    </row>
    <row r="913" spans="1:9" x14ac:dyDescent="0.25">
      <c r="E913" s="7"/>
      <c r="F913" t="s">
        <v>20</v>
      </c>
      <c r="G913" s="10" t="s">
        <v>21</v>
      </c>
      <c r="H913" t="str">
        <f>"VIS202010068586"</f>
        <v>VIS202010068586</v>
      </c>
      <c r="I913" t="str">
        <f>"VISION INSURANCE"</f>
        <v>VISION INSURANCE</v>
      </c>
    </row>
    <row r="914" spans="1:9" x14ac:dyDescent="0.25">
      <c r="E914" s="7"/>
      <c r="F914" t="s">
        <v>20</v>
      </c>
      <c r="G914" s="10" t="s">
        <v>21</v>
      </c>
      <c r="H914" t="str">
        <f>"VIS202010208588"</f>
        <v>VIS202010208588</v>
      </c>
      <c r="I914" t="str">
        <f>"VISION INSURANCE"</f>
        <v>VISION INSURANCE</v>
      </c>
    </row>
    <row r="915" spans="1:9" x14ac:dyDescent="0.25">
      <c r="E915" s="7"/>
      <c r="F915" t="s">
        <v>20</v>
      </c>
      <c r="G915" s="10" t="s">
        <v>21</v>
      </c>
      <c r="H915" t="str">
        <f>"VLC202011038589"</f>
        <v>VLC202011038589</v>
      </c>
      <c r="I915" t="str">
        <f>"CHILD LIFE INSURANCE"</f>
        <v>CHILD LIFE INSURANCE</v>
      </c>
    </row>
    <row r="916" spans="1:9" x14ac:dyDescent="0.25">
      <c r="E916" s="7"/>
      <c r="F916" t="s">
        <v>20</v>
      </c>
      <c r="G916" s="10" t="s">
        <v>21</v>
      </c>
      <c r="H916" t="str">
        <f>"VLC202011178590"</f>
        <v>VLC202011178590</v>
      </c>
      <c r="I916" t="str">
        <f>"CHILD LIFE INSURANCE"</f>
        <v>CHILD LIFE INSURANCE</v>
      </c>
    </row>
    <row r="917" spans="1:9" x14ac:dyDescent="0.25">
      <c r="E917" s="7"/>
      <c r="F917" t="s">
        <v>20</v>
      </c>
      <c r="G917" s="10" t="s">
        <v>21</v>
      </c>
      <c r="H917" t="str">
        <f>"VLS202011038589"</f>
        <v>VLS202011038589</v>
      </c>
      <c r="I917" t="str">
        <f>"SPOUSE LIFE"</f>
        <v>SPOUSE LIFE</v>
      </c>
    </row>
    <row r="918" spans="1:9" x14ac:dyDescent="0.25">
      <c r="E918" s="7"/>
      <c r="F918" t="s">
        <v>20</v>
      </c>
      <c r="G918" s="10" t="s">
        <v>21</v>
      </c>
      <c r="H918" t="str">
        <f>"VLS202011178590"</f>
        <v>VLS202011178590</v>
      </c>
      <c r="I918" t="str">
        <f>"SPOUSE LIFE"</f>
        <v>SPOUSE LIFE</v>
      </c>
    </row>
    <row r="919" spans="1:9" x14ac:dyDescent="0.25">
      <c r="E919" s="7"/>
      <c r="F919" t="s">
        <v>20</v>
      </c>
      <c r="G919" s="10" t="s">
        <v>21</v>
      </c>
      <c r="H919" t="str">
        <f>"VOE202011038589"</f>
        <v>VOE202011038589</v>
      </c>
      <c r="I919" t="str">
        <f>"EMPLOYEE LIFE"</f>
        <v>EMPLOYEE LIFE</v>
      </c>
    </row>
    <row r="920" spans="1:9" x14ac:dyDescent="0.25">
      <c r="E920" s="7"/>
      <c r="F920" t="s">
        <v>20</v>
      </c>
      <c r="G920" s="10" t="s">
        <v>21</v>
      </c>
      <c r="H920" t="str">
        <f>"VOE202011178590"</f>
        <v>VOE202011178590</v>
      </c>
      <c r="I920" t="str">
        <f>"EMPLOYEE LIFE"</f>
        <v>EMPLOYEE LIFE</v>
      </c>
    </row>
    <row r="921" spans="1:9" x14ac:dyDescent="0.25">
      <c r="E921" s="7"/>
      <c r="F921" t="s">
        <v>20</v>
      </c>
      <c r="G921" s="10" t="s">
        <v>21</v>
      </c>
      <c r="H921" t="str">
        <f>"VOL202011038589"</f>
        <v>VOL202011038589</v>
      </c>
      <c r="I921" t="str">
        <f>"LIFE"</f>
        <v>LIFE</v>
      </c>
    </row>
    <row r="922" spans="1:9" x14ac:dyDescent="0.25">
      <c r="E922" s="7"/>
      <c r="F922" t="s">
        <v>20</v>
      </c>
      <c r="G922" s="10" t="s">
        <v>21</v>
      </c>
      <c r="H922" t="str">
        <f>"VOL202011178590"</f>
        <v>VOL202011178590</v>
      </c>
      <c r="I922" t="str">
        <f>"LIFE"</f>
        <v>LIFE</v>
      </c>
    </row>
    <row r="923" spans="1:9" x14ac:dyDescent="0.25">
      <c r="A923" s="6">
        <v>44158</v>
      </c>
      <c r="B923" t="s">
        <v>26</v>
      </c>
      <c r="C923">
        <v>65493</v>
      </c>
      <c r="D923" t="s">
        <v>102</v>
      </c>
      <c r="E923" s="7">
        <v>164.38</v>
      </c>
      <c r="F923" t="s">
        <v>20</v>
      </c>
      <c r="G923" s="10" t="s">
        <v>21</v>
      </c>
      <c r="H923" t="str">
        <f>"1120 D.ST OCT.2020"</f>
        <v>1120 D.ST OCT.2020</v>
      </c>
      <c r="I923" t="str">
        <f>"CENTERPOINT ENERGY ENTEX"</f>
        <v>CENTERPOINT ENERGY ENTEX</v>
      </c>
    </row>
    <row r="924" spans="1:9" x14ac:dyDescent="0.25">
      <c r="E924" s="7"/>
      <c r="F924" t="s">
        <v>20</v>
      </c>
      <c r="G924" s="10" t="s">
        <v>21</v>
      </c>
      <c r="H924" t="str">
        <f>"1200 1ST OCT. 2020"</f>
        <v>1200 1ST OCT. 2020</v>
      </c>
      <c r="I924" t="str">
        <f>"CENTERPOINT ENERGY ENTEX"</f>
        <v>CENTERPOINT ENERGY ENTEX</v>
      </c>
    </row>
    <row r="925" spans="1:9" x14ac:dyDescent="0.25">
      <c r="E925" s="7"/>
      <c r="F925" t="s">
        <v>20</v>
      </c>
      <c r="G925" s="10" t="s">
        <v>21</v>
      </c>
      <c r="H925" t="str">
        <f>"920 C. ST OCT.2020"</f>
        <v>920 C. ST OCT.2020</v>
      </c>
      <c r="I925" t="str">
        <f>"CENTERPOINT ENERGY ENTEX"</f>
        <v>CENTERPOINT ENERGY ENTEX</v>
      </c>
    </row>
    <row r="926" spans="1:9" x14ac:dyDescent="0.25">
      <c r="A926" s="6">
        <v>44158</v>
      </c>
      <c r="B926" t="s">
        <v>26</v>
      </c>
      <c r="C926">
        <v>65494</v>
      </c>
      <c r="D926" t="s">
        <v>57</v>
      </c>
      <c r="E926" s="7">
        <v>9051.92</v>
      </c>
      <c r="F926" t="s">
        <v>20</v>
      </c>
      <c r="G926" s="10" t="s">
        <v>21</v>
      </c>
      <c r="H926" t="str">
        <f>"11617 9/22-10/28"</f>
        <v>11617 9/22-10/28</v>
      </c>
      <c r="I926" t="str">
        <f>"F.E.L.P.S."</f>
        <v>F.E.L.P.S.</v>
      </c>
    </row>
    <row r="927" spans="1:9" x14ac:dyDescent="0.25">
      <c r="E927" s="7"/>
      <c r="F927" t="s">
        <v>20</v>
      </c>
      <c r="G927" s="10" t="s">
        <v>21</v>
      </c>
      <c r="H927" t="str">
        <f>"33062 9/22-10/28"</f>
        <v>33062 9/22-10/28</v>
      </c>
      <c r="I927" t="str">
        <f>"F.E.L.P.S."</f>
        <v>F.E.L.P.S.</v>
      </c>
    </row>
    <row r="928" spans="1:9" x14ac:dyDescent="0.25">
      <c r="A928" s="6">
        <v>44158</v>
      </c>
      <c r="B928" t="s">
        <v>26</v>
      </c>
      <c r="C928">
        <v>65495</v>
      </c>
      <c r="D928" t="s">
        <v>143</v>
      </c>
      <c r="E928" s="7">
        <v>403.02</v>
      </c>
      <c r="F928" t="s">
        <v>20</v>
      </c>
      <c r="G928" s="10" t="s">
        <v>21</v>
      </c>
      <c r="H928" t="str">
        <f>"9402374335"</f>
        <v>9402374335</v>
      </c>
      <c r="I928" t="str">
        <f>"200 GALLONS OF CRS-2 OIL"</f>
        <v>200 GALLONS OF CRS-2 OIL</v>
      </c>
    </row>
    <row r="929" spans="1:9" x14ac:dyDescent="0.25">
      <c r="A929" s="6">
        <v>44158</v>
      </c>
      <c r="B929" t="s">
        <v>26</v>
      </c>
      <c r="C929">
        <v>65496</v>
      </c>
      <c r="D929" t="s">
        <v>103</v>
      </c>
      <c r="E929" s="7">
        <v>95769.74</v>
      </c>
      <c r="F929" t="s">
        <v>20</v>
      </c>
      <c r="G929" s="10" t="s">
        <v>21</v>
      </c>
      <c r="H929" t="str">
        <f>"NOVEMBER SALES TAX"</f>
        <v>NOVEMBER SALES TAX</v>
      </c>
      <c r="I929" t="str">
        <f>"F. E. D. C."</f>
        <v>F. E. D. C.</v>
      </c>
    </row>
    <row r="930" spans="1:9" x14ac:dyDescent="0.25">
      <c r="A930" s="6">
        <v>44158</v>
      </c>
      <c r="B930" t="s">
        <v>26</v>
      </c>
      <c r="C930">
        <v>65497</v>
      </c>
      <c r="D930" t="s">
        <v>104</v>
      </c>
      <c r="E930" s="7">
        <v>184.7</v>
      </c>
      <c r="F930" t="s">
        <v>20</v>
      </c>
      <c r="G930" s="10" t="s">
        <v>21</v>
      </c>
      <c r="H930" t="str">
        <f>"44508"</f>
        <v>44508</v>
      </c>
      <c r="I930" t="str">
        <f>"RED TAGS FOR FRONT OFFICE"</f>
        <v>RED TAGS FOR FRONT OFFICE</v>
      </c>
    </row>
    <row r="931" spans="1:9" x14ac:dyDescent="0.25">
      <c r="A931" s="6">
        <v>44158</v>
      </c>
      <c r="B931" t="s">
        <v>26</v>
      </c>
      <c r="C931">
        <v>65498</v>
      </c>
      <c r="D931" t="s">
        <v>166</v>
      </c>
      <c r="E931" s="7">
        <v>658.39</v>
      </c>
      <c r="F931" t="s">
        <v>20</v>
      </c>
      <c r="G931" s="10" t="s">
        <v>21</v>
      </c>
      <c r="H931" t="str">
        <f>"9567-11/30/2020"</f>
        <v>9567-11/30/2020</v>
      </c>
      <c r="I931" t="str">
        <f>"PITNEY BOWES PURCHASE POWER"</f>
        <v>PITNEY BOWES PURCHASE POWER</v>
      </c>
    </row>
    <row r="932" spans="1:9" x14ac:dyDescent="0.25">
      <c r="A932" s="6">
        <v>44158</v>
      </c>
      <c r="B932" t="s">
        <v>26</v>
      </c>
      <c r="C932">
        <v>65499</v>
      </c>
      <c r="D932" t="s">
        <v>797</v>
      </c>
      <c r="E932" s="7">
        <v>675</v>
      </c>
      <c r="F932" t="s">
        <v>20</v>
      </c>
      <c r="G932" s="10" t="s">
        <v>21</v>
      </c>
      <c r="H932" t="str">
        <f>"HYDRNT REFUND"</f>
        <v>HYDRNT REFUND</v>
      </c>
      <c r="I932" t="str">
        <f>"REFUND"</f>
        <v>REFUND</v>
      </c>
    </row>
    <row r="933" spans="1:9" x14ac:dyDescent="0.25">
      <c r="A933" s="6">
        <v>44158</v>
      </c>
      <c r="B933" t="s">
        <v>26</v>
      </c>
      <c r="C933">
        <v>65500</v>
      </c>
      <c r="D933" t="s">
        <v>1005</v>
      </c>
      <c r="E933" s="7">
        <v>675</v>
      </c>
      <c r="F933" t="s">
        <v>20</v>
      </c>
      <c r="G933" s="10" t="s">
        <v>21</v>
      </c>
      <c r="H933" t="str">
        <f>"HYDRNT REIMBSTMT"</f>
        <v>HYDRNT REIMBSTMT</v>
      </c>
      <c r="I933" t="str">
        <f>"REFU"</f>
        <v>REFU</v>
      </c>
    </row>
    <row r="934" spans="1:9" x14ac:dyDescent="0.25">
      <c r="A934" s="6">
        <v>44158</v>
      </c>
      <c r="B934" t="s">
        <v>26</v>
      </c>
      <c r="C934">
        <v>65501</v>
      </c>
      <c r="D934" t="s">
        <v>62</v>
      </c>
      <c r="E934" s="7">
        <v>2000</v>
      </c>
      <c r="F934" t="s">
        <v>20</v>
      </c>
      <c r="G934" s="10" t="s">
        <v>21</v>
      </c>
      <c r="H934" t="str">
        <f>"E.TORRES 11/23/20"</f>
        <v>E.TORRES 11/23/20</v>
      </c>
      <c r="I934" t="str">
        <f>"PROFICIENT BENEFIT SOLUTIONS"</f>
        <v>PROFICIENT BENEFIT SOLUTIONS</v>
      </c>
    </row>
    <row r="935" spans="1:9" x14ac:dyDescent="0.25">
      <c r="A935" s="6">
        <v>44158</v>
      </c>
      <c r="B935" t="s">
        <v>26</v>
      </c>
      <c r="C935">
        <v>65502</v>
      </c>
      <c r="D935" t="s">
        <v>115</v>
      </c>
      <c r="E935" s="7">
        <v>16.940000000000001</v>
      </c>
      <c r="F935" t="s">
        <v>20</v>
      </c>
      <c r="G935" s="10" t="s">
        <v>21</v>
      </c>
      <c r="H935" t="str">
        <f>"3547787916"</f>
        <v>3547787916</v>
      </c>
      <c r="I935" t="str">
        <f>"WIPERBLADES FOR PRIUS"</f>
        <v>WIPERBLADES FOR PRIUS</v>
      </c>
    </row>
    <row r="936" spans="1:9" x14ac:dyDescent="0.25">
      <c r="A936" s="6">
        <v>44158</v>
      </c>
      <c r="B936" t="s">
        <v>26</v>
      </c>
      <c r="C936">
        <v>65503</v>
      </c>
      <c r="D936" t="s">
        <v>254</v>
      </c>
      <c r="E936" s="7">
        <v>41052.67</v>
      </c>
      <c r="F936" t="s">
        <v>20</v>
      </c>
      <c r="G936" s="10" t="s">
        <v>21</v>
      </c>
      <c r="H936" t="str">
        <f>"QRT END 9/30/2020"</f>
        <v>QRT END 9/30/2020</v>
      </c>
      <c r="I936" t="str">
        <f>"TEXAS WORKFORCE COMMISSION"</f>
        <v>TEXAS WORKFORCE COMMISSION</v>
      </c>
    </row>
    <row r="937" spans="1:9" x14ac:dyDescent="0.25">
      <c r="A937" s="6">
        <v>44158</v>
      </c>
      <c r="B937" t="s">
        <v>26</v>
      </c>
      <c r="C937">
        <v>65504</v>
      </c>
      <c r="D937" t="s">
        <v>122</v>
      </c>
      <c r="E937" s="7">
        <v>90</v>
      </c>
      <c r="F937" t="s">
        <v>20</v>
      </c>
      <c r="G937" s="10" t="s">
        <v>21</v>
      </c>
      <c r="H937" t="str">
        <f>"003251"</f>
        <v>003251</v>
      </c>
      <c r="I937" t="str">
        <f>"VILLA TIRES"</f>
        <v>VILLA TIRES</v>
      </c>
    </row>
    <row r="938" spans="1:9" x14ac:dyDescent="0.25">
      <c r="E938" s="7"/>
      <c r="F938" t="s">
        <v>20</v>
      </c>
      <c r="G938" s="10" t="s">
        <v>21</v>
      </c>
      <c r="H938" t="str">
        <f>"54526056"</f>
        <v>54526056</v>
      </c>
      <c r="I938" t="str">
        <f>"VILLA TIRES"</f>
        <v>VILLA TIRES</v>
      </c>
    </row>
    <row r="939" spans="1:9" x14ac:dyDescent="0.25">
      <c r="A939" s="6">
        <v>44158</v>
      </c>
      <c r="B939" t="s">
        <v>26</v>
      </c>
      <c r="C939">
        <v>65505</v>
      </c>
      <c r="D939" t="s">
        <v>126</v>
      </c>
      <c r="E939" s="7">
        <v>1026.26</v>
      </c>
      <c r="F939" t="s">
        <v>20</v>
      </c>
      <c r="G939" s="10" t="s">
        <v>21</v>
      </c>
      <c r="H939" t="str">
        <f>"0859-002681990"</f>
        <v>0859-002681990</v>
      </c>
      <c r="I939" t="str">
        <f>"REPUBLIC SERVICES #859"</f>
        <v>REPUBLIC SERVICES #859</v>
      </c>
    </row>
    <row r="940" spans="1:9" x14ac:dyDescent="0.25">
      <c r="A940" s="6">
        <v>44158</v>
      </c>
      <c r="B940" t="s">
        <v>26</v>
      </c>
      <c r="C940">
        <v>65506</v>
      </c>
      <c r="D940" t="s">
        <v>81</v>
      </c>
      <c r="E940" s="7">
        <v>34.6</v>
      </c>
      <c r="F940" t="s">
        <v>20</v>
      </c>
      <c r="G940" s="10" t="s">
        <v>21</v>
      </c>
      <c r="H940" t="str">
        <f>"A.MARTINEZ 11/23"</f>
        <v>A.MARTINEZ 11/23</v>
      </c>
      <c r="I940" t="str">
        <f>"CITY OF FLORESVILLE -PETTY CAS"</f>
        <v>CITY OF FLORESVILLE -PETTY CAS</v>
      </c>
    </row>
    <row r="941" spans="1:9" x14ac:dyDescent="0.25">
      <c r="A941" s="6">
        <v>44158</v>
      </c>
      <c r="B941" t="s">
        <v>26</v>
      </c>
      <c r="C941">
        <v>65507</v>
      </c>
      <c r="D941" t="s">
        <v>85</v>
      </c>
      <c r="E941" s="7">
        <v>2831.94</v>
      </c>
      <c r="F941" t="s">
        <v>20</v>
      </c>
      <c r="G941" s="10" t="s">
        <v>21</v>
      </c>
      <c r="H941" t="str">
        <f>"3930579  NOV.2020"</f>
        <v>3930579  NOV.2020</v>
      </c>
      <c r="I941" t="str">
        <f t="shared" ref="I941:I946" si="14">"FRONTIER"</f>
        <v>FRONTIER</v>
      </c>
    </row>
    <row r="942" spans="1:9" x14ac:dyDescent="0.25">
      <c r="E942" s="7"/>
      <c r="F942" t="s">
        <v>20</v>
      </c>
      <c r="G942" s="10" t="s">
        <v>21</v>
      </c>
      <c r="H942" t="str">
        <f>"3933108 NOV.2020"</f>
        <v>3933108 NOV.2020</v>
      </c>
      <c r="I942" t="str">
        <f t="shared" si="14"/>
        <v>FRONTIER</v>
      </c>
    </row>
    <row r="943" spans="1:9" x14ac:dyDescent="0.25">
      <c r="E943" s="7"/>
      <c r="F943" t="s">
        <v>20</v>
      </c>
      <c r="G943" s="10" t="s">
        <v>21</v>
      </c>
      <c r="H943" t="str">
        <f>"3934055 NOV.2020"</f>
        <v>3934055 NOV.2020</v>
      </c>
      <c r="I943" t="str">
        <f t="shared" si="14"/>
        <v>FRONTIER</v>
      </c>
    </row>
    <row r="944" spans="1:9" x14ac:dyDescent="0.25">
      <c r="E944" s="7"/>
      <c r="F944" t="s">
        <v>20</v>
      </c>
      <c r="G944" s="10" t="s">
        <v>21</v>
      </c>
      <c r="H944" t="str">
        <f>"3938193 NOV.2020"</f>
        <v>3938193 NOV.2020</v>
      </c>
      <c r="I944" t="str">
        <f t="shared" si="14"/>
        <v>FRONTIER</v>
      </c>
    </row>
    <row r="945" spans="1:9" x14ac:dyDescent="0.25">
      <c r="E945" s="7"/>
      <c r="F945" t="s">
        <v>20</v>
      </c>
      <c r="G945" s="10" t="s">
        <v>21</v>
      </c>
      <c r="H945" t="str">
        <f>"3939791 NOV. 2020"</f>
        <v>3939791 NOV. 2020</v>
      </c>
      <c r="I945" t="str">
        <f t="shared" si="14"/>
        <v>FRONTIER</v>
      </c>
    </row>
    <row r="946" spans="1:9" x14ac:dyDescent="0.25">
      <c r="E946" s="7"/>
      <c r="F946" t="s">
        <v>20</v>
      </c>
      <c r="G946" s="10" t="s">
        <v>21</v>
      </c>
      <c r="H946" t="str">
        <f>"8301970025 11/20"</f>
        <v>8301970025 11/20</v>
      </c>
      <c r="I946" t="str">
        <f t="shared" si="14"/>
        <v>FRONTIER</v>
      </c>
    </row>
    <row r="947" spans="1:9" x14ac:dyDescent="0.25">
      <c r="A947" s="6">
        <v>44158</v>
      </c>
      <c r="B947" t="s">
        <v>26</v>
      </c>
      <c r="C947">
        <v>65509</v>
      </c>
      <c r="D947" t="s">
        <v>1006</v>
      </c>
      <c r="E947" s="7">
        <v>1477.5</v>
      </c>
      <c r="F947" t="s">
        <v>20</v>
      </c>
      <c r="G947" s="10" t="s">
        <v>21</v>
      </c>
      <c r="H947" t="str">
        <f>"5092387*"</f>
        <v>5092387*</v>
      </c>
      <c r="I947" t="str">
        <f>"BEARCOM WIRELESS WORLDWIDE"</f>
        <v>BEARCOM WIRELESS WORLDWIDE</v>
      </c>
    </row>
    <row r="948" spans="1:9" x14ac:dyDescent="0.25">
      <c r="A948" s="6">
        <v>44158</v>
      </c>
      <c r="B948" t="s">
        <v>26</v>
      </c>
      <c r="C948">
        <v>65510</v>
      </c>
      <c r="D948" t="s">
        <v>326</v>
      </c>
      <c r="E948" s="7">
        <v>38</v>
      </c>
      <c r="F948" t="s">
        <v>20</v>
      </c>
      <c r="G948" s="10" t="s">
        <v>21</v>
      </c>
      <c r="H948" t="str">
        <f>"22546752"</f>
        <v>22546752</v>
      </c>
      <c r="I948" t="str">
        <f>"MATHESON TRI-GAS INC"</f>
        <v>MATHESON TRI-GAS INC</v>
      </c>
    </row>
    <row r="949" spans="1:9" x14ac:dyDescent="0.25">
      <c r="A949" s="6">
        <v>44158</v>
      </c>
      <c r="B949" t="s">
        <v>26</v>
      </c>
      <c r="C949">
        <v>65511</v>
      </c>
      <c r="D949" t="s">
        <v>323</v>
      </c>
      <c r="E949" s="7">
        <v>610</v>
      </c>
      <c r="F949" t="s">
        <v>20</v>
      </c>
      <c r="G949" s="10" t="s">
        <v>21</v>
      </c>
      <c r="H949" t="str">
        <f>"7262"</f>
        <v>7262</v>
      </c>
      <c r="I949" t="str">
        <f>"POLLOK SELF STORAGE LLC"</f>
        <v>POLLOK SELF STORAGE LLC</v>
      </c>
    </row>
    <row r="950" spans="1:9" x14ac:dyDescent="0.25">
      <c r="A950" s="6">
        <v>44158</v>
      </c>
      <c r="B950" t="s">
        <v>26</v>
      </c>
      <c r="C950">
        <v>65512</v>
      </c>
      <c r="D950" t="s">
        <v>630</v>
      </c>
      <c r="E950" s="7">
        <v>3317.22</v>
      </c>
      <c r="F950" t="s">
        <v>20</v>
      </c>
      <c r="G950" s="10" t="s">
        <v>21</v>
      </c>
      <c r="H950" t="str">
        <f>"30827"</f>
        <v>30827</v>
      </c>
      <c r="I950" t="str">
        <f>"RG3 METER COMPANY"</f>
        <v>RG3 METER COMPANY</v>
      </c>
    </row>
    <row r="951" spans="1:9" x14ac:dyDescent="0.25">
      <c r="E951" s="7"/>
      <c r="F951" t="s">
        <v>20</v>
      </c>
      <c r="G951" s="10" t="s">
        <v>21</v>
      </c>
      <c r="H951" t="str">
        <f>"30973"</f>
        <v>30973</v>
      </c>
      <c r="I951" t="str">
        <f>"RG3 METER COMPANY"</f>
        <v>RG3 METER COMPANY</v>
      </c>
    </row>
    <row r="952" spans="1:9" x14ac:dyDescent="0.25">
      <c r="E952" s="7"/>
      <c r="F952" t="s">
        <v>20</v>
      </c>
      <c r="G952" s="10" t="s">
        <v>21</v>
      </c>
      <c r="H952" t="str">
        <f>"31015"</f>
        <v>31015</v>
      </c>
      <c r="I952" t="str">
        <f>"RG3 METER COMPANY"</f>
        <v>RG3 METER COMPANY</v>
      </c>
    </row>
    <row r="953" spans="1:9" x14ac:dyDescent="0.25">
      <c r="A953" s="6">
        <v>44158</v>
      </c>
      <c r="B953" t="s">
        <v>26</v>
      </c>
      <c r="C953">
        <v>65513</v>
      </c>
      <c r="D953" t="s">
        <v>868</v>
      </c>
      <c r="E953" s="7">
        <v>104642.5</v>
      </c>
      <c r="F953" t="s">
        <v>20</v>
      </c>
      <c r="G953" s="10" t="s">
        <v>21</v>
      </c>
      <c r="H953" t="str">
        <f>"APPLICATION #1"</f>
        <v>APPLICATION #1</v>
      </c>
      <c r="I953" t="str">
        <f>"GONZALEZ-DE LA GARZA &amp; ASSOCIA"</f>
        <v>GONZALEZ-DE LA GARZA &amp; ASSOCIA</v>
      </c>
    </row>
    <row r="954" spans="1:9" x14ac:dyDescent="0.25">
      <c r="A954" s="6">
        <v>44158</v>
      </c>
      <c r="B954" t="s">
        <v>26</v>
      </c>
      <c r="C954">
        <v>65514</v>
      </c>
      <c r="D954" t="s">
        <v>1003</v>
      </c>
      <c r="E954" s="7">
        <v>34628.5</v>
      </c>
      <c r="F954" t="s">
        <v>20</v>
      </c>
      <c r="G954" s="10" t="s">
        <v>21</v>
      </c>
      <c r="H954" t="str">
        <f>"DG 210176"</f>
        <v>DG 210176</v>
      </c>
      <c r="I954" t="str">
        <f>"GUNN BUICK GMC  LTD"</f>
        <v>GUNN BUICK GMC  LTD</v>
      </c>
    </row>
    <row r="955" spans="1:9" x14ac:dyDescent="0.25">
      <c r="A955" s="6">
        <v>44158</v>
      </c>
      <c r="B955" t="s">
        <v>26</v>
      </c>
      <c r="C955">
        <v>65515</v>
      </c>
      <c r="D955" t="s">
        <v>1007</v>
      </c>
      <c r="E955" s="7">
        <v>48.57</v>
      </c>
      <c r="F955" t="s">
        <v>20</v>
      </c>
      <c r="G955" s="10" t="s">
        <v>21</v>
      </c>
      <c r="H955" t="str">
        <f>"INS. REIMBURSMENT"</f>
        <v>INS. REIMBURSMENT</v>
      </c>
      <c r="I955" t="str">
        <f>"CYNTHIA STURM"</f>
        <v>CYNTHIA STURM</v>
      </c>
    </row>
    <row r="956" spans="1:9" x14ac:dyDescent="0.25">
      <c r="A956" s="6">
        <v>44166</v>
      </c>
      <c r="B956" t="s">
        <v>26</v>
      </c>
      <c r="C956">
        <v>65521</v>
      </c>
      <c r="D956" t="s">
        <v>51</v>
      </c>
      <c r="E956" s="7">
        <v>327.84</v>
      </c>
      <c r="F956" t="s">
        <v>20</v>
      </c>
      <c r="G956" s="10" t="s">
        <v>21</v>
      </c>
      <c r="H956" t="str">
        <f>"CLE202012018591"</f>
        <v>CLE202012018591</v>
      </c>
      <c r="I956" t="str">
        <f>"CLEAT ONLY DUES"</f>
        <v>CLEAT ONLY DUES</v>
      </c>
    </row>
    <row r="957" spans="1:9" x14ac:dyDescent="0.25">
      <c r="E957" s="7"/>
      <c r="F957" t="s">
        <v>20</v>
      </c>
      <c r="G957" s="10" t="s">
        <v>21</v>
      </c>
      <c r="H957" t="str">
        <f>"PDD202012018591"</f>
        <v>PDD202012018591</v>
      </c>
      <c r="I957" t="str">
        <f>"POLICE OFFICERS ASSOC DUES"</f>
        <v>POLICE OFFICERS ASSOC DUES</v>
      </c>
    </row>
    <row r="958" spans="1:9" x14ac:dyDescent="0.25">
      <c r="A958" s="6">
        <v>44166</v>
      </c>
      <c r="B958" t="s">
        <v>26</v>
      </c>
      <c r="C958">
        <v>65522</v>
      </c>
      <c r="D958" t="s">
        <v>52</v>
      </c>
      <c r="E958" s="7">
        <v>405</v>
      </c>
      <c r="F958" t="s">
        <v>20</v>
      </c>
      <c r="G958" s="10" t="s">
        <v>21</v>
      </c>
      <c r="H958" t="str">
        <f>"CA1202012018591"</f>
        <v>CA1202012018591</v>
      </c>
      <c r="I958" t="str">
        <f>"K RAMIREZ 001200229510060343CV"</f>
        <v>K RAMIREZ 001200229510060343CV</v>
      </c>
    </row>
    <row r="959" spans="1:9" x14ac:dyDescent="0.25">
      <c r="E959" s="7"/>
      <c r="F959" t="s">
        <v>20</v>
      </c>
      <c r="G959" s="10" t="s">
        <v>21</v>
      </c>
      <c r="H959" t="str">
        <f>"CA2202012018591"</f>
        <v>CA2202012018591</v>
      </c>
      <c r="I959" t="str">
        <f>"L HERNANDEZ 001016025203080354"</f>
        <v>L HERNANDEZ 001016025203080354</v>
      </c>
    </row>
    <row r="960" spans="1:9" x14ac:dyDescent="0.25">
      <c r="E960" s="7"/>
      <c r="F960" t="s">
        <v>20</v>
      </c>
      <c r="G960" s="10" t="s">
        <v>21</v>
      </c>
      <c r="H960" t="str">
        <f>"CA3202012018591"</f>
        <v>CA3202012018591</v>
      </c>
      <c r="I960" t="str">
        <f>"00120788612011EM5023JOLENEGARC"</f>
        <v>00120788612011EM5023JOLENEGARC</v>
      </c>
    </row>
    <row r="961" spans="1:9" x14ac:dyDescent="0.25">
      <c r="E961" s="7"/>
      <c r="F961" t="s">
        <v>20</v>
      </c>
      <c r="G961" s="10" t="s">
        <v>21</v>
      </c>
      <c r="H961" t="str">
        <f>"CSA202012018591"</f>
        <v>CSA202012018591</v>
      </c>
      <c r="I961" t="str">
        <f>"S RODRIGUEZ 001281730413050336"</f>
        <v>S RODRIGUEZ 001281730413050336</v>
      </c>
    </row>
    <row r="962" spans="1:9" x14ac:dyDescent="0.25">
      <c r="A962" s="6">
        <v>44166</v>
      </c>
      <c r="B962" t="s">
        <v>26</v>
      </c>
      <c r="C962">
        <v>65523</v>
      </c>
      <c r="D962" t="s">
        <v>54</v>
      </c>
      <c r="E962" s="7">
        <v>1186.68</v>
      </c>
      <c r="F962" t="s">
        <v>20</v>
      </c>
      <c r="G962" s="10" t="s">
        <v>21</v>
      </c>
      <c r="H962" t="str">
        <f>"457202012018591"</f>
        <v>457202012018591</v>
      </c>
      <c r="I962" t="str">
        <f>"CASE # 180-60751 457B DEDUCT"</f>
        <v>CASE # 180-60751 457B DEDUCT</v>
      </c>
    </row>
    <row r="963" spans="1:9" x14ac:dyDescent="0.25">
      <c r="A963" s="6">
        <v>44166</v>
      </c>
      <c r="B963" t="s">
        <v>26</v>
      </c>
      <c r="C963">
        <v>65524</v>
      </c>
      <c r="D963" t="s">
        <v>969</v>
      </c>
      <c r="E963" s="7">
        <v>88.74</v>
      </c>
      <c r="F963" t="s">
        <v>20</v>
      </c>
      <c r="G963" s="10" t="s">
        <v>21</v>
      </c>
      <c r="H963" t="str">
        <f>"ATG202012018591"</f>
        <v>ATG202012018591</v>
      </c>
      <c r="I963" t="str">
        <f>"WG1910853 A. TREVINO"</f>
        <v>WG1910853 A. TREVINO</v>
      </c>
    </row>
    <row r="964" spans="1:9" x14ac:dyDescent="0.25">
      <c r="A964" s="6">
        <v>44167</v>
      </c>
      <c r="B964" t="s">
        <v>91</v>
      </c>
      <c r="C964">
        <v>65525</v>
      </c>
      <c r="D964" t="s">
        <v>878</v>
      </c>
      <c r="E964" s="7">
        <v>346.64</v>
      </c>
      <c r="F964" t="s">
        <v>20</v>
      </c>
      <c r="G964" s="10" t="s">
        <v>21</v>
      </c>
      <c r="H964" t="str">
        <f>"86671"</f>
        <v>86671</v>
      </c>
      <c r="I964" t="str">
        <f>"ANIMAL CONTROL SUPPLIES"</f>
        <v>ANIMAL CONTROL SUPPLIES</v>
      </c>
    </row>
    <row r="965" spans="1:9" x14ac:dyDescent="0.25">
      <c r="E965" s="7"/>
      <c r="F965" t="s">
        <v>20</v>
      </c>
      <c r="G965" s="10" t="s">
        <v>21</v>
      </c>
      <c r="H965" t="str">
        <f>"86671/87450"</f>
        <v>86671/87450</v>
      </c>
      <c r="I965" t="str">
        <f>"ANIMAL CONTROL SUPPLIES"</f>
        <v>ANIMAL CONTROL SUPPLIES</v>
      </c>
    </row>
    <row r="966" spans="1:9" x14ac:dyDescent="0.25">
      <c r="E966" s="7"/>
      <c r="F966" t="s">
        <v>20</v>
      </c>
      <c r="G966" s="10" t="s">
        <v>21</v>
      </c>
      <c r="H966" t="str">
        <f>"87450"</f>
        <v>87450</v>
      </c>
      <c r="I966" t="str">
        <f>"ANIMAL CONTROL SUPPLIES"</f>
        <v>ANIMAL CONTROL SUPPLIES</v>
      </c>
    </row>
    <row r="967" spans="1:9" x14ac:dyDescent="0.25">
      <c r="A967" s="6">
        <v>44167</v>
      </c>
      <c r="B967" t="s">
        <v>91</v>
      </c>
      <c r="C967">
        <v>65525</v>
      </c>
      <c r="D967" t="s">
        <v>878</v>
      </c>
      <c r="E967" s="7">
        <v>346.64</v>
      </c>
      <c r="F967" t="s">
        <v>20</v>
      </c>
      <c r="G967" s="10" t="s">
        <v>93</v>
      </c>
      <c r="H967" t="str">
        <f>"CHECK"</f>
        <v>CHECK</v>
      </c>
      <c r="I967" t="str">
        <f>""</f>
        <v/>
      </c>
    </row>
    <row r="968" spans="1:9" x14ac:dyDescent="0.25">
      <c r="A968" s="6">
        <v>44167</v>
      </c>
      <c r="B968" t="s">
        <v>26</v>
      </c>
      <c r="C968">
        <v>65526</v>
      </c>
      <c r="D968" t="s">
        <v>83</v>
      </c>
      <c r="E968" s="7">
        <v>1080</v>
      </c>
      <c r="F968" t="s">
        <v>20</v>
      </c>
      <c r="G968" s="10" t="s">
        <v>21</v>
      </c>
      <c r="H968" t="str">
        <f>"1381395"</f>
        <v>1381395</v>
      </c>
      <c r="I968" t="str">
        <f>"APPRIVER"</f>
        <v>APPRIVER</v>
      </c>
    </row>
    <row r="969" spans="1:9" x14ac:dyDescent="0.25">
      <c r="A969" s="6">
        <v>44167</v>
      </c>
      <c r="B969" t="s">
        <v>91</v>
      </c>
      <c r="C969">
        <v>65527</v>
      </c>
      <c r="D969" t="s">
        <v>195</v>
      </c>
      <c r="E969" s="7">
        <v>1856.64</v>
      </c>
      <c r="F969" t="s">
        <v>20</v>
      </c>
      <c r="G969" s="10" t="s">
        <v>21</v>
      </c>
      <c r="H969" t="str">
        <f>"1565202011"</f>
        <v>1565202011</v>
      </c>
      <c r="I969" t="str">
        <f>"ARISTA INFORMATION SYSTEMS  IN"</f>
        <v>ARISTA INFORMATION SYSTEMS  IN</v>
      </c>
    </row>
    <row r="970" spans="1:9" x14ac:dyDescent="0.25">
      <c r="E970" s="7"/>
      <c r="F970" t="s">
        <v>20</v>
      </c>
      <c r="G970" s="10" t="s">
        <v>21</v>
      </c>
      <c r="H970" t="str">
        <f>"30772"</f>
        <v>30772</v>
      </c>
      <c r="I970" t="str">
        <f>"ARISTA INFORMATION SYSTEMS  IN"</f>
        <v>ARISTA INFORMATION SYSTEMS  IN</v>
      </c>
    </row>
    <row r="971" spans="1:9" x14ac:dyDescent="0.25">
      <c r="A971" s="6">
        <v>44167</v>
      </c>
      <c r="B971" t="s">
        <v>91</v>
      </c>
      <c r="C971">
        <v>65527</v>
      </c>
      <c r="D971" t="s">
        <v>195</v>
      </c>
      <c r="E971" s="7">
        <v>1856.64</v>
      </c>
      <c r="F971" t="s">
        <v>20</v>
      </c>
      <c r="G971" s="10" t="s">
        <v>93</v>
      </c>
      <c r="H971" t="str">
        <f>"CHECK"</f>
        <v>CHECK</v>
      </c>
      <c r="I971" t="str">
        <f>""</f>
        <v/>
      </c>
    </row>
    <row r="972" spans="1:9" x14ac:dyDescent="0.25">
      <c r="A972" s="6">
        <v>44167</v>
      </c>
      <c r="B972" t="s">
        <v>91</v>
      </c>
      <c r="C972">
        <v>65528</v>
      </c>
      <c r="D972" t="s">
        <v>115</v>
      </c>
      <c r="E972" s="7">
        <v>651.5</v>
      </c>
      <c r="F972" t="s">
        <v>20</v>
      </c>
      <c r="G972" s="10" t="s">
        <v>21</v>
      </c>
      <c r="H972" t="str">
        <f>"3547783838"</f>
        <v>3547783838</v>
      </c>
      <c r="I972" t="str">
        <f>"VEHICLE CLEANING SUPPLIES"</f>
        <v>VEHICLE CLEANING SUPPLIES</v>
      </c>
    </row>
    <row r="973" spans="1:9" x14ac:dyDescent="0.25">
      <c r="E973" s="7"/>
      <c r="F973" t="s">
        <v>20</v>
      </c>
      <c r="G973" s="10" t="s">
        <v>21</v>
      </c>
      <c r="H973" t="str">
        <f>"3547790885"</f>
        <v>3547790885</v>
      </c>
      <c r="I973" t="str">
        <f>"2005 FORD- WW DEPT"</f>
        <v>2005 FORD- WW DEPT</v>
      </c>
    </row>
    <row r="974" spans="1:9" x14ac:dyDescent="0.25">
      <c r="E974" s="7"/>
      <c r="F974" t="s">
        <v>20</v>
      </c>
      <c r="G974" s="10" t="s">
        <v>21</v>
      </c>
      <c r="H974" t="str">
        <f>"3547790886"</f>
        <v>3547790886</v>
      </c>
      <c r="I974" t="str">
        <f>"SHOP SUPPLIES"</f>
        <v>SHOP SUPPLIES</v>
      </c>
    </row>
    <row r="975" spans="1:9" x14ac:dyDescent="0.25">
      <c r="E975" s="7"/>
      <c r="F975" t="s">
        <v>20</v>
      </c>
      <c r="G975" s="10" t="s">
        <v>21</v>
      </c>
      <c r="H975" t="str">
        <f>"3547790887"</f>
        <v>3547790887</v>
      </c>
      <c r="I975" t="str">
        <f>"2006 FORD-STREET DEPT"</f>
        <v>2006 FORD-STREET DEPT</v>
      </c>
    </row>
    <row r="976" spans="1:9" x14ac:dyDescent="0.25">
      <c r="E976" s="7"/>
      <c r="F976" t="s">
        <v>20</v>
      </c>
      <c r="G976" s="10" t="s">
        <v>21</v>
      </c>
      <c r="H976" t="str">
        <f>"3547791732"</f>
        <v>3547791732</v>
      </c>
      <c r="I976" t="str">
        <f>"WW- 2005 FORD TRUCK REPAI"</f>
        <v>WW- 2005 FORD TRUCK REPAI</v>
      </c>
    </row>
    <row r="977" spans="1:9" x14ac:dyDescent="0.25">
      <c r="E977" s="7"/>
      <c r="F977" t="s">
        <v>20</v>
      </c>
      <c r="G977" s="10" t="s">
        <v>21</v>
      </c>
      <c r="H977" t="str">
        <f>"3547792252"</f>
        <v>3547792252</v>
      </c>
      <c r="I977" t="str">
        <f>"WIPER BLADES FOR UNIT 331"</f>
        <v>WIPER BLADES FOR UNIT 331</v>
      </c>
    </row>
    <row r="978" spans="1:9" x14ac:dyDescent="0.25">
      <c r="A978" s="6">
        <v>44167</v>
      </c>
      <c r="B978" t="s">
        <v>91</v>
      </c>
      <c r="C978">
        <v>65528</v>
      </c>
      <c r="D978" t="s">
        <v>115</v>
      </c>
      <c r="E978" s="7">
        <v>651.5</v>
      </c>
      <c r="F978" t="s">
        <v>20</v>
      </c>
      <c r="G978" s="10" t="s">
        <v>93</v>
      </c>
      <c r="H978" t="str">
        <f>"CHECK"</f>
        <v>CHECK</v>
      </c>
      <c r="I978" t="str">
        <f>""</f>
        <v/>
      </c>
    </row>
    <row r="979" spans="1:9" x14ac:dyDescent="0.25">
      <c r="A979" s="6">
        <v>44167</v>
      </c>
      <c r="B979" t="s">
        <v>26</v>
      </c>
      <c r="C979">
        <v>65530</v>
      </c>
      <c r="D979" t="s">
        <v>63</v>
      </c>
      <c r="E979" s="7">
        <v>475</v>
      </c>
      <c r="F979" t="s">
        <v>20</v>
      </c>
      <c r="G979" s="10" t="s">
        <v>21</v>
      </c>
      <c r="H979" t="str">
        <f>"8404882731"</f>
        <v>8404882731</v>
      </c>
      <c r="I979" t="str">
        <f>"CINTAS CORPORATION"</f>
        <v>CINTAS CORPORATION</v>
      </c>
    </row>
    <row r="980" spans="1:9" x14ac:dyDescent="0.25">
      <c r="A980" s="6">
        <v>44167</v>
      </c>
      <c r="B980" t="s">
        <v>26</v>
      </c>
      <c r="C980">
        <v>65531</v>
      </c>
      <c r="D980" t="s">
        <v>71</v>
      </c>
      <c r="E980" s="7">
        <v>1510.09</v>
      </c>
      <c r="F980" t="s">
        <v>20</v>
      </c>
      <c r="G980" s="10" t="s">
        <v>21</v>
      </c>
      <c r="H980" t="str">
        <f>"4066715118"</f>
        <v>4066715118</v>
      </c>
      <c r="I980" t="str">
        <f t="shared" ref="I980:I989" si="15">"CINTAS CORPORATION #087"</f>
        <v>CINTAS CORPORATION #087</v>
      </c>
    </row>
    <row r="981" spans="1:9" x14ac:dyDescent="0.25">
      <c r="E981" s="7"/>
      <c r="F981" t="s">
        <v>20</v>
      </c>
      <c r="G981" s="10" t="s">
        <v>21</v>
      </c>
      <c r="H981" t="str">
        <f>"4066715194"</f>
        <v>4066715194</v>
      </c>
      <c r="I981" t="str">
        <f t="shared" si="15"/>
        <v>CINTAS CORPORATION #087</v>
      </c>
    </row>
    <row r="982" spans="1:9" x14ac:dyDescent="0.25">
      <c r="E982" s="7"/>
      <c r="F982" t="s">
        <v>20</v>
      </c>
      <c r="G982" s="10" t="s">
        <v>21</v>
      </c>
      <c r="H982" t="str">
        <f>"4066715236"</f>
        <v>4066715236</v>
      </c>
      <c r="I982" t="str">
        <f t="shared" si="15"/>
        <v>CINTAS CORPORATION #087</v>
      </c>
    </row>
    <row r="983" spans="1:9" x14ac:dyDescent="0.25">
      <c r="E983" s="7"/>
      <c r="F983" t="s">
        <v>20</v>
      </c>
      <c r="G983" s="10" t="s">
        <v>21</v>
      </c>
      <c r="H983" t="str">
        <f>"4066715267"</f>
        <v>4066715267</v>
      </c>
      <c r="I983" t="str">
        <f t="shared" si="15"/>
        <v>CINTAS CORPORATION #087</v>
      </c>
    </row>
    <row r="984" spans="1:9" x14ac:dyDescent="0.25">
      <c r="E984" s="7"/>
      <c r="F984" t="s">
        <v>20</v>
      </c>
      <c r="G984" s="10" t="s">
        <v>21</v>
      </c>
      <c r="H984" t="str">
        <f>"4067386296"</f>
        <v>4067386296</v>
      </c>
      <c r="I984" t="str">
        <f t="shared" si="15"/>
        <v>CINTAS CORPORATION #087</v>
      </c>
    </row>
    <row r="985" spans="1:9" x14ac:dyDescent="0.25">
      <c r="E985" s="7"/>
      <c r="F985" t="s">
        <v>20</v>
      </c>
      <c r="G985" s="10" t="s">
        <v>21</v>
      </c>
      <c r="H985" t="str">
        <f>"4067386309"</f>
        <v>4067386309</v>
      </c>
      <c r="I985" t="str">
        <f t="shared" si="15"/>
        <v>CINTAS CORPORATION #087</v>
      </c>
    </row>
    <row r="986" spans="1:9" x14ac:dyDescent="0.25">
      <c r="E986" s="7"/>
      <c r="F986" t="s">
        <v>20</v>
      </c>
      <c r="G986" s="10" t="s">
        <v>21</v>
      </c>
      <c r="H986" t="str">
        <f>"4067386314"</f>
        <v>4067386314</v>
      </c>
      <c r="I986" t="str">
        <f t="shared" si="15"/>
        <v>CINTAS CORPORATION #087</v>
      </c>
    </row>
    <row r="987" spans="1:9" x14ac:dyDescent="0.25">
      <c r="E987" s="7"/>
      <c r="F987" t="s">
        <v>20</v>
      </c>
      <c r="G987" s="10" t="s">
        <v>21</v>
      </c>
      <c r="H987" t="str">
        <f>"4067386326"</f>
        <v>4067386326</v>
      </c>
      <c r="I987" t="str">
        <f t="shared" si="15"/>
        <v>CINTAS CORPORATION #087</v>
      </c>
    </row>
    <row r="988" spans="1:9" x14ac:dyDescent="0.25">
      <c r="E988" s="7"/>
      <c r="F988" t="s">
        <v>20</v>
      </c>
      <c r="G988" s="10" t="s">
        <v>21</v>
      </c>
      <c r="H988" t="str">
        <f>"4067386333"</f>
        <v>4067386333</v>
      </c>
      <c r="I988" t="str">
        <f t="shared" si="15"/>
        <v>CINTAS CORPORATION #087</v>
      </c>
    </row>
    <row r="989" spans="1:9" x14ac:dyDescent="0.25">
      <c r="E989" s="7"/>
      <c r="F989" t="s">
        <v>20</v>
      </c>
      <c r="G989" s="10" t="s">
        <v>21</v>
      </c>
      <c r="H989" t="str">
        <f>"4067386355"</f>
        <v>4067386355</v>
      </c>
      <c r="I989" t="str">
        <f t="shared" si="15"/>
        <v>CINTAS CORPORATION #087</v>
      </c>
    </row>
    <row r="990" spans="1:9" x14ac:dyDescent="0.25">
      <c r="A990" s="6">
        <v>44167</v>
      </c>
      <c r="B990" t="s">
        <v>26</v>
      </c>
      <c r="C990">
        <v>65533</v>
      </c>
      <c r="D990" t="s">
        <v>633</v>
      </c>
      <c r="E990" s="7">
        <v>944.74</v>
      </c>
      <c r="F990" t="s">
        <v>20</v>
      </c>
      <c r="G990" s="10" t="s">
        <v>21</v>
      </c>
      <c r="H990" t="str">
        <f>"0096550870"</f>
        <v>0096550870</v>
      </c>
      <c r="I990" t="str">
        <f>"CINTAS FIRE 636525"</f>
        <v>CINTAS FIRE 636525</v>
      </c>
    </row>
    <row r="991" spans="1:9" x14ac:dyDescent="0.25">
      <c r="A991" s="6">
        <v>44167</v>
      </c>
      <c r="B991" t="s">
        <v>26</v>
      </c>
      <c r="C991">
        <v>65534</v>
      </c>
      <c r="D991" t="s">
        <v>647</v>
      </c>
      <c r="E991" s="7">
        <v>5468.21</v>
      </c>
      <c r="F991" t="s">
        <v>20</v>
      </c>
      <c r="G991" s="10" t="s">
        <v>21</v>
      </c>
      <c r="H991" t="str">
        <f>"28148392"</f>
        <v>28148392</v>
      </c>
      <c r="I991" t="str">
        <f>"DOCUMATION  INC."</f>
        <v>DOCUMATION  INC.</v>
      </c>
    </row>
    <row r="992" spans="1:9" x14ac:dyDescent="0.25">
      <c r="A992" s="6">
        <v>44167</v>
      </c>
      <c r="B992" t="s">
        <v>26</v>
      </c>
      <c r="C992">
        <v>65535</v>
      </c>
      <c r="D992" t="s">
        <v>77</v>
      </c>
      <c r="E992" s="7">
        <v>2660.28</v>
      </c>
      <c r="F992" t="s">
        <v>20</v>
      </c>
      <c r="G992" s="10" t="s">
        <v>21</v>
      </c>
      <c r="H992" t="str">
        <f>"857002348-20"</f>
        <v>857002348-20</v>
      </c>
      <c r="I992" t="str">
        <f>"CHLORINE FOR WW"</f>
        <v>CHLORINE FOR WW</v>
      </c>
    </row>
    <row r="993" spans="1:9" x14ac:dyDescent="0.25">
      <c r="E993" s="7"/>
      <c r="F993" t="s">
        <v>20</v>
      </c>
      <c r="G993" s="10" t="s">
        <v>21</v>
      </c>
      <c r="H993" t="str">
        <f>"857002349-20"</f>
        <v>857002349-20</v>
      </c>
      <c r="I993" t="str">
        <f>"CHLORINE ORDER"</f>
        <v>CHLORINE ORDER</v>
      </c>
    </row>
    <row r="994" spans="1:9" x14ac:dyDescent="0.25">
      <c r="E994" s="7"/>
      <c r="F994" t="s">
        <v>20</v>
      </c>
      <c r="G994" s="10" t="s">
        <v>21</v>
      </c>
      <c r="H994" t="str">
        <f>"857002350-20"</f>
        <v>857002350-20</v>
      </c>
      <c r="I994" t="str">
        <f>"CHLORINE ORDER"</f>
        <v>CHLORINE ORDER</v>
      </c>
    </row>
    <row r="995" spans="1:9" x14ac:dyDescent="0.25">
      <c r="E995" s="7"/>
      <c r="F995" t="s">
        <v>20</v>
      </c>
      <c r="G995" s="10" t="s">
        <v>21</v>
      </c>
      <c r="H995" t="str">
        <f>"DE85002291-20"</f>
        <v>DE85002291-20</v>
      </c>
      <c r="I995" t="str">
        <f>"DPC INDUSTRIES  INC."</f>
        <v>DPC INDUSTRIES  INC.</v>
      </c>
    </row>
    <row r="996" spans="1:9" x14ac:dyDescent="0.25">
      <c r="E996" s="7"/>
      <c r="F996" t="s">
        <v>20</v>
      </c>
      <c r="G996" s="10" t="s">
        <v>21</v>
      </c>
      <c r="H996" t="str">
        <f>"DE85002486-20"</f>
        <v>DE85002486-20</v>
      </c>
      <c r="I996" t="str">
        <f>"DPC INDUSTRIES  INC."</f>
        <v>DPC INDUSTRIES  INC.</v>
      </c>
    </row>
    <row r="997" spans="1:9" x14ac:dyDescent="0.25">
      <c r="A997" s="6">
        <v>44167</v>
      </c>
      <c r="B997" t="s">
        <v>26</v>
      </c>
      <c r="C997">
        <v>65536</v>
      </c>
      <c r="D997" t="s">
        <v>831</v>
      </c>
      <c r="E997" s="7">
        <v>1753.85</v>
      </c>
      <c r="F997" t="s">
        <v>20</v>
      </c>
      <c r="G997" s="10" t="s">
        <v>21</v>
      </c>
      <c r="H997" t="str">
        <f>"0048327-IN"</f>
        <v>0048327-IN</v>
      </c>
      <c r="I997" t="str">
        <f>"ENVIRONMENTAL IMPROVEMENTS  IN"</f>
        <v>ENVIRONMENTAL IMPROVEMENTS  IN</v>
      </c>
    </row>
    <row r="998" spans="1:9" x14ac:dyDescent="0.25">
      <c r="A998" s="6">
        <v>44167</v>
      </c>
      <c r="B998" t="s">
        <v>26</v>
      </c>
      <c r="C998">
        <v>65537</v>
      </c>
      <c r="D998" t="s">
        <v>69</v>
      </c>
      <c r="E998" s="7">
        <v>160.06</v>
      </c>
      <c r="F998" t="s">
        <v>20</v>
      </c>
      <c r="G998" s="10" t="s">
        <v>21</v>
      </c>
      <c r="H998" t="str">
        <f>"3C03782"</f>
        <v>3C03782</v>
      </c>
      <c r="I998" t="str">
        <f>"TRACTOR PARKS DEPT"</f>
        <v>TRACTOR PARKS DEPT</v>
      </c>
    </row>
    <row r="999" spans="1:9" x14ac:dyDescent="0.25">
      <c r="E999" s="7"/>
      <c r="F999" t="s">
        <v>20</v>
      </c>
      <c r="G999" s="10" t="s">
        <v>21</v>
      </c>
      <c r="H999" t="str">
        <f>"3C03786"</f>
        <v>3C03786</v>
      </c>
      <c r="I999" t="str">
        <f>"LAWN MOWER REPAIR- W DEPT"</f>
        <v>LAWN MOWER REPAIR- W DEPT</v>
      </c>
    </row>
    <row r="1000" spans="1:9" x14ac:dyDescent="0.25">
      <c r="A1000" s="6">
        <v>44167</v>
      </c>
      <c r="B1000" t="s">
        <v>26</v>
      </c>
      <c r="C1000">
        <v>65538</v>
      </c>
      <c r="D1000" t="s">
        <v>57</v>
      </c>
      <c r="E1000" s="7">
        <v>24777.09</v>
      </c>
      <c r="F1000" t="s">
        <v>20</v>
      </c>
      <c r="G1000" s="10" t="s">
        <v>21</v>
      </c>
      <c r="H1000" t="str">
        <f>"11617 10/15-11/16"</f>
        <v>11617 10/15-11/16</v>
      </c>
      <c r="I1000" t="str">
        <f>"F.E.L.P.S."</f>
        <v>F.E.L.P.S.</v>
      </c>
    </row>
    <row r="1001" spans="1:9" x14ac:dyDescent="0.25">
      <c r="A1001" s="6">
        <v>44167</v>
      </c>
      <c r="B1001" t="s">
        <v>26</v>
      </c>
      <c r="C1001">
        <v>65539</v>
      </c>
      <c r="D1001" t="s">
        <v>79</v>
      </c>
      <c r="E1001" s="7">
        <v>28.54</v>
      </c>
      <c r="F1001" t="s">
        <v>20</v>
      </c>
      <c r="G1001" s="10" t="s">
        <v>21</v>
      </c>
      <c r="H1001" t="str">
        <f>"5951-2892-7"</f>
        <v>5951-2892-7</v>
      </c>
      <c r="I1001" t="str">
        <f>"FEDEX"</f>
        <v>FEDEX</v>
      </c>
    </row>
    <row r="1002" spans="1:9" x14ac:dyDescent="0.25">
      <c r="A1002" s="6">
        <v>44167</v>
      </c>
      <c r="B1002" t="s">
        <v>26</v>
      </c>
      <c r="C1002">
        <v>65540</v>
      </c>
      <c r="D1002" t="s">
        <v>59</v>
      </c>
      <c r="E1002" s="7">
        <v>3972.58</v>
      </c>
      <c r="F1002" t="s">
        <v>20</v>
      </c>
      <c r="G1002" s="10" t="s">
        <v>21</v>
      </c>
      <c r="H1002" t="str">
        <f>"1081315"</f>
        <v>1081315</v>
      </c>
      <c r="I1002" t="str">
        <f>"BOOTS FOR KEITH"</f>
        <v>BOOTS FOR KEITH</v>
      </c>
    </row>
    <row r="1003" spans="1:9" x14ac:dyDescent="0.25">
      <c r="E1003" s="7"/>
      <c r="F1003" t="s">
        <v>20</v>
      </c>
      <c r="G1003" s="10" t="s">
        <v>21</v>
      </c>
      <c r="H1003" t="str">
        <f>"1091421"</f>
        <v>1091421</v>
      </c>
      <c r="I1003" t="str">
        <f>"WATER VALVE-CAPITAL OUTLA"</f>
        <v>WATER VALVE-CAPITAL OUTLA</v>
      </c>
    </row>
    <row r="1004" spans="1:9" x14ac:dyDescent="0.25">
      <c r="E1004" s="7"/>
      <c r="F1004" t="s">
        <v>20</v>
      </c>
      <c r="G1004" s="10" t="s">
        <v>21</v>
      </c>
      <c r="H1004" t="str">
        <f>"1092683"</f>
        <v>1092683</v>
      </c>
      <c r="I1004" t="str">
        <f>"MANHOLE COVERS"</f>
        <v>MANHOLE COVERS</v>
      </c>
    </row>
    <row r="1005" spans="1:9" x14ac:dyDescent="0.25">
      <c r="A1005" s="6">
        <v>44167</v>
      </c>
      <c r="B1005" t="s">
        <v>26</v>
      </c>
      <c r="C1005">
        <v>65541</v>
      </c>
      <c r="D1005" t="s">
        <v>1003</v>
      </c>
      <c r="E1005" s="7">
        <v>400</v>
      </c>
      <c r="F1005" t="s">
        <v>20</v>
      </c>
      <c r="G1005" s="10" t="s">
        <v>21</v>
      </c>
      <c r="H1005" t="str">
        <f>"BBF 1234"</f>
        <v>BBF 1234</v>
      </c>
      <c r="I1005" t="str">
        <f>"GUNN BUICK GMC  LTD"</f>
        <v>GUNN BUICK GMC  LTD</v>
      </c>
    </row>
    <row r="1006" spans="1:9" x14ac:dyDescent="0.25">
      <c r="A1006" s="6">
        <v>44167</v>
      </c>
      <c r="B1006" t="s">
        <v>26</v>
      </c>
      <c r="C1006">
        <v>65542</v>
      </c>
      <c r="D1006" t="s">
        <v>646</v>
      </c>
      <c r="E1006" s="7">
        <v>600</v>
      </c>
      <c r="F1006" t="s">
        <v>20</v>
      </c>
      <c r="G1006" s="10" t="s">
        <v>21</v>
      </c>
      <c r="H1006" t="str">
        <f>"0121825"</f>
        <v>0121825</v>
      </c>
      <c r="I1006" t="str">
        <f>"STEEL CHUTE REPAIR-WW"</f>
        <v>STEEL CHUTE REPAIR-WW</v>
      </c>
    </row>
    <row r="1007" spans="1:9" x14ac:dyDescent="0.25">
      <c r="A1007" s="6">
        <v>44167</v>
      </c>
      <c r="B1007" t="s">
        <v>26</v>
      </c>
      <c r="C1007">
        <v>65543</v>
      </c>
      <c r="D1007" t="s">
        <v>107</v>
      </c>
      <c r="E1007" s="7">
        <v>67.22</v>
      </c>
      <c r="F1007" t="s">
        <v>20</v>
      </c>
      <c r="G1007" s="10" t="s">
        <v>21</v>
      </c>
      <c r="H1007" t="str">
        <f>"1166960-20201031"</f>
        <v>1166960-20201031</v>
      </c>
      <c r="I1007" t="str">
        <f>"LEXISNEXIS RISK SOLUTIONS"</f>
        <v>LEXISNEXIS RISK SOLUTIONS</v>
      </c>
    </row>
    <row r="1008" spans="1:9" x14ac:dyDescent="0.25">
      <c r="A1008" s="6">
        <v>44167</v>
      </c>
      <c r="B1008" t="s">
        <v>26</v>
      </c>
      <c r="C1008">
        <v>65544</v>
      </c>
      <c r="D1008" t="s">
        <v>66</v>
      </c>
      <c r="E1008" s="7">
        <v>150</v>
      </c>
      <c r="F1008" t="s">
        <v>20</v>
      </c>
      <c r="G1008" s="10" t="s">
        <v>21</v>
      </c>
      <c r="H1008" t="str">
        <f>"59598"</f>
        <v>59598</v>
      </c>
      <c r="I1008" t="str">
        <f>"LOPEZ EXTERMINATING SERVICE  I"</f>
        <v>LOPEZ EXTERMINATING SERVICE  I</v>
      </c>
    </row>
    <row r="1009" spans="1:9" x14ac:dyDescent="0.25">
      <c r="A1009" s="6">
        <v>44167</v>
      </c>
      <c r="B1009" t="s">
        <v>26</v>
      </c>
      <c r="C1009">
        <v>65545</v>
      </c>
      <c r="D1009" t="s">
        <v>80</v>
      </c>
      <c r="E1009" s="7">
        <v>1500</v>
      </c>
      <c r="F1009" t="s">
        <v>20</v>
      </c>
      <c r="G1009" s="10" t="s">
        <v>21</v>
      </c>
      <c r="H1009" t="str">
        <f>"1648-20201201-1"</f>
        <v>1648-20201201-1</v>
      </c>
      <c r="I1009" t="str">
        <f>"LVWIFI.COM"</f>
        <v>LVWIFI.COM</v>
      </c>
    </row>
    <row r="1010" spans="1:9" x14ac:dyDescent="0.25">
      <c r="E1010" s="7"/>
      <c r="F1010" t="s">
        <v>20</v>
      </c>
      <c r="G1010" s="10" t="s">
        <v>21</v>
      </c>
      <c r="H1010" t="str">
        <f>"2313-20201201-1"</f>
        <v>2313-20201201-1</v>
      </c>
      <c r="I1010" t="str">
        <f>"LVWIFI.COM"</f>
        <v>LVWIFI.COM</v>
      </c>
    </row>
    <row r="1011" spans="1:9" x14ac:dyDescent="0.25">
      <c r="A1011" s="6">
        <v>44167</v>
      </c>
      <c r="B1011" t="s">
        <v>26</v>
      </c>
      <c r="C1011">
        <v>65546</v>
      </c>
      <c r="D1011" t="s">
        <v>29</v>
      </c>
      <c r="E1011" s="7">
        <v>239.8</v>
      </c>
      <c r="F1011" t="s">
        <v>20</v>
      </c>
      <c r="G1011" s="10" t="s">
        <v>21</v>
      </c>
      <c r="H1011" t="str">
        <f>"47780"</f>
        <v>47780</v>
      </c>
      <c r="I1011" t="str">
        <f>"M &amp; S ENGINEERING  LLC"</f>
        <v>M &amp; S ENGINEERING  LLC</v>
      </c>
    </row>
    <row r="1012" spans="1:9" x14ac:dyDescent="0.25">
      <c r="A1012" s="6">
        <v>44167</v>
      </c>
      <c r="B1012" t="s">
        <v>26</v>
      </c>
      <c r="C1012">
        <v>65547</v>
      </c>
      <c r="D1012" t="s">
        <v>326</v>
      </c>
      <c r="E1012" s="7">
        <v>189.89</v>
      </c>
      <c r="F1012" t="s">
        <v>20</v>
      </c>
      <c r="G1012" s="10" t="s">
        <v>21</v>
      </c>
      <c r="H1012" t="str">
        <f>"22585099"</f>
        <v>22585099</v>
      </c>
      <c r="I1012" t="str">
        <f>"FIELD REPAIR AT SPORTS CO"</f>
        <v>FIELD REPAIR AT SPORTS CO</v>
      </c>
    </row>
    <row r="1013" spans="1:9" x14ac:dyDescent="0.25">
      <c r="A1013" s="6">
        <v>44167</v>
      </c>
      <c r="B1013" t="s">
        <v>26</v>
      </c>
      <c r="C1013">
        <v>65548</v>
      </c>
      <c r="D1013" t="s">
        <v>345</v>
      </c>
      <c r="E1013" s="7">
        <v>418</v>
      </c>
      <c r="F1013" t="s">
        <v>20</v>
      </c>
      <c r="G1013" s="10" t="s">
        <v>21</v>
      </c>
      <c r="H1013" t="str">
        <f>"11/16/2020"</f>
        <v>11/16/2020</v>
      </c>
      <c r="I1013" t="str">
        <f>"MICHAEL ISAAC MARTINEZ"</f>
        <v>MICHAEL ISAAC MARTINEZ</v>
      </c>
    </row>
    <row r="1014" spans="1:9" x14ac:dyDescent="0.25">
      <c r="E1014" s="7"/>
      <c r="F1014" t="s">
        <v>20</v>
      </c>
      <c r="G1014" s="10" t="s">
        <v>21</v>
      </c>
      <c r="H1014" t="str">
        <f>"11/30/2020"</f>
        <v>11/30/2020</v>
      </c>
      <c r="I1014" t="str">
        <f>"MICHAEL ISAAC MARTINEZ"</f>
        <v>MICHAEL ISAAC MARTINEZ</v>
      </c>
    </row>
    <row r="1015" spans="1:9" x14ac:dyDescent="0.25">
      <c r="A1015" s="6">
        <v>44167</v>
      </c>
      <c r="B1015" t="s">
        <v>26</v>
      </c>
      <c r="C1015">
        <v>65549</v>
      </c>
      <c r="D1015" t="s">
        <v>123</v>
      </c>
      <c r="E1015" s="7">
        <v>994.86</v>
      </c>
      <c r="F1015" t="s">
        <v>20</v>
      </c>
      <c r="G1015" s="10" t="s">
        <v>21</v>
      </c>
      <c r="H1015" t="str">
        <f>"134298439001"</f>
        <v>134298439001</v>
      </c>
      <c r="I1015" t="str">
        <f>"OFFICE SUPPLIES"</f>
        <v>OFFICE SUPPLIES</v>
      </c>
    </row>
    <row r="1016" spans="1:9" x14ac:dyDescent="0.25">
      <c r="E1016" s="7"/>
      <c r="F1016" t="s">
        <v>20</v>
      </c>
      <c r="G1016" s="10" t="s">
        <v>21</v>
      </c>
      <c r="H1016" t="str">
        <f>"134306766001"</f>
        <v>134306766001</v>
      </c>
      <c r="I1016" t="str">
        <f>"OFFICE SUPPLIES"</f>
        <v>OFFICE SUPPLIES</v>
      </c>
    </row>
    <row r="1017" spans="1:9" x14ac:dyDescent="0.25">
      <c r="E1017" s="7"/>
      <c r="F1017" t="s">
        <v>20</v>
      </c>
      <c r="G1017" s="10" t="s">
        <v>21</v>
      </c>
      <c r="H1017" t="str">
        <f>"135802738001"</f>
        <v>135802738001</v>
      </c>
      <c r="I1017" t="str">
        <f>"PD OFFICE SUPPLIES"</f>
        <v>PD OFFICE SUPPLIES</v>
      </c>
    </row>
    <row r="1018" spans="1:9" x14ac:dyDescent="0.25">
      <c r="E1018" s="7"/>
      <c r="F1018" t="s">
        <v>20</v>
      </c>
      <c r="G1018" s="10" t="s">
        <v>21</v>
      </c>
      <c r="H1018" t="str">
        <f>"135804059001"</f>
        <v>135804059001</v>
      </c>
      <c r="I1018" t="str">
        <f>"PD OFFICE SUPPLIES"</f>
        <v>PD OFFICE SUPPLIES</v>
      </c>
    </row>
    <row r="1019" spans="1:9" x14ac:dyDescent="0.25">
      <c r="E1019" s="7"/>
      <c r="F1019" t="s">
        <v>20</v>
      </c>
      <c r="G1019" s="10" t="s">
        <v>21</v>
      </c>
      <c r="H1019" t="str">
        <f>"135804060001"</f>
        <v>135804060001</v>
      </c>
      <c r="I1019" t="str">
        <f>"PD OFFICE SUPPLIES"</f>
        <v>PD OFFICE SUPPLIES</v>
      </c>
    </row>
    <row r="1020" spans="1:9" x14ac:dyDescent="0.25">
      <c r="E1020" s="7"/>
      <c r="F1020" t="s">
        <v>20</v>
      </c>
      <c r="G1020" s="10" t="s">
        <v>21</v>
      </c>
      <c r="H1020" t="str">
        <f>"135804061001"</f>
        <v>135804061001</v>
      </c>
      <c r="I1020" t="str">
        <f>"PD OFFICE SUPPLIES"</f>
        <v>PD OFFICE SUPPLIES</v>
      </c>
    </row>
    <row r="1021" spans="1:9" x14ac:dyDescent="0.25">
      <c r="E1021" s="7"/>
      <c r="F1021" t="s">
        <v>20</v>
      </c>
      <c r="G1021" s="10" t="s">
        <v>21</v>
      </c>
      <c r="H1021" t="str">
        <f>"135804064001"</f>
        <v>135804064001</v>
      </c>
      <c r="I1021" t="str">
        <f>"PD OFFICE SUPPLIES"</f>
        <v>PD OFFICE SUPPLIES</v>
      </c>
    </row>
    <row r="1022" spans="1:9" x14ac:dyDescent="0.25">
      <c r="A1022" s="6">
        <v>44167</v>
      </c>
      <c r="B1022" t="s">
        <v>26</v>
      </c>
      <c r="C1022">
        <v>65552</v>
      </c>
      <c r="D1022" t="s">
        <v>137</v>
      </c>
      <c r="E1022" s="7">
        <v>121.9</v>
      </c>
      <c r="F1022" t="s">
        <v>20</v>
      </c>
      <c r="G1022" s="10" t="s">
        <v>21</v>
      </c>
      <c r="H1022" t="str">
        <f>"18454"</f>
        <v>18454</v>
      </c>
      <c r="I1022" t="str">
        <f>"OMNIBUS-M  INC.D.B.A."</f>
        <v>OMNIBUS-M  INC.D.B.A.</v>
      </c>
    </row>
    <row r="1023" spans="1:9" x14ac:dyDescent="0.25">
      <c r="E1023" s="7"/>
      <c r="F1023" t="s">
        <v>20</v>
      </c>
      <c r="G1023" s="10" t="s">
        <v>21</v>
      </c>
      <c r="H1023" t="str">
        <f>"18455"</f>
        <v>18455</v>
      </c>
      <c r="I1023" t="str">
        <f>"OMNIBUS-M  INC.D.B.A."</f>
        <v>OMNIBUS-M  INC.D.B.A.</v>
      </c>
    </row>
    <row r="1024" spans="1:9" x14ac:dyDescent="0.25">
      <c r="A1024" s="6">
        <v>44167</v>
      </c>
      <c r="B1024" t="s">
        <v>26</v>
      </c>
      <c r="C1024">
        <v>65553</v>
      </c>
      <c r="D1024" t="s">
        <v>987</v>
      </c>
      <c r="E1024" s="7">
        <v>2604.96</v>
      </c>
      <c r="F1024" t="s">
        <v>20</v>
      </c>
      <c r="G1024" s="10" t="s">
        <v>21</v>
      </c>
      <c r="H1024" t="str">
        <f>"INV765605"</f>
        <v>INV765605</v>
      </c>
      <c r="I1024" t="str">
        <f>"PIONEER ATHLETICS / REVERE PRO"</f>
        <v>PIONEER ATHLETICS / REVERE PRO</v>
      </c>
    </row>
    <row r="1025" spans="1:9" x14ac:dyDescent="0.25">
      <c r="A1025" s="6">
        <v>44167</v>
      </c>
      <c r="B1025" t="s">
        <v>26</v>
      </c>
      <c r="C1025">
        <v>65554</v>
      </c>
      <c r="D1025" t="s">
        <v>169</v>
      </c>
      <c r="E1025" s="7">
        <v>67.650000000000006</v>
      </c>
      <c r="F1025" t="s">
        <v>20</v>
      </c>
      <c r="G1025" s="10" t="s">
        <v>21</v>
      </c>
      <c r="H1025" t="str">
        <f>"140407"</f>
        <v>140407</v>
      </c>
      <c r="I1025" t="str">
        <f>"THE POLICE AND SHERIFFS PRESS"</f>
        <v>THE POLICE AND SHERIFFS PRESS</v>
      </c>
    </row>
    <row r="1026" spans="1:9" x14ac:dyDescent="0.25">
      <c r="E1026" s="7"/>
      <c r="F1026" t="s">
        <v>20</v>
      </c>
      <c r="G1026" s="10" t="s">
        <v>21</v>
      </c>
      <c r="H1026" t="str">
        <f>"140430"</f>
        <v>140430</v>
      </c>
      <c r="I1026" t="str">
        <f>"THE POLICE AND SHERIFFS PRESS"</f>
        <v>THE POLICE AND SHERIFFS PRESS</v>
      </c>
    </row>
    <row r="1027" spans="1:9" x14ac:dyDescent="0.25">
      <c r="E1027" s="7"/>
      <c r="F1027" t="s">
        <v>20</v>
      </c>
      <c r="G1027" s="10" t="s">
        <v>21</v>
      </c>
      <c r="H1027" t="str">
        <f>"140604"</f>
        <v>140604</v>
      </c>
      <c r="I1027" t="str">
        <f>"THE POLICE AND SHERIFFS PRESS"</f>
        <v>THE POLICE AND SHERIFFS PRESS</v>
      </c>
    </row>
    <row r="1028" spans="1:9" x14ac:dyDescent="0.25">
      <c r="A1028" s="6">
        <v>44167</v>
      </c>
      <c r="B1028" t="s">
        <v>26</v>
      </c>
      <c r="C1028">
        <v>65555</v>
      </c>
      <c r="D1028" t="s">
        <v>119</v>
      </c>
      <c r="E1028" s="7">
        <v>30</v>
      </c>
      <c r="F1028" t="s">
        <v>20</v>
      </c>
      <c r="G1028" s="10" t="s">
        <v>21</v>
      </c>
      <c r="H1028" t="str">
        <f>"71532"</f>
        <v>71532</v>
      </c>
      <c r="I1028" t="str">
        <f>"BACKHOE TIRE MOUNT-STREET"</f>
        <v>BACKHOE TIRE MOUNT-STREET</v>
      </c>
    </row>
    <row r="1029" spans="1:9" x14ac:dyDescent="0.25">
      <c r="A1029" s="6">
        <v>44167</v>
      </c>
      <c r="B1029" t="s">
        <v>26</v>
      </c>
      <c r="C1029">
        <v>65556</v>
      </c>
      <c r="D1029" t="s">
        <v>945</v>
      </c>
      <c r="E1029" s="7">
        <v>896.36</v>
      </c>
      <c r="F1029" t="s">
        <v>20</v>
      </c>
      <c r="G1029" s="10" t="s">
        <v>21</v>
      </c>
      <c r="H1029" t="str">
        <f>"4710084465"</f>
        <v>4710084465</v>
      </c>
      <c r="I1029" t="str">
        <f>"TIRES"</f>
        <v>TIRES</v>
      </c>
    </row>
    <row r="1030" spans="1:9" x14ac:dyDescent="0.25">
      <c r="E1030" s="7"/>
      <c r="F1030" t="s">
        <v>20</v>
      </c>
      <c r="G1030" s="10" t="s">
        <v>21</v>
      </c>
      <c r="H1030" t="str">
        <f>"4710084467"</f>
        <v>4710084467</v>
      </c>
      <c r="I1030" t="str">
        <f>"STREET TRAILER TIRES"</f>
        <v>STREET TRAILER TIRES</v>
      </c>
    </row>
    <row r="1031" spans="1:9" x14ac:dyDescent="0.25">
      <c r="E1031" s="7"/>
      <c r="F1031" t="s">
        <v>20</v>
      </c>
      <c r="G1031" s="10" t="s">
        <v>21</v>
      </c>
      <c r="H1031" t="str">
        <f>"4710086189"</f>
        <v>4710086189</v>
      </c>
      <c r="I1031" t="str">
        <f>"BACKHOE TIRE-STREETS DEPT"</f>
        <v>BACKHOE TIRE-STREETS DEPT</v>
      </c>
    </row>
    <row r="1032" spans="1:9" x14ac:dyDescent="0.25">
      <c r="E1032" s="7"/>
      <c r="F1032" t="s">
        <v>20</v>
      </c>
      <c r="G1032" s="10" t="s">
        <v>21</v>
      </c>
      <c r="H1032" t="str">
        <f>"4710086955"</f>
        <v>4710086955</v>
      </c>
      <c r="I1032" t="str">
        <f>"WATER DEPT-BACKHOE TIRE"</f>
        <v>WATER DEPT-BACKHOE TIRE</v>
      </c>
    </row>
    <row r="1033" spans="1:9" x14ac:dyDescent="0.25">
      <c r="A1033" s="6">
        <v>44167</v>
      </c>
      <c r="B1033" t="s">
        <v>26</v>
      </c>
      <c r="C1033">
        <v>65557</v>
      </c>
      <c r="D1033" t="s">
        <v>132</v>
      </c>
      <c r="E1033" s="7">
        <v>60.03</v>
      </c>
      <c r="F1033" t="s">
        <v>20</v>
      </c>
      <c r="G1033" s="10" t="s">
        <v>21</v>
      </c>
      <c r="H1033" t="str">
        <f>"16992887 110520"</f>
        <v>16992887 110520</v>
      </c>
      <c r="I1033" t="str">
        <f>"SPARKLETTS &amp; SIERRA SPRINGS"</f>
        <v>SPARKLETTS &amp; SIERRA SPRINGS</v>
      </c>
    </row>
    <row r="1034" spans="1:9" x14ac:dyDescent="0.25">
      <c r="A1034" s="6">
        <v>44167</v>
      </c>
      <c r="B1034" t="s">
        <v>26</v>
      </c>
      <c r="C1034">
        <v>65558</v>
      </c>
      <c r="D1034" t="s">
        <v>84</v>
      </c>
      <c r="E1034" s="7">
        <v>649.75</v>
      </c>
      <c r="F1034" t="s">
        <v>20</v>
      </c>
      <c r="G1034" s="10" t="s">
        <v>21</v>
      </c>
      <c r="H1034" t="str">
        <f>"1722680"</f>
        <v>1722680</v>
      </c>
      <c r="I1034" t="str">
        <f>"STANTEC CONSULTING SERVICES IN"</f>
        <v>STANTEC CONSULTING SERVICES IN</v>
      </c>
    </row>
    <row r="1035" spans="1:9" x14ac:dyDescent="0.25">
      <c r="A1035" s="6">
        <v>44167</v>
      </c>
      <c r="B1035" t="s">
        <v>26</v>
      </c>
      <c r="C1035">
        <v>65559</v>
      </c>
      <c r="D1035" t="s">
        <v>554</v>
      </c>
      <c r="E1035" s="7">
        <v>74.95</v>
      </c>
      <c r="F1035" t="s">
        <v>20</v>
      </c>
      <c r="G1035" s="10" t="s">
        <v>21</v>
      </c>
      <c r="H1035" t="str">
        <f>"AB09546"</f>
        <v>AB09546</v>
      </c>
      <c r="I1035" t="str">
        <f>"TEXAS WIRED MUSIC"</f>
        <v>TEXAS WIRED MUSIC</v>
      </c>
    </row>
    <row r="1036" spans="1:9" x14ac:dyDescent="0.25">
      <c r="A1036" s="6">
        <v>44167</v>
      </c>
      <c r="B1036" t="s">
        <v>91</v>
      </c>
      <c r="C1036">
        <v>65560</v>
      </c>
      <c r="D1036" t="s">
        <v>31</v>
      </c>
      <c r="E1036" s="7">
        <v>2000</v>
      </c>
      <c r="F1036" t="s">
        <v>20</v>
      </c>
      <c r="G1036" s="10" t="s">
        <v>21</v>
      </c>
      <c r="H1036" t="str">
        <f>"2020250"</f>
        <v>2020250</v>
      </c>
      <c r="I1036" t="str">
        <f>"THE LAW OFFICE OF TOM CALDWELL"</f>
        <v>THE LAW OFFICE OF TOM CALDWELL</v>
      </c>
    </row>
    <row r="1037" spans="1:9" x14ac:dyDescent="0.25">
      <c r="A1037" s="6">
        <v>44167</v>
      </c>
      <c r="B1037" t="s">
        <v>91</v>
      </c>
      <c r="C1037">
        <v>65560</v>
      </c>
      <c r="D1037" t="s">
        <v>31</v>
      </c>
      <c r="E1037" s="7">
        <v>2000</v>
      </c>
      <c r="F1037" t="s">
        <v>20</v>
      </c>
      <c r="G1037" s="10" t="s">
        <v>93</v>
      </c>
      <c r="H1037" t="str">
        <f>"CHECK"</f>
        <v>CHECK</v>
      </c>
      <c r="I1037" t="str">
        <f>""</f>
        <v/>
      </c>
    </row>
    <row r="1038" spans="1:9" x14ac:dyDescent="0.25">
      <c r="A1038" s="6">
        <v>44167</v>
      </c>
      <c r="B1038" t="s">
        <v>26</v>
      </c>
      <c r="C1038">
        <v>65561</v>
      </c>
      <c r="D1038" t="s">
        <v>61</v>
      </c>
      <c r="E1038" s="7">
        <v>5133.8999999999996</v>
      </c>
      <c r="F1038" t="s">
        <v>20</v>
      </c>
      <c r="G1038" s="10" t="s">
        <v>21</v>
      </c>
      <c r="H1038" t="str">
        <f>"025-314793"</f>
        <v>025-314793</v>
      </c>
      <c r="I1038" t="str">
        <f>"TYLER TECHNOLOGIES  INC."</f>
        <v>TYLER TECHNOLOGIES  INC.</v>
      </c>
    </row>
    <row r="1039" spans="1:9" x14ac:dyDescent="0.25">
      <c r="E1039" s="7"/>
      <c r="F1039" t="s">
        <v>20</v>
      </c>
      <c r="G1039" s="10" t="s">
        <v>21</v>
      </c>
      <c r="H1039" t="str">
        <f>"025-315180"</f>
        <v>025-315180</v>
      </c>
      <c r="I1039" t="str">
        <f>"TYLER TECHNOLOGIES  INC."</f>
        <v>TYLER TECHNOLOGIES  INC.</v>
      </c>
    </row>
    <row r="1040" spans="1:9" x14ac:dyDescent="0.25">
      <c r="E1040" s="7"/>
      <c r="F1040" t="s">
        <v>20</v>
      </c>
      <c r="G1040" s="10" t="s">
        <v>21</v>
      </c>
      <c r="H1040" t="str">
        <f>"025-315747"</f>
        <v>025-315747</v>
      </c>
      <c r="I1040" t="str">
        <f>"TYLER TECHNOLOGIES  INC."</f>
        <v>TYLER TECHNOLOGIES  INC.</v>
      </c>
    </row>
    <row r="1041" spans="1:9" x14ac:dyDescent="0.25">
      <c r="A1041" s="6">
        <v>44167</v>
      </c>
      <c r="B1041" t="s">
        <v>26</v>
      </c>
      <c r="C1041">
        <v>65562</v>
      </c>
      <c r="D1041" t="s">
        <v>644</v>
      </c>
      <c r="E1041" s="7">
        <v>1526.55</v>
      </c>
      <c r="F1041" t="s">
        <v>20</v>
      </c>
      <c r="G1041" s="10" t="s">
        <v>21</v>
      </c>
      <c r="H1041" t="str">
        <f>"8213527214"</f>
        <v>8213527214</v>
      </c>
      <c r="I1041" t="str">
        <f t="shared" ref="I1041:I1060" si="16">"UNIFIRST CORPORATION"</f>
        <v>UNIFIRST CORPORATION</v>
      </c>
    </row>
    <row r="1042" spans="1:9" x14ac:dyDescent="0.25">
      <c r="E1042" s="7"/>
      <c r="F1042" t="s">
        <v>20</v>
      </c>
      <c r="G1042" s="10" t="s">
        <v>21</v>
      </c>
      <c r="H1042" t="str">
        <f>"8213527215"</f>
        <v>8213527215</v>
      </c>
      <c r="I1042" t="str">
        <f t="shared" si="16"/>
        <v>UNIFIRST CORPORATION</v>
      </c>
    </row>
    <row r="1043" spans="1:9" x14ac:dyDescent="0.25">
      <c r="E1043" s="7"/>
      <c r="F1043" t="s">
        <v>20</v>
      </c>
      <c r="G1043" s="10" t="s">
        <v>21</v>
      </c>
      <c r="H1043" t="str">
        <f>"8213527216"</f>
        <v>8213527216</v>
      </c>
      <c r="I1043" t="str">
        <f t="shared" si="16"/>
        <v>UNIFIRST CORPORATION</v>
      </c>
    </row>
    <row r="1044" spans="1:9" x14ac:dyDescent="0.25">
      <c r="E1044" s="7"/>
      <c r="F1044" t="s">
        <v>20</v>
      </c>
      <c r="G1044" s="10" t="s">
        <v>21</v>
      </c>
      <c r="H1044" t="str">
        <f>"8213527217"</f>
        <v>8213527217</v>
      </c>
      <c r="I1044" t="str">
        <f t="shared" si="16"/>
        <v>UNIFIRST CORPORATION</v>
      </c>
    </row>
    <row r="1045" spans="1:9" x14ac:dyDescent="0.25">
      <c r="E1045" s="7"/>
      <c r="F1045" t="s">
        <v>20</v>
      </c>
      <c r="G1045" s="10" t="s">
        <v>21</v>
      </c>
      <c r="H1045" t="str">
        <f>"8213527218"</f>
        <v>8213527218</v>
      </c>
      <c r="I1045" t="str">
        <f t="shared" si="16"/>
        <v>UNIFIRST CORPORATION</v>
      </c>
    </row>
    <row r="1046" spans="1:9" x14ac:dyDescent="0.25">
      <c r="E1046" s="7"/>
      <c r="F1046" t="s">
        <v>20</v>
      </c>
      <c r="G1046" s="10" t="s">
        <v>21</v>
      </c>
      <c r="H1046" t="str">
        <f>"8213527219"</f>
        <v>8213527219</v>
      </c>
      <c r="I1046" t="str">
        <f t="shared" si="16"/>
        <v>UNIFIRST CORPORATION</v>
      </c>
    </row>
    <row r="1047" spans="1:9" x14ac:dyDescent="0.25">
      <c r="E1047" s="7"/>
      <c r="F1047" t="s">
        <v>20</v>
      </c>
      <c r="G1047" s="10" t="s">
        <v>21</v>
      </c>
      <c r="H1047" t="str">
        <f>"8213529810"</f>
        <v>8213529810</v>
      </c>
      <c r="I1047" t="str">
        <f t="shared" si="16"/>
        <v>UNIFIRST CORPORATION</v>
      </c>
    </row>
    <row r="1048" spans="1:9" x14ac:dyDescent="0.25">
      <c r="E1048" s="7"/>
      <c r="F1048" t="s">
        <v>20</v>
      </c>
      <c r="G1048" s="10" t="s">
        <v>21</v>
      </c>
      <c r="H1048" t="str">
        <f>"8213529811"</f>
        <v>8213529811</v>
      </c>
      <c r="I1048" t="str">
        <f t="shared" si="16"/>
        <v>UNIFIRST CORPORATION</v>
      </c>
    </row>
    <row r="1049" spans="1:9" x14ac:dyDescent="0.25">
      <c r="E1049" s="7"/>
      <c r="F1049" t="s">
        <v>20</v>
      </c>
      <c r="G1049" s="10" t="s">
        <v>21</v>
      </c>
      <c r="H1049" t="str">
        <f>"8213529812"</f>
        <v>8213529812</v>
      </c>
      <c r="I1049" t="str">
        <f t="shared" si="16"/>
        <v>UNIFIRST CORPORATION</v>
      </c>
    </row>
    <row r="1050" spans="1:9" x14ac:dyDescent="0.25">
      <c r="E1050" s="7"/>
      <c r="F1050" t="s">
        <v>20</v>
      </c>
      <c r="G1050" s="10" t="s">
        <v>21</v>
      </c>
      <c r="H1050" t="str">
        <f>"8213529813"</f>
        <v>8213529813</v>
      </c>
      <c r="I1050" t="str">
        <f t="shared" si="16"/>
        <v>UNIFIRST CORPORATION</v>
      </c>
    </row>
    <row r="1051" spans="1:9" x14ac:dyDescent="0.25">
      <c r="E1051" s="7"/>
      <c r="F1051" t="s">
        <v>20</v>
      </c>
      <c r="G1051" s="10" t="s">
        <v>21</v>
      </c>
      <c r="H1051" t="str">
        <f>"8213529814"</f>
        <v>8213529814</v>
      </c>
      <c r="I1051" t="str">
        <f t="shared" si="16"/>
        <v>UNIFIRST CORPORATION</v>
      </c>
    </row>
    <row r="1052" spans="1:9" x14ac:dyDescent="0.25">
      <c r="E1052" s="7"/>
      <c r="F1052" t="s">
        <v>20</v>
      </c>
      <c r="G1052" s="10" t="s">
        <v>21</v>
      </c>
      <c r="H1052" t="str">
        <f>"8213529815"</f>
        <v>8213529815</v>
      </c>
      <c r="I1052" t="str">
        <f t="shared" si="16"/>
        <v>UNIFIRST CORPORATION</v>
      </c>
    </row>
    <row r="1053" spans="1:9" x14ac:dyDescent="0.25">
      <c r="E1053" s="7"/>
      <c r="F1053" t="s">
        <v>20</v>
      </c>
      <c r="G1053" s="10" t="s">
        <v>21</v>
      </c>
      <c r="H1053" t="str">
        <f>"8213529816"</f>
        <v>8213529816</v>
      </c>
      <c r="I1053" t="str">
        <f t="shared" si="16"/>
        <v>UNIFIRST CORPORATION</v>
      </c>
    </row>
    <row r="1054" spans="1:9" x14ac:dyDescent="0.25">
      <c r="E1054" s="7"/>
      <c r="F1054" t="s">
        <v>20</v>
      </c>
      <c r="G1054" s="10" t="s">
        <v>21</v>
      </c>
      <c r="H1054" t="str">
        <f>"8213532459"</f>
        <v>8213532459</v>
      </c>
      <c r="I1054" t="str">
        <f t="shared" si="16"/>
        <v>UNIFIRST CORPORATION</v>
      </c>
    </row>
    <row r="1055" spans="1:9" x14ac:dyDescent="0.25">
      <c r="E1055" s="7"/>
      <c r="F1055" t="s">
        <v>20</v>
      </c>
      <c r="G1055" s="10" t="s">
        <v>21</v>
      </c>
      <c r="H1055" t="str">
        <f>"8213532460"</f>
        <v>8213532460</v>
      </c>
      <c r="I1055" t="str">
        <f t="shared" si="16"/>
        <v>UNIFIRST CORPORATION</v>
      </c>
    </row>
    <row r="1056" spans="1:9" x14ac:dyDescent="0.25">
      <c r="E1056" s="7"/>
      <c r="F1056" t="s">
        <v>20</v>
      </c>
      <c r="G1056" s="10" t="s">
        <v>21</v>
      </c>
      <c r="H1056" t="str">
        <f>"8213532461"</f>
        <v>8213532461</v>
      </c>
      <c r="I1056" t="str">
        <f t="shared" si="16"/>
        <v>UNIFIRST CORPORATION</v>
      </c>
    </row>
    <row r="1057" spans="1:9" x14ac:dyDescent="0.25">
      <c r="E1057" s="7"/>
      <c r="F1057" t="s">
        <v>20</v>
      </c>
      <c r="G1057" s="10" t="s">
        <v>21</v>
      </c>
      <c r="H1057" t="str">
        <f>"8213532462"</f>
        <v>8213532462</v>
      </c>
      <c r="I1057" t="str">
        <f t="shared" si="16"/>
        <v>UNIFIRST CORPORATION</v>
      </c>
    </row>
    <row r="1058" spans="1:9" x14ac:dyDescent="0.25">
      <c r="E1058" s="7"/>
      <c r="F1058" t="s">
        <v>20</v>
      </c>
      <c r="G1058" s="10" t="s">
        <v>21</v>
      </c>
      <c r="H1058" t="str">
        <f>"8213532463"</f>
        <v>8213532463</v>
      </c>
      <c r="I1058" t="str">
        <f t="shared" si="16"/>
        <v>UNIFIRST CORPORATION</v>
      </c>
    </row>
    <row r="1059" spans="1:9" x14ac:dyDescent="0.25">
      <c r="E1059" s="7"/>
      <c r="F1059" t="s">
        <v>20</v>
      </c>
      <c r="G1059" s="10" t="s">
        <v>21</v>
      </c>
      <c r="H1059" t="str">
        <f>"8213532464"</f>
        <v>8213532464</v>
      </c>
      <c r="I1059" t="str">
        <f t="shared" si="16"/>
        <v>UNIFIRST CORPORATION</v>
      </c>
    </row>
    <row r="1060" spans="1:9" x14ac:dyDescent="0.25">
      <c r="E1060" s="7"/>
      <c r="F1060" t="s">
        <v>20</v>
      </c>
      <c r="G1060" s="10" t="s">
        <v>21</v>
      </c>
      <c r="H1060" t="str">
        <f>"8213532465"</f>
        <v>8213532465</v>
      </c>
      <c r="I1060" t="str">
        <f t="shared" si="16"/>
        <v>UNIFIRST CORPORATION</v>
      </c>
    </row>
    <row r="1061" spans="1:9" x14ac:dyDescent="0.25">
      <c r="A1061" s="6">
        <v>44167</v>
      </c>
      <c r="B1061" t="s">
        <v>26</v>
      </c>
      <c r="C1061">
        <v>65566</v>
      </c>
      <c r="D1061" t="s">
        <v>203</v>
      </c>
      <c r="E1061" s="7">
        <v>1003.85</v>
      </c>
      <c r="F1061" t="s">
        <v>20</v>
      </c>
      <c r="G1061" s="10" t="s">
        <v>21</v>
      </c>
      <c r="H1061" t="str">
        <f>"410924"</f>
        <v>410924</v>
      </c>
      <c r="I1061" t="str">
        <f>"WW PLANT SUPPLIES"</f>
        <v>WW PLANT SUPPLIES</v>
      </c>
    </row>
    <row r="1062" spans="1:9" x14ac:dyDescent="0.25">
      <c r="E1062" s="7"/>
      <c r="F1062" t="s">
        <v>20</v>
      </c>
      <c r="G1062" s="10" t="s">
        <v>21</v>
      </c>
      <c r="H1062" t="str">
        <f>"416067"</f>
        <v>416067</v>
      </c>
      <c r="I1062" t="str">
        <f>"SAFETY GOOGLES"</f>
        <v>SAFETY GOOGLES</v>
      </c>
    </row>
    <row r="1063" spans="1:9" x14ac:dyDescent="0.25">
      <c r="A1063" s="6">
        <v>44167</v>
      </c>
      <c r="B1063" t="s">
        <v>26</v>
      </c>
      <c r="C1063">
        <v>65567</v>
      </c>
      <c r="D1063" t="s">
        <v>122</v>
      </c>
      <c r="E1063" s="7">
        <v>30</v>
      </c>
      <c r="F1063" t="s">
        <v>20</v>
      </c>
      <c r="G1063" s="10" t="s">
        <v>21</v>
      </c>
      <c r="H1063" t="str">
        <f>"54526060"</f>
        <v>54526060</v>
      </c>
      <c r="I1063" t="str">
        <f>"VILLA TIRES"</f>
        <v>VILLA TIRES</v>
      </c>
    </row>
    <row r="1064" spans="1:9" x14ac:dyDescent="0.25">
      <c r="E1064" s="7"/>
      <c r="F1064" t="s">
        <v>20</v>
      </c>
      <c r="G1064" s="10" t="s">
        <v>21</v>
      </c>
      <c r="H1064" t="str">
        <f>"54526064"</f>
        <v>54526064</v>
      </c>
      <c r="I1064" t="str">
        <f>"VILLA TIRES"</f>
        <v>VILLA TIRES</v>
      </c>
    </row>
    <row r="1065" spans="1:9" x14ac:dyDescent="0.25">
      <c r="E1065" s="7"/>
      <c r="F1065" t="s">
        <v>20</v>
      </c>
      <c r="G1065" s="10" t="s">
        <v>21</v>
      </c>
      <c r="H1065" t="str">
        <f>"54526067"</f>
        <v>54526067</v>
      </c>
      <c r="I1065" t="str">
        <f>"VILLA TIRES"</f>
        <v>VILLA TIRES</v>
      </c>
    </row>
    <row r="1066" spans="1:9" x14ac:dyDescent="0.25">
      <c r="A1066" s="6">
        <v>44167</v>
      </c>
      <c r="B1066" t="s">
        <v>26</v>
      </c>
      <c r="C1066">
        <v>65568</v>
      </c>
      <c r="D1066" t="s">
        <v>202</v>
      </c>
      <c r="E1066" s="7">
        <v>981.07</v>
      </c>
      <c r="F1066" t="s">
        <v>20</v>
      </c>
      <c r="G1066" s="10" t="s">
        <v>21</v>
      </c>
      <c r="H1066" t="str">
        <f>"62207119"</f>
        <v>62207119</v>
      </c>
      <c r="I1066" t="str">
        <f>"A-2 BASE AND COLD MIX"</f>
        <v>A-2 BASE AND COLD MIX</v>
      </c>
    </row>
    <row r="1067" spans="1:9" x14ac:dyDescent="0.25">
      <c r="A1067" s="6">
        <v>44167</v>
      </c>
      <c r="B1067" t="s">
        <v>26</v>
      </c>
      <c r="C1067">
        <v>65569</v>
      </c>
      <c r="D1067" t="s">
        <v>1008</v>
      </c>
      <c r="E1067" s="7">
        <v>2200</v>
      </c>
      <c r="F1067" t="s">
        <v>20</v>
      </c>
      <c r="G1067" s="10" t="s">
        <v>21</v>
      </c>
      <c r="H1067" t="str">
        <f>"1301"</f>
        <v>1301</v>
      </c>
      <c r="I1067" t="str">
        <f>"LINEX/BULK FOR NEW TRUCKS"</f>
        <v>LINEX/BULK FOR NEW TRUCKS</v>
      </c>
    </row>
    <row r="1068" spans="1:9" x14ac:dyDescent="0.25">
      <c r="A1068" s="6">
        <v>44167</v>
      </c>
      <c r="B1068" t="s">
        <v>26</v>
      </c>
      <c r="C1068">
        <v>65570</v>
      </c>
      <c r="D1068" t="s">
        <v>186</v>
      </c>
      <c r="E1068" s="7">
        <v>7703.94</v>
      </c>
      <c r="F1068" t="s">
        <v>20</v>
      </c>
      <c r="G1068" s="10" t="s">
        <v>21</v>
      </c>
      <c r="H1068" t="str">
        <f>"1ST QRT1/1-3/31/21"</f>
        <v>1ST QRT1/1-3/31/21</v>
      </c>
      <c r="I1068" t="str">
        <f>"WILSON COUNTY APPRAISAL DISTRI"</f>
        <v>WILSON COUNTY APPRAISAL DISTRI</v>
      </c>
    </row>
    <row r="1069" spans="1:9" x14ac:dyDescent="0.25">
      <c r="A1069" s="6">
        <v>44168</v>
      </c>
      <c r="B1069" t="s">
        <v>26</v>
      </c>
      <c r="C1069">
        <v>65571</v>
      </c>
      <c r="D1069" t="s">
        <v>115</v>
      </c>
      <c r="E1069" s="7">
        <v>651.5</v>
      </c>
      <c r="F1069" t="s">
        <v>20</v>
      </c>
      <c r="G1069" s="10" t="s">
        <v>21</v>
      </c>
      <c r="H1069" t="str">
        <f>"3547783838*"</f>
        <v>3547783838*</v>
      </c>
      <c r="I1069" t="str">
        <f t="shared" ref="I1069:I1074" si="17">"AUTOZONE"</f>
        <v>AUTOZONE</v>
      </c>
    </row>
    <row r="1070" spans="1:9" x14ac:dyDescent="0.25">
      <c r="E1070" s="7"/>
      <c r="F1070" t="s">
        <v>20</v>
      </c>
      <c r="G1070" s="10" t="s">
        <v>21</v>
      </c>
      <c r="H1070" t="str">
        <f>"3547790885*"</f>
        <v>3547790885*</v>
      </c>
      <c r="I1070" t="str">
        <f t="shared" si="17"/>
        <v>AUTOZONE</v>
      </c>
    </row>
    <row r="1071" spans="1:9" x14ac:dyDescent="0.25">
      <c r="E1071" s="7"/>
      <c r="F1071" t="s">
        <v>20</v>
      </c>
      <c r="G1071" s="10" t="s">
        <v>21</v>
      </c>
      <c r="H1071" t="str">
        <f>"3547790886*"</f>
        <v>3547790886*</v>
      </c>
      <c r="I1071" t="str">
        <f t="shared" si="17"/>
        <v>AUTOZONE</v>
      </c>
    </row>
    <row r="1072" spans="1:9" x14ac:dyDescent="0.25">
      <c r="E1072" s="7"/>
      <c r="F1072" t="s">
        <v>20</v>
      </c>
      <c r="G1072" s="10" t="s">
        <v>21</v>
      </c>
      <c r="H1072" t="str">
        <f>"3547790887*"</f>
        <v>3547790887*</v>
      </c>
      <c r="I1072" t="str">
        <f t="shared" si="17"/>
        <v>AUTOZONE</v>
      </c>
    </row>
    <row r="1073" spans="1:9" x14ac:dyDescent="0.25">
      <c r="E1073" s="7"/>
      <c r="F1073" t="s">
        <v>20</v>
      </c>
      <c r="G1073" s="10" t="s">
        <v>21</v>
      </c>
      <c r="H1073" t="str">
        <f>"3547791732*"</f>
        <v>3547791732*</v>
      </c>
      <c r="I1073" t="str">
        <f t="shared" si="17"/>
        <v>AUTOZONE</v>
      </c>
    </row>
    <row r="1074" spans="1:9" x14ac:dyDescent="0.25">
      <c r="E1074" s="7"/>
      <c r="F1074" t="s">
        <v>20</v>
      </c>
      <c r="G1074" s="10" t="s">
        <v>21</v>
      </c>
      <c r="H1074" t="str">
        <f>"3547792252*"</f>
        <v>3547792252*</v>
      </c>
      <c r="I1074" t="str">
        <f t="shared" si="17"/>
        <v>AUTOZONE</v>
      </c>
    </row>
    <row r="1075" spans="1:9" x14ac:dyDescent="0.25">
      <c r="A1075" s="6">
        <v>44168</v>
      </c>
      <c r="B1075" t="s">
        <v>26</v>
      </c>
      <c r="C1075">
        <v>65572</v>
      </c>
      <c r="D1075" t="s">
        <v>31</v>
      </c>
      <c r="E1075" s="7">
        <v>4000</v>
      </c>
      <c r="F1075" t="s">
        <v>20</v>
      </c>
      <c r="G1075" s="10" t="s">
        <v>21</v>
      </c>
      <c r="H1075" t="str">
        <f>"2020252"</f>
        <v>2020252</v>
      </c>
      <c r="I1075" t="str">
        <f>"THE LAW OFFICE OF TOM CALDWELL"</f>
        <v>THE LAW OFFICE OF TOM CALDWELL</v>
      </c>
    </row>
    <row r="1076" spans="1:9" x14ac:dyDescent="0.25">
      <c r="A1076" s="6">
        <v>44168</v>
      </c>
      <c r="B1076" t="s">
        <v>26</v>
      </c>
      <c r="C1076">
        <v>65573</v>
      </c>
      <c r="D1076" t="s">
        <v>878</v>
      </c>
      <c r="E1076" s="7">
        <v>346.64</v>
      </c>
      <c r="F1076" t="s">
        <v>20</v>
      </c>
      <c r="G1076" s="10" t="s">
        <v>21</v>
      </c>
      <c r="H1076" t="str">
        <f>"86671*"</f>
        <v>86671*</v>
      </c>
      <c r="I1076" t="str">
        <f>"ANIMAL CARE EQUIPMENT &amp; SERVIC"</f>
        <v>ANIMAL CARE EQUIPMENT &amp; SERVIC</v>
      </c>
    </row>
    <row r="1077" spans="1:9" x14ac:dyDescent="0.25">
      <c r="E1077" s="7"/>
      <c r="F1077" t="s">
        <v>20</v>
      </c>
      <c r="G1077" s="10" t="s">
        <v>21</v>
      </c>
      <c r="H1077" t="str">
        <f>"87450*"</f>
        <v>87450*</v>
      </c>
      <c r="I1077" t="str">
        <f>"ANIMAL CARE EQUIPMENT &amp; SERVIC"</f>
        <v>ANIMAL CARE EQUIPMENT &amp; SERVIC</v>
      </c>
    </row>
    <row r="1078" spans="1:9" x14ac:dyDescent="0.25">
      <c r="A1078" s="6">
        <v>44168</v>
      </c>
      <c r="B1078" t="s">
        <v>26</v>
      </c>
      <c r="C1078">
        <v>65574</v>
      </c>
      <c r="D1078" t="s">
        <v>57</v>
      </c>
      <c r="E1078" s="7">
        <v>921.48</v>
      </c>
      <c r="F1078" t="s">
        <v>20</v>
      </c>
      <c r="G1078" s="10" t="s">
        <v>21</v>
      </c>
      <c r="H1078" t="str">
        <f>"00617-041*"</f>
        <v>00617-041*</v>
      </c>
      <c r="I1078" t="str">
        <f>"F.E.L.P.S."</f>
        <v>F.E.L.P.S.</v>
      </c>
    </row>
    <row r="1079" spans="1:9" x14ac:dyDescent="0.25">
      <c r="E1079" s="7"/>
      <c r="F1079" t="s">
        <v>20</v>
      </c>
      <c r="G1079" s="10" t="s">
        <v>21</v>
      </c>
      <c r="H1079" t="str">
        <f>"33062-001"</f>
        <v>33062-001</v>
      </c>
      <c r="I1079" t="str">
        <f>"F.E.L.P.S."</f>
        <v>F.E.L.P.S.</v>
      </c>
    </row>
    <row r="1080" spans="1:9" x14ac:dyDescent="0.25">
      <c r="E1080" s="7"/>
      <c r="F1080" t="s">
        <v>20</v>
      </c>
      <c r="G1080" s="10" t="s">
        <v>21</v>
      </c>
      <c r="H1080" t="str">
        <f>"33062-002"</f>
        <v>33062-002</v>
      </c>
      <c r="I1080" t="str">
        <f>"F.E.L.P.S."</f>
        <v>F.E.L.P.S.</v>
      </c>
    </row>
    <row r="1081" spans="1:9" x14ac:dyDescent="0.25">
      <c r="E1081" s="7"/>
      <c r="F1081" t="s">
        <v>20</v>
      </c>
      <c r="G1081" s="10" t="s">
        <v>21</v>
      </c>
      <c r="H1081" t="str">
        <f>"33062-003"</f>
        <v>33062-003</v>
      </c>
      <c r="I1081" t="str">
        <f>"F.E.L.P.S."</f>
        <v>F.E.L.P.S.</v>
      </c>
    </row>
    <row r="1082" spans="1:9" x14ac:dyDescent="0.25">
      <c r="E1082" s="7"/>
      <c r="F1082" t="s">
        <v>20</v>
      </c>
      <c r="G1082" s="10" t="s">
        <v>21</v>
      </c>
      <c r="H1082" t="str">
        <f>"33062-004"</f>
        <v>33062-004</v>
      </c>
      <c r="I1082" t="str">
        <f>"F.E.L.P.S."</f>
        <v>F.E.L.P.S.</v>
      </c>
    </row>
    <row r="1083" spans="1:9" x14ac:dyDescent="0.25">
      <c r="A1083" s="6">
        <v>44168</v>
      </c>
      <c r="B1083" t="s">
        <v>26</v>
      </c>
      <c r="C1083">
        <v>65575</v>
      </c>
      <c r="D1083" t="s">
        <v>85</v>
      </c>
      <c r="E1083" s="7">
        <v>1156.5999999999999</v>
      </c>
      <c r="F1083" t="s">
        <v>20</v>
      </c>
      <c r="G1083" s="10" t="s">
        <v>21</v>
      </c>
      <c r="H1083" t="str">
        <f>"2162733 NOV.2020"</f>
        <v>2162733 NOV.2020</v>
      </c>
      <c r="I1083" t="str">
        <f t="shared" ref="I1083:I1091" si="18">"FRONTIER"</f>
        <v>FRONTIER</v>
      </c>
    </row>
    <row r="1084" spans="1:9" x14ac:dyDescent="0.25">
      <c r="E1084" s="7"/>
      <c r="F1084" t="s">
        <v>20</v>
      </c>
      <c r="G1084" s="10" t="s">
        <v>21</v>
      </c>
      <c r="H1084" t="str">
        <f>"2162755 NOV.2020"</f>
        <v>2162755 NOV.2020</v>
      </c>
      <c r="I1084" t="str">
        <f t="shared" si="18"/>
        <v>FRONTIER</v>
      </c>
    </row>
    <row r="1085" spans="1:9" x14ac:dyDescent="0.25">
      <c r="E1085" s="7"/>
      <c r="F1085" t="s">
        <v>20</v>
      </c>
      <c r="G1085" s="10" t="s">
        <v>21</v>
      </c>
      <c r="H1085" t="str">
        <f>"3932056 NOV.2020"</f>
        <v>3932056 NOV.2020</v>
      </c>
      <c r="I1085" t="str">
        <f t="shared" si="18"/>
        <v>FRONTIER</v>
      </c>
    </row>
    <row r="1086" spans="1:9" x14ac:dyDescent="0.25">
      <c r="E1086" s="7"/>
      <c r="F1086" t="s">
        <v>20</v>
      </c>
      <c r="G1086" s="10" t="s">
        <v>21</v>
      </c>
      <c r="H1086" t="str">
        <f>"3932804 NOV.2020"</f>
        <v>3932804 NOV.2020</v>
      </c>
      <c r="I1086" t="str">
        <f t="shared" si="18"/>
        <v>FRONTIER</v>
      </c>
    </row>
    <row r="1087" spans="1:9" x14ac:dyDescent="0.25">
      <c r="E1087" s="7"/>
      <c r="F1087" t="s">
        <v>20</v>
      </c>
      <c r="G1087" s="10" t="s">
        <v>21</v>
      </c>
      <c r="H1087" t="str">
        <f>"3933105 NOV2020"</f>
        <v>3933105 NOV2020</v>
      </c>
      <c r="I1087" t="str">
        <f t="shared" si="18"/>
        <v>FRONTIER</v>
      </c>
    </row>
    <row r="1088" spans="1:9" x14ac:dyDescent="0.25">
      <c r="E1088" s="7"/>
      <c r="F1088" t="s">
        <v>20</v>
      </c>
      <c r="G1088" s="10" t="s">
        <v>21</v>
      </c>
      <c r="H1088" t="str">
        <f>"3933186 NOV.2020"</f>
        <v>3933186 NOV.2020</v>
      </c>
      <c r="I1088" t="str">
        <f t="shared" si="18"/>
        <v>FRONTIER</v>
      </c>
    </row>
    <row r="1089" spans="1:9" x14ac:dyDescent="0.25">
      <c r="E1089" s="7"/>
      <c r="F1089" t="s">
        <v>20</v>
      </c>
      <c r="G1089" s="10" t="s">
        <v>21</v>
      </c>
      <c r="H1089" t="str">
        <f>"3936616 NOV.2020"</f>
        <v>3936616 NOV.2020</v>
      </c>
      <c r="I1089" t="str">
        <f t="shared" si="18"/>
        <v>FRONTIER</v>
      </c>
    </row>
    <row r="1090" spans="1:9" x14ac:dyDescent="0.25">
      <c r="E1090" s="7"/>
      <c r="F1090" t="s">
        <v>20</v>
      </c>
      <c r="G1090" s="10" t="s">
        <v>21</v>
      </c>
      <c r="H1090" t="str">
        <f>"3936794 NOV.2020"</f>
        <v>3936794 NOV.2020</v>
      </c>
      <c r="I1090" t="str">
        <f t="shared" si="18"/>
        <v>FRONTIER</v>
      </c>
    </row>
    <row r="1091" spans="1:9" x14ac:dyDescent="0.25">
      <c r="E1091" s="7"/>
      <c r="F1091" t="s">
        <v>20</v>
      </c>
      <c r="G1091" s="10" t="s">
        <v>21</v>
      </c>
      <c r="H1091" t="str">
        <f>"3939456 NOV.2020"</f>
        <v>3939456 NOV.2020</v>
      </c>
      <c r="I1091" t="str">
        <f t="shared" si="18"/>
        <v>FRONTIER</v>
      </c>
    </row>
    <row r="1092" spans="1:9" x14ac:dyDescent="0.25">
      <c r="A1092" s="6">
        <v>44174</v>
      </c>
      <c r="B1092" t="s">
        <v>26</v>
      </c>
      <c r="C1092">
        <v>65577</v>
      </c>
      <c r="D1092" t="s">
        <v>58</v>
      </c>
      <c r="E1092" s="7">
        <v>30</v>
      </c>
      <c r="F1092" t="s">
        <v>20</v>
      </c>
      <c r="G1092" s="10" t="s">
        <v>21</v>
      </c>
      <c r="H1092" t="str">
        <f>"617351"</f>
        <v>617351</v>
      </c>
      <c r="I1092" t="str">
        <f>"DEASON ANIMAL HOSPITAL"</f>
        <v>DEASON ANIMAL HOSPITAL</v>
      </c>
    </row>
    <row r="1093" spans="1:9" x14ac:dyDescent="0.25">
      <c r="A1093" s="6">
        <v>44174</v>
      </c>
      <c r="B1093" t="s">
        <v>26</v>
      </c>
      <c r="C1093">
        <v>65578</v>
      </c>
      <c r="D1093" t="s">
        <v>104</v>
      </c>
      <c r="E1093" s="7">
        <v>572.98</v>
      </c>
      <c r="F1093" t="s">
        <v>20</v>
      </c>
      <c r="G1093" s="10" t="s">
        <v>21</v>
      </c>
      <c r="H1093" t="str">
        <f>"5977 572.98"</f>
        <v>5977 572.98</v>
      </c>
      <c r="I1093" t="str">
        <f>"WILSON COUNTY NEWS"</f>
        <v>WILSON COUNTY NEWS</v>
      </c>
    </row>
    <row r="1094" spans="1:9" x14ac:dyDescent="0.25">
      <c r="A1094" s="6">
        <v>44174</v>
      </c>
      <c r="B1094" t="s">
        <v>26</v>
      </c>
      <c r="C1094">
        <v>65579</v>
      </c>
      <c r="D1094" t="s">
        <v>59</v>
      </c>
      <c r="E1094" s="7">
        <v>9650.25</v>
      </c>
      <c r="F1094" t="s">
        <v>20</v>
      </c>
      <c r="G1094" s="10" t="s">
        <v>21</v>
      </c>
      <c r="H1094" t="str">
        <f>"1089008"</f>
        <v>1089008</v>
      </c>
      <c r="I1094" t="str">
        <f>"PIPES AND CONNECTIONS-W"</f>
        <v>PIPES AND CONNECTIONS-W</v>
      </c>
    </row>
    <row r="1095" spans="1:9" x14ac:dyDescent="0.25">
      <c r="A1095" s="6">
        <v>44174</v>
      </c>
      <c r="B1095" t="s">
        <v>26</v>
      </c>
      <c r="C1095">
        <v>65582</v>
      </c>
      <c r="D1095" t="s">
        <v>108</v>
      </c>
      <c r="E1095" s="7">
        <v>23153.86</v>
      </c>
      <c r="F1095" t="s">
        <v>20</v>
      </c>
      <c r="G1095" s="10" t="s">
        <v>21</v>
      </c>
      <c r="H1095" t="str">
        <f>"041295664474"</f>
        <v>041295664474</v>
      </c>
      <c r="I1095" t="str">
        <f>"POOLSURE"</f>
        <v>POOLSURE</v>
      </c>
    </row>
    <row r="1096" spans="1:9" x14ac:dyDescent="0.25">
      <c r="E1096" s="7"/>
      <c r="F1096" t="s">
        <v>20</v>
      </c>
      <c r="G1096" s="10" t="s">
        <v>21</v>
      </c>
      <c r="H1096" t="str">
        <f>"ANNUAL RATE 2021"</f>
        <v>ANNUAL RATE 2021</v>
      </c>
      <c r="I1096" t="str">
        <f>"POOLSURE"</f>
        <v>POOLSURE</v>
      </c>
    </row>
    <row r="1097" spans="1:9" x14ac:dyDescent="0.25">
      <c r="A1097" s="6">
        <v>44174</v>
      </c>
      <c r="B1097" t="s">
        <v>26</v>
      </c>
      <c r="C1097">
        <v>65583</v>
      </c>
      <c r="D1097" t="s">
        <v>1009</v>
      </c>
      <c r="E1097" s="7">
        <v>1800</v>
      </c>
      <c r="F1097" t="s">
        <v>20</v>
      </c>
      <c r="G1097" s="10" t="s">
        <v>21</v>
      </c>
      <c r="H1097" t="str">
        <f>"WEDNG RFND 4/17/21"</f>
        <v>WEDNG RFND 4/17/21</v>
      </c>
      <c r="I1097" t="str">
        <f>"REFUND"</f>
        <v>REFUND</v>
      </c>
    </row>
    <row r="1098" spans="1:9" x14ac:dyDescent="0.25">
      <c r="A1098" s="6">
        <v>44174</v>
      </c>
      <c r="B1098" t="s">
        <v>26</v>
      </c>
      <c r="C1098">
        <v>65584</v>
      </c>
      <c r="D1098" t="s">
        <v>0</v>
      </c>
      <c r="E1098" s="7">
        <v>2064.58</v>
      </c>
      <c r="F1098" t="s">
        <v>20</v>
      </c>
      <c r="G1098" s="10" t="s">
        <v>21</v>
      </c>
      <c r="H1098" t="str">
        <f>"10/10-11/10/2020"</f>
        <v>10/10-11/10/2020</v>
      </c>
      <c r="I1098" t="str">
        <f>"CITY OF FLORESVILLE"</f>
        <v>CITY OF FLORESVILLE</v>
      </c>
    </row>
    <row r="1099" spans="1:9" x14ac:dyDescent="0.25">
      <c r="A1099" s="6">
        <v>44174</v>
      </c>
      <c r="B1099" t="s">
        <v>91</v>
      </c>
      <c r="C1099">
        <v>65585</v>
      </c>
      <c r="D1099" t="s">
        <v>92</v>
      </c>
      <c r="E1099" s="7">
        <v>53302.67</v>
      </c>
      <c r="F1099" t="s">
        <v>20</v>
      </c>
      <c r="G1099" s="10" t="s">
        <v>21</v>
      </c>
      <c r="H1099" t="str">
        <f>"RET202011038589"</f>
        <v>RET202011038589</v>
      </c>
      <c r="I1099" t="str">
        <f>"TMRS CITY OF FLORESVILLE"</f>
        <v>TMRS CITY OF FLORESVILLE</v>
      </c>
    </row>
    <row r="1100" spans="1:9" x14ac:dyDescent="0.25">
      <c r="E1100" s="7"/>
      <c r="F1100" t="s">
        <v>20</v>
      </c>
      <c r="G1100" s="10" t="s">
        <v>21</v>
      </c>
      <c r="H1100" t="str">
        <f>"RET202011178590"</f>
        <v>RET202011178590</v>
      </c>
      <c r="I1100" t="str">
        <f>"TMRS CITY OF FLORESVILLE"</f>
        <v>TMRS CITY OF FLORESVILLE</v>
      </c>
    </row>
    <row r="1101" spans="1:9" x14ac:dyDescent="0.25">
      <c r="E1101" s="7"/>
      <c r="F1101" t="s">
        <v>20</v>
      </c>
      <c r="G1101" s="10" t="s">
        <v>21</v>
      </c>
      <c r="H1101" t="str">
        <f>"RET202012018591"</f>
        <v>RET202012018591</v>
      </c>
      <c r="I1101" t="str">
        <f>"TMRS CITY OF FLORESVILLE"</f>
        <v>TMRS CITY OF FLORESVILLE</v>
      </c>
    </row>
    <row r="1102" spans="1:9" x14ac:dyDescent="0.25">
      <c r="A1102" s="6">
        <v>44174</v>
      </c>
      <c r="B1102" t="s">
        <v>91</v>
      </c>
      <c r="C1102">
        <v>65585</v>
      </c>
      <c r="D1102" t="s">
        <v>92</v>
      </c>
      <c r="E1102" s="7">
        <v>53302.67</v>
      </c>
      <c r="F1102" t="s">
        <v>20</v>
      </c>
      <c r="G1102" s="10" t="s">
        <v>93</v>
      </c>
      <c r="H1102" t="str">
        <f>"CHECK"</f>
        <v>CHECK</v>
      </c>
      <c r="I1102" t="str">
        <f>""</f>
        <v/>
      </c>
    </row>
    <row r="1103" spans="1:9" x14ac:dyDescent="0.25">
      <c r="A1103" s="6">
        <v>44174</v>
      </c>
      <c r="B1103" t="s">
        <v>26</v>
      </c>
      <c r="C1103">
        <v>65590</v>
      </c>
      <c r="D1103" t="s">
        <v>184</v>
      </c>
      <c r="E1103" s="7">
        <v>992</v>
      </c>
      <c r="F1103" t="s">
        <v>20</v>
      </c>
      <c r="G1103" s="10" t="s">
        <v>21</v>
      </c>
      <c r="H1103" t="str">
        <f>"1061-103"</f>
        <v>1061-103</v>
      </c>
      <c r="I1103" t="str">
        <f>"POLLUTION CONTROL SERVICES"</f>
        <v>POLLUTION CONTROL SERVICES</v>
      </c>
    </row>
    <row r="1104" spans="1:9" x14ac:dyDescent="0.25">
      <c r="E1104" s="7"/>
      <c r="F1104" t="s">
        <v>20</v>
      </c>
      <c r="G1104" s="10" t="s">
        <v>21</v>
      </c>
      <c r="H1104" t="str">
        <f>"1061-104"</f>
        <v>1061-104</v>
      </c>
      <c r="I1104" t="str">
        <f>"POLLUTION CONTROL SERVICES"</f>
        <v>POLLUTION CONTROL SERVICES</v>
      </c>
    </row>
    <row r="1105" spans="1:9" x14ac:dyDescent="0.25">
      <c r="A1105" s="6">
        <v>44174</v>
      </c>
      <c r="B1105" t="s">
        <v>26</v>
      </c>
      <c r="C1105">
        <v>65591</v>
      </c>
      <c r="D1105" t="s">
        <v>62</v>
      </c>
      <c r="E1105" s="7">
        <v>210</v>
      </c>
      <c r="F1105" t="s">
        <v>20</v>
      </c>
      <c r="G1105" s="10" t="s">
        <v>21</v>
      </c>
      <c r="H1105" t="str">
        <f>"71101"</f>
        <v>71101</v>
      </c>
      <c r="I1105" t="str">
        <f>"PROFICIENT BENEFIT SOLUTIONS"</f>
        <v>PROFICIENT BENEFIT SOLUTIONS</v>
      </c>
    </row>
    <row r="1106" spans="1:9" x14ac:dyDescent="0.25">
      <c r="A1106" s="6">
        <v>44174</v>
      </c>
      <c r="B1106" t="s">
        <v>26</v>
      </c>
      <c r="C1106">
        <v>65592</v>
      </c>
      <c r="D1106" t="s">
        <v>1010</v>
      </c>
      <c r="E1106" s="7">
        <v>125</v>
      </c>
      <c r="F1106" t="s">
        <v>20</v>
      </c>
      <c r="G1106" s="10" t="s">
        <v>21</v>
      </c>
      <c r="H1106" t="str">
        <f>"157179"</f>
        <v>157179</v>
      </c>
      <c r="I1106" t="str">
        <f>"BOOTS FOR ART-STREET DEPT"</f>
        <v>BOOTS FOR ART-STREET DEPT</v>
      </c>
    </row>
    <row r="1107" spans="1:9" x14ac:dyDescent="0.25">
      <c r="A1107" s="6">
        <v>44174</v>
      </c>
      <c r="B1107" t="s">
        <v>26</v>
      </c>
      <c r="C1107">
        <v>65593</v>
      </c>
      <c r="D1107" t="s">
        <v>115</v>
      </c>
      <c r="E1107" s="7">
        <v>204.36</v>
      </c>
      <c r="F1107" t="s">
        <v>20</v>
      </c>
      <c r="G1107" s="10" t="s">
        <v>21</v>
      </c>
      <c r="H1107" t="str">
        <f>"3547797945"</f>
        <v>3547797945</v>
      </c>
      <c r="I1107" t="str">
        <f>"FORD ESCAPE UNIT 604"</f>
        <v>FORD ESCAPE UNIT 604</v>
      </c>
    </row>
    <row r="1108" spans="1:9" x14ac:dyDescent="0.25">
      <c r="E1108" s="7"/>
      <c r="F1108" t="s">
        <v>20</v>
      </c>
      <c r="G1108" s="10" t="s">
        <v>21</v>
      </c>
      <c r="H1108" t="str">
        <f>"3547799511"</f>
        <v>3547799511</v>
      </c>
      <c r="I1108" t="str">
        <f>"ANTIFREEZE FOR UNIT 402"</f>
        <v>ANTIFREEZE FOR UNIT 402</v>
      </c>
    </row>
    <row r="1109" spans="1:9" x14ac:dyDescent="0.25">
      <c r="A1109" s="6">
        <v>44174</v>
      </c>
      <c r="B1109" t="s">
        <v>26</v>
      </c>
      <c r="C1109">
        <v>65594</v>
      </c>
      <c r="D1109" t="s">
        <v>63</v>
      </c>
      <c r="E1109" s="7">
        <v>1683.55</v>
      </c>
      <c r="F1109" t="s">
        <v>20</v>
      </c>
      <c r="G1109" s="10" t="s">
        <v>21</v>
      </c>
      <c r="H1109" t="str">
        <f>"8404898219"</f>
        <v>8404898219</v>
      </c>
      <c r="I1109" t="str">
        <f>"CINTAS CORPORATION"</f>
        <v>CINTAS CORPORATION</v>
      </c>
    </row>
    <row r="1110" spans="1:9" x14ac:dyDescent="0.25">
      <c r="A1110" s="6">
        <v>44174</v>
      </c>
      <c r="B1110" t="s">
        <v>26</v>
      </c>
      <c r="C1110">
        <v>65595</v>
      </c>
      <c r="D1110" t="s">
        <v>64</v>
      </c>
      <c r="E1110" s="7">
        <v>4774</v>
      </c>
      <c r="F1110" t="s">
        <v>20</v>
      </c>
      <c r="G1110" s="10" t="s">
        <v>21</v>
      </c>
      <c r="H1110" t="str">
        <f>"8318"</f>
        <v>8318</v>
      </c>
      <c r="I1110" t="str">
        <f>"DREWA DESIGNS  INC."</f>
        <v>DREWA DESIGNS  INC.</v>
      </c>
    </row>
    <row r="1111" spans="1:9" x14ac:dyDescent="0.25">
      <c r="A1111" s="6">
        <v>44174</v>
      </c>
      <c r="B1111" t="s">
        <v>91</v>
      </c>
      <c r="C1111">
        <v>65596</v>
      </c>
      <c r="D1111" t="s">
        <v>533</v>
      </c>
      <c r="E1111" s="7">
        <v>75</v>
      </c>
      <c r="F1111" t="s">
        <v>20</v>
      </c>
      <c r="G1111" s="10" t="s">
        <v>21</v>
      </c>
      <c r="H1111" t="str">
        <f>"G.CANTU RENEWAL"</f>
        <v>G.CANTU RENEWAL</v>
      </c>
      <c r="I1111" t="str">
        <f>"ASSOCIATION OF HISPANIC MUNICI"</f>
        <v>ASSOCIATION OF HISPANIC MUNICI</v>
      </c>
    </row>
    <row r="1112" spans="1:9" x14ac:dyDescent="0.25">
      <c r="A1112" s="6">
        <v>44174</v>
      </c>
      <c r="B1112" t="s">
        <v>91</v>
      </c>
      <c r="C1112">
        <v>65596</v>
      </c>
      <c r="D1112" t="s">
        <v>533</v>
      </c>
      <c r="E1112" s="7">
        <v>75</v>
      </c>
      <c r="F1112" t="s">
        <v>20</v>
      </c>
      <c r="G1112" s="10" t="s">
        <v>93</v>
      </c>
      <c r="H1112" t="str">
        <f>"CHECK"</f>
        <v>CHECK</v>
      </c>
      <c r="I1112" t="str">
        <f>""</f>
        <v/>
      </c>
    </row>
    <row r="1113" spans="1:9" x14ac:dyDescent="0.25">
      <c r="A1113" s="6">
        <v>44174</v>
      </c>
      <c r="B1113" t="s">
        <v>91</v>
      </c>
      <c r="C1113">
        <v>65597</v>
      </c>
      <c r="D1113" t="s">
        <v>95</v>
      </c>
      <c r="E1113" s="7">
        <v>12.66</v>
      </c>
      <c r="F1113" t="s">
        <v>20</v>
      </c>
      <c r="G1113" s="10" t="s">
        <v>21</v>
      </c>
      <c r="H1113" t="str">
        <f>"LEA202012018591"</f>
        <v>LEA202012018591</v>
      </c>
      <c r="I1113" t="str">
        <f>"INSURANCE"</f>
        <v>INSURANCE</v>
      </c>
    </row>
    <row r="1114" spans="1:9" x14ac:dyDescent="0.25">
      <c r="A1114" s="6">
        <v>44174</v>
      </c>
      <c r="B1114" t="s">
        <v>91</v>
      </c>
      <c r="C1114">
        <v>65597</v>
      </c>
      <c r="D1114" t="s">
        <v>95</v>
      </c>
      <c r="E1114" s="7">
        <v>12.66</v>
      </c>
      <c r="F1114" t="s">
        <v>20</v>
      </c>
      <c r="G1114" s="10" t="s">
        <v>93</v>
      </c>
      <c r="H1114" t="str">
        <f>"CHECK"</f>
        <v>CHECK</v>
      </c>
      <c r="I1114" t="str">
        <f>""</f>
        <v/>
      </c>
    </row>
    <row r="1115" spans="1:9" x14ac:dyDescent="0.25">
      <c r="A1115" s="6">
        <v>44174</v>
      </c>
      <c r="B1115" t="s">
        <v>26</v>
      </c>
      <c r="C1115">
        <v>65598</v>
      </c>
      <c r="D1115" t="s">
        <v>281</v>
      </c>
      <c r="E1115" s="7">
        <v>89.95</v>
      </c>
      <c r="F1115" t="s">
        <v>20</v>
      </c>
      <c r="G1115" s="10" t="s">
        <v>21</v>
      </c>
      <c r="H1115" t="str">
        <f>"31927"</f>
        <v>31927</v>
      </c>
      <c r="I1115" t="str">
        <f>"UNIT 501 VEHICLE SERVICE"</f>
        <v>UNIT 501 VEHICLE SERVICE</v>
      </c>
    </row>
    <row r="1116" spans="1:9" x14ac:dyDescent="0.25">
      <c r="A1116" s="6">
        <v>44174</v>
      </c>
      <c r="B1116" t="s">
        <v>26</v>
      </c>
      <c r="C1116">
        <v>65599</v>
      </c>
      <c r="D1116" t="s">
        <v>71</v>
      </c>
      <c r="E1116" s="7">
        <v>541.34</v>
      </c>
      <c r="F1116" t="s">
        <v>20</v>
      </c>
      <c r="G1116" s="10" t="s">
        <v>21</v>
      </c>
      <c r="H1116" t="str">
        <f>"4068172190"</f>
        <v>4068172190</v>
      </c>
      <c r="I1116" t="str">
        <f>"CINTAS CORPORATION #087"</f>
        <v>CINTAS CORPORATION #087</v>
      </c>
    </row>
    <row r="1117" spans="1:9" x14ac:dyDescent="0.25">
      <c r="E1117" s="7"/>
      <c r="F1117" t="s">
        <v>20</v>
      </c>
      <c r="G1117" s="10" t="s">
        <v>21</v>
      </c>
      <c r="H1117" t="str">
        <f>"4068172260"</f>
        <v>4068172260</v>
      </c>
      <c r="I1117" t="str">
        <f>"CINTAS CORPORATION #087"</f>
        <v>CINTAS CORPORATION #087</v>
      </c>
    </row>
    <row r="1118" spans="1:9" x14ac:dyDescent="0.25">
      <c r="E1118" s="7"/>
      <c r="F1118" t="s">
        <v>20</v>
      </c>
      <c r="G1118" s="10" t="s">
        <v>21</v>
      </c>
      <c r="H1118" t="str">
        <f>"4068172271"</f>
        <v>4068172271</v>
      </c>
      <c r="I1118" t="str">
        <f>"CINTAS CORPORATION #087"</f>
        <v>CINTAS CORPORATION #087</v>
      </c>
    </row>
    <row r="1119" spans="1:9" x14ac:dyDescent="0.25">
      <c r="E1119" s="7"/>
      <c r="F1119" t="s">
        <v>20</v>
      </c>
      <c r="G1119" s="10" t="s">
        <v>21</v>
      </c>
      <c r="H1119" t="str">
        <f>"4068172333"</f>
        <v>4068172333</v>
      </c>
      <c r="I1119" t="str">
        <f>"CINTAS CORPORATION #087"</f>
        <v>CINTAS CORPORATION #087</v>
      </c>
    </row>
    <row r="1120" spans="1:9" x14ac:dyDescent="0.25">
      <c r="E1120" s="7"/>
      <c r="F1120" t="s">
        <v>20</v>
      </c>
      <c r="G1120" s="10" t="s">
        <v>21</v>
      </c>
      <c r="H1120" t="str">
        <f>"4068172362"</f>
        <v>4068172362</v>
      </c>
      <c r="I1120" t="str">
        <f>"CINTAS CORPORATION #087"</f>
        <v>CINTAS CORPORATION #087</v>
      </c>
    </row>
    <row r="1121" spans="1:9" x14ac:dyDescent="0.25">
      <c r="A1121" s="6">
        <v>44174</v>
      </c>
      <c r="B1121" t="s">
        <v>26</v>
      </c>
      <c r="C1121">
        <v>65600</v>
      </c>
      <c r="D1121" t="s">
        <v>74</v>
      </c>
      <c r="E1121" s="7">
        <v>2875.62</v>
      </c>
      <c r="F1121" t="s">
        <v>20</v>
      </c>
      <c r="G1121" s="10" t="s">
        <v>21</v>
      </c>
      <c r="H1121" t="str">
        <f>"9867713541"</f>
        <v>9867713541</v>
      </c>
      <c r="I1121" t="str">
        <f>"VERIZON WIRELESS"</f>
        <v>VERIZON WIRELESS</v>
      </c>
    </row>
    <row r="1122" spans="1:9" x14ac:dyDescent="0.25">
      <c r="E1122" s="7"/>
      <c r="F1122" t="s">
        <v>20</v>
      </c>
      <c r="G1122" s="10" t="s">
        <v>21</v>
      </c>
      <c r="H1122" t="str">
        <f>"9867713542"</f>
        <v>9867713542</v>
      </c>
      <c r="I1122" t="str">
        <f>"VERIZON WIRELESS"</f>
        <v>VERIZON WIRELESS</v>
      </c>
    </row>
    <row r="1123" spans="1:9" x14ac:dyDescent="0.25">
      <c r="A1123" s="6">
        <v>44174</v>
      </c>
      <c r="B1123" t="s">
        <v>26</v>
      </c>
      <c r="C1123">
        <v>65602</v>
      </c>
      <c r="D1123" t="s">
        <v>123</v>
      </c>
      <c r="E1123" s="7">
        <v>292.69</v>
      </c>
      <c r="F1123" t="s">
        <v>20</v>
      </c>
      <c r="G1123" s="10" t="s">
        <v>21</v>
      </c>
      <c r="H1123" t="str">
        <f>"137980916001"</f>
        <v>137980916001</v>
      </c>
      <c r="I1123" t="str">
        <f>"COVID SUPPLIES"</f>
        <v>COVID SUPPLIES</v>
      </c>
    </row>
    <row r="1124" spans="1:9" x14ac:dyDescent="0.25">
      <c r="E1124" s="7"/>
      <c r="F1124" t="s">
        <v>20</v>
      </c>
      <c r="G1124" s="10" t="s">
        <v>21</v>
      </c>
      <c r="H1124" t="str">
        <f>"138082105001"</f>
        <v>138082105001</v>
      </c>
      <c r="I1124" t="str">
        <f>"COVID SUPPLIES"</f>
        <v>COVID SUPPLIES</v>
      </c>
    </row>
    <row r="1125" spans="1:9" x14ac:dyDescent="0.25">
      <c r="E1125" s="7"/>
      <c r="F1125" t="s">
        <v>20</v>
      </c>
      <c r="G1125" s="10" t="s">
        <v>21</v>
      </c>
      <c r="H1125" t="str">
        <f>"138101741001"</f>
        <v>138101741001</v>
      </c>
      <c r="I1125" t="str">
        <f>"OFFICE DEPOT  INC."</f>
        <v>OFFICE DEPOT  INC.</v>
      </c>
    </row>
    <row r="1126" spans="1:9" x14ac:dyDescent="0.25">
      <c r="E1126" s="7"/>
      <c r="F1126" t="s">
        <v>20</v>
      </c>
      <c r="G1126" s="10" t="s">
        <v>21</v>
      </c>
      <c r="H1126" t="str">
        <f>"138112636001"</f>
        <v>138112636001</v>
      </c>
      <c r="I1126" t="str">
        <f>"OFFICE DEPOT  INC."</f>
        <v>OFFICE DEPOT  INC.</v>
      </c>
    </row>
    <row r="1127" spans="1:9" x14ac:dyDescent="0.25">
      <c r="E1127" s="7"/>
      <c r="F1127" t="s">
        <v>20</v>
      </c>
      <c r="G1127" s="10" t="s">
        <v>21</v>
      </c>
      <c r="H1127" t="str">
        <f>"138112637001"</f>
        <v>138112637001</v>
      </c>
      <c r="I1127" t="str">
        <f>"OFFICE DEPOT  INC."</f>
        <v>OFFICE DEPOT  INC.</v>
      </c>
    </row>
    <row r="1128" spans="1:9" x14ac:dyDescent="0.25">
      <c r="E1128" s="7"/>
      <c r="F1128" t="s">
        <v>20</v>
      </c>
      <c r="G1128" s="10" t="s">
        <v>21</v>
      </c>
      <c r="H1128" t="str">
        <f>"138153839001"</f>
        <v>138153839001</v>
      </c>
      <c r="I1128" t="str">
        <f>"OFFICE SUPPLIES"</f>
        <v>OFFICE SUPPLIES</v>
      </c>
    </row>
    <row r="1129" spans="1:9" x14ac:dyDescent="0.25">
      <c r="E1129" s="7"/>
      <c r="F1129" t="s">
        <v>20</v>
      </c>
      <c r="G1129" s="10" t="s">
        <v>21</v>
      </c>
      <c r="H1129" t="str">
        <f>"138154221001"</f>
        <v>138154221001</v>
      </c>
      <c r="I1129" t="str">
        <f>"OFFICE SUPPLIES"</f>
        <v>OFFICE SUPPLIES</v>
      </c>
    </row>
    <row r="1130" spans="1:9" x14ac:dyDescent="0.25">
      <c r="A1130" s="6">
        <v>44174</v>
      </c>
      <c r="B1130" t="s">
        <v>26</v>
      </c>
      <c r="C1130">
        <v>65604</v>
      </c>
      <c r="D1130" t="s">
        <v>661</v>
      </c>
      <c r="E1130" s="7">
        <v>291.92</v>
      </c>
      <c r="F1130" t="s">
        <v>20</v>
      </c>
      <c r="G1130" s="10" t="s">
        <v>21</v>
      </c>
      <c r="H1130" t="str">
        <f>"8404909492"</f>
        <v>8404909492</v>
      </c>
      <c r="I1130" t="str">
        <f>"CINTAS FAS LOCKBOX 631025"</f>
        <v>CINTAS FAS LOCKBOX 631025</v>
      </c>
    </row>
    <row r="1131" spans="1:9" x14ac:dyDescent="0.25">
      <c r="A1131" s="6">
        <v>44174</v>
      </c>
      <c r="B1131" t="s">
        <v>26</v>
      </c>
      <c r="C1131">
        <v>65605</v>
      </c>
      <c r="D1131" t="s">
        <v>124</v>
      </c>
      <c r="E1131" s="7">
        <v>45.33</v>
      </c>
      <c r="F1131" t="s">
        <v>20</v>
      </c>
      <c r="G1131" s="10" t="s">
        <v>21</v>
      </c>
      <c r="H1131" t="str">
        <f>"11197184"</f>
        <v>11197184</v>
      </c>
      <c r="I1131" t="str">
        <f>"23/32  BC PLYWOOD(3/4 -WW"</f>
        <v>23/32  BC PLYWOOD(3/4 -WW</v>
      </c>
    </row>
    <row r="1132" spans="1:9" x14ac:dyDescent="0.25">
      <c r="A1132" s="6">
        <v>44174</v>
      </c>
      <c r="B1132" t="s">
        <v>26</v>
      </c>
      <c r="C1132">
        <v>65606</v>
      </c>
      <c r="D1132" t="s">
        <v>126</v>
      </c>
      <c r="E1132" s="7">
        <v>87374.59</v>
      </c>
      <c r="F1132" t="s">
        <v>20</v>
      </c>
      <c r="G1132" s="10" t="s">
        <v>21</v>
      </c>
      <c r="H1132" t="str">
        <f>"0589-002705988"</f>
        <v>0589-002705988</v>
      </c>
      <c r="I1132" t="str">
        <f>"REPUBLIC SERVICES #859"</f>
        <v>REPUBLIC SERVICES #859</v>
      </c>
    </row>
    <row r="1133" spans="1:9" x14ac:dyDescent="0.25">
      <c r="A1133" s="6">
        <v>44174</v>
      </c>
      <c r="B1133" t="s">
        <v>26</v>
      </c>
      <c r="C1133">
        <v>65607</v>
      </c>
      <c r="D1133" t="s">
        <v>148</v>
      </c>
      <c r="E1133" s="7">
        <v>6534.15</v>
      </c>
      <c r="F1133" t="s">
        <v>20</v>
      </c>
      <c r="G1133" s="10" t="s">
        <v>21</v>
      </c>
      <c r="H1133" t="str">
        <f>"PHS0198894"</f>
        <v>PHS0198894</v>
      </c>
      <c r="I1133" t="str">
        <f>"TEXAS COMMISSION ON ENVIRONMEN"</f>
        <v>TEXAS COMMISSION ON ENVIRONMEN</v>
      </c>
    </row>
    <row r="1134" spans="1:9" x14ac:dyDescent="0.25">
      <c r="A1134" s="6">
        <v>44174</v>
      </c>
      <c r="B1134" t="s">
        <v>26</v>
      </c>
      <c r="C1134">
        <v>65608</v>
      </c>
      <c r="D1134" t="s">
        <v>131</v>
      </c>
      <c r="E1134" s="7">
        <v>424.4</v>
      </c>
      <c r="F1134" t="s">
        <v>20</v>
      </c>
      <c r="G1134" s="10" t="s">
        <v>21</v>
      </c>
      <c r="H1134" t="str">
        <f>"054810*"</f>
        <v>054810*</v>
      </c>
      <c r="I1134" t="str">
        <f>"GRO PLUG"</f>
        <v>GRO PLUG</v>
      </c>
    </row>
    <row r="1135" spans="1:9" x14ac:dyDescent="0.25">
      <c r="E1135" s="7"/>
      <c r="F1135" t="s">
        <v>20</v>
      </c>
      <c r="G1135" s="10" t="s">
        <v>21</v>
      </c>
      <c r="H1135" t="str">
        <f>"055389"</f>
        <v>055389</v>
      </c>
      <c r="I1135" t="str">
        <f>"CLEANING SUPPLIES- PW"</f>
        <v>CLEANING SUPPLIES- PW</v>
      </c>
    </row>
    <row r="1136" spans="1:9" x14ac:dyDescent="0.25">
      <c r="A1136" s="6">
        <v>44174</v>
      </c>
      <c r="B1136" t="s">
        <v>26</v>
      </c>
      <c r="C1136">
        <v>65610</v>
      </c>
      <c r="D1136" t="s">
        <v>85</v>
      </c>
      <c r="E1136" s="7">
        <v>623.47</v>
      </c>
      <c r="F1136" t="s">
        <v>20</v>
      </c>
      <c r="G1136" s="10" t="s">
        <v>21</v>
      </c>
      <c r="H1136" t="str">
        <f>"2162691 NOV.2020"</f>
        <v>2162691 NOV.2020</v>
      </c>
      <c r="I1136" t="str">
        <f>"FRONTIER"</f>
        <v>FRONTIER</v>
      </c>
    </row>
    <row r="1137" spans="1:9" x14ac:dyDescent="0.25">
      <c r="E1137" s="7"/>
      <c r="F1137" t="s">
        <v>20</v>
      </c>
      <c r="G1137" s="10" t="s">
        <v>21</v>
      </c>
      <c r="H1137" t="str">
        <f>"3933718 NOV.2020"</f>
        <v>3933718 NOV.2020</v>
      </c>
      <c r="I1137" t="str">
        <f>"FRONTIER"</f>
        <v>FRONTIER</v>
      </c>
    </row>
    <row r="1138" spans="1:9" x14ac:dyDescent="0.25">
      <c r="E1138" s="7"/>
      <c r="F1138" t="s">
        <v>20</v>
      </c>
      <c r="G1138" s="10" t="s">
        <v>21</v>
      </c>
      <c r="H1138" t="str">
        <f>"8301970046 NOV.20"</f>
        <v>8301970046 NOV.20</v>
      </c>
      <c r="I1138" t="str">
        <f>"FRONTIER"</f>
        <v>FRONTIER</v>
      </c>
    </row>
    <row r="1139" spans="1:9" x14ac:dyDescent="0.25">
      <c r="A1139" s="6">
        <v>44174</v>
      </c>
      <c r="B1139" t="s">
        <v>26</v>
      </c>
      <c r="C1139">
        <v>65611</v>
      </c>
      <c r="D1139" t="s">
        <v>979</v>
      </c>
      <c r="E1139" s="7">
        <v>210</v>
      </c>
      <c r="F1139" t="s">
        <v>20</v>
      </c>
      <c r="G1139" s="10" t="s">
        <v>21</v>
      </c>
      <c r="H1139" t="str">
        <f>"11/12-11/12/2020"</f>
        <v>11/12-11/12/2020</v>
      </c>
      <c r="I1139" t="str">
        <f>"BIANCA CANTU"</f>
        <v>BIANCA CANTU</v>
      </c>
    </row>
    <row r="1140" spans="1:9" x14ac:dyDescent="0.25">
      <c r="A1140" s="6">
        <v>44174</v>
      </c>
      <c r="B1140" t="s">
        <v>26</v>
      </c>
      <c r="C1140">
        <v>65612</v>
      </c>
      <c r="D1140" t="s">
        <v>47</v>
      </c>
      <c r="E1140" s="7">
        <v>44842.879999999997</v>
      </c>
      <c r="F1140" t="s">
        <v>20</v>
      </c>
      <c r="G1140" s="10" t="s">
        <v>21</v>
      </c>
      <c r="H1140" t="str">
        <f>"COFEP1082020*"</f>
        <v>COFEP1082020*</v>
      </c>
      <c r="I1140" t="str">
        <f>"HEARTLAND PARK &amp; RECREATION  L"</f>
        <v>HEARTLAND PARK &amp; RECREATION  L</v>
      </c>
    </row>
    <row r="1141" spans="1:9" x14ac:dyDescent="0.25">
      <c r="A1141" s="6">
        <v>44174</v>
      </c>
      <c r="B1141" t="s">
        <v>26</v>
      </c>
      <c r="C1141">
        <v>65613</v>
      </c>
      <c r="D1141" t="s">
        <v>528</v>
      </c>
      <c r="E1141" s="7">
        <v>191.45</v>
      </c>
      <c r="F1141" t="s">
        <v>20</v>
      </c>
      <c r="G1141" s="10" t="s">
        <v>21</v>
      </c>
      <c r="H1141" t="str">
        <f>"10444310"</f>
        <v>10444310</v>
      </c>
      <c r="I1141" t="str">
        <f>"PROSTAR SERVICES INC"</f>
        <v>PROSTAR SERVICES INC</v>
      </c>
    </row>
    <row r="1142" spans="1:9" x14ac:dyDescent="0.25">
      <c r="A1142" s="6">
        <v>44174</v>
      </c>
      <c r="B1142" t="s">
        <v>26</v>
      </c>
      <c r="C1142">
        <v>65614</v>
      </c>
      <c r="D1142" t="s">
        <v>644</v>
      </c>
      <c r="E1142" s="7">
        <v>508.49</v>
      </c>
      <c r="F1142" t="s">
        <v>20</v>
      </c>
      <c r="G1142" s="10" t="s">
        <v>21</v>
      </c>
      <c r="H1142" t="str">
        <f>"8213535005"</f>
        <v>8213535005</v>
      </c>
      <c r="I1142" t="str">
        <f t="shared" ref="I1142:I1148" si="19">"UNIFIRST CORPORATION"</f>
        <v>UNIFIRST CORPORATION</v>
      </c>
    </row>
    <row r="1143" spans="1:9" x14ac:dyDescent="0.25">
      <c r="E1143" s="7"/>
      <c r="F1143" t="s">
        <v>20</v>
      </c>
      <c r="G1143" s="10" t="s">
        <v>21</v>
      </c>
      <c r="H1143" t="str">
        <f>"8213535052"</f>
        <v>8213535052</v>
      </c>
      <c r="I1143" t="str">
        <f t="shared" si="19"/>
        <v>UNIFIRST CORPORATION</v>
      </c>
    </row>
    <row r="1144" spans="1:9" x14ac:dyDescent="0.25">
      <c r="E1144" s="7"/>
      <c r="F1144" t="s">
        <v>20</v>
      </c>
      <c r="G1144" s="10" t="s">
        <v>21</v>
      </c>
      <c r="H1144" t="str">
        <f>"8213535053"</f>
        <v>8213535053</v>
      </c>
      <c r="I1144" t="str">
        <f t="shared" si="19"/>
        <v>UNIFIRST CORPORATION</v>
      </c>
    </row>
    <row r="1145" spans="1:9" x14ac:dyDescent="0.25">
      <c r="E1145" s="7"/>
      <c r="F1145" t="s">
        <v>20</v>
      </c>
      <c r="G1145" s="10" t="s">
        <v>21</v>
      </c>
      <c r="H1145" t="str">
        <f>"8213535054"</f>
        <v>8213535054</v>
      </c>
      <c r="I1145" t="str">
        <f t="shared" si="19"/>
        <v>UNIFIRST CORPORATION</v>
      </c>
    </row>
    <row r="1146" spans="1:9" x14ac:dyDescent="0.25">
      <c r="E1146" s="7"/>
      <c r="F1146" t="s">
        <v>20</v>
      </c>
      <c r="G1146" s="10" t="s">
        <v>21</v>
      </c>
      <c r="H1146" t="str">
        <f>"8213535056"</f>
        <v>8213535056</v>
      </c>
      <c r="I1146" t="str">
        <f t="shared" si="19"/>
        <v>UNIFIRST CORPORATION</v>
      </c>
    </row>
    <row r="1147" spans="1:9" x14ac:dyDescent="0.25">
      <c r="E1147" s="7"/>
      <c r="F1147" t="s">
        <v>20</v>
      </c>
      <c r="G1147" s="10" t="s">
        <v>21</v>
      </c>
      <c r="H1147" t="str">
        <f>"8213535057"</f>
        <v>8213535057</v>
      </c>
      <c r="I1147" t="str">
        <f t="shared" si="19"/>
        <v>UNIFIRST CORPORATION</v>
      </c>
    </row>
    <row r="1148" spans="1:9" x14ac:dyDescent="0.25">
      <c r="E1148" s="7"/>
      <c r="F1148" t="s">
        <v>20</v>
      </c>
      <c r="G1148" s="10" t="s">
        <v>21</v>
      </c>
      <c r="H1148" t="str">
        <f>"8213535058"</f>
        <v>8213535058</v>
      </c>
      <c r="I1148" t="str">
        <f t="shared" si="19"/>
        <v>UNIFIRST CORPORATION</v>
      </c>
    </row>
    <row r="1149" spans="1:9" x14ac:dyDescent="0.25">
      <c r="A1149" s="6">
        <v>44174</v>
      </c>
      <c r="B1149" t="s">
        <v>26</v>
      </c>
      <c r="C1149">
        <v>65616</v>
      </c>
      <c r="D1149" t="s">
        <v>823</v>
      </c>
      <c r="E1149" s="7">
        <v>219.16</v>
      </c>
      <c r="F1149" t="s">
        <v>20</v>
      </c>
      <c r="G1149" s="10" t="s">
        <v>21</v>
      </c>
      <c r="H1149" t="str">
        <f>"12647"</f>
        <v>12647</v>
      </c>
      <c r="I1149" t="str">
        <f>"PIVOT PLOW BLADE-WWTP"</f>
        <v>PIVOT PLOW BLADE-WWTP</v>
      </c>
    </row>
    <row r="1150" spans="1:9" x14ac:dyDescent="0.25">
      <c r="A1150" s="6">
        <v>44174</v>
      </c>
      <c r="B1150" t="s">
        <v>26</v>
      </c>
      <c r="C1150">
        <v>65617</v>
      </c>
      <c r="D1150" t="s">
        <v>836</v>
      </c>
      <c r="E1150" s="7">
        <v>5449.88</v>
      </c>
      <c r="F1150" t="s">
        <v>20</v>
      </c>
      <c r="G1150" s="10" t="s">
        <v>21</v>
      </c>
      <c r="H1150" t="str">
        <f>"69887"</f>
        <v>69887</v>
      </c>
      <c r="I1150" t="str">
        <f>"BARCOM TECHNOLOGY SOLUTIONS  I"</f>
        <v>BARCOM TECHNOLOGY SOLUTIONS  I</v>
      </c>
    </row>
    <row r="1151" spans="1:9" x14ac:dyDescent="0.25">
      <c r="E1151" s="7"/>
      <c r="F1151" t="s">
        <v>20</v>
      </c>
      <c r="G1151" s="10" t="s">
        <v>21</v>
      </c>
      <c r="H1151" t="str">
        <f>"69888"</f>
        <v>69888</v>
      </c>
      <c r="I1151" t="str">
        <f>"BARCOM TECHNOLOGY SOLUTIONS  I"</f>
        <v>BARCOM TECHNOLOGY SOLUTIONS  I</v>
      </c>
    </row>
    <row r="1152" spans="1:9" x14ac:dyDescent="0.25">
      <c r="A1152" s="6">
        <v>44174</v>
      </c>
      <c r="B1152" t="s">
        <v>26</v>
      </c>
      <c r="C1152">
        <v>65618</v>
      </c>
      <c r="D1152" t="s">
        <v>874</v>
      </c>
      <c r="E1152" s="7">
        <v>12558.63</v>
      </c>
      <c r="F1152" t="s">
        <v>20</v>
      </c>
      <c r="G1152" s="10" t="s">
        <v>21</v>
      </c>
      <c r="H1152" t="str">
        <f>"9/1-11/30/2020"</f>
        <v>9/1-11/30/2020</v>
      </c>
      <c r="I1152" t="str">
        <f>"GARZA GOLANDO MORAN"</f>
        <v>GARZA GOLANDO MORAN</v>
      </c>
    </row>
    <row r="1153" spans="1:9" x14ac:dyDescent="0.25">
      <c r="A1153" s="6">
        <v>44174</v>
      </c>
      <c r="B1153" t="s">
        <v>26</v>
      </c>
      <c r="C1153">
        <v>65619</v>
      </c>
      <c r="D1153" t="s">
        <v>884</v>
      </c>
      <c r="E1153" s="7">
        <v>53.04</v>
      </c>
      <c r="F1153" t="s">
        <v>20</v>
      </c>
      <c r="G1153" s="10" t="s">
        <v>21</v>
      </c>
      <c r="H1153" t="str">
        <f>"MCCOYS REIMST3698"</f>
        <v>MCCOYS REIMST3698</v>
      </c>
      <c r="I1153" t="str">
        <f>"DAVID PAINTER"</f>
        <v>DAVID PAINTER</v>
      </c>
    </row>
    <row r="1154" spans="1:9" x14ac:dyDescent="0.25">
      <c r="E1154" s="7"/>
      <c r="F1154" t="s">
        <v>20</v>
      </c>
      <c r="G1154" s="10" t="s">
        <v>21</v>
      </c>
      <c r="H1154" t="str">
        <f>"R&amp;S REIMB.055502"</f>
        <v>R&amp;S REIMB.055502</v>
      </c>
      <c r="I1154" t="str">
        <f>"DAVID PAINTER"</f>
        <v>DAVID PAINTER</v>
      </c>
    </row>
    <row r="1155" spans="1:9" x14ac:dyDescent="0.25">
      <c r="A1155" s="6">
        <v>44174</v>
      </c>
      <c r="B1155" t="s">
        <v>26</v>
      </c>
      <c r="C1155">
        <v>65620</v>
      </c>
      <c r="D1155" t="s">
        <v>975</v>
      </c>
      <c r="E1155" s="7">
        <v>829.8</v>
      </c>
      <c r="F1155" t="s">
        <v>20</v>
      </c>
      <c r="G1155" s="10" t="s">
        <v>21</v>
      </c>
      <c r="H1155" t="str">
        <f>"P75177"</f>
        <v>P75177</v>
      </c>
      <c r="I1155" t="str">
        <f>"BLADES AND BELTS-PARKS"</f>
        <v>BLADES AND BELTS-PARKS</v>
      </c>
    </row>
    <row r="1156" spans="1:9" x14ac:dyDescent="0.25">
      <c r="A1156" s="6">
        <v>44174</v>
      </c>
      <c r="B1156" t="s">
        <v>26</v>
      </c>
      <c r="C1156">
        <v>65621</v>
      </c>
      <c r="D1156" t="s">
        <v>637</v>
      </c>
      <c r="E1156" s="7">
        <v>75</v>
      </c>
      <c r="F1156" t="s">
        <v>20</v>
      </c>
      <c r="G1156" s="10" t="s">
        <v>21</v>
      </c>
      <c r="H1156" t="str">
        <f>"DEC. 2020"</f>
        <v>DEC. 2020</v>
      </c>
      <c r="I1156" t="str">
        <f>"GLORIA MARTINEZ"</f>
        <v>GLORIA MARTINEZ</v>
      </c>
    </row>
    <row r="1157" spans="1:9" x14ac:dyDescent="0.25">
      <c r="A1157" s="6">
        <v>44174</v>
      </c>
      <c r="B1157" t="s">
        <v>26</v>
      </c>
      <c r="C1157">
        <v>65622</v>
      </c>
      <c r="D1157" t="s">
        <v>36</v>
      </c>
      <c r="E1157" s="7">
        <v>75</v>
      </c>
      <c r="F1157" t="s">
        <v>20</v>
      </c>
      <c r="G1157" s="10" t="s">
        <v>21</v>
      </c>
      <c r="H1157" t="str">
        <f>"DEC.2020"</f>
        <v>DEC.2020</v>
      </c>
      <c r="I1157" t="str">
        <f>"GLORIA M. CANTU"</f>
        <v>GLORIA M. CANTU</v>
      </c>
    </row>
    <row r="1158" spans="1:9" x14ac:dyDescent="0.25">
      <c r="A1158" s="6">
        <v>44174</v>
      </c>
      <c r="B1158" t="s">
        <v>26</v>
      </c>
      <c r="C1158">
        <v>65623</v>
      </c>
      <c r="D1158" t="s">
        <v>38</v>
      </c>
      <c r="E1158" s="7">
        <v>100</v>
      </c>
      <c r="F1158" t="s">
        <v>20</v>
      </c>
      <c r="G1158" s="10" t="s">
        <v>21</v>
      </c>
      <c r="H1158" t="str">
        <f>"DEC. 2020"</f>
        <v>DEC. 2020</v>
      </c>
      <c r="I1158" t="str">
        <f>"CECELIA GONZALEZ-DIPPEL"</f>
        <v>CECELIA GONZALEZ-DIPPEL</v>
      </c>
    </row>
    <row r="1159" spans="1:9" x14ac:dyDescent="0.25">
      <c r="A1159" s="6">
        <v>44174</v>
      </c>
      <c r="B1159" t="s">
        <v>26</v>
      </c>
      <c r="C1159">
        <v>65624</v>
      </c>
      <c r="D1159" t="s">
        <v>558</v>
      </c>
      <c r="E1159" s="7">
        <v>75</v>
      </c>
      <c r="F1159" t="s">
        <v>20</v>
      </c>
      <c r="G1159" s="10" t="s">
        <v>21</v>
      </c>
      <c r="H1159" t="str">
        <f>"DEC. 2020"</f>
        <v>DEC. 2020</v>
      </c>
      <c r="I1159" t="str">
        <f>"MARISSA XIMENEZ"</f>
        <v>MARISSA XIMENEZ</v>
      </c>
    </row>
    <row r="1160" spans="1:9" x14ac:dyDescent="0.25">
      <c r="A1160" s="6">
        <v>44174</v>
      </c>
      <c r="B1160" t="s">
        <v>26</v>
      </c>
      <c r="C1160">
        <v>65625</v>
      </c>
      <c r="D1160" t="s">
        <v>889</v>
      </c>
      <c r="E1160" s="7">
        <v>75</v>
      </c>
      <c r="F1160" t="s">
        <v>20</v>
      </c>
      <c r="G1160" s="10" t="s">
        <v>21</v>
      </c>
      <c r="H1160" t="str">
        <f>"DEC. 2020"</f>
        <v>DEC. 2020</v>
      </c>
      <c r="I1160" t="str">
        <f>"JADE JIMENEZ"</f>
        <v>JADE JIMENEZ</v>
      </c>
    </row>
    <row r="1161" spans="1:9" x14ac:dyDescent="0.25">
      <c r="A1161" s="6">
        <v>44174</v>
      </c>
      <c r="B1161" t="s">
        <v>26</v>
      </c>
      <c r="C1161">
        <v>65626</v>
      </c>
      <c r="D1161" t="s">
        <v>1011</v>
      </c>
      <c r="E1161" s="7">
        <v>75</v>
      </c>
      <c r="F1161" t="s">
        <v>20</v>
      </c>
      <c r="G1161" s="10" t="s">
        <v>21</v>
      </c>
      <c r="H1161" t="str">
        <f>"DEC. 2020"</f>
        <v>DEC. 2020</v>
      </c>
      <c r="I1161" t="str">
        <f>"EDWARD ORTIZ"</f>
        <v>EDWARD ORTIZ</v>
      </c>
    </row>
    <row r="1162" spans="1:9" x14ac:dyDescent="0.25">
      <c r="A1162" s="6">
        <v>44175</v>
      </c>
      <c r="B1162" t="s">
        <v>26</v>
      </c>
      <c r="C1162">
        <v>65627</v>
      </c>
      <c r="D1162" t="s">
        <v>190</v>
      </c>
      <c r="E1162" s="7">
        <v>39</v>
      </c>
      <c r="F1162" t="s">
        <v>20</v>
      </c>
      <c r="G1162" s="10" t="s">
        <v>21</v>
      </c>
      <c r="H1162" t="str">
        <f>"17849"</f>
        <v>17849</v>
      </c>
      <c r="I1162" t="str">
        <f>"NASASP"</f>
        <v>NASASP</v>
      </c>
    </row>
    <row r="1163" spans="1:9" x14ac:dyDescent="0.25">
      <c r="A1163" s="6">
        <v>44175</v>
      </c>
      <c r="B1163" t="s">
        <v>26</v>
      </c>
      <c r="C1163">
        <v>65628</v>
      </c>
      <c r="D1163" t="s">
        <v>943</v>
      </c>
      <c r="E1163" s="7">
        <v>4430.3999999999996</v>
      </c>
      <c r="F1163" t="s">
        <v>20</v>
      </c>
      <c r="G1163" s="10" t="s">
        <v>21</v>
      </c>
      <c r="H1163" t="str">
        <f>"4117"</f>
        <v>4117</v>
      </c>
      <c r="I1163" t="str">
        <f>"NICKEL INDUSTRIAL CONTRACTORS"</f>
        <v>NICKEL INDUSTRIAL CONTRACTORS</v>
      </c>
    </row>
    <row r="1164" spans="1:9" x14ac:dyDescent="0.25">
      <c r="A1164" s="6">
        <v>44176</v>
      </c>
      <c r="B1164" t="s">
        <v>26</v>
      </c>
      <c r="C1164">
        <v>65629</v>
      </c>
      <c r="D1164" t="s">
        <v>345</v>
      </c>
      <c r="E1164" s="7">
        <v>220</v>
      </c>
      <c r="F1164" t="s">
        <v>20</v>
      </c>
      <c r="G1164" s="10" t="s">
        <v>21</v>
      </c>
      <c r="H1164" t="str">
        <f>"12/7/2020"</f>
        <v>12/7/2020</v>
      </c>
      <c r="I1164" t="str">
        <f>"MICHAEL ISAAC MARTINEZ"</f>
        <v>MICHAEL ISAAC MARTINEZ</v>
      </c>
    </row>
    <row r="1165" spans="1:9" x14ac:dyDescent="0.25">
      <c r="A1165" s="6">
        <v>44176</v>
      </c>
      <c r="B1165" t="s">
        <v>26</v>
      </c>
      <c r="C1165">
        <v>65630</v>
      </c>
      <c r="D1165" t="s">
        <v>698</v>
      </c>
      <c r="E1165" s="7">
        <v>85</v>
      </c>
      <c r="F1165" t="s">
        <v>20</v>
      </c>
      <c r="G1165" s="10" t="s">
        <v>21</v>
      </c>
      <c r="H1165" t="str">
        <f>"12/05/2020"</f>
        <v>12/05/2020</v>
      </c>
      <c r="I1165" t="str">
        <f>"TRACY ORTIZ"</f>
        <v>TRACY ORTIZ</v>
      </c>
    </row>
    <row r="1166" spans="1:9" x14ac:dyDescent="0.25">
      <c r="A1166" s="6">
        <v>44176</v>
      </c>
      <c r="B1166" t="s">
        <v>26</v>
      </c>
      <c r="C1166">
        <v>65631</v>
      </c>
      <c r="D1166" t="s">
        <v>872</v>
      </c>
      <c r="E1166" s="7">
        <v>85</v>
      </c>
      <c r="F1166" t="s">
        <v>20</v>
      </c>
      <c r="G1166" s="10" t="s">
        <v>21</v>
      </c>
      <c r="H1166" t="str">
        <f>"12/05/2020"</f>
        <v>12/05/2020</v>
      </c>
      <c r="I1166" t="str">
        <f>"DEVIN BENAVIDES"</f>
        <v>DEVIN BENAVIDES</v>
      </c>
    </row>
    <row r="1167" spans="1:9" x14ac:dyDescent="0.25">
      <c r="A1167" s="6">
        <v>44179</v>
      </c>
      <c r="B1167" t="s">
        <v>26</v>
      </c>
      <c r="C1167">
        <v>65632</v>
      </c>
      <c r="D1167" t="s">
        <v>90</v>
      </c>
      <c r="E1167" s="7">
        <v>1608</v>
      </c>
      <c r="F1167" t="s">
        <v>20</v>
      </c>
      <c r="G1167" s="10" t="s">
        <v>24</v>
      </c>
      <c r="H1167" t="str">
        <f>"211769"</f>
        <v>211769</v>
      </c>
      <c r="I1167" t="str">
        <f>"AFLAC"</f>
        <v>AFLAC</v>
      </c>
    </row>
    <row r="1168" spans="1:9" x14ac:dyDescent="0.25">
      <c r="E1168" s="7"/>
      <c r="F1168" t="s">
        <v>20</v>
      </c>
      <c r="G1168" s="10" t="s">
        <v>329</v>
      </c>
      <c r="H1168" t="str">
        <f>"NOVEMBER 2020"</f>
        <v>NOVEMBER 2020</v>
      </c>
      <c r="I1168" t="str">
        <f>"AFLAC"</f>
        <v>AFLAC</v>
      </c>
    </row>
    <row r="1169" spans="1:9" x14ac:dyDescent="0.25">
      <c r="E1169" s="7"/>
      <c r="F1169" t="s">
        <v>20</v>
      </c>
      <c r="G1169" s="10" t="s">
        <v>21</v>
      </c>
      <c r="H1169" t="str">
        <f>"ACA202012018591"</f>
        <v>ACA202012018591</v>
      </c>
      <c r="I1169" t="str">
        <f>"AFLAC INSURANCE"</f>
        <v>AFLAC INSURANCE</v>
      </c>
    </row>
    <row r="1170" spans="1:9" x14ac:dyDescent="0.25">
      <c r="E1170" s="7"/>
      <c r="F1170" t="s">
        <v>20</v>
      </c>
      <c r="G1170" s="10" t="s">
        <v>21</v>
      </c>
      <c r="H1170" t="str">
        <f>"ADR202012018591"</f>
        <v>ADR202012018591</v>
      </c>
      <c r="I1170" t="str">
        <f>"INSURANCE"</f>
        <v>INSURANCE</v>
      </c>
    </row>
    <row r="1171" spans="1:9" x14ac:dyDescent="0.25">
      <c r="E1171" s="7"/>
      <c r="F1171" t="s">
        <v>20</v>
      </c>
      <c r="G1171" s="10" t="s">
        <v>21</v>
      </c>
      <c r="H1171" t="str">
        <f>"AF1202010068586"</f>
        <v>AF1202010068586</v>
      </c>
      <c r="I1171" t="str">
        <f>"AFLAC INSURANCE"</f>
        <v>AFLAC INSURANCE</v>
      </c>
    </row>
    <row r="1172" spans="1:9" x14ac:dyDescent="0.25">
      <c r="E1172" s="7"/>
      <c r="F1172" t="s">
        <v>20</v>
      </c>
      <c r="G1172" s="10" t="s">
        <v>21</v>
      </c>
      <c r="H1172" t="str">
        <f>"AF1202010208588"</f>
        <v>AF1202010208588</v>
      </c>
      <c r="I1172" t="str">
        <f>"AFLAC INSURANCE"</f>
        <v>AFLAC INSURANCE</v>
      </c>
    </row>
    <row r="1173" spans="1:9" x14ac:dyDescent="0.25">
      <c r="E1173" s="7"/>
      <c r="F1173" t="s">
        <v>20</v>
      </c>
      <c r="G1173" s="10" t="s">
        <v>21</v>
      </c>
      <c r="H1173" t="str">
        <f>"AF1202011178590"</f>
        <v>AF1202011178590</v>
      </c>
      <c r="I1173" t="str">
        <f>"AFLAC INSURANCE"</f>
        <v>AFLAC INSURANCE</v>
      </c>
    </row>
    <row r="1174" spans="1:9" x14ac:dyDescent="0.25">
      <c r="E1174" s="7"/>
      <c r="F1174" t="s">
        <v>20</v>
      </c>
      <c r="G1174" s="10" t="s">
        <v>21</v>
      </c>
      <c r="H1174" t="str">
        <f>"AFS202012018591"</f>
        <v>AFS202012018591</v>
      </c>
      <c r="I1174" t="str">
        <f>"AFLAC STD"</f>
        <v>AFLAC STD</v>
      </c>
    </row>
    <row r="1175" spans="1:9" x14ac:dyDescent="0.25">
      <c r="E1175" s="7"/>
      <c r="F1175" t="s">
        <v>20</v>
      </c>
      <c r="G1175" s="10" t="s">
        <v>21</v>
      </c>
      <c r="H1175" t="str">
        <f>"ASP202012018591"</f>
        <v>ASP202012018591</v>
      </c>
      <c r="I1175" t="str">
        <f>"AFLAC INSURANCE"</f>
        <v>AFLAC INSURANCE</v>
      </c>
    </row>
    <row r="1176" spans="1:9" x14ac:dyDescent="0.25">
      <c r="E1176" s="7"/>
      <c r="F1176" t="s">
        <v>20</v>
      </c>
      <c r="G1176" s="10" t="s">
        <v>21</v>
      </c>
      <c r="H1176" t="str">
        <f>"HCO202012018591"</f>
        <v>HCO202012018591</v>
      </c>
      <c r="I1176" t="str">
        <f>"AFLAC INSURANCE"</f>
        <v>AFLAC INSURANCE</v>
      </c>
    </row>
    <row r="1177" spans="1:9" x14ac:dyDescent="0.25">
      <c r="A1177" s="6">
        <v>44179</v>
      </c>
      <c r="B1177" t="s">
        <v>26</v>
      </c>
      <c r="C1177">
        <v>65636</v>
      </c>
      <c r="D1177" t="s">
        <v>92</v>
      </c>
      <c r="E1177" s="7">
        <v>34906.01</v>
      </c>
      <c r="F1177" t="s">
        <v>20</v>
      </c>
      <c r="G1177" s="10" t="s">
        <v>21</v>
      </c>
      <c r="H1177" t="str">
        <f>"RET202011038589"</f>
        <v>RET202011038589</v>
      </c>
      <c r="I1177" t="str">
        <f>"TMRS CITY OF FLORESVILLE"</f>
        <v>TMRS CITY OF FLORESVILLE</v>
      </c>
    </row>
    <row r="1178" spans="1:9" x14ac:dyDescent="0.25">
      <c r="E1178" s="7"/>
      <c r="F1178" t="s">
        <v>20</v>
      </c>
      <c r="G1178" s="10" t="s">
        <v>21</v>
      </c>
      <c r="H1178" t="str">
        <f>"RET202011178590"</f>
        <v>RET202011178590</v>
      </c>
      <c r="I1178" t="str">
        <f>"TMRS CITY OF FLORESVILLE"</f>
        <v>TMRS CITY OF FLORESVILLE</v>
      </c>
    </row>
    <row r="1179" spans="1:9" x14ac:dyDescent="0.25">
      <c r="A1179" s="6">
        <v>44179</v>
      </c>
      <c r="B1179" t="s">
        <v>26</v>
      </c>
      <c r="C1179">
        <v>65640</v>
      </c>
      <c r="D1179" t="s">
        <v>95</v>
      </c>
      <c r="E1179" s="7">
        <v>13.63</v>
      </c>
      <c r="F1179" t="s">
        <v>20</v>
      </c>
      <c r="G1179" s="10" t="s">
        <v>329</v>
      </c>
      <c r="H1179" t="str">
        <f>"NOV.2020"</f>
        <v>NOV.2020</v>
      </c>
      <c r="I1179" t="str">
        <f>"LEGAL PLANS"</f>
        <v>LEGAL PLANS</v>
      </c>
    </row>
    <row r="1180" spans="1:9" x14ac:dyDescent="0.25">
      <c r="E1180" s="7"/>
      <c r="F1180" t="s">
        <v>20</v>
      </c>
      <c r="G1180" s="10" t="s">
        <v>21</v>
      </c>
      <c r="H1180" t="str">
        <f>"LEA202011178590"</f>
        <v>LEA202011178590</v>
      </c>
      <c r="I1180" t="str">
        <f>"INSURANCE"</f>
        <v>INSURANCE</v>
      </c>
    </row>
    <row r="1181" spans="1:9" x14ac:dyDescent="0.25">
      <c r="A1181" s="6">
        <v>44179</v>
      </c>
      <c r="B1181" t="s">
        <v>26</v>
      </c>
      <c r="C1181">
        <v>65641</v>
      </c>
      <c r="D1181" t="s">
        <v>96</v>
      </c>
      <c r="E1181" s="7">
        <v>199.3</v>
      </c>
      <c r="F1181" t="s">
        <v>20</v>
      </c>
      <c r="G1181" s="10" t="s">
        <v>24</v>
      </c>
      <c r="H1181" t="str">
        <f>"NOV. 2020"</f>
        <v>NOV. 2020</v>
      </c>
      <c r="I1181" t="str">
        <f>"LEGALSHIELD"</f>
        <v>LEGALSHIELD</v>
      </c>
    </row>
    <row r="1182" spans="1:9" x14ac:dyDescent="0.25">
      <c r="E1182" s="7"/>
      <c r="F1182" t="s">
        <v>20</v>
      </c>
      <c r="G1182" s="10" t="s">
        <v>21</v>
      </c>
      <c r="H1182" t="str">
        <f>"PPL202011178590"</f>
        <v>PPL202011178590</v>
      </c>
      <c r="I1182" t="str">
        <f>"INSURANCE"</f>
        <v>INSURANCE</v>
      </c>
    </row>
    <row r="1183" spans="1:9" x14ac:dyDescent="0.25">
      <c r="E1183" s="7"/>
      <c r="F1183" t="s">
        <v>20</v>
      </c>
      <c r="G1183" s="10" t="s">
        <v>21</v>
      </c>
      <c r="H1183" t="str">
        <f>"PPL202012018591"</f>
        <v>PPL202012018591</v>
      </c>
      <c r="I1183" t="str">
        <f>"INSURANCE"</f>
        <v>INSURANCE</v>
      </c>
    </row>
    <row r="1184" spans="1:9" x14ac:dyDescent="0.25">
      <c r="A1184" s="6">
        <v>44179</v>
      </c>
      <c r="B1184" t="s">
        <v>91</v>
      </c>
      <c r="C1184">
        <v>65643</v>
      </c>
      <c r="D1184" t="s">
        <v>948</v>
      </c>
      <c r="E1184" s="7">
        <v>543.55999999999995</v>
      </c>
      <c r="F1184" t="s">
        <v>20</v>
      </c>
      <c r="G1184" s="10" t="s">
        <v>21</v>
      </c>
      <c r="H1184" t="str">
        <f>"MMI137888"</f>
        <v>MMI137888</v>
      </c>
      <c r="I1184" t="str">
        <f>"MODERN MARKETING"</f>
        <v>MODERN MARKETING</v>
      </c>
    </row>
    <row r="1185" spans="1:9" x14ac:dyDescent="0.25">
      <c r="A1185" s="6">
        <v>44179</v>
      </c>
      <c r="B1185" t="s">
        <v>91</v>
      </c>
      <c r="C1185">
        <v>65643</v>
      </c>
      <c r="D1185" t="s">
        <v>948</v>
      </c>
      <c r="E1185" s="7">
        <v>543.55999999999995</v>
      </c>
      <c r="F1185" t="s">
        <v>20</v>
      </c>
      <c r="G1185" s="10" t="s">
        <v>93</v>
      </c>
      <c r="H1185" t="str">
        <f>"CHECK"</f>
        <v>CHECK</v>
      </c>
      <c r="I1185" t="str">
        <f>""</f>
        <v/>
      </c>
    </row>
    <row r="1186" spans="1:9" x14ac:dyDescent="0.25">
      <c r="A1186" s="6">
        <v>44180</v>
      </c>
      <c r="B1186" t="s">
        <v>26</v>
      </c>
      <c r="C1186">
        <v>65648</v>
      </c>
      <c r="D1186" t="s">
        <v>51</v>
      </c>
      <c r="E1186" s="7">
        <v>327.84</v>
      </c>
      <c r="F1186" t="s">
        <v>20</v>
      </c>
      <c r="G1186" s="10" t="s">
        <v>21</v>
      </c>
      <c r="H1186" t="str">
        <f>"CLE202012158592"</f>
        <v>CLE202012158592</v>
      </c>
      <c r="I1186" t="str">
        <f>"CLEAT ONLY DUES"</f>
        <v>CLEAT ONLY DUES</v>
      </c>
    </row>
    <row r="1187" spans="1:9" x14ac:dyDescent="0.25">
      <c r="E1187" s="7"/>
      <c r="F1187" t="s">
        <v>20</v>
      </c>
      <c r="G1187" s="10" t="s">
        <v>21</v>
      </c>
      <c r="H1187" t="str">
        <f>"PDD202012158592"</f>
        <v>PDD202012158592</v>
      </c>
      <c r="I1187" t="str">
        <f>"POLICE OFFICERS ASSOC DUES"</f>
        <v>POLICE OFFICERS ASSOC DUES</v>
      </c>
    </row>
    <row r="1188" spans="1:9" x14ac:dyDescent="0.25">
      <c r="A1188" s="6">
        <v>44180</v>
      </c>
      <c r="B1188" t="s">
        <v>26</v>
      </c>
      <c r="C1188">
        <v>65649</v>
      </c>
      <c r="D1188" t="s">
        <v>52</v>
      </c>
      <c r="E1188" s="7">
        <v>405</v>
      </c>
      <c r="F1188" t="s">
        <v>20</v>
      </c>
      <c r="G1188" s="10" t="s">
        <v>21</v>
      </c>
      <c r="H1188" t="str">
        <f>"CA1202012158592"</f>
        <v>CA1202012158592</v>
      </c>
      <c r="I1188" t="str">
        <f>"K RAMIREZ 001200229510060343CV"</f>
        <v>K RAMIREZ 001200229510060343CV</v>
      </c>
    </row>
    <row r="1189" spans="1:9" x14ac:dyDescent="0.25">
      <c r="E1189" s="7"/>
      <c r="F1189" t="s">
        <v>20</v>
      </c>
      <c r="G1189" s="10" t="s">
        <v>21</v>
      </c>
      <c r="H1189" t="str">
        <f>"CA2202012158592"</f>
        <v>CA2202012158592</v>
      </c>
      <c r="I1189" t="str">
        <f>"L HERNANDEZ 001016025203080354"</f>
        <v>L HERNANDEZ 001016025203080354</v>
      </c>
    </row>
    <row r="1190" spans="1:9" x14ac:dyDescent="0.25">
      <c r="E1190" s="7"/>
      <c r="F1190" t="s">
        <v>20</v>
      </c>
      <c r="G1190" s="10" t="s">
        <v>21</v>
      </c>
      <c r="H1190" t="str">
        <f>"CA3202012158592"</f>
        <v>CA3202012158592</v>
      </c>
      <c r="I1190" t="str">
        <f>"00120788612011EM5023JOLENEGARC"</f>
        <v>00120788612011EM5023JOLENEGARC</v>
      </c>
    </row>
    <row r="1191" spans="1:9" x14ac:dyDescent="0.25">
      <c r="E1191" s="7"/>
      <c r="F1191" t="s">
        <v>20</v>
      </c>
      <c r="G1191" s="10" t="s">
        <v>21</v>
      </c>
      <c r="H1191" t="str">
        <f>"CSA202012158592"</f>
        <v>CSA202012158592</v>
      </c>
      <c r="I1191" t="str">
        <f>"S RODRIGUEZ 001281730413050336"</f>
        <v>S RODRIGUEZ 001281730413050336</v>
      </c>
    </row>
    <row r="1192" spans="1:9" x14ac:dyDescent="0.25">
      <c r="A1192" s="6">
        <v>44180</v>
      </c>
      <c r="B1192" t="s">
        <v>26</v>
      </c>
      <c r="C1192">
        <v>65650</v>
      </c>
      <c r="D1192" t="s">
        <v>54</v>
      </c>
      <c r="E1192" s="7">
        <v>1186.68</v>
      </c>
      <c r="F1192" t="s">
        <v>20</v>
      </c>
      <c r="G1192" s="10" t="s">
        <v>21</v>
      </c>
      <c r="H1192" t="str">
        <f>"457202012158592"</f>
        <v>457202012158592</v>
      </c>
      <c r="I1192" t="str">
        <f>"CASE # 180-60751 457B DEDUCT"</f>
        <v>CASE # 180-60751 457B DEDUCT</v>
      </c>
    </row>
    <row r="1193" spans="1:9" x14ac:dyDescent="0.25">
      <c r="A1193" s="6">
        <v>44180</v>
      </c>
      <c r="B1193" t="s">
        <v>26</v>
      </c>
      <c r="C1193">
        <v>65651</v>
      </c>
      <c r="D1193" t="s">
        <v>969</v>
      </c>
      <c r="E1193" s="7">
        <v>88.74</v>
      </c>
      <c r="F1193" t="s">
        <v>20</v>
      </c>
      <c r="G1193" s="10" t="s">
        <v>21</v>
      </c>
      <c r="H1193" t="str">
        <f>"ATG202012158592"</f>
        <v>ATG202012158592</v>
      </c>
      <c r="I1193" t="str">
        <f>"WG1910853 A. TREVINO"</f>
        <v>WG1910853 A. TREVINO</v>
      </c>
    </row>
    <row r="1194" spans="1:9" x14ac:dyDescent="0.25">
      <c r="A1194" s="6">
        <v>44181</v>
      </c>
      <c r="B1194" t="s">
        <v>26</v>
      </c>
      <c r="C1194">
        <v>65661</v>
      </c>
      <c r="D1194" t="s">
        <v>238</v>
      </c>
      <c r="E1194" s="7">
        <v>525</v>
      </c>
      <c r="F1194" t="s">
        <v>20</v>
      </c>
      <c r="G1194" s="10" t="s">
        <v>21</v>
      </c>
      <c r="H1194" t="str">
        <f>"2849"</f>
        <v>2849</v>
      </c>
      <c r="I1194" t="str">
        <f>"AA SOUTH TEXAS BACKFLOW &amp; IRRI"</f>
        <v>AA SOUTH TEXAS BACKFLOW &amp; IRRI</v>
      </c>
    </row>
    <row r="1195" spans="1:9" x14ac:dyDescent="0.25">
      <c r="A1195" s="6">
        <v>44181</v>
      </c>
      <c r="B1195" t="s">
        <v>26</v>
      </c>
      <c r="C1195">
        <v>65662</v>
      </c>
      <c r="D1195" t="s">
        <v>139</v>
      </c>
      <c r="E1195" s="7">
        <v>65</v>
      </c>
      <c r="F1195" t="s">
        <v>20</v>
      </c>
      <c r="G1195" s="10" t="s">
        <v>21</v>
      </c>
      <c r="H1195" t="str">
        <f>"30952"</f>
        <v>30952</v>
      </c>
      <c r="I1195" t="str">
        <f>"ANGEL FIRE &amp; SAFETY"</f>
        <v>ANGEL FIRE &amp; SAFETY</v>
      </c>
    </row>
    <row r="1196" spans="1:9" x14ac:dyDescent="0.25">
      <c r="A1196" s="6">
        <v>44181</v>
      </c>
      <c r="B1196" t="s">
        <v>26</v>
      </c>
      <c r="C1196">
        <v>65663</v>
      </c>
      <c r="D1196" t="s">
        <v>821</v>
      </c>
      <c r="E1196" s="7">
        <v>4159.62</v>
      </c>
      <c r="F1196" t="s">
        <v>20</v>
      </c>
      <c r="G1196" s="10" t="s">
        <v>21</v>
      </c>
      <c r="H1196" t="str">
        <f>"FRI8409"</f>
        <v>FRI8409</v>
      </c>
      <c r="I1196" t="str">
        <f>"B STREET WELL REPLACEMENT"</f>
        <v>B STREET WELL REPLACEMENT</v>
      </c>
    </row>
    <row r="1197" spans="1:9" x14ac:dyDescent="0.25">
      <c r="E1197" s="7"/>
      <c r="F1197" t="s">
        <v>20</v>
      </c>
      <c r="G1197" s="10" t="s">
        <v>21</v>
      </c>
      <c r="H1197" t="str">
        <f>"FRI8434"</f>
        <v>FRI8434</v>
      </c>
      <c r="I1197" t="str">
        <f>"REPAIR TO B ST WELL"</f>
        <v>REPAIR TO B ST WELL</v>
      </c>
    </row>
    <row r="1198" spans="1:9" x14ac:dyDescent="0.25">
      <c r="A1198" s="6">
        <v>44181</v>
      </c>
      <c r="B1198" t="s">
        <v>26</v>
      </c>
      <c r="C1198">
        <v>65664</v>
      </c>
      <c r="D1198" t="s">
        <v>115</v>
      </c>
      <c r="E1198" s="7">
        <v>257.98</v>
      </c>
      <c r="F1198" t="s">
        <v>20</v>
      </c>
      <c r="G1198" s="10" t="s">
        <v>21</v>
      </c>
      <c r="H1198" t="str">
        <f>"3547802554"</f>
        <v>3547802554</v>
      </c>
      <c r="I1198" t="str">
        <f>"ENG STARTR"</f>
        <v>ENG STARTR</v>
      </c>
    </row>
    <row r="1199" spans="1:9" x14ac:dyDescent="0.25">
      <c r="E1199" s="7"/>
      <c r="F1199" t="s">
        <v>20</v>
      </c>
      <c r="G1199" s="10" t="s">
        <v>21</v>
      </c>
      <c r="H1199" t="str">
        <f>"3547802560"</f>
        <v>3547802560</v>
      </c>
      <c r="I1199" t="str">
        <f>"TSTAT HOUSING ASS.51295"</f>
        <v>TSTAT HOUSING ASS.51295</v>
      </c>
    </row>
    <row r="1200" spans="1:9" x14ac:dyDescent="0.25">
      <c r="E1200" s="7"/>
      <c r="F1200" t="s">
        <v>20</v>
      </c>
      <c r="G1200" s="10" t="s">
        <v>21</v>
      </c>
      <c r="H1200" t="str">
        <f>"3547804298"</f>
        <v>3547804298</v>
      </c>
      <c r="I1200" t="str">
        <f>"SUPPLIES FOR THESHOP"</f>
        <v>SUPPLIES FOR THESHOP</v>
      </c>
    </row>
    <row r="1201" spans="1:9" x14ac:dyDescent="0.25">
      <c r="A1201" s="6">
        <v>44181</v>
      </c>
      <c r="B1201" t="s">
        <v>26</v>
      </c>
      <c r="C1201">
        <v>65665</v>
      </c>
      <c r="D1201" t="s">
        <v>168</v>
      </c>
      <c r="E1201" s="7">
        <v>856</v>
      </c>
      <c r="F1201" t="s">
        <v>20</v>
      </c>
      <c r="G1201" s="10" t="s">
        <v>21</v>
      </c>
      <c r="H1201" t="str">
        <f>"LI-7259"</f>
        <v>LI-7259</v>
      </c>
      <c r="I1201" t="str">
        <f t="shared" ref="I1201:I1207" si="20">"BEXAR COUNTY AUDITOR/ATTN:CRIM"</f>
        <v>BEXAR COUNTY AUDITOR/ATTN:CRIM</v>
      </c>
    </row>
    <row r="1202" spans="1:9" x14ac:dyDescent="0.25">
      <c r="E1202" s="7"/>
      <c r="F1202" t="s">
        <v>20</v>
      </c>
      <c r="G1202" s="10" t="s">
        <v>21</v>
      </c>
      <c r="H1202" t="str">
        <f>"LI-7260"</f>
        <v>LI-7260</v>
      </c>
      <c r="I1202" t="str">
        <f t="shared" si="20"/>
        <v>BEXAR COUNTY AUDITOR/ATTN:CRIM</v>
      </c>
    </row>
    <row r="1203" spans="1:9" x14ac:dyDescent="0.25">
      <c r="E1203" s="7"/>
      <c r="F1203" t="s">
        <v>20</v>
      </c>
      <c r="G1203" s="10" t="s">
        <v>21</v>
      </c>
      <c r="H1203" t="str">
        <f>"LI-7261"</f>
        <v>LI-7261</v>
      </c>
      <c r="I1203" t="str">
        <f t="shared" si="20"/>
        <v>BEXAR COUNTY AUDITOR/ATTN:CRIM</v>
      </c>
    </row>
    <row r="1204" spans="1:9" x14ac:dyDescent="0.25">
      <c r="E1204" s="7"/>
      <c r="F1204" t="s">
        <v>20</v>
      </c>
      <c r="G1204" s="10" t="s">
        <v>21</v>
      </c>
      <c r="H1204" t="str">
        <f>"LI-7262"</f>
        <v>LI-7262</v>
      </c>
      <c r="I1204" t="str">
        <f t="shared" si="20"/>
        <v>BEXAR COUNTY AUDITOR/ATTN:CRIM</v>
      </c>
    </row>
    <row r="1205" spans="1:9" x14ac:dyDescent="0.25">
      <c r="E1205" s="7"/>
      <c r="F1205" t="s">
        <v>20</v>
      </c>
      <c r="G1205" s="10" t="s">
        <v>21</v>
      </c>
      <c r="H1205" t="str">
        <f>"LI-7263"</f>
        <v>LI-7263</v>
      </c>
      <c r="I1205" t="str">
        <f t="shared" si="20"/>
        <v>BEXAR COUNTY AUDITOR/ATTN:CRIM</v>
      </c>
    </row>
    <row r="1206" spans="1:9" x14ac:dyDescent="0.25">
      <c r="E1206" s="7"/>
      <c r="F1206" t="s">
        <v>20</v>
      </c>
      <c r="G1206" s="10" t="s">
        <v>21</v>
      </c>
      <c r="H1206" t="str">
        <f>"LI-7264"</f>
        <v>LI-7264</v>
      </c>
      <c r="I1206" t="str">
        <f t="shared" si="20"/>
        <v>BEXAR COUNTY AUDITOR/ATTN:CRIM</v>
      </c>
    </row>
    <row r="1207" spans="1:9" x14ac:dyDescent="0.25">
      <c r="E1207" s="7"/>
      <c r="F1207" t="s">
        <v>20</v>
      </c>
      <c r="G1207" s="10" t="s">
        <v>21</v>
      </c>
      <c r="H1207" t="str">
        <f>"LI-7265"</f>
        <v>LI-7265</v>
      </c>
      <c r="I1207" t="str">
        <f t="shared" si="20"/>
        <v>BEXAR COUNTY AUDITOR/ATTN:CRIM</v>
      </c>
    </row>
    <row r="1208" spans="1:9" x14ac:dyDescent="0.25">
      <c r="A1208" s="6">
        <v>44181</v>
      </c>
      <c r="B1208" t="s">
        <v>26</v>
      </c>
      <c r="C1208">
        <v>65667</v>
      </c>
      <c r="D1208" t="s">
        <v>110</v>
      </c>
      <c r="E1208" s="7">
        <v>17031.240000000002</v>
      </c>
      <c r="F1208" t="s">
        <v>20</v>
      </c>
      <c r="G1208" s="10" t="s">
        <v>21</v>
      </c>
      <c r="H1208" t="str">
        <f>"1558563"</f>
        <v>1558563</v>
      </c>
      <c r="I1208" t="str">
        <f t="shared" ref="I1208:I1232" si="21">"BUREAU VERITAS NORTH AMERICA"</f>
        <v>BUREAU VERITAS NORTH AMERICA</v>
      </c>
    </row>
    <row r="1209" spans="1:9" x14ac:dyDescent="0.25">
      <c r="E1209" s="7"/>
      <c r="F1209" t="s">
        <v>20</v>
      </c>
      <c r="G1209" s="10" t="s">
        <v>21</v>
      </c>
      <c r="H1209" t="str">
        <f>"1558564"</f>
        <v>1558564</v>
      </c>
      <c r="I1209" t="str">
        <f t="shared" si="21"/>
        <v>BUREAU VERITAS NORTH AMERICA</v>
      </c>
    </row>
    <row r="1210" spans="1:9" x14ac:dyDescent="0.25">
      <c r="E1210" s="7"/>
      <c r="F1210" t="s">
        <v>20</v>
      </c>
      <c r="G1210" s="10" t="s">
        <v>21</v>
      </c>
      <c r="H1210" t="str">
        <f>"1558565"</f>
        <v>1558565</v>
      </c>
      <c r="I1210" t="str">
        <f t="shared" si="21"/>
        <v>BUREAU VERITAS NORTH AMERICA</v>
      </c>
    </row>
    <row r="1211" spans="1:9" x14ac:dyDescent="0.25">
      <c r="E1211" s="7"/>
      <c r="F1211" t="s">
        <v>20</v>
      </c>
      <c r="G1211" s="10" t="s">
        <v>21</v>
      </c>
      <c r="H1211" t="str">
        <f>"1558566"</f>
        <v>1558566</v>
      </c>
      <c r="I1211" t="str">
        <f t="shared" si="21"/>
        <v>BUREAU VERITAS NORTH AMERICA</v>
      </c>
    </row>
    <row r="1212" spans="1:9" x14ac:dyDescent="0.25">
      <c r="E1212" s="7"/>
      <c r="F1212" t="s">
        <v>20</v>
      </c>
      <c r="G1212" s="10" t="s">
        <v>21</v>
      </c>
      <c r="H1212" t="str">
        <f>"1558567"</f>
        <v>1558567</v>
      </c>
      <c r="I1212" t="str">
        <f t="shared" si="21"/>
        <v>BUREAU VERITAS NORTH AMERICA</v>
      </c>
    </row>
    <row r="1213" spans="1:9" x14ac:dyDescent="0.25">
      <c r="E1213" s="7"/>
      <c r="F1213" t="s">
        <v>20</v>
      </c>
      <c r="G1213" s="10" t="s">
        <v>21</v>
      </c>
      <c r="H1213" t="str">
        <f>"1558568"</f>
        <v>1558568</v>
      </c>
      <c r="I1213" t="str">
        <f t="shared" si="21"/>
        <v>BUREAU VERITAS NORTH AMERICA</v>
      </c>
    </row>
    <row r="1214" spans="1:9" x14ac:dyDescent="0.25">
      <c r="E1214" s="7"/>
      <c r="F1214" t="s">
        <v>20</v>
      </c>
      <c r="G1214" s="10" t="s">
        <v>21</v>
      </c>
      <c r="H1214" t="str">
        <f>"1558569"</f>
        <v>1558569</v>
      </c>
      <c r="I1214" t="str">
        <f t="shared" si="21"/>
        <v>BUREAU VERITAS NORTH AMERICA</v>
      </c>
    </row>
    <row r="1215" spans="1:9" x14ac:dyDescent="0.25">
      <c r="E1215" s="7"/>
      <c r="F1215" t="s">
        <v>20</v>
      </c>
      <c r="G1215" s="10" t="s">
        <v>21</v>
      </c>
      <c r="H1215" t="str">
        <f>"1558570"</f>
        <v>1558570</v>
      </c>
      <c r="I1215" t="str">
        <f t="shared" si="21"/>
        <v>BUREAU VERITAS NORTH AMERICA</v>
      </c>
    </row>
    <row r="1216" spans="1:9" x14ac:dyDescent="0.25">
      <c r="E1216" s="7"/>
      <c r="F1216" t="s">
        <v>20</v>
      </c>
      <c r="G1216" s="10" t="s">
        <v>21</v>
      </c>
      <c r="H1216" t="str">
        <f>"1558571"</f>
        <v>1558571</v>
      </c>
      <c r="I1216" t="str">
        <f t="shared" si="21"/>
        <v>BUREAU VERITAS NORTH AMERICA</v>
      </c>
    </row>
    <row r="1217" spans="5:9" x14ac:dyDescent="0.25">
      <c r="E1217" s="7"/>
      <c r="F1217" t="s">
        <v>20</v>
      </c>
      <c r="G1217" s="10" t="s">
        <v>21</v>
      </c>
      <c r="H1217" t="str">
        <f>"1558572"</f>
        <v>1558572</v>
      </c>
      <c r="I1217" t="str">
        <f t="shared" si="21"/>
        <v>BUREAU VERITAS NORTH AMERICA</v>
      </c>
    </row>
    <row r="1218" spans="5:9" x14ac:dyDescent="0.25">
      <c r="E1218" s="7"/>
      <c r="F1218" t="s">
        <v>20</v>
      </c>
      <c r="G1218" s="10" t="s">
        <v>21</v>
      </c>
      <c r="H1218" t="str">
        <f>"1558573"</f>
        <v>1558573</v>
      </c>
      <c r="I1218" t="str">
        <f t="shared" si="21"/>
        <v>BUREAU VERITAS NORTH AMERICA</v>
      </c>
    </row>
    <row r="1219" spans="5:9" x14ac:dyDescent="0.25">
      <c r="E1219" s="7"/>
      <c r="F1219" t="s">
        <v>20</v>
      </c>
      <c r="G1219" s="10" t="s">
        <v>21</v>
      </c>
      <c r="H1219" t="str">
        <f>"1558574"</f>
        <v>1558574</v>
      </c>
      <c r="I1219" t="str">
        <f t="shared" si="21"/>
        <v>BUREAU VERITAS NORTH AMERICA</v>
      </c>
    </row>
    <row r="1220" spans="5:9" x14ac:dyDescent="0.25">
      <c r="E1220" s="7"/>
      <c r="F1220" t="s">
        <v>20</v>
      </c>
      <c r="G1220" s="10" t="s">
        <v>21</v>
      </c>
      <c r="H1220" t="str">
        <f>"1558575"</f>
        <v>1558575</v>
      </c>
      <c r="I1220" t="str">
        <f t="shared" si="21"/>
        <v>BUREAU VERITAS NORTH AMERICA</v>
      </c>
    </row>
    <row r="1221" spans="5:9" x14ac:dyDescent="0.25">
      <c r="E1221" s="7"/>
      <c r="F1221" t="s">
        <v>20</v>
      </c>
      <c r="G1221" s="10" t="s">
        <v>21</v>
      </c>
      <c r="H1221" t="str">
        <f>"1558576"</f>
        <v>1558576</v>
      </c>
      <c r="I1221" t="str">
        <f t="shared" si="21"/>
        <v>BUREAU VERITAS NORTH AMERICA</v>
      </c>
    </row>
    <row r="1222" spans="5:9" x14ac:dyDescent="0.25">
      <c r="E1222" s="7"/>
      <c r="F1222" t="s">
        <v>20</v>
      </c>
      <c r="G1222" s="10" t="s">
        <v>21</v>
      </c>
      <c r="H1222" t="str">
        <f>"1558577"</f>
        <v>1558577</v>
      </c>
      <c r="I1222" t="str">
        <f t="shared" si="21"/>
        <v>BUREAU VERITAS NORTH AMERICA</v>
      </c>
    </row>
    <row r="1223" spans="5:9" x14ac:dyDescent="0.25">
      <c r="E1223" s="7"/>
      <c r="F1223" t="s">
        <v>20</v>
      </c>
      <c r="G1223" s="10" t="s">
        <v>21</v>
      </c>
      <c r="H1223" t="str">
        <f>"1558578"</f>
        <v>1558578</v>
      </c>
      <c r="I1223" t="str">
        <f t="shared" si="21"/>
        <v>BUREAU VERITAS NORTH AMERICA</v>
      </c>
    </row>
    <row r="1224" spans="5:9" x14ac:dyDescent="0.25">
      <c r="E1224" s="7"/>
      <c r="F1224" t="s">
        <v>20</v>
      </c>
      <c r="G1224" s="10" t="s">
        <v>21</v>
      </c>
      <c r="H1224" t="str">
        <f>"1558579"</f>
        <v>1558579</v>
      </c>
      <c r="I1224" t="str">
        <f t="shared" si="21"/>
        <v>BUREAU VERITAS NORTH AMERICA</v>
      </c>
    </row>
    <row r="1225" spans="5:9" x14ac:dyDescent="0.25">
      <c r="E1225" s="7"/>
      <c r="F1225" t="s">
        <v>20</v>
      </c>
      <c r="G1225" s="10" t="s">
        <v>21</v>
      </c>
      <c r="H1225" t="str">
        <f>"1558580"</f>
        <v>1558580</v>
      </c>
      <c r="I1225" t="str">
        <f t="shared" si="21"/>
        <v>BUREAU VERITAS NORTH AMERICA</v>
      </c>
    </row>
    <row r="1226" spans="5:9" x14ac:dyDescent="0.25">
      <c r="E1226" s="7"/>
      <c r="F1226" t="s">
        <v>20</v>
      </c>
      <c r="G1226" s="10" t="s">
        <v>21</v>
      </c>
      <c r="H1226" t="str">
        <f>"1558581"</f>
        <v>1558581</v>
      </c>
      <c r="I1226" t="str">
        <f t="shared" si="21"/>
        <v>BUREAU VERITAS NORTH AMERICA</v>
      </c>
    </row>
    <row r="1227" spans="5:9" x14ac:dyDescent="0.25">
      <c r="E1227" s="7"/>
      <c r="F1227" t="s">
        <v>20</v>
      </c>
      <c r="G1227" s="10" t="s">
        <v>21</v>
      </c>
      <c r="H1227" t="str">
        <f>"1558582"</f>
        <v>1558582</v>
      </c>
      <c r="I1227" t="str">
        <f t="shared" si="21"/>
        <v>BUREAU VERITAS NORTH AMERICA</v>
      </c>
    </row>
    <row r="1228" spans="5:9" x14ac:dyDescent="0.25">
      <c r="E1228" s="7"/>
      <c r="F1228" t="s">
        <v>20</v>
      </c>
      <c r="G1228" s="10" t="s">
        <v>21</v>
      </c>
      <c r="H1228" t="str">
        <f>"1558583"</f>
        <v>1558583</v>
      </c>
      <c r="I1228" t="str">
        <f t="shared" si="21"/>
        <v>BUREAU VERITAS NORTH AMERICA</v>
      </c>
    </row>
    <row r="1229" spans="5:9" x14ac:dyDescent="0.25">
      <c r="E1229" s="7"/>
      <c r="F1229" t="s">
        <v>20</v>
      </c>
      <c r="G1229" s="10" t="s">
        <v>21</v>
      </c>
      <c r="H1229" t="str">
        <f>"1558584"</f>
        <v>1558584</v>
      </c>
      <c r="I1229" t="str">
        <f t="shared" si="21"/>
        <v>BUREAU VERITAS NORTH AMERICA</v>
      </c>
    </row>
    <row r="1230" spans="5:9" x14ac:dyDescent="0.25">
      <c r="E1230" s="7"/>
      <c r="F1230" t="s">
        <v>20</v>
      </c>
      <c r="G1230" s="10" t="s">
        <v>21</v>
      </c>
      <c r="H1230" t="str">
        <f>"1558585"</f>
        <v>1558585</v>
      </c>
      <c r="I1230" t="str">
        <f t="shared" si="21"/>
        <v>BUREAU VERITAS NORTH AMERICA</v>
      </c>
    </row>
    <row r="1231" spans="5:9" x14ac:dyDescent="0.25">
      <c r="E1231" s="7"/>
      <c r="F1231" t="s">
        <v>20</v>
      </c>
      <c r="G1231" s="10" t="s">
        <v>21</v>
      </c>
      <c r="H1231" t="str">
        <f>"1558586"</f>
        <v>1558586</v>
      </c>
      <c r="I1231" t="str">
        <f t="shared" si="21"/>
        <v>BUREAU VERITAS NORTH AMERICA</v>
      </c>
    </row>
    <row r="1232" spans="5:9" x14ac:dyDescent="0.25">
      <c r="E1232" s="7"/>
      <c r="F1232" t="s">
        <v>20</v>
      </c>
      <c r="G1232" s="10" t="s">
        <v>21</v>
      </c>
      <c r="H1232" t="str">
        <f>"1558587"</f>
        <v>1558587</v>
      </c>
      <c r="I1232" t="str">
        <f t="shared" si="21"/>
        <v>BUREAU VERITAS NORTH AMERICA</v>
      </c>
    </row>
    <row r="1233" spans="1:9" x14ac:dyDescent="0.25">
      <c r="A1233" s="6">
        <v>44181</v>
      </c>
      <c r="B1233" t="s">
        <v>26</v>
      </c>
      <c r="C1233">
        <v>65672</v>
      </c>
      <c r="D1233" t="s">
        <v>1012</v>
      </c>
      <c r="E1233" s="7">
        <v>750</v>
      </c>
      <c r="F1233" t="s">
        <v>20</v>
      </c>
      <c r="G1233" s="10" t="s">
        <v>21</v>
      </c>
      <c r="H1233" t="str">
        <f>"12/19/20 WDNG RFND"</f>
        <v>12/19/20 WDNG RFND</v>
      </c>
      <c r="I1233" t="str">
        <f>"REFUN"</f>
        <v>REFUN</v>
      </c>
    </row>
    <row r="1234" spans="1:9" x14ac:dyDescent="0.25">
      <c r="A1234" s="6">
        <v>44181</v>
      </c>
      <c r="B1234" t="s">
        <v>26</v>
      </c>
      <c r="C1234">
        <v>65673</v>
      </c>
      <c r="D1234" t="s">
        <v>71</v>
      </c>
      <c r="E1234" s="7">
        <v>1226.43</v>
      </c>
      <c r="F1234" t="s">
        <v>20</v>
      </c>
      <c r="G1234" s="10" t="s">
        <v>21</v>
      </c>
      <c r="H1234" t="str">
        <f>"4068815418"</f>
        <v>4068815418</v>
      </c>
      <c r="I1234" t="str">
        <f t="shared" ref="I1234:I1244" si="22">"CINTAS CORPORATION #087"</f>
        <v>CINTAS CORPORATION #087</v>
      </c>
    </row>
    <row r="1235" spans="1:9" x14ac:dyDescent="0.25">
      <c r="E1235" s="7"/>
      <c r="F1235" t="s">
        <v>20</v>
      </c>
      <c r="G1235" s="10" t="s">
        <v>21</v>
      </c>
      <c r="H1235" t="str">
        <f>"4068815420"</f>
        <v>4068815420</v>
      </c>
      <c r="I1235" t="str">
        <f t="shared" si="22"/>
        <v>CINTAS CORPORATION #087</v>
      </c>
    </row>
    <row r="1236" spans="1:9" x14ac:dyDescent="0.25">
      <c r="E1236" s="7"/>
      <c r="F1236" t="s">
        <v>20</v>
      </c>
      <c r="G1236" s="10" t="s">
        <v>21</v>
      </c>
      <c r="H1236" t="str">
        <f>"4068815427"</f>
        <v>4068815427</v>
      </c>
      <c r="I1236" t="str">
        <f t="shared" si="22"/>
        <v>CINTAS CORPORATION #087</v>
      </c>
    </row>
    <row r="1237" spans="1:9" x14ac:dyDescent="0.25">
      <c r="E1237" s="7"/>
      <c r="F1237" t="s">
        <v>20</v>
      </c>
      <c r="G1237" s="10" t="s">
        <v>21</v>
      </c>
      <c r="H1237" t="str">
        <f>"4068815429"</f>
        <v>4068815429</v>
      </c>
      <c r="I1237" t="str">
        <f t="shared" si="22"/>
        <v>CINTAS CORPORATION #087</v>
      </c>
    </row>
    <row r="1238" spans="1:9" x14ac:dyDescent="0.25">
      <c r="E1238" s="7"/>
      <c r="F1238" t="s">
        <v>20</v>
      </c>
      <c r="G1238" s="10" t="s">
        <v>21</v>
      </c>
      <c r="H1238" t="str">
        <f>"4068818655"</f>
        <v>4068818655</v>
      </c>
      <c r="I1238" t="str">
        <f t="shared" si="22"/>
        <v>CINTAS CORPORATION #087</v>
      </c>
    </row>
    <row r="1239" spans="1:9" x14ac:dyDescent="0.25">
      <c r="E1239" s="7"/>
      <c r="F1239" t="s">
        <v>20</v>
      </c>
      <c r="G1239" s="10" t="s">
        <v>21</v>
      </c>
      <c r="H1239" t="str">
        <f>"4068818683"</f>
        <v>4068818683</v>
      </c>
      <c r="I1239" t="str">
        <f t="shared" si="22"/>
        <v>CINTAS CORPORATION #087</v>
      </c>
    </row>
    <row r="1240" spans="1:9" x14ac:dyDescent="0.25">
      <c r="E1240" s="7"/>
      <c r="F1240" t="s">
        <v>20</v>
      </c>
      <c r="G1240" s="10" t="s">
        <v>21</v>
      </c>
      <c r="H1240" t="str">
        <f>"4069393139"</f>
        <v>4069393139</v>
      </c>
      <c r="I1240" t="str">
        <f t="shared" si="22"/>
        <v>CINTAS CORPORATION #087</v>
      </c>
    </row>
    <row r="1241" spans="1:9" x14ac:dyDescent="0.25">
      <c r="E1241" s="7"/>
      <c r="F1241" t="s">
        <v>20</v>
      </c>
      <c r="G1241" s="10" t="s">
        <v>21</v>
      </c>
      <c r="H1241" t="str">
        <f>"4069393175"</f>
        <v>4069393175</v>
      </c>
      <c r="I1241" t="str">
        <f t="shared" si="22"/>
        <v>CINTAS CORPORATION #087</v>
      </c>
    </row>
    <row r="1242" spans="1:9" x14ac:dyDescent="0.25">
      <c r="E1242" s="7"/>
      <c r="F1242" t="s">
        <v>20</v>
      </c>
      <c r="G1242" s="10" t="s">
        <v>21</v>
      </c>
      <c r="H1242" t="str">
        <f>"4069393229"</f>
        <v>4069393229</v>
      </c>
      <c r="I1242" t="str">
        <f t="shared" si="22"/>
        <v>CINTAS CORPORATION #087</v>
      </c>
    </row>
    <row r="1243" spans="1:9" x14ac:dyDescent="0.25">
      <c r="E1243" s="7"/>
      <c r="F1243" t="s">
        <v>20</v>
      </c>
      <c r="G1243" s="10" t="s">
        <v>21</v>
      </c>
      <c r="H1243" t="str">
        <f>"4069393233"</f>
        <v>4069393233</v>
      </c>
      <c r="I1243" t="str">
        <f t="shared" si="22"/>
        <v>CINTAS CORPORATION #087</v>
      </c>
    </row>
    <row r="1244" spans="1:9" x14ac:dyDescent="0.25">
      <c r="E1244" s="7"/>
      <c r="F1244" t="s">
        <v>20</v>
      </c>
      <c r="G1244" s="10" t="s">
        <v>21</v>
      </c>
      <c r="H1244" t="str">
        <f>"4069393248"</f>
        <v>4069393248</v>
      </c>
      <c r="I1244" t="str">
        <f t="shared" si="22"/>
        <v>CINTAS CORPORATION #087</v>
      </c>
    </row>
    <row r="1245" spans="1:9" x14ac:dyDescent="0.25">
      <c r="A1245" s="6">
        <v>44181</v>
      </c>
      <c r="B1245" t="s">
        <v>26</v>
      </c>
      <c r="C1245">
        <v>65676</v>
      </c>
      <c r="D1245" t="s">
        <v>534</v>
      </c>
      <c r="E1245" s="7">
        <v>3193.99</v>
      </c>
      <c r="F1245" t="s">
        <v>20</v>
      </c>
      <c r="G1245" s="10" t="s">
        <v>21</v>
      </c>
      <c r="H1245" t="str">
        <f>"8404685227"</f>
        <v>8404685227</v>
      </c>
      <c r="I1245" t="str">
        <f>"CINTAS FIRST AID AND SAFETY /"</f>
        <v>CINTAS FIRST AID AND SAFETY /</v>
      </c>
    </row>
    <row r="1246" spans="1:9" x14ac:dyDescent="0.25">
      <c r="E1246" s="7"/>
      <c r="F1246" t="s">
        <v>20</v>
      </c>
      <c r="G1246" s="10" t="s">
        <v>21</v>
      </c>
      <c r="H1246" t="str">
        <f>"8404715292"</f>
        <v>8404715292</v>
      </c>
      <c r="I1246" t="str">
        <f>"CINTAS FIRST AID AND SAFETY /"</f>
        <v>CINTAS FIRST AID AND SAFETY /</v>
      </c>
    </row>
    <row r="1247" spans="1:9" x14ac:dyDescent="0.25">
      <c r="E1247" s="7"/>
      <c r="F1247" t="s">
        <v>20</v>
      </c>
      <c r="G1247" s="10" t="s">
        <v>21</v>
      </c>
      <c r="H1247" t="str">
        <f>"8404760988"</f>
        <v>8404760988</v>
      </c>
      <c r="I1247" t="str">
        <f>"CINTAS FIRST AID AND SAFETY /"</f>
        <v>CINTAS FIRST AID AND SAFETY /</v>
      </c>
    </row>
    <row r="1248" spans="1:9" x14ac:dyDescent="0.25">
      <c r="A1248" s="6">
        <v>44181</v>
      </c>
      <c r="B1248" t="s">
        <v>26</v>
      </c>
      <c r="C1248">
        <v>65678</v>
      </c>
      <c r="D1248" t="s">
        <v>81</v>
      </c>
      <c r="E1248" s="7">
        <v>72.010000000000005</v>
      </c>
      <c r="F1248" t="s">
        <v>20</v>
      </c>
      <c r="G1248" s="10" t="s">
        <v>21</v>
      </c>
      <c r="H1248" t="str">
        <f>"A.MARTINEZ12/16/20"</f>
        <v>A.MARTINEZ12/16/20</v>
      </c>
      <c r="I1248" t="str">
        <f>"CITY OF FLORESVILLE -PETTY CAS"</f>
        <v>CITY OF FLORESVILLE -PETTY CAS</v>
      </c>
    </row>
    <row r="1249" spans="1:9" x14ac:dyDescent="0.25">
      <c r="A1249" s="6">
        <v>44181</v>
      </c>
      <c r="B1249" t="s">
        <v>26</v>
      </c>
      <c r="C1249">
        <v>65679</v>
      </c>
      <c r="D1249" t="s">
        <v>569</v>
      </c>
      <c r="E1249" s="7">
        <v>442.75</v>
      </c>
      <c r="F1249" t="s">
        <v>20</v>
      </c>
      <c r="G1249" s="10" t="s">
        <v>21</v>
      </c>
      <c r="H1249" t="str">
        <f>"WS20533"</f>
        <v>WS20533</v>
      </c>
      <c r="I1249" t="str">
        <f>"CRACK FILLER MACHINE"</f>
        <v>CRACK FILLER MACHINE</v>
      </c>
    </row>
    <row r="1250" spans="1:9" x14ac:dyDescent="0.25">
      <c r="A1250" s="6">
        <v>44181</v>
      </c>
      <c r="B1250" t="s">
        <v>26</v>
      </c>
      <c r="C1250">
        <v>65680</v>
      </c>
      <c r="D1250" t="s">
        <v>647</v>
      </c>
      <c r="E1250" s="7">
        <v>3288.81</v>
      </c>
      <c r="F1250" t="s">
        <v>20</v>
      </c>
      <c r="G1250" s="10" t="s">
        <v>21</v>
      </c>
      <c r="H1250" t="str">
        <f>"28336266"</f>
        <v>28336266</v>
      </c>
      <c r="I1250" t="str">
        <f>"DOCUMATION  INC."</f>
        <v>DOCUMATION  INC.</v>
      </c>
    </row>
    <row r="1251" spans="1:9" x14ac:dyDescent="0.25">
      <c r="A1251" s="6">
        <v>44181</v>
      </c>
      <c r="B1251" t="s">
        <v>26</v>
      </c>
      <c r="C1251">
        <v>65681</v>
      </c>
      <c r="D1251" t="s">
        <v>570</v>
      </c>
      <c r="E1251" s="7">
        <v>16655.53</v>
      </c>
      <c r="F1251" t="s">
        <v>20</v>
      </c>
      <c r="G1251" s="10" t="s">
        <v>21</v>
      </c>
      <c r="H1251" t="str">
        <f>"DVS137369"</f>
        <v>DVS137369</v>
      </c>
      <c r="I1251" t="str">
        <f>"DOMINION VOTING"</f>
        <v>DOMINION VOTING</v>
      </c>
    </row>
    <row r="1252" spans="1:9" x14ac:dyDescent="0.25">
      <c r="A1252" s="6">
        <v>44181</v>
      </c>
      <c r="B1252" t="s">
        <v>26</v>
      </c>
      <c r="C1252">
        <v>65682</v>
      </c>
      <c r="D1252" t="s">
        <v>77</v>
      </c>
      <c r="E1252" s="7">
        <v>290</v>
      </c>
      <c r="F1252" t="s">
        <v>20</v>
      </c>
      <c r="G1252" s="10" t="s">
        <v>21</v>
      </c>
      <c r="H1252" t="str">
        <f>"DE85002739-20"</f>
        <v>DE85002739-20</v>
      </c>
      <c r="I1252" t="str">
        <f>"DPC INDUSTRIES  INC."</f>
        <v>DPC INDUSTRIES  INC.</v>
      </c>
    </row>
    <row r="1253" spans="1:9" x14ac:dyDescent="0.25">
      <c r="A1253" s="6">
        <v>44181</v>
      </c>
      <c r="B1253" t="s">
        <v>26</v>
      </c>
      <c r="C1253">
        <v>65683</v>
      </c>
      <c r="D1253" t="s">
        <v>264</v>
      </c>
      <c r="E1253" s="7">
        <v>35</v>
      </c>
      <c r="F1253" t="s">
        <v>20</v>
      </c>
      <c r="G1253" s="10" t="s">
        <v>21</v>
      </c>
      <c r="H1253" t="str">
        <f>"ANNUAL FEE 12/2020"</f>
        <v>ANNUAL FEE 12/2020</v>
      </c>
      <c r="I1253" t="str">
        <f>"ERS - TEXAS SOCIAL SECURITY PR"</f>
        <v>ERS - TEXAS SOCIAL SECURITY PR</v>
      </c>
    </row>
    <row r="1254" spans="1:9" x14ac:dyDescent="0.25">
      <c r="A1254" s="6">
        <v>44181</v>
      </c>
      <c r="B1254" t="s">
        <v>26</v>
      </c>
      <c r="C1254">
        <v>65684</v>
      </c>
      <c r="D1254" t="s">
        <v>57</v>
      </c>
      <c r="E1254" s="7">
        <v>5750.33</v>
      </c>
      <c r="F1254" t="s">
        <v>20</v>
      </c>
      <c r="G1254" s="10" t="s">
        <v>21</v>
      </c>
      <c r="H1254" t="str">
        <f>"11617 10/28-11/24/"</f>
        <v>11617 10/28-11/24/</v>
      </c>
      <c r="I1254" t="str">
        <f>"F.E.L.P.S."</f>
        <v>F.E.L.P.S.</v>
      </c>
    </row>
    <row r="1255" spans="1:9" x14ac:dyDescent="0.25">
      <c r="E1255" s="7"/>
      <c r="F1255" t="s">
        <v>20</v>
      </c>
      <c r="G1255" s="10" t="s">
        <v>21</v>
      </c>
      <c r="H1255" t="str">
        <f>"33062 10/28-11/24"</f>
        <v>33062 10/28-11/24</v>
      </c>
      <c r="I1255" t="str">
        <f>"F.E.L.P.S."</f>
        <v>F.E.L.P.S.</v>
      </c>
    </row>
    <row r="1256" spans="1:9" x14ac:dyDescent="0.25">
      <c r="A1256" s="6">
        <v>44181</v>
      </c>
      <c r="B1256" t="s">
        <v>26</v>
      </c>
      <c r="C1256">
        <v>65685</v>
      </c>
      <c r="D1256" t="s">
        <v>59</v>
      </c>
      <c r="E1256" s="7">
        <v>2059.9</v>
      </c>
      <c r="F1256" t="s">
        <v>20</v>
      </c>
      <c r="G1256" s="10" t="s">
        <v>21</v>
      </c>
      <c r="H1256" t="str">
        <f>"1089008-2"</f>
        <v>1089008-2</v>
      </c>
      <c r="I1256" t="str">
        <f>"FERGUSON WATERWORKS - MUNICIPA"</f>
        <v>FERGUSON WATERWORKS - MUNICIPA</v>
      </c>
    </row>
    <row r="1257" spans="1:9" x14ac:dyDescent="0.25">
      <c r="E1257" s="7"/>
      <c r="F1257" t="s">
        <v>20</v>
      </c>
      <c r="G1257" s="10" t="s">
        <v>21</v>
      </c>
      <c r="H1257" t="str">
        <f>"1092180"</f>
        <v>1092180</v>
      </c>
      <c r="I1257" t="str">
        <f>"WORKS BOOTS"</f>
        <v>WORKS BOOTS</v>
      </c>
    </row>
    <row r="1258" spans="1:9" x14ac:dyDescent="0.25">
      <c r="E1258" s="7"/>
      <c r="F1258" t="s">
        <v>20</v>
      </c>
      <c r="G1258" s="10" t="s">
        <v>21</v>
      </c>
      <c r="H1258" t="str">
        <f>"1094601"</f>
        <v>1094601</v>
      </c>
      <c r="I1258" t="str">
        <f>"CLAMPS"</f>
        <v>CLAMPS</v>
      </c>
    </row>
    <row r="1259" spans="1:9" x14ac:dyDescent="0.25">
      <c r="A1259" s="6">
        <v>44181</v>
      </c>
      <c r="B1259" t="s">
        <v>26</v>
      </c>
      <c r="C1259">
        <v>65686</v>
      </c>
      <c r="D1259" t="s">
        <v>85</v>
      </c>
      <c r="E1259" s="7">
        <v>1184.42</v>
      </c>
      <c r="F1259" t="s">
        <v>20</v>
      </c>
      <c r="G1259" s="10" t="s">
        <v>21</v>
      </c>
      <c r="H1259" t="str">
        <f>"3930579 DEC.2020"</f>
        <v>3930579 DEC.2020</v>
      </c>
      <c r="I1259" t="str">
        <f>"FRONTIER"</f>
        <v>FRONTIER</v>
      </c>
    </row>
    <row r="1260" spans="1:9" x14ac:dyDescent="0.25">
      <c r="E1260" s="7"/>
      <c r="F1260" t="s">
        <v>20</v>
      </c>
      <c r="G1260" s="10" t="s">
        <v>21</v>
      </c>
      <c r="H1260" t="str">
        <f>"393108 DEC.2020"</f>
        <v>393108 DEC.2020</v>
      </c>
      <c r="I1260" t="str">
        <f>"FRONTIER"</f>
        <v>FRONTIER</v>
      </c>
    </row>
    <row r="1261" spans="1:9" x14ac:dyDescent="0.25">
      <c r="E1261" s="7"/>
      <c r="F1261" t="s">
        <v>20</v>
      </c>
      <c r="G1261" s="10" t="s">
        <v>21</v>
      </c>
      <c r="H1261" t="str">
        <f>"3934055 DEC.2020"</f>
        <v>3934055 DEC.2020</v>
      </c>
      <c r="I1261" t="str">
        <f>"FRONTIER"</f>
        <v>FRONTIER</v>
      </c>
    </row>
    <row r="1262" spans="1:9" x14ac:dyDescent="0.25">
      <c r="E1262" s="7"/>
      <c r="F1262" t="s">
        <v>20</v>
      </c>
      <c r="G1262" s="10" t="s">
        <v>21</v>
      </c>
      <c r="H1262" t="str">
        <f>"3937070 NOV.2020"</f>
        <v>3937070 NOV.2020</v>
      </c>
      <c r="I1262" t="str">
        <f>"FRONTIER"</f>
        <v>FRONTIER</v>
      </c>
    </row>
    <row r="1263" spans="1:9" x14ac:dyDescent="0.25">
      <c r="E1263" s="7"/>
      <c r="F1263" t="s">
        <v>20</v>
      </c>
      <c r="G1263" s="10" t="s">
        <v>21</v>
      </c>
      <c r="H1263" t="str">
        <f>"3939791 DEC2020"</f>
        <v>3939791 DEC2020</v>
      </c>
      <c r="I1263" t="str">
        <f>"FRONTIER"</f>
        <v>FRONTIER</v>
      </c>
    </row>
    <row r="1264" spans="1:9" x14ac:dyDescent="0.25">
      <c r="A1264" s="6">
        <v>44181</v>
      </c>
      <c r="B1264" t="s">
        <v>26</v>
      </c>
      <c r="C1264">
        <v>65687</v>
      </c>
      <c r="D1264" t="s">
        <v>194</v>
      </c>
      <c r="E1264" s="7">
        <v>543.4</v>
      </c>
      <c r="F1264" t="s">
        <v>20</v>
      </c>
      <c r="G1264" s="10" t="s">
        <v>21</v>
      </c>
      <c r="H1264" t="str">
        <f>"016829898"</f>
        <v>016829898</v>
      </c>
      <c r="I1264" t="str">
        <f>"UNIFORM-SGT. KEEN"</f>
        <v>UNIFORM-SGT. KEEN</v>
      </c>
    </row>
    <row r="1265" spans="1:9" x14ac:dyDescent="0.25">
      <c r="A1265" s="6">
        <v>44181</v>
      </c>
      <c r="B1265" t="s">
        <v>26</v>
      </c>
      <c r="C1265">
        <v>65688</v>
      </c>
      <c r="D1265" t="s">
        <v>956</v>
      </c>
      <c r="E1265" s="7">
        <v>5000</v>
      </c>
      <c r="F1265" t="s">
        <v>20</v>
      </c>
      <c r="G1265" s="10" t="s">
        <v>21</v>
      </c>
      <c r="H1265" t="str">
        <f>"007009"</f>
        <v>007009</v>
      </c>
      <c r="I1265" t="str">
        <f>"IMS OF TEXAS  LLC"</f>
        <v>IMS OF TEXAS  LLC</v>
      </c>
    </row>
    <row r="1266" spans="1:9" x14ac:dyDescent="0.25">
      <c r="A1266" s="6">
        <v>44181</v>
      </c>
      <c r="B1266" t="s">
        <v>26</v>
      </c>
      <c r="C1266">
        <v>65689</v>
      </c>
      <c r="D1266" t="s">
        <v>986</v>
      </c>
      <c r="E1266" s="7">
        <v>875.75</v>
      </c>
      <c r="F1266" t="s">
        <v>20</v>
      </c>
      <c r="G1266" s="10" t="s">
        <v>21</v>
      </c>
      <c r="H1266" t="str">
        <f>"12/7-12/15/2020"</f>
        <v>12/7-12/15/2020</v>
      </c>
      <c r="I1266" t="str">
        <f>"KERRY L. ESQUIVEL"</f>
        <v>KERRY L. ESQUIVEL</v>
      </c>
    </row>
    <row r="1267" spans="1:9" x14ac:dyDescent="0.25">
      <c r="A1267" s="6">
        <v>44181</v>
      </c>
      <c r="B1267" t="s">
        <v>26</v>
      </c>
      <c r="C1267">
        <v>65690</v>
      </c>
      <c r="D1267" t="s">
        <v>66</v>
      </c>
      <c r="E1267" s="7">
        <v>773</v>
      </c>
      <c r="F1267" t="s">
        <v>20</v>
      </c>
      <c r="G1267" s="10" t="s">
        <v>21</v>
      </c>
      <c r="H1267" t="str">
        <f>"59626"</f>
        <v>59626</v>
      </c>
      <c r="I1267" t="str">
        <f>"LOPEZ EXTERMINATING SERVICE  I"</f>
        <v>LOPEZ EXTERMINATING SERVICE  I</v>
      </c>
    </row>
    <row r="1268" spans="1:9" x14ac:dyDescent="0.25">
      <c r="E1268" s="7"/>
      <c r="F1268" t="s">
        <v>20</v>
      </c>
      <c r="G1268" s="10" t="s">
        <v>21</v>
      </c>
      <c r="H1268" t="str">
        <f>"59629"</f>
        <v>59629</v>
      </c>
      <c r="I1268" t="str">
        <f>"LOPEZ EXTERMINATING SERVICE  I"</f>
        <v>LOPEZ EXTERMINATING SERVICE  I</v>
      </c>
    </row>
    <row r="1269" spans="1:9" x14ac:dyDescent="0.25">
      <c r="A1269" s="6">
        <v>44181</v>
      </c>
      <c r="B1269" t="s">
        <v>26</v>
      </c>
      <c r="C1269">
        <v>65691</v>
      </c>
      <c r="D1269" t="s">
        <v>326</v>
      </c>
      <c r="E1269" s="7">
        <v>41</v>
      </c>
      <c r="F1269" t="s">
        <v>20</v>
      </c>
      <c r="G1269" s="10" t="s">
        <v>21</v>
      </c>
      <c r="H1269" t="str">
        <f>"22692399"</f>
        <v>22692399</v>
      </c>
      <c r="I1269" t="str">
        <f>"MATHESON TRI-GAS INC"</f>
        <v>MATHESON TRI-GAS INC</v>
      </c>
    </row>
    <row r="1270" spans="1:9" x14ac:dyDescent="0.25">
      <c r="A1270" s="6">
        <v>44181</v>
      </c>
      <c r="B1270" t="s">
        <v>26</v>
      </c>
      <c r="C1270">
        <v>65692</v>
      </c>
      <c r="D1270" t="s">
        <v>345</v>
      </c>
      <c r="E1270" s="7">
        <v>231</v>
      </c>
      <c r="F1270" t="s">
        <v>20</v>
      </c>
      <c r="G1270" s="10" t="s">
        <v>21</v>
      </c>
      <c r="H1270" t="str">
        <f>"12/14/2020"</f>
        <v>12/14/2020</v>
      </c>
      <c r="I1270" t="str">
        <f>"MICHAEL ISAAC MARTINEZ"</f>
        <v>MICHAEL ISAAC MARTINEZ</v>
      </c>
    </row>
    <row r="1271" spans="1:9" x14ac:dyDescent="0.25">
      <c r="A1271" s="6">
        <v>44181</v>
      </c>
      <c r="B1271" t="s">
        <v>26</v>
      </c>
      <c r="C1271">
        <v>65693</v>
      </c>
      <c r="D1271" t="s">
        <v>948</v>
      </c>
      <c r="E1271" s="7">
        <v>543.55999999999995</v>
      </c>
      <c r="F1271" t="s">
        <v>20</v>
      </c>
      <c r="G1271" s="10" t="s">
        <v>21</v>
      </c>
      <c r="H1271" t="str">
        <f>"MMI137888"</f>
        <v>MMI137888</v>
      </c>
      <c r="I1271" t="str">
        <f>"MODERN MARKETING"</f>
        <v>MODERN MARKETING</v>
      </c>
    </row>
    <row r="1272" spans="1:9" x14ac:dyDescent="0.25">
      <c r="A1272" s="6">
        <v>44181</v>
      </c>
      <c r="B1272" t="s">
        <v>26</v>
      </c>
      <c r="C1272">
        <v>65694</v>
      </c>
      <c r="D1272" t="s">
        <v>240</v>
      </c>
      <c r="E1272" s="7">
        <v>459.86</v>
      </c>
      <c r="F1272" t="s">
        <v>20</v>
      </c>
      <c r="G1272" s="10" t="s">
        <v>21</v>
      </c>
      <c r="H1272" t="str">
        <f>"0199291-IN"</f>
        <v>0199291-IN</v>
      </c>
      <c r="I1272" t="str">
        <f>"NARDIS PUBLIC SAFETY"</f>
        <v>NARDIS PUBLIC SAFETY</v>
      </c>
    </row>
    <row r="1273" spans="1:9" x14ac:dyDescent="0.25">
      <c r="E1273" s="7"/>
      <c r="F1273" t="s">
        <v>20</v>
      </c>
      <c r="G1273" s="10" t="s">
        <v>21</v>
      </c>
      <c r="H1273" t="str">
        <f>"0199413-IN"</f>
        <v>0199413-IN</v>
      </c>
      <c r="I1273" t="str">
        <f>"NARDIS PUBLIC SAFETY"</f>
        <v>NARDIS PUBLIC SAFETY</v>
      </c>
    </row>
    <row r="1274" spans="1:9" x14ac:dyDescent="0.25">
      <c r="E1274" s="7"/>
      <c r="F1274" t="s">
        <v>20</v>
      </c>
      <c r="G1274" s="10" t="s">
        <v>21</v>
      </c>
      <c r="H1274" t="str">
        <f>"0199414-IN"</f>
        <v>0199414-IN</v>
      </c>
      <c r="I1274" t="str">
        <f>"M.ANDERSON UNIFORM ALLOWA"</f>
        <v>M.ANDERSON UNIFORM ALLOWA</v>
      </c>
    </row>
    <row r="1275" spans="1:9" x14ac:dyDescent="0.25">
      <c r="A1275" s="6">
        <v>44181</v>
      </c>
      <c r="B1275" t="s">
        <v>26</v>
      </c>
      <c r="C1275">
        <v>65695</v>
      </c>
      <c r="D1275" t="s">
        <v>123</v>
      </c>
      <c r="E1275" s="7">
        <v>235.45</v>
      </c>
      <c r="F1275" t="s">
        <v>20</v>
      </c>
      <c r="G1275" s="10" t="s">
        <v>21</v>
      </c>
      <c r="H1275" t="str">
        <f>"140597933001"</f>
        <v>140597933001</v>
      </c>
      <c r="I1275" t="str">
        <f>"OFFICE SUPPLIES"</f>
        <v>OFFICE SUPPLIES</v>
      </c>
    </row>
    <row r="1276" spans="1:9" x14ac:dyDescent="0.25">
      <c r="E1276" s="7"/>
      <c r="F1276" t="s">
        <v>20</v>
      </c>
      <c r="G1276" s="10" t="s">
        <v>21</v>
      </c>
      <c r="H1276" t="str">
        <f>"140600221001"</f>
        <v>140600221001</v>
      </c>
      <c r="I1276" t="str">
        <f>"OFFICE SUPPLIES"</f>
        <v>OFFICE SUPPLIES</v>
      </c>
    </row>
    <row r="1277" spans="1:9" x14ac:dyDescent="0.25">
      <c r="E1277" s="7"/>
      <c r="F1277" t="s">
        <v>20</v>
      </c>
      <c r="G1277" s="10" t="s">
        <v>21</v>
      </c>
      <c r="H1277" t="str">
        <f>"141376344001"</f>
        <v>141376344001</v>
      </c>
      <c r="I1277" t="str">
        <f>"CLEANING SUPPLIES"</f>
        <v>CLEANING SUPPLIES</v>
      </c>
    </row>
    <row r="1278" spans="1:9" x14ac:dyDescent="0.25">
      <c r="E1278" s="7"/>
      <c r="F1278" t="s">
        <v>20</v>
      </c>
      <c r="G1278" s="10" t="s">
        <v>21</v>
      </c>
      <c r="H1278" t="str">
        <f>"141377712001"</f>
        <v>141377712001</v>
      </c>
      <c r="I1278" t="str">
        <f>"CLEANING SUPPLIES"</f>
        <v>CLEANING SUPPLIES</v>
      </c>
    </row>
    <row r="1279" spans="1:9" x14ac:dyDescent="0.25">
      <c r="A1279" s="6">
        <v>44181</v>
      </c>
      <c r="B1279" t="s">
        <v>26</v>
      </c>
      <c r="C1279">
        <v>65697</v>
      </c>
      <c r="D1279" t="s">
        <v>166</v>
      </c>
      <c r="E1279" s="7">
        <v>660.59</v>
      </c>
      <c r="F1279" t="s">
        <v>20</v>
      </c>
      <c r="G1279" s="10" t="s">
        <v>21</v>
      </c>
      <c r="H1279" t="str">
        <f>"9567-12/30/2020"</f>
        <v>9567-12/30/2020</v>
      </c>
      <c r="I1279" t="str">
        <f>"PITNEY BOWES PURCHASE POWER"</f>
        <v>PITNEY BOWES PURCHASE POWER</v>
      </c>
    </row>
    <row r="1280" spans="1:9" x14ac:dyDescent="0.25">
      <c r="A1280" s="6">
        <v>44181</v>
      </c>
      <c r="B1280" t="s">
        <v>26</v>
      </c>
      <c r="C1280">
        <v>65698</v>
      </c>
      <c r="D1280" t="s">
        <v>323</v>
      </c>
      <c r="E1280" s="7">
        <v>610</v>
      </c>
      <c r="F1280" t="s">
        <v>20</v>
      </c>
      <c r="G1280" s="10" t="s">
        <v>21</v>
      </c>
      <c r="H1280" t="str">
        <f>"UNIT 183 DEC.2020"</f>
        <v>UNIT 183 DEC.2020</v>
      </c>
      <c r="I1280" t="str">
        <f>"POLLOK SELF STORAGE LLC"</f>
        <v>POLLOK SELF STORAGE LLC</v>
      </c>
    </row>
    <row r="1281" spans="1:9" x14ac:dyDescent="0.25">
      <c r="E1281" s="7"/>
      <c r="F1281" t="s">
        <v>20</v>
      </c>
      <c r="G1281" s="10" t="s">
        <v>21</v>
      </c>
      <c r="H1281" t="str">
        <f>"UNIT 185 DEC.2020"</f>
        <v>UNIT 185 DEC.2020</v>
      </c>
      <c r="I1281" t="str">
        <f>"POLLOK SELF STORAGE LLC"</f>
        <v>POLLOK SELF STORAGE LLC</v>
      </c>
    </row>
    <row r="1282" spans="1:9" x14ac:dyDescent="0.25">
      <c r="E1282" s="7"/>
      <c r="F1282" t="s">
        <v>20</v>
      </c>
      <c r="G1282" s="10" t="s">
        <v>21</v>
      </c>
      <c r="H1282" t="str">
        <f>"UNIT 186 DEC.2020"</f>
        <v>UNIT 186 DEC.2020</v>
      </c>
      <c r="I1282" t="str">
        <f>"POLLOK SELF STORAGE LLC"</f>
        <v>POLLOK SELF STORAGE LLC</v>
      </c>
    </row>
    <row r="1283" spans="1:9" x14ac:dyDescent="0.25">
      <c r="E1283" s="7"/>
      <c r="F1283" t="s">
        <v>20</v>
      </c>
      <c r="G1283" s="10" t="s">
        <v>21</v>
      </c>
      <c r="H1283" t="str">
        <f>"UNIT 187 DEC.2020"</f>
        <v>UNIT 187 DEC.2020</v>
      </c>
      <c r="I1283" t="str">
        <f>"POLLOK SELF STORAGE LLC"</f>
        <v>POLLOK SELF STORAGE LLC</v>
      </c>
    </row>
    <row r="1284" spans="1:9" x14ac:dyDescent="0.25">
      <c r="A1284" s="6">
        <v>44181</v>
      </c>
      <c r="B1284" t="s">
        <v>26</v>
      </c>
      <c r="C1284">
        <v>65699</v>
      </c>
      <c r="D1284" t="s">
        <v>48</v>
      </c>
      <c r="E1284" s="7">
        <v>2196.6999999999998</v>
      </c>
      <c r="F1284" t="s">
        <v>20</v>
      </c>
      <c r="G1284" s="10" t="s">
        <v>21</v>
      </c>
      <c r="H1284" t="str">
        <f>"1858"</f>
        <v>1858</v>
      </c>
      <c r="I1284" t="str">
        <f>"RANDY HOLLAR  LLC"</f>
        <v>RANDY HOLLAR  LLC</v>
      </c>
    </row>
    <row r="1285" spans="1:9" x14ac:dyDescent="0.25">
      <c r="A1285" s="6">
        <v>44181</v>
      </c>
      <c r="B1285" t="s">
        <v>26</v>
      </c>
      <c r="C1285">
        <v>65700</v>
      </c>
      <c r="D1285" t="s">
        <v>126</v>
      </c>
      <c r="E1285" s="7">
        <v>2707.73</v>
      </c>
      <c r="F1285" t="s">
        <v>20</v>
      </c>
      <c r="G1285" s="10" t="s">
        <v>21</v>
      </c>
      <c r="H1285" t="str">
        <f>"0859-002701836"</f>
        <v>0859-002701836</v>
      </c>
      <c r="I1285" t="str">
        <f>"REPUBLIC SERVICES #859"</f>
        <v>REPUBLIC SERVICES #859</v>
      </c>
    </row>
    <row r="1286" spans="1:9" x14ac:dyDescent="0.25">
      <c r="A1286" s="6">
        <v>44181</v>
      </c>
      <c r="B1286" t="s">
        <v>91</v>
      </c>
      <c r="C1286">
        <v>65701</v>
      </c>
      <c r="D1286" t="s">
        <v>273</v>
      </c>
      <c r="E1286" s="7">
        <v>3085.56</v>
      </c>
      <c r="F1286" t="s">
        <v>20</v>
      </c>
      <c r="G1286" s="10" t="s">
        <v>21</v>
      </c>
      <c r="H1286" t="str">
        <f>"5119-0000094989"</f>
        <v>5119-0000094989</v>
      </c>
      <c r="I1286" t="str">
        <f>"REPUBLIC SERVICES TESSMAN ROAD"</f>
        <v>REPUBLIC SERVICES TESSMAN ROAD</v>
      </c>
    </row>
    <row r="1287" spans="1:9" x14ac:dyDescent="0.25">
      <c r="A1287" s="6">
        <v>44181</v>
      </c>
      <c r="B1287" t="s">
        <v>91</v>
      </c>
      <c r="C1287">
        <v>65701</v>
      </c>
      <c r="D1287" t="s">
        <v>273</v>
      </c>
      <c r="E1287" s="7">
        <v>3085.56</v>
      </c>
      <c r="F1287" t="s">
        <v>20</v>
      </c>
      <c r="G1287" s="10" t="s">
        <v>93</v>
      </c>
      <c r="H1287" t="str">
        <f>"CHECK"</f>
        <v>CHECK</v>
      </c>
      <c r="I1287" t="str">
        <f>""</f>
        <v/>
      </c>
    </row>
    <row r="1288" spans="1:9" x14ac:dyDescent="0.25">
      <c r="A1288" s="6">
        <v>44181</v>
      </c>
      <c r="B1288" t="s">
        <v>26</v>
      </c>
      <c r="C1288">
        <v>65702</v>
      </c>
      <c r="D1288" t="s">
        <v>630</v>
      </c>
      <c r="E1288" s="7">
        <v>261.32</v>
      </c>
      <c r="F1288" t="s">
        <v>20</v>
      </c>
      <c r="G1288" s="10" t="s">
        <v>21</v>
      </c>
      <c r="H1288" t="str">
        <f>"31759"</f>
        <v>31759</v>
      </c>
      <c r="I1288" t="str">
        <f>"DROP IN KIT FOR METER"</f>
        <v>DROP IN KIT FOR METER</v>
      </c>
    </row>
    <row r="1289" spans="1:9" x14ac:dyDescent="0.25">
      <c r="A1289" s="6">
        <v>44181</v>
      </c>
      <c r="B1289" t="s">
        <v>26</v>
      </c>
      <c r="C1289">
        <v>65703</v>
      </c>
      <c r="D1289" t="s">
        <v>495</v>
      </c>
      <c r="E1289" s="7">
        <v>118.18</v>
      </c>
      <c r="F1289" t="s">
        <v>20</v>
      </c>
      <c r="G1289" s="10" t="s">
        <v>21</v>
      </c>
      <c r="H1289" t="str">
        <f>"0467271-IN"</f>
        <v>0467271-IN</v>
      </c>
      <c r="I1289" t="str">
        <f>"SIRCHIE"</f>
        <v>SIRCHIE</v>
      </c>
    </row>
    <row r="1290" spans="1:9" x14ac:dyDescent="0.25">
      <c r="A1290" s="6">
        <v>44181</v>
      </c>
      <c r="B1290" t="s">
        <v>26</v>
      </c>
      <c r="C1290">
        <v>65704</v>
      </c>
      <c r="D1290" t="s">
        <v>339</v>
      </c>
      <c r="E1290" s="7">
        <v>2753.79</v>
      </c>
      <c r="F1290" t="s">
        <v>20</v>
      </c>
      <c r="G1290" s="10" t="s">
        <v>21</v>
      </c>
      <c r="H1290" t="str">
        <f>"824271"</f>
        <v>824271</v>
      </c>
      <c r="I1290" t="str">
        <f>"LIGHTING"</f>
        <v>LIGHTING</v>
      </c>
    </row>
    <row r="1291" spans="1:9" x14ac:dyDescent="0.25">
      <c r="E1291" s="7"/>
      <c r="F1291" t="s">
        <v>20</v>
      </c>
      <c r="G1291" s="10" t="s">
        <v>21</v>
      </c>
      <c r="H1291" t="str">
        <f>"824272"</f>
        <v>824272</v>
      </c>
      <c r="I1291" t="str">
        <f>"LIGHTING"</f>
        <v>LIGHTING</v>
      </c>
    </row>
    <row r="1292" spans="1:9" x14ac:dyDescent="0.25">
      <c r="E1292" s="7"/>
      <c r="F1292" t="s">
        <v>20</v>
      </c>
      <c r="G1292" s="10" t="s">
        <v>21</v>
      </c>
      <c r="H1292" t="str">
        <f>"824273"</f>
        <v>824273</v>
      </c>
      <c r="I1292" t="str">
        <f>"LIGHTING"</f>
        <v>LIGHTING</v>
      </c>
    </row>
    <row r="1293" spans="1:9" x14ac:dyDescent="0.25">
      <c r="E1293" s="7"/>
      <c r="F1293" t="s">
        <v>20</v>
      </c>
      <c r="G1293" s="10" t="s">
        <v>21</v>
      </c>
      <c r="H1293" t="str">
        <f>"824274"</f>
        <v>824274</v>
      </c>
      <c r="I1293" t="str">
        <f>"LIGHTING"</f>
        <v>LIGHTING</v>
      </c>
    </row>
    <row r="1294" spans="1:9" x14ac:dyDescent="0.25">
      <c r="A1294" s="6">
        <v>44181</v>
      </c>
      <c r="B1294" t="s">
        <v>26</v>
      </c>
      <c r="C1294">
        <v>65706</v>
      </c>
      <c r="D1294" t="s">
        <v>132</v>
      </c>
      <c r="E1294" s="7">
        <v>58.53</v>
      </c>
      <c r="F1294" t="s">
        <v>20</v>
      </c>
      <c r="G1294" s="10" t="s">
        <v>21</v>
      </c>
      <c r="H1294" t="str">
        <f>"16992887 120320"</f>
        <v>16992887 120320</v>
      </c>
      <c r="I1294" t="str">
        <f>"SPARKLETTS &amp; SIERRA SPRINGS"</f>
        <v>SPARKLETTS &amp; SIERRA SPRINGS</v>
      </c>
    </row>
    <row r="1295" spans="1:9" x14ac:dyDescent="0.25">
      <c r="A1295" s="6">
        <v>44181</v>
      </c>
      <c r="B1295" t="s">
        <v>26</v>
      </c>
      <c r="C1295">
        <v>65707</v>
      </c>
      <c r="D1295" t="s">
        <v>346</v>
      </c>
      <c r="E1295" s="7">
        <v>13750</v>
      </c>
      <c r="F1295" t="s">
        <v>20</v>
      </c>
      <c r="G1295" s="10" t="s">
        <v>21</v>
      </c>
      <c r="H1295" t="str">
        <f>"11/11-12/11/2020"</f>
        <v>11/11-12/11/2020</v>
      </c>
      <c r="I1295" t="str">
        <f>"SYLVIA RODRIGUEZ"</f>
        <v>SYLVIA RODRIGUEZ</v>
      </c>
    </row>
    <row r="1296" spans="1:9" x14ac:dyDescent="0.25">
      <c r="A1296" s="6">
        <v>44181</v>
      </c>
      <c r="B1296" t="s">
        <v>26</v>
      </c>
      <c r="C1296">
        <v>65708</v>
      </c>
      <c r="D1296" t="s">
        <v>75</v>
      </c>
      <c r="E1296" s="7">
        <v>1057.9000000000001</v>
      </c>
      <c r="F1296" t="s">
        <v>20</v>
      </c>
      <c r="G1296" s="10" t="s">
        <v>21</v>
      </c>
      <c r="H1296" t="str">
        <f>"8184  12/24/2020"</f>
        <v>8184  12/24/2020</v>
      </c>
      <c r="I1296" t="str">
        <f>"WELD-ON JACK FOR STREETS"</f>
        <v>WELD-ON JACK FOR STREETS</v>
      </c>
    </row>
    <row r="1297" spans="1:9" x14ac:dyDescent="0.25">
      <c r="E1297" s="7"/>
      <c r="F1297" t="s">
        <v>20</v>
      </c>
      <c r="G1297" s="10" t="s">
        <v>21</v>
      </c>
      <c r="H1297" t="str">
        <f>"8184 12.24.20"</f>
        <v>8184 12.24.20</v>
      </c>
      <c r="I1297" t="str">
        <f>"WORKBOOTS FOR PARK DEPT"</f>
        <v>WORKBOOTS FOR PARK DEPT</v>
      </c>
    </row>
    <row r="1298" spans="1:9" x14ac:dyDescent="0.25">
      <c r="E1298" s="7"/>
      <c r="F1298" t="s">
        <v>20</v>
      </c>
      <c r="G1298" s="10" t="s">
        <v>21</v>
      </c>
      <c r="H1298" t="str">
        <f>"8184 12.24.2020"</f>
        <v>8184 12.24.2020</v>
      </c>
      <c r="I1298" t="str">
        <f>"DROP LEG SQUARE JACK"</f>
        <v>DROP LEG SQUARE JACK</v>
      </c>
    </row>
    <row r="1299" spans="1:9" x14ac:dyDescent="0.25">
      <c r="E1299" s="7"/>
      <c r="F1299" t="s">
        <v>20</v>
      </c>
      <c r="G1299" s="10" t="s">
        <v>21</v>
      </c>
      <c r="H1299" t="str">
        <f>"8184 12/24/2020"</f>
        <v>8184 12/24/2020</v>
      </c>
      <c r="I1299" t="str">
        <f>"BEHRENS 31 GAL TRASH CAN"</f>
        <v>BEHRENS 31 GAL TRASH CAN</v>
      </c>
    </row>
    <row r="1300" spans="1:9" x14ac:dyDescent="0.25">
      <c r="A1300" s="6">
        <v>44181</v>
      </c>
      <c r="B1300" t="s">
        <v>26</v>
      </c>
      <c r="C1300">
        <v>65710</v>
      </c>
      <c r="D1300" t="s">
        <v>698</v>
      </c>
      <c r="E1300" s="7">
        <v>51</v>
      </c>
      <c r="F1300" t="s">
        <v>20</v>
      </c>
      <c r="G1300" s="10" t="s">
        <v>21</v>
      </c>
      <c r="H1300" t="str">
        <f>"12/13/2020"</f>
        <v>12/13/2020</v>
      </c>
      <c r="I1300" t="str">
        <f>"TRACY ORTIZ"</f>
        <v>TRACY ORTIZ</v>
      </c>
    </row>
    <row r="1301" spans="1:9" x14ac:dyDescent="0.25">
      <c r="A1301" s="6">
        <v>44181</v>
      </c>
      <c r="B1301" t="s">
        <v>26</v>
      </c>
      <c r="C1301">
        <v>65711</v>
      </c>
      <c r="D1301" t="s">
        <v>644</v>
      </c>
      <c r="E1301" s="7">
        <v>497.24</v>
      </c>
      <c r="F1301" t="s">
        <v>20</v>
      </c>
      <c r="G1301" s="10" t="s">
        <v>21</v>
      </c>
      <c r="H1301" t="str">
        <f>"8213537685"</f>
        <v>8213537685</v>
      </c>
      <c r="I1301" t="str">
        <f t="shared" ref="I1301:I1307" si="23">"UNIFIRST CORPORATION"</f>
        <v>UNIFIRST CORPORATION</v>
      </c>
    </row>
    <row r="1302" spans="1:9" x14ac:dyDescent="0.25">
      <c r="E1302" s="7"/>
      <c r="F1302" t="s">
        <v>20</v>
      </c>
      <c r="G1302" s="10" t="s">
        <v>21</v>
      </c>
      <c r="H1302" t="str">
        <f>"8213537686"</f>
        <v>8213537686</v>
      </c>
      <c r="I1302" t="str">
        <f t="shared" si="23"/>
        <v>UNIFIRST CORPORATION</v>
      </c>
    </row>
    <row r="1303" spans="1:9" x14ac:dyDescent="0.25">
      <c r="E1303" s="7"/>
      <c r="F1303" t="s">
        <v>20</v>
      </c>
      <c r="G1303" s="10" t="s">
        <v>21</v>
      </c>
      <c r="H1303" t="str">
        <f>"8213537687"</f>
        <v>8213537687</v>
      </c>
      <c r="I1303" t="str">
        <f t="shared" si="23"/>
        <v>UNIFIRST CORPORATION</v>
      </c>
    </row>
    <row r="1304" spans="1:9" x14ac:dyDescent="0.25">
      <c r="E1304" s="7"/>
      <c r="F1304" t="s">
        <v>20</v>
      </c>
      <c r="G1304" s="10" t="s">
        <v>21</v>
      </c>
      <c r="H1304" t="str">
        <f>"8213537688"</f>
        <v>8213537688</v>
      </c>
      <c r="I1304" t="str">
        <f t="shared" si="23"/>
        <v>UNIFIRST CORPORATION</v>
      </c>
    </row>
    <row r="1305" spans="1:9" x14ac:dyDescent="0.25">
      <c r="E1305" s="7"/>
      <c r="F1305" t="s">
        <v>20</v>
      </c>
      <c r="G1305" s="10" t="s">
        <v>21</v>
      </c>
      <c r="H1305" t="str">
        <f>"8213537689"</f>
        <v>8213537689</v>
      </c>
      <c r="I1305" t="str">
        <f t="shared" si="23"/>
        <v>UNIFIRST CORPORATION</v>
      </c>
    </row>
    <row r="1306" spans="1:9" x14ac:dyDescent="0.25">
      <c r="E1306" s="7"/>
      <c r="F1306" t="s">
        <v>20</v>
      </c>
      <c r="G1306" s="10" t="s">
        <v>21</v>
      </c>
      <c r="H1306" t="str">
        <f>"8213537690"</f>
        <v>8213537690</v>
      </c>
      <c r="I1306" t="str">
        <f t="shared" si="23"/>
        <v>UNIFIRST CORPORATION</v>
      </c>
    </row>
    <row r="1307" spans="1:9" x14ac:dyDescent="0.25">
      <c r="E1307" s="7"/>
      <c r="F1307" t="s">
        <v>20</v>
      </c>
      <c r="G1307" s="10" t="s">
        <v>21</v>
      </c>
      <c r="H1307" t="str">
        <f>"8213537691"</f>
        <v>8213537691</v>
      </c>
      <c r="I1307" t="str">
        <f t="shared" si="23"/>
        <v>UNIFIRST CORPORATION</v>
      </c>
    </row>
    <row r="1308" spans="1:9" x14ac:dyDescent="0.25">
      <c r="A1308" s="6">
        <v>44181</v>
      </c>
      <c r="B1308" t="s">
        <v>26</v>
      </c>
      <c r="C1308">
        <v>65713</v>
      </c>
      <c r="D1308" t="s">
        <v>122</v>
      </c>
      <c r="E1308" s="7">
        <v>10</v>
      </c>
      <c r="F1308" t="s">
        <v>20</v>
      </c>
      <c r="G1308" s="10" t="s">
        <v>21</v>
      </c>
      <c r="H1308" t="str">
        <f>"54528080"</f>
        <v>54528080</v>
      </c>
      <c r="I1308" t="str">
        <f>"VILLA TIRES"</f>
        <v>VILLA TIRES</v>
      </c>
    </row>
    <row r="1309" spans="1:9" x14ac:dyDescent="0.25">
      <c r="A1309" s="6">
        <v>44181</v>
      </c>
      <c r="B1309" t="s">
        <v>26</v>
      </c>
      <c r="C1309">
        <v>65714</v>
      </c>
      <c r="D1309" t="s">
        <v>202</v>
      </c>
      <c r="E1309" s="7">
        <v>1568.48</v>
      </c>
      <c r="F1309" t="s">
        <v>20</v>
      </c>
      <c r="G1309" s="10" t="s">
        <v>21</v>
      </c>
      <c r="H1309" t="str">
        <f>"62216072"</f>
        <v>62216072</v>
      </c>
      <c r="I1309" t="str">
        <f>"A-2 BASE AND COLD MIX"</f>
        <v>A-2 BASE AND COLD MIX</v>
      </c>
    </row>
    <row r="1310" spans="1:9" x14ac:dyDescent="0.25">
      <c r="A1310" s="6">
        <v>44181</v>
      </c>
      <c r="B1310" t="s">
        <v>26</v>
      </c>
      <c r="C1310">
        <v>65715</v>
      </c>
      <c r="D1310" t="s">
        <v>884</v>
      </c>
      <c r="E1310" s="7">
        <v>159.99</v>
      </c>
      <c r="F1310" t="s">
        <v>20</v>
      </c>
      <c r="G1310" s="10" t="s">
        <v>21</v>
      </c>
      <c r="H1310" t="str">
        <f>"462567 REIMBURSMNT"</f>
        <v>462567 REIMBURSMNT</v>
      </c>
      <c r="I1310" t="str">
        <f>"DAVID PAINTER"</f>
        <v>DAVID PAINTER</v>
      </c>
    </row>
    <row r="1311" spans="1:9" x14ac:dyDescent="0.25">
      <c r="A1311" s="6">
        <v>44181</v>
      </c>
      <c r="B1311" t="s">
        <v>26</v>
      </c>
      <c r="C1311">
        <v>65716</v>
      </c>
      <c r="D1311" t="s">
        <v>1013</v>
      </c>
      <c r="E1311" s="7">
        <v>6850</v>
      </c>
      <c r="F1311" t="s">
        <v>20</v>
      </c>
      <c r="G1311" s="10" t="s">
        <v>21</v>
      </c>
      <c r="H1311" t="str">
        <f>"001"</f>
        <v>001</v>
      </c>
      <c r="I1311" t="str">
        <f>"CURB AND GUTTER 441 LF"</f>
        <v>CURB AND GUTTER 441 LF</v>
      </c>
    </row>
    <row r="1312" spans="1:9" x14ac:dyDescent="0.25">
      <c r="A1312" s="6">
        <v>44187</v>
      </c>
      <c r="B1312" t="s">
        <v>26</v>
      </c>
      <c r="C1312">
        <v>65717</v>
      </c>
      <c r="D1312" t="s">
        <v>1014</v>
      </c>
      <c r="E1312" s="7">
        <v>7265</v>
      </c>
      <c r="F1312" t="s">
        <v>20</v>
      </c>
      <c r="G1312" s="10" t="s">
        <v>21</v>
      </c>
      <c r="H1312" t="str">
        <f>"1220-128"</f>
        <v>1220-128</v>
      </c>
      <c r="I1312" t="str">
        <f>"EMERGENCY LEAK ISOLATION"</f>
        <v>EMERGENCY LEAK ISOLATION</v>
      </c>
    </row>
    <row r="1313" spans="1:9" x14ac:dyDescent="0.25">
      <c r="A1313" s="6">
        <v>44187</v>
      </c>
      <c r="B1313" t="s">
        <v>26</v>
      </c>
      <c r="C1313">
        <v>65718</v>
      </c>
      <c r="D1313" t="s">
        <v>118</v>
      </c>
      <c r="E1313" s="7">
        <v>10635</v>
      </c>
      <c r="F1313" t="s">
        <v>20</v>
      </c>
      <c r="G1313" s="10" t="s">
        <v>21</v>
      </c>
      <c r="H1313" t="str">
        <f>"12129"</f>
        <v>12129</v>
      </c>
      <c r="I1313" t="str">
        <f>"ESTIMATE 1265 REME HALO"</f>
        <v>ESTIMATE 1265 REME HALO</v>
      </c>
    </row>
    <row r="1314" spans="1:9" x14ac:dyDescent="0.25">
      <c r="E1314" s="7"/>
      <c r="F1314" t="s">
        <v>20</v>
      </c>
      <c r="G1314" s="10" t="s">
        <v>21</v>
      </c>
      <c r="H1314" t="str">
        <f>"12130"</f>
        <v>12130</v>
      </c>
      <c r="I1314" t="str">
        <f>"ESTIMATE 1266 REME HALO"</f>
        <v>ESTIMATE 1266 REME HALO</v>
      </c>
    </row>
    <row r="1315" spans="1:9" x14ac:dyDescent="0.25">
      <c r="E1315" s="7"/>
      <c r="F1315" t="s">
        <v>20</v>
      </c>
      <c r="G1315" s="10" t="s">
        <v>21</v>
      </c>
      <c r="H1315" t="str">
        <f>"12131"</f>
        <v>12131</v>
      </c>
      <c r="I1315" t="str">
        <f>"ESTIMATE 1267 REME HALO"</f>
        <v>ESTIMATE 1267 REME HALO</v>
      </c>
    </row>
    <row r="1316" spans="1:9" x14ac:dyDescent="0.25">
      <c r="E1316" s="7"/>
      <c r="F1316" t="s">
        <v>20</v>
      </c>
      <c r="G1316" s="10" t="s">
        <v>21</v>
      </c>
      <c r="H1316" t="str">
        <f>"12132"</f>
        <v>12132</v>
      </c>
      <c r="I1316" t="str">
        <f>"ESTIMATE 1268 REME HALO"</f>
        <v>ESTIMATE 1268 REME HALO</v>
      </c>
    </row>
    <row r="1317" spans="1:9" x14ac:dyDescent="0.25">
      <c r="A1317" s="6">
        <v>44187</v>
      </c>
      <c r="B1317" t="s">
        <v>26</v>
      </c>
      <c r="C1317">
        <v>65719</v>
      </c>
      <c r="D1317" t="s">
        <v>102</v>
      </c>
      <c r="E1317" s="7">
        <v>198</v>
      </c>
      <c r="F1317" t="s">
        <v>20</v>
      </c>
      <c r="G1317" s="10" t="s">
        <v>21</v>
      </c>
      <c r="H1317" t="str">
        <f>"1120 D ST NOV.2020"</f>
        <v>1120 D ST NOV.2020</v>
      </c>
      <c r="I1317" t="str">
        <f>"CENTERPOINT ENERGY ENTEX"</f>
        <v>CENTERPOINT ENERGY ENTEX</v>
      </c>
    </row>
    <row r="1318" spans="1:9" x14ac:dyDescent="0.25">
      <c r="E1318" s="7"/>
      <c r="F1318" t="s">
        <v>20</v>
      </c>
      <c r="G1318" s="10" t="s">
        <v>21</v>
      </c>
      <c r="H1318" t="str">
        <f>"1200 1ST. NOV.2020"</f>
        <v>1200 1ST. NOV.2020</v>
      </c>
      <c r="I1318" t="str">
        <f>"CENTERPOINT ENERGY ENTEX"</f>
        <v>CENTERPOINT ENERGY ENTEX</v>
      </c>
    </row>
    <row r="1319" spans="1:9" x14ac:dyDescent="0.25">
      <c r="E1319" s="7"/>
      <c r="F1319" t="s">
        <v>20</v>
      </c>
      <c r="G1319" s="10" t="s">
        <v>21</v>
      </c>
      <c r="H1319" t="str">
        <f>"920 C.ST NOV.2020"</f>
        <v>920 C.ST NOV.2020</v>
      </c>
      <c r="I1319" t="str">
        <f>"CENTERPOINT ENERGY ENTEX"</f>
        <v>CENTERPOINT ENERGY ENTEX</v>
      </c>
    </row>
    <row r="1320" spans="1:9" x14ac:dyDescent="0.25">
      <c r="A1320" s="6">
        <v>44187</v>
      </c>
      <c r="B1320" t="s">
        <v>26</v>
      </c>
      <c r="C1320">
        <v>65720</v>
      </c>
      <c r="D1320" t="s">
        <v>81</v>
      </c>
      <c r="E1320" s="7">
        <v>221.56</v>
      </c>
      <c r="F1320" t="s">
        <v>20</v>
      </c>
      <c r="G1320" s="10" t="s">
        <v>21</v>
      </c>
      <c r="H1320" t="str">
        <f>"A.MONTOYA12/22/20"</f>
        <v>A.MONTOYA12/22/20</v>
      </c>
      <c r="I1320" t="str">
        <f>"CITY OF FLORESVILLE -PETTY CAS"</f>
        <v>CITY OF FLORESVILLE -PETTY CAS</v>
      </c>
    </row>
    <row r="1321" spans="1:9" x14ac:dyDescent="0.25">
      <c r="A1321" s="6">
        <v>44187</v>
      </c>
      <c r="B1321" t="s">
        <v>26</v>
      </c>
      <c r="C1321">
        <v>65722</v>
      </c>
      <c r="D1321" t="s">
        <v>98</v>
      </c>
      <c r="E1321" s="7">
        <v>3535.76</v>
      </c>
      <c r="F1321" t="s">
        <v>20</v>
      </c>
      <c r="G1321" s="10" t="s">
        <v>329</v>
      </c>
      <c r="H1321" t="str">
        <f>"12/2020"</f>
        <v>12/2020</v>
      </c>
      <c r="I1321" t="str">
        <f>"DEARBORN LIFE INSURANCE COMPAN"</f>
        <v>DEARBORN LIFE INSURANCE COMPAN</v>
      </c>
    </row>
    <row r="1322" spans="1:9" x14ac:dyDescent="0.25">
      <c r="E1322" s="7"/>
      <c r="F1322" t="s">
        <v>20</v>
      </c>
      <c r="G1322" s="10" t="s">
        <v>21</v>
      </c>
      <c r="H1322" t="str">
        <f>"12/1-12/31/2020"</f>
        <v>12/1-12/31/2020</v>
      </c>
      <c r="I1322" t="str">
        <f>"DEARBORN LIFE INSURANCE COMPAN"</f>
        <v>DEARBORN LIFE INSURANCE COMPAN</v>
      </c>
    </row>
    <row r="1323" spans="1:9" x14ac:dyDescent="0.25">
      <c r="E1323" s="7"/>
      <c r="F1323" t="s">
        <v>20</v>
      </c>
      <c r="G1323" s="10" t="s">
        <v>21</v>
      </c>
      <c r="H1323" t="str">
        <f>"STD202010068586"</f>
        <v>STD202010068586</v>
      </c>
      <c r="I1323" t="str">
        <f>"SHORT TERM DISABILITY"</f>
        <v>SHORT TERM DISABILITY</v>
      </c>
    </row>
    <row r="1324" spans="1:9" x14ac:dyDescent="0.25">
      <c r="E1324" s="7"/>
      <c r="F1324" t="s">
        <v>20</v>
      </c>
      <c r="G1324" s="10" t="s">
        <v>21</v>
      </c>
      <c r="H1324" t="str">
        <f>"STD202012018591"</f>
        <v>STD202012018591</v>
      </c>
      <c r="I1324" t="str">
        <f>"SHORT TERM DISABILITY"</f>
        <v>SHORT TERM DISABILITY</v>
      </c>
    </row>
    <row r="1325" spans="1:9" x14ac:dyDescent="0.25">
      <c r="E1325" s="7"/>
      <c r="F1325" t="s">
        <v>20</v>
      </c>
      <c r="G1325" s="10" t="s">
        <v>21</v>
      </c>
      <c r="H1325" t="str">
        <f>"VIS202011038589"</f>
        <v>VIS202011038589</v>
      </c>
      <c r="I1325" t="str">
        <f>"VISION INSURANCE"</f>
        <v>VISION INSURANCE</v>
      </c>
    </row>
    <row r="1326" spans="1:9" x14ac:dyDescent="0.25">
      <c r="E1326" s="7"/>
      <c r="F1326" t="s">
        <v>20</v>
      </c>
      <c r="G1326" s="10" t="s">
        <v>21</v>
      </c>
      <c r="H1326" t="str">
        <f>"VIS202011178590"</f>
        <v>VIS202011178590</v>
      </c>
      <c r="I1326" t="str">
        <f>"VISION INSURANCE"</f>
        <v>VISION INSURANCE</v>
      </c>
    </row>
    <row r="1327" spans="1:9" x14ac:dyDescent="0.25">
      <c r="E1327" s="7"/>
      <c r="F1327" t="s">
        <v>20</v>
      </c>
      <c r="G1327" s="10" t="s">
        <v>21</v>
      </c>
      <c r="H1327" t="str">
        <f>"VLC202010068586"</f>
        <v>VLC202010068586</v>
      </c>
      <c r="I1327" t="str">
        <f>"CHILD LIFE INSURANCE"</f>
        <v>CHILD LIFE INSURANCE</v>
      </c>
    </row>
    <row r="1328" spans="1:9" x14ac:dyDescent="0.25">
      <c r="E1328" s="7"/>
      <c r="F1328" t="s">
        <v>20</v>
      </c>
      <c r="G1328" s="10" t="s">
        <v>21</v>
      </c>
      <c r="H1328" t="str">
        <f>"VLC202010208588"</f>
        <v>VLC202010208588</v>
      </c>
      <c r="I1328" t="str">
        <f>"CHILD LIFE INSURANCE"</f>
        <v>CHILD LIFE INSURANCE</v>
      </c>
    </row>
    <row r="1329" spans="1:9" x14ac:dyDescent="0.25">
      <c r="E1329" s="7"/>
      <c r="F1329" t="s">
        <v>20</v>
      </c>
      <c r="G1329" s="10" t="s">
        <v>21</v>
      </c>
      <c r="H1329" t="str">
        <f>"VLS202010068586"</f>
        <v>VLS202010068586</v>
      </c>
      <c r="I1329" t="str">
        <f>"SPOUSE LIFE"</f>
        <v>SPOUSE LIFE</v>
      </c>
    </row>
    <row r="1330" spans="1:9" x14ac:dyDescent="0.25">
      <c r="E1330" s="7"/>
      <c r="F1330" t="s">
        <v>20</v>
      </c>
      <c r="G1330" s="10" t="s">
        <v>21</v>
      </c>
      <c r="H1330" t="str">
        <f>"VLS202010208588"</f>
        <v>VLS202010208588</v>
      </c>
      <c r="I1330" t="str">
        <f>"SPOUSE LIFE"</f>
        <v>SPOUSE LIFE</v>
      </c>
    </row>
    <row r="1331" spans="1:9" x14ac:dyDescent="0.25">
      <c r="E1331" s="7"/>
      <c r="F1331" t="s">
        <v>20</v>
      </c>
      <c r="G1331" s="10" t="s">
        <v>21</v>
      </c>
      <c r="H1331" t="str">
        <f>"VOE202010068586"</f>
        <v>VOE202010068586</v>
      </c>
      <c r="I1331" t="str">
        <f>"EMPLOYEE LIFE"</f>
        <v>EMPLOYEE LIFE</v>
      </c>
    </row>
    <row r="1332" spans="1:9" x14ac:dyDescent="0.25">
      <c r="E1332" s="7"/>
      <c r="F1332" t="s">
        <v>20</v>
      </c>
      <c r="G1332" s="10" t="s">
        <v>21</v>
      </c>
      <c r="H1332" t="str">
        <f>"VOE202012018591"</f>
        <v>VOE202012018591</v>
      </c>
      <c r="I1332" t="str">
        <f>"EMPLOYEE LIFE"</f>
        <v>EMPLOYEE LIFE</v>
      </c>
    </row>
    <row r="1333" spans="1:9" x14ac:dyDescent="0.25">
      <c r="E1333" s="7"/>
      <c r="F1333" t="s">
        <v>20</v>
      </c>
      <c r="G1333" s="10" t="s">
        <v>21</v>
      </c>
      <c r="H1333" t="str">
        <f>"VOL202010068586"</f>
        <v>VOL202010068586</v>
      </c>
      <c r="I1333" t="str">
        <f>"LIFE"</f>
        <v>LIFE</v>
      </c>
    </row>
    <row r="1334" spans="1:9" x14ac:dyDescent="0.25">
      <c r="E1334" s="7"/>
      <c r="F1334" t="s">
        <v>20</v>
      </c>
      <c r="G1334" s="10" t="s">
        <v>21</v>
      </c>
      <c r="H1334" t="str">
        <f>"VOL202010208588"</f>
        <v>VOL202010208588</v>
      </c>
      <c r="I1334" t="str">
        <f>"LIFE"</f>
        <v>LIFE</v>
      </c>
    </row>
    <row r="1335" spans="1:9" x14ac:dyDescent="0.25">
      <c r="A1335" s="6">
        <v>44187</v>
      </c>
      <c r="B1335" t="s">
        <v>26</v>
      </c>
      <c r="C1335">
        <v>65732</v>
      </c>
      <c r="D1335" t="s">
        <v>872</v>
      </c>
      <c r="E1335" s="7">
        <v>50</v>
      </c>
      <c r="F1335" t="s">
        <v>20</v>
      </c>
      <c r="G1335" s="10" t="s">
        <v>21</v>
      </c>
      <c r="H1335" t="str">
        <f>"12/20/2020"</f>
        <v>12/20/2020</v>
      </c>
      <c r="I1335" t="str">
        <f>"DEVIN BENAVIDES"</f>
        <v>DEVIN BENAVIDES</v>
      </c>
    </row>
    <row r="1336" spans="1:9" x14ac:dyDescent="0.25">
      <c r="A1336" s="6">
        <v>44187</v>
      </c>
      <c r="B1336" t="s">
        <v>26</v>
      </c>
      <c r="C1336">
        <v>65733</v>
      </c>
      <c r="D1336" t="s">
        <v>85</v>
      </c>
      <c r="E1336" s="7">
        <v>1993.44</v>
      </c>
      <c r="F1336" t="s">
        <v>20</v>
      </c>
      <c r="G1336" s="10" t="s">
        <v>21</v>
      </c>
      <c r="H1336" t="str">
        <f>"3938193 12/2020"</f>
        <v>3938193 12/2020</v>
      </c>
      <c r="I1336" t="str">
        <f>"FRONTIER"</f>
        <v>FRONTIER</v>
      </c>
    </row>
    <row r="1337" spans="1:9" x14ac:dyDescent="0.25">
      <c r="E1337" s="7"/>
      <c r="F1337" t="s">
        <v>20</v>
      </c>
      <c r="G1337" s="10" t="s">
        <v>21</v>
      </c>
      <c r="H1337" t="str">
        <f>"8301970025 12/2020"</f>
        <v>8301970025 12/2020</v>
      </c>
      <c r="I1337" t="str">
        <f>"FRONTIER"</f>
        <v>FRONTIER</v>
      </c>
    </row>
    <row r="1338" spans="1:9" x14ac:dyDescent="0.25">
      <c r="A1338" s="6">
        <v>44187</v>
      </c>
      <c r="B1338" t="s">
        <v>91</v>
      </c>
      <c r="C1338">
        <v>65734</v>
      </c>
      <c r="D1338" t="s">
        <v>100</v>
      </c>
      <c r="E1338" s="7">
        <v>2500</v>
      </c>
      <c r="F1338" t="s">
        <v>20</v>
      </c>
      <c r="G1338" s="10" t="s">
        <v>21</v>
      </c>
      <c r="H1338" t="str">
        <f>"001"</f>
        <v>001</v>
      </c>
      <c r="I1338" t="str">
        <f>"GAONA &amp; SONS"</f>
        <v>GAONA &amp; SONS</v>
      </c>
    </row>
    <row r="1339" spans="1:9" x14ac:dyDescent="0.25">
      <c r="A1339" s="6">
        <v>44187</v>
      </c>
      <c r="B1339" t="s">
        <v>91</v>
      </c>
      <c r="C1339">
        <v>65734</v>
      </c>
      <c r="D1339" t="s">
        <v>100</v>
      </c>
      <c r="E1339" s="7">
        <v>2500</v>
      </c>
      <c r="F1339" t="s">
        <v>20</v>
      </c>
      <c r="G1339" s="10" t="s">
        <v>93</v>
      </c>
      <c r="H1339" t="str">
        <f>"CHECK"</f>
        <v>CHECK</v>
      </c>
      <c r="I1339" t="str">
        <f>""</f>
        <v/>
      </c>
    </row>
    <row r="1340" spans="1:9" x14ac:dyDescent="0.25">
      <c r="A1340" s="6">
        <v>44187</v>
      </c>
      <c r="B1340" t="s">
        <v>26</v>
      </c>
      <c r="C1340">
        <v>65735</v>
      </c>
      <c r="D1340" t="s">
        <v>97</v>
      </c>
      <c r="E1340" s="7">
        <v>44428.22</v>
      </c>
      <c r="F1340" t="s">
        <v>20</v>
      </c>
      <c r="G1340" s="10" t="s">
        <v>21</v>
      </c>
      <c r="H1340" t="str">
        <f>"12/1-01/01/2020"</f>
        <v>12/1-01/01/2020</v>
      </c>
      <c r="I1340" t="str">
        <f>"HEALTH CARE SERVICE CORPORATIO"</f>
        <v>HEALTH CARE SERVICE CORPORATIO</v>
      </c>
    </row>
    <row r="1341" spans="1:9" x14ac:dyDescent="0.25">
      <c r="E1341" s="7"/>
      <c r="F1341" t="s">
        <v>20</v>
      </c>
      <c r="G1341" s="10" t="s">
        <v>21</v>
      </c>
      <c r="H1341" t="str">
        <f>"DEN202011038589"</f>
        <v>DEN202011038589</v>
      </c>
      <c r="I1341" t="str">
        <f>"DENTAL INSURANCE"</f>
        <v>DENTAL INSURANCE</v>
      </c>
    </row>
    <row r="1342" spans="1:9" x14ac:dyDescent="0.25">
      <c r="E1342" s="7"/>
      <c r="F1342" t="s">
        <v>20</v>
      </c>
      <c r="G1342" s="10" t="s">
        <v>21</v>
      </c>
      <c r="H1342" t="str">
        <f>"DEN202011178590"</f>
        <v>DEN202011178590</v>
      </c>
      <c r="I1342" t="str">
        <f>"DENTAL INSURANCE"</f>
        <v>DENTAL INSURANCE</v>
      </c>
    </row>
    <row r="1343" spans="1:9" x14ac:dyDescent="0.25">
      <c r="E1343" s="7"/>
      <c r="F1343" t="s">
        <v>20</v>
      </c>
      <c r="G1343" s="10" t="s">
        <v>21</v>
      </c>
      <c r="H1343" t="str">
        <f>"MED202011038589"</f>
        <v>MED202011038589</v>
      </c>
      <c r="I1343" t="str">
        <f>"HEALTH &amp; DENTAL INSURANCE"</f>
        <v>HEALTH &amp; DENTAL INSURANCE</v>
      </c>
    </row>
    <row r="1344" spans="1:9" x14ac:dyDescent="0.25">
      <c r="E1344" s="7"/>
      <c r="F1344" t="s">
        <v>20</v>
      </c>
      <c r="G1344" s="10" t="s">
        <v>21</v>
      </c>
      <c r="H1344" t="str">
        <f>"MED202011178590"</f>
        <v>MED202011178590</v>
      </c>
      <c r="I1344" t="str">
        <f>"HEALTH &amp; DENTAL INSURANCE"</f>
        <v>HEALTH &amp; DENTAL INSURANCE</v>
      </c>
    </row>
    <row r="1345" spans="1:9" x14ac:dyDescent="0.25">
      <c r="A1345" s="6">
        <v>44187</v>
      </c>
      <c r="B1345" t="s">
        <v>26</v>
      </c>
      <c r="C1345">
        <v>65741</v>
      </c>
      <c r="D1345" t="s">
        <v>117</v>
      </c>
      <c r="E1345" s="7">
        <v>335.52</v>
      </c>
      <c r="F1345" t="s">
        <v>20</v>
      </c>
      <c r="G1345" s="10" t="s">
        <v>21</v>
      </c>
      <c r="H1345" t="str">
        <f>"NOV.2020"</f>
        <v>NOV.2020</v>
      </c>
      <c r="I1345" t="str">
        <f>"LINEBARGER GOGGAN BLAIR &amp; SAMP"</f>
        <v>LINEBARGER GOGGAN BLAIR &amp; SAMP</v>
      </c>
    </row>
    <row r="1346" spans="1:9" x14ac:dyDescent="0.25">
      <c r="A1346" s="6">
        <v>44187</v>
      </c>
      <c r="B1346" t="s">
        <v>26</v>
      </c>
      <c r="C1346">
        <v>65742</v>
      </c>
      <c r="D1346" t="s">
        <v>345</v>
      </c>
      <c r="E1346" s="7">
        <v>231</v>
      </c>
      <c r="F1346" t="s">
        <v>20</v>
      </c>
      <c r="G1346" s="10" t="s">
        <v>21</v>
      </c>
      <c r="H1346" t="str">
        <f>"12/21/2020"</f>
        <v>12/21/2020</v>
      </c>
      <c r="I1346" t="str">
        <f>"MICHAEL ISAAC MARTINEZ"</f>
        <v>MICHAEL ISAAC MARTINEZ</v>
      </c>
    </row>
    <row r="1347" spans="1:9" x14ac:dyDescent="0.25">
      <c r="A1347" s="6">
        <v>44187</v>
      </c>
      <c r="B1347" t="s">
        <v>26</v>
      </c>
      <c r="C1347">
        <v>65743</v>
      </c>
      <c r="D1347" t="s">
        <v>1013</v>
      </c>
      <c r="E1347" s="7">
        <v>8900</v>
      </c>
      <c r="F1347" t="s">
        <v>20</v>
      </c>
      <c r="G1347" s="10" t="s">
        <v>21</v>
      </c>
      <c r="H1347" t="str">
        <f>"002"</f>
        <v>002</v>
      </c>
      <c r="I1347" t="str">
        <f>"NEW BEGINNING CONSTRUCTION LIM"</f>
        <v>NEW BEGINNING CONSTRUCTION LIM</v>
      </c>
    </row>
    <row r="1348" spans="1:9" x14ac:dyDescent="0.25">
      <c r="A1348" s="6">
        <v>44187</v>
      </c>
      <c r="B1348" t="s">
        <v>26</v>
      </c>
      <c r="C1348">
        <v>65744</v>
      </c>
      <c r="D1348" t="s">
        <v>693</v>
      </c>
      <c r="E1348" s="7">
        <v>383.57</v>
      </c>
      <c r="F1348" t="s">
        <v>20</v>
      </c>
      <c r="G1348" s="10" t="s">
        <v>21</v>
      </c>
      <c r="H1348" t="str">
        <f>"REIMBSMT BLUSANTA"</f>
        <v>REIMBSMT BLUSANTA</v>
      </c>
      <c r="I1348" t="str">
        <f>"OLGA RAMIREZ"</f>
        <v>OLGA RAMIREZ</v>
      </c>
    </row>
    <row r="1349" spans="1:9" x14ac:dyDescent="0.25">
      <c r="A1349" s="6">
        <v>44187</v>
      </c>
      <c r="B1349" t="s">
        <v>26</v>
      </c>
      <c r="C1349">
        <v>65745</v>
      </c>
      <c r="D1349" t="s">
        <v>62</v>
      </c>
      <c r="E1349" s="7">
        <v>305.41000000000003</v>
      </c>
      <c r="F1349" t="s">
        <v>20</v>
      </c>
      <c r="G1349" s="10" t="s">
        <v>21</v>
      </c>
      <c r="H1349" t="str">
        <f>"D.KEEN 2020"</f>
        <v>D.KEEN 2020</v>
      </c>
      <c r="I1349" t="str">
        <f>"PROFICIENT BENEFIT SOLUTIONS"</f>
        <v>PROFICIENT BENEFIT SOLUTIONS</v>
      </c>
    </row>
    <row r="1350" spans="1:9" x14ac:dyDescent="0.25">
      <c r="A1350" s="6">
        <v>44187</v>
      </c>
      <c r="B1350" t="s">
        <v>26</v>
      </c>
      <c r="C1350">
        <v>65746</v>
      </c>
      <c r="D1350" t="s">
        <v>273</v>
      </c>
      <c r="E1350" s="7">
        <v>1004.58</v>
      </c>
      <c r="F1350" t="s">
        <v>20</v>
      </c>
      <c r="G1350" s="10" t="s">
        <v>21</v>
      </c>
      <c r="H1350" t="str">
        <f>"5119-000094989"</f>
        <v>5119-000094989</v>
      </c>
      <c r="I1350" t="str">
        <f>"REPUBLIC SERVICES TESSMAN ROAD"</f>
        <v>REPUBLIC SERVICES TESSMAN ROAD</v>
      </c>
    </row>
    <row r="1351" spans="1:9" x14ac:dyDescent="0.25">
      <c r="A1351" s="6">
        <v>44195</v>
      </c>
      <c r="B1351" t="s">
        <v>26</v>
      </c>
      <c r="C1351">
        <v>65751</v>
      </c>
      <c r="D1351" t="s">
        <v>51</v>
      </c>
      <c r="E1351" s="7">
        <v>327.84</v>
      </c>
      <c r="F1351" t="s">
        <v>20</v>
      </c>
      <c r="G1351" s="10" t="s">
        <v>21</v>
      </c>
      <c r="H1351" t="str">
        <f>"CLE202012288594"</f>
        <v>CLE202012288594</v>
      </c>
      <c r="I1351" t="str">
        <f>"CLEAT ONLY DUES"</f>
        <v>CLEAT ONLY DUES</v>
      </c>
    </row>
    <row r="1352" spans="1:9" x14ac:dyDescent="0.25">
      <c r="E1352" s="7"/>
      <c r="F1352" t="s">
        <v>20</v>
      </c>
      <c r="G1352" s="10" t="s">
        <v>21</v>
      </c>
      <c r="H1352" t="str">
        <f>"PDD202012288594"</f>
        <v>PDD202012288594</v>
      </c>
      <c r="I1352" t="str">
        <f>"POLICE OFFICERS ASSOC DUES"</f>
        <v>POLICE OFFICERS ASSOC DUES</v>
      </c>
    </row>
    <row r="1353" spans="1:9" x14ac:dyDescent="0.25">
      <c r="A1353" s="6">
        <v>44195</v>
      </c>
      <c r="B1353" t="s">
        <v>26</v>
      </c>
      <c r="C1353">
        <v>65752</v>
      </c>
      <c r="D1353" t="s">
        <v>52</v>
      </c>
      <c r="E1353" s="7">
        <v>405</v>
      </c>
      <c r="F1353" t="s">
        <v>20</v>
      </c>
      <c r="G1353" s="10" t="s">
        <v>21</v>
      </c>
      <c r="H1353" t="str">
        <f>"CA1202012288594"</f>
        <v>CA1202012288594</v>
      </c>
      <c r="I1353" t="str">
        <f>"K RAMIREZ 001200229510060343CV"</f>
        <v>K RAMIREZ 001200229510060343CV</v>
      </c>
    </row>
    <row r="1354" spans="1:9" x14ac:dyDescent="0.25">
      <c r="E1354" s="7"/>
      <c r="F1354" t="s">
        <v>20</v>
      </c>
      <c r="G1354" s="10" t="s">
        <v>21</v>
      </c>
      <c r="H1354" t="str">
        <f>"CA2202012288594"</f>
        <v>CA2202012288594</v>
      </c>
      <c r="I1354" t="str">
        <f>"L HERNANDEZ 001016025203080354"</f>
        <v>L HERNANDEZ 001016025203080354</v>
      </c>
    </row>
    <row r="1355" spans="1:9" x14ac:dyDescent="0.25">
      <c r="E1355" s="7"/>
      <c r="F1355" t="s">
        <v>20</v>
      </c>
      <c r="G1355" s="10" t="s">
        <v>21</v>
      </c>
      <c r="H1355" t="str">
        <f>"CA3202012288594"</f>
        <v>CA3202012288594</v>
      </c>
      <c r="I1355" t="str">
        <f>"00120788612011EM5023JOLENEGARC"</f>
        <v>00120788612011EM5023JOLENEGARC</v>
      </c>
    </row>
    <row r="1356" spans="1:9" x14ac:dyDescent="0.25">
      <c r="E1356" s="7"/>
      <c r="F1356" t="s">
        <v>20</v>
      </c>
      <c r="G1356" s="10" t="s">
        <v>21</v>
      </c>
      <c r="H1356" t="str">
        <f>"CSA202012288594"</f>
        <v>CSA202012288594</v>
      </c>
      <c r="I1356" t="str">
        <f>"S RODRIGUEZ 001281730413050336"</f>
        <v>S RODRIGUEZ 001281730413050336</v>
      </c>
    </row>
    <row r="1357" spans="1:9" x14ac:dyDescent="0.25">
      <c r="A1357" s="6">
        <v>44195</v>
      </c>
      <c r="B1357" t="s">
        <v>26</v>
      </c>
      <c r="C1357">
        <v>65753</v>
      </c>
      <c r="D1357" t="s">
        <v>54</v>
      </c>
      <c r="E1357" s="7">
        <v>1186.68</v>
      </c>
      <c r="F1357" t="s">
        <v>20</v>
      </c>
      <c r="G1357" s="10" t="s">
        <v>21</v>
      </c>
      <c r="H1357" t="str">
        <f>"457202012288594"</f>
        <v>457202012288594</v>
      </c>
      <c r="I1357" t="str">
        <f>"CASE # 180-60751 457B DEDUCT"</f>
        <v>CASE # 180-60751 457B DEDUCT</v>
      </c>
    </row>
    <row r="1358" spans="1:9" x14ac:dyDescent="0.25">
      <c r="A1358" s="6">
        <v>44195</v>
      </c>
      <c r="B1358" t="s">
        <v>26</v>
      </c>
      <c r="C1358">
        <v>65754</v>
      </c>
      <c r="D1358" t="s">
        <v>969</v>
      </c>
      <c r="E1358" s="7">
        <v>88.74</v>
      </c>
      <c r="F1358" t="s">
        <v>20</v>
      </c>
      <c r="G1358" s="10" t="s">
        <v>21</v>
      </c>
      <c r="H1358" t="str">
        <f>"ATG202012288594"</f>
        <v>ATG202012288594</v>
      </c>
      <c r="I1358" t="str">
        <f>"WG1910853 A. TREVINO"</f>
        <v>WG1910853 A. TREVINO</v>
      </c>
    </row>
    <row r="1359" spans="1:9" x14ac:dyDescent="0.25">
      <c r="A1359" s="6">
        <v>44194</v>
      </c>
      <c r="B1359" t="s">
        <v>26</v>
      </c>
      <c r="C1359">
        <v>65755</v>
      </c>
      <c r="D1359" t="s">
        <v>63</v>
      </c>
      <c r="E1359" s="7">
        <v>475</v>
      </c>
      <c r="F1359" t="s">
        <v>20</v>
      </c>
      <c r="G1359" s="10" t="s">
        <v>21</v>
      </c>
      <c r="H1359" t="str">
        <f>"8404921515"</f>
        <v>8404921515</v>
      </c>
      <c r="I1359" t="str">
        <f>"CINTAS CORPORATION"</f>
        <v>CINTAS CORPORATION</v>
      </c>
    </row>
    <row r="1360" spans="1:9" x14ac:dyDescent="0.25">
      <c r="A1360" s="6">
        <v>44194</v>
      </c>
      <c r="B1360" t="s">
        <v>26</v>
      </c>
      <c r="C1360">
        <v>65756</v>
      </c>
      <c r="D1360" t="s">
        <v>71</v>
      </c>
      <c r="E1360" s="7">
        <v>1547.76</v>
      </c>
      <c r="F1360" t="s">
        <v>20</v>
      </c>
      <c r="G1360" s="10" t="s">
        <v>21</v>
      </c>
      <c r="H1360" t="str">
        <f>"4070000050"</f>
        <v>4070000050</v>
      </c>
      <c r="I1360" t="str">
        <f t="shared" ref="I1360:I1367" si="24">"CINTAS CORPORATION #087"</f>
        <v>CINTAS CORPORATION #087</v>
      </c>
    </row>
    <row r="1361" spans="1:9" x14ac:dyDescent="0.25">
      <c r="E1361" s="7"/>
      <c r="F1361" t="s">
        <v>20</v>
      </c>
      <c r="G1361" s="10" t="s">
        <v>21</v>
      </c>
      <c r="H1361" t="str">
        <f>"4070000051"</f>
        <v>4070000051</v>
      </c>
      <c r="I1361" t="str">
        <f t="shared" si="24"/>
        <v>CINTAS CORPORATION #087</v>
      </c>
    </row>
    <row r="1362" spans="1:9" x14ac:dyDescent="0.25">
      <c r="E1362" s="7"/>
      <c r="F1362" t="s">
        <v>20</v>
      </c>
      <c r="G1362" s="10" t="s">
        <v>21</v>
      </c>
      <c r="H1362" t="str">
        <f>"4070000141"</f>
        <v>4070000141</v>
      </c>
      <c r="I1362" t="str">
        <f t="shared" si="24"/>
        <v>CINTAS CORPORATION #087</v>
      </c>
    </row>
    <row r="1363" spans="1:9" x14ac:dyDescent="0.25">
      <c r="E1363" s="7"/>
      <c r="F1363" t="s">
        <v>20</v>
      </c>
      <c r="G1363" s="10" t="s">
        <v>21</v>
      </c>
      <c r="H1363" t="str">
        <f>"4070000273"</f>
        <v>4070000273</v>
      </c>
      <c r="I1363" t="str">
        <f t="shared" si="24"/>
        <v>CINTAS CORPORATION #087</v>
      </c>
    </row>
    <row r="1364" spans="1:9" x14ac:dyDescent="0.25">
      <c r="E1364" s="7"/>
      <c r="F1364" t="s">
        <v>20</v>
      </c>
      <c r="G1364" s="10" t="s">
        <v>21</v>
      </c>
      <c r="H1364" t="str">
        <f>"4070670094"</f>
        <v>4070670094</v>
      </c>
      <c r="I1364" t="str">
        <f t="shared" si="24"/>
        <v>CINTAS CORPORATION #087</v>
      </c>
    </row>
    <row r="1365" spans="1:9" x14ac:dyDescent="0.25">
      <c r="E1365" s="7"/>
      <c r="F1365" t="s">
        <v>20</v>
      </c>
      <c r="G1365" s="10" t="s">
        <v>21</v>
      </c>
      <c r="H1365" t="str">
        <f>"4070670114"</f>
        <v>4070670114</v>
      </c>
      <c r="I1365" t="str">
        <f t="shared" si="24"/>
        <v>CINTAS CORPORATION #087</v>
      </c>
    </row>
    <row r="1366" spans="1:9" x14ac:dyDescent="0.25">
      <c r="E1366" s="7"/>
      <c r="F1366" t="s">
        <v>20</v>
      </c>
      <c r="G1366" s="10" t="s">
        <v>21</v>
      </c>
      <c r="H1366" t="str">
        <f>"4070670116"</f>
        <v>4070670116</v>
      </c>
      <c r="I1366" t="str">
        <f t="shared" si="24"/>
        <v>CINTAS CORPORATION #087</v>
      </c>
    </row>
    <row r="1367" spans="1:9" x14ac:dyDescent="0.25">
      <c r="E1367" s="7"/>
      <c r="F1367" t="s">
        <v>20</v>
      </c>
      <c r="G1367" s="10" t="s">
        <v>21</v>
      </c>
      <c r="H1367" t="str">
        <f>"4070670234"</f>
        <v>4070670234</v>
      </c>
      <c r="I1367" t="str">
        <f t="shared" si="24"/>
        <v>CINTAS CORPORATION #087</v>
      </c>
    </row>
    <row r="1368" spans="1:9" x14ac:dyDescent="0.25">
      <c r="A1368" s="6">
        <v>44194</v>
      </c>
      <c r="B1368" t="s">
        <v>26</v>
      </c>
      <c r="C1368">
        <v>65758</v>
      </c>
      <c r="D1368" t="s">
        <v>85</v>
      </c>
      <c r="E1368" s="7">
        <v>1164.54</v>
      </c>
      <c r="F1368" t="s">
        <v>20</v>
      </c>
      <c r="G1368" s="10" t="s">
        <v>21</v>
      </c>
      <c r="H1368" t="str">
        <f>"2162733 DEC.2020"</f>
        <v>2162733 DEC.2020</v>
      </c>
      <c r="I1368" t="str">
        <f>"FRONTIER"</f>
        <v>FRONTIER</v>
      </c>
    </row>
    <row r="1369" spans="1:9" x14ac:dyDescent="0.25">
      <c r="E1369" s="7"/>
      <c r="F1369" t="s">
        <v>20</v>
      </c>
      <c r="G1369" s="10" t="s">
        <v>21</v>
      </c>
      <c r="H1369" t="str">
        <f>"2162755 DEC.2020"</f>
        <v>2162755 DEC.2020</v>
      </c>
      <c r="I1369" t="str">
        <f>"FRONTIER"</f>
        <v>FRONTIER</v>
      </c>
    </row>
    <row r="1370" spans="1:9" x14ac:dyDescent="0.25">
      <c r="E1370" s="7"/>
      <c r="F1370" t="s">
        <v>20</v>
      </c>
      <c r="G1370" s="10" t="s">
        <v>21</v>
      </c>
      <c r="H1370" t="str">
        <f>"3932804 DEC.2020"</f>
        <v>3932804 DEC.2020</v>
      </c>
      <c r="I1370" t="str">
        <f>"FRONTIER"</f>
        <v>FRONTIER</v>
      </c>
    </row>
    <row r="1371" spans="1:9" x14ac:dyDescent="0.25">
      <c r="E1371" s="7"/>
      <c r="F1371" t="s">
        <v>20</v>
      </c>
      <c r="G1371" s="10" t="s">
        <v>21</v>
      </c>
      <c r="H1371" t="str">
        <f>"3933105 DEC.2020"</f>
        <v>3933105 DEC.2020</v>
      </c>
      <c r="I1371" t="str">
        <f>"FRONTIER"</f>
        <v>FRONTIER</v>
      </c>
    </row>
    <row r="1372" spans="1:9" x14ac:dyDescent="0.25">
      <c r="E1372" s="7"/>
      <c r="F1372" t="s">
        <v>20</v>
      </c>
      <c r="G1372" s="10" t="s">
        <v>21</v>
      </c>
      <c r="H1372" t="str">
        <f>"3936794 DEC.2020"</f>
        <v>3936794 DEC.2020</v>
      </c>
      <c r="I1372" t="str">
        <f>"FRONTIER"</f>
        <v>FRONTIER</v>
      </c>
    </row>
    <row r="1373" spans="1:9" x14ac:dyDescent="0.25">
      <c r="A1373" s="6">
        <v>44194</v>
      </c>
      <c r="B1373" t="s">
        <v>26</v>
      </c>
      <c r="C1373">
        <v>65760</v>
      </c>
      <c r="D1373" t="s">
        <v>56</v>
      </c>
      <c r="E1373" s="7">
        <v>22.5</v>
      </c>
      <c r="F1373" t="s">
        <v>20</v>
      </c>
      <c r="G1373" s="10" t="s">
        <v>21</v>
      </c>
      <c r="H1373" t="str">
        <f>"188579"</f>
        <v>188579</v>
      </c>
      <c r="I1373" t="str">
        <f>"DOG FOOD FOR IMPOUND"</f>
        <v>DOG FOOD FOR IMPOUND</v>
      </c>
    </row>
    <row r="1374" spans="1:9" x14ac:dyDescent="0.25">
      <c r="A1374" s="6">
        <v>44194</v>
      </c>
      <c r="B1374" t="s">
        <v>26</v>
      </c>
      <c r="C1374">
        <v>65761</v>
      </c>
      <c r="D1374" t="s">
        <v>1015</v>
      </c>
      <c r="E1374" s="7">
        <v>7907.46</v>
      </c>
      <c r="F1374" t="s">
        <v>20</v>
      </c>
      <c r="G1374" s="10" t="s">
        <v>21</v>
      </c>
      <c r="H1374" t="str">
        <f>"SAN12200777"</f>
        <v>SAN12200777</v>
      </c>
      <c r="I1374" t="str">
        <f>"JANI-KING OF SAN ANTONIO"</f>
        <v>JANI-KING OF SAN ANTONIO</v>
      </c>
    </row>
    <row r="1375" spans="1:9" x14ac:dyDescent="0.25">
      <c r="A1375" s="6">
        <v>44194</v>
      </c>
      <c r="B1375" t="s">
        <v>26</v>
      </c>
      <c r="C1375">
        <v>65762</v>
      </c>
      <c r="D1375" t="s">
        <v>1016</v>
      </c>
      <c r="E1375" s="7">
        <v>9787.5</v>
      </c>
      <c r="F1375" t="s">
        <v>20</v>
      </c>
      <c r="G1375" s="10" t="s">
        <v>21</v>
      </c>
      <c r="H1375" t="str">
        <f>"0003"</f>
        <v>0003</v>
      </c>
      <c r="I1375" t="str">
        <f>"CAT WALK AND HOIST SYSTEM"</f>
        <v>CAT WALK AND HOIST SYSTEM</v>
      </c>
    </row>
    <row r="1376" spans="1:9" x14ac:dyDescent="0.25">
      <c r="A1376" s="6">
        <v>44194</v>
      </c>
      <c r="B1376" t="s">
        <v>26</v>
      </c>
      <c r="C1376">
        <v>65763</v>
      </c>
      <c r="D1376" t="s">
        <v>644</v>
      </c>
      <c r="E1376" s="7">
        <v>994.48</v>
      </c>
      <c r="F1376" t="s">
        <v>20</v>
      </c>
      <c r="G1376" s="10" t="s">
        <v>21</v>
      </c>
      <c r="H1376" t="str">
        <f>"8213540274"</f>
        <v>8213540274</v>
      </c>
      <c r="I1376" t="str">
        <f t="shared" ref="I1376:I1389" si="25">"UNIFIRST CORPORATION"</f>
        <v>UNIFIRST CORPORATION</v>
      </c>
    </row>
    <row r="1377" spans="1:9" x14ac:dyDescent="0.25">
      <c r="E1377" s="7"/>
      <c r="F1377" t="s">
        <v>20</v>
      </c>
      <c r="G1377" s="10" t="s">
        <v>21</v>
      </c>
      <c r="H1377" t="str">
        <f>"8213540275"</f>
        <v>8213540275</v>
      </c>
      <c r="I1377" t="str">
        <f t="shared" si="25"/>
        <v>UNIFIRST CORPORATION</v>
      </c>
    </row>
    <row r="1378" spans="1:9" x14ac:dyDescent="0.25">
      <c r="E1378" s="7"/>
      <c r="F1378" t="s">
        <v>20</v>
      </c>
      <c r="G1378" s="10" t="s">
        <v>21</v>
      </c>
      <c r="H1378" t="str">
        <f>"8213540276"</f>
        <v>8213540276</v>
      </c>
      <c r="I1378" t="str">
        <f t="shared" si="25"/>
        <v>UNIFIRST CORPORATION</v>
      </c>
    </row>
    <row r="1379" spans="1:9" x14ac:dyDescent="0.25">
      <c r="E1379" s="7"/>
      <c r="F1379" t="s">
        <v>20</v>
      </c>
      <c r="G1379" s="10" t="s">
        <v>21</v>
      </c>
      <c r="H1379" t="str">
        <f>"8213540277"</f>
        <v>8213540277</v>
      </c>
      <c r="I1379" t="str">
        <f t="shared" si="25"/>
        <v>UNIFIRST CORPORATION</v>
      </c>
    </row>
    <row r="1380" spans="1:9" x14ac:dyDescent="0.25">
      <c r="E1380" s="7"/>
      <c r="F1380" t="s">
        <v>20</v>
      </c>
      <c r="G1380" s="10" t="s">
        <v>21</v>
      </c>
      <c r="H1380" t="str">
        <f>"8213540278"</f>
        <v>8213540278</v>
      </c>
      <c r="I1380" t="str">
        <f t="shared" si="25"/>
        <v>UNIFIRST CORPORATION</v>
      </c>
    </row>
    <row r="1381" spans="1:9" x14ac:dyDescent="0.25">
      <c r="E1381" s="7"/>
      <c r="F1381" t="s">
        <v>20</v>
      </c>
      <c r="G1381" s="10" t="s">
        <v>21</v>
      </c>
      <c r="H1381" t="str">
        <f>"8213540279"</f>
        <v>8213540279</v>
      </c>
      <c r="I1381" t="str">
        <f t="shared" si="25"/>
        <v>UNIFIRST CORPORATION</v>
      </c>
    </row>
    <row r="1382" spans="1:9" x14ac:dyDescent="0.25">
      <c r="E1382" s="7"/>
      <c r="F1382" t="s">
        <v>20</v>
      </c>
      <c r="G1382" s="10" t="s">
        <v>21</v>
      </c>
      <c r="H1382" t="str">
        <f>"8213540280"</f>
        <v>8213540280</v>
      </c>
      <c r="I1382" t="str">
        <f t="shared" si="25"/>
        <v>UNIFIRST CORPORATION</v>
      </c>
    </row>
    <row r="1383" spans="1:9" x14ac:dyDescent="0.25">
      <c r="E1383" s="7"/>
      <c r="F1383" t="s">
        <v>20</v>
      </c>
      <c r="G1383" s="10" t="s">
        <v>21</v>
      </c>
      <c r="H1383" t="str">
        <f>"8213542877"</f>
        <v>8213542877</v>
      </c>
      <c r="I1383" t="str">
        <f t="shared" si="25"/>
        <v>UNIFIRST CORPORATION</v>
      </c>
    </row>
    <row r="1384" spans="1:9" x14ac:dyDescent="0.25">
      <c r="E1384" s="7"/>
      <c r="F1384" t="s">
        <v>20</v>
      </c>
      <c r="G1384" s="10" t="s">
        <v>21</v>
      </c>
      <c r="H1384" t="str">
        <f>"8213542878"</f>
        <v>8213542878</v>
      </c>
      <c r="I1384" t="str">
        <f t="shared" si="25"/>
        <v>UNIFIRST CORPORATION</v>
      </c>
    </row>
    <row r="1385" spans="1:9" x14ac:dyDescent="0.25">
      <c r="E1385" s="7"/>
      <c r="F1385" t="s">
        <v>20</v>
      </c>
      <c r="G1385" s="10" t="s">
        <v>21</v>
      </c>
      <c r="H1385" t="str">
        <f>"8213542879"</f>
        <v>8213542879</v>
      </c>
      <c r="I1385" t="str">
        <f t="shared" si="25"/>
        <v>UNIFIRST CORPORATION</v>
      </c>
    </row>
    <row r="1386" spans="1:9" x14ac:dyDescent="0.25">
      <c r="E1386" s="7"/>
      <c r="F1386" t="s">
        <v>20</v>
      </c>
      <c r="G1386" s="10" t="s">
        <v>21</v>
      </c>
      <c r="H1386" t="str">
        <f>"8213542880"</f>
        <v>8213542880</v>
      </c>
      <c r="I1386" t="str">
        <f t="shared" si="25"/>
        <v>UNIFIRST CORPORATION</v>
      </c>
    </row>
    <row r="1387" spans="1:9" x14ac:dyDescent="0.25">
      <c r="E1387" s="7"/>
      <c r="F1387" t="s">
        <v>20</v>
      </c>
      <c r="G1387" s="10" t="s">
        <v>21</v>
      </c>
      <c r="H1387" t="str">
        <f>"8213542881"</f>
        <v>8213542881</v>
      </c>
      <c r="I1387" t="str">
        <f t="shared" si="25"/>
        <v>UNIFIRST CORPORATION</v>
      </c>
    </row>
    <row r="1388" spans="1:9" x14ac:dyDescent="0.25">
      <c r="E1388" s="7"/>
      <c r="F1388" t="s">
        <v>20</v>
      </c>
      <c r="G1388" s="10" t="s">
        <v>21</v>
      </c>
      <c r="H1388" t="str">
        <f>"8213542882"</f>
        <v>8213542882</v>
      </c>
      <c r="I1388" t="str">
        <f t="shared" si="25"/>
        <v>UNIFIRST CORPORATION</v>
      </c>
    </row>
    <row r="1389" spans="1:9" x14ac:dyDescent="0.25">
      <c r="E1389" s="7"/>
      <c r="F1389" t="s">
        <v>20</v>
      </c>
      <c r="G1389" s="10" t="s">
        <v>21</v>
      </c>
      <c r="H1389" t="str">
        <f>"8213542883"</f>
        <v>8213542883</v>
      </c>
      <c r="I1389" t="str">
        <f t="shared" si="25"/>
        <v>UNIFIRST CORPORATION</v>
      </c>
    </row>
    <row r="1390" spans="1:9" x14ac:dyDescent="0.25">
      <c r="A1390" s="6">
        <v>44194</v>
      </c>
      <c r="B1390" t="s">
        <v>26</v>
      </c>
      <c r="C1390">
        <v>65766</v>
      </c>
      <c r="D1390" t="s">
        <v>226</v>
      </c>
      <c r="E1390" s="7">
        <v>6640</v>
      </c>
      <c r="F1390" t="s">
        <v>20</v>
      </c>
      <c r="G1390" s="10" t="s">
        <v>21</v>
      </c>
      <c r="H1390" t="str">
        <f>"5250"</f>
        <v>5250</v>
      </c>
      <c r="I1390" t="str">
        <f>"WIATREK'S SERVICES"</f>
        <v>WIATREK'S SERVICES</v>
      </c>
    </row>
    <row r="1391" spans="1:9" x14ac:dyDescent="0.25">
      <c r="A1391" s="6">
        <v>44195</v>
      </c>
      <c r="B1391" t="s">
        <v>26</v>
      </c>
      <c r="C1391">
        <v>65767</v>
      </c>
      <c r="D1391" t="s">
        <v>345</v>
      </c>
      <c r="E1391" s="7">
        <v>165</v>
      </c>
      <c r="F1391" t="s">
        <v>20</v>
      </c>
      <c r="G1391" s="10" t="s">
        <v>21</v>
      </c>
      <c r="H1391" t="str">
        <f>"12/28/2020"</f>
        <v>12/28/2020</v>
      </c>
      <c r="I1391" t="str">
        <f>"MICHAEL ISAAC MARTINEZ"</f>
        <v>MICHAEL ISAAC MARTINEZ</v>
      </c>
    </row>
    <row r="1392" spans="1:9" x14ac:dyDescent="0.25">
      <c r="A1392" s="6">
        <v>44195</v>
      </c>
      <c r="B1392" t="s">
        <v>26</v>
      </c>
      <c r="C1392">
        <v>65768</v>
      </c>
      <c r="D1392" t="s">
        <v>103</v>
      </c>
      <c r="E1392" s="7">
        <v>76182.080000000002</v>
      </c>
      <c r="F1392" t="s">
        <v>20</v>
      </c>
      <c r="G1392" s="10" t="s">
        <v>21</v>
      </c>
      <c r="H1392" t="str">
        <f>"DEC. 2020SALES TAX"</f>
        <v>DEC. 2020SALES TAX</v>
      </c>
      <c r="I1392" t="str">
        <f>"F. E. D. C."</f>
        <v>F. E. D. C.</v>
      </c>
    </row>
    <row r="1393" spans="1:9" x14ac:dyDescent="0.25">
      <c r="A1393" s="6">
        <v>44202</v>
      </c>
      <c r="B1393" t="s">
        <v>26</v>
      </c>
      <c r="C1393">
        <v>65769</v>
      </c>
      <c r="D1393" t="s">
        <v>970</v>
      </c>
      <c r="E1393" s="7">
        <v>60</v>
      </c>
      <c r="F1393" t="s">
        <v>20</v>
      </c>
      <c r="G1393" s="10" t="s">
        <v>21</v>
      </c>
      <c r="H1393" t="str">
        <f>"01/02/2021"</f>
        <v>01/02/2021</v>
      </c>
      <c r="I1393" t="str">
        <f>"ABBYGAIL DELGADO"</f>
        <v>ABBYGAIL DELGADO</v>
      </c>
    </row>
    <row r="1394" spans="1:9" x14ac:dyDescent="0.25">
      <c r="A1394" s="6">
        <v>44202</v>
      </c>
      <c r="B1394" t="s">
        <v>26</v>
      </c>
      <c r="C1394">
        <v>65770</v>
      </c>
      <c r="D1394" t="s">
        <v>179</v>
      </c>
      <c r="E1394" s="7">
        <v>271.56</v>
      </c>
      <c r="F1394" t="s">
        <v>20</v>
      </c>
      <c r="G1394" s="10" t="s">
        <v>21</v>
      </c>
      <c r="H1394" t="str">
        <f>"61924"</f>
        <v>61924</v>
      </c>
      <c r="I1394" t="str">
        <f>"PD UNIT #323 REPAIR"</f>
        <v>PD UNIT #323 REPAIR</v>
      </c>
    </row>
    <row r="1395" spans="1:9" x14ac:dyDescent="0.25">
      <c r="A1395" s="6">
        <v>44202</v>
      </c>
      <c r="B1395" t="s">
        <v>26</v>
      </c>
      <c r="C1395">
        <v>65771</v>
      </c>
      <c r="D1395" t="s">
        <v>83</v>
      </c>
      <c r="E1395" s="7">
        <v>1080</v>
      </c>
      <c r="F1395" t="s">
        <v>20</v>
      </c>
      <c r="G1395" s="10" t="s">
        <v>21</v>
      </c>
      <c r="H1395" t="str">
        <f>"1416050"</f>
        <v>1416050</v>
      </c>
      <c r="I1395" t="str">
        <f>"APPRIVER"</f>
        <v>APPRIVER</v>
      </c>
    </row>
    <row r="1396" spans="1:9" x14ac:dyDescent="0.25">
      <c r="A1396" s="6">
        <v>44202</v>
      </c>
      <c r="B1396" t="s">
        <v>26</v>
      </c>
      <c r="C1396">
        <v>65772</v>
      </c>
      <c r="D1396" t="s">
        <v>821</v>
      </c>
      <c r="E1396" s="7">
        <v>945.32</v>
      </c>
      <c r="F1396" t="s">
        <v>20</v>
      </c>
      <c r="G1396" s="10" t="s">
        <v>21</v>
      </c>
      <c r="H1396" t="str">
        <f>"NSI11701"</f>
        <v>NSI11701</v>
      </c>
      <c r="I1396" t="str">
        <f>"BALDOR 3/4HP MOTOR"</f>
        <v>BALDOR 3/4HP MOTOR</v>
      </c>
    </row>
    <row r="1397" spans="1:9" x14ac:dyDescent="0.25">
      <c r="A1397" s="6">
        <v>44202</v>
      </c>
      <c r="B1397" t="s">
        <v>26</v>
      </c>
      <c r="C1397">
        <v>65773</v>
      </c>
      <c r="D1397" t="s">
        <v>38</v>
      </c>
      <c r="E1397" s="7">
        <v>100</v>
      </c>
      <c r="F1397" t="s">
        <v>20</v>
      </c>
      <c r="G1397" s="10" t="s">
        <v>21</v>
      </c>
      <c r="H1397" t="str">
        <f>"JANUARY 2021"</f>
        <v>JANUARY 2021</v>
      </c>
      <c r="I1397" t="str">
        <f>"CECELIA GONZALEZ-DIPPEL"</f>
        <v>CECELIA GONZALEZ-DIPPEL</v>
      </c>
    </row>
    <row r="1398" spans="1:9" x14ac:dyDescent="0.25">
      <c r="A1398" s="6">
        <v>44202</v>
      </c>
      <c r="B1398" t="s">
        <v>26</v>
      </c>
      <c r="C1398">
        <v>65774</v>
      </c>
      <c r="D1398" t="s">
        <v>63</v>
      </c>
      <c r="E1398" s="7">
        <v>1442.28</v>
      </c>
      <c r="F1398" t="s">
        <v>20</v>
      </c>
      <c r="G1398" s="10" t="s">
        <v>21</v>
      </c>
      <c r="H1398" t="str">
        <f>"8404936725"</f>
        <v>8404936725</v>
      </c>
      <c r="I1398" t="str">
        <f>"CINTAS CORPORATION"</f>
        <v>CINTAS CORPORATION</v>
      </c>
    </row>
    <row r="1399" spans="1:9" x14ac:dyDescent="0.25">
      <c r="A1399" s="6">
        <v>44202</v>
      </c>
      <c r="B1399" t="s">
        <v>26</v>
      </c>
      <c r="C1399">
        <v>65775</v>
      </c>
      <c r="D1399" t="s">
        <v>71</v>
      </c>
      <c r="E1399" s="7">
        <v>606.70000000000005</v>
      </c>
      <c r="F1399" t="s">
        <v>20</v>
      </c>
      <c r="G1399" s="10" t="s">
        <v>21</v>
      </c>
      <c r="H1399" t="str">
        <f>"4071402549"</f>
        <v>4071402549</v>
      </c>
      <c r="I1399" t="str">
        <f t="shared" ref="I1399:I1404" si="26">"CINTAS CORPORATION #087"</f>
        <v>CINTAS CORPORATION #087</v>
      </c>
    </row>
    <row r="1400" spans="1:9" x14ac:dyDescent="0.25">
      <c r="E1400" s="7"/>
      <c r="F1400" t="s">
        <v>20</v>
      </c>
      <c r="G1400" s="10" t="s">
        <v>21</v>
      </c>
      <c r="H1400" t="str">
        <f>"4071402585"</f>
        <v>4071402585</v>
      </c>
      <c r="I1400" t="str">
        <f t="shared" si="26"/>
        <v>CINTAS CORPORATION #087</v>
      </c>
    </row>
    <row r="1401" spans="1:9" x14ac:dyDescent="0.25">
      <c r="E1401" s="7"/>
      <c r="F1401" t="s">
        <v>20</v>
      </c>
      <c r="G1401" s="10" t="s">
        <v>21</v>
      </c>
      <c r="H1401" t="str">
        <f>"4071402597"</f>
        <v>4071402597</v>
      </c>
      <c r="I1401" t="str">
        <f t="shared" si="26"/>
        <v>CINTAS CORPORATION #087</v>
      </c>
    </row>
    <row r="1402" spans="1:9" x14ac:dyDescent="0.25">
      <c r="E1402" s="7"/>
      <c r="F1402" t="s">
        <v>20</v>
      </c>
      <c r="G1402" s="10" t="s">
        <v>21</v>
      </c>
      <c r="H1402" t="str">
        <f>"4071402607"</f>
        <v>4071402607</v>
      </c>
      <c r="I1402" t="str">
        <f t="shared" si="26"/>
        <v>CINTAS CORPORATION #087</v>
      </c>
    </row>
    <row r="1403" spans="1:9" x14ac:dyDescent="0.25">
      <c r="E1403" s="7"/>
      <c r="F1403" t="s">
        <v>20</v>
      </c>
      <c r="G1403" s="10" t="s">
        <v>21</v>
      </c>
      <c r="H1403" t="str">
        <f>"4071402623"</f>
        <v>4071402623</v>
      </c>
      <c r="I1403" t="str">
        <f t="shared" si="26"/>
        <v>CINTAS CORPORATION #087</v>
      </c>
    </row>
    <row r="1404" spans="1:9" x14ac:dyDescent="0.25">
      <c r="E1404" s="7"/>
      <c r="F1404" t="s">
        <v>20</v>
      </c>
      <c r="G1404" s="10" t="s">
        <v>21</v>
      </c>
      <c r="H1404" t="str">
        <f>"4071405234"</f>
        <v>4071405234</v>
      </c>
      <c r="I1404" t="str">
        <f t="shared" si="26"/>
        <v>CINTAS CORPORATION #087</v>
      </c>
    </row>
    <row r="1405" spans="1:9" x14ac:dyDescent="0.25">
      <c r="A1405" s="6">
        <v>44202</v>
      </c>
      <c r="B1405" t="s">
        <v>26</v>
      </c>
      <c r="C1405">
        <v>65777</v>
      </c>
      <c r="D1405" t="s">
        <v>0</v>
      </c>
      <c r="E1405" s="7">
        <v>2375.9</v>
      </c>
      <c r="F1405" t="s">
        <v>20</v>
      </c>
      <c r="G1405" s="10" t="s">
        <v>21</v>
      </c>
      <c r="H1405" t="str">
        <f>"11/10-12/10-2020"</f>
        <v>11/10-12/10-2020</v>
      </c>
      <c r="I1405" t="str">
        <f>"CITY OF FLORESVILLE"</f>
        <v>CITY OF FLORESVILLE</v>
      </c>
    </row>
    <row r="1406" spans="1:9" x14ac:dyDescent="0.25">
      <c r="A1406" s="6">
        <v>44202</v>
      </c>
      <c r="B1406" t="s">
        <v>26</v>
      </c>
      <c r="C1406">
        <v>65778</v>
      </c>
      <c r="D1406" t="s">
        <v>77</v>
      </c>
      <c r="E1406" s="7">
        <v>1796.4</v>
      </c>
      <c r="F1406" t="s">
        <v>20</v>
      </c>
      <c r="G1406" s="10" t="s">
        <v>21</v>
      </c>
      <c r="H1406" t="str">
        <f>"857002519-20"</f>
        <v>857002519-20</v>
      </c>
      <c r="I1406" t="str">
        <f>"CHLORINE FOR WW DEPT"</f>
        <v>CHLORINE FOR WW DEPT</v>
      </c>
    </row>
    <row r="1407" spans="1:9" x14ac:dyDescent="0.25">
      <c r="E1407" s="7"/>
      <c r="F1407" t="s">
        <v>20</v>
      </c>
      <c r="G1407" s="10" t="s">
        <v>21</v>
      </c>
      <c r="H1407" t="str">
        <f>"857002545-20"</f>
        <v>857002545-20</v>
      </c>
      <c r="I1407" t="str">
        <f>"CHLORINE FOR B AND HOSPIT"</f>
        <v>CHLORINE FOR B AND HOSPIT</v>
      </c>
    </row>
    <row r="1408" spans="1:9" x14ac:dyDescent="0.25">
      <c r="E1408" s="7"/>
      <c r="F1408" t="s">
        <v>20</v>
      </c>
      <c r="G1408" s="10" t="s">
        <v>21</v>
      </c>
      <c r="H1408" t="str">
        <f>"857002546-20"</f>
        <v>857002546-20</v>
      </c>
      <c r="I1408" t="str">
        <f>"CHLORINE FOR B AND HOSPIT"</f>
        <v>CHLORINE FOR B AND HOSPIT</v>
      </c>
    </row>
    <row r="1409" spans="1:9" x14ac:dyDescent="0.25">
      <c r="A1409" s="6">
        <v>44202</v>
      </c>
      <c r="B1409" t="s">
        <v>26</v>
      </c>
      <c r="C1409">
        <v>65779</v>
      </c>
      <c r="D1409" t="s">
        <v>64</v>
      </c>
      <c r="E1409" s="7">
        <v>4103.3999999999996</v>
      </c>
      <c r="F1409" t="s">
        <v>20</v>
      </c>
      <c r="G1409" s="10" t="s">
        <v>21</v>
      </c>
      <c r="H1409" t="str">
        <f>"8347"</f>
        <v>8347</v>
      </c>
      <c r="I1409" t="str">
        <f>"DREWA DESIGNS  INC."</f>
        <v>DREWA DESIGNS  INC.</v>
      </c>
    </row>
    <row r="1410" spans="1:9" x14ac:dyDescent="0.25">
      <c r="A1410" s="6">
        <v>44202</v>
      </c>
      <c r="B1410" t="s">
        <v>91</v>
      </c>
      <c r="C1410">
        <v>65780</v>
      </c>
      <c r="D1410" t="s">
        <v>1011</v>
      </c>
      <c r="E1410" s="7">
        <v>75</v>
      </c>
      <c r="F1410" t="s">
        <v>20</v>
      </c>
      <c r="G1410" s="10" t="s">
        <v>21</v>
      </c>
      <c r="H1410" t="str">
        <f>"JANUARY 2021"</f>
        <v>JANUARY 2021</v>
      </c>
      <c r="I1410" t="str">
        <f>"EDWARD ORTIZ"</f>
        <v>EDWARD ORTIZ</v>
      </c>
    </row>
    <row r="1411" spans="1:9" x14ac:dyDescent="0.25">
      <c r="A1411" s="6">
        <v>44202</v>
      </c>
      <c r="B1411" t="s">
        <v>91</v>
      </c>
      <c r="C1411">
        <v>65780</v>
      </c>
      <c r="D1411" t="s">
        <v>1011</v>
      </c>
      <c r="E1411" s="7">
        <v>75</v>
      </c>
      <c r="F1411" t="s">
        <v>20</v>
      </c>
      <c r="G1411" s="10" t="s">
        <v>93</v>
      </c>
      <c r="H1411" t="str">
        <f>"CHECK"</f>
        <v>CHECK</v>
      </c>
      <c r="I1411" t="str">
        <f>""</f>
        <v/>
      </c>
    </row>
    <row r="1412" spans="1:9" x14ac:dyDescent="0.25">
      <c r="A1412" s="6">
        <v>44202</v>
      </c>
      <c r="B1412" t="s">
        <v>26</v>
      </c>
      <c r="C1412">
        <v>65781</v>
      </c>
      <c r="D1412" t="s">
        <v>69</v>
      </c>
      <c r="E1412" s="7">
        <v>56.67</v>
      </c>
      <c r="F1412" t="s">
        <v>20</v>
      </c>
      <c r="G1412" s="10" t="s">
        <v>21</v>
      </c>
      <c r="H1412" t="str">
        <f>"3C04463"</f>
        <v>3C04463</v>
      </c>
      <c r="I1412" t="str">
        <f>"SHOP SUPPLIES"</f>
        <v>SHOP SUPPLIES</v>
      </c>
    </row>
    <row r="1413" spans="1:9" x14ac:dyDescent="0.25">
      <c r="A1413" s="6">
        <v>44202</v>
      </c>
      <c r="B1413" t="s">
        <v>26</v>
      </c>
      <c r="C1413">
        <v>65782</v>
      </c>
      <c r="D1413" t="s">
        <v>57</v>
      </c>
      <c r="E1413" s="7">
        <v>22869.439999999999</v>
      </c>
      <c r="F1413" t="s">
        <v>20</v>
      </c>
      <c r="G1413" s="10" t="s">
        <v>21</v>
      </c>
      <c r="H1413" t="str">
        <f>"11/16-12/15/2020"</f>
        <v>11/16-12/15/2020</v>
      </c>
      <c r="I1413" t="str">
        <f>"F.E.L.P.S."</f>
        <v>F.E.L.P.S.</v>
      </c>
    </row>
    <row r="1414" spans="1:9" x14ac:dyDescent="0.25">
      <c r="A1414" s="6">
        <v>44202</v>
      </c>
      <c r="B1414" t="s">
        <v>26</v>
      </c>
      <c r="C1414">
        <v>65783</v>
      </c>
      <c r="D1414" t="s">
        <v>79</v>
      </c>
      <c r="E1414" s="7">
        <v>37.74</v>
      </c>
      <c r="F1414" t="s">
        <v>20</v>
      </c>
      <c r="G1414" s="10" t="s">
        <v>21</v>
      </c>
      <c r="H1414" t="str">
        <f>"7-216-45763"</f>
        <v>7-216-45763</v>
      </c>
      <c r="I1414" t="str">
        <f>"FEDEX"</f>
        <v>FEDEX</v>
      </c>
    </row>
    <row r="1415" spans="1:9" x14ac:dyDescent="0.25">
      <c r="A1415" s="6">
        <v>44202</v>
      </c>
      <c r="B1415" t="s">
        <v>26</v>
      </c>
      <c r="C1415">
        <v>65784</v>
      </c>
      <c r="D1415" t="s">
        <v>59</v>
      </c>
      <c r="E1415" s="7">
        <v>709.68</v>
      </c>
      <c r="F1415" t="s">
        <v>20</v>
      </c>
      <c r="G1415" s="10" t="s">
        <v>21</v>
      </c>
      <c r="H1415" t="str">
        <f>"1094601-1"</f>
        <v>1094601-1</v>
      </c>
      <c r="I1415" t="str">
        <f>"FERGUSON WATERWORKS - MUNICIPA"</f>
        <v>FERGUSON WATERWORKS - MUNICIPA</v>
      </c>
    </row>
    <row r="1416" spans="1:9" x14ac:dyDescent="0.25">
      <c r="A1416" s="6">
        <v>44202</v>
      </c>
      <c r="B1416" t="s">
        <v>26</v>
      </c>
      <c r="C1416">
        <v>65785</v>
      </c>
      <c r="D1416" t="s">
        <v>85</v>
      </c>
      <c r="E1416" s="7">
        <v>1097.67</v>
      </c>
      <c r="F1416" t="s">
        <v>20</v>
      </c>
      <c r="G1416" s="10" t="s">
        <v>21</v>
      </c>
      <c r="H1416" t="str">
        <f>"2162691 DEC.2020"</f>
        <v>2162691 DEC.2020</v>
      </c>
      <c r="I1416" t="str">
        <f t="shared" ref="I1416:I1422" si="27">"FRONTIER"</f>
        <v>FRONTIER</v>
      </c>
    </row>
    <row r="1417" spans="1:9" x14ac:dyDescent="0.25">
      <c r="E1417" s="7"/>
      <c r="F1417" t="s">
        <v>20</v>
      </c>
      <c r="G1417" s="10" t="s">
        <v>21</v>
      </c>
      <c r="H1417" t="str">
        <f>"3932056 DEC.2020"</f>
        <v>3932056 DEC.2020</v>
      </c>
      <c r="I1417" t="str">
        <f t="shared" si="27"/>
        <v>FRONTIER</v>
      </c>
    </row>
    <row r="1418" spans="1:9" x14ac:dyDescent="0.25">
      <c r="E1418" s="7"/>
      <c r="F1418" t="s">
        <v>20</v>
      </c>
      <c r="G1418" s="10" t="s">
        <v>21</v>
      </c>
      <c r="H1418" t="str">
        <f>"3933186 DEC.2020"</f>
        <v>3933186 DEC.2020</v>
      </c>
      <c r="I1418" t="str">
        <f t="shared" si="27"/>
        <v>FRONTIER</v>
      </c>
    </row>
    <row r="1419" spans="1:9" x14ac:dyDescent="0.25">
      <c r="E1419" s="7"/>
      <c r="F1419" t="s">
        <v>20</v>
      </c>
      <c r="G1419" s="10" t="s">
        <v>21</v>
      </c>
      <c r="H1419" t="str">
        <f>"3933718 DEC.2020"</f>
        <v>3933718 DEC.2020</v>
      </c>
      <c r="I1419" t="str">
        <f t="shared" si="27"/>
        <v>FRONTIER</v>
      </c>
    </row>
    <row r="1420" spans="1:9" x14ac:dyDescent="0.25">
      <c r="E1420" s="7"/>
      <c r="F1420" t="s">
        <v>20</v>
      </c>
      <c r="G1420" s="10" t="s">
        <v>21</v>
      </c>
      <c r="H1420" t="str">
        <f>"3936616 DEC.2020"</f>
        <v>3936616 DEC.2020</v>
      </c>
      <c r="I1420" t="str">
        <f t="shared" si="27"/>
        <v>FRONTIER</v>
      </c>
    </row>
    <row r="1421" spans="1:9" x14ac:dyDescent="0.25">
      <c r="E1421" s="7"/>
      <c r="F1421" t="s">
        <v>20</v>
      </c>
      <c r="G1421" s="10" t="s">
        <v>21</v>
      </c>
      <c r="H1421" t="str">
        <f>"3939456 DEC.2020"</f>
        <v>3939456 DEC.2020</v>
      </c>
      <c r="I1421" t="str">
        <f t="shared" si="27"/>
        <v>FRONTIER</v>
      </c>
    </row>
    <row r="1422" spans="1:9" x14ac:dyDescent="0.25">
      <c r="E1422" s="7"/>
      <c r="F1422" t="s">
        <v>20</v>
      </c>
      <c r="G1422" s="10" t="s">
        <v>21</v>
      </c>
      <c r="H1422" t="str">
        <f>"8301970046 12/2020"</f>
        <v>8301970046 12/2020</v>
      </c>
      <c r="I1422" t="str">
        <f t="shared" si="27"/>
        <v>FRONTIER</v>
      </c>
    </row>
    <row r="1423" spans="1:9" x14ac:dyDescent="0.25">
      <c r="A1423" s="6">
        <v>44202</v>
      </c>
      <c r="B1423" t="s">
        <v>26</v>
      </c>
      <c r="C1423">
        <v>65787</v>
      </c>
      <c r="D1423" t="s">
        <v>36</v>
      </c>
      <c r="E1423" s="7">
        <v>75</v>
      </c>
      <c r="F1423" t="s">
        <v>20</v>
      </c>
      <c r="G1423" s="10" t="s">
        <v>21</v>
      </c>
      <c r="H1423" t="str">
        <f>"JANUARY 2021"</f>
        <v>JANUARY 2021</v>
      </c>
      <c r="I1423" t="str">
        <f>"GLORIA M. CANTU"</f>
        <v>GLORIA M. CANTU</v>
      </c>
    </row>
    <row r="1424" spans="1:9" x14ac:dyDescent="0.25">
      <c r="A1424" s="6">
        <v>44202</v>
      </c>
      <c r="B1424" t="s">
        <v>26</v>
      </c>
      <c r="C1424">
        <v>65788</v>
      </c>
      <c r="D1424" t="s">
        <v>637</v>
      </c>
      <c r="E1424" s="7">
        <v>75</v>
      </c>
      <c r="F1424" t="s">
        <v>20</v>
      </c>
      <c r="G1424" s="10" t="s">
        <v>21</v>
      </c>
      <c r="H1424" t="str">
        <f>"JANUARY 2021"</f>
        <v>JANUARY 2021</v>
      </c>
      <c r="I1424" t="str">
        <f>"GLORIA MARTINEZ"</f>
        <v>GLORIA MARTINEZ</v>
      </c>
    </row>
    <row r="1425" spans="1:9" x14ac:dyDescent="0.25">
      <c r="A1425" s="6">
        <v>44202</v>
      </c>
      <c r="B1425" t="s">
        <v>26</v>
      </c>
      <c r="C1425">
        <v>65789</v>
      </c>
      <c r="D1425" t="s">
        <v>426</v>
      </c>
      <c r="E1425" s="7">
        <v>1129.71</v>
      </c>
      <c r="F1425" t="s">
        <v>20</v>
      </c>
      <c r="G1425" s="10" t="s">
        <v>21</v>
      </c>
      <c r="H1425" t="str">
        <f>"INV0813060"</f>
        <v>INV0813060</v>
      </c>
      <c r="I1425" t="str">
        <f>"UNIFORMS FOR CHIEF"</f>
        <v>UNIFORMS FOR CHIEF</v>
      </c>
    </row>
    <row r="1426" spans="1:9" x14ac:dyDescent="0.25">
      <c r="E1426" s="7"/>
      <c r="F1426" t="s">
        <v>20</v>
      </c>
      <c r="G1426" s="10" t="s">
        <v>21</v>
      </c>
      <c r="H1426" t="str">
        <f>"INV0813064"</f>
        <v>INV0813064</v>
      </c>
      <c r="I1426" t="str">
        <f>"GT DISTRIBUTORS  INC."</f>
        <v>GT DISTRIBUTORS  INC.</v>
      </c>
    </row>
    <row r="1427" spans="1:9" x14ac:dyDescent="0.25">
      <c r="E1427" s="7"/>
      <c r="F1427" t="s">
        <v>20</v>
      </c>
      <c r="G1427" s="10" t="s">
        <v>21</v>
      </c>
      <c r="H1427" t="str">
        <f>"INV0813067"</f>
        <v>INV0813067</v>
      </c>
      <c r="I1427" t="str">
        <f>"DET.RODRIGUEZ UNIFORM"</f>
        <v>DET.RODRIGUEZ UNIFORM</v>
      </c>
    </row>
    <row r="1428" spans="1:9" x14ac:dyDescent="0.25">
      <c r="A1428" s="6">
        <v>44202</v>
      </c>
      <c r="B1428" t="s">
        <v>26</v>
      </c>
      <c r="C1428">
        <v>65790</v>
      </c>
      <c r="D1428" t="s">
        <v>889</v>
      </c>
      <c r="E1428" s="7">
        <v>75</v>
      </c>
      <c r="F1428" t="s">
        <v>20</v>
      </c>
      <c r="G1428" s="10" t="s">
        <v>21</v>
      </c>
      <c r="H1428" t="str">
        <f>"JANUARY 2021"</f>
        <v>JANUARY 2021</v>
      </c>
      <c r="I1428" t="str">
        <f>"JADE JIMENEZ"</f>
        <v>JADE JIMENEZ</v>
      </c>
    </row>
    <row r="1429" spans="1:9" x14ac:dyDescent="0.25">
      <c r="A1429" s="6">
        <v>44202</v>
      </c>
      <c r="B1429" t="s">
        <v>26</v>
      </c>
      <c r="C1429">
        <v>65791</v>
      </c>
      <c r="D1429" t="s">
        <v>177</v>
      </c>
      <c r="E1429" s="7">
        <v>250</v>
      </c>
      <c r="F1429" t="s">
        <v>20</v>
      </c>
      <c r="G1429" s="10" t="s">
        <v>21</v>
      </c>
      <c r="H1429" t="str">
        <f>"WC20-04"</f>
        <v>WC20-04</v>
      </c>
      <c r="I1429" t="str">
        <f>"JAN HARTL  WILSON COUNTY TREAS"</f>
        <v>JAN HARTL  WILSON COUNTY TREAS</v>
      </c>
    </row>
    <row r="1430" spans="1:9" x14ac:dyDescent="0.25">
      <c r="A1430" s="6">
        <v>44202</v>
      </c>
      <c r="B1430" t="s">
        <v>26</v>
      </c>
      <c r="C1430">
        <v>65792</v>
      </c>
      <c r="D1430" t="s">
        <v>986</v>
      </c>
      <c r="E1430" s="7">
        <v>1240</v>
      </c>
      <c r="F1430" t="s">
        <v>20</v>
      </c>
      <c r="G1430" s="10" t="s">
        <v>21</v>
      </c>
      <c r="H1430" t="str">
        <f>"12/16-01/04/2021"</f>
        <v>12/16-01/04/2021</v>
      </c>
      <c r="I1430" t="str">
        <f>"KERRY L. ESQUIVEL"</f>
        <v>KERRY L. ESQUIVEL</v>
      </c>
    </row>
    <row r="1431" spans="1:9" x14ac:dyDescent="0.25">
      <c r="A1431" s="6">
        <v>44202</v>
      </c>
      <c r="B1431" t="s">
        <v>26</v>
      </c>
      <c r="C1431">
        <v>65793</v>
      </c>
      <c r="D1431" t="s">
        <v>107</v>
      </c>
      <c r="E1431" s="7">
        <v>50.1</v>
      </c>
      <c r="F1431" t="s">
        <v>20</v>
      </c>
      <c r="G1431" s="10" t="s">
        <v>21</v>
      </c>
      <c r="H1431" t="str">
        <f>"1166960-20201130"</f>
        <v>1166960-20201130</v>
      </c>
      <c r="I1431" t="str">
        <f>"LEXISNEXIS RISK SOLUTIONS"</f>
        <v>LEXISNEXIS RISK SOLUTIONS</v>
      </c>
    </row>
    <row r="1432" spans="1:9" x14ac:dyDescent="0.25">
      <c r="A1432" s="6">
        <v>44202</v>
      </c>
      <c r="B1432" t="s">
        <v>26</v>
      </c>
      <c r="C1432">
        <v>65794</v>
      </c>
      <c r="D1432" t="s">
        <v>117</v>
      </c>
      <c r="E1432" s="7">
        <v>1296.94</v>
      </c>
      <c r="F1432" t="s">
        <v>20</v>
      </c>
      <c r="G1432" s="10" t="s">
        <v>21</v>
      </c>
      <c r="H1432" t="str">
        <f>"OCTOBER 2020"</f>
        <v>OCTOBER 2020</v>
      </c>
      <c r="I1432" t="str">
        <f>"LINEBARGER GOGGAN BLAIR &amp; SAMP"</f>
        <v>LINEBARGER GOGGAN BLAIR &amp; SAMP</v>
      </c>
    </row>
    <row r="1433" spans="1:9" x14ac:dyDescent="0.25">
      <c r="A1433" s="6">
        <v>44202</v>
      </c>
      <c r="B1433" t="s">
        <v>26</v>
      </c>
      <c r="C1433">
        <v>65795</v>
      </c>
      <c r="D1433" t="s">
        <v>66</v>
      </c>
      <c r="E1433" s="7">
        <v>502.88</v>
      </c>
      <c r="F1433" t="s">
        <v>20</v>
      </c>
      <c r="G1433" s="10" t="s">
        <v>21</v>
      </c>
      <c r="H1433" t="str">
        <f>"59768"</f>
        <v>59768</v>
      </c>
      <c r="I1433" t="str">
        <f>"LOPEZ EXTERMINATING SERVICE  I"</f>
        <v>LOPEZ EXTERMINATING SERVICE  I</v>
      </c>
    </row>
    <row r="1434" spans="1:9" x14ac:dyDescent="0.25">
      <c r="A1434" s="6">
        <v>44202</v>
      </c>
      <c r="B1434" t="s">
        <v>26</v>
      </c>
      <c r="C1434">
        <v>65796</v>
      </c>
      <c r="D1434" t="s">
        <v>105</v>
      </c>
      <c r="E1434" s="7">
        <v>7</v>
      </c>
      <c r="F1434" t="s">
        <v>20</v>
      </c>
      <c r="G1434" s="10" t="s">
        <v>21</v>
      </c>
      <c r="H1434" t="str">
        <f>"373948"</f>
        <v>373948</v>
      </c>
      <c r="I1434" t="str">
        <f>"LUBE WORKS"</f>
        <v>LUBE WORKS</v>
      </c>
    </row>
    <row r="1435" spans="1:9" x14ac:dyDescent="0.25">
      <c r="A1435" s="6">
        <v>44202</v>
      </c>
      <c r="B1435" t="s">
        <v>26</v>
      </c>
      <c r="C1435">
        <v>65797</v>
      </c>
      <c r="D1435" t="s">
        <v>80</v>
      </c>
      <c r="E1435" s="7">
        <v>1500</v>
      </c>
      <c r="F1435" t="s">
        <v>20</v>
      </c>
      <c r="G1435" s="10" t="s">
        <v>21</v>
      </c>
      <c r="H1435" t="str">
        <f>"1648-20210101-1"</f>
        <v>1648-20210101-1</v>
      </c>
      <c r="I1435" t="str">
        <f>"LVWIFI.COM"</f>
        <v>LVWIFI.COM</v>
      </c>
    </row>
    <row r="1436" spans="1:9" x14ac:dyDescent="0.25">
      <c r="E1436" s="7"/>
      <c r="F1436" t="s">
        <v>20</v>
      </c>
      <c r="G1436" s="10" t="s">
        <v>21</v>
      </c>
      <c r="H1436" t="str">
        <f>"2313-20210101-1"</f>
        <v>2313-20210101-1</v>
      </c>
      <c r="I1436" t="str">
        <f>"LVWIFI.COM"</f>
        <v>LVWIFI.COM</v>
      </c>
    </row>
    <row r="1437" spans="1:9" x14ac:dyDescent="0.25">
      <c r="A1437" s="6">
        <v>44202</v>
      </c>
      <c r="B1437" t="s">
        <v>26</v>
      </c>
      <c r="C1437">
        <v>65798</v>
      </c>
      <c r="D1437" t="s">
        <v>29</v>
      </c>
      <c r="E1437" s="7">
        <v>900</v>
      </c>
      <c r="F1437" t="s">
        <v>20</v>
      </c>
      <c r="G1437" s="10" t="s">
        <v>21</v>
      </c>
      <c r="H1437" t="str">
        <f>"48237"</f>
        <v>48237</v>
      </c>
      <c r="I1437" t="str">
        <f>"M &amp; S ENGINEERING  LLC"</f>
        <v>M &amp; S ENGINEERING  LLC</v>
      </c>
    </row>
    <row r="1438" spans="1:9" x14ac:dyDescent="0.25">
      <c r="E1438" s="7"/>
      <c r="F1438" t="s">
        <v>20</v>
      </c>
      <c r="G1438" s="10" t="s">
        <v>21</v>
      </c>
      <c r="H1438" t="str">
        <f>"48283"</f>
        <v>48283</v>
      </c>
      <c r="I1438" t="str">
        <f>"M &amp; S ENGINEERING  LLC"</f>
        <v>M &amp; S ENGINEERING  LLC</v>
      </c>
    </row>
    <row r="1439" spans="1:9" x14ac:dyDescent="0.25">
      <c r="A1439" s="6">
        <v>44202</v>
      </c>
      <c r="B1439" t="s">
        <v>26</v>
      </c>
      <c r="C1439">
        <v>65799</v>
      </c>
      <c r="D1439" t="s">
        <v>558</v>
      </c>
      <c r="E1439" s="7">
        <v>75</v>
      </c>
      <c r="F1439" t="s">
        <v>20</v>
      </c>
      <c r="G1439" s="10" t="s">
        <v>21</v>
      </c>
      <c r="H1439" t="str">
        <f>"JANUARY 2021"</f>
        <v>JANUARY 2021</v>
      </c>
      <c r="I1439" t="str">
        <f>"MARISSA XIMENEZ"</f>
        <v>MARISSA XIMENEZ</v>
      </c>
    </row>
    <row r="1440" spans="1:9" x14ac:dyDescent="0.25">
      <c r="A1440" s="6">
        <v>44202</v>
      </c>
      <c r="B1440" t="s">
        <v>26</v>
      </c>
      <c r="C1440">
        <v>65800</v>
      </c>
      <c r="D1440" t="s">
        <v>345</v>
      </c>
      <c r="E1440" s="7">
        <v>198</v>
      </c>
      <c r="F1440" t="s">
        <v>20</v>
      </c>
      <c r="G1440" s="10" t="s">
        <v>21</v>
      </c>
      <c r="H1440" t="str">
        <f>"01/04/2021"</f>
        <v>01/04/2021</v>
      </c>
      <c r="I1440" t="str">
        <f>"MICHAEL ISAAC MARTINEZ"</f>
        <v>MICHAEL ISAAC MARTINEZ</v>
      </c>
    </row>
    <row r="1441" spans="1:9" x14ac:dyDescent="0.25">
      <c r="A1441" s="6">
        <v>44202</v>
      </c>
      <c r="B1441" t="s">
        <v>26</v>
      </c>
      <c r="C1441">
        <v>65801</v>
      </c>
      <c r="D1441" t="s">
        <v>44</v>
      </c>
      <c r="E1441" s="7">
        <v>576.72</v>
      </c>
      <c r="F1441" t="s">
        <v>20</v>
      </c>
      <c r="G1441" s="10" t="s">
        <v>21</v>
      </c>
      <c r="H1441" t="str">
        <f>"ELEC LAW SEMINAR"</f>
        <v>ELEC LAW SEMINAR</v>
      </c>
      <c r="I1441" t="str">
        <f>"MONICA VELIZ"</f>
        <v>MONICA VELIZ</v>
      </c>
    </row>
    <row r="1442" spans="1:9" x14ac:dyDescent="0.25">
      <c r="A1442" s="6">
        <v>44202</v>
      </c>
      <c r="B1442" t="s">
        <v>26</v>
      </c>
      <c r="C1442">
        <v>65802</v>
      </c>
      <c r="D1442" t="s">
        <v>327</v>
      </c>
      <c r="E1442" s="7">
        <v>5.39</v>
      </c>
      <c r="F1442" t="s">
        <v>20</v>
      </c>
      <c r="G1442" s="10" t="s">
        <v>21</v>
      </c>
      <c r="H1442" t="str">
        <f>"1713"</f>
        <v>1713</v>
      </c>
      <c r="I1442" t="str">
        <f>"MOY'S WATER WELL SERVICES"</f>
        <v>MOY'S WATER WELL SERVICES</v>
      </c>
    </row>
    <row r="1443" spans="1:9" x14ac:dyDescent="0.25">
      <c r="A1443" s="6">
        <v>44202</v>
      </c>
      <c r="B1443" t="s">
        <v>26</v>
      </c>
      <c r="C1443">
        <v>65803</v>
      </c>
      <c r="D1443" t="s">
        <v>137</v>
      </c>
      <c r="E1443" s="7">
        <v>121.9</v>
      </c>
      <c r="F1443" t="s">
        <v>20</v>
      </c>
      <c r="G1443" s="10" t="s">
        <v>21</v>
      </c>
      <c r="H1443" t="str">
        <f>"19557"</f>
        <v>19557</v>
      </c>
      <c r="I1443" t="str">
        <f>"OMNIBUS-M  INC.D.B.A."</f>
        <v>OMNIBUS-M  INC.D.B.A.</v>
      </c>
    </row>
    <row r="1444" spans="1:9" x14ac:dyDescent="0.25">
      <c r="E1444" s="7"/>
      <c r="F1444" t="s">
        <v>20</v>
      </c>
      <c r="G1444" s="10" t="s">
        <v>21</v>
      </c>
      <c r="H1444" t="str">
        <f>"19558"</f>
        <v>19558</v>
      </c>
      <c r="I1444" t="str">
        <f>"OMNIBUS-M  INC.D.B.A."</f>
        <v>OMNIBUS-M  INC.D.B.A.</v>
      </c>
    </row>
    <row r="1445" spans="1:9" x14ac:dyDescent="0.25">
      <c r="A1445" s="6">
        <v>44202</v>
      </c>
      <c r="B1445" t="s">
        <v>26</v>
      </c>
      <c r="C1445">
        <v>65804</v>
      </c>
      <c r="D1445" t="s">
        <v>248</v>
      </c>
      <c r="E1445" s="7">
        <v>180</v>
      </c>
      <c r="F1445" t="s">
        <v>20</v>
      </c>
      <c r="G1445" s="10" t="s">
        <v>21</v>
      </c>
      <c r="H1445" t="str">
        <f>"1016996514"</f>
        <v>1016996514</v>
      </c>
      <c r="I1445" t="str">
        <f>"PITNEY BOWES"</f>
        <v>PITNEY BOWES</v>
      </c>
    </row>
    <row r="1446" spans="1:9" x14ac:dyDescent="0.25">
      <c r="A1446" s="6">
        <v>44202</v>
      </c>
      <c r="B1446" t="s">
        <v>26</v>
      </c>
      <c r="C1446">
        <v>65805</v>
      </c>
      <c r="D1446" t="s">
        <v>323</v>
      </c>
      <c r="E1446" s="7">
        <v>610</v>
      </c>
      <c r="F1446" t="s">
        <v>20</v>
      </c>
      <c r="G1446" s="10" t="s">
        <v>21</v>
      </c>
      <c r="H1446" t="str">
        <f>"UNIT 183"</f>
        <v>UNIT 183</v>
      </c>
      <c r="I1446" t="str">
        <f>"POLLOK SELF STORAGE LLC"</f>
        <v>POLLOK SELF STORAGE LLC</v>
      </c>
    </row>
    <row r="1447" spans="1:9" x14ac:dyDescent="0.25">
      <c r="E1447" s="7"/>
      <c r="F1447" t="s">
        <v>20</v>
      </c>
      <c r="G1447" s="10" t="s">
        <v>21</v>
      </c>
      <c r="H1447" t="str">
        <f>"UNIT 185"</f>
        <v>UNIT 185</v>
      </c>
      <c r="I1447" t="str">
        <f>"POLLOK SELF STORAGE LLC"</f>
        <v>POLLOK SELF STORAGE LLC</v>
      </c>
    </row>
    <row r="1448" spans="1:9" x14ac:dyDescent="0.25">
      <c r="E1448" s="7"/>
      <c r="F1448" t="s">
        <v>20</v>
      </c>
      <c r="G1448" s="10" t="s">
        <v>21</v>
      </c>
      <c r="H1448" t="str">
        <f>"UNIT 186"</f>
        <v>UNIT 186</v>
      </c>
      <c r="I1448" t="str">
        <f>"POLLOK SELF STORAGE LLC"</f>
        <v>POLLOK SELF STORAGE LLC</v>
      </c>
    </row>
    <row r="1449" spans="1:9" x14ac:dyDescent="0.25">
      <c r="E1449" s="7"/>
      <c r="F1449" t="s">
        <v>20</v>
      </c>
      <c r="G1449" s="10" t="s">
        <v>21</v>
      </c>
      <c r="H1449" t="str">
        <f>"UNIT 187"</f>
        <v>UNIT 187</v>
      </c>
      <c r="I1449" t="str">
        <f>"POLLOK SELF STORAGE LLC"</f>
        <v>POLLOK SELF STORAGE LLC</v>
      </c>
    </row>
    <row r="1450" spans="1:9" x14ac:dyDescent="0.25">
      <c r="A1450" s="6">
        <v>44202</v>
      </c>
      <c r="B1450" t="s">
        <v>26</v>
      </c>
      <c r="C1450">
        <v>65806</v>
      </c>
      <c r="D1450" t="s">
        <v>131</v>
      </c>
      <c r="E1450" s="7">
        <v>201.48</v>
      </c>
      <c r="F1450" t="s">
        <v>20</v>
      </c>
      <c r="G1450" s="10" t="s">
        <v>21</v>
      </c>
      <c r="H1450" t="str">
        <f>"055950"</f>
        <v>055950</v>
      </c>
      <c r="I1450" t="str">
        <f>"SHOP SUPPLIES"</f>
        <v>SHOP SUPPLIES</v>
      </c>
    </row>
    <row r="1451" spans="1:9" x14ac:dyDescent="0.25">
      <c r="E1451" s="7"/>
      <c r="F1451" t="s">
        <v>20</v>
      </c>
      <c r="G1451" s="10" t="s">
        <v>21</v>
      </c>
      <c r="H1451" t="str">
        <f>"055974"</f>
        <v>055974</v>
      </c>
      <c r="I1451" t="str">
        <f>"STARTER FOR SWEEPER"</f>
        <v>STARTER FOR SWEEPER</v>
      </c>
    </row>
    <row r="1452" spans="1:9" x14ac:dyDescent="0.25">
      <c r="E1452" s="7"/>
      <c r="F1452" t="s">
        <v>20</v>
      </c>
      <c r="G1452" s="10" t="s">
        <v>21</v>
      </c>
      <c r="H1452" t="str">
        <f>"3547814763"</f>
        <v>3547814763</v>
      </c>
      <c r="I1452" t="str">
        <f>"R &amp; S TEXAS PARTS CO"</f>
        <v>R &amp; S TEXAS PARTS CO</v>
      </c>
    </row>
    <row r="1453" spans="1:9" x14ac:dyDescent="0.25">
      <c r="A1453" s="6">
        <v>44202</v>
      </c>
      <c r="B1453" t="s">
        <v>26</v>
      </c>
      <c r="C1453">
        <v>65807</v>
      </c>
      <c r="D1453" t="s">
        <v>213</v>
      </c>
      <c r="E1453" s="7">
        <v>907.89</v>
      </c>
      <c r="F1453" t="s">
        <v>20</v>
      </c>
      <c r="G1453" s="10" t="s">
        <v>21</v>
      </c>
      <c r="H1453" t="str">
        <f>"APRIL/MAY 2020"</f>
        <v>APRIL/MAY 2020</v>
      </c>
      <c r="I1453" t="str">
        <f>"RIVER BEND COMMUNITY DEVELOPME"</f>
        <v>RIVER BEND COMMUNITY DEVELOPME</v>
      </c>
    </row>
    <row r="1454" spans="1:9" x14ac:dyDescent="0.25">
      <c r="A1454" s="6">
        <v>44202</v>
      </c>
      <c r="B1454" t="s">
        <v>26</v>
      </c>
      <c r="C1454">
        <v>65808</v>
      </c>
      <c r="D1454" t="s">
        <v>945</v>
      </c>
      <c r="E1454" s="7">
        <v>134</v>
      </c>
      <c r="F1454" t="s">
        <v>20</v>
      </c>
      <c r="G1454" s="10" t="s">
        <v>21</v>
      </c>
      <c r="H1454" t="str">
        <f>"4710089450"</f>
        <v>4710089450</v>
      </c>
      <c r="I1454" t="str">
        <f>"TIRES FOR PARKS TRAILER"</f>
        <v>TIRES FOR PARKS TRAILER</v>
      </c>
    </row>
    <row r="1455" spans="1:9" x14ac:dyDescent="0.25">
      <c r="A1455" s="6">
        <v>44202</v>
      </c>
      <c r="B1455" t="s">
        <v>26</v>
      </c>
      <c r="C1455">
        <v>65809</v>
      </c>
      <c r="D1455" t="s">
        <v>975</v>
      </c>
      <c r="E1455" s="7">
        <v>138.72</v>
      </c>
      <c r="F1455" t="s">
        <v>20</v>
      </c>
      <c r="G1455" s="10" t="s">
        <v>21</v>
      </c>
      <c r="H1455" t="str">
        <f>"P74843"</f>
        <v>P74843</v>
      </c>
      <c r="I1455" t="str">
        <f>"EZ REACHER FOR PARKS DEPT"</f>
        <v>EZ REACHER FOR PARKS DEPT</v>
      </c>
    </row>
    <row r="1456" spans="1:9" x14ac:dyDescent="0.25">
      <c r="A1456" s="6">
        <v>44202</v>
      </c>
      <c r="B1456" t="s">
        <v>26</v>
      </c>
      <c r="C1456">
        <v>65810</v>
      </c>
      <c r="D1456" t="s">
        <v>554</v>
      </c>
      <c r="E1456" s="7">
        <v>74.95</v>
      </c>
      <c r="F1456" t="s">
        <v>20</v>
      </c>
      <c r="G1456" s="10" t="s">
        <v>21</v>
      </c>
      <c r="H1456" t="str">
        <f>"AB1378"</f>
        <v>AB1378</v>
      </c>
      <c r="I1456" t="str">
        <f>"TEXAS WIRED MUSIC"</f>
        <v>TEXAS WIRED MUSIC</v>
      </c>
    </row>
    <row r="1457" spans="1:9" x14ac:dyDescent="0.25">
      <c r="A1457" s="6">
        <v>44202</v>
      </c>
      <c r="B1457" t="s">
        <v>26</v>
      </c>
      <c r="C1457">
        <v>65811</v>
      </c>
      <c r="D1457" t="s">
        <v>698</v>
      </c>
      <c r="E1457" s="7">
        <v>172.5</v>
      </c>
      <c r="F1457" t="s">
        <v>20</v>
      </c>
      <c r="G1457" s="10" t="s">
        <v>21</v>
      </c>
      <c r="H1457" t="str">
        <f>"12/29-01/03/2021"</f>
        <v>12/29-01/03/2021</v>
      </c>
      <c r="I1457" t="str">
        <f>"TRACY ORTIZ"</f>
        <v>TRACY ORTIZ</v>
      </c>
    </row>
    <row r="1458" spans="1:9" x14ac:dyDescent="0.25">
      <c r="A1458" s="6">
        <v>44202</v>
      </c>
      <c r="B1458" t="s">
        <v>91</v>
      </c>
      <c r="C1458">
        <v>65812</v>
      </c>
      <c r="D1458" t="s">
        <v>394</v>
      </c>
      <c r="E1458" s="7">
        <v>2409.91</v>
      </c>
      <c r="F1458" t="s">
        <v>20</v>
      </c>
      <c r="G1458" s="10" t="s">
        <v>21</v>
      </c>
      <c r="H1458" t="str">
        <f>"025-318029"</f>
        <v>025-318029</v>
      </c>
      <c r="I1458" t="str">
        <f>"U.S. UNDERWATER SERVICES  LLC"</f>
        <v>U.S. UNDERWATER SERVICES  LLC</v>
      </c>
    </row>
    <row r="1459" spans="1:9" x14ac:dyDescent="0.25">
      <c r="E1459" s="7"/>
      <c r="F1459" t="s">
        <v>20</v>
      </c>
      <c r="G1459" s="10" t="s">
        <v>21</v>
      </c>
      <c r="H1459" t="str">
        <f>"025-318030"</f>
        <v>025-318030</v>
      </c>
      <c r="I1459" t="str">
        <f>"U.S. UNDERWATER SERVICES  LLC"</f>
        <v>U.S. UNDERWATER SERVICES  LLC</v>
      </c>
    </row>
    <row r="1460" spans="1:9" x14ac:dyDescent="0.25">
      <c r="E1460" s="7"/>
      <c r="F1460" t="s">
        <v>20</v>
      </c>
      <c r="G1460" s="10" t="s">
        <v>21</v>
      </c>
      <c r="H1460" t="str">
        <f>"025-318512"</f>
        <v>025-318512</v>
      </c>
      <c r="I1460" t="str">
        <f>"U.S. UNDERWATER SERVICES  LLC"</f>
        <v>U.S. UNDERWATER SERVICES  LLC</v>
      </c>
    </row>
    <row r="1461" spans="1:9" x14ac:dyDescent="0.25">
      <c r="A1461" s="6">
        <v>44202</v>
      </c>
      <c r="B1461" t="s">
        <v>91</v>
      </c>
      <c r="C1461">
        <v>65812</v>
      </c>
      <c r="D1461" t="s">
        <v>394</v>
      </c>
      <c r="E1461" s="7">
        <v>2409.91</v>
      </c>
      <c r="F1461" t="s">
        <v>20</v>
      </c>
      <c r="G1461" s="10" t="s">
        <v>93</v>
      </c>
      <c r="H1461" t="str">
        <f>"CHECK"</f>
        <v>CHECK</v>
      </c>
      <c r="I1461" t="str">
        <f>""</f>
        <v/>
      </c>
    </row>
    <row r="1462" spans="1:9" x14ac:dyDescent="0.25">
      <c r="A1462" s="6">
        <v>44202</v>
      </c>
      <c r="B1462" t="s">
        <v>26</v>
      </c>
      <c r="C1462">
        <v>65813</v>
      </c>
      <c r="D1462" t="s">
        <v>644</v>
      </c>
      <c r="E1462" s="7">
        <v>497.24</v>
      </c>
      <c r="F1462" t="s">
        <v>20</v>
      </c>
      <c r="G1462" s="10" t="s">
        <v>21</v>
      </c>
      <c r="H1462" t="str">
        <f>"8213545386"</f>
        <v>8213545386</v>
      </c>
      <c r="I1462" t="str">
        <f t="shared" ref="I1462:I1468" si="28">"UNIFIRST CORPORATION"</f>
        <v>UNIFIRST CORPORATION</v>
      </c>
    </row>
    <row r="1463" spans="1:9" x14ac:dyDescent="0.25">
      <c r="E1463" s="7"/>
      <c r="F1463" t="s">
        <v>20</v>
      </c>
      <c r="G1463" s="10" t="s">
        <v>21</v>
      </c>
      <c r="H1463" t="str">
        <f>"8213545387"</f>
        <v>8213545387</v>
      </c>
      <c r="I1463" t="str">
        <f t="shared" si="28"/>
        <v>UNIFIRST CORPORATION</v>
      </c>
    </row>
    <row r="1464" spans="1:9" x14ac:dyDescent="0.25">
      <c r="E1464" s="7"/>
      <c r="F1464" t="s">
        <v>20</v>
      </c>
      <c r="G1464" s="10" t="s">
        <v>21</v>
      </c>
      <c r="H1464" t="str">
        <f>"8213545388"</f>
        <v>8213545388</v>
      </c>
      <c r="I1464" t="str">
        <f t="shared" si="28"/>
        <v>UNIFIRST CORPORATION</v>
      </c>
    </row>
    <row r="1465" spans="1:9" x14ac:dyDescent="0.25">
      <c r="E1465" s="7"/>
      <c r="F1465" t="s">
        <v>20</v>
      </c>
      <c r="G1465" s="10" t="s">
        <v>21</v>
      </c>
      <c r="H1465" t="str">
        <f>"8213545389"</f>
        <v>8213545389</v>
      </c>
      <c r="I1465" t="str">
        <f t="shared" si="28"/>
        <v>UNIFIRST CORPORATION</v>
      </c>
    </row>
    <row r="1466" spans="1:9" x14ac:dyDescent="0.25">
      <c r="E1466" s="7"/>
      <c r="F1466" t="s">
        <v>20</v>
      </c>
      <c r="G1466" s="10" t="s">
        <v>21</v>
      </c>
      <c r="H1466" t="str">
        <f>"8213545390"</f>
        <v>8213545390</v>
      </c>
      <c r="I1466" t="str">
        <f t="shared" si="28"/>
        <v>UNIFIRST CORPORATION</v>
      </c>
    </row>
    <row r="1467" spans="1:9" x14ac:dyDescent="0.25">
      <c r="E1467" s="7"/>
      <c r="F1467" t="s">
        <v>20</v>
      </c>
      <c r="G1467" s="10" t="s">
        <v>21</v>
      </c>
      <c r="H1467" t="str">
        <f>"8213545391"</f>
        <v>8213545391</v>
      </c>
      <c r="I1467" t="str">
        <f t="shared" si="28"/>
        <v>UNIFIRST CORPORATION</v>
      </c>
    </row>
    <row r="1468" spans="1:9" x14ac:dyDescent="0.25">
      <c r="E1468" s="7"/>
      <c r="F1468" t="s">
        <v>20</v>
      </c>
      <c r="G1468" s="10" t="s">
        <v>21</v>
      </c>
      <c r="H1468" t="str">
        <f>"8213545392"</f>
        <v>8213545392</v>
      </c>
      <c r="I1468" t="str">
        <f t="shared" si="28"/>
        <v>UNIFIRST CORPORATION</v>
      </c>
    </row>
    <row r="1469" spans="1:9" x14ac:dyDescent="0.25">
      <c r="A1469" s="6">
        <v>44202</v>
      </c>
      <c r="B1469" t="s">
        <v>26</v>
      </c>
      <c r="C1469">
        <v>65815</v>
      </c>
      <c r="D1469" t="s">
        <v>74</v>
      </c>
      <c r="E1469" s="7">
        <v>3052.57</v>
      </c>
      <c r="F1469" t="s">
        <v>20</v>
      </c>
      <c r="G1469" s="10" t="s">
        <v>21</v>
      </c>
      <c r="H1469" t="str">
        <f>"9869834150"</f>
        <v>9869834150</v>
      </c>
      <c r="I1469" t="str">
        <f>"VERIZON WIRELESS"</f>
        <v>VERIZON WIRELESS</v>
      </c>
    </row>
    <row r="1470" spans="1:9" x14ac:dyDescent="0.25">
      <c r="E1470" s="7"/>
      <c r="F1470" t="s">
        <v>20</v>
      </c>
      <c r="G1470" s="10" t="s">
        <v>21</v>
      </c>
      <c r="H1470" t="str">
        <f>"9869834151"</f>
        <v>9869834151</v>
      </c>
      <c r="I1470" t="str">
        <f>"VERIZON WIRELESS"</f>
        <v>VERIZON WIRELESS</v>
      </c>
    </row>
    <row r="1471" spans="1:9" x14ac:dyDescent="0.25">
      <c r="A1471" s="6">
        <v>44202</v>
      </c>
      <c r="B1471" t="s">
        <v>26</v>
      </c>
      <c r="C1471">
        <v>65817</v>
      </c>
      <c r="D1471" t="s">
        <v>122</v>
      </c>
      <c r="E1471" s="7">
        <v>30</v>
      </c>
      <c r="F1471" t="s">
        <v>20</v>
      </c>
      <c r="G1471" s="10" t="s">
        <v>21</v>
      </c>
      <c r="H1471" t="str">
        <f>"54526084"</f>
        <v>54526084</v>
      </c>
      <c r="I1471" t="str">
        <f>"VILLA TIRES"</f>
        <v>VILLA TIRES</v>
      </c>
    </row>
    <row r="1472" spans="1:9" x14ac:dyDescent="0.25">
      <c r="E1472" s="7"/>
      <c r="F1472" t="s">
        <v>20</v>
      </c>
      <c r="G1472" s="10" t="s">
        <v>21</v>
      </c>
      <c r="H1472" t="str">
        <f>"54526085"</f>
        <v>54526085</v>
      </c>
      <c r="I1472" t="str">
        <f>"VILLA TIRES"</f>
        <v>VILLA TIRES</v>
      </c>
    </row>
    <row r="1473" spans="1:9" x14ac:dyDescent="0.25">
      <c r="A1473" s="6">
        <v>44202</v>
      </c>
      <c r="B1473" t="s">
        <v>26</v>
      </c>
      <c r="C1473">
        <v>65818</v>
      </c>
      <c r="D1473" t="s">
        <v>202</v>
      </c>
      <c r="E1473" s="7">
        <v>1929.62</v>
      </c>
      <c r="F1473" t="s">
        <v>20</v>
      </c>
      <c r="G1473" s="10" t="s">
        <v>21</v>
      </c>
      <c r="H1473" t="str">
        <f>"62224289"</f>
        <v>62224289</v>
      </c>
      <c r="I1473" t="str">
        <f>"A-2 BASE FOR STREETS/WATE"</f>
        <v>A-2 BASE FOR STREETS/WATE</v>
      </c>
    </row>
    <row r="1474" spans="1:9" x14ac:dyDescent="0.25">
      <c r="A1474" s="6">
        <v>44202</v>
      </c>
      <c r="B1474" t="s">
        <v>26</v>
      </c>
      <c r="C1474">
        <v>65819</v>
      </c>
      <c r="D1474" t="s">
        <v>100</v>
      </c>
      <c r="E1474" s="7">
        <v>2500</v>
      </c>
      <c r="F1474" t="s">
        <v>20</v>
      </c>
      <c r="G1474" s="10" t="s">
        <v>21</v>
      </c>
      <c r="H1474" t="str">
        <f>"001"</f>
        <v>001</v>
      </c>
      <c r="I1474" t="str">
        <f>"GAONA &amp; SONS"</f>
        <v>GAONA &amp; SONS</v>
      </c>
    </row>
    <row r="1475" spans="1:9" x14ac:dyDescent="0.25">
      <c r="A1475" s="6">
        <v>44202</v>
      </c>
      <c r="B1475" t="s">
        <v>26</v>
      </c>
      <c r="C1475">
        <v>65820</v>
      </c>
      <c r="D1475" t="s">
        <v>213</v>
      </c>
      <c r="E1475" s="7">
        <v>83206.47</v>
      </c>
      <c r="F1475" t="s">
        <v>20</v>
      </c>
      <c r="G1475" s="10" t="s">
        <v>21</v>
      </c>
      <c r="H1475" t="str">
        <f>"JUNE-SEPT/OCT2020"</f>
        <v>JUNE-SEPT/OCT2020</v>
      </c>
      <c r="I1475" t="str">
        <f>"RIVER BEND COMMUNITY DEVELOPME"</f>
        <v>RIVER BEND COMMUNITY DEVELOPME</v>
      </c>
    </row>
    <row r="1476" spans="1:9" x14ac:dyDescent="0.25">
      <c r="A1476" s="6">
        <v>44202</v>
      </c>
      <c r="B1476" t="s">
        <v>26</v>
      </c>
      <c r="C1476">
        <v>65821</v>
      </c>
      <c r="D1476" t="s">
        <v>213</v>
      </c>
      <c r="E1476" s="7">
        <v>241925.3</v>
      </c>
      <c r="F1476" t="s">
        <v>20</v>
      </c>
      <c r="G1476" s="10" t="s">
        <v>21</v>
      </c>
      <c r="H1476" t="str">
        <f>"NOVEMBER 2020"</f>
        <v>NOVEMBER 2020</v>
      </c>
      <c r="I1476" t="str">
        <f>"RIVER BEND COMMUNITY DEVELOPME"</f>
        <v>RIVER BEND COMMUNITY DEVELOPME</v>
      </c>
    </row>
    <row r="1477" spans="1:9" x14ac:dyDescent="0.25">
      <c r="A1477" s="6">
        <v>44195</v>
      </c>
      <c r="B1477" t="s">
        <v>91</v>
      </c>
      <c r="C1477">
        <v>65822</v>
      </c>
      <c r="D1477" t="s">
        <v>252</v>
      </c>
      <c r="E1477" s="7">
        <v>79051.990000000005</v>
      </c>
      <c r="F1477" t="s">
        <v>20</v>
      </c>
      <c r="G1477" s="10" t="s">
        <v>21</v>
      </c>
      <c r="H1477" t="str">
        <f>"DRAW 3 FINAL"</f>
        <v>DRAW 3 FINAL</v>
      </c>
      <c r="I1477" t="str">
        <f>"RAM II GENERAL CONTRACTOR INC."</f>
        <v>RAM II GENERAL CONTRACTOR INC.</v>
      </c>
    </row>
    <row r="1478" spans="1:9" x14ac:dyDescent="0.25">
      <c r="A1478" s="6">
        <v>44195</v>
      </c>
      <c r="B1478" t="s">
        <v>91</v>
      </c>
      <c r="C1478">
        <v>65822</v>
      </c>
      <c r="D1478" t="s">
        <v>252</v>
      </c>
      <c r="E1478" s="7">
        <v>79051.990000000005</v>
      </c>
      <c r="F1478" t="s">
        <v>20</v>
      </c>
      <c r="G1478" s="10" t="s">
        <v>93</v>
      </c>
      <c r="H1478" t="str">
        <f>"CHECK"</f>
        <v>CHECK</v>
      </c>
      <c r="I1478" t="str">
        <f>""</f>
        <v/>
      </c>
    </row>
    <row r="1479" spans="1:9" x14ac:dyDescent="0.25">
      <c r="A1479" s="6">
        <v>44195</v>
      </c>
      <c r="B1479" t="s">
        <v>26</v>
      </c>
      <c r="C1479">
        <v>65823</v>
      </c>
      <c r="D1479" t="s">
        <v>252</v>
      </c>
      <c r="E1479" s="7">
        <v>79051.990000000005</v>
      </c>
      <c r="F1479" t="s">
        <v>20</v>
      </c>
      <c r="G1479" s="10" t="s">
        <v>21</v>
      </c>
      <c r="H1479" t="str">
        <f>"PAY APP #3 FINAL"</f>
        <v>PAY APP #3 FINAL</v>
      </c>
      <c r="I1479" t="str">
        <f>"RAM II GENERAL CONTRACTOR INC."</f>
        <v>RAM II GENERAL CONTRACTOR INC.</v>
      </c>
    </row>
    <row r="1480" spans="1:9" x14ac:dyDescent="0.25">
      <c r="A1480" s="6">
        <v>44202</v>
      </c>
      <c r="B1480" t="s">
        <v>26</v>
      </c>
      <c r="C1480">
        <v>65824</v>
      </c>
      <c r="D1480" t="s">
        <v>240</v>
      </c>
      <c r="E1480" s="7">
        <v>2605.71</v>
      </c>
      <c r="F1480" t="s">
        <v>20</v>
      </c>
      <c r="G1480" s="10" t="s">
        <v>21</v>
      </c>
      <c r="H1480" t="str">
        <f>"0200017-IN"</f>
        <v>0200017-IN</v>
      </c>
      <c r="I1480" t="str">
        <f>"D.ROMERO UNIFORM ALLOWANC"</f>
        <v>D.ROMERO UNIFORM ALLOWANC</v>
      </c>
    </row>
    <row r="1481" spans="1:9" x14ac:dyDescent="0.25">
      <c r="E1481" s="7"/>
      <c r="F1481" t="s">
        <v>20</v>
      </c>
      <c r="G1481" s="10" t="s">
        <v>21</v>
      </c>
      <c r="H1481" t="str">
        <f>"0200034-IN"</f>
        <v>0200034-IN</v>
      </c>
      <c r="I1481" t="str">
        <f>"VICTOR FAVELLA PD ALLOWAN"</f>
        <v>VICTOR FAVELLA PD ALLOWAN</v>
      </c>
    </row>
    <row r="1482" spans="1:9" x14ac:dyDescent="0.25">
      <c r="E1482" s="7"/>
      <c r="F1482" t="s">
        <v>20</v>
      </c>
      <c r="G1482" s="10" t="s">
        <v>21</v>
      </c>
      <c r="H1482" t="str">
        <f>"0200035-IN"</f>
        <v>0200035-IN</v>
      </c>
      <c r="I1482" t="str">
        <f>"ORTIZ UNIFORM ALLOWANCE"</f>
        <v>ORTIZ UNIFORM ALLOWANCE</v>
      </c>
    </row>
    <row r="1483" spans="1:9" x14ac:dyDescent="0.25">
      <c r="E1483" s="7"/>
      <c r="F1483" t="s">
        <v>20</v>
      </c>
      <c r="G1483" s="10" t="s">
        <v>21</v>
      </c>
      <c r="H1483" t="str">
        <f>"0200047-IN"</f>
        <v>0200047-IN</v>
      </c>
      <c r="I1483" t="str">
        <f>"R.GARCIA UNIFORM ALLOWANC"</f>
        <v>R.GARCIA UNIFORM ALLOWANC</v>
      </c>
    </row>
    <row r="1484" spans="1:9" x14ac:dyDescent="0.25">
      <c r="E1484" s="7"/>
      <c r="F1484" t="s">
        <v>20</v>
      </c>
      <c r="G1484" s="10" t="s">
        <v>21</v>
      </c>
      <c r="H1484" t="str">
        <f>"0200060"</f>
        <v>0200060</v>
      </c>
      <c r="I1484" t="str">
        <f>"NARDIS PUBLIC SAFETY"</f>
        <v>NARDIS PUBLIC SAFETY</v>
      </c>
    </row>
    <row r="1485" spans="1:9" x14ac:dyDescent="0.25">
      <c r="E1485" s="7"/>
      <c r="F1485" t="s">
        <v>20</v>
      </c>
      <c r="G1485" s="10" t="s">
        <v>21</v>
      </c>
      <c r="H1485" t="str">
        <f>"0200300-IN"</f>
        <v>0200300-IN</v>
      </c>
      <c r="I1485" t="str">
        <f>" P. BARRERA UNIFORM"</f>
        <v xml:space="preserve"> P. BARRERA UNIFORM</v>
      </c>
    </row>
    <row r="1486" spans="1:9" x14ac:dyDescent="0.25">
      <c r="A1486" s="6">
        <v>44202</v>
      </c>
      <c r="B1486" t="s">
        <v>26</v>
      </c>
      <c r="C1486">
        <v>65825</v>
      </c>
      <c r="D1486" t="s">
        <v>194</v>
      </c>
      <c r="E1486" s="7">
        <v>797.9</v>
      </c>
      <c r="F1486" t="s">
        <v>20</v>
      </c>
      <c r="G1486" s="10" t="s">
        <v>21</v>
      </c>
      <c r="H1486" t="str">
        <f>"016993051"</f>
        <v>016993051</v>
      </c>
      <c r="I1486" t="str">
        <f>"GALLS  LLC-D.B.A. STERLING'S U"</f>
        <v>GALLS  LLC-D.B.A. STERLING'S U</v>
      </c>
    </row>
    <row r="1487" spans="1:9" x14ac:dyDescent="0.25">
      <c r="E1487" s="7"/>
      <c r="F1487" t="s">
        <v>20</v>
      </c>
      <c r="G1487" s="10" t="s">
        <v>21</v>
      </c>
      <c r="H1487" t="str">
        <f>"017018709"</f>
        <v>017018709</v>
      </c>
      <c r="I1487" t="str">
        <f>"GALLS  LLC-D.B.A. STERLING'S U"</f>
        <v>GALLS  LLC-D.B.A. STERLING'S U</v>
      </c>
    </row>
    <row r="1488" spans="1:9" x14ac:dyDescent="0.25">
      <c r="E1488" s="7"/>
      <c r="F1488" t="s">
        <v>20</v>
      </c>
      <c r="G1488" s="10" t="s">
        <v>21</v>
      </c>
      <c r="H1488" t="str">
        <f>"017018717"</f>
        <v>017018717</v>
      </c>
      <c r="I1488" t="str">
        <f>"GALLS  LLC-D.B.A. STERLING'S U"</f>
        <v>GALLS  LLC-D.B.A. STERLING'S U</v>
      </c>
    </row>
    <row r="1489" spans="1:9" x14ac:dyDescent="0.25">
      <c r="E1489" s="7"/>
      <c r="F1489" t="s">
        <v>20</v>
      </c>
      <c r="G1489" s="10" t="s">
        <v>21</v>
      </c>
      <c r="H1489" t="str">
        <f>"017037367"</f>
        <v>017037367</v>
      </c>
      <c r="I1489" t="str">
        <f>"GALLS  LLC-D.B.A. STERLING'S U"</f>
        <v>GALLS  LLC-D.B.A. STERLING'S U</v>
      </c>
    </row>
    <row r="1490" spans="1:9" x14ac:dyDescent="0.25">
      <c r="E1490" s="7"/>
      <c r="F1490" t="s">
        <v>20</v>
      </c>
      <c r="G1490" s="10" t="s">
        <v>21</v>
      </c>
      <c r="H1490" t="str">
        <f>"017067015"</f>
        <v>017067015</v>
      </c>
      <c r="I1490" t="str">
        <f>"R. SUNIGA- BOOTS"</f>
        <v>R. SUNIGA- BOOTS</v>
      </c>
    </row>
    <row r="1491" spans="1:9" x14ac:dyDescent="0.25">
      <c r="A1491" s="6">
        <v>44202</v>
      </c>
      <c r="B1491" t="s">
        <v>26</v>
      </c>
      <c r="C1491">
        <v>65826</v>
      </c>
      <c r="D1491" t="s">
        <v>739</v>
      </c>
      <c r="E1491" s="7">
        <v>991.22</v>
      </c>
      <c r="F1491" t="s">
        <v>20</v>
      </c>
      <c r="G1491" s="10" t="s">
        <v>21</v>
      </c>
      <c r="H1491" t="str">
        <f>"5285X11272020"</f>
        <v>5285X11272020</v>
      </c>
      <c r="I1491" t="str">
        <f>"FIRSTNET/AT&amp;T MOBILITY LLC"</f>
        <v>FIRSTNET/AT&amp;T MOBILITY LLC</v>
      </c>
    </row>
    <row r="1492" spans="1:9" x14ac:dyDescent="0.25">
      <c r="A1492" s="6">
        <v>44204</v>
      </c>
      <c r="B1492" t="s">
        <v>26</v>
      </c>
      <c r="C1492">
        <v>65827</v>
      </c>
      <c r="D1492" t="s">
        <v>1011</v>
      </c>
      <c r="E1492" s="7">
        <v>75</v>
      </c>
      <c r="F1492" t="s">
        <v>20</v>
      </c>
      <c r="G1492" s="10" t="s">
        <v>21</v>
      </c>
      <c r="H1492" t="str">
        <f>"JANUARY 2021"</f>
        <v>JANUARY 2021</v>
      </c>
      <c r="I1492" t="str">
        <f>"EDWARD ORTIZ"</f>
        <v>EDWARD ORTIZ</v>
      </c>
    </row>
    <row r="1493" spans="1:9" x14ac:dyDescent="0.25">
      <c r="A1493" s="6">
        <v>44208</v>
      </c>
      <c r="B1493" t="s">
        <v>26</v>
      </c>
      <c r="C1493">
        <v>65832</v>
      </c>
      <c r="D1493" t="s">
        <v>51</v>
      </c>
      <c r="E1493" s="7">
        <v>327.84</v>
      </c>
      <c r="F1493" t="s">
        <v>20</v>
      </c>
      <c r="G1493" s="10" t="s">
        <v>21</v>
      </c>
      <c r="H1493" t="str">
        <f>"CLE202101128595"</f>
        <v>CLE202101128595</v>
      </c>
      <c r="I1493" t="str">
        <f>"CLEAT ONLY DUES"</f>
        <v>CLEAT ONLY DUES</v>
      </c>
    </row>
    <row r="1494" spans="1:9" x14ac:dyDescent="0.25">
      <c r="E1494" s="7"/>
      <c r="F1494" t="s">
        <v>20</v>
      </c>
      <c r="G1494" s="10" t="s">
        <v>21</v>
      </c>
      <c r="H1494" t="str">
        <f>"PDD202101128595"</f>
        <v>PDD202101128595</v>
      </c>
      <c r="I1494" t="str">
        <f>"POLICE OFFICERS ASSOC DUES"</f>
        <v>POLICE OFFICERS ASSOC DUES</v>
      </c>
    </row>
    <row r="1495" spans="1:9" x14ac:dyDescent="0.25">
      <c r="A1495" s="6">
        <v>44208</v>
      </c>
      <c r="B1495" t="s">
        <v>26</v>
      </c>
      <c r="C1495">
        <v>65833</v>
      </c>
      <c r="D1495" t="s">
        <v>52</v>
      </c>
      <c r="E1495" s="7">
        <v>405</v>
      </c>
      <c r="F1495" t="s">
        <v>20</v>
      </c>
      <c r="G1495" s="10" t="s">
        <v>21</v>
      </c>
      <c r="H1495" t="str">
        <f>"CA1202101128595"</f>
        <v>CA1202101128595</v>
      </c>
      <c r="I1495" t="str">
        <f>"K RAMIREZ 001200229510060343CV"</f>
        <v>K RAMIREZ 001200229510060343CV</v>
      </c>
    </row>
    <row r="1496" spans="1:9" x14ac:dyDescent="0.25">
      <c r="E1496" s="7"/>
      <c r="F1496" t="s">
        <v>20</v>
      </c>
      <c r="G1496" s="10" t="s">
        <v>21</v>
      </c>
      <c r="H1496" t="str">
        <f>"CA2202101128595"</f>
        <v>CA2202101128595</v>
      </c>
      <c r="I1496" t="str">
        <f>"L HERNANDEZ 001016025203080354"</f>
        <v>L HERNANDEZ 001016025203080354</v>
      </c>
    </row>
    <row r="1497" spans="1:9" x14ac:dyDescent="0.25">
      <c r="E1497" s="7"/>
      <c r="F1497" t="s">
        <v>20</v>
      </c>
      <c r="G1497" s="10" t="s">
        <v>21</v>
      </c>
      <c r="H1497" t="str">
        <f>"CA3202101128595"</f>
        <v>CA3202101128595</v>
      </c>
      <c r="I1497" t="str">
        <f>"00120788612011EM5023JOLENEGARC"</f>
        <v>00120788612011EM5023JOLENEGARC</v>
      </c>
    </row>
    <row r="1498" spans="1:9" x14ac:dyDescent="0.25">
      <c r="E1498" s="7"/>
      <c r="F1498" t="s">
        <v>20</v>
      </c>
      <c r="G1498" s="10" t="s">
        <v>21</v>
      </c>
      <c r="H1498" t="str">
        <f>"CSA202101128595"</f>
        <v>CSA202101128595</v>
      </c>
      <c r="I1498" t="str">
        <f>"S RODRIGUEZ 001281730413050336"</f>
        <v>S RODRIGUEZ 001281730413050336</v>
      </c>
    </row>
    <row r="1499" spans="1:9" x14ac:dyDescent="0.25">
      <c r="A1499" s="6">
        <v>44208</v>
      </c>
      <c r="B1499" t="s">
        <v>26</v>
      </c>
      <c r="C1499">
        <v>65834</v>
      </c>
      <c r="D1499" t="s">
        <v>54</v>
      </c>
      <c r="E1499" s="7">
        <v>1214.93</v>
      </c>
      <c r="F1499" t="s">
        <v>20</v>
      </c>
      <c r="G1499" s="10" t="s">
        <v>21</v>
      </c>
      <c r="H1499" t="str">
        <f>"457202101128595"</f>
        <v>457202101128595</v>
      </c>
      <c r="I1499" t="str">
        <f>"CASE # 180-60751 457B DEDUCT"</f>
        <v>CASE # 180-60751 457B DEDUCT</v>
      </c>
    </row>
    <row r="1500" spans="1:9" x14ac:dyDescent="0.25">
      <c r="A1500" s="6">
        <v>44208</v>
      </c>
      <c r="B1500" t="s">
        <v>26</v>
      </c>
      <c r="C1500">
        <v>65835</v>
      </c>
      <c r="D1500" t="s">
        <v>969</v>
      </c>
      <c r="E1500" s="7">
        <v>88.74</v>
      </c>
      <c r="F1500" t="s">
        <v>20</v>
      </c>
      <c r="G1500" s="10" t="s">
        <v>21</v>
      </c>
      <c r="H1500" t="str">
        <f>"ATG202101128595"</f>
        <v>ATG202101128595</v>
      </c>
      <c r="I1500" t="str">
        <f>"WG1910853 A. TREVINO"</f>
        <v>WG1910853 A. TREVINO</v>
      </c>
    </row>
    <row r="1501" spans="1:9" x14ac:dyDescent="0.25">
      <c r="A1501" s="6">
        <v>44209</v>
      </c>
      <c r="B1501" t="s">
        <v>26</v>
      </c>
      <c r="C1501">
        <v>65836</v>
      </c>
      <c r="D1501" t="s">
        <v>90</v>
      </c>
      <c r="E1501" s="7">
        <v>1636.56</v>
      </c>
      <c r="F1501" t="s">
        <v>20</v>
      </c>
      <c r="G1501" s="10" t="s">
        <v>24</v>
      </c>
      <c r="H1501" t="str">
        <f>"626070"</f>
        <v>626070</v>
      </c>
      <c r="I1501" t="str">
        <f>"AFLAC"</f>
        <v>AFLAC</v>
      </c>
    </row>
    <row r="1502" spans="1:9" x14ac:dyDescent="0.25">
      <c r="E1502" s="7"/>
      <c r="F1502" t="s">
        <v>20</v>
      </c>
      <c r="G1502" s="10" t="s">
        <v>21</v>
      </c>
      <c r="H1502" t="str">
        <f>"ACA202012158592"</f>
        <v>ACA202012158592</v>
      </c>
      <c r="I1502" t="str">
        <f>"AFLAC INSURANCE"</f>
        <v>AFLAC INSURANCE</v>
      </c>
    </row>
    <row r="1503" spans="1:9" x14ac:dyDescent="0.25">
      <c r="E1503" s="7"/>
      <c r="F1503" t="s">
        <v>20</v>
      </c>
      <c r="G1503" s="10" t="s">
        <v>21</v>
      </c>
      <c r="H1503" t="str">
        <f>"ACA202012288594"</f>
        <v>ACA202012288594</v>
      </c>
      <c r="I1503" t="str">
        <f>"AFLAC INSURANCE"</f>
        <v>AFLAC INSURANCE</v>
      </c>
    </row>
    <row r="1504" spans="1:9" x14ac:dyDescent="0.25">
      <c r="E1504" s="7"/>
      <c r="F1504" t="s">
        <v>20</v>
      </c>
      <c r="G1504" s="10" t="s">
        <v>21</v>
      </c>
      <c r="H1504" t="str">
        <f>"ADR202012158592"</f>
        <v>ADR202012158592</v>
      </c>
      <c r="I1504" t="str">
        <f>"INSURANCE"</f>
        <v>INSURANCE</v>
      </c>
    </row>
    <row r="1505" spans="1:9" x14ac:dyDescent="0.25">
      <c r="E1505" s="7"/>
      <c r="F1505" t="s">
        <v>20</v>
      </c>
      <c r="G1505" s="10" t="s">
        <v>21</v>
      </c>
      <c r="H1505" t="str">
        <f>"ADR202012288594"</f>
        <v>ADR202012288594</v>
      </c>
      <c r="I1505" t="str">
        <f>"INSURANCE"</f>
        <v>INSURANCE</v>
      </c>
    </row>
    <row r="1506" spans="1:9" x14ac:dyDescent="0.25">
      <c r="E1506" s="7"/>
      <c r="F1506" t="s">
        <v>20</v>
      </c>
      <c r="G1506" s="10" t="s">
        <v>21</v>
      </c>
      <c r="H1506" t="str">
        <f>"AF1202012018591"</f>
        <v>AF1202012018591</v>
      </c>
      <c r="I1506" t="str">
        <f>"AFLAC INSURANCE"</f>
        <v>AFLAC INSURANCE</v>
      </c>
    </row>
    <row r="1507" spans="1:9" x14ac:dyDescent="0.25">
      <c r="E1507" s="7"/>
      <c r="F1507" t="s">
        <v>20</v>
      </c>
      <c r="G1507" s="10" t="s">
        <v>21</v>
      </c>
      <c r="H1507" t="str">
        <f>"AF1202012288594"</f>
        <v>AF1202012288594</v>
      </c>
      <c r="I1507" t="str">
        <f>"AFLAC INSURANCE"</f>
        <v>AFLAC INSURANCE</v>
      </c>
    </row>
    <row r="1508" spans="1:9" x14ac:dyDescent="0.25">
      <c r="E1508" s="7"/>
      <c r="F1508" t="s">
        <v>20</v>
      </c>
      <c r="G1508" s="10" t="s">
        <v>21</v>
      </c>
      <c r="H1508" t="str">
        <f>"AFS202012158592"</f>
        <v>AFS202012158592</v>
      </c>
      <c r="I1508" t="str">
        <f>"AFLAC STD"</f>
        <v>AFLAC STD</v>
      </c>
    </row>
    <row r="1509" spans="1:9" x14ac:dyDescent="0.25">
      <c r="E1509" s="7"/>
      <c r="F1509" t="s">
        <v>20</v>
      </c>
      <c r="G1509" s="10" t="s">
        <v>21</v>
      </c>
      <c r="H1509" t="str">
        <f>"AFS202012288594"</f>
        <v>AFS202012288594</v>
      </c>
      <c r="I1509" t="str">
        <f>"AFLAC STD"</f>
        <v>AFLAC STD</v>
      </c>
    </row>
    <row r="1510" spans="1:9" x14ac:dyDescent="0.25">
      <c r="E1510" s="7"/>
      <c r="F1510" t="s">
        <v>20</v>
      </c>
      <c r="G1510" s="10" t="s">
        <v>21</v>
      </c>
      <c r="H1510" t="str">
        <f>"ASP202012158592"</f>
        <v>ASP202012158592</v>
      </c>
      <c r="I1510" t="str">
        <f>"AFLAC INSURANCE"</f>
        <v>AFLAC INSURANCE</v>
      </c>
    </row>
    <row r="1511" spans="1:9" x14ac:dyDescent="0.25">
      <c r="E1511" s="7"/>
      <c r="F1511" t="s">
        <v>20</v>
      </c>
      <c r="G1511" s="10" t="s">
        <v>21</v>
      </c>
      <c r="H1511" t="str">
        <f>"ASP202012288594"</f>
        <v>ASP202012288594</v>
      </c>
      <c r="I1511" t="str">
        <f>"AFLAC INSURANCE"</f>
        <v>AFLAC INSURANCE</v>
      </c>
    </row>
    <row r="1512" spans="1:9" x14ac:dyDescent="0.25">
      <c r="E1512" s="7"/>
      <c r="F1512" t="s">
        <v>20</v>
      </c>
      <c r="G1512" s="10" t="s">
        <v>21</v>
      </c>
      <c r="H1512" t="str">
        <f>"HCO202012158592"</f>
        <v>HCO202012158592</v>
      </c>
      <c r="I1512" t="str">
        <f>"AFLAC INSURANCE"</f>
        <v>AFLAC INSURANCE</v>
      </c>
    </row>
    <row r="1513" spans="1:9" x14ac:dyDescent="0.25">
      <c r="E1513" s="7"/>
      <c r="F1513" t="s">
        <v>20</v>
      </c>
      <c r="G1513" s="10" t="s">
        <v>21</v>
      </c>
      <c r="H1513" t="str">
        <f>"HCO202012288594"</f>
        <v>HCO202012288594</v>
      </c>
      <c r="I1513" t="str">
        <f>"AFLAC INSURANCE"</f>
        <v>AFLAC INSURANCE</v>
      </c>
    </row>
    <row r="1514" spans="1:9" x14ac:dyDescent="0.25">
      <c r="A1514" s="6">
        <v>44209</v>
      </c>
      <c r="B1514" t="s">
        <v>26</v>
      </c>
      <c r="C1514">
        <v>65842</v>
      </c>
      <c r="D1514" t="s">
        <v>95</v>
      </c>
      <c r="E1514" s="7">
        <v>25.32</v>
      </c>
      <c r="F1514" t="s">
        <v>20</v>
      </c>
      <c r="G1514" s="10" t="s">
        <v>21</v>
      </c>
      <c r="H1514" t="str">
        <f>"LEA202012158592"</f>
        <v>LEA202012158592</v>
      </c>
      <c r="I1514" t="str">
        <f>"INSURANCE"</f>
        <v>INSURANCE</v>
      </c>
    </row>
    <row r="1515" spans="1:9" x14ac:dyDescent="0.25">
      <c r="E1515" s="7"/>
      <c r="F1515" t="s">
        <v>20</v>
      </c>
      <c r="G1515" s="10" t="s">
        <v>21</v>
      </c>
      <c r="H1515" t="str">
        <f>"LEA202012288594"</f>
        <v>LEA202012288594</v>
      </c>
      <c r="I1515" t="str">
        <f>"INSURANCE"</f>
        <v>INSURANCE</v>
      </c>
    </row>
    <row r="1516" spans="1:9" x14ac:dyDescent="0.25">
      <c r="A1516" s="6">
        <v>44209</v>
      </c>
      <c r="B1516" t="s">
        <v>26</v>
      </c>
      <c r="C1516">
        <v>65843</v>
      </c>
      <c r="D1516" t="s">
        <v>96</v>
      </c>
      <c r="E1516" s="7">
        <v>225.2</v>
      </c>
      <c r="F1516" t="s">
        <v>20</v>
      </c>
      <c r="G1516" s="10" t="s">
        <v>329</v>
      </c>
      <c r="H1516" t="str">
        <f>"12/15/2020"</f>
        <v>12/15/2020</v>
      </c>
      <c r="I1516" t="str">
        <f>"LEGALSHIELD"</f>
        <v>LEGALSHIELD</v>
      </c>
    </row>
    <row r="1517" spans="1:9" x14ac:dyDescent="0.25">
      <c r="E1517" s="7"/>
      <c r="F1517" t="s">
        <v>20</v>
      </c>
      <c r="G1517" s="10" t="s">
        <v>21</v>
      </c>
      <c r="H1517" t="str">
        <f>"PPL202012158592"</f>
        <v>PPL202012158592</v>
      </c>
      <c r="I1517" t="str">
        <f>"INSURANCE"</f>
        <v>INSURANCE</v>
      </c>
    </row>
    <row r="1518" spans="1:9" x14ac:dyDescent="0.25">
      <c r="E1518" s="7"/>
      <c r="F1518" t="s">
        <v>20</v>
      </c>
      <c r="G1518" s="10" t="s">
        <v>21</v>
      </c>
      <c r="H1518" t="str">
        <f>"PPL202012288594"</f>
        <v>PPL202012288594</v>
      </c>
      <c r="I1518" t="str">
        <f>"INSURANCE"</f>
        <v>INSURANCE</v>
      </c>
    </row>
    <row r="1519" spans="1:9" x14ac:dyDescent="0.25">
      <c r="A1519" s="6">
        <v>44209</v>
      </c>
      <c r="B1519" t="s">
        <v>26</v>
      </c>
      <c r="C1519">
        <v>65845</v>
      </c>
      <c r="D1519" t="s">
        <v>97</v>
      </c>
      <c r="E1519" s="7">
        <v>39417.64</v>
      </c>
      <c r="F1519" t="s">
        <v>20</v>
      </c>
      <c r="G1519" s="10" t="s">
        <v>24</v>
      </c>
      <c r="H1519" t="str">
        <f>"01/01-02/01/2021"</f>
        <v>01/01-02/01/2021</v>
      </c>
      <c r="I1519" t="str">
        <f>"HEALTH CARE SERVICE CORPORATIO"</f>
        <v>HEALTH CARE SERVICE CORPORATIO</v>
      </c>
    </row>
    <row r="1520" spans="1:9" x14ac:dyDescent="0.25">
      <c r="E1520" s="7"/>
      <c r="F1520" t="s">
        <v>20</v>
      </c>
      <c r="G1520" s="10" t="s">
        <v>21</v>
      </c>
      <c r="H1520" t="str">
        <f>"DEN202012018591"</f>
        <v>DEN202012018591</v>
      </c>
      <c r="I1520" t="str">
        <f>"DENTAL INSURANCE"</f>
        <v>DENTAL INSURANCE</v>
      </c>
    </row>
    <row r="1521" spans="1:9" x14ac:dyDescent="0.25">
      <c r="E1521" s="7"/>
      <c r="F1521" t="s">
        <v>20</v>
      </c>
      <c r="G1521" s="10" t="s">
        <v>21</v>
      </c>
      <c r="H1521" t="str">
        <f>"DEN202012288594"</f>
        <v>DEN202012288594</v>
      </c>
      <c r="I1521" t="str">
        <f>"DENTAL INSURANCE"</f>
        <v>DENTAL INSURANCE</v>
      </c>
    </row>
    <row r="1522" spans="1:9" x14ac:dyDescent="0.25">
      <c r="E1522" s="7"/>
      <c r="F1522" t="s">
        <v>20</v>
      </c>
      <c r="G1522" s="10" t="s">
        <v>21</v>
      </c>
      <c r="H1522" t="str">
        <f>"MED202012018591"</f>
        <v>MED202012018591</v>
      </c>
      <c r="I1522" t="str">
        <f>"HEALTH &amp; DENTAL INSURANCE"</f>
        <v>HEALTH &amp; DENTAL INSURANCE</v>
      </c>
    </row>
    <row r="1523" spans="1:9" x14ac:dyDescent="0.25">
      <c r="E1523" s="7"/>
      <c r="F1523" t="s">
        <v>20</v>
      </c>
      <c r="G1523" s="10" t="s">
        <v>21</v>
      </c>
      <c r="H1523" t="str">
        <f>"MED202012158592"</f>
        <v>MED202012158592</v>
      </c>
      <c r="I1523" t="str">
        <f>"HEALTH &amp; DENTAL INSURANCE"</f>
        <v>HEALTH &amp; DENTAL INSURANCE</v>
      </c>
    </row>
    <row r="1524" spans="1:9" x14ac:dyDescent="0.25">
      <c r="A1524" s="6">
        <v>44209</v>
      </c>
      <c r="B1524" t="s">
        <v>26</v>
      </c>
      <c r="C1524">
        <v>65850</v>
      </c>
      <c r="D1524" t="s">
        <v>98</v>
      </c>
      <c r="E1524" s="7">
        <v>3415.57</v>
      </c>
      <c r="F1524" t="s">
        <v>20</v>
      </c>
      <c r="G1524" s="10" t="s">
        <v>329</v>
      </c>
      <c r="H1524" t="str">
        <f>"01/01- 1/31/2021"</f>
        <v>01/01- 1/31/2021</v>
      </c>
      <c r="I1524" t="str">
        <f>"DEARBORN LIFE INSURANCE COMPAN"</f>
        <v>DEARBORN LIFE INSURANCE COMPAN</v>
      </c>
    </row>
    <row r="1525" spans="1:9" x14ac:dyDescent="0.25">
      <c r="E1525" s="7"/>
      <c r="F1525" t="s">
        <v>20</v>
      </c>
      <c r="G1525" s="10" t="s">
        <v>21</v>
      </c>
      <c r="H1525" t="str">
        <f>"STD202012158592"</f>
        <v>STD202012158592</v>
      </c>
      <c r="I1525" t="str">
        <f>"SHORT TERM DISABILITY"</f>
        <v>SHORT TERM DISABILITY</v>
      </c>
    </row>
    <row r="1526" spans="1:9" x14ac:dyDescent="0.25">
      <c r="E1526" s="7"/>
      <c r="F1526" t="s">
        <v>20</v>
      </c>
      <c r="G1526" s="10" t="s">
        <v>21</v>
      </c>
      <c r="H1526" t="str">
        <f>"STD202012288594"</f>
        <v>STD202012288594</v>
      </c>
      <c r="I1526" t="str">
        <f>"SHORT TERM DISABILITY"</f>
        <v>SHORT TERM DISABILITY</v>
      </c>
    </row>
    <row r="1527" spans="1:9" x14ac:dyDescent="0.25">
      <c r="E1527" s="7"/>
      <c r="F1527" t="s">
        <v>20</v>
      </c>
      <c r="G1527" s="10" t="s">
        <v>21</v>
      </c>
      <c r="H1527" t="str">
        <f>"VIS202012018591"</f>
        <v>VIS202012018591</v>
      </c>
      <c r="I1527" t="str">
        <f>"VISION INSURANCE"</f>
        <v>VISION INSURANCE</v>
      </c>
    </row>
    <row r="1528" spans="1:9" x14ac:dyDescent="0.25">
      <c r="E1528" s="7"/>
      <c r="F1528" t="s">
        <v>20</v>
      </c>
      <c r="G1528" s="10" t="s">
        <v>21</v>
      </c>
      <c r="H1528" t="str">
        <f>"VIS202012158592"</f>
        <v>VIS202012158592</v>
      </c>
      <c r="I1528" t="str">
        <f>"VISION INSURANCE"</f>
        <v>VISION INSURANCE</v>
      </c>
    </row>
    <row r="1529" spans="1:9" x14ac:dyDescent="0.25">
      <c r="E1529" s="7"/>
      <c r="F1529" t="s">
        <v>20</v>
      </c>
      <c r="G1529" s="10" t="s">
        <v>21</v>
      </c>
      <c r="H1529" t="str">
        <f>"VLC202012018591"</f>
        <v>VLC202012018591</v>
      </c>
      <c r="I1529" t="str">
        <f>"CHILD LIFE INSURANCE"</f>
        <v>CHILD LIFE INSURANCE</v>
      </c>
    </row>
    <row r="1530" spans="1:9" x14ac:dyDescent="0.25">
      <c r="E1530" s="7"/>
      <c r="F1530" t="s">
        <v>20</v>
      </c>
      <c r="G1530" s="10" t="s">
        <v>21</v>
      </c>
      <c r="H1530" t="str">
        <f>"VLC202012158592"</f>
        <v>VLC202012158592</v>
      </c>
      <c r="I1530" t="str">
        <f>"CHILD LIFE INSURANCE"</f>
        <v>CHILD LIFE INSURANCE</v>
      </c>
    </row>
    <row r="1531" spans="1:9" x14ac:dyDescent="0.25">
      <c r="E1531" s="7"/>
      <c r="F1531" t="s">
        <v>20</v>
      </c>
      <c r="G1531" s="10" t="s">
        <v>21</v>
      </c>
      <c r="H1531" t="str">
        <f>"VLS202012158592"</f>
        <v>VLS202012158592</v>
      </c>
      <c r="I1531" t="str">
        <f>"SPOUSE LIFE"</f>
        <v>SPOUSE LIFE</v>
      </c>
    </row>
    <row r="1532" spans="1:9" x14ac:dyDescent="0.25">
      <c r="E1532" s="7"/>
      <c r="F1532" t="s">
        <v>20</v>
      </c>
      <c r="G1532" s="10" t="s">
        <v>21</v>
      </c>
      <c r="H1532" t="str">
        <f>"VLS202012288594"</f>
        <v>VLS202012288594</v>
      </c>
      <c r="I1532" t="str">
        <f>"SPOUSE LIFE"</f>
        <v>SPOUSE LIFE</v>
      </c>
    </row>
    <row r="1533" spans="1:9" x14ac:dyDescent="0.25">
      <c r="E1533" s="7"/>
      <c r="F1533" t="s">
        <v>20</v>
      </c>
      <c r="G1533" s="10" t="s">
        <v>21</v>
      </c>
      <c r="H1533" t="str">
        <f>"VOE202012158592"</f>
        <v>VOE202012158592</v>
      </c>
      <c r="I1533" t="str">
        <f>"EMPLOYEE LIFE"</f>
        <v>EMPLOYEE LIFE</v>
      </c>
    </row>
    <row r="1534" spans="1:9" x14ac:dyDescent="0.25">
      <c r="E1534" s="7"/>
      <c r="F1534" t="s">
        <v>20</v>
      </c>
      <c r="G1534" s="10" t="s">
        <v>21</v>
      </c>
      <c r="H1534" t="str">
        <f>"VOE202012288594"</f>
        <v>VOE202012288594</v>
      </c>
      <c r="I1534" t="str">
        <f>"EMPLOYEE LIFE"</f>
        <v>EMPLOYEE LIFE</v>
      </c>
    </row>
    <row r="1535" spans="1:9" x14ac:dyDescent="0.25">
      <c r="E1535" s="7"/>
      <c r="F1535" t="s">
        <v>20</v>
      </c>
      <c r="G1535" s="10" t="s">
        <v>21</v>
      </c>
      <c r="H1535" t="str">
        <f>"VOL202012018591"</f>
        <v>VOL202012018591</v>
      </c>
      <c r="I1535" t="str">
        <f>"LIFE"</f>
        <v>LIFE</v>
      </c>
    </row>
    <row r="1536" spans="1:9" x14ac:dyDescent="0.25">
      <c r="E1536" s="7"/>
      <c r="F1536" t="s">
        <v>20</v>
      </c>
      <c r="G1536" s="10" t="s">
        <v>21</v>
      </c>
      <c r="H1536" t="str">
        <f>"VOL202012158592"</f>
        <v>VOL202012158592</v>
      </c>
      <c r="I1536" t="str">
        <f>"LIFE"</f>
        <v>LIFE</v>
      </c>
    </row>
    <row r="1537" spans="1:9" x14ac:dyDescent="0.25">
      <c r="A1537" s="6">
        <v>44209</v>
      </c>
      <c r="B1537" t="s">
        <v>26</v>
      </c>
      <c r="C1537">
        <v>65859</v>
      </c>
      <c r="D1537" t="s">
        <v>195</v>
      </c>
      <c r="E1537" s="7">
        <v>3154.22</v>
      </c>
      <c r="F1537" t="s">
        <v>20</v>
      </c>
      <c r="G1537" s="10" t="s">
        <v>21</v>
      </c>
      <c r="H1537" t="str">
        <f>"1565202012"</f>
        <v>1565202012</v>
      </c>
      <c r="I1537" t="str">
        <f>"ARISTA INFORMATION SYSTEMS  IN"</f>
        <v>ARISTA INFORMATION SYSTEMS  IN</v>
      </c>
    </row>
    <row r="1538" spans="1:9" x14ac:dyDescent="0.25">
      <c r="E1538" s="7"/>
      <c r="F1538" t="s">
        <v>20</v>
      </c>
      <c r="G1538" s="10" t="s">
        <v>21</v>
      </c>
      <c r="H1538" t="str">
        <f>"30953"</f>
        <v>30953</v>
      </c>
      <c r="I1538" t="str">
        <f>"ARISTA INFORMATION SYSTEMS  IN"</f>
        <v>ARISTA INFORMATION SYSTEMS  IN</v>
      </c>
    </row>
    <row r="1539" spans="1:9" x14ac:dyDescent="0.25">
      <c r="A1539" s="6">
        <v>44209</v>
      </c>
      <c r="B1539" t="s">
        <v>26</v>
      </c>
      <c r="C1539">
        <v>65860</v>
      </c>
      <c r="D1539" t="s">
        <v>115</v>
      </c>
      <c r="E1539" s="7">
        <v>47.97</v>
      </c>
      <c r="F1539" t="s">
        <v>20</v>
      </c>
      <c r="G1539" s="10" t="s">
        <v>21</v>
      </c>
      <c r="H1539" t="str">
        <f>"3547814763"</f>
        <v>3547814763</v>
      </c>
      <c r="I1539" t="str">
        <f>"SHOP SUPPLIES"</f>
        <v>SHOP SUPPLIES</v>
      </c>
    </row>
    <row r="1540" spans="1:9" x14ac:dyDescent="0.25">
      <c r="A1540" s="6">
        <v>44209</v>
      </c>
      <c r="B1540" t="s">
        <v>26</v>
      </c>
      <c r="C1540">
        <v>65861</v>
      </c>
      <c r="D1540" t="s">
        <v>81</v>
      </c>
      <c r="E1540" s="7">
        <v>170.34</v>
      </c>
      <c r="F1540" t="s">
        <v>20</v>
      </c>
      <c r="G1540" s="10" t="s">
        <v>21</v>
      </c>
      <c r="H1540" t="str">
        <f>"A.MARTINEZ 1/12/21"</f>
        <v>A.MARTINEZ 1/12/21</v>
      </c>
      <c r="I1540" t="str">
        <f>"CITY OF FLORESVILLE -PETTY CAS"</f>
        <v>CITY OF FLORESVILLE -PETTY CAS</v>
      </c>
    </row>
    <row r="1541" spans="1:9" x14ac:dyDescent="0.25">
      <c r="A1541" s="6">
        <v>44209</v>
      </c>
      <c r="B1541" t="s">
        <v>26</v>
      </c>
      <c r="C1541">
        <v>65862</v>
      </c>
      <c r="D1541" t="s">
        <v>872</v>
      </c>
      <c r="E1541" s="7">
        <v>52.5</v>
      </c>
      <c r="F1541" t="s">
        <v>20</v>
      </c>
      <c r="G1541" s="10" t="s">
        <v>21</v>
      </c>
      <c r="H1541" t="str">
        <f>"01/10/2021"</f>
        <v>01/10/2021</v>
      </c>
      <c r="I1541" t="str">
        <f>"DEVIN BENAVIDES"</f>
        <v>DEVIN BENAVIDES</v>
      </c>
    </row>
    <row r="1542" spans="1:9" x14ac:dyDescent="0.25">
      <c r="A1542" s="6">
        <v>44209</v>
      </c>
      <c r="B1542" t="s">
        <v>26</v>
      </c>
      <c r="C1542">
        <v>65863</v>
      </c>
      <c r="D1542" t="s">
        <v>57</v>
      </c>
      <c r="E1542" s="7">
        <v>6291.33</v>
      </c>
      <c r="F1542" t="s">
        <v>20</v>
      </c>
      <c r="G1542" s="10" t="s">
        <v>21</v>
      </c>
      <c r="H1542" t="str">
        <f>"11617- 11/24-12/28"</f>
        <v>11617- 11/24-12/28</v>
      </c>
      <c r="I1542" t="str">
        <f>"F.E.L.P.S."</f>
        <v>F.E.L.P.S.</v>
      </c>
    </row>
    <row r="1543" spans="1:9" x14ac:dyDescent="0.25">
      <c r="E1543" s="7"/>
      <c r="F1543" t="s">
        <v>20</v>
      </c>
      <c r="G1543" s="10" t="s">
        <v>21</v>
      </c>
      <c r="H1543" t="str">
        <f>"33062 11/24-12/28"</f>
        <v>33062 11/24-12/28</v>
      </c>
      <c r="I1543" t="str">
        <f>"F.E.L.P.S."</f>
        <v>F.E.L.P.S.</v>
      </c>
    </row>
    <row r="1544" spans="1:9" x14ac:dyDescent="0.25">
      <c r="A1544" s="6">
        <v>44209</v>
      </c>
      <c r="B1544" t="s">
        <v>26</v>
      </c>
      <c r="C1544">
        <v>65864</v>
      </c>
      <c r="D1544" t="s">
        <v>739</v>
      </c>
      <c r="E1544" s="7">
        <v>1530.25</v>
      </c>
      <c r="F1544" t="s">
        <v>20</v>
      </c>
      <c r="G1544" s="10" t="s">
        <v>21</v>
      </c>
      <c r="H1544" t="str">
        <f>"5286X12272020"</f>
        <v>5286X12272020</v>
      </c>
      <c r="I1544" t="str">
        <f>"FIRSTNET/AT&amp;T MOBILITY LLC"</f>
        <v>FIRSTNET/AT&amp;T MOBILITY LLC</v>
      </c>
    </row>
    <row r="1545" spans="1:9" x14ac:dyDescent="0.25">
      <c r="A1545" s="6">
        <v>44209</v>
      </c>
      <c r="B1545" t="s">
        <v>26</v>
      </c>
      <c r="C1545">
        <v>65865</v>
      </c>
      <c r="D1545" t="s">
        <v>85</v>
      </c>
      <c r="E1545" s="7">
        <v>473.71</v>
      </c>
      <c r="F1545" t="s">
        <v>20</v>
      </c>
      <c r="G1545" s="10" t="s">
        <v>21</v>
      </c>
      <c r="H1545" t="str">
        <f>"3937070 DEC.2020"</f>
        <v>3937070 DEC.2020</v>
      </c>
      <c r="I1545" t="str">
        <f>"FRONTIER"</f>
        <v>FRONTIER</v>
      </c>
    </row>
    <row r="1546" spans="1:9" x14ac:dyDescent="0.25">
      <c r="A1546" s="6">
        <v>44209</v>
      </c>
      <c r="B1546" t="s">
        <v>26</v>
      </c>
      <c r="C1546">
        <v>65866</v>
      </c>
      <c r="D1546" t="s">
        <v>1017</v>
      </c>
      <c r="E1546" s="7">
        <v>58</v>
      </c>
      <c r="F1546" t="s">
        <v>20</v>
      </c>
      <c r="G1546" s="10" t="s">
        <v>21</v>
      </c>
      <c r="H1546" t="str">
        <f>"87280343 11/28/20"</f>
        <v>87280343 11/28/20</v>
      </c>
      <c r="I1546" t="str">
        <f>"LABCORP"</f>
        <v>LABCORP</v>
      </c>
    </row>
    <row r="1547" spans="1:9" x14ac:dyDescent="0.25">
      <c r="A1547" s="6">
        <v>44209</v>
      </c>
      <c r="B1547" t="s">
        <v>26</v>
      </c>
      <c r="C1547">
        <v>65867</v>
      </c>
      <c r="D1547" t="s">
        <v>1018</v>
      </c>
      <c r="E1547" s="7">
        <v>4175</v>
      </c>
      <c r="F1547" t="s">
        <v>20</v>
      </c>
      <c r="G1547" s="10" t="s">
        <v>21</v>
      </c>
      <c r="H1547" t="str">
        <f>"12/1-12/31/2020"</f>
        <v>12/1-12/31/2020</v>
      </c>
      <c r="I1547" t="str">
        <f>"LAW OFFICE OF JOSE GARZA"</f>
        <v>LAW OFFICE OF JOSE GARZA</v>
      </c>
    </row>
    <row r="1548" spans="1:9" x14ac:dyDescent="0.25">
      <c r="A1548" s="6">
        <v>44209</v>
      </c>
      <c r="B1548" t="s">
        <v>26</v>
      </c>
      <c r="C1548">
        <v>65868</v>
      </c>
      <c r="D1548" t="s">
        <v>345</v>
      </c>
      <c r="E1548" s="7">
        <v>231</v>
      </c>
      <c r="F1548" t="s">
        <v>20</v>
      </c>
      <c r="G1548" s="10" t="s">
        <v>21</v>
      </c>
      <c r="H1548" t="str">
        <f>"01/11/2021"</f>
        <v>01/11/2021</v>
      </c>
      <c r="I1548" t="str">
        <f>"MICHAEL ISAAC MARTINEZ"</f>
        <v>MICHAEL ISAAC MARTINEZ</v>
      </c>
    </row>
    <row r="1549" spans="1:9" x14ac:dyDescent="0.25">
      <c r="A1549" s="6">
        <v>44209</v>
      </c>
      <c r="B1549" t="s">
        <v>26</v>
      </c>
      <c r="C1549">
        <v>65869</v>
      </c>
      <c r="D1549" t="s">
        <v>369</v>
      </c>
      <c r="E1549" s="7">
        <v>1295</v>
      </c>
      <c r="F1549" t="s">
        <v>20</v>
      </c>
      <c r="G1549" s="10" t="s">
        <v>21</v>
      </c>
      <c r="H1549" t="str">
        <f>"00352357"</f>
        <v>00352357</v>
      </c>
      <c r="I1549" t="str">
        <f>"MUNICODE"</f>
        <v>MUNICODE</v>
      </c>
    </row>
    <row r="1550" spans="1:9" x14ac:dyDescent="0.25">
      <c r="A1550" s="6">
        <v>44209</v>
      </c>
      <c r="B1550" t="s">
        <v>26</v>
      </c>
      <c r="C1550">
        <v>65870</v>
      </c>
      <c r="D1550" t="s">
        <v>240</v>
      </c>
      <c r="E1550" s="7">
        <v>265.89999999999998</v>
      </c>
      <c r="F1550" t="s">
        <v>20</v>
      </c>
      <c r="G1550" s="10" t="s">
        <v>21</v>
      </c>
      <c r="H1550" t="str">
        <f>"0201477-IN"</f>
        <v>0201477-IN</v>
      </c>
      <c r="I1550" t="str">
        <f>"NARDIS PUBLIC SAFETY"</f>
        <v>NARDIS PUBLIC SAFETY</v>
      </c>
    </row>
    <row r="1551" spans="1:9" x14ac:dyDescent="0.25">
      <c r="E1551" s="7"/>
      <c r="F1551" t="s">
        <v>20</v>
      </c>
      <c r="G1551" s="10" t="s">
        <v>21</v>
      </c>
      <c r="H1551" t="str">
        <f>"0201619-IN"</f>
        <v>0201619-IN</v>
      </c>
      <c r="I1551" t="str">
        <f>"NARDIS PUBLIC SAFETY"</f>
        <v>NARDIS PUBLIC SAFETY</v>
      </c>
    </row>
    <row r="1552" spans="1:9" x14ac:dyDescent="0.25">
      <c r="A1552" s="6">
        <v>44209</v>
      </c>
      <c r="B1552" t="s">
        <v>26</v>
      </c>
      <c r="C1552">
        <v>65871</v>
      </c>
      <c r="D1552" t="s">
        <v>126</v>
      </c>
      <c r="E1552" s="7">
        <v>95135.54</v>
      </c>
      <c r="F1552" t="s">
        <v>20</v>
      </c>
      <c r="G1552" s="10" t="s">
        <v>21</v>
      </c>
      <c r="H1552" t="str">
        <f>"0859-002729160"</f>
        <v>0859-002729160</v>
      </c>
      <c r="I1552" t="str">
        <f>"REPUBLIC SERVICES #859"</f>
        <v>REPUBLIC SERVICES #859</v>
      </c>
    </row>
    <row r="1553" spans="1:9" x14ac:dyDescent="0.25">
      <c r="E1553" s="7"/>
      <c r="F1553" t="s">
        <v>20</v>
      </c>
      <c r="G1553" s="10" t="s">
        <v>21</v>
      </c>
      <c r="H1553" t="str">
        <f>"0859-002733417"</f>
        <v>0859-002733417</v>
      </c>
      <c r="I1553" t="str">
        <f>"REPUBLIC SERVICES #859"</f>
        <v>REPUBLIC SERVICES #859</v>
      </c>
    </row>
    <row r="1554" spans="1:9" x14ac:dyDescent="0.25">
      <c r="A1554" s="6">
        <v>44209</v>
      </c>
      <c r="B1554" t="s">
        <v>26</v>
      </c>
      <c r="C1554">
        <v>65872</v>
      </c>
      <c r="D1554" t="s">
        <v>630</v>
      </c>
      <c r="E1554" s="7">
        <v>405.6</v>
      </c>
      <c r="F1554" t="s">
        <v>20</v>
      </c>
      <c r="G1554" s="10" t="s">
        <v>21</v>
      </c>
      <c r="H1554" t="str">
        <f>"31759-2"</f>
        <v>31759-2</v>
      </c>
      <c r="I1554" t="str">
        <f>"RG3 METER COMPANY"</f>
        <v>RG3 METER COMPANY</v>
      </c>
    </row>
    <row r="1555" spans="1:9" x14ac:dyDescent="0.25">
      <c r="A1555" s="6">
        <v>44209</v>
      </c>
      <c r="B1555" t="s">
        <v>26</v>
      </c>
      <c r="C1555">
        <v>65873</v>
      </c>
      <c r="D1555" t="s">
        <v>346</v>
      </c>
      <c r="E1555" s="7">
        <v>13750</v>
      </c>
      <c r="F1555" t="s">
        <v>20</v>
      </c>
      <c r="G1555" s="10" t="s">
        <v>21</v>
      </c>
      <c r="H1555" t="str">
        <f>"12/11-1/11/2021"</f>
        <v>12/11-1/11/2021</v>
      </c>
      <c r="I1555" t="str">
        <f>"SYLVIA RODRIGUEZ"</f>
        <v>SYLVIA RODRIGUEZ</v>
      </c>
    </row>
    <row r="1556" spans="1:9" x14ac:dyDescent="0.25">
      <c r="A1556" s="6">
        <v>44209</v>
      </c>
      <c r="B1556" t="s">
        <v>26</v>
      </c>
      <c r="C1556">
        <v>65874</v>
      </c>
      <c r="D1556" t="s">
        <v>31</v>
      </c>
      <c r="E1556" s="7">
        <v>2000</v>
      </c>
      <c r="F1556" t="s">
        <v>20</v>
      </c>
      <c r="G1556" s="10" t="s">
        <v>21</v>
      </c>
      <c r="H1556" t="str">
        <f>"2021254"</f>
        <v>2021254</v>
      </c>
      <c r="I1556" t="str">
        <f>"THE LAW OFFICE OF TOM CALDWELL"</f>
        <v>THE LAW OFFICE OF TOM CALDWELL</v>
      </c>
    </row>
    <row r="1557" spans="1:9" x14ac:dyDescent="0.25">
      <c r="A1557" s="6">
        <v>44209</v>
      </c>
      <c r="B1557" t="s">
        <v>26</v>
      </c>
      <c r="C1557">
        <v>65875</v>
      </c>
      <c r="D1557" t="s">
        <v>61</v>
      </c>
      <c r="E1557" s="7">
        <v>2409.91</v>
      </c>
      <c r="F1557" t="s">
        <v>20</v>
      </c>
      <c r="G1557" s="10" t="s">
        <v>21</v>
      </c>
      <c r="H1557" t="str">
        <f>"025-318029"</f>
        <v>025-318029</v>
      </c>
      <c r="I1557" t="str">
        <f>"TYLER TECHNOLOGIES  INC."</f>
        <v>TYLER TECHNOLOGIES  INC.</v>
      </c>
    </row>
    <row r="1558" spans="1:9" x14ac:dyDescent="0.25">
      <c r="E1558" s="7"/>
      <c r="F1558" t="s">
        <v>20</v>
      </c>
      <c r="G1558" s="10" t="s">
        <v>21</v>
      </c>
      <c r="H1558" t="str">
        <f>"025-318030"</f>
        <v>025-318030</v>
      </c>
      <c r="I1558" t="str">
        <f>"TYLER TECHNOLOGIES  INC."</f>
        <v>TYLER TECHNOLOGIES  INC.</v>
      </c>
    </row>
    <row r="1559" spans="1:9" x14ac:dyDescent="0.25">
      <c r="E1559" s="7"/>
      <c r="F1559" t="s">
        <v>20</v>
      </c>
      <c r="G1559" s="10" t="s">
        <v>21</v>
      </c>
      <c r="H1559" t="str">
        <f>"025-318512"</f>
        <v>025-318512</v>
      </c>
      <c r="I1559" t="str">
        <f>"TYLER TECHNOLOGIES  INC."</f>
        <v>TYLER TECHNOLOGIES  INC.</v>
      </c>
    </row>
    <row r="1560" spans="1:9" x14ac:dyDescent="0.25">
      <c r="A1560" s="6">
        <v>44209</v>
      </c>
      <c r="B1560" t="s">
        <v>26</v>
      </c>
      <c r="C1560">
        <v>65876</v>
      </c>
      <c r="D1560" t="s">
        <v>92</v>
      </c>
      <c r="E1560" s="7">
        <v>55492.32</v>
      </c>
      <c r="F1560" t="s">
        <v>20</v>
      </c>
      <c r="G1560" s="10" t="s">
        <v>21</v>
      </c>
      <c r="H1560" t="str">
        <f>"RET202012018591"</f>
        <v>RET202012018591</v>
      </c>
      <c r="I1560" t="str">
        <f>"TMRS CITY OF FLORESVILLE"</f>
        <v>TMRS CITY OF FLORESVILLE</v>
      </c>
    </row>
    <row r="1561" spans="1:9" x14ac:dyDescent="0.25">
      <c r="E1561" s="7"/>
      <c r="F1561" t="s">
        <v>20</v>
      </c>
      <c r="G1561" s="10" t="s">
        <v>21</v>
      </c>
      <c r="H1561" t="str">
        <f>"RET202012158592"</f>
        <v>RET202012158592</v>
      </c>
      <c r="I1561" t="str">
        <f>"TMRS CITY OF FLORESVILLE"</f>
        <v>TMRS CITY OF FLORESVILLE</v>
      </c>
    </row>
    <row r="1562" spans="1:9" x14ac:dyDescent="0.25">
      <c r="E1562" s="7"/>
      <c r="F1562" t="s">
        <v>20</v>
      </c>
      <c r="G1562" s="10" t="s">
        <v>21</v>
      </c>
      <c r="H1562" t="str">
        <f>"RET202012288594"</f>
        <v>RET202012288594</v>
      </c>
      <c r="I1562" t="str">
        <f>"TMRS CITY OF FLORESVILLE"</f>
        <v>TMRS CITY OF FLORESVILLE</v>
      </c>
    </row>
    <row r="1563" spans="1:9" x14ac:dyDescent="0.25">
      <c r="A1563" s="6">
        <v>44210</v>
      </c>
      <c r="B1563" t="s">
        <v>26</v>
      </c>
      <c r="C1563">
        <v>65881</v>
      </c>
      <c r="D1563" t="s">
        <v>125</v>
      </c>
      <c r="E1563" s="7">
        <v>720</v>
      </c>
      <c r="F1563" t="s">
        <v>20</v>
      </c>
      <c r="G1563" s="10" t="s">
        <v>21</v>
      </c>
      <c r="H1563" t="str">
        <f>"20-0899 NOV.2020"</f>
        <v>20-0899 NOV.2020</v>
      </c>
      <c r="I1563" t="str">
        <f>"INTREPID SURVEYING CORPORATION"</f>
        <v>INTREPID SURVEYING CORPORATION</v>
      </c>
    </row>
    <row r="1564" spans="1:9" x14ac:dyDescent="0.25">
      <c r="A1564" s="6">
        <v>44216</v>
      </c>
      <c r="B1564" t="s">
        <v>26</v>
      </c>
      <c r="C1564">
        <v>65882</v>
      </c>
      <c r="D1564" t="s">
        <v>1014</v>
      </c>
      <c r="E1564" s="7">
        <v>5425</v>
      </c>
      <c r="F1564" t="s">
        <v>20</v>
      </c>
      <c r="G1564" s="10" t="s">
        <v>21</v>
      </c>
      <c r="H1564" t="str">
        <f>"0121-119"</f>
        <v>0121-119</v>
      </c>
      <c r="I1564" t="str">
        <f>"VALVE FOR STOCK 1 6  IV25"</f>
        <v>VALVE FOR STOCK 1 6  IV25</v>
      </c>
    </row>
    <row r="1565" spans="1:9" x14ac:dyDescent="0.25">
      <c r="A1565" s="6">
        <v>44216</v>
      </c>
      <c r="B1565" t="s">
        <v>26</v>
      </c>
      <c r="C1565">
        <v>65883</v>
      </c>
      <c r="D1565" t="s">
        <v>139</v>
      </c>
      <c r="E1565" s="7">
        <v>65</v>
      </c>
      <c r="F1565" t="s">
        <v>20</v>
      </c>
      <c r="G1565" s="10" t="s">
        <v>21</v>
      </c>
      <c r="H1565" t="str">
        <f>"31181"</f>
        <v>31181</v>
      </c>
      <c r="I1565" t="str">
        <f>"ANGEL FIRE &amp; SAFETY"</f>
        <v>ANGEL FIRE &amp; SAFETY</v>
      </c>
    </row>
    <row r="1566" spans="1:9" x14ac:dyDescent="0.25">
      <c r="A1566" s="6">
        <v>44216</v>
      </c>
      <c r="B1566" t="s">
        <v>26</v>
      </c>
      <c r="C1566">
        <v>65884</v>
      </c>
      <c r="D1566" t="s">
        <v>189</v>
      </c>
      <c r="E1566" s="7">
        <v>3078.05</v>
      </c>
      <c r="F1566" t="s">
        <v>20</v>
      </c>
      <c r="G1566" s="10" t="s">
        <v>21</v>
      </c>
      <c r="H1566" t="str">
        <f>"PSO209782-1"</f>
        <v>PSO209782-1</v>
      </c>
      <c r="I1566" t="str">
        <f>"SWEEPER REPAIR-STREETS"</f>
        <v>SWEEPER REPAIR-STREETS</v>
      </c>
    </row>
    <row r="1567" spans="1:9" x14ac:dyDescent="0.25">
      <c r="A1567" s="6">
        <v>44216</v>
      </c>
      <c r="B1567" t="s">
        <v>26</v>
      </c>
      <c r="C1567">
        <v>65885</v>
      </c>
      <c r="D1567" t="s">
        <v>821</v>
      </c>
      <c r="E1567" s="7">
        <v>6805.07</v>
      </c>
      <c r="F1567" t="s">
        <v>20</v>
      </c>
      <c r="G1567" s="10" t="s">
        <v>21</v>
      </c>
      <c r="H1567" t="str">
        <f>"FRI8495"</f>
        <v>FRI8495</v>
      </c>
      <c r="I1567" t="str">
        <f>"AUSTIN ARMATURE WORKS  LP"</f>
        <v>AUSTIN ARMATURE WORKS  LP</v>
      </c>
    </row>
    <row r="1568" spans="1:9" x14ac:dyDescent="0.25">
      <c r="A1568" s="6">
        <v>44216</v>
      </c>
      <c r="B1568" t="s">
        <v>26</v>
      </c>
      <c r="C1568">
        <v>65886</v>
      </c>
      <c r="D1568" t="s">
        <v>115</v>
      </c>
      <c r="E1568" s="7">
        <v>95.93</v>
      </c>
      <c r="F1568" t="s">
        <v>20</v>
      </c>
      <c r="G1568" s="10" t="s">
        <v>21</v>
      </c>
      <c r="H1568" t="str">
        <f>"3547823100"</f>
        <v>3547823100</v>
      </c>
      <c r="I1568" t="str">
        <f>"BRAKE REPLACE- UNIT 201"</f>
        <v>BRAKE REPLACE- UNIT 201</v>
      </c>
    </row>
    <row r="1569" spans="1:9" x14ac:dyDescent="0.25">
      <c r="E1569" s="7"/>
      <c r="F1569" t="s">
        <v>20</v>
      </c>
      <c r="G1569" s="10" t="s">
        <v>21</v>
      </c>
      <c r="H1569" t="str">
        <f>"3547824173"</f>
        <v>3547824173</v>
      </c>
      <c r="I1569" t="str">
        <f>"2007 TOYOTA PRIUS"</f>
        <v>2007 TOYOTA PRIUS</v>
      </c>
    </row>
    <row r="1570" spans="1:9" x14ac:dyDescent="0.25">
      <c r="A1570" s="6">
        <v>44216</v>
      </c>
      <c r="B1570" t="s">
        <v>26</v>
      </c>
      <c r="C1570">
        <v>65887</v>
      </c>
      <c r="D1570" t="s">
        <v>836</v>
      </c>
      <c r="E1570" s="7">
        <v>6352.12</v>
      </c>
      <c r="F1570" t="s">
        <v>20</v>
      </c>
      <c r="G1570" s="10" t="s">
        <v>21</v>
      </c>
      <c r="H1570" t="str">
        <f>"70713"</f>
        <v>70713</v>
      </c>
      <c r="I1570" t="str">
        <f>"BARCOM TECHNOLOGY SOLUTIONS  I"</f>
        <v>BARCOM TECHNOLOGY SOLUTIONS  I</v>
      </c>
    </row>
    <row r="1571" spans="1:9" x14ac:dyDescent="0.25">
      <c r="E1571" s="7"/>
      <c r="F1571" t="s">
        <v>20</v>
      </c>
      <c r="G1571" s="10" t="s">
        <v>21</v>
      </c>
      <c r="H1571" t="str">
        <f>"71212"</f>
        <v>71212</v>
      </c>
      <c r="I1571" t="str">
        <f>"BARCOM TECHNOLOGY SOLUTIONS  I"</f>
        <v>BARCOM TECHNOLOGY SOLUTIONS  I</v>
      </c>
    </row>
    <row r="1572" spans="1:9" x14ac:dyDescent="0.25">
      <c r="E1572" s="7"/>
      <c r="F1572" t="s">
        <v>20</v>
      </c>
      <c r="G1572" s="10" t="s">
        <v>21</v>
      </c>
      <c r="H1572" t="str">
        <f>"71213"</f>
        <v>71213</v>
      </c>
      <c r="I1572" t="str">
        <f>"BARCOM TECHNOLOGY SOLUTIONS  I"</f>
        <v>BARCOM TECHNOLOGY SOLUTIONS  I</v>
      </c>
    </row>
    <row r="1573" spans="1:9" x14ac:dyDescent="0.25">
      <c r="A1573" s="6">
        <v>44216</v>
      </c>
      <c r="B1573" t="s">
        <v>26</v>
      </c>
      <c r="C1573">
        <v>65889</v>
      </c>
      <c r="D1573" t="s">
        <v>170</v>
      </c>
      <c r="E1573" s="7">
        <v>9652.2000000000007</v>
      </c>
      <c r="F1573" t="s">
        <v>20</v>
      </c>
      <c r="G1573" s="10" t="s">
        <v>21</v>
      </c>
      <c r="H1573" t="str">
        <f>"0000033231"</f>
        <v>0000033231</v>
      </c>
      <c r="I1573" t="str">
        <f>"BARRETT &amp; SONS  INC."</f>
        <v>BARRETT &amp; SONS  INC.</v>
      </c>
    </row>
    <row r="1574" spans="1:9" x14ac:dyDescent="0.25">
      <c r="E1574" s="7"/>
      <c r="F1574" t="s">
        <v>20</v>
      </c>
      <c r="G1574" s="10" t="s">
        <v>21</v>
      </c>
      <c r="H1574" t="str">
        <f>"0000033236"</f>
        <v>0000033236</v>
      </c>
      <c r="I1574" t="str">
        <f>"BARRETT &amp; SONS  INC."</f>
        <v>BARRETT &amp; SONS  INC.</v>
      </c>
    </row>
    <row r="1575" spans="1:9" x14ac:dyDescent="0.25">
      <c r="E1575" s="7"/>
      <c r="F1575" t="s">
        <v>20</v>
      </c>
      <c r="G1575" s="10" t="s">
        <v>21</v>
      </c>
      <c r="H1575" t="str">
        <f>"0000033411"</f>
        <v>0000033411</v>
      </c>
      <c r="I1575" t="str">
        <f>"RTU 14&amp;15A AC REPAIR"</f>
        <v>RTU 14&amp;15A AC REPAIR</v>
      </c>
    </row>
    <row r="1576" spans="1:9" x14ac:dyDescent="0.25">
      <c r="E1576" s="7"/>
      <c r="F1576" t="s">
        <v>20</v>
      </c>
      <c r="G1576" s="10" t="s">
        <v>21</v>
      </c>
      <c r="H1576" t="str">
        <f>"0000033412"</f>
        <v>0000033412</v>
      </c>
      <c r="I1576" t="str">
        <f>"RTU#15B AC REPAIR"</f>
        <v>RTU#15B AC REPAIR</v>
      </c>
    </row>
    <row r="1577" spans="1:9" x14ac:dyDescent="0.25">
      <c r="E1577" s="7"/>
      <c r="F1577" t="s">
        <v>20</v>
      </c>
      <c r="G1577" s="10" t="s">
        <v>21</v>
      </c>
      <c r="H1577" t="str">
        <f>"0000033426"</f>
        <v>0000033426</v>
      </c>
      <c r="I1577" t="str">
        <f>"RTU#6 AC REPAIR"</f>
        <v>RTU#6 AC REPAIR</v>
      </c>
    </row>
    <row r="1578" spans="1:9" x14ac:dyDescent="0.25">
      <c r="E1578" s="7"/>
      <c r="F1578" t="s">
        <v>20</v>
      </c>
      <c r="G1578" s="10" t="s">
        <v>21</v>
      </c>
      <c r="H1578" t="str">
        <f>"0000033427"</f>
        <v>0000033427</v>
      </c>
      <c r="I1578" t="str">
        <f>"RTU#4 AC REPAIR"</f>
        <v>RTU#4 AC REPAIR</v>
      </c>
    </row>
    <row r="1579" spans="1:9" x14ac:dyDescent="0.25">
      <c r="A1579" s="6">
        <v>44216</v>
      </c>
      <c r="B1579" t="s">
        <v>26</v>
      </c>
      <c r="C1579">
        <v>65890</v>
      </c>
      <c r="D1579" t="s">
        <v>168</v>
      </c>
      <c r="E1579" s="7">
        <v>180</v>
      </c>
      <c r="F1579" t="s">
        <v>20</v>
      </c>
      <c r="G1579" s="10" t="s">
        <v>21</v>
      </c>
      <c r="H1579" t="str">
        <f>"LI-7338"</f>
        <v>LI-7338</v>
      </c>
      <c r="I1579" t="str">
        <f>"BEXAR COUNTY AUDITOR/ATTN:CRIM"</f>
        <v>BEXAR COUNTY AUDITOR/ATTN:CRIM</v>
      </c>
    </row>
    <row r="1580" spans="1:9" x14ac:dyDescent="0.25">
      <c r="E1580" s="7"/>
      <c r="F1580" t="s">
        <v>20</v>
      </c>
      <c r="G1580" s="10" t="s">
        <v>21</v>
      </c>
      <c r="H1580" t="str">
        <f>"LI-7339"</f>
        <v>LI-7339</v>
      </c>
      <c r="I1580" t="str">
        <f>"BEXAR COUNTY AUDITOR/ATTN:CRIM"</f>
        <v>BEXAR COUNTY AUDITOR/ATTN:CRIM</v>
      </c>
    </row>
    <row r="1581" spans="1:9" x14ac:dyDescent="0.25">
      <c r="E1581" s="7"/>
      <c r="F1581" t="s">
        <v>20</v>
      </c>
      <c r="G1581" s="10" t="s">
        <v>21</v>
      </c>
      <c r="H1581" t="str">
        <f>"LI-7340"</f>
        <v>LI-7340</v>
      </c>
      <c r="I1581" t="str">
        <f>"BEXAR COUNTY AUDITOR/ATTN:CRIM"</f>
        <v>BEXAR COUNTY AUDITOR/ATTN:CRIM</v>
      </c>
    </row>
    <row r="1582" spans="1:9" x14ac:dyDescent="0.25">
      <c r="A1582" s="6">
        <v>44216</v>
      </c>
      <c r="B1582" t="s">
        <v>26</v>
      </c>
      <c r="C1582">
        <v>65891</v>
      </c>
      <c r="D1582" t="s">
        <v>110</v>
      </c>
      <c r="E1582" s="7">
        <v>28520.48</v>
      </c>
      <c r="F1582" t="s">
        <v>20</v>
      </c>
      <c r="G1582" s="10" t="s">
        <v>21</v>
      </c>
      <c r="H1582" t="str">
        <f>"1562760"</f>
        <v>1562760</v>
      </c>
      <c r="I1582" t="str">
        <f t="shared" ref="I1582:I1611" si="29">"BUREAU VERITAS NORTH AMERICA"</f>
        <v>BUREAU VERITAS NORTH AMERICA</v>
      </c>
    </row>
    <row r="1583" spans="1:9" x14ac:dyDescent="0.25">
      <c r="E1583" s="7"/>
      <c r="F1583" t="s">
        <v>20</v>
      </c>
      <c r="G1583" s="10" t="s">
        <v>21</v>
      </c>
      <c r="H1583" t="str">
        <f>"1562761"</f>
        <v>1562761</v>
      </c>
      <c r="I1583" t="str">
        <f t="shared" si="29"/>
        <v>BUREAU VERITAS NORTH AMERICA</v>
      </c>
    </row>
    <row r="1584" spans="1:9" x14ac:dyDescent="0.25">
      <c r="E1584" s="7"/>
      <c r="F1584" t="s">
        <v>20</v>
      </c>
      <c r="G1584" s="10" t="s">
        <v>21</v>
      </c>
      <c r="H1584" t="str">
        <f>"1562762"</f>
        <v>1562762</v>
      </c>
      <c r="I1584" t="str">
        <f t="shared" si="29"/>
        <v>BUREAU VERITAS NORTH AMERICA</v>
      </c>
    </row>
    <row r="1585" spans="5:9" x14ac:dyDescent="0.25">
      <c r="E1585" s="7"/>
      <c r="F1585" t="s">
        <v>20</v>
      </c>
      <c r="G1585" s="10" t="s">
        <v>21</v>
      </c>
      <c r="H1585" t="str">
        <f>"1562763"</f>
        <v>1562763</v>
      </c>
      <c r="I1585" t="str">
        <f t="shared" si="29"/>
        <v>BUREAU VERITAS NORTH AMERICA</v>
      </c>
    </row>
    <row r="1586" spans="5:9" x14ac:dyDescent="0.25">
      <c r="E1586" s="7"/>
      <c r="F1586" t="s">
        <v>20</v>
      </c>
      <c r="G1586" s="10" t="s">
        <v>21</v>
      </c>
      <c r="H1586" t="str">
        <f>"1562764"</f>
        <v>1562764</v>
      </c>
      <c r="I1586" t="str">
        <f t="shared" si="29"/>
        <v>BUREAU VERITAS NORTH AMERICA</v>
      </c>
    </row>
    <row r="1587" spans="5:9" x14ac:dyDescent="0.25">
      <c r="E1587" s="7"/>
      <c r="F1587" t="s">
        <v>20</v>
      </c>
      <c r="G1587" s="10" t="s">
        <v>21</v>
      </c>
      <c r="H1587" t="str">
        <f>"1562765"</f>
        <v>1562765</v>
      </c>
      <c r="I1587" t="str">
        <f t="shared" si="29"/>
        <v>BUREAU VERITAS NORTH AMERICA</v>
      </c>
    </row>
    <row r="1588" spans="5:9" x14ac:dyDescent="0.25">
      <c r="E1588" s="7"/>
      <c r="F1588" t="s">
        <v>20</v>
      </c>
      <c r="G1588" s="10" t="s">
        <v>21</v>
      </c>
      <c r="H1588" t="str">
        <f>"1562766"</f>
        <v>1562766</v>
      </c>
      <c r="I1588" t="str">
        <f t="shared" si="29"/>
        <v>BUREAU VERITAS NORTH AMERICA</v>
      </c>
    </row>
    <row r="1589" spans="5:9" x14ac:dyDescent="0.25">
      <c r="E1589" s="7"/>
      <c r="F1589" t="s">
        <v>20</v>
      </c>
      <c r="G1589" s="10" t="s">
        <v>21</v>
      </c>
      <c r="H1589" t="str">
        <f>"1562767"</f>
        <v>1562767</v>
      </c>
      <c r="I1589" t="str">
        <f t="shared" si="29"/>
        <v>BUREAU VERITAS NORTH AMERICA</v>
      </c>
    </row>
    <row r="1590" spans="5:9" x14ac:dyDescent="0.25">
      <c r="E1590" s="7"/>
      <c r="F1590" t="s">
        <v>20</v>
      </c>
      <c r="G1590" s="10" t="s">
        <v>21</v>
      </c>
      <c r="H1590" t="str">
        <f>"1562768"</f>
        <v>1562768</v>
      </c>
      <c r="I1590" t="str">
        <f t="shared" si="29"/>
        <v>BUREAU VERITAS NORTH AMERICA</v>
      </c>
    </row>
    <row r="1591" spans="5:9" x14ac:dyDescent="0.25">
      <c r="E1591" s="7"/>
      <c r="F1591" t="s">
        <v>20</v>
      </c>
      <c r="G1591" s="10" t="s">
        <v>21</v>
      </c>
      <c r="H1591" t="str">
        <f>"1562769"</f>
        <v>1562769</v>
      </c>
      <c r="I1591" t="str">
        <f t="shared" si="29"/>
        <v>BUREAU VERITAS NORTH AMERICA</v>
      </c>
    </row>
    <row r="1592" spans="5:9" x14ac:dyDescent="0.25">
      <c r="E1592" s="7"/>
      <c r="F1592" t="s">
        <v>20</v>
      </c>
      <c r="G1592" s="10" t="s">
        <v>21</v>
      </c>
      <c r="H1592" t="str">
        <f>"1562770"</f>
        <v>1562770</v>
      </c>
      <c r="I1592" t="str">
        <f t="shared" si="29"/>
        <v>BUREAU VERITAS NORTH AMERICA</v>
      </c>
    </row>
    <row r="1593" spans="5:9" x14ac:dyDescent="0.25">
      <c r="E1593" s="7"/>
      <c r="F1593" t="s">
        <v>20</v>
      </c>
      <c r="G1593" s="10" t="s">
        <v>21</v>
      </c>
      <c r="H1593" t="str">
        <f>"1562771"</f>
        <v>1562771</v>
      </c>
      <c r="I1593" t="str">
        <f t="shared" si="29"/>
        <v>BUREAU VERITAS NORTH AMERICA</v>
      </c>
    </row>
    <row r="1594" spans="5:9" x14ac:dyDescent="0.25">
      <c r="E1594" s="7"/>
      <c r="F1594" t="s">
        <v>20</v>
      </c>
      <c r="G1594" s="10" t="s">
        <v>21</v>
      </c>
      <c r="H1594" t="str">
        <f>"1562772"</f>
        <v>1562772</v>
      </c>
      <c r="I1594" t="str">
        <f t="shared" si="29"/>
        <v>BUREAU VERITAS NORTH AMERICA</v>
      </c>
    </row>
    <row r="1595" spans="5:9" x14ac:dyDescent="0.25">
      <c r="E1595" s="7"/>
      <c r="F1595" t="s">
        <v>20</v>
      </c>
      <c r="G1595" s="10" t="s">
        <v>21</v>
      </c>
      <c r="H1595" t="str">
        <f>"1562773"</f>
        <v>1562773</v>
      </c>
      <c r="I1595" t="str">
        <f t="shared" si="29"/>
        <v>BUREAU VERITAS NORTH AMERICA</v>
      </c>
    </row>
    <row r="1596" spans="5:9" x14ac:dyDescent="0.25">
      <c r="E1596" s="7"/>
      <c r="F1596" t="s">
        <v>20</v>
      </c>
      <c r="G1596" s="10" t="s">
        <v>21</v>
      </c>
      <c r="H1596" t="str">
        <f>"1562774"</f>
        <v>1562774</v>
      </c>
      <c r="I1596" t="str">
        <f t="shared" si="29"/>
        <v>BUREAU VERITAS NORTH AMERICA</v>
      </c>
    </row>
    <row r="1597" spans="5:9" x14ac:dyDescent="0.25">
      <c r="E1597" s="7"/>
      <c r="F1597" t="s">
        <v>20</v>
      </c>
      <c r="G1597" s="10" t="s">
        <v>21</v>
      </c>
      <c r="H1597" t="str">
        <f>"1562775"</f>
        <v>1562775</v>
      </c>
      <c r="I1597" t="str">
        <f t="shared" si="29"/>
        <v>BUREAU VERITAS NORTH AMERICA</v>
      </c>
    </row>
    <row r="1598" spans="5:9" x14ac:dyDescent="0.25">
      <c r="E1598" s="7"/>
      <c r="F1598" t="s">
        <v>20</v>
      </c>
      <c r="G1598" s="10" t="s">
        <v>21</v>
      </c>
      <c r="H1598" t="str">
        <f>"1562776"</f>
        <v>1562776</v>
      </c>
      <c r="I1598" t="str">
        <f t="shared" si="29"/>
        <v>BUREAU VERITAS NORTH AMERICA</v>
      </c>
    </row>
    <row r="1599" spans="5:9" x14ac:dyDescent="0.25">
      <c r="E1599" s="7"/>
      <c r="F1599" t="s">
        <v>20</v>
      </c>
      <c r="G1599" s="10" t="s">
        <v>21</v>
      </c>
      <c r="H1599" t="str">
        <f>"1562777"</f>
        <v>1562777</v>
      </c>
      <c r="I1599" t="str">
        <f t="shared" si="29"/>
        <v>BUREAU VERITAS NORTH AMERICA</v>
      </c>
    </row>
    <row r="1600" spans="5:9" x14ac:dyDescent="0.25">
      <c r="E1600" s="7"/>
      <c r="F1600" t="s">
        <v>20</v>
      </c>
      <c r="G1600" s="10" t="s">
        <v>21</v>
      </c>
      <c r="H1600" t="str">
        <f>"1562778"</f>
        <v>1562778</v>
      </c>
      <c r="I1600" t="str">
        <f t="shared" si="29"/>
        <v>BUREAU VERITAS NORTH AMERICA</v>
      </c>
    </row>
    <row r="1601" spans="1:9" x14ac:dyDescent="0.25">
      <c r="E1601" s="7"/>
      <c r="F1601" t="s">
        <v>20</v>
      </c>
      <c r="G1601" s="10" t="s">
        <v>21</v>
      </c>
      <c r="H1601" t="str">
        <f>"1562779"</f>
        <v>1562779</v>
      </c>
      <c r="I1601" t="str">
        <f t="shared" si="29"/>
        <v>BUREAU VERITAS NORTH AMERICA</v>
      </c>
    </row>
    <row r="1602" spans="1:9" x14ac:dyDescent="0.25">
      <c r="E1602" s="7"/>
      <c r="F1602" t="s">
        <v>20</v>
      </c>
      <c r="G1602" s="10" t="s">
        <v>21</v>
      </c>
      <c r="H1602" t="str">
        <f>"1562780"</f>
        <v>1562780</v>
      </c>
      <c r="I1602" t="str">
        <f t="shared" si="29"/>
        <v>BUREAU VERITAS NORTH AMERICA</v>
      </c>
    </row>
    <row r="1603" spans="1:9" x14ac:dyDescent="0.25">
      <c r="E1603" s="7"/>
      <c r="F1603" t="s">
        <v>20</v>
      </c>
      <c r="G1603" s="10" t="s">
        <v>21</v>
      </c>
      <c r="H1603" t="str">
        <f>"1562781"</f>
        <v>1562781</v>
      </c>
      <c r="I1603" t="str">
        <f t="shared" si="29"/>
        <v>BUREAU VERITAS NORTH AMERICA</v>
      </c>
    </row>
    <row r="1604" spans="1:9" x14ac:dyDescent="0.25">
      <c r="E1604" s="7"/>
      <c r="F1604" t="s">
        <v>20</v>
      </c>
      <c r="G1604" s="10" t="s">
        <v>21</v>
      </c>
      <c r="H1604" t="str">
        <f>"1562782"</f>
        <v>1562782</v>
      </c>
      <c r="I1604" t="str">
        <f t="shared" si="29"/>
        <v>BUREAU VERITAS NORTH AMERICA</v>
      </c>
    </row>
    <row r="1605" spans="1:9" x14ac:dyDescent="0.25">
      <c r="E1605" s="7"/>
      <c r="F1605" t="s">
        <v>20</v>
      </c>
      <c r="G1605" s="10" t="s">
        <v>21</v>
      </c>
      <c r="H1605" t="str">
        <f>"1562783"</f>
        <v>1562783</v>
      </c>
      <c r="I1605" t="str">
        <f t="shared" si="29"/>
        <v>BUREAU VERITAS NORTH AMERICA</v>
      </c>
    </row>
    <row r="1606" spans="1:9" x14ac:dyDescent="0.25">
      <c r="E1606" s="7"/>
      <c r="F1606" t="s">
        <v>20</v>
      </c>
      <c r="G1606" s="10" t="s">
        <v>21</v>
      </c>
      <c r="H1606" t="str">
        <f>"1562784"</f>
        <v>1562784</v>
      </c>
      <c r="I1606" t="str">
        <f t="shared" si="29"/>
        <v>BUREAU VERITAS NORTH AMERICA</v>
      </c>
    </row>
    <row r="1607" spans="1:9" x14ac:dyDescent="0.25">
      <c r="E1607" s="7"/>
      <c r="F1607" t="s">
        <v>20</v>
      </c>
      <c r="G1607" s="10" t="s">
        <v>21</v>
      </c>
      <c r="H1607" t="str">
        <f>"1562785"</f>
        <v>1562785</v>
      </c>
      <c r="I1607" t="str">
        <f t="shared" si="29"/>
        <v>BUREAU VERITAS NORTH AMERICA</v>
      </c>
    </row>
    <row r="1608" spans="1:9" x14ac:dyDescent="0.25">
      <c r="E1608" s="7"/>
      <c r="F1608" t="s">
        <v>20</v>
      </c>
      <c r="G1608" s="10" t="s">
        <v>21</v>
      </c>
      <c r="H1608" t="str">
        <f>"1562786"</f>
        <v>1562786</v>
      </c>
      <c r="I1608" t="str">
        <f t="shared" si="29"/>
        <v>BUREAU VERITAS NORTH AMERICA</v>
      </c>
    </row>
    <row r="1609" spans="1:9" x14ac:dyDescent="0.25">
      <c r="E1609" s="7"/>
      <c r="F1609" t="s">
        <v>20</v>
      </c>
      <c r="G1609" s="10" t="s">
        <v>21</v>
      </c>
      <c r="H1609" t="str">
        <f>"1562787"</f>
        <v>1562787</v>
      </c>
      <c r="I1609" t="str">
        <f t="shared" si="29"/>
        <v>BUREAU VERITAS NORTH AMERICA</v>
      </c>
    </row>
    <row r="1610" spans="1:9" x14ac:dyDescent="0.25">
      <c r="E1610" s="7"/>
      <c r="F1610" t="s">
        <v>20</v>
      </c>
      <c r="G1610" s="10" t="s">
        <v>21</v>
      </c>
      <c r="H1610" t="str">
        <f>"1562788"</f>
        <v>1562788</v>
      </c>
      <c r="I1610" t="str">
        <f t="shared" si="29"/>
        <v>BUREAU VERITAS NORTH AMERICA</v>
      </c>
    </row>
    <row r="1611" spans="1:9" x14ac:dyDescent="0.25">
      <c r="E1611" s="7"/>
      <c r="F1611" t="s">
        <v>20</v>
      </c>
      <c r="G1611" s="10" t="s">
        <v>21</v>
      </c>
      <c r="H1611" t="str">
        <f>"1562789"</f>
        <v>1562789</v>
      </c>
      <c r="I1611" t="str">
        <f t="shared" si="29"/>
        <v>BUREAU VERITAS NORTH AMERICA</v>
      </c>
    </row>
    <row r="1612" spans="1:9" x14ac:dyDescent="0.25">
      <c r="A1612" s="6">
        <v>44216</v>
      </c>
      <c r="B1612" t="s">
        <v>26</v>
      </c>
      <c r="C1612">
        <v>65896</v>
      </c>
      <c r="D1612" t="s">
        <v>867</v>
      </c>
      <c r="E1612" s="7">
        <v>129.49</v>
      </c>
      <c r="F1612" t="s">
        <v>20</v>
      </c>
      <c r="G1612" s="10" t="s">
        <v>21</v>
      </c>
      <c r="H1612" t="str">
        <f>"13-2868"</f>
        <v>13-2868</v>
      </c>
      <c r="I1612" t="str">
        <f>"SAFETY GLASSES FOR PW"</f>
        <v>SAFETY GLASSES FOR PW</v>
      </c>
    </row>
    <row r="1613" spans="1:9" x14ac:dyDescent="0.25">
      <c r="A1613" s="6">
        <v>44216</v>
      </c>
      <c r="B1613" t="s">
        <v>26</v>
      </c>
      <c r="C1613">
        <v>65897</v>
      </c>
      <c r="D1613" t="s">
        <v>102</v>
      </c>
      <c r="E1613" s="7">
        <v>315.25</v>
      </c>
      <c r="F1613" t="s">
        <v>20</v>
      </c>
      <c r="G1613" s="10" t="s">
        <v>21</v>
      </c>
      <c r="H1613" t="str">
        <f>"1120D ST DEC.2020"</f>
        <v>1120D ST DEC.2020</v>
      </c>
      <c r="I1613" t="str">
        <f>"CENTERPOINT ENERGY ENTEX"</f>
        <v>CENTERPOINT ENERGY ENTEX</v>
      </c>
    </row>
    <row r="1614" spans="1:9" x14ac:dyDescent="0.25">
      <c r="E1614" s="7"/>
      <c r="F1614" t="s">
        <v>20</v>
      </c>
      <c r="G1614" s="10" t="s">
        <v>21</v>
      </c>
      <c r="H1614" t="str">
        <f>"1200 1ST DE.2020"</f>
        <v>1200 1ST DE.2020</v>
      </c>
      <c r="I1614" t="str">
        <f>"CENTERPOINT ENERGY ENTEX"</f>
        <v>CENTERPOINT ENERGY ENTEX</v>
      </c>
    </row>
    <row r="1615" spans="1:9" x14ac:dyDescent="0.25">
      <c r="E1615" s="7"/>
      <c r="F1615" t="s">
        <v>20</v>
      </c>
      <c r="G1615" s="10" t="s">
        <v>21</v>
      </c>
      <c r="H1615" t="str">
        <f>"920C ST DEC2020"</f>
        <v>920C ST DEC2020</v>
      </c>
      <c r="I1615" t="str">
        <f>"CENTERPOINT ENERGY ENTEX"</f>
        <v>CENTERPOINT ENERGY ENTEX</v>
      </c>
    </row>
    <row r="1616" spans="1:9" x14ac:dyDescent="0.25">
      <c r="A1616" s="6">
        <v>44216</v>
      </c>
      <c r="B1616" t="s">
        <v>26</v>
      </c>
      <c r="C1616">
        <v>65898</v>
      </c>
      <c r="D1616" t="s">
        <v>63</v>
      </c>
      <c r="E1616" s="7">
        <v>1744.6</v>
      </c>
      <c r="F1616" t="s">
        <v>20</v>
      </c>
      <c r="G1616" s="10" t="s">
        <v>21</v>
      </c>
      <c r="H1616" t="str">
        <f>"8404942637"</f>
        <v>8404942637</v>
      </c>
      <c r="I1616" t="str">
        <f>"CINTAS CORPORATION"</f>
        <v>CINTAS CORPORATION</v>
      </c>
    </row>
    <row r="1617" spans="1:9" x14ac:dyDescent="0.25">
      <c r="E1617" s="7"/>
      <c r="F1617" t="s">
        <v>20</v>
      </c>
      <c r="G1617" s="10" t="s">
        <v>21</v>
      </c>
      <c r="H1617" t="str">
        <f>"8404963196"</f>
        <v>8404963196</v>
      </c>
      <c r="I1617" t="str">
        <f>"CINTAS CORPORATION"</f>
        <v>CINTAS CORPORATION</v>
      </c>
    </row>
    <row r="1618" spans="1:9" x14ac:dyDescent="0.25">
      <c r="A1618" s="6">
        <v>44216</v>
      </c>
      <c r="B1618" t="s">
        <v>26</v>
      </c>
      <c r="C1618">
        <v>65899</v>
      </c>
      <c r="D1618" t="s">
        <v>71</v>
      </c>
      <c r="E1618" s="7">
        <v>1033.72</v>
      </c>
      <c r="F1618" t="s">
        <v>20</v>
      </c>
      <c r="G1618" s="10" t="s">
        <v>21</v>
      </c>
      <c r="H1618" t="str">
        <f>"4071405171"</f>
        <v>4071405171</v>
      </c>
      <c r="I1618" t="str">
        <f t="shared" ref="I1618:I1626" si="30">"CINTAS CORPORATION #087"</f>
        <v>CINTAS CORPORATION #087</v>
      </c>
    </row>
    <row r="1619" spans="1:9" x14ac:dyDescent="0.25">
      <c r="E1619" s="7"/>
      <c r="F1619" t="s">
        <v>20</v>
      </c>
      <c r="G1619" s="10" t="s">
        <v>21</v>
      </c>
      <c r="H1619" t="str">
        <f>"4071997710"</f>
        <v>4071997710</v>
      </c>
      <c r="I1619" t="str">
        <f t="shared" si="30"/>
        <v>CINTAS CORPORATION #087</v>
      </c>
    </row>
    <row r="1620" spans="1:9" x14ac:dyDescent="0.25">
      <c r="E1620" s="7"/>
      <c r="F1620" t="s">
        <v>20</v>
      </c>
      <c r="G1620" s="10" t="s">
        <v>21</v>
      </c>
      <c r="H1620" t="str">
        <f>"4071997777"</f>
        <v>4071997777</v>
      </c>
      <c r="I1620" t="str">
        <f t="shared" si="30"/>
        <v>CINTAS CORPORATION #087</v>
      </c>
    </row>
    <row r="1621" spans="1:9" x14ac:dyDescent="0.25">
      <c r="E1621" s="7"/>
      <c r="F1621" t="s">
        <v>20</v>
      </c>
      <c r="G1621" s="10" t="s">
        <v>21</v>
      </c>
      <c r="H1621" t="str">
        <f>"4072624730"</f>
        <v>4072624730</v>
      </c>
      <c r="I1621" t="str">
        <f t="shared" si="30"/>
        <v>CINTAS CORPORATION #087</v>
      </c>
    </row>
    <row r="1622" spans="1:9" x14ac:dyDescent="0.25">
      <c r="E1622" s="7"/>
      <c r="F1622" t="s">
        <v>20</v>
      </c>
      <c r="G1622" s="10" t="s">
        <v>21</v>
      </c>
      <c r="H1622" t="str">
        <f>"4072624758"</f>
        <v>4072624758</v>
      </c>
      <c r="I1622" t="str">
        <f t="shared" si="30"/>
        <v>CINTAS CORPORATION #087</v>
      </c>
    </row>
    <row r="1623" spans="1:9" x14ac:dyDescent="0.25">
      <c r="E1623" s="7"/>
      <c r="F1623" t="s">
        <v>20</v>
      </c>
      <c r="G1623" s="10" t="s">
        <v>21</v>
      </c>
      <c r="H1623" t="str">
        <f>"4072624768"</f>
        <v>4072624768</v>
      </c>
      <c r="I1623" t="str">
        <f t="shared" si="30"/>
        <v>CINTAS CORPORATION #087</v>
      </c>
    </row>
    <row r="1624" spans="1:9" x14ac:dyDescent="0.25">
      <c r="E1624" s="7"/>
      <c r="F1624" t="s">
        <v>20</v>
      </c>
      <c r="G1624" s="10" t="s">
        <v>21</v>
      </c>
      <c r="H1624" t="str">
        <f>"4072624854"</f>
        <v>4072624854</v>
      </c>
      <c r="I1624" t="str">
        <f t="shared" si="30"/>
        <v>CINTAS CORPORATION #087</v>
      </c>
    </row>
    <row r="1625" spans="1:9" x14ac:dyDescent="0.25">
      <c r="E1625" s="7"/>
      <c r="F1625" t="s">
        <v>20</v>
      </c>
      <c r="G1625" s="10" t="s">
        <v>21</v>
      </c>
      <c r="H1625" t="str">
        <f>"4072624892"</f>
        <v>4072624892</v>
      </c>
      <c r="I1625" t="str">
        <f t="shared" si="30"/>
        <v>CINTAS CORPORATION #087</v>
      </c>
    </row>
    <row r="1626" spans="1:9" x14ac:dyDescent="0.25">
      <c r="E1626" s="7"/>
      <c r="F1626" t="s">
        <v>20</v>
      </c>
      <c r="G1626" s="10" t="s">
        <v>21</v>
      </c>
      <c r="H1626" t="str">
        <f>"4073261016"</f>
        <v>4073261016</v>
      </c>
      <c r="I1626" t="str">
        <f t="shared" si="30"/>
        <v>CINTAS CORPORATION #087</v>
      </c>
    </row>
    <row r="1627" spans="1:9" x14ac:dyDescent="0.25">
      <c r="A1627" s="6">
        <v>44216</v>
      </c>
      <c r="B1627" t="s">
        <v>26</v>
      </c>
      <c r="C1627">
        <v>65901</v>
      </c>
      <c r="D1627" t="s">
        <v>661</v>
      </c>
      <c r="E1627" s="7">
        <v>99</v>
      </c>
      <c r="F1627" t="s">
        <v>20</v>
      </c>
      <c r="G1627" s="10" t="s">
        <v>21</v>
      </c>
      <c r="H1627" t="str">
        <f>"8404950375"</f>
        <v>8404950375</v>
      </c>
      <c r="I1627" t="str">
        <f>"CINTAS FAS LOCKBOX 631025"</f>
        <v>CINTAS FAS LOCKBOX 631025</v>
      </c>
    </row>
    <row r="1628" spans="1:9" x14ac:dyDescent="0.25">
      <c r="A1628" s="6">
        <v>44216</v>
      </c>
      <c r="B1628" t="s">
        <v>26</v>
      </c>
      <c r="C1628">
        <v>65902</v>
      </c>
      <c r="D1628" t="s">
        <v>366</v>
      </c>
      <c r="E1628" s="7">
        <v>5668.1</v>
      </c>
      <c r="F1628" t="s">
        <v>20</v>
      </c>
      <c r="G1628" s="10" t="s">
        <v>21</v>
      </c>
      <c r="H1628" t="str">
        <f>"QRT END 12/31/20"</f>
        <v>QRT END 12/31/20</v>
      </c>
      <c r="I1628" t="str">
        <f>"COMPTROLLER OF PUBLIC ACCOUNTS"</f>
        <v>COMPTROLLER OF PUBLIC ACCOUNTS</v>
      </c>
    </row>
    <row r="1629" spans="1:9" x14ac:dyDescent="0.25">
      <c r="A1629" s="6">
        <v>44216</v>
      </c>
      <c r="B1629" t="s">
        <v>26</v>
      </c>
      <c r="C1629">
        <v>65903</v>
      </c>
      <c r="D1629" t="s">
        <v>58</v>
      </c>
      <c r="E1629" s="7">
        <v>30</v>
      </c>
      <c r="F1629" t="s">
        <v>20</v>
      </c>
      <c r="G1629" s="10" t="s">
        <v>21</v>
      </c>
      <c r="H1629" t="str">
        <f>"621735"</f>
        <v>621735</v>
      </c>
      <c r="I1629" t="str">
        <f>"DEASON ANIMAL HOSPITAL"</f>
        <v>DEASON ANIMAL HOSPITAL</v>
      </c>
    </row>
    <row r="1630" spans="1:9" x14ac:dyDescent="0.25">
      <c r="A1630" s="6">
        <v>44216</v>
      </c>
      <c r="B1630" t="s">
        <v>26</v>
      </c>
      <c r="C1630">
        <v>65904</v>
      </c>
      <c r="D1630" t="s">
        <v>647</v>
      </c>
      <c r="E1630" s="7">
        <v>3871.14</v>
      </c>
      <c r="F1630" t="s">
        <v>20</v>
      </c>
      <c r="G1630" s="10" t="s">
        <v>21</v>
      </c>
      <c r="H1630" t="str">
        <f>"28529489"</f>
        <v>28529489</v>
      </c>
      <c r="I1630" t="str">
        <f>"DOCUMATION  INC."</f>
        <v>DOCUMATION  INC.</v>
      </c>
    </row>
    <row r="1631" spans="1:9" x14ac:dyDescent="0.25">
      <c r="A1631" s="6">
        <v>44216</v>
      </c>
      <c r="B1631" t="s">
        <v>26</v>
      </c>
      <c r="C1631">
        <v>65906</v>
      </c>
      <c r="D1631" t="s">
        <v>1019</v>
      </c>
      <c r="E1631" s="7">
        <v>105</v>
      </c>
      <c r="F1631" t="s">
        <v>20</v>
      </c>
      <c r="G1631" s="10" t="s">
        <v>21</v>
      </c>
      <c r="H1631" t="str">
        <f>"175407A"</f>
        <v>175407A</v>
      </c>
      <c r="I1631" t="str">
        <f>"ENVELOPE KIT"</f>
        <v>ENVELOPE KIT</v>
      </c>
    </row>
    <row r="1632" spans="1:9" x14ac:dyDescent="0.25">
      <c r="A1632" s="6">
        <v>44216</v>
      </c>
      <c r="B1632" t="s">
        <v>26</v>
      </c>
      <c r="C1632">
        <v>65907</v>
      </c>
      <c r="D1632" t="s">
        <v>69</v>
      </c>
      <c r="E1632" s="7">
        <v>934.7</v>
      </c>
      <c r="F1632" t="s">
        <v>20</v>
      </c>
      <c r="G1632" s="10" t="s">
        <v>21</v>
      </c>
      <c r="H1632" t="str">
        <f>"3C04281"</f>
        <v>3C04281</v>
      </c>
      <c r="I1632" t="str">
        <f>"SUPPLIES FOR PARKS DEPT"</f>
        <v>SUPPLIES FOR PARKS DEPT</v>
      </c>
    </row>
    <row r="1633" spans="1:9" x14ac:dyDescent="0.25">
      <c r="A1633" s="6">
        <v>44216</v>
      </c>
      <c r="B1633" t="s">
        <v>26</v>
      </c>
      <c r="C1633">
        <v>65909</v>
      </c>
      <c r="D1633" t="s">
        <v>79</v>
      </c>
      <c r="E1633" s="7">
        <v>13.24</v>
      </c>
      <c r="F1633" t="s">
        <v>20</v>
      </c>
      <c r="G1633" s="10" t="s">
        <v>21</v>
      </c>
      <c r="H1633" t="str">
        <f>"7-231-80693"</f>
        <v>7-231-80693</v>
      </c>
      <c r="I1633" t="str">
        <f>"FEDEX"</f>
        <v>FEDEX</v>
      </c>
    </row>
    <row r="1634" spans="1:9" x14ac:dyDescent="0.25">
      <c r="E1634" s="7"/>
      <c r="F1634" t="s">
        <v>20</v>
      </c>
      <c r="G1634" s="10" t="s">
        <v>21</v>
      </c>
      <c r="H1634" t="str">
        <f>"7-238-46693"</f>
        <v>7-238-46693</v>
      </c>
      <c r="I1634" t="str">
        <f>"FEDEX"</f>
        <v>FEDEX</v>
      </c>
    </row>
    <row r="1635" spans="1:9" x14ac:dyDescent="0.25">
      <c r="A1635" s="6">
        <v>44216</v>
      </c>
      <c r="B1635" t="s">
        <v>26</v>
      </c>
      <c r="C1635">
        <v>65910</v>
      </c>
      <c r="D1635" t="s">
        <v>59</v>
      </c>
      <c r="E1635" s="7">
        <v>1116.31</v>
      </c>
      <c r="F1635" t="s">
        <v>20</v>
      </c>
      <c r="G1635" s="10" t="s">
        <v>21</v>
      </c>
      <c r="H1635" t="str">
        <f>"1092084"</f>
        <v>1092084</v>
      </c>
      <c r="I1635" t="str">
        <f>"STARBUCKS/MISC STOCK"</f>
        <v>STARBUCKS/MISC STOCK</v>
      </c>
    </row>
    <row r="1636" spans="1:9" x14ac:dyDescent="0.25">
      <c r="E1636" s="7"/>
      <c r="F1636" t="s">
        <v>20</v>
      </c>
      <c r="G1636" s="10" t="s">
        <v>21</v>
      </c>
      <c r="H1636" t="str">
        <f>"1092428"</f>
        <v>1092428</v>
      </c>
      <c r="I1636" t="str">
        <f>"RISERS FOR MANHOLES"</f>
        <v>RISERS FOR MANHOLES</v>
      </c>
    </row>
    <row r="1637" spans="1:9" x14ac:dyDescent="0.25">
      <c r="A1637" s="6">
        <v>44216</v>
      </c>
      <c r="B1637" t="s">
        <v>26</v>
      </c>
      <c r="C1637">
        <v>65911</v>
      </c>
      <c r="D1637" t="s">
        <v>85</v>
      </c>
      <c r="E1637" s="7">
        <v>842.7</v>
      </c>
      <c r="F1637" t="s">
        <v>20</v>
      </c>
      <c r="G1637" s="10" t="s">
        <v>21</v>
      </c>
      <c r="H1637" t="str">
        <f>"3930579 JAN 2021"</f>
        <v>3930579 JAN 2021</v>
      </c>
      <c r="I1637" t="str">
        <f>"FRONTIER"</f>
        <v>FRONTIER</v>
      </c>
    </row>
    <row r="1638" spans="1:9" x14ac:dyDescent="0.25">
      <c r="E1638" s="7"/>
      <c r="F1638" t="s">
        <v>20</v>
      </c>
      <c r="G1638" s="10" t="s">
        <v>21</v>
      </c>
      <c r="H1638" t="str">
        <f>"3933108 JAN 2021"</f>
        <v>3933108 JAN 2021</v>
      </c>
      <c r="I1638" t="str">
        <f>"FRONTIER"</f>
        <v>FRONTIER</v>
      </c>
    </row>
    <row r="1639" spans="1:9" x14ac:dyDescent="0.25">
      <c r="E1639" s="7"/>
      <c r="F1639" t="s">
        <v>20</v>
      </c>
      <c r="G1639" s="10" t="s">
        <v>21</v>
      </c>
      <c r="H1639" t="str">
        <f>"3934055 JAN.2021"</f>
        <v>3934055 JAN.2021</v>
      </c>
      <c r="I1639" t="str">
        <f>"FRONTIER"</f>
        <v>FRONTIER</v>
      </c>
    </row>
    <row r="1640" spans="1:9" x14ac:dyDescent="0.25">
      <c r="E1640" s="7"/>
      <c r="F1640" t="s">
        <v>20</v>
      </c>
      <c r="G1640" s="10" t="s">
        <v>21</v>
      </c>
      <c r="H1640" t="str">
        <f>"3938193 JAN 2021"</f>
        <v>3938193 JAN 2021</v>
      </c>
      <c r="I1640" t="str">
        <f>"FRONTIER"</f>
        <v>FRONTIER</v>
      </c>
    </row>
    <row r="1641" spans="1:9" x14ac:dyDescent="0.25">
      <c r="E1641" s="7"/>
      <c r="F1641" t="s">
        <v>20</v>
      </c>
      <c r="G1641" s="10" t="s">
        <v>21</v>
      </c>
      <c r="H1641" t="str">
        <f>"3939791 JAN 2021"</f>
        <v>3939791 JAN 2021</v>
      </c>
      <c r="I1641" t="str">
        <f>"FRONTIER"</f>
        <v>FRONTIER</v>
      </c>
    </row>
    <row r="1642" spans="1:9" x14ac:dyDescent="0.25">
      <c r="A1642" s="6">
        <v>44216</v>
      </c>
      <c r="B1642" t="s">
        <v>26</v>
      </c>
      <c r="C1642">
        <v>65912</v>
      </c>
      <c r="D1642" t="s">
        <v>194</v>
      </c>
      <c r="E1642" s="7">
        <v>692.68</v>
      </c>
      <c r="F1642" t="s">
        <v>20</v>
      </c>
      <c r="G1642" s="10" t="s">
        <v>21</v>
      </c>
      <c r="H1642" t="str">
        <f>"017099947"</f>
        <v>017099947</v>
      </c>
      <c r="I1642" t="str">
        <f>"GALLS  LLC-D.B.A. STERLING'S U"</f>
        <v>GALLS  LLC-D.B.A. STERLING'S U</v>
      </c>
    </row>
    <row r="1643" spans="1:9" x14ac:dyDescent="0.25">
      <c r="E1643" s="7"/>
      <c r="F1643" t="s">
        <v>20</v>
      </c>
      <c r="G1643" s="10" t="s">
        <v>21</v>
      </c>
      <c r="H1643" t="str">
        <f>"017217839"</f>
        <v>017217839</v>
      </c>
      <c r="I1643" t="str">
        <f>"GALLS  LLC-D.B.A. STERLING'S U"</f>
        <v>GALLS  LLC-D.B.A. STERLING'S U</v>
      </c>
    </row>
    <row r="1644" spans="1:9" x14ac:dyDescent="0.25">
      <c r="E1644" s="7"/>
      <c r="F1644" t="s">
        <v>20</v>
      </c>
      <c r="G1644" s="10" t="s">
        <v>21</v>
      </c>
      <c r="H1644" t="str">
        <f>"017253039"</f>
        <v>017253039</v>
      </c>
      <c r="I1644" t="str">
        <f>"UNIFOMS"</f>
        <v>UNIFOMS</v>
      </c>
    </row>
    <row r="1645" spans="1:9" x14ac:dyDescent="0.25">
      <c r="A1645" s="6">
        <v>44216</v>
      </c>
      <c r="B1645" t="s">
        <v>26</v>
      </c>
      <c r="C1645">
        <v>65913</v>
      </c>
      <c r="D1645" t="s">
        <v>924</v>
      </c>
      <c r="E1645" s="7">
        <v>81</v>
      </c>
      <c r="F1645" t="s">
        <v>20</v>
      </c>
      <c r="G1645" s="10" t="s">
        <v>21</v>
      </c>
      <c r="H1645" t="str">
        <f>"TEEX GRND WATER"</f>
        <v>TEEX GRND WATER</v>
      </c>
      <c r="I1645" t="str">
        <f>"GERONIMO TUNCHEZ"</f>
        <v>GERONIMO TUNCHEZ</v>
      </c>
    </row>
    <row r="1646" spans="1:9" x14ac:dyDescent="0.25">
      <c r="A1646" s="6">
        <v>44216</v>
      </c>
      <c r="B1646" t="s">
        <v>26</v>
      </c>
      <c r="C1646">
        <v>65914</v>
      </c>
      <c r="D1646" t="s">
        <v>398</v>
      </c>
      <c r="E1646" s="7">
        <v>56.5</v>
      </c>
      <c r="F1646" t="s">
        <v>20</v>
      </c>
      <c r="G1646" s="10" t="s">
        <v>21</v>
      </c>
      <c r="H1646" t="str">
        <f>"20210108"</f>
        <v>20210108</v>
      </c>
      <c r="I1646" t="str">
        <f>"INTERCEPTOR TECHNOLOGY GROUP L"</f>
        <v>INTERCEPTOR TECHNOLOGY GROUP L</v>
      </c>
    </row>
    <row r="1647" spans="1:9" x14ac:dyDescent="0.25">
      <c r="A1647" s="6">
        <v>44216</v>
      </c>
      <c r="B1647" t="s">
        <v>26</v>
      </c>
      <c r="C1647">
        <v>65915</v>
      </c>
      <c r="D1647" t="s">
        <v>125</v>
      </c>
      <c r="E1647" s="7">
        <v>1350</v>
      </c>
      <c r="F1647" t="s">
        <v>20</v>
      </c>
      <c r="G1647" s="10" t="s">
        <v>21</v>
      </c>
      <c r="H1647" t="str">
        <f>"18-02020 DEC2020"</f>
        <v>18-02020 DEC2020</v>
      </c>
      <c r="I1647" t="str">
        <f>"INTREPID SURVEYING CORPORATION"</f>
        <v>INTREPID SURVEYING CORPORATION</v>
      </c>
    </row>
    <row r="1648" spans="1:9" x14ac:dyDescent="0.25">
      <c r="E1648" s="7"/>
      <c r="F1648" t="s">
        <v>20</v>
      </c>
      <c r="G1648" s="10" t="s">
        <v>21</v>
      </c>
      <c r="H1648" t="str">
        <f>"20-07110 DEC2020"</f>
        <v>20-07110 DEC2020</v>
      </c>
      <c r="I1648" t="str">
        <f>"INTREPID SURVEYING CORPORATION"</f>
        <v>INTREPID SURVEYING CORPORATION</v>
      </c>
    </row>
    <row r="1649" spans="1:9" x14ac:dyDescent="0.25">
      <c r="A1649" s="6">
        <v>44216</v>
      </c>
      <c r="B1649" t="s">
        <v>26</v>
      </c>
      <c r="C1649">
        <v>65916</v>
      </c>
      <c r="D1649" t="s">
        <v>1017</v>
      </c>
      <c r="E1649" s="7">
        <v>58</v>
      </c>
      <c r="F1649" t="s">
        <v>20</v>
      </c>
      <c r="G1649" s="10" t="s">
        <v>21</v>
      </c>
      <c r="H1649" t="str">
        <f>"67833113"</f>
        <v>67833113</v>
      </c>
      <c r="I1649" t="str">
        <f>"LABCORP"</f>
        <v>LABCORP</v>
      </c>
    </row>
    <row r="1650" spans="1:9" x14ac:dyDescent="0.25">
      <c r="A1650" s="6">
        <v>44216</v>
      </c>
      <c r="B1650" t="s">
        <v>26</v>
      </c>
      <c r="C1650">
        <v>65917</v>
      </c>
      <c r="D1650" t="s">
        <v>282</v>
      </c>
      <c r="E1650" s="7">
        <v>7500</v>
      </c>
      <c r="F1650" t="s">
        <v>20</v>
      </c>
      <c r="G1650" s="10" t="s">
        <v>21</v>
      </c>
      <c r="H1650" t="str">
        <f>"4173"</f>
        <v>4173</v>
      </c>
      <c r="I1650" t="str">
        <f>"LANGFORD COMMUNITY MANAGEMENT"</f>
        <v>LANGFORD COMMUNITY MANAGEMENT</v>
      </c>
    </row>
    <row r="1651" spans="1:9" x14ac:dyDescent="0.25">
      <c r="A1651" s="6">
        <v>44216</v>
      </c>
      <c r="B1651" t="s">
        <v>26</v>
      </c>
      <c r="C1651">
        <v>65918</v>
      </c>
      <c r="D1651" t="s">
        <v>117</v>
      </c>
      <c r="E1651" s="7">
        <v>1571.04</v>
      </c>
      <c r="F1651" t="s">
        <v>20</v>
      </c>
      <c r="G1651" s="10" t="s">
        <v>21</v>
      </c>
      <c r="H1651" t="str">
        <f>"DECEMBER 2020"</f>
        <v>DECEMBER 2020</v>
      </c>
      <c r="I1651" t="str">
        <f>"LINEBARGER GOGGAN BLAIR &amp; SAMP"</f>
        <v>LINEBARGER GOGGAN BLAIR &amp; SAMP</v>
      </c>
    </row>
    <row r="1652" spans="1:9" x14ac:dyDescent="0.25">
      <c r="A1652" s="6">
        <v>44216</v>
      </c>
      <c r="B1652" t="s">
        <v>26</v>
      </c>
      <c r="C1652">
        <v>65919</v>
      </c>
      <c r="D1652" t="s">
        <v>105</v>
      </c>
      <c r="E1652" s="7">
        <v>49</v>
      </c>
      <c r="F1652" t="s">
        <v>20</v>
      </c>
      <c r="G1652" s="10" t="s">
        <v>21</v>
      </c>
      <c r="H1652" t="str">
        <f>"375394"</f>
        <v>375394</v>
      </c>
      <c r="I1652" t="str">
        <f>"WATER DEPT UNIT 203"</f>
        <v>WATER DEPT UNIT 203</v>
      </c>
    </row>
    <row r="1653" spans="1:9" x14ac:dyDescent="0.25">
      <c r="E1653" s="7"/>
      <c r="F1653" t="s">
        <v>20</v>
      </c>
      <c r="G1653" s="10" t="s">
        <v>21</v>
      </c>
      <c r="H1653" t="str">
        <f>"375432"</f>
        <v>375432</v>
      </c>
      <c r="I1653" t="str">
        <f>"PD UNIT 333"</f>
        <v>PD UNIT 333</v>
      </c>
    </row>
    <row r="1654" spans="1:9" x14ac:dyDescent="0.25">
      <c r="E1654" s="7"/>
      <c r="F1654" t="s">
        <v>20</v>
      </c>
      <c r="G1654" s="10" t="s">
        <v>21</v>
      </c>
      <c r="H1654" t="str">
        <f>"375437"</f>
        <v>375437</v>
      </c>
      <c r="I1654" t="str">
        <f>"PD UNIT 334"</f>
        <v>PD UNIT 334</v>
      </c>
    </row>
    <row r="1655" spans="1:9" x14ac:dyDescent="0.25">
      <c r="E1655" s="7"/>
      <c r="F1655" t="s">
        <v>20</v>
      </c>
      <c r="G1655" s="10" t="s">
        <v>21</v>
      </c>
      <c r="H1655" t="str">
        <f>"375445"</f>
        <v>375445</v>
      </c>
      <c r="I1655" t="str">
        <f>"STREET DEPT UNIT 403"</f>
        <v>STREET DEPT UNIT 403</v>
      </c>
    </row>
    <row r="1656" spans="1:9" x14ac:dyDescent="0.25">
      <c r="E1656" s="7"/>
      <c r="F1656" t="s">
        <v>20</v>
      </c>
      <c r="G1656" s="10" t="s">
        <v>21</v>
      </c>
      <c r="H1656" t="str">
        <f>"375450"</f>
        <v>375450</v>
      </c>
      <c r="I1656" t="str">
        <f>"STREET DEPT UNIT 404"</f>
        <v>STREET DEPT UNIT 404</v>
      </c>
    </row>
    <row r="1657" spans="1:9" x14ac:dyDescent="0.25">
      <c r="E1657" s="7"/>
      <c r="F1657" t="s">
        <v>20</v>
      </c>
      <c r="G1657" s="10" t="s">
        <v>21</v>
      </c>
      <c r="H1657" t="str">
        <f>"375457"</f>
        <v>375457</v>
      </c>
      <c r="I1657" t="str">
        <f>"STREET DEPT UNIT 601"</f>
        <v>STREET DEPT UNIT 601</v>
      </c>
    </row>
    <row r="1658" spans="1:9" x14ac:dyDescent="0.25">
      <c r="E1658" s="7"/>
      <c r="F1658" t="s">
        <v>20</v>
      </c>
      <c r="G1658" s="10" t="s">
        <v>21</v>
      </c>
      <c r="H1658" t="str">
        <f>"375505"</f>
        <v>375505</v>
      </c>
      <c r="I1658" t="str">
        <f>"STREET DEPT UNIT 201"</f>
        <v>STREET DEPT UNIT 201</v>
      </c>
    </row>
    <row r="1659" spans="1:9" x14ac:dyDescent="0.25">
      <c r="A1659" s="6">
        <v>44216</v>
      </c>
      <c r="B1659" t="s">
        <v>26</v>
      </c>
      <c r="C1659">
        <v>65921</v>
      </c>
      <c r="D1659" t="s">
        <v>829</v>
      </c>
      <c r="E1659" s="7">
        <v>138</v>
      </c>
      <c r="F1659" t="s">
        <v>20</v>
      </c>
      <c r="G1659" s="10" t="s">
        <v>21</v>
      </c>
      <c r="H1659" t="str">
        <f>"ALAMO REG. LAW ENF"</f>
        <v>ALAMO REG. LAW ENF</v>
      </c>
      <c r="I1659" t="str">
        <f>"TRAINING/CONFERENCE"</f>
        <v>TRAINING/CONFERENCE</v>
      </c>
    </row>
    <row r="1660" spans="1:9" x14ac:dyDescent="0.25">
      <c r="A1660" s="6">
        <v>44216</v>
      </c>
      <c r="B1660" t="s">
        <v>26</v>
      </c>
      <c r="C1660">
        <v>65922</v>
      </c>
      <c r="D1660" t="s">
        <v>326</v>
      </c>
      <c r="E1660" s="7">
        <v>41</v>
      </c>
      <c r="F1660" t="s">
        <v>20</v>
      </c>
      <c r="G1660" s="10" t="s">
        <v>21</v>
      </c>
      <c r="H1660" t="str">
        <f>"22850500"</f>
        <v>22850500</v>
      </c>
      <c r="I1660" t="str">
        <f>"MATHESON TRI-GAS INC"</f>
        <v>MATHESON TRI-GAS INC</v>
      </c>
    </row>
    <row r="1661" spans="1:9" x14ac:dyDescent="0.25">
      <c r="A1661" s="6">
        <v>44216</v>
      </c>
      <c r="B1661" t="s">
        <v>26</v>
      </c>
      <c r="C1661">
        <v>65923</v>
      </c>
      <c r="D1661" t="s">
        <v>124</v>
      </c>
      <c r="E1661" s="7">
        <v>132.27000000000001</v>
      </c>
      <c r="F1661" t="s">
        <v>20</v>
      </c>
      <c r="G1661" s="10" t="s">
        <v>21</v>
      </c>
      <c r="H1661" t="str">
        <f>"111982148"</f>
        <v>111982148</v>
      </c>
      <c r="I1661" t="str">
        <f>"SUPPLIES FOR WWTP"</f>
        <v>SUPPLIES FOR WWTP</v>
      </c>
    </row>
    <row r="1662" spans="1:9" x14ac:dyDescent="0.25">
      <c r="A1662" s="6">
        <v>44216</v>
      </c>
      <c r="B1662" t="s">
        <v>26</v>
      </c>
      <c r="C1662">
        <v>65924</v>
      </c>
      <c r="D1662" t="s">
        <v>345</v>
      </c>
      <c r="E1662" s="7">
        <v>242</v>
      </c>
      <c r="F1662" t="s">
        <v>20</v>
      </c>
      <c r="G1662" s="10" t="s">
        <v>21</v>
      </c>
      <c r="H1662" t="str">
        <f>"1/18/2021"</f>
        <v>1/18/2021</v>
      </c>
      <c r="I1662" t="str">
        <f>"MICHAEL ISAAC MARTINEZ"</f>
        <v>MICHAEL ISAAC MARTINEZ</v>
      </c>
    </row>
    <row r="1663" spans="1:9" x14ac:dyDescent="0.25">
      <c r="A1663" s="6">
        <v>44216</v>
      </c>
      <c r="B1663" t="s">
        <v>26</v>
      </c>
      <c r="C1663">
        <v>65925</v>
      </c>
      <c r="D1663" t="s">
        <v>123</v>
      </c>
      <c r="E1663" s="7">
        <v>2502.2399999999998</v>
      </c>
      <c r="F1663" t="s">
        <v>20</v>
      </c>
      <c r="G1663" s="10" t="s">
        <v>21</v>
      </c>
      <c r="H1663" t="str">
        <f>"128132338001"</f>
        <v>128132338001</v>
      </c>
      <c r="I1663" t="str">
        <f>"FILE CABINETS FOR HR"</f>
        <v>FILE CABINETS FOR HR</v>
      </c>
    </row>
    <row r="1664" spans="1:9" x14ac:dyDescent="0.25">
      <c r="E1664" s="7"/>
      <c r="F1664" t="s">
        <v>20</v>
      </c>
      <c r="G1664" s="10" t="s">
        <v>21</v>
      </c>
      <c r="H1664" t="str">
        <f>"143919490001"</f>
        <v>143919490001</v>
      </c>
      <c r="I1664" t="str">
        <f>"OFFICE SUPPLIES FOR PD"</f>
        <v>OFFICE SUPPLIES FOR PD</v>
      </c>
    </row>
    <row r="1665" spans="1:9" x14ac:dyDescent="0.25">
      <c r="E1665" s="7"/>
      <c r="F1665" t="s">
        <v>20</v>
      </c>
      <c r="G1665" s="10" t="s">
        <v>21</v>
      </c>
      <c r="H1665" t="str">
        <f>"143922149001"</f>
        <v>143922149001</v>
      </c>
      <c r="I1665" t="str">
        <f>"OFFICE SUPPLIES FOR PD"</f>
        <v>OFFICE SUPPLIES FOR PD</v>
      </c>
    </row>
    <row r="1666" spans="1:9" x14ac:dyDescent="0.25">
      <c r="E1666" s="7"/>
      <c r="F1666" t="s">
        <v>20</v>
      </c>
      <c r="G1666" s="10" t="s">
        <v>21</v>
      </c>
      <c r="H1666" t="str">
        <f>"144659460001"</f>
        <v>144659460001</v>
      </c>
      <c r="I1666" t="str">
        <f>"COVID CLEANING SUPPLIES"</f>
        <v>COVID CLEANING SUPPLIES</v>
      </c>
    </row>
    <row r="1667" spans="1:9" x14ac:dyDescent="0.25">
      <c r="E1667" s="7"/>
      <c r="F1667" t="s">
        <v>20</v>
      </c>
      <c r="G1667" s="10" t="s">
        <v>21</v>
      </c>
      <c r="H1667" t="str">
        <f>"144663441001"</f>
        <v>144663441001</v>
      </c>
      <c r="I1667" t="str">
        <f>"COVID CLEANING SUPPLIES"</f>
        <v>COVID CLEANING SUPPLIES</v>
      </c>
    </row>
    <row r="1668" spans="1:9" x14ac:dyDescent="0.25">
      <c r="A1668" s="6">
        <v>44216</v>
      </c>
      <c r="B1668" t="s">
        <v>26</v>
      </c>
      <c r="C1668">
        <v>65927</v>
      </c>
      <c r="D1668" t="s">
        <v>106</v>
      </c>
      <c r="E1668" s="7">
        <v>91.3</v>
      </c>
      <c r="F1668" t="s">
        <v>20</v>
      </c>
      <c r="G1668" s="10" t="s">
        <v>21</v>
      </c>
      <c r="H1668" t="s">
        <v>1020</v>
      </c>
      <c r="I1668" t="s">
        <v>1021</v>
      </c>
    </row>
    <row r="1669" spans="1:9" x14ac:dyDescent="0.25">
      <c r="A1669" s="6">
        <v>44216</v>
      </c>
      <c r="B1669" t="s">
        <v>26</v>
      </c>
      <c r="C1669">
        <v>65928</v>
      </c>
      <c r="D1669" t="s">
        <v>169</v>
      </c>
      <c r="E1669" s="7">
        <v>35.1</v>
      </c>
      <c r="F1669" t="s">
        <v>20</v>
      </c>
      <c r="G1669" s="10" t="s">
        <v>21</v>
      </c>
      <c r="H1669" t="str">
        <f>"142039"</f>
        <v>142039</v>
      </c>
      <c r="I1669" t="str">
        <f>"THE POLICE AND SHERIFFS PRESS"</f>
        <v>THE POLICE AND SHERIFFS PRESS</v>
      </c>
    </row>
    <row r="1670" spans="1:9" x14ac:dyDescent="0.25">
      <c r="E1670" s="7"/>
      <c r="F1670" t="s">
        <v>20</v>
      </c>
      <c r="G1670" s="10" t="s">
        <v>21</v>
      </c>
      <c r="H1670" t="str">
        <f>"142449"</f>
        <v>142449</v>
      </c>
      <c r="I1670" t="str">
        <f>"THE POLICE AND SHERIFFS PRESS"</f>
        <v>THE POLICE AND SHERIFFS PRESS</v>
      </c>
    </row>
    <row r="1671" spans="1:9" x14ac:dyDescent="0.25">
      <c r="A1671" s="6">
        <v>44216</v>
      </c>
      <c r="B1671" t="s">
        <v>26</v>
      </c>
      <c r="C1671">
        <v>65929</v>
      </c>
      <c r="D1671" t="s">
        <v>323</v>
      </c>
      <c r="E1671" s="7">
        <v>20</v>
      </c>
      <c r="F1671" t="s">
        <v>20</v>
      </c>
      <c r="G1671" s="10" t="s">
        <v>21</v>
      </c>
      <c r="H1671" t="str">
        <f>"UNIT 187 1/14/2021"</f>
        <v>UNIT 187 1/14/2021</v>
      </c>
      <c r="I1671" t="str">
        <f>"POLLOK SELF STORAGE LLC"</f>
        <v>POLLOK SELF STORAGE LLC</v>
      </c>
    </row>
    <row r="1672" spans="1:9" x14ac:dyDescent="0.25">
      <c r="A1672" s="6">
        <v>44216</v>
      </c>
      <c r="B1672" t="s">
        <v>26</v>
      </c>
      <c r="C1672">
        <v>65930</v>
      </c>
      <c r="D1672" t="s">
        <v>184</v>
      </c>
      <c r="E1672" s="7">
        <v>1910</v>
      </c>
      <c r="F1672" t="s">
        <v>20</v>
      </c>
      <c r="G1672" s="10" t="s">
        <v>21</v>
      </c>
      <c r="H1672" t="str">
        <f>"1061-404"</f>
        <v>1061-404</v>
      </c>
      <c r="I1672" t="str">
        <f>"POLLUTION CONTROL SERVICES"</f>
        <v>POLLUTION CONTROL SERVICES</v>
      </c>
    </row>
    <row r="1673" spans="1:9" x14ac:dyDescent="0.25">
      <c r="E1673" s="7"/>
      <c r="F1673" t="s">
        <v>20</v>
      </c>
      <c r="G1673" s="10" t="s">
        <v>21</v>
      </c>
      <c r="H1673" t="str">
        <f>"1061-675"</f>
        <v>1061-675</v>
      </c>
      <c r="I1673" t="str">
        <f>"POLLUTION CONTROL SERVICES"</f>
        <v>POLLUTION CONTROL SERVICES</v>
      </c>
    </row>
    <row r="1674" spans="1:9" x14ac:dyDescent="0.25">
      <c r="E1674" s="7"/>
      <c r="F1674" t="s">
        <v>20</v>
      </c>
      <c r="G1674" s="10" t="s">
        <v>21</v>
      </c>
      <c r="H1674" t="str">
        <f>"1061-676"</f>
        <v>1061-676</v>
      </c>
      <c r="I1674" t="str">
        <f>"POLLUTION CONTROL SERVICES"</f>
        <v>POLLUTION CONTROL SERVICES</v>
      </c>
    </row>
    <row r="1675" spans="1:9" x14ac:dyDescent="0.25">
      <c r="A1675" s="6">
        <v>44216</v>
      </c>
      <c r="B1675" t="s">
        <v>26</v>
      </c>
      <c r="C1675">
        <v>65931</v>
      </c>
      <c r="D1675" t="s">
        <v>108</v>
      </c>
      <c r="E1675" s="7">
        <v>679.78</v>
      </c>
      <c r="F1675" t="s">
        <v>20</v>
      </c>
      <c r="G1675" s="10" t="s">
        <v>21</v>
      </c>
      <c r="H1675" t="str">
        <f>"041295667598"</f>
        <v>041295667598</v>
      </c>
      <c r="I1675" t="str">
        <f>"POOLSURE"</f>
        <v>POOLSURE</v>
      </c>
    </row>
    <row r="1676" spans="1:9" x14ac:dyDescent="0.25">
      <c r="A1676" s="6">
        <v>44216</v>
      </c>
      <c r="B1676" t="s">
        <v>26</v>
      </c>
      <c r="C1676">
        <v>65932</v>
      </c>
      <c r="D1676" t="s">
        <v>62</v>
      </c>
      <c r="E1676" s="7">
        <v>678.83</v>
      </c>
      <c r="F1676" t="s">
        <v>20</v>
      </c>
      <c r="G1676" s="10" t="s">
        <v>21</v>
      </c>
      <c r="H1676" t="str">
        <f>"71614"</f>
        <v>71614</v>
      </c>
      <c r="I1676" t="str">
        <f>"PROFICIENT BENEFIT SOLUTIONS"</f>
        <v>PROFICIENT BENEFIT SOLUTIONS</v>
      </c>
    </row>
    <row r="1677" spans="1:9" x14ac:dyDescent="0.25">
      <c r="E1677" s="7"/>
      <c r="F1677" t="s">
        <v>20</v>
      </c>
      <c r="G1677" s="10" t="s">
        <v>21</v>
      </c>
      <c r="H1677" t="str">
        <f>"A.IBARRA 2020"</f>
        <v>A.IBARRA 2020</v>
      </c>
      <c r="I1677" t="str">
        <f>"PROFICIENT BENEFIT SOLUTIONS"</f>
        <v>PROFICIENT BENEFIT SOLUTIONS</v>
      </c>
    </row>
    <row r="1678" spans="1:9" x14ac:dyDescent="0.25">
      <c r="A1678" s="6">
        <v>44216</v>
      </c>
      <c r="B1678" t="s">
        <v>26</v>
      </c>
      <c r="C1678">
        <v>65933</v>
      </c>
      <c r="D1678" t="s">
        <v>528</v>
      </c>
      <c r="E1678" s="7">
        <v>189.72</v>
      </c>
      <c r="F1678" t="s">
        <v>20</v>
      </c>
      <c r="G1678" s="10" t="s">
        <v>21</v>
      </c>
      <c r="H1678" t="str">
        <f>"10464058"</f>
        <v>10464058</v>
      </c>
      <c r="I1678" t="str">
        <f>"PROSTAR SERVICES INC"</f>
        <v>PROSTAR SERVICES INC</v>
      </c>
    </row>
    <row r="1679" spans="1:9" x14ac:dyDescent="0.25">
      <c r="A1679" s="6">
        <v>44216</v>
      </c>
      <c r="B1679" t="s">
        <v>26</v>
      </c>
      <c r="C1679">
        <v>65934</v>
      </c>
      <c r="D1679" t="s">
        <v>131</v>
      </c>
      <c r="E1679" s="7">
        <v>481.9</v>
      </c>
      <c r="F1679" t="s">
        <v>20</v>
      </c>
      <c r="G1679" s="10" t="s">
        <v>21</v>
      </c>
      <c r="H1679" t="str">
        <f>"056166"</f>
        <v>056166</v>
      </c>
      <c r="I1679" t="str">
        <f>"STREETS TRAILER"</f>
        <v>STREETS TRAILER</v>
      </c>
    </row>
    <row r="1680" spans="1:9" x14ac:dyDescent="0.25">
      <c r="A1680" s="6">
        <v>44216</v>
      </c>
      <c r="B1680" t="s">
        <v>26</v>
      </c>
      <c r="C1680">
        <v>65935</v>
      </c>
      <c r="D1680" t="s">
        <v>630</v>
      </c>
      <c r="E1680" s="7">
        <v>173.5</v>
      </c>
      <c r="F1680" t="s">
        <v>20</v>
      </c>
      <c r="G1680" s="10" t="s">
        <v>21</v>
      </c>
      <c r="H1680" t="str">
        <f>"40030"</f>
        <v>40030</v>
      </c>
      <c r="I1680" t="str">
        <f>"RG3 METER COMPANY"</f>
        <v>RG3 METER COMPANY</v>
      </c>
    </row>
    <row r="1681" spans="1:9" x14ac:dyDescent="0.25">
      <c r="A1681" s="6">
        <v>44216</v>
      </c>
      <c r="B1681" t="s">
        <v>91</v>
      </c>
      <c r="C1681">
        <v>65936</v>
      </c>
      <c r="D1681" t="s">
        <v>27</v>
      </c>
      <c r="E1681" s="7">
        <v>576.4</v>
      </c>
      <c r="F1681" t="s">
        <v>20</v>
      </c>
      <c r="G1681" s="10" t="s">
        <v>21</v>
      </c>
      <c r="H1681" t="str">
        <f>"TEEX WATER TECH"</f>
        <v>TEEX WATER TECH</v>
      </c>
      <c r="I1681" t="str">
        <f>"RICARDO CARRASCO"</f>
        <v>RICARDO CARRASCO</v>
      </c>
    </row>
    <row r="1682" spans="1:9" x14ac:dyDescent="0.25">
      <c r="A1682" s="6">
        <v>44216</v>
      </c>
      <c r="B1682" t="s">
        <v>91</v>
      </c>
      <c r="C1682">
        <v>65936</v>
      </c>
      <c r="D1682" t="s">
        <v>27</v>
      </c>
      <c r="E1682" s="7">
        <v>576.4</v>
      </c>
      <c r="F1682" t="s">
        <v>20</v>
      </c>
      <c r="G1682" s="10" t="s">
        <v>93</v>
      </c>
      <c r="H1682" t="str">
        <f>"CHECK"</f>
        <v>CHECK</v>
      </c>
      <c r="I1682" t="str">
        <f>""</f>
        <v/>
      </c>
    </row>
    <row r="1683" spans="1:9" x14ac:dyDescent="0.25">
      <c r="A1683" s="6">
        <v>44216</v>
      </c>
      <c r="B1683" t="s">
        <v>26</v>
      </c>
      <c r="C1683">
        <v>65937</v>
      </c>
      <c r="D1683" t="s">
        <v>213</v>
      </c>
      <c r="E1683" s="7">
        <v>4531.16</v>
      </c>
      <c r="F1683" t="s">
        <v>20</v>
      </c>
      <c r="G1683" s="10" t="s">
        <v>21</v>
      </c>
      <c r="H1683" t="str">
        <f>"DECEMBER 2020"</f>
        <v>DECEMBER 2020</v>
      </c>
      <c r="I1683" t="str">
        <f>"RIVER BEND COMMUNITY DEVELOPME"</f>
        <v>RIVER BEND COMMUNITY DEVELOPME</v>
      </c>
    </row>
    <row r="1684" spans="1:9" x14ac:dyDescent="0.25">
      <c r="A1684" s="6">
        <v>44216</v>
      </c>
      <c r="B1684" t="s">
        <v>26</v>
      </c>
      <c r="C1684">
        <v>65938</v>
      </c>
      <c r="D1684" t="s">
        <v>1022</v>
      </c>
      <c r="E1684" s="7">
        <v>1404.17</v>
      </c>
      <c r="F1684" t="s">
        <v>20</v>
      </c>
      <c r="G1684" s="10" t="s">
        <v>21</v>
      </c>
      <c r="H1684" t="str">
        <f>"532542"</f>
        <v>532542</v>
      </c>
      <c r="I1684" t="str">
        <f>"WWTP MACK TRUCK REPAIR"</f>
        <v>WWTP MACK TRUCK REPAIR</v>
      </c>
    </row>
    <row r="1685" spans="1:9" x14ac:dyDescent="0.25">
      <c r="A1685" s="6">
        <v>44216</v>
      </c>
      <c r="B1685" t="s">
        <v>26</v>
      </c>
      <c r="C1685">
        <v>65939</v>
      </c>
      <c r="D1685" t="s">
        <v>967</v>
      </c>
      <c r="E1685" s="7">
        <v>2500</v>
      </c>
      <c r="F1685" t="s">
        <v>20</v>
      </c>
      <c r="G1685" s="10" t="s">
        <v>21</v>
      </c>
      <c r="H1685" t="str">
        <f>"INV0015"</f>
        <v>INV0015</v>
      </c>
      <c r="I1685" t="str">
        <f>"BASE ROAD HOSPITAL WELL"</f>
        <v>BASE ROAD HOSPITAL WELL</v>
      </c>
    </row>
    <row r="1686" spans="1:9" x14ac:dyDescent="0.25">
      <c r="A1686" s="6">
        <v>44216</v>
      </c>
      <c r="B1686" t="s">
        <v>26</v>
      </c>
      <c r="C1686">
        <v>65940</v>
      </c>
      <c r="D1686" t="s">
        <v>132</v>
      </c>
      <c r="E1686" s="7">
        <v>51.52</v>
      </c>
      <c r="F1686" t="s">
        <v>20</v>
      </c>
      <c r="G1686" s="10" t="s">
        <v>21</v>
      </c>
      <c r="H1686" t="str">
        <f>"16992887 123120"</f>
        <v>16992887 123120</v>
      </c>
      <c r="I1686" t="str">
        <f>"SPARKLETTS &amp; SIERRA SPRINGS"</f>
        <v>SPARKLETTS &amp; SIERRA SPRINGS</v>
      </c>
    </row>
    <row r="1687" spans="1:9" x14ac:dyDescent="0.25">
      <c r="A1687" s="6">
        <v>44216</v>
      </c>
      <c r="B1687" t="s">
        <v>26</v>
      </c>
      <c r="C1687">
        <v>65941</v>
      </c>
      <c r="D1687" t="s">
        <v>73</v>
      </c>
      <c r="E1687" s="7">
        <v>43959</v>
      </c>
      <c r="F1687" t="s">
        <v>20</v>
      </c>
      <c r="G1687" s="10" t="s">
        <v>21</v>
      </c>
      <c r="H1687" t="str">
        <f>"01/01/2021 8027"</f>
        <v>01/01/2021 8027</v>
      </c>
      <c r="I1687" t="str">
        <f>"TML INTERGOVERNMENTAL RISK POO"</f>
        <v>TML INTERGOVERNMENTAL RISK POO</v>
      </c>
    </row>
    <row r="1688" spans="1:9" x14ac:dyDescent="0.25">
      <c r="A1688" s="6">
        <v>44216</v>
      </c>
      <c r="B1688" t="s">
        <v>26</v>
      </c>
      <c r="C1688">
        <v>65942</v>
      </c>
      <c r="D1688" t="s">
        <v>75</v>
      </c>
      <c r="E1688" s="7">
        <v>1106.22</v>
      </c>
      <c r="F1688" t="s">
        <v>20</v>
      </c>
      <c r="G1688" s="10" t="s">
        <v>21</v>
      </c>
      <c r="H1688" t="str">
        <f>"8184 01/21/2021"</f>
        <v>8184 01/21/2021</v>
      </c>
      <c r="I1688" t="str">
        <f>"WATERHOSE FOR KENNELS"</f>
        <v>WATERHOSE FOR KENNELS</v>
      </c>
    </row>
    <row r="1689" spans="1:9" x14ac:dyDescent="0.25">
      <c r="E1689" s="7"/>
      <c r="F1689" t="s">
        <v>20</v>
      </c>
      <c r="G1689" s="10" t="s">
        <v>21</v>
      </c>
      <c r="H1689" t="str">
        <f>"8184 1/24/2021"</f>
        <v>8184 1/24/2021</v>
      </c>
      <c r="I1689" t="str">
        <f>"BOOTS FOR STREETS DEPT"</f>
        <v>BOOTS FOR STREETS DEPT</v>
      </c>
    </row>
    <row r="1690" spans="1:9" x14ac:dyDescent="0.25">
      <c r="E1690" s="7"/>
      <c r="F1690" t="s">
        <v>20</v>
      </c>
      <c r="G1690" s="10" t="s">
        <v>21</v>
      </c>
      <c r="H1690" t="str">
        <f>"8184 1/24/21"</f>
        <v>8184 1/24/21</v>
      </c>
      <c r="I1690" t="str">
        <f>"FLEA SPRAY FOR KENNELS"</f>
        <v>FLEA SPRAY FOR KENNELS</v>
      </c>
    </row>
    <row r="1691" spans="1:9" x14ac:dyDescent="0.25">
      <c r="A1691" s="6">
        <v>44216</v>
      </c>
      <c r="B1691" t="s">
        <v>26</v>
      </c>
      <c r="C1691">
        <v>65944</v>
      </c>
      <c r="D1691" t="s">
        <v>698</v>
      </c>
      <c r="E1691" s="7">
        <v>55</v>
      </c>
      <c r="F1691" t="s">
        <v>20</v>
      </c>
      <c r="G1691" s="10" t="s">
        <v>21</v>
      </c>
      <c r="H1691" t="str">
        <f>"01/17/2021"</f>
        <v>01/17/2021</v>
      </c>
      <c r="I1691" t="str">
        <f>"TRACY ORTIZ"</f>
        <v>TRACY ORTIZ</v>
      </c>
    </row>
    <row r="1692" spans="1:9" x14ac:dyDescent="0.25">
      <c r="A1692" s="6">
        <v>44216</v>
      </c>
      <c r="B1692" t="s">
        <v>26</v>
      </c>
      <c r="C1692">
        <v>65945</v>
      </c>
      <c r="D1692" t="s">
        <v>61</v>
      </c>
      <c r="E1692" s="7">
        <v>1053.7</v>
      </c>
      <c r="F1692" t="s">
        <v>20</v>
      </c>
      <c r="G1692" s="10" t="s">
        <v>21</v>
      </c>
      <c r="H1692" t="str">
        <f>"025-319807"</f>
        <v>025-319807</v>
      </c>
      <c r="I1692" t="str">
        <f>"TYLER TECHNOLOGIES  INC."</f>
        <v>TYLER TECHNOLOGIES  INC.</v>
      </c>
    </row>
    <row r="1693" spans="1:9" x14ac:dyDescent="0.25">
      <c r="E1693" s="7"/>
      <c r="F1693" t="s">
        <v>20</v>
      </c>
      <c r="G1693" s="10" t="s">
        <v>21</v>
      </c>
      <c r="H1693" t="str">
        <f>"025-320221"</f>
        <v>025-320221</v>
      </c>
      <c r="I1693" t="str">
        <f>"TYLER TECHNOLOGIES  INC."</f>
        <v>TYLER TECHNOLOGIES  INC.</v>
      </c>
    </row>
    <row r="1694" spans="1:9" x14ac:dyDescent="0.25">
      <c r="A1694" s="6">
        <v>44216</v>
      </c>
      <c r="B1694" t="s">
        <v>26</v>
      </c>
      <c r="C1694">
        <v>65946</v>
      </c>
      <c r="D1694" t="s">
        <v>644</v>
      </c>
      <c r="E1694" s="7">
        <v>1495.18</v>
      </c>
      <c r="F1694" t="s">
        <v>20</v>
      </c>
      <c r="G1694" s="10" t="s">
        <v>21</v>
      </c>
      <c r="H1694" t="str">
        <f>"8213547963"</f>
        <v>8213547963</v>
      </c>
      <c r="I1694" t="str">
        <f t="shared" ref="I1694:I1714" si="31">"UNIFIRST CORPORATION"</f>
        <v>UNIFIRST CORPORATION</v>
      </c>
    </row>
    <row r="1695" spans="1:9" x14ac:dyDescent="0.25">
      <c r="E1695" s="7"/>
      <c r="F1695" t="s">
        <v>20</v>
      </c>
      <c r="G1695" s="10" t="s">
        <v>21</v>
      </c>
      <c r="H1695" t="str">
        <f>"8213547964"</f>
        <v>8213547964</v>
      </c>
      <c r="I1695" t="str">
        <f t="shared" si="31"/>
        <v>UNIFIRST CORPORATION</v>
      </c>
    </row>
    <row r="1696" spans="1:9" x14ac:dyDescent="0.25">
      <c r="E1696" s="7"/>
      <c r="F1696" t="s">
        <v>20</v>
      </c>
      <c r="G1696" s="10" t="s">
        <v>21</v>
      </c>
      <c r="H1696" t="str">
        <f>"8213547965"</f>
        <v>8213547965</v>
      </c>
      <c r="I1696" t="str">
        <f t="shared" si="31"/>
        <v>UNIFIRST CORPORATION</v>
      </c>
    </row>
    <row r="1697" spans="5:9" x14ac:dyDescent="0.25">
      <c r="E1697" s="7"/>
      <c r="F1697" t="s">
        <v>20</v>
      </c>
      <c r="G1697" s="10" t="s">
        <v>21</v>
      </c>
      <c r="H1697" t="str">
        <f>"8213547966"</f>
        <v>8213547966</v>
      </c>
      <c r="I1697" t="str">
        <f t="shared" si="31"/>
        <v>UNIFIRST CORPORATION</v>
      </c>
    </row>
    <row r="1698" spans="5:9" x14ac:dyDescent="0.25">
      <c r="E1698" s="7"/>
      <c r="F1698" t="s">
        <v>20</v>
      </c>
      <c r="G1698" s="10" t="s">
        <v>21</v>
      </c>
      <c r="H1698" t="str">
        <f>"8213547967"</f>
        <v>8213547967</v>
      </c>
      <c r="I1698" t="str">
        <f t="shared" si="31"/>
        <v>UNIFIRST CORPORATION</v>
      </c>
    </row>
    <row r="1699" spans="5:9" x14ac:dyDescent="0.25">
      <c r="E1699" s="7"/>
      <c r="F1699" t="s">
        <v>20</v>
      </c>
      <c r="G1699" s="10" t="s">
        <v>21</v>
      </c>
      <c r="H1699" t="str">
        <f>"8213547968"</f>
        <v>8213547968</v>
      </c>
      <c r="I1699" t="str">
        <f t="shared" si="31"/>
        <v>UNIFIRST CORPORATION</v>
      </c>
    </row>
    <row r="1700" spans="5:9" x14ac:dyDescent="0.25">
      <c r="E1700" s="7"/>
      <c r="F1700" t="s">
        <v>20</v>
      </c>
      <c r="G1700" s="10" t="s">
        <v>21</v>
      </c>
      <c r="H1700" t="str">
        <f>"8213547969"</f>
        <v>8213547969</v>
      </c>
      <c r="I1700" t="str">
        <f t="shared" si="31"/>
        <v>UNIFIRST CORPORATION</v>
      </c>
    </row>
    <row r="1701" spans="5:9" x14ac:dyDescent="0.25">
      <c r="E1701" s="7"/>
      <c r="F1701" t="s">
        <v>20</v>
      </c>
      <c r="G1701" s="10" t="s">
        <v>21</v>
      </c>
      <c r="H1701" t="str">
        <f>"8213550503"</f>
        <v>8213550503</v>
      </c>
      <c r="I1701" t="str">
        <f t="shared" si="31"/>
        <v>UNIFIRST CORPORATION</v>
      </c>
    </row>
    <row r="1702" spans="5:9" x14ac:dyDescent="0.25">
      <c r="E1702" s="7"/>
      <c r="F1702" t="s">
        <v>20</v>
      </c>
      <c r="G1702" s="10" t="s">
        <v>21</v>
      </c>
      <c r="H1702" t="str">
        <f>"8213550504"</f>
        <v>8213550504</v>
      </c>
      <c r="I1702" t="str">
        <f t="shared" si="31"/>
        <v>UNIFIRST CORPORATION</v>
      </c>
    </row>
    <row r="1703" spans="5:9" x14ac:dyDescent="0.25">
      <c r="E1703" s="7"/>
      <c r="F1703" t="s">
        <v>20</v>
      </c>
      <c r="G1703" s="10" t="s">
        <v>21</v>
      </c>
      <c r="H1703" t="str">
        <f>"8213550505"</f>
        <v>8213550505</v>
      </c>
      <c r="I1703" t="str">
        <f t="shared" si="31"/>
        <v>UNIFIRST CORPORATION</v>
      </c>
    </row>
    <row r="1704" spans="5:9" x14ac:dyDescent="0.25">
      <c r="E1704" s="7"/>
      <c r="F1704" t="s">
        <v>20</v>
      </c>
      <c r="G1704" s="10" t="s">
        <v>21</v>
      </c>
      <c r="H1704" t="str">
        <f>"8213550506"</f>
        <v>8213550506</v>
      </c>
      <c r="I1704" t="str">
        <f t="shared" si="31"/>
        <v>UNIFIRST CORPORATION</v>
      </c>
    </row>
    <row r="1705" spans="5:9" x14ac:dyDescent="0.25">
      <c r="E1705" s="7"/>
      <c r="F1705" t="s">
        <v>20</v>
      </c>
      <c r="G1705" s="10" t="s">
        <v>21</v>
      </c>
      <c r="H1705" t="str">
        <f>"8213550507"</f>
        <v>8213550507</v>
      </c>
      <c r="I1705" t="str">
        <f t="shared" si="31"/>
        <v>UNIFIRST CORPORATION</v>
      </c>
    </row>
    <row r="1706" spans="5:9" x14ac:dyDescent="0.25">
      <c r="E1706" s="7"/>
      <c r="F1706" t="s">
        <v>20</v>
      </c>
      <c r="G1706" s="10" t="s">
        <v>21</v>
      </c>
      <c r="H1706" t="str">
        <f>"8213550508"</f>
        <v>8213550508</v>
      </c>
      <c r="I1706" t="str">
        <f t="shared" si="31"/>
        <v>UNIFIRST CORPORATION</v>
      </c>
    </row>
    <row r="1707" spans="5:9" x14ac:dyDescent="0.25">
      <c r="E1707" s="7"/>
      <c r="F1707" t="s">
        <v>20</v>
      </c>
      <c r="G1707" s="10" t="s">
        <v>21</v>
      </c>
      <c r="H1707" t="str">
        <f>"8213550509"</f>
        <v>8213550509</v>
      </c>
      <c r="I1707" t="str">
        <f t="shared" si="31"/>
        <v>UNIFIRST CORPORATION</v>
      </c>
    </row>
    <row r="1708" spans="5:9" x14ac:dyDescent="0.25">
      <c r="E1708" s="7"/>
      <c r="F1708" t="s">
        <v>20</v>
      </c>
      <c r="G1708" s="10" t="s">
        <v>21</v>
      </c>
      <c r="H1708" t="str">
        <f>"8213553077"</f>
        <v>8213553077</v>
      </c>
      <c r="I1708" t="str">
        <f t="shared" si="31"/>
        <v>UNIFIRST CORPORATION</v>
      </c>
    </row>
    <row r="1709" spans="5:9" x14ac:dyDescent="0.25">
      <c r="E1709" s="7"/>
      <c r="F1709" t="s">
        <v>20</v>
      </c>
      <c r="G1709" s="10" t="s">
        <v>21</v>
      </c>
      <c r="H1709" t="str">
        <f>"8213553078"</f>
        <v>8213553078</v>
      </c>
      <c r="I1709" t="str">
        <f t="shared" si="31"/>
        <v>UNIFIRST CORPORATION</v>
      </c>
    </row>
    <row r="1710" spans="5:9" x14ac:dyDescent="0.25">
      <c r="E1710" s="7"/>
      <c r="F1710" t="s">
        <v>20</v>
      </c>
      <c r="G1710" s="10" t="s">
        <v>21</v>
      </c>
      <c r="H1710" t="str">
        <f>"8213553079"</f>
        <v>8213553079</v>
      </c>
      <c r="I1710" t="str">
        <f t="shared" si="31"/>
        <v>UNIFIRST CORPORATION</v>
      </c>
    </row>
    <row r="1711" spans="5:9" x14ac:dyDescent="0.25">
      <c r="E1711" s="7"/>
      <c r="F1711" t="s">
        <v>20</v>
      </c>
      <c r="G1711" s="10" t="s">
        <v>21</v>
      </c>
      <c r="H1711" t="str">
        <f>"8213553080"</f>
        <v>8213553080</v>
      </c>
      <c r="I1711" t="str">
        <f t="shared" si="31"/>
        <v>UNIFIRST CORPORATION</v>
      </c>
    </row>
    <row r="1712" spans="5:9" x14ac:dyDescent="0.25">
      <c r="E1712" s="7"/>
      <c r="F1712" t="s">
        <v>20</v>
      </c>
      <c r="G1712" s="10" t="s">
        <v>21</v>
      </c>
      <c r="H1712" t="str">
        <f>"8213553081"</f>
        <v>8213553081</v>
      </c>
      <c r="I1712" t="str">
        <f t="shared" si="31"/>
        <v>UNIFIRST CORPORATION</v>
      </c>
    </row>
    <row r="1713" spans="1:9" x14ac:dyDescent="0.25">
      <c r="E1713" s="7"/>
      <c r="F1713" t="s">
        <v>20</v>
      </c>
      <c r="G1713" s="10" t="s">
        <v>21</v>
      </c>
      <c r="H1713" t="str">
        <f>"8213553082"</f>
        <v>8213553082</v>
      </c>
      <c r="I1713" t="str">
        <f t="shared" si="31"/>
        <v>UNIFIRST CORPORATION</v>
      </c>
    </row>
    <row r="1714" spans="1:9" x14ac:dyDescent="0.25">
      <c r="E1714" s="7"/>
      <c r="F1714" t="s">
        <v>20</v>
      </c>
      <c r="G1714" s="10" t="s">
        <v>21</v>
      </c>
      <c r="H1714" t="str">
        <f>"8213553083"</f>
        <v>8213553083</v>
      </c>
      <c r="I1714" t="str">
        <f t="shared" si="31"/>
        <v>UNIFIRST CORPORATION</v>
      </c>
    </row>
    <row r="1715" spans="1:9" x14ac:dyDescent="0.25">
      <c r="A1715" s="6">
        <v>44216</v>
      </c>
      <c r="B1715" t="s">
        <v>26</v>
      </c>
      <c r="C1715">
        <v>65950</v>
      </c>
      <c r="D1715" t="s">
        <v>203</v>
      </c>
      <c r="E1715" s="7">
        <v>293.56</v>
      </c>
      <c r="F1715" t="s">
        <v>20</v>
      </c>
      <c r="G1715" s="10" t="s">
        <v>21</v>
      </c>
      <c r="H1715" t="str">
        <f>"454682"</f>
        <v>454682</v>
      </c>
      <c r="I1715" t="str">
        <f>"SAFETY GOOGLES"</f>
        <v>SAFETY GOOGLES</v>
      </c>
    </row>
    <row r="1716" spans="1:9" x14ac:dyDescent="0.25">
      <c r="E1716" s="7"/>
      <c r="F1716" t="s">
        <v>20</v>
      </c>
      <c r="G1716" s="10" t="s">
        <v>21</v>
      </c>
      <c r="H1716" t="str">
        <f>"457585"</f>
        <v>457585</v>
      </c>
      <c r="I1716" t="str">
        <f>"USA BLUEBOOK"</f>
        <v>USA BLUEBOOK</v>
      </c>
    </row>
    <row r="1717" spans="1:9" x14ac:dyDescent="0.25">
      <c r="A1717" s="6">
        <v>44216</v>
      </c>
      <c r="B1717" t="s">
        <v>26</v>
      </c>
      <c r="C1717">
        <v>65951</v>
      </c>
      <c r="D1717" t="s">
        <v>122</v>
      </c>
      <c r="E1717" s="7">
        <v>55</v>
      </c>
      <c r="F1717" t="s">
        <v>20</v>
      </c>
      <c r="G1717" s="10" t="s">
        <v>21</v>
      </c>
      <c r="H1717" t="str">
        <f>"003225"</f>
        <v>003225</v>
      </c>
      <c r="I1717" t="str">
        <f>"VILLA TIRES"</f>
        <v>VILLA TIRES</v>
      </c>
    </row>
    <row r="1718" spans="1:9" x14ac:dyDescent="0.25">
      <c r="E1718" s="7"/>
      <c r="F1718" t="s">
        <v>20</v>
      </c>
      <c r="G1718" s="10" t="s">
        <v>21</v>
      </c>
      <c r="H1718" t="str">
        <f>"52523098"</f>
        <v>52523098</v>
      </c>
      <c r="I1718" t="str">
        <f>"VILLA TIRES"</f>
        <v>VILLA TIRES</v>
      </c>
    </row>
    <row r="1719" spans="1:9" x14ac:dyDescent="0.25">
      <c r="E1719" s="7"/>
      <c r="F1719" t="s">
        <v>20</v>
      </c>
      <c r="G1719" s="10" t="s">
        <v>21</v>
      </c>
      <c r="H1719" t="str">
        <f>"54523097"</f>
        <v>54523097</v>
      </c>
      <c r="I1719" t="str">
        <f>"VILLA TIRES"</f>
        <v>VILLA TIRES</v>
      </c>
    </row>
    <row r="1720" spans="1:9" x14ac:dyDescent="0.25">
      <c r="E1720" s="7"/>
      <c r="F1720" t="s">
        <v>20</v>
      </c>
      <c r="G1720" s="10" t="s">
        <v>21</v>
      </c>
      <c r="H1720" t="str">
        <f>"54526093"</f>
        <v>54526093</v>
      </c>
      <c r="I1720" t="str">
        <f>"VILLA TIRES"</f>
        <v>VILLA TIRES</v>
      </c>
    </row>
    <row r="1721" spans="1:9" x14ac:dyDescent="0.25">
      <c r="E1721" s="7"/>
      <c r="F1721" t="s">
        <v>20</v>
      </c>
      <c r="G1721" s="10" t="s">
        <v>21</v>
      </c>
      <c r="H1721" t="str">
        <f>"54526094"</f>
        <v>54526094</v>
      </c>
      <c r="I1721" t="str">
        <f>"VILLA TIRES"</f>
        <v>VILLA TIRES</v>
      </c>
    </row>
    <row r="1722" spans="1:9" x14ac:dyDescent="0.25">
      <c r="A1722" s="6">
        <v>44216</v>
      </c>
      <c r="B1722" t="s">
        <v>26</v>
      </c>
      <c r="C1722">
        <v>65952</v>
      </c>
      <c r="D1722" t="s">
        <v>762</v>
      </c>
      <c r="E1722" s="7">
        <v>81</v>
      </c>
      <c r="F1722" t="s">
        <v>20</v>
      </c>
      <c r="G1722" s="10" t="s">
        <v>21</v>
      </c>
      <c r="H1722" t="str">
        <f>"TEEX BASIC WATER"</f>
        <v>TEEX BASIC WATER</v>
      </c>
      <c r="I1722" t="str">
        <f>"WESLEY PELECH"</f>
        <v>WESLEY PELECH</v>
      </c>
    </row>
    <row r="1723" spans="1:9" x14ac:dyDescent="0.25">
      <c r="A1723" s="6">
        <v>44216</v>
      </c>
      <c r="B1723" t="s">
        <v>91</v>
      </c>
      <c r="C1723">
        <v>65953</v>
      </c>
      <c r="D1723" t="s">
        <v>762</v>
      </c>
      <c r="E1723" s="7">
        <v>81</v>
      </c>
      <c r="F1723" t="s">
        <v>20</v>
      </c>
      <c r="G1723" s="10" t="s">
        <v>21</v>
      </c>
      <c r="H1723" t="str">
        <f>"TEEX GRND WATER"</f>
        <v>TEEX GRND WATER</v>
      </c>
      <c r="I1723" t="str">
        <f>"WESLEY PELECH"</f>
        <v>WESLEY PELECH</v>
      </c>
    </row>
    <row r="1724" spans="1:9" x14ac:dyDescent="0.25">
      <c r="A1724" s="6">
        <v>44216</v>
      </c>
      <c r="B1724" t="s">
        <v>91</v>
      </c>
      <c r="C1724">
        <v>65953</v>
      </c>
      <c r="D1724" t="s">
        <v>762</v>
      </c>
      <c r="E1724" s="7">
        <v>81</v>
      </c>
      <c r="F1724" t="s">
        <v>20</v>
      </c>
      <c r="G1724" s="10" t="s">
        <v>93</v>
      </c>
      <c r="H1724" t="str">
        <f>"CHECK"</f>
        <v>CHECK</v>
      </c>
      <c r="I1724" t="str">
        <f>""</f>
        <v/>
      </c>
    </row>
    <row r="1725" spans="1:9" x14ac:dyDescent="0.25">
      <c r="A1725" s="6">
        <v>44216</v>
      </c>
      <c r="B1725" t="s">
        <v>26</v>
      </c>
      <c r="C1725">
        <v>65954</v>
      </c>
      <c r="D1725" t="s">
        <v>829</v>
      </c>
      <c r="E1725" s="7">
        <v>200</v>
      </c>
      <c r="F1725" t="s">
        <v>20</v>
      </c>
      <c r="G1725" s="10" t="s">
        <v>21</v>
      </c>
      <c r="H1725" t="str">
        <f>"REIMBURSMT CLASS"</f>
        <v>REIMBURSMT CLASS</v>
      </c>
      <c r="I1725" t="str">
        <f>"MARCUS A OLIVO"</f>
        <v>MARCUS A OLIVO</v>
      </c>
    </row>
    <row r="1726" spans="1:9" x14ac:dyDescent="0.25">
      <c r="A1726" s="6">
        <v>44217</v>
      </c>
      <c r="B1726" t="s">
        <v>26</v>
      </c>
      <c r="C1726">
        <v>65955</v>
      </c>
      <c r="D1726" t="s">
        <v>85</v>
      </c>
      <c r="E1726" s="7">
        <v>1909</v>
      </c>
      <c r="F1726" t="s">
        <v>20</v>
      </c>
      <c r="G1726" s="10" t="s">
        <v>21</v>
      </c>
      <c r="H1726" t="str">
        <f>"8301970025 JAN2021"</f>
        <v>8301970025 JAN2021</v>
      </c>
      <c r="I1726" t="str">
        <f>"FRONTIER"</f>
        <v>FRONTIER</v>
      </c>
    </row>
    <row r="1727" spans="1:9" x14ac:dyDescent="0.25">
      <c r="A1727" s="6">
        <v>44217</v>
      </c>
      <c r="B1727" t="s">
        <v>26</v>
      </c>
      <c r="C1727">
        <v>65956</v>
      </c>
      <c r="D1727" t="s">
        <v>205</v>
      </c>
      <c r="E1727" s="7">
        <v>982.25</v>
      </c>
      <c r="F1727" t="s">
        <v>20</v>
      </c>
      <c r="G1727" s="10" t="s">
        <v>21</v>
      </c>
      <c r="H1727" t="str">
        <f>"01/23/2021 EVENT"</f>
        <v>01/23/2021 EVENT</v>
      </c>
      <c r="I1727" t="str">
        <f>"SILVER EAGLE DISTRIBUTORS"</f>
        <v>SILVER EAGLE DISTRIBUTORS</v>
      </c>
    </row>
    <row r="1728" spans="1:9" x14ac:dyDescent="0.25">
      <c r="A1728" s="6">
        <v>44217</v>
      </c>
      <c r="B1728" t="s">
        <v>26</v>
      </c>
      <c r="C1728">
        <v>65957</v>
      </c>
      <c r="D1728" t="s">
        <v>648</v>
      </c>
      <c r="E1728" s="7">
        <v>2551.08</v>
      </c>
      <c r="F1728" t="s">
        <v>20</v>
      </c>
      <c r="G1728" s="10" t="s">
        <v>21</v>
      </c>
      <c r="H1728" t="str">
        <f>"TAX OWED JUNE 2020"</f>
        <v>TAX OWED JUNE 2020</v>
      </c>
      <c r="I1728" t="str">
        <f>"UNITED STATES TREASURY- IRS"</f>
        <v>UNITED STATES TREASURY- IRS</v>
      </c>
    </row>
    <row r="1729" spans="1:9" x14ac:dyDescent="0.25">
      <c r="A1729" s="6">
        <v>44218</v>
      </c>
      <c r="B1729" t="s">
        <v>26</v>
      </c>
      <c r="C1729">
        <v>65958</v>
      </c>
      <c r="D1729" t="s">
        <v>986</v>
      </c>
      <c r="E1729" s="7">
        <v>1364</v>
      </c>
      <c r="F1729" t="s">
        <v>20</v>
      </c>
      <c r="G1729" s="10" t="s">
        <v>21</v>
      </c>
      <c r="H1729" t="str">
        <f>"01.05-01.21.2021"</f>
        <v>01.05-01.21.2021</v>
      </c>
      <c r="I1729" t="str">
        <f>"KERRY L. ESQUIVEL"</f>
        <v>KERRY L. ESQUIVEL</v>
      </c>
    </row>
    <row r="1730" spans="1:9" x14ac:dyDescent="0.25">
      <c r="A1730" s="6">
        <v>44222</v>
      </c>
      <c r="B1730" t="s">
        <v>26</v>
      </c>
      <c r="C1730">
        <v>65964</v>
      </c>
      <c r="D1730" t="s">
        <v>54</v>
      </c>
      <c r="E1730" s="7">
        <v>1214.93</v>
      </c>
      <c r="F1730" t="s">
        <v>20</v>
      </c>
      <c r="G1730" s="10" t="s">
        <v>21</v>
      </c>
      <c r="H1730" t="str">
        <f>"457202101268598"</f>
        <v>457202101268598</v>
      </c>
      <c r="I1730" t="str">
        <f>"CASE # 180-60751 457B DEDUCT"</f>
        <v>CASE # 180-60751 457B DEDUCT</v>
      </c>
    </row>
    <row r="1731" spans="1:9" x14ac:dyDescent="0.25">
      <c r="A1731" s="6">
        <v>44223</v>
      </c>
      <c r="B1731" t="s">
        <v>26</v>
      </c>
      <c r="C1731">
        <v>65966</v>
      </c>
      <c r="D1731" t="s">
        <v>103</v>
      </c>
      <c r="E1731" s="7">
        <v>77886.3</v>
      </c>
      <c r="F1731" t="s">
        <v>20</v>
      </c>
      <c r="G1731" s="10" t="s">
        <v>21</v>
      </c>
      <c r="H1731" t="str">
        <f>"JAN.2020 SALES TAX"</f>
        <v>JAN.2020 SALES TAX</v>
      </c>
      <c r="I1731" t="str">
        <f>"F. E. D. C."</f>
        <v>F. E. D. C.</v>
      </c>
    </row>
    <row r="1732" spans="1:9" x14ac:dyDescent="0.25">
      <c r="A1732" s="6">
        <v>44223</v>
      </c>
      <c r="B1732" t="s">
        <v>26</v>
      </c>
      <c r="C1732">
        <v>65967</v>
      </c>
      <c r="D1732" t="s">
        <v>29</v>
      </c>
      <c r="E1732" s="7">
        <v>1810</v>
      </c>
      <c r="F1732" t="s">
        <v>20</v>
      </c>
      <c r="G1732" s="10" t="s">
        <v>21</v>
      </c>
      <c r="H1732" t="str">
        <f>"49104"</f>
        <v>49104</v>
      </c>
      <c r="I1732" t="str">
        <f>"M &amp; S ENGINEERING  LLC"</f>
        <v>M &amp; S ENGINEERING  LLC</v>
      </c>
    </row>
    <row r="1733" spans="1:9" x14ac:dyDescent="0.25">
      <c r="E1733" s="7"/>
      <c r="F1733" t="s">
        <v>20</v>
      </c>
      <c r="G1733" s="10" t="s">
        <v>21</v>
      </c>
      <c r="H1733" t="str">
        <f>"49105"</f>
        <v>49105</v>
      </c>
      <c r="I1733" t="str">
        <f>"M &amp; S ENGINEERING  LLC"</f>
        <v>M &amp; S ENGINEERING  LLC</v>
      </c>
    </row>
    <row r="1734" spans="1:9" x14ac:dyDescent="0.25">
      <c r="E1734" s="7"/>
      <c r="F1734" t="s">
        <v>20</v>
      </c>
      <c r="G1734" s="10" t="s">
        <v>21</v>
      </c>
      <c r="H1734" t="str">
        <f>"49109"</f>
        <v>49109</v>
      </c>
      <c r="I1734" t="str">
        <f>"M &amp; S ENGINEERING  LLC"</f>
        <v>M &amp; S ENGINEERING  LLC</v>
      </c>
    </row>
    <row r="1735" spans="1:9" x14ac:dyDescent="0.25">
      <c r="A1735" s="6">
        <v>44223</v>
      </c>
      <c r="B1735" t="s">
        <v>26</v>
      </c>
      <c r="C1735">
        <v>65968</v>
      </c>
      <c r="D1735" t="s">
        <v>85</v>
      </c>
      <c r="E1735" s="7">
        <v>232.33</v>
      </c>
      <c r="F1735" t="s">
        <v>20</v>
      </c>
      <c r="G1735" s="10" t="s">
        <v>21</v>
      </c>
      <c r="H1735" t="str">
        <f>"2162733 JAN.2021"</f>
        <v>2162733 JAN.2021</v>
      </c>
      <c r="I1735" t="str">
        <f>"FRONTIER"</f>
        <v>FRONTIER</v>
      </c>
    </row>
    <row r="1736" spans="1:9" x14ac:dyDescent="0.25">
      <c r="E1736" s="7"/>
      <c r="F1736" t="s">
        <v>20</v>
      </c>
      <c r="G1736" s="10" t="s">
        <v>21</v>
      </c>
      <c r="H1736" t="str">
        <f>"2162755 JAN.2021"</f>
        <v>2162755 JAN.2021</v>
      </c>
      <c r="I1736" t="str">
        <f>"FRONTIER"</f>
        <v>FRONTIER</v>
      </c>
    </row>
    <row r="1737" spans="1:9" x14ac:dyDescent="0.25">
      <c r="E1737" s="7"/>
      <c r="F1737" t="s">
        <v>20</v>
      </c>
      <c r="G1737" s="10" t="s">
        <v>21</v>
      </c>
      <c r="H1737" t="str">
        <f>"3932804 JAN.2021"</f>
        <v>3932804 JAN.2021</v>
      </c>
      <c r="I1737" t="str">
        <f>"FRONTIER"</f>
        <v>FRONTIER</v>
      </c>
    </row>
    <row r="1738" spans="1:9" x14ac:dyDescent="0.25">
      <c r="E1738" s="7"/>
      <c r="F1738" t="s">
        <v>20</v>
      </c>
      <c r="G1738" s="10" t="s">
        <v>21</v>
      </c>
      <c r="H1738" t="str">
        <f>"3936794 JAN.2021"</f>
        <v>3936794 JAN.2021</v>
      </c>
      <c r="I1738" t="str">
        <f>"FRONTIER"</f>
        <v>FRONTIER</v>
      </c>
    </row>
    <row r="1739" spans="1:9" x14ac:dyDescent="0.25">
      <c r="A1739" s="6">
        <v>44223</v>
      </c>
      <c r="B1739" t="s">
        <v>26</v>
      </c>
      <c r="C1739">
        <v>65969</v>
      </c>
      <c r="D1739" t="s">
        <v>345</v>
      </c>
      <c r="E1739" s="7">
        <v>374</v>
      </c>
      <c r="F1739" t="s">
        <v>20</v>
      </c>
      <c r="G1739" s="10" t="s">
        <v>21</v>
      </c>
      <c r="H1739" t="str">
        <f>"1/25/2021"</f>
        <v>1/25/2021</v>
      </c>
      <c r="I1739" t="str">
        <f>"MICHAEL ISAAC MARTINEZ"</f>
        <v>MICHAEL ISAAC MARTINEZ</v>
      </c>
    </row>
    <row r="1740" spans="1:9" x14ac:dyDescent="0.25">
      <c r="A1740" s="6">
        <v>44223</v>
      </c>
      <c r="B1740" t="s">
        <v>26</v>
      </c>
      <c r="C1740">
        <v>65970</v>
      </c>
      <c r="D1740" t="s">
        <v>698</v>
      </c>
      <c r="E1740" s="7">
        <v>125</v>
      </c>
      <c r="F1740" t="s">
        <v>20</v>
      </c>
      <c r="G1740" s="10" t="s">
        <v>21</v>
      </c>
      <c r="H1740" t="str">
        <f>"1/23/2021"</f>
        <v>1/23/2021</v>
      </c>
      <c r="I1740" t="str">
        <f>"TRACY ORTIZ"</f>
        <v>TRACY ORTIZ</v>
      </c>
    </row>
    <row r="1741" spans="1:9" x14ac:dyDescent="0.25">
      <c r="A1741" s="6">
        <v>44223</v>
      </c>
      <c r="B1741" t="s">
        <v>26</v>
      </c>
      <c r="C1741">
        <v>65971</v>
      </c>
      <c r="D1741" t="s">
        <v>872</v>
      </c>
      <c r="E1741" s="7">
        <v>125</v>
      </c>
      <c r="F1741" t="s">
        <v>20</v>
      </c>
      <c r="G1741" s="10" t="s">
        <v>21</v>
      </c>
      <c r="H1741" t="str">
        <f>"1/23-24/2021"</f>
        <v>1/23-24/2021</v>
      </c>
      <c r="I1741" t="str">
        <f>"DEVIN BENAVIDES"</f>
        <v>DEVIN BENAVIDES</v>
      </c>
    </row>
    <row r="1742" spans="1:9" x14ac:dyDescent="0.25">
      <c r="A1742" s="6">
        <v>44223</v>
      </c>
      <c r="B1742" t="s">
        <v>26</v>
      </c>
      <c r="C1742">
        <v>65972</v>
      </c>
      <c r="D1742" t="s">
        <v>972</v>
      </c>
      <c r="E1742" s="7">
        <v>57.5</v>
      </c>
      <c r="F1742" t="s">
        <v>20</v>
      </c>
      <c r="G1742" s="10" t="s">
        <v>21</v>
      </c>
      <c r="H1742" t="str">
        <f>"1/24/2021"</f>
        <v>1/24/2021</v>
      </c>
      <c r="I1742" t="str">
        <f>"MIA GONZALES"</f>
        <v>MIA GONZALES</v>
      </c>
    </row>
    <row r="1743" spans="1:9" x14ac:dyDescent="0.25">
      <c r="A1743" s="6">
        <v>44223</v>
      </c>
      <c r="B1743" t="s">
        <v>26</v>
      </c>
      <c r="C1743">
        <v>65973</v>
      </c>
      <c r="D1743" t="s">
        <v>103</v>
      </c>
      <c r="E1743" s="7">
        <v>76625.88</v>
      </c>
      <c r="F1743" t="s">
        <v>20</v>
      </c>
      <c r="G1743" s="10" t="s">
        <v>21</v>
      </c>
      <c r="H1743" t="str">
        <f>"OCT.2020 SALES TAX"</f>
        <v>OCT.2020 SALES TAX</v>
      </c>
      <c r="I1743" t="str">
        <f>"F. E. D. C."</f>
        <v>F. E. D. C.</v>
      </c>
    </row>
    <row r="1744" spans="1:9" x14ac:dyDescent="0.25">
      <c r="A1744" s="6">
        <v>44223</v>
      </c>
      <c r="B1744" t="s">
        <v>26</v>
      </c>
      <c r="C1744">
        <v>65974</v>
      </c>
      <c r="D1744" t="s">
        <v>446</v>
      </c>
      <c r="E1744" s="7">
        <v>138</v>
      </c>
      <c r="F1744" t="s">
        <v>20</v>
      </c>
      <c r="G1744" s="10" t="s">
        <v>21</v>
      </c>
      <c r="H1744" t="str">
        <f>"ALAMO AREA REG."</f>
        <v>ALAMO AREA REG.</v>
      </c>
      <c r="I1744" t="str">
        <f>"MEALS FOR TRAINING"</f>
        <v>MEALS FOR TRAINING</v>
      </c>
    </row>
    <row r="1745" spans="1:9" x14ac:dyDescent="0.25">
      <c r="A1745" s="6">
        <v>44230</v>
      </c>
      <c r="B1745" t="s">
        <v>26</v>
      </c>
      <c r="C1745">
        <v>65975</v>
      </c>
      <c r="D1745" t="s">
        <v>991</v>
      </c>
      <c r="E1745" s="7">
        <v>800</v>
      </c>
      <c r="F1745" t="s">
        <v>20</v>
      </c>
      <c r="G1745" s="10" t="s">
        <v>21</v>
      </c>
      <c r="H1745" t="str">
        <f>"215332"</f>
        <v>215332</v>
      </c>
      <c r="I1745" t="str">
        <f>"FALL FOOTBALL-FLORESVILLE"</f>
        <v>FALL FOOTBALL-FLORESVILLE</v>
      </c>
    </row>
    <row r="1746" spans="1:9" x14ac:dyDescent="0.25">
      <c r="E1746" s="7"/>
      <c r="F1746" t="s">
        <v>20</v>
      </c>
      <c r="G1746" s="10" t="s">
        <v>21</v>
      </c>
      <c r="H1746" t="str">
        <f>"215333"</f>
        <v>215333</v>
      </c>
      <c r="I1746" t="str">
        <f>"FALL FOOTBALL-POTH"</f>
        <v>FALL FOOTBALL-POTH</v>
      </c>
    </row>
    <row r="1747" spans="1:9" x14ac:dyDescent="0.25">
      <c r="A1747" s="6">
        <v>44230</v>
      </c>
      <c r="B1747" t="s">
        <v>26</v>
      </c>
      <c r="C1747">
        <v>65976</v>
      </c>
      <c r="D1747" t="s">
        <v>195</v>
      </c>
      <c r="E1747" s="7">
        <v>4322.6400000000003</v>
      </c>
      <c r="F1747" t="s">
        <v>20</v>
      </c>
      <c r="G1747" s="10" t="s">
        <v>21</v>
      </c>
      <c r="H1747" t="str">
        <f>"1565202101"</f>
        <v>1565202101</v>
      </c>
      <c r="I1747" t="str">
        <f>"ARISTA INFORMATION SYSTEMS  IN"</f>
        <v>ARISTA INFORMATION SYSTEMS  IN</v>
      </c>
    </row>
    <row r="1748" spans="1:9" x14ac:dyDescent="0.25">
      <c r="E1748" s="7"/>
      <c r="F1748" t="s">
        <v>20</v>
      </c>
      <c r="G1748" s="10" t="s">
        <v>21</v>
      </c>
      <c r="H1748" t="str">
        <f>"31131"</f>
        <v>31131</v>
      </c>
      <c r="I1748" t="str">
        <f>"ARISTA INFORMATION SYSTEMS  IN"</f>
        <v>ARISTA INFORMATION SYSTEMS  IN</v>
      </c>
    </row>
    <row r="1749" spans="1:9" x14ac:dyDescent="0.25">
      <c r="A1749" s="6">
        <v>44230</v>
      </c>
      <c r="B1749" t="s">
        <v>26</v>
      </c>
      <c r="C1749">
        <v>65977</v>
      </c>
      <c r="D1749" t="s">
        <v>189</v>
      </c>
      <c r="E1749" s="7">
        <v>788.92</v>
      </c>
      <c r="F1749" t="s">
        <v>20</v>
      </c>
      <c r="G1749" s="10" t="s">
        <v>21</v>
      </c>
      <c r="H1749" t="str">
        <f>"PSO212386-1"</f>
        <v>PSO212386-1</v>
      </c>
      <c r="I1749" t="str">
        <f>"SWEEPER FOR STREET DEPT"</f>
        <v>SWEEPER FOR STREET DEPT</v>
      </c>
    </row>
    <row r="1750" spans="1:9" x14ac:dyDescent="0.25">
      <c r="A1750" s="6">
        <v>44230</v>
      </c>
      <c r="B1750" t="s">
        <v>26</v>
      </c>
      <c r="C1750">
        <v>65978</v>
      </c>
      <c r="D1750" t="s">
        <v>115</v>
      </c>
      <c r="E1750" s="7">
        <v>28.99</v>
      </c>
      <c r="F1750" t="s">
        <v>20</v>
      </c>
      <c r="G1750" s="10" t="s">
        <v>21</v>
      </c>
      <c r="H1750" t="str">
        <f>"354783407-1"</f>
        <v>354783407-1</v>
      </c>
      <c r="I1750" t="str">
        <f>"TRAILER CONNECTIONS"</f>
        <v>TRAILER CONNECTIONS</v>
      </c>
    </row>
    <row r="1751" spans="1:9" x14ac:dyDescent="0.25">
      <c r="A1751" s="6" t="s">
        <v>1023</v>
      </c>
      <c r="B1751" t="s">
        <v>26</v>
      </c>
      <c r="C1751">
        <v>65979</v>
      </c>
      <c r="D1751" t="s">
        <v>316</v>
      </c>
      <c r="E1751" s="7">
        <v>36851.75</v>
      </c>
      <c r="F1751" t="s">
        <v>20</v>
      </c>
      <c r="G1751" s="10" t="s">
        <v>21</v>
      </c>
      <c r="H1751" t="str">
        <f>"1S3ENIQ2CZ"</f>
        <v>1S3ENIQ2CZ</v>
      </c>
      <c r="I1751" t="s">
        <v>571</v>
      </c>
    </row>
    <row r="1752" spans="1:9" x14ac:dyDescent="0.25">
      <c r="A1752" s="6">
        <v>44230</v>
      </c>
      <c r="B1752" t="s">
        <v>26</v>
      </c>
      <c r="C1752">
        <v>65980</v>
      </c>
      <c r="D1752" t="s">
        <v>836</v>
      </c>
      <c r="E1752" s="7">
        <v>5458</v>
      </c>
      <c r="F1752" t="s">
        <v>20</v>
      </c>
      <c r="G1752" s="10" t="s">
        <v>21</v>
      </c>
      <c r="H1752" t="str">
        <f>"72180"</f>
        <v>72180</v>
      </c>
      <c r="I1752" t="str">
        <f>"BARCOM TECHNOLOGY SOLUTIONS  I"</f>
        <v>BARCOM TECHNOLOGY SOLUTIONS  I</v>
      </c>
    </row>
    <row r="1753" spans="1:9" x14ac:dyDescent="0.25">
      <c r="E1753" s="7"/>
      <c r="F1753" t="s">
        <v>20</v>
      </c>
      <c r="G1753" s="10" t="s">
        <v>21</v>
      </c>
      <c r="H1753" t="str">
        <f>"72181"</f>
        <v>72181</v>
      </c>
      <c r="I1753" t="str">
        <f>"BARCOM TECHNOLOGY SOLUTIONS  I"</f>
        <v>BARCOM TECHNOLOGY SOLUTIONS  I</v>
      </c>
    </row>
    <row r="1754" spans="1:9" x14ac:dyDescent="0.25">
      <c r="A1754" s="6">
        <v>44230</v>
      </c>
      <c r="B1754" t="s">
        <v>26</v>
      </c>
      <c r="C1754">
        <v>65981</v>
      </c>
      <c r="D1754" t="s">
        <v>823</v>
      </c>
      <c r="E1754" s="7">
        <v>261.35000000000002</v>
      </c>
      <c r="F1754" t="s">
        <v>20</v>
      </c>
      <c r="G1754" s="10" t="s">
        <v>21</v>
      </c>
      <c r="H1754" t="str">
        <f>"12788"</f>
        <v>12788</v>
      </c>
      <c r="I1754" t="str">
        <f>"PIVOT PLOW LEVER"</f>
        <v>PIVOT PLOW LEVER</v>
      </c>
    </row>
    <row r="1755" spans="1:9" x14ac:dyDescent="0.25">
      <c r="A1755" s="6">
        <v>44230</v>
      </c>
      <c r="B1755" t="s">
        <v>26</v>
      </c>
      <c r="C1755">
        <v>65982</v>
      </c>
      <c r="D1755" t="s">
        <v>1024</v>
      </c>
      <c r="E1755" s="7">
        <v>6300</v>
      </c>
      <c r="F1755" t="s">
        <v>20</v>
      </c>
      <c r="G1755" s="10" t="s">
        <v>21</v>
      </c>
      <c r="H1755" t="str">
        <f>"011920211157"</f>
        <v>011920211157</v>
      </c>
      <c r="I1755" t="str">
        <f>"UTILITY TRAILER FOR STREE"</f>
        <v>UTILITY TRAILER FOR STREE</v>
      </c>
    </row>
    <row r="1756" spans="1:9" x14ac:dyDescent="0.25">
      <c r="E1756" s="7"/>
      <c r="F1756" t="s">
        <v>20</v>
      </c>
      <c r="G1756" s="10" t="s">
        <v>21</v>
      </c>
      <c r="H1756" t="str">
        <f>"012620211033"</f>
        <v>012620211033</v>
      </c>
      <c r="I1756" t="str">
        <f>"UTILITY TRAILER FOR WWTP"</f>
        <v>UTILITY TRAILER FOR WWTP</v>
      </c>
    </row>
    <row r="1757" spans="1:9" x14ac:dyDescent="0.25">
      <c r="A1757" s="6">
        <v>44230</v>
      </c>
      <c r="B1757" t="s">
        <v>26</v>
      </c>
      <c r="C1757">
        <v>65983</v>
      </c>
      <c r="D1757" t="s">
        <v>118</v>
      </c>
      <c r="E1757" s="7">
        <v>657</v>
      </c>
      <c r="F1757" t="s">
        <v>20</v>
      </c>
      <c r="G1757" s="10" t="s">
        <v>21</v>
      </c>
      <c r="H1757" t="str">
        <f>"12163"</f>
        <v>12163</v>
      </c>
      <c r="I1757" t="str">
        <f>"BRYAN AIR CONDITIONING &amp; HEATI"</f>
        <v>BRYAN AIR CONDITIONING &amp; HEATI</v>
      </c>
    </row>
    <row r="1758" spans="1:9" x14ac:dyDescent="0.25">
      <c r="E1758" s="7"/>
      <c r="F1758" t="s">
        <v>20</v>
      </c>
      <c r="G1758" s="10" t="s">
        <v>21</v>
      </c>
      <c r="H1758" t="str">
        <f>"12173"</f>
        <v>12173</v>
      </c>
      <c r="I1758" t="str">
        <f>"BRYAN AIR CONDITIONING &amp; HEATI"</f>
        <v>BRYAN AIR CONDITIONING &amp; HEATI</v>
      </c>
    </row>
    <row r="1759" spans="1:9" x14ac:dyDescent="0.25">
      <c r="A1759" s="6">
        <v>44230</v>
      </c>
      <c r="B1759" t="s">
        <v>26</v>
      </c>
      <c r="C1759">
        <v>65984</v>
      </c>
      <c r="D1759" t="s">
        <v>63</v>
      </c>
      <c r="E1759" s="7">
        <v>1009.8</v>
      </c>
      <c r="F1759" t="s">
        <v>20</v>
      </c>
      <c r="G1759" s="10" t="s">
        <v>21</v>
      </c>
      <c r="H1759" t="str">
        <f>"8404930377"</f>
        <v>8404930377</v>
      </c>
      <c r="I1759" t="str">
        <f>"CINTAS CORPORATION"</f>
        <v>CINTAS CORPORATION</v>
      </c>
    </row>
    <row r="1760" spans="1:9" x14ac:dyDescent="0.25">
      <c r="E1760" s="7"/>
      <c r="F1760" t="s">
        <v>20</v>
      </c>
      <c r="G1760" s="10" t="s">
        <v>21</v>
      </c>
      <c r="H1760" t="str">
        <f>"8404975328"</f>
        <v>8404975328</v>
      </c>
      <c r="I1760" t="str">
        <f>"CINTAS CORPORATION"</f>
        <v>CINTAS CORPORATION</v>
      </c>
    </row>
    <row r="1761" spans="1:9" x14ac:dyDescent="0.25">
      <c r="E1761" s="7"/>
      <c r="F1761" t="s">
        <v>20</v>
      </c>
      <c r="G1761" s="10" t="s">
        <v>21</v>
      </c>
      <c r="H1761" t="str">
        <f>"8404981598"</f>
        <v>8404981598</v>
      </c>
      <c r="I1761" t="str">
        <f>"CINTAS CORPORATION"</f>
        <v>CINTAS CORPORATION</v>
      </c>
    </row>
    <row r="1762" spans="1:9" x14ac:dyDescent="0.25">
      <c r="A1762" s="6">
        <v>44230</v>
      </c>
      <c r="B1762" t="s">
        <v>26</v>
      </c>
      <c r="C1762">
        <v>65985</v>
      </c>
      <c r="D1762" t="s">
        <v>71</v>
      </c>
      <c r="E1762" s="7">
        <v>1626.08</v>
      </c>
      <c r="F1762" t="s">
        <v>20</v>
      </c>
      <c r="G1762" s="10" t="s">
        <v>21</v>
      </c>
      <c r="H1762" t="str">
        <f>"4073924909"</f>
        <v>4073924909</v>
      </c>
      <c r="I1762" t="str">
        <f t="shared" ref="I1762:I1770" si="32">"CINTAS CORPORATION #087"</f>
        <v>CINTAS CORPORATION #087</v>
      </c>
    </row>
    <row r="1763" spans="1:9" x14ac:dyDescent="0.25">
      <c r="E1763" s="7"/>
      <c r="F1763" t="s">
        <v>20</v>
      </c>
      <c r="G1763" s="10" t="s">
        <v>21</v>
      </c>
      <c r="H1763" t="str">
        <f>"4073924984"</f>
        <v>4073924984</v>
      </c>
      <c r="I1763" t="str">
        <f t="shared" si="32"/>
        <v>CINTAS CORPORATION #087</v>
      </c>
    </row>
    <row r="1764" spans="1:9" x14ac:dyDescent="0.25">
      <c r="E1764" s="7"/>
      <c r="F1764" t="s">
        <v>20</v>
      </c>
      <c r="G1764" s="10" t="s">
        <v>21</v>
      </c>
      <c r="H1764" t="str">
        <f>"4073924999"</f>
        <v>4073924999</v>
      </c>
      <c r="I1764" t="str">
        <f t="shared" si="32"/>
        <v>CINTAS CORPORATION #087</v>
      </c>
    </row>
    <row r="1765" spans="1:9" x14ac:dyDescent="0.25">
      <c r="E1765" s="7"/>
      <c r="F1765" t="s">
        <v>20</v>
      </c>
      <c r="G1765" s="10" t="s">
        <v>21</v>
      </c>
      <c r="H1765" t="str">
        <f>"4073925017"</f>
        <v>4073925017</v>
      </c>
      <c r="I1765" t="str">
        <f t="shared" si="32"/>
        <v>CINTAS CORPORATION #087</v>
      </c>
    </row>
    <row r="1766" spans="1:9" x14ac:dyDescent="0.25">
      <c r="E1766" s="7"/>
      <c r="F1766" t="s">
        <v>20</v>
      </c>
      <c r="G1766" s="10" t="s">
        <v>21</v>
      </c>
      <c r="H1766" t="str">
        <f>"4073933884"</f>
        <v>4073933884</v>
      </c>
      <c r="I1766" t="str">
        <f t="shared" si="32"/>
        <v>CINTAS CORPORATION #087</v>
      </c>
    </row>
    <row r="1767" spans="1:9" x14ac:dyDescent="0.25">
      <c r="E1767" s="7"/>
      <c r="F1767" t="s">
        <v>20</v>
      </c>
      <c r="G1767" s="10" t="s">
        <v>21</v>
      </c>
      <c r="H1767" t="str">
        <f>"4073933912"</f>
        <v>4073933912</v>
      </c>
      <c r="I1767" t="str">
        <f t="shared" si="32"/>
        <v>CINTAS CORPORATION #087</v>
      </c>
    </row>
    <row r="1768" spans="1:9" x14ac:dyDescent="0.25">
      <c r="E1768" s="7"/>
      <c r="F1768" t="s">
        <v>20</v>
      </c>
      <c r="G1768" s="10" t="s">
        <v>21</v>
      </c>
      <c r="H1768" t="str">
        <f>"4074620990"</f>
        <v>4074620990</v>
      </c>
      <c r="I1768" t="str">
        <f t="shared" si="32"/>
        <v>CINTAS CORPORATION #087</v>
      </c>
    </row>
    <row r="1769" spans="1:9" x14ac:dyDescent="0.25">
      <c r="E1769" s="7"/>
      <c r="F1769" t="s">
        <v>20</v>
      </c>
      <c r="G1769" s="10" t="s">
        <v>21</v>
      </c>
      <c r="H1769" t="str">
        <f>"4074621011"</f>
        <v>4074621011</v>
      </c>
      <c r="I1769" t="str">
        <f t="shared" si="32"/>
        <v>CINTAS CORPORATION #087</v>
      </c>
    </row>
    <row r="1770" spans="1:9" x14ac:dyDescent="0.25">
      <c r="E1770" s="7"/>
      <c r="F1770" t="s">
        <v>20</v>
      </c>
      <c r="G1770" s="10" t="s">
        <v>21</v>
      </c>
      <c r="H1770" t="str">
        <f>"4074621092"</f>
        <v>4074621092</v>
      </c>
      <c r="I1770" t="str">
        <f t="shared" si="32"/>
        <v>CINTAS CORPORATION #087</v>
      </c>
    </row>
    <row r="1771" spans="1:9" x14ac:dyDescent="0.25">
      <c r="A1771" s="6">
        <v>44230</v>
      </c>
      <c r="B1771" t="s">
        <v>26</v>
      </c>
      <c r="C1771">
        <v>65987</v>
      </c>
      <c r="D1771" t="s">
        <v>661</v>
      </c>
      <c r="E1771" s="7">
        <v>107.17</v>
      </c>
      <c r="F1771" t="s">
        <v>20</v>
      </c>
      <c r="G1771" s="10" t="s">
        <v>21</v>
      </c>
      <c r="H1771" t="str">
        <f>"8404994464"</f>
        <v>8404994464</v>
      </c>
      <c r="I1771" t="str">
        <f>"CINTAS FAS LOCKBOX 631025"</f>
        <v>CINTAS FAS LOCKBOX 631025</v>
      </c>
    </row>
    <row r="1772" spans="1:9" x14ac:dyDescent="0.25">
      <c r="A1772" s="6">
        <v>44230</v>
      </c>
      <c r="B1772" t="s">
        <v>26</v>
      </c>
      <c r="C1772">
        <v>65988</v>
      </c>
      <c r="D1772" t="s">
        <v>0</v>
      </c>
      <c r="E1772" s="7">
        <v>2324.86</v>
      </c>
      <c r="F1772" t="s">
        <v>20</v>
      </c>
      <c r="G1772" s="10" t="s">
        <v>21</v>
      </c>
      <c r="H1772" t="str">
        <f>"12/10-1/10/2021"</f>
        <v>12/10-1/10/2021</v>
      </c>
      <c r="I1772" t="str">
        <f>"CITY OF FLORESVILLE"</f>
        <v>CITY OF FLORESVILLE</v>
      </c>
    </row>
    <row r="1773" spans="1:9" x14ac:dyDescent="0.25">
      <c r="A1773" s="6">
        <v>44230</v>
      </c>
      <c r="B1773" t="s">
        <v>26</v>
      </c>
      <c r="C1773">
        <v>65989</v>
      </c>
      <c r="D1773" t="s">
        <v>1025</v>
      </c>
      <c r="E1773" s="7">
        <v>50</v>
      </c>
      <c r="F1773" t="s">
        <v>20</v>
      </c>
      <c r="G1773" s="10" t="s">
        <v>21</v>
      </c>
      <c r="H1773" t="str">
        <f>"WDNG REFND 11/14"</f>
        <v>WDNG REFND 11/14</v>
      </c>
      <c r="I1773" t="str">
        <f>"REFUND"</f>
        <v>REFUND</v>
      </c>
    </row>
    <row r="1774" spans="1:9" x14ac:dyDescent="0.25">
      <c r="A1774" s="6">
        <v>44230</v>
      </c>
      <c r="B1774" t="s">
        <v>26</v>
      </c>
      <c r="C1774">
        <v>65990</v>
      </c>
      <c r="D1774" t="s">
        <v>872</v>
      </c>
      <c r="E1774" s="7">
        <v>107.5</v>
      </c>
      <c r="F1774" t="s">
        <v>20</v>
      </c>
      <c r="G1774" s="10" t="s">
        <v>21</v>
      </c>
      <c r="H1774" t="str">
        <f>"1/31/2021"</f>
        <v>1/31/2021</v>
      </c>
      <c r="I1774" t="str">
        <f>"DEVIN BENAVIDES"</f>
        <v>DEVIN BENAVIDES</v>
      </c>
    </row>
    <row r="1775" spans="1:9" x14ac:dyDescent="0.25">
      <c r="A1775" s="6">
        <v>44230</v>
      </c>
      <c r="B1775" t="s">
        <v>26</v>
      </c>
      <c r="C1775">
        <v>65991</v>
      </c>
      <c r="D1775" t="s">
        <v>77</v>
      </c>
      <c r="E1775" s="7">
        <v>3443.1</v>
      </c>
      <c r="F1775" t="s">
        <v>20</v>
      </c>
      <c r="G1775" s="10" t="s">
        <v>21</v>
      </c>
      <c r="H1775" t="str">
        <f>"857000057-21"</f>
        <v>857000057-21</v>
      </c>
      <c r="I1775" t="str">
        <f>"DPC INDUSTRIES  INC."</f>
        <v>DPC INDUSTRIES  INC.</v>
      </c>
    </row>
    <row r="1776" spans="1:9" x14ac:dyDescent="0.25">
      <c r="E1776" s="7"/>
      <c r="F1776" t="s">
        <v>20</v>
      </c>
      <c r="G1776" s="10" t="s">
        <v>21</v>
      </c>
      <c r="H1776" t="str">
        <f>"857000108-21"</f>
        <v>857000108-21</v>
      </c>
      <c r="I1776" t="str">
        <f>"DPC INDUSTRIES  INC."</f>
        <v>DPC INDUSTRIES  INC.</v>
      </c>
    </row>
    <row r="1777" spans="1:9" x14ac:dyDescent="0.25">
      <c r="E1777" s="7"/>
      <c r="F1777" t="s">
        <v>20</v>
      </c>
      <c r="G1777" s="10" t="s">
        <v>21</v>
      </c>
      <c r="H1777" t="str">
        <f>"85700058-21"</f>
        <v>85700058-21</v>
      </c>
      <c r="I1777" t="str">
        <f>"DPC INDUSTRIES  INC."</f>
        <v>DPC INDUSTRIES  INC.</v>
      </c>
    </row>
    <row r="1778" spans="1:9" x14ac:dyDescent="0.25">
      <c r="E1778" s="7"/>
      <c r="F1778" t="s">
        <v>20</v>
      </c>
      <c r="G1778" s="10" t="s">
        <v>21</v>
      </c>
      <c r="H1778" t="str">
        <f>"857002737-20"</f>
        <v>857002737-20</v>
      </c>
      <c r="I1778" t="str">
        <f>"CHLORINE"</f>
        <v>CHLORINE</v>
      </c>
    </row>
    <row r="1779" spans="1:9" x14ac:dyDescent="0.25">
      <c r="E1779" s="7"/>
      <c r="F1779" t="s">
        <v>20</v>
      </c>
      <c r="G1779" s="10" t="s">
        <v>21</v>
      </c>
      <c r="H1779" t="str">
        <f>"DE85002992-20"</f>
        <v>DE85002992-20</v>
      </c>
      <c r="I1779" t="str">
        <f>"DPC INDUSTRIES  INC."</f>
        <v>DPC INDUSTRIES  INC.</v>
      </c>
    </row>
    <row r="1780" spans="1:9" x14ac:dyDescent="0.25">
      <c r="A1780" s="6">
        <v>44230</v>
      </c>
      <c r="B1780" t="s">
        <v>26</v>
      </c>
      <c r="C1780">
        <v>65992</v>
      </c>
      <c r="D1780" t="s">
        <v>64</v>
      </c>
      <c r="E1780" s="7">
        <v>2972</v>
      </c>
      <c r="F1780" t="s">
        <v>20</v>
      </c>
      <c r="G1780" s="10" t="s">
        <v>21</v>
      </c>
      <c r="H1780" t="str">
        <f>"8380"</f>
        <v>8380</v>
      </c>
      <c r="I1780" t="str">
        <f>"DREWA DESIGNS  INC."</f>
        <v>DREWA DESIGNS  INC.</v>
      </c>
    </row>
    <row r="1781" spans="1:9" x14ac:dyDescent="0.25">
      <c r="A1781" s="6">
        <v>44230</v>
      </c>
      <c r="B1781" t="s">
        <v>26</v>
      </c>
      <c r="C1781">
        <v>65993</v>
      </c>
      <c r="D1781" t="s">
        <v>69</v>
      </c>
      <c r="E1781" s="7">
        <v>86.29</v>
      </c>
      <c r="F1781" t="s">
        <v>20</v>
      </c>
      <c r="G1781" s="10" t="s">
        <v>21</v>
      </c>
      <c r="H1781" t="str">
        <f>"3C04543"</f>
        <v>3C04543</v>
      </c>
      <c r="I1781" t="str">
        <f>"CHAINSAW SUPPLIES"</f>
        <v>CHAINSAW SUPPLIES</v>
      </c>
    </row>
    <row r="1782" spans="1:9" x14ac:dyDescent="0.25">
      <c r="A1782" s="6">
        <v>44230</v>
      </c>
      <c r="B1782" t="s">
        <v>26</v>
      </c>
      <c r="C1782">
        <v>65994</v>
      </c>
      <c r="D1782" t="s">
        <v>57</v>
      </c>
      <c r="E1782" s="7">
        <v>19184.14</v>
      </c>
      <c r="F1782" t="s">
        <v>20</v>
      </c>
      <c r="G1782" s="10" t="s">
        <v>21</v>
      </c>
      <c r="H1782" t="str">
        <f>"12/15-1/19/2111617"</f>
        <v>12/15-1/19/2111617</v>
      </c>
      <c r="I1782" t="str">
        <f>"F.E.L.P.S."</f>
        <v>F.E.L.P.S.</v>
      </c>
    </row>
    <row r="1783" spans="1:9" x14ac:dyDescent="0.25">
      <c r="A1783" s="6">
        <v>44230</v>
      </c>
      <c r="B1783" t="s">
        <v>26</v>
      </c>
      <c r="C1783">
        <v>65995</v>
      </c>
      <c r="D1783" t="s">
        <v>85</v>
      </c>
      <c r="E1783" s="7">
        <v>1524.67</v>
      </c>
      <c r="F1783" t="s">
        <v>20</v>
      </c>
      <c r="G1783" s="10" t="s">
        <v>21</v>
      </c>
      <c r="H1783" t="str">
        <f>"2162691 JAN.2021"</f>
        <v>2162691 JAN.2021</v>
      </c>
      <c r="I1783" t="str">
        <f t="shared" ref="I1783:I1790" si="33">"FRONTIER"</f>
        <v>FRONTIER</v>
      </c>
    </row>
    <row r="1784" spans="1:9" x14ac:dyDescent="0.25">
      <c r="E1784" s="7"/>
      <c r="F1784" t="s">
        <v>20</v>
      </c>
      <c r="G1784" s="10" t="s">
        <v>21</v>
      </c>
      <c r="H1784" t="str">
        <f>"3932056 JAN.2021"</f>
        <v>3932056 JAN.2021</v>
      </c>
      <c r="I1784" t="str">
        <f t="shared" si="33"/>
        <v>FRONTIER</v>
      </c>
    </row>
    <row r="1785" spans="1:9" x14ac:dyDescent="0.25">
      <c r="E1785" s="7"/>
      <c r="F1785" t="s">
        <v>20</v>
      </c>
      <c r="G1785" s="10" t="s">
        <v>21</v>
      </c>
      <c r="H1785" t="str">
        <f>"3933105 JAN.2021"</f>
        <v>3933105 JAN.2021</v>
      </c>
      <c r="I1785" t="str">
        <f t="shared" si="33"/>
        <v>FRONTIER</v>
      </c>
    </row>
    <row r="1786" spans="1:9" x14ac:dyDescent="0.25">
      <c r="E1786" s="7"/>
      <c r="F1786" t="s">
        <v>20</v>
      </c>
      <c r="G1786" s="10" t="s">
        <v>21</v>
      </c>
      <c r="H1786" t="str">
        <f>"3933186 JNA.2021"</f>
        <v>3933186 JNA.2021</v>
      </c>
      <c r="I1786" t="str">
        <f t="shared" si="33"/>
        <v>FRONTIER</v>
      </c>
    </row>
    <row r="1787" spans="1:9" x14ac:dyDescent="0.25">
      <c r="E1787" s="7"/>
      <c r="F1787" t="s">
        <v>20</v>
      </c>
      <c r="G1787" s="10" t="s">
        <v>21</v>
      </c>
      <c r="H1787" t="str">
        <f>"3933718 JAN.2021"</f>
        <v>3933718 JAN.2021</v>
      </c>
      <c r="I1787" t="str">
        <f t="shared" si="33"/>
        <v>FRONTIER</v>
      </c>
    </row>
    <row r="1788" spans="1:9" x14ac:dyDescent="0.25">
      <c r="E1788" s="7"/>
      <c r="F1788" t="s">
        <v>20</v>
      </c>
      <c r="G1788" s="10" t="s">
        <v>21</v>
      </c>
      <c r="H1788" t="str">
        <f>"3936616 JAN.2021"</f>
        <v>3936616 JAN.2021</v>
      </c>
      <c r="I1788" t="str">
        <f t="shared" si="33"/>
        <v>FRONTIER</v>
      </c>
    </row>
    <row r="1789" spans="1:9" x14ac:dyDescent="0.25">
      <c r="E1789" s="7"/>
      <c r="F1789" t="s">
        <v>20</v>
      </c>
      <c r="G1789" s="10" t="s">
        <v>21</v>
      </c>
      <c r="H1789" t="str">
        <f>"3939456 JAN.2021"</f>
        <v>3939456 JAN.2021</v>
      </c>
      <c r="I1789" t="str">
        <f t="shared" si="33"/>
        <v>FRONTIER</v>
      </c>
    </row>
    <row r="1790" spans="1:9" x14ac:dyDescent="0.25">
      <c r="E1790" s="7"/>
      <c r="F1790" t="s">
        <v>20</v>
      </c>
      <c r="G1790" s="10" t="s">
        <v>21</v>
      </c>
      <c r="H1790" t="str">
        <f>"8301970046 1/2021"</f>
        <v>8301970046 1/2021</v>
      </c>
      <c r="I1790" t="str">
        <f t="shared" si="33"/>
        <v>FRONTIER</v>
      </c>
    </row>
    <row r="1791" spans="1:9" x14ac:dyDescent="0.25">
      <c r="A1791" s="6">
        <v>44230</v>
      </c>
      <c r="B1791" t="s">
        <v>26</v>
      </c>
      <c r="C1791">
        <v>65997</v>
      </c>
      <c r="D1791" t="s">
        <v>351</v>
      </c>
      <c r="E1791" s="7">
        <v>75</v>
      </c>
      <c r="F1791" t="s">
        <v>20</v>
      </c>
      <c r="G1791" s="10" t="s">
        <v>21</v>
      </c>
      <c r="H1791" t="str">
        <f>"1062484"</f>
        <v>1062484</v>
      </c>
      <c r="I1791" t="str">
        <f>"H &amp; H OIL"</f>
        <v>H &amp; H OIL</v>
      </c>
    </row>
    <row r="1792" spans="1:9" x14ac:dyDescent="0.25">
      <c r="A1792" s="6">
        <v>44230</v>
      </c>
      <c r="B1792" t="s">
        <v>26</v>
      </c>
      <c r="C1792">
        <v>65998</v>
      </c>
      <c r="D1792" t="s">
        <v>398</v>
      </c>
      <c r="E1792" s="7">
        <v>56.5</v>
      </c>
      <c r="F1792" t="s">
        <v>20</v>
      </c>
      <c r="G1792" s="10" t="s">
        <v>21</v>
      </c>
      <c r="H1792" t="str">
        <f>"20210204"</f>
        <v>20210204</v>
      </c>
      <c r="I1792" t="str">
        <f>"INTERCEPTOR TECHNOLOGY GROUP L"</f>
        <v>INTERCEPTOR TECHNOLOGY GROUP L</v>
      </c>
    </row>
    <row r="1793" spans="1:9" x14ac:dyDescent="0.25">
      <c r="A1793" s="6">
        <v>44230</v>
      </c>
      <c r="B1793" t="s">
        <v>26</v>
      </c>
      <c r="C1793">
        <v>65999</v>
      </c>
      <c r="D1793" t="s">
        <v>125</v>
      </c>
      <c r="E1793" s="7">
        <v>90</v>
      </c>
      <c r="F1793" t="s">
        <v>20</v>
      </c>
      <c r="G1793" s="10" t="s">
        <v>21</v>
      </c>
      <c r="H1793" t="str">
        <f>"19-1281 JAN.2021"</f>
        <v>19-1281 JAN.2021</v>
      </c>
      <c r="I1793" t="str">
        <f>"INTREPID SURVEYING CORPORATION"</f>
        <v>INTREPID SURVEYING CORPORATION</v>
      </c>
    </row>
    <row r="1794" spans="1:9" x14ac:dyDescent="0.25">
      <c r="A1794" s="6">
        <v>44230</v>
      </c>
      <c r="B1794" t="s">
        <v>26</v>
      </c>
      <c r="C1794">
        <v>66000</v>
      </c>
      <c r="D1794" t="s">
        <v>646</v>
      </c>
      <c r="E1794" s="7">
        <v>4650</v>
      </c>
      <c r="F1794" t="s">
        <v>20</v>
      </c>
      <c r="G1794" s="10" t="s">
        <v>21</v>
      </c>
      <c r="H1794" t="str">
        <f>"0121826"</f>
        <v>0121826</v>
      </c>
      <c r="I1794" t="str">
        <f>"ASPHALT ALLEY PROJECT"</f>
        <v>ASPHALT ALLEY PROJECT</v>
      </c>
    </row>
    <row r="1795" spans="1:9" x14ac:dyDescent="0.25">
      <c r="A1795" s="6">
        <v>44230</v>
      </c>
      <c r="B1795" t="s">
        <v>26</v>
      </c>
      <c r="C1795">
        <v>66001</v>
      </c>
      <c r="D1795" t="s">
        <v>116</v>
      </c>
      <c r="E1795" s="7">
        <v>98</v>
      </c>
      <c r="F1795" t="s">
        <v>20</v>
      </c>
      <c r="G1795" s="10" t="s">
        <v>21</v>
      </c>
      <c r="H1795" t="str">
        <f>"INV001026388"</f>
        <v>INV001026388</v>
      </c>
      <c r="I1795" t="str">
        <f>"5-WAY POOL CHECK"</f>
        <v>5-WAY POOL CHECK</v>
      </c>
    </row>
    <row r="1796" spans="1:9" x14ac:dyDescent="0.25">
      <c r="A1796" s="6">
        <v>44230</v>
      </c>
      <c r="B1796" t="s">
        <v>26</v>
      </c>
      <c r="C1796">
        <v>66002</v>
      </c>
      <c r="D1796" t="s">
        <v>109</v>
      </c>
      <c r="E1796" s="7">
        <v>1428</v>
      </c>
      <c r="F1796" t="s">
        <v>20</v>
      </c>
      <c r="G1796" s="10" t="s">
        <v>21</v>
      </c>
      <c r="H1796" t="str">
        <f>"257873"</f>
        <v>257873</v>
      </c>
      <c r="I1796" t="str">
        <f>"RENEWAL INVOICE"</f>
        <v>RENEWAL INVOICE</v>
      </c>
    </row>
    <row r="1797" spans="1:9" x14ac:dyDescent="0.25">
      <c r="A1797" s="6">
        <v>44230</v>
      </c>
      <c r="B1797" t="s">
        <v>26</v>
      </c>
      <c r="C1797">
        <v>66003</v>
      </c>
      <c r="D1797" t="s">
        <v>107</v>
      </c>
      <c r="E1797" s="7">
        <v>7.36</v>
      </c>
      <c r="F1797" t="s">
        <v>20</v>
      </c>
      <c r="G1797" s="10" t="s">
        <v>21</v>
      </c>
      <c r="H1797" t="str">
        <f>"1166960-20201231"</f>
        <v>1166960-20201231</v>
      </c>
      <c r="I1797" t="str">
        <f>"LEXISNEXIS RISK SOLUTIONS"</f>
        <v>LEXISNEXIS RISK SOLUTIONS</v>
      </c>
    </row>
    <row r="1798" spans="1:9" x14ac:dyDescent="0.25">
      <c r="A1798" s="6">
        <v>44230</v>
      </c>
      <c r="B1798" t="s">
        <v>26</v>
      </c>
      <c r="C1798">
        <v>66004</v>
      </c>
      <c r="D1798" t="s">
        <v>117</v>
      </c>
      <c r="E1798" s="7">
        <v>599.47</v>
      </c>
      <c r="F1798" t="s">
        <v>20</v>
      </c>
      <c r="G1798" s="10" t="s">
        <v>21</v>
      </c>
      <c r="H1798" t="str">
        <f>"FEB.2020"</f>
        <v>FEB.2020</v>
      </c>
      <c r="I1798" t="str">
        <f>"LINEBARGER GOGGAN BLAIR &amp; SAMP"</f>
        <v>LINEBARGER GOGGAN BLAIR &amp; SAMP</v>
      </c>
    </row>
    <row r="1799" spans="1:9" x14ac:dyDescent="0.25">
      <c r="A1799" s="6">
        <v>44230</v>
      </c>
      <c r="B1799" t="s">
        <v>26</v>
      </c>
      <c r="C1799">
        <v>66005</v>
      </c>
      <c r="D1799" t="s">
        <v>80</v>
      </c>
      <c r="E1799" s="7">
        <v>1500</v>
      </c>
      <c r="F1799" t="s">
        <v>20</v>
      </c>
      <c r="G1799" s="10" t="s">
        <v>21</v>
      </c>
      <c r="H1799" t="str">
        <f>"1648-20210201-1"</f>
        <v>1648-20210201-1</v>
      </c>
      <c r="I1799" t="str">
        <f>"LVWIFI.COM"</f>
        <v>LVWIFI.COM</v>
      </c>
    </row>
    <row r="1800" spans="1:9" x14ac:dyDescent="0.25">
      <c r="E1800" s="7"/>
      <c r="F1800" t="s">
        <v>20</v>
      </c>
      <c r="G1800" s="10" t="s">
        <v>21</v>
      </c>
      <c r="H1800" t="str">
        <f>"2313-20210201-1"</f>
        <v>2313-20210201-1</v>
      </c>
      <c r="I1800" t="str">
        <f>"LVWIFI.COM"</f>
        <v>LVWIFI.COM</v>
      </c>
    </row>
    <row r="1801" spans="1:9" x14ac:dyDescent="0.25">
      <c r="A1801" s="6">
        <v>44230</v>
      </c>
      <c r="B1801" t="s">
        <v>26</v>
      </c>
      <c r="C1801">
        <v>66006</v>
      </c>
      <c r="D1801" t="s">
        <v>488</v>
      </c>
      <c r="E1801" s="7">
        <v>4500</v>
      </c>
      <c r="F1801" t="s">
        <v>20</v>
      </c>
      <c r="G1801" s="10" t="s">
        <v>21</v>
      </c>
      <c r="H1801" t="str">
        <f>"12933"</f>
        <v>12933</v>
      </c>
      <c r="I1801" t="str">
        <f>"M &amp; C Fonseca Construction Co."</f>
        <v>M &amp; C Fonseca Construction Co.</v>
      </c>
    </row>
    <row r="1802" spans="1:9" x14ac:dyDescent="0.25">
      <c r="A1802" s="6">
        <v>44230</v>
      </c>
      <c r="B1802" t="s">
        <v>26</v>
      </c>
      <c r="C1802">
        <v>66007</v>
      </c>
      <c r="D1802" t="s">
        <v>326</v>
      </c>
      <c r="E1802" s="7">
        <v>38.119999999999997</v>
      </c>
      <c r="F1802" t="s">
        <v>20</v>
      </c>
      <c r="G1802" s="10" t="s">
        <v>21</v>
      </c>
      <c r="H1802" t="str">
        <f>"22943943"</f>
        <v>22943943</v>
      </c>
      <c r="I1802" t="str">
        <f>"MATHESON TRI-GAS INC"</f>
        <v>MATHESON TRI-GAS INC</v>
      </c>
    </row>
    <row r="1803" spans="1:9" x14ac:dyDescent="0.25">
      <c r="A1803" s="6">
        <v>44230</v>
      </c>
      <c r="B1803" t="s">
        <v>26</v>
      </c>
      <c r="C1803">
        <v>66008</v>
      </c>
      <c r="D1803" t="s">
        <v>124</v>
      </c>
      <c r="E1803" s="7">
        <v>376.62</v>
      </c>
      <c r="F1803" t="s">
        <v>20</v>
      </c>
      <c r="G1803" s="10" t="s">
        <v>21</v>
      </c>
      <c r="H1803" t="str">
        <f>"11100007"</f>
        <v>11100007</v>
      </c>
      <c r="I1803" t="str">
        <f>"MCCOY'S CORPORATION"</f>
        <v>MCCOY'S CORPORATION</v>
      </c>
    </row>
    <row r="1804" spans="1:9" x14ac:dyDescent="0.25">
      <c r="E1804" s="7"/>
      <c r="F1804" t="s">
        <v>20</v>
      </c>
      <c r="G1804" s="10" t="s">
        <v>21</v>
      </c>
      <c r="H1804" t="str">
        <f>"11198809"</f>
        <v>11198809</v>
      </c>
      <c r="I1804" t="str">
        <f>"SUPPLIES FOR TRAIN DEPOT"</f>
        <v>SUPPLIES FOR TRAIN DEPOT</v>
      </c>
    </row>
    <row r="1805" spans="1:9" x14ac:dyDescent="0.25">
      <c r="E1805" s="7"/>
      <c r="F1805" t="s">
        <v>20</v>
      </c>
      <c r="G1805" s="10" t="s">
        <v>21</v>
      </c>
      <c r="H1805" t="str">
        <f>"11199796"</f>
        <v>11199796</v>
      </c>
      <c r="I1805" t="str">
        <f>"BROKEN SPRINKLER LINE"</f>
        <v>BROKEN SPRINKLER LINE</v>
      </c>
    </row>
    <row r="1806" spans="1:9" x14ac:dyDescent="0.25">
      <c r="A1806" s="6">
        <v>44230</v>
      </c>
      <c r="B1806" t="s">
        <v>26</v>
      </c>
      <c r="C1806">
        <v>66009</v>
      </c>
      <c r="D1806" t="s">
        <v>345</v>
      </c>
      <c r="E1806" s="7">
        <v>363</v>
      </c>
      <c r="F1806" t="s">
        <v>20</v>
      </c>
      <c r="G1806" s="10" t="s">
        <v>21</v>
      </c>
      <c r="H1806" t="str">
        <f>"2/1/2021"</f>
        <v>2/1/2021</v>
      </c>
      <c r="I1806" t="str">
        <f>"MICHAEL ISAAC MARTINEZ"</f>
        <v>MICHAEL ISAAC MARTINEZ</v>
      </c>
    </row>
    <row r="1807" spans="1:9" x14ac:dyDescent="0.25">
      <c r="A1807" s="6">
        <v>44230</v>
      </c>
      <c r="B1807" t="s">
        <v>26</v>
      </c>
      <c r="C1807">
        <v>66010</v>
      </c>
      <c r="D1807" t="s">
        <v>240</v>
      </c>
      <c r="E1807" s="7">
        <v>201.58</v>
      </c>
      <c r="F1807" t="s">
        <v>20</v>
      </c>
      <c r="G1807" s="10" t="s">
        <v>21</v>
      </c>
      <c r="H1807" t="str">
        <f>"0203360-IN"</f>
        <v>0203360-IN</v>
      </c>
      <c r="I1807" t="str">
        <f>"NARDIS PUBLIC SAFETY"</f>
        <v>NARDIS PUBLIC SAFETY</v>
      </c>
    </row>
    <row r="1808" spans="1:9" x14ac:dyDescent="0.25">
      <c r="E1808" s="7"/>
      <c r="F1808" t="s">
        <v>20</v>
      </c>
      <c r="G1808" s="10" t="s">
        <v>21</v>
      </c>
      <c r="H1808" t="str">
        <f>"0203405-IN"</f>
        <v>0203405-IN</v>
      </c>
      <c r="I1808" t="str">
        <f>"NARDIS PUBLIC SAFETY"</f>
        <v>NARDIS PUBLIC SAFETY</v>
      </c>
    </row>
    <row r="1809" spans="1:9" x14ac:dyDescent="0.25">
      <c r="A1809" s="6">
        <v>44230</v>
      </c>
      <c r="B1809" t="s">
        <v>26</v>
      </c>
      <c r="C1809">
        <v>66011</v>
      </c>
      <c r="D1809" t="s">
        <v>1016</v>
      </c>
      <c r="E1809" s="7">
        <v>9787.5</v>
      </c>
      <c r="F1809" t="s">
        <v>20</v>
      </c>
      <c r="G1809" s="10" t="s">
        <v>21</v>
      </c>
      <c r="H1809" t="str">
        <f>"0004"</f>
        <v>0004</v>
      </c>
      <c r="I1809" t="str">
        <f>"CAT WALK AND HOIST SYSTEM"</f>
        <v>CAT WALK AND HOIST SYSTEM</v>
      </c>
    </row>
    <row r="1810" spans="1:9" x14ac:dyDescent="0.25">
      <c r="A1810" s="6">
        <v>44230</v>
      </c>
      <c r="B1810" t="s">
        <v>26</v>
      </c>
      <c r="C1810">
        <v>66012</v>
      </c>
      <c r="D1810" t="s">
        <v>340</v>
      </c>
      <c r="E1810" s="7">
        <v>114.2</v>
      </c>
      <c r="F1810" t="s">
        <v>20</v>
      </c>
      <c r="G1810" s="10" t="s">
        <v>21</v>
      </c>
      <c r="H1810" t="str">
        <f>"1810-499939"</f>
        <v>1810-499939</v>
      </c>
      <c r="I1810" t="str">
        <f>"WWTP-BACKHOE REPAIR"</f>
        <v>WWTP-BACKHOE REPAIR</v>
      </c>
    </row>
    <row r="1811" spans="1:9" x14ac:dyDescent="0.25">
      <c r="A1811" s="6">
        <v>44230</v>
      </c>
      <c r="B1811" t="s">
        <v>26</v>
      </c>
      <c r="C1811">
        <v>66013</v>
      </c>
      <c r="D1811" t="s">
        <v>123</v>
      </c>
      <c r="E1811" s="7">
        <v>925.78</v>
      </c>
      <c r="F1811" t="s">
        <v>20</v>
      </c>
      <c r="G1811" s="10" t="s">
        <v>21</v>
      </c>
      <c r="H1811" t="str">
        <f>"147260667001"</f>
        <v>147260667001</v>
      </c>
      <c r="I1811" t="str">
        <f>"OFFICE SUPPLIES"</f>
        <v>OFFICE SUPPLIES</v>
      </c>
    </row>
    <row r="1812" spans="1:9" x14ac:dyDescent="0.25">
      <c r="E1812" s="7"/>
      <c r="F1812" t="s">
        <v>20</v>
      </c>
      <c r="G1812" s="10" t="s">
        <v>21</v>
      </c>
      <c r="H1812" t="str">
        <f>"147266445001"</f>
        <v>147266445001</v>
      </c>
      <c r="I1812" t="str">
        <f>"OFFICE SUPPLIES"</f>
        <v>OFFICE SUPPLIES</v>
      </c>
    </row>
    <row r="1813" spans="1:9" x14ac:dyDescent="0.25">
      <c r="E1813" s="7"/>
      <c r="F1813" t="s">
        <v>20</v>
      </c>
      <c r="G1813" s="10" t="s">
        <v>21</v>
      </c>
      <c r="H1813" t="str">
        <f>"147266447001"</f>
        <v>147266447001</v>
      </c>
      <c r="I1813" t="str">
        <f>"OFFICE SUPPLIES"</f>
        <v>OFFICE SUPPLIES</v>
      </c>
    </row>
    <row r="1814" spans="1:9" x14ac:dyDescent="0.25">
      <c r="E1814" s="7"/>
      <c r="F1814" t="s">
        <v>20</v>
      </c>
      <c r="G1814" s="10" t="s">
        <v>21</v>
      </c>
      <c r="H1814" t="str">
        <f>"147266450001"</f>
        <v>147266450001</v>
      </c>
      <c r="I1814" t="str">
        <f>"OFFICE SUPPLIES"</f>
        <v>OFFICE SUPPLIES</v>
      </c>
    </row>
    <row r="1815" spans="1:9" x14ac:dyDescent="0.25">
      <c r="E1815" s="7"/>
      <c r="F1815" t="s">
        <v>20</v>
      </c>
      <c r="G1815" s="10" t="s">
        <v>21</v>
      </c>
      <c r="H1815" t="str">
        <f>"148573293001"</f>
        <v>148573293001</v>
      </c>
      <c r="I1815" t="str">
        <f>"OFFICE SUPPLIES"</f>
        <v>OFFICE SUPPLIES</v>
      </c>
    </row>
    <row r="1816" spans="1:9" x14ac:dyDescent="0.25">
      <c r="E1816" s="7"/>
      <c r="F1816" t="s">
        <v>20</v>
      </c>
      <c r="G1816" s="10" t="s">
        <v>21</v>
      </c>
      <c r="H1816" t="str">
        <f>"149775646001"</f>
        <v>149775646001</v>
      </c>
      <c r="I1816" t="str">
        <f>"WIRELESS HEADSETS"</f>
        <v>WIRELESS HEADSETS</v>
      </c>
    </row>
    <row r="1817" spans="1:9" x14ac:dyDescent="0.25">
      <c r="E1817" s="7"/>
      <c r="F1817" t="s">
        <v>20</v>
      </c>
      <c r="G1817" s="10" t="s">
        <v>21</v>
      </c>
      <c r="H1817" t="str">
        <f>"149881764001"</f>
        <v>149881764001</v>
      </c>
      <c r="I1817" t="str">
        <f>"OFFICE SUPPLIES"</f>
        <v>OFFICE SUPPLIES</v>
      </c>
    </row>
    <row r="1818" spans="1:9" x14ac:dyDescent="0.25">
      <c r="A1818" s="6">
        <v>44230</v>
      </c>
      <c r="B1818" t="s">
        <v>26</v>
      </c>
      <c r="C1818">
        <v>66016</v>
      </c>
      <c r="D1818" t="s">
        <v>137</v>
      </c>
      <c r="E1818" s="7">
        <v>121.9</v>
      </c>
      <c r="F1818" t="s">
        <v>20</v>
      </c>
      <c r="G1818" s="10" t="s">
        <v>21</v>
      </c>
      <c r="H1818" t="str">
        <f>"20619"</f>
        <v>20619</v>
      </c>
      <c r="I1818" t="str">
        <f>"OMNIBUS-M  INC.D.B.A."</f>
        <v>OMNIBUS-M  INC.D.B.A.</v>
      </c>
    </row>
    <row r="1819" spans="1:9" x14ac:dyDescent="0.25">
      <c r="E1819" s="7"/>
      <c r="F1819" t="s">
        <v>20</v>
      </c>
      <c r="G1819" s="10" t="s">
        <v>21</v>
      </c>
      <c r="H1819" t="str">
        <f>"20620"</f>
        <v>20620</v>
      </c>
      <c r="I1819" t="str">
        <f>"OMNIBUS-M  INC.D.B.A."</f>
        <v>OMNIBUS-M  INC.D.B.A.</v>
      </c>
    </row>
    <row r="1820" spans="1:9" x14ac:dyDescent="0.25">
      <c r="A1820" s="6">
        <v>44230</v>
      </c>
      <c r="B1820" t="s">
        <v>26</v>
      </c>
      <c r="C1820">
        <v>66017</v>
      </c>
      <c r="D1820" t="s">
        <v>528</v>
      </c>
      <c r="E1820" s="7">
        <v>126</v>
      </c>
      <c r="F1820" t="s">
        <v>20</v>
      </c>
      <c r="G1820" s="10" t="s">
        <v>21</v>
      </c>
      <c r="H1820" t="str">
        <f>"10492490"</f>
        <v>10492490</v>
      </c>
      <c r="I1820" t="str">
        <f>"PROSTAR SERVICES INC"</f>
        <v>PROSTAR SERVICES INC</v>
      </c>
    </row>
    <row r="1821" spans="1:9" x14ac:dyDescent="0.25">
      <c r="A1821" s="6">
        <v>44230</v>
      </c>
      <c r="B1821" t="s">
        <v>26</v>
      </c>
      <c r="C1821">
        <v>66018</v>
      </c>
      <c r="D1821" t="s">
        <v>119</v>
      </c>
      <c r="E1821" s="7">
        <v>389</v>
      </c>
      <c r="F1821" t="s">
        <v>20</v>
      </c>
      <c r="G1821" s="10" t="s">
        <v>21</v>
      </c>
      <c r="H1821" t="str">
        <f>"73081"</f>
        <v>73081</v>
      </c>
      <c r="I1821" t="str">
        <f>"PRUSKI'S TIRE SHOP  L.L.C."</f>
        <v>PRUSKI'S TIRE SHOP  L.L.C.</v>
      </c>
    </row>
    <row r="1822" spans="1:9" x14ac:dyDescent="0.25">
      <c r="A1822" s="6">
        <v>44230</v>
      </c>
      <c r="B1822" t="s">
        <v>26</v>
      </c>
      <c r="C1822">
        <v>66019</v>
      </c>
      <c r="D1822" t="s">
        <v>131</v>
      </c>
      <c r="E1822" s="7">
        <v>390.1</v>
      </c>
      <c r="F1822" t="s">
        <v>20</v>
      </c>
      <c r="G1822" s="10" t="s">
        <v>21</v>
      </c>
      <c r="H1822" t="str">
        <f>"056330"</f>
        <v>056330</v>
      </c>
      <c r="I1822" t="str">
        <f>"BATTERIES FOR GRADALL"</f>
        <v>BATTERIES FOR GRADALL</v>
      </c>
    </row>
    <row r="1823" spans="1:9" x14ac:dyDescent="0.25">
      <c r="E1823" s="7"/>
      <c r="F1823" t="s">
        <v>20</v>
      </c>
      <c r="G1823" s="10" t="s">
        <v>21</v>
      </c>
      <c r="H1823" t="str">
        <f>"056453"</f>
        <v>056453</v>
      </c>
      <c r="I1823" t="str">
        <f>"R &amp; S TEXAS PARTS CO"</f>
        <v>R &amp; S TEXAS PARTS CO</v>
      </c>
    </row>
    <row r="1824" spans="1:9" x14ac:dyDescent="0.25">
      <c r="A1824" s="6">
        <v>44230</v>
      </c>
      <c r="B1824" t="s">
        <v>26</v>
      </c>
      <c r="C1824">
        <v>66020</v>
      </c>
      <c r="D1824" t="s">
        <v>273</v>
      </c>
      <c r="E1824" s="7">
        <v>3085.56</v>
      </c>
      <c r="F1824" t="s">
        <v>20</v>
      </c>
      <c r="G1824" s="10" t="s">
        <v>21</v>
      </c>
      <c r="H1824" t="str">
        <f>"5119-0000094989*"</f>
        <v>5119-0000094989*</v>
      </c>
      <c r="I1824" t="str">
        <f>"REPUBLIC SERVICES TESSMAN ROAD"</f>
        <v>REPUBLIC SERVICES TESSMAN ROAD</v>
      </c>
    </row>
    <row r="1825" spans="1:9" x14ac:dyDescent="0.25">
      <c r="A1825" s="6">
        <v>44230</v>
      </c>
      <c r="B1825" t="s">
        <v>26</v>
      </c>
      <c r="C1825">
        <v>66021</v>
      </c>
      <c r="D1825" t="s">
        <v>630</v>
      </c>
      <c r="E1825" s="7">
        <v>4315.08</v>
      </c>
      <c r="F1825" t="s">
        <v>20</v>
      </c>
      <c r="G1825" s="10" t="s">
        <v>21</v>
      </c>
      <c r="H1825" t="str">
        <f>"40160"</f>
        <v>40160</v>
      </c>
      <c r="I1825" t="str">
        <f>"WATER METERS"</f>
        <v>WATER METERS</v>
      </c>
    </row>
    <row r="1826" spans="1:9" x14ac:dyDescent="0.25">
      <c r="A1826" s="6">
        <v>44230</v>
      </c>
      <c r="B1826" t="s">
        <v>26</v>
      </c>
      <c r="C1826">
        <v>66022</v>
      </c>
      <c r="D1826" t="s">
        <v>495</v>
      </c>
      <c r="E1826" s="7">
        <v>663.1</v>
      </c>
      <c r="F1826" t="s">
        <v>20</v>
      </c>
      <c r="G1826" s="10" t="s">
        <v>21</v>
      </c>
      <c r="H1826" t="str">
        <f>"0475213-IN"</f>
        <v>0475213-IN</v>
      </c>
      <c r="I1826" t="str">
        <f>"SIRCHIE"</f>
        <v>SIRCHIE</v>
      </c>
    </row>
    <row r="1827" spans="1:9" x14ac:dyDescent="0.25">
      <c r="A1827" s="6">
        <v>44230</v>
      </c>
      <c r="B1827" t="s">
        <v>26</v>
      </c>
      <c r="C1827">
        <v>66023</v>
      </c>
      <c r="D1827" t="s">
        <v>945</v>
      </c>
      <c r="E1827" s="7">
        <v>497.6</v>
      </c>
      <c r="F1827" t="s">
        <v>20</v>
      </c>
      <c r="G1827" s="10" t="s">
        <v>21</v>
      </c>
      <c r="H1827" t="str">
        <f>"4710092887"</f>
        <v>4710092887</v>
      </c>
      <c r="I1827" t="str">
        <f>"TIRE FOR PD UNIT 325"</f>
        <v>TIRE FOR PD UNIT 325</v>
      </c>
    </row>
    <row r="1828" spans="1:9" x14ac:dyDescent="0.25">
      <c r="A1828" s="6">
        <v>44230</v>
      </c>
      <c r="B1828" t="s">
        <v>26</v>
      </c>
      <c r="C1828">
        <v>66024</v>
      </c>
      <c r="D1828" t="s">
        <v>339</v>
      </c>
      <c r="E1828" s="7">
        <v>111.59</v>
      </c>
      <c r="F1828" t="s">
        <v>20</v>
      </c>
      <c r="G1828" s="10" t="s">
        <v>21</v>
      </c>
      <c r="H1828" t="str">
        <f>"825499"</f>
        <v>825499</v>
      </c>
      <c r="I1828" t="str">
        <f>"LED FLASHLIGHT"</f>
        <v>LED FLASHLIGHT</v>
      </c>
    </row>
    <row r="1829" spans="1:9" x14ac:dyDescent="0.25">
      <c r="A1829" s="6">
        <v>44230</v>
      </c>
      <c r="B1829" t="s">
        <v>26</v>
      </c>
      <c r="C1829">
        <v>66025</v>
      </c>
      <c r="D1829" t="s">
        <v>554</v>
      </c>
      <c r="E1829" s="7">
        <v>74.95</v>
      </c>
      <c r="F1829" t="s">
        <v>20</v>
      </c>
      <c r="G1829" s="10" t="s">
        <v>21</v>
      </c>
      <c r="H1829" t="str">
        <f>"AB18108"</f>
        <v>AB18108</v>
      </c>
      <c r="I1829" t="str">
        <f>"TEXAS WIRED MUSIC"</f>
        <v>TEXAS WIRED MUSIC</v>
      </c>
    </row>
    <row r="1830" spans="1:9" x14ac:dyDescent="0.25">
      <c r="A1830" s="6">
        <v>44230</v>
      </c>
      <c r="B1830" t="s">
        <v>26</v>
      </c>
      <c r="C1830">
        <v>66026</v>
      </c>
      <c r="D1830" t="s">
        <v>698</v>
      </c>
      <c r="E1830" s="7">
        <v>50</v>
      </c>
      <c r="F1830" t="s">
        <v>20</v>
      </c>
      <c r="G1830" s="10" t="s">
        <v>21</v>
      </c>
      <c r="H1830" t="str">
        <f>"1/31/2021"</f>
        <v>1/31/2021</v>
      </c>
      <c r="I1830" t="str">
        <f>"TRACY ORTIZ"</f>
        <v>TRACY ORTIZ</v>
      </c>
    </row>
    <row r="1831" spans="1:9" x14ac:dyDescent="0.25">
      <c r="A1831" s="6">
        <v>44230</v>
      </c>
      <c r="B1831" t="s">
        <v>26</v>
      </c>
      <c r="C1831">
        <v>66027</v>
      </c>
      <c r="D1831" t="s">
        <v>61</v>
      </c>
      <c r="E1831" s="7">
        <v>188</v>
      </c>
      <c r="F1831" t="s">
        <v>20</v>
      </c>
      <c r="G1831" s="10" t="s">
        <v>21</v>
      </c>
      <c r="H1831" t="str">
        <f>"025-322002"</f>
        <v>025-322002</v>
      </c>
      <c r="I1831" t="str">
        <f>"TYLER TECHNOLOGIES  INC."</f>
        <v>TYLER TECHNOLOGIES  INC.</v>
      </c>
    </row>
    <row r="1832" spans="1:9" x14ac:dyDescent="0.25">
      <c r="A1832" s="6">
        <v>44230</v>
      </c>
      <c r="B1832" t="s">
        <v>26</v>
      </c>
      <c r="C1832">
        <v>66028</v>
      </c>
      <c r="D1832" t="s">
        <v>395</v>
      </c>
      <c r="E1832" s="7">
        <v>194.86</v>
      </c>
      <c r="F1832" t="s">
        <v>20</v>
      </c>
      <c r="G1832" s="10" t="s">
        <v>21</v>
      </c>
      <c r="H1832" t="str">
        <f>"128737261"</f>
        <v>128737261</v>
      </c>
      <c r="I1832" t="str">
        <f>"ULINE"</f>
        <v>ULINE</v>
      </c>
    </row>
    <row r="1833" spans="1:9" x14ac:dyDescent="0.25">
      <c r="A1833" s="6">
        <v>44230</v>
      </c>
      <c r="B1833" t="s">
        <v>26</v>
      </c>
      <c r="C1833">
        <v>66029</v>
      </c>
      <c r="D1833" t="s">
        <v>644</v>
      </c>
      <c r="E1833" s="7">
        <v>661.31</v>
      </c>
      <c r="F1833" t="s">
        <v>20</v>
      </c>
      <c r="G1833" s="10" t="s">
        <v>21</v>
      </c>
      <c r="H1833" t="str">
        <f>"8213527213"</f>
        <v>8213527213</v>
      </c>
      <c r="I1833" t="str">
        <f t="shared" ref="I1833:I1840" si="34">"UNIFIRST CORPORATION"</f>
        <v>UNIFIRST CORPORATION</v>
      </c>
    </row>
    <row r="1834" spans="1:9" x14ac:dyDescent="0.25">
      <c r="E1834" s="7"/>
      <c r="F1834" t="s">
        <v>20</v>
      </c>
      <c r="G1834" s="10" t="s">
        <v>21</v>
      </c>
      <c r="H1834" t="str">
        <f>"8213555621"</f>
        <v>8213555621</v>
      </c>
      <c r="I1834" t="str">
        <f t="shared" si="34"/>
        <v>UNIFIRST CORPORATION</v>
      </c>
    </row>
    <row r="1835" spans="1:9" x14ac:dyDescent="0.25">
      <c r="E1835" s="7"/>
      <c r="F1835" t="s">
        <v>20</v>
      </c>
      <c r="G1835" s="10" t="s">
        <v>21</v>
      </c>
      <c r="H1835" t="str">
        <f>"8213555623"</f>
        <v>8213555623</v>
      </c>
      <c r="I1835" t="str">
        <f t="shared" si="34"/>
        <v>UNIFIRST CORPORATION</v>
      </c>
    </row>
    <row r="1836" spans="1:9" x14ac:dyDescent="0.25">
      <c r="E1836" s="7"/>
      <c r="F1836" t="s">
        <v>20</v>
      </c>
      <c r="G1836" s="10" t="s">
        <v>21</v>
      </c>
      <c r="H1836" t="str">
        <f>"8213555624"</f>
        <v>8213555624</v>
      </c>
      <c r="I1836" t="str">
        <f t="shared" si="34"/>
        <v>UNIFIRST CORPORATION</v>
      </c>
    </row>
    <row r="1837" spans="1:9" x14ac:dyDescent="0.25">
      <c r="E1837" s="7"/>
      <c r="F1837" t="s">
        <v>20</v>
      </c>
      <c r="G1837" s="10" t="s">
        <v>21</v>
      </c>
      <c r="H1837" t="str">
        <f>"8213555625"</f>
        <v>8213555625</v>
      </c>
      <c r="I1837" t="str">
        <f t="shared" si="34"/>
        <v>UNIFIRST CORPORATION</v>
      </c>
    </row>
    <row r="1838" spans="1:9" x14ac:dyDescent="0.25">
      <c r="E1838" s="7"/>
      <c r="F1838" t="s">
        <v>20</v>
      </c>
      <c r="G1838" s="10" t="s">
        <v>21</v>
      </c>
      <c r="H1838" t="str">
        <f>"8213555626"</f>
        <v>8213555626</v>
      </c>
      <c r="I1838" t="str">
        <f t="shared" si="34"/>
        <v>UNIFIRST CORPORATION</v>
      </c>
    </row>
    <row r="1839" spans="1:9" x14ac:dyDescent="0.25">
      <c r="E1839" s="7"/>
      <c r="F1839" t="s">
        <v>20</v>
      </c>
      <c r="G1839" s="10" t="s">
        <v>21</v>
      </c>
      <c r="H1839" t="str">
        <f>"8213555627"</f>
        <v>8213555627</v>
      </c>
      <c r="I1839" t="str">
        <f t="shared" si="34"/>
        <v>UNIFIRST CORPORATION</v>
      </c>
    </row>
    <row r="1840" spans="1:9" x14ac:dyDescent="0.25">
      <c r="E1840" s="7"/>
      <c r="F1840" t="s">
        <v>20</v>
      </c>
      <c r="G1840" s="10" t="s">
        <v>21</v>
      </c>
      <c r="H1840" t="str">
        <f>"8213555662"</f>
        <v>8213555662</v>
      </c>
      <c r="I1840" t="str">
        <f t="shared" si="34"/>
        <v>UNIFIRST CORPORATION</v>
      </c>
    </row>
    <row r="1841" spans="1:9" x14ac:dyDescent="0.25">
      <c r="A1841" s="6">
        <v>44230</v>
      </c>
      <c r="B1841" t="s">
        <v>26</v>
      </c>
      <c r="C1841">
        <v>66031</v>
      </c>
      <c r="D1841" t="s">
        <v>122</v>
      </c>
      <c r="E1841" s="7">
        <v>112</v>
      </c>
      <c r="F1841" t="s">
        <v>20</v>
      </c>
      <c r="G1841" s="10" t="s">
        <v>21</v>
      </c>
      <c r="H1841" t="str">
        <f>"003256"</f>
        <v>003256</v>
      </c>
      <c r="I1841" t="str">
        <f>"VILLA TIRES"</f>
        <v>VILLA TIRES</v>
      </c>
    </row>
    <row r="1842" spans="1:9" x14ac:dyDescent="0.25">
      <c r="E1842" s="7"/>
      <c r="F1842" t="s">
        <v>20</v>
      </c>
      <c r="G1842" s="10" t="s">
        <v>21</v>
      </c>
      <c r="H1842" t="str">
        <f>"003264"</f>
        <v>003264</v>
      </c>
      <c r="I1842" t="str">
        <f>"VILLA TIRES"</f>
        <v>VILLA TIRES</v>
      </c>
    </row>
    <row r="1843" spans="1:9" x14ac:dyDescent="0.25">
      <c r="A1843" s="6">
        <v>44230</v>
      </c>
      <c r="B1843" t="s">
        <v>26</v>
      </c>
      <c r="C1843">
        <v>66032</v>
      </c>
      <c r="D1843" t="s">
        <v>197</v>
      </c>
      <c r="E1843" s="7">
        <v>3072.61</v>
      </c>
      <c r="F1843" t="s">
        <v>20</v>
      </c>
      <c r="G1843" s="10" t="s">
        <v>21</v>
      </c>
      <c r="H1843" t="str">
        <f>"210219"</f>
        <v>210219</v>
      </c>
      <c r="I1843" t="str">
        <f>"POLYMER"</f>
        <v>POLYMER</v>
      </c>
    </row>
    <row r="1844" spans="1:9" x14ac:dyDescent="0.25">
      <c r="E1844" s="7"/>
      <c r="F1844" t="s">
        <v>20</v>
      </c>
      <c r="G1844" s="10" t="s">
        <v>21</v>
      </c>
      <c r="H1844" t="str">
        <f>"INV307978"</f>
        <v>INV307978</v>
      </c>
      <c r="I1844" t="str">
        <f>"WHOLESALE CHEMICAL COMPANY  IN"</f>
        <v>WHOLESALE CHEMICAL COMPANY  IN</v>
      </c>
    </row>
    <row r="1845" spans="1:9" x14ac:dyDescent="0.25">
      <c r="A1845" s="6">
        <v>44230</v>
      </c>
      <c r="B1845" t="s">
        <v>26</v>
      </c>
      <c r="C1845">
        <v>66033</v>
      </c>
      <c r="D1845" t="s">
        <v>76</v>
      </c>
      <c r="E1845" s="7">
        <v>3012.15</v>
      </c>
      <c r="F1845" t="s">
        <v>20</v>
      </c>
      <c r="G1845" s="10" t="s">
        <v>21</v>
      </c>
      <c r="H1845" t="str">
        <f>"1145"</f>
        <v>1145</v>
      </c>
      <c r="I1845" t="str">
        <f>"WILSON COUNTY TAX COLLECTOR"</f>
        <v>WILSON COUNTY TAX COLLECTOR</v>
      </c>
    </row>
    <row r="1846" spans="1:9" x14ac:dyDescent="0.25">
      <c r="A1846" s="6">
        <v>44230</v>
      </c>
      <c r="B1846" t="s">
        <v>26</v>
      </c>
      <c r="C1846">
        <v>66034</v>
      </c>
      <c r="D1846" t="s">
        <v>637</v>
      </c>
      <c r="E1846" s="7">
        <v>75</v>
      </c>
      <c r="F1846" t="s">
        <v>20</v>
      </c>
      <c r="G1846" s="10" t="s">
        <v>21</v>
      </c>
      <c r="H1846" t="str">
        <f t="shared" ref="H1846:H1851" si="35">"FEBRUARY 2021"</f>
        <v>FEBRUARY 2021</v>
      </c>
      <c r="I1846" t="str">
        <f>"GLORIA MARTINEZ"</f>
        <v>GLORIA MARTINEZ</v>
      </c>
    </row>
    <row r="1847" spans="1:9" x14ac:dyDescent="0.25">
      <c r="A1847" s="6">
        <v>44230</v>
      </c>
      <c r="B1847" t="s">
        <v>26</v>
      </c>
      <c r="C1847">
        <v>66035</v>
      </c>
      <c r="D1847" t="s">
        <v>36</v>
      </c>
      <c r="E1847" s="7">
        <v>75</v>
      </c>
      <c r="F1847" t="s">
        <v>20</v>
      </c>
      <c r="G1847" s="10" t="s">
        <v>21</v>
      </c>
      <c r="H1847" t="str">
        <f t="shared" si="35"/>
        <v>FEBRUARY 2021</v>
      </c>
      <c r="I1847" t="str">
        <f>"GLORIA M. CANTU"</f>
        <v>GLORIA M. CANTU</v>
      </c>
    </row>
    <row r="1848" spans="1:9" x14ac:dyDescent="0.25">
      <c r="A1848" s="6">
        <v>44230</v>
      </c>
      <c r="B1848" t="s">
        <v>26</v>
      </c>
      <c r="C1848">
        <v>66036</v>
      </c>
      <c r="D1848" t="s">
        <v>38</v>
      </c>
      <c r="E1848" s="7">
        <v>100</v>
      </c>
      <c r="F1848" t="s">
        <v>20</v>
      </c>
      <c r="G1848" s="10" t="s">
        <v>21</v>
      </c>
      <c r="H1848" t="str">
        <f t="shared" si="35"/>
        <v>FEBRUARY 2021</v>
      </c>
      <c r="I1848" t="str">
        <f>"CECELIA GONZALEZ-DIPPEL"</f>
        <v>CECELIA GONZALEZ-DIPPEL</v>
      </c>
    </row>
    <row r="1849" spans="1:9" x14ac:dyDescent="0.25">
      <c r="A1849" s="6">
        <v>44230</v>
      </c>
      <c r="B1849" t="s">
        <v>26</v>
      </c>
      <c r="C1849">
        <v>66037</v>
      </c>
      <c r="D1849" t="s">
        <v>558</v>
      </c>
      <c r="E1849" s="7">
        <v>75</v>
      </c>
      <c r="F1849" t="s">
        <v>20</v>
      </c>
      <c r="G1849" s="10" t="s">
        <v>21</v>
      </c>
      <c r="H1849" t="str">
        <f t="shared" si="35"/>
        <v>FEBRUARY 2021</v>
      </c>
      <c r="I1849" t="str">
        <f>"MARISSA XIMENEZ"</f>
        <v>MARISSA XIMENEZ</v>
      </c>
    </row>
    <row r="1850" spans="1:9" x14ac:dyDescent="0.25">
      <c r="A1850" s="6">
        <v>44230</v>
      </c>
      <c r="B1850" t="s">
        <v>26</v>
      </c>
      <c r="C1850">
        <v>66038</v>
      </c>
      <c r="D1850" t="s">
        <v>889</v>
      </c>
      <c r="E1850" s="7">
        <v>75</v>
      </c>
      <c r="F1850" t="s">
        <v>20</v>
      </c>
      <c r="G1850" s="10" t="s">
        <v>21</v>
      </c>
      <c r="H1850" t="str">
        <f t="shared" si="35"/>
        <v>FEBRUARY 2021</v>
      </c>
      <c r="I1850" t="str">
        <f>"JADE JIMENEZ"</f>
        <v>JADE JIMENEZ</v>
      </c>
    </row>
    <row r="1851" spans="1:9" x14ac:dyDescent="0.25">
      <c r="A1851" s="6">
        <v>44230</v>
      </c>
      <c r="B1851" t="s">
        <v>26</v>
      </c>
      <c r="C1851">
        <v>66039</v>
      </c>
      <c r="D1851" t="s">
        <v>1011</v>
      </c>
      <c r="E1851" s="7">
        <v>75</v>
      </c>
      <c r="F1851" t="s">
        <v>20</v>
      </c>
      <c r="G1851" s="10" t="s">
        <v>21</v>
      </c>
      <c r="H1851" t="str">
        <f t="shared" si="35"/>
        <v>FEBRUARY 2021</v>
      </c>
      <c r="I1851" t="str">
        <f>"EDUARDO VILLARREAL"</f>
        <v>EDUARDO VILLARREAL</v>
      </c>
    </row>
    <row r="1852" spans="1:9" x14ac:dyDescent="0.25">
      <c r="A1852" s="6">
        <v>44239</v>
      </c>
      <c r="B1852" t="s">
        <v>26</v>
      </c>
      <c r="C1852">
        <v>66045</v>
      </c>
      <c r="D1852" t="s">
        <v>51</v>
      </c>
      <c r="E1852" s="7">
        <v>327.84</v>
      </c>
      <c r="F1852" t="s">
        <v>20</v>
      </c>
      <c r="G1852" s="10" t="s">
        <v>21</v>
      </c>
      <c r="H1852" t="str">
        <f>"CLE202102098600"</f>
        <v>CLE202102098600</v>
      </c>
      <c r="I1852" t="str">
        <f>"CLEAT ONLY DUES"</f>
        <v>CLEAT ONLY DUES</v>
      </c>
    </row>
    <row r="1853" spans="1:9" x14ac:dyDescent="0.25">
      <c r="E1853" s="7"/>
      <c r="F1853" t="s">
        <v>20</v>
      </c>
      <c r="G1853" s="10" t="s">
        <v>21</v>
      </c>
      <c r="H1853" t="str">
        <f>"PDD202102098600"</f>
        <v>PDD202102098600</v>
      </c>
      <c r="I1853" t="str">
        <f>"POLICE OFFICERS ASSOC DUES"</f>
        <v>POLICE OFFICERS ASSOC DUES</v>
      </c>
    </row>
    <row r="1854" spans="1:9" x14ac:dyDescent="0.25">
      <c r="A1854" s="6">
        <v>44239</v>
      </c>
      <c r="B1854" t="s">
        <v>26</v>
      </c>
      <c r="C1854">
        <v>66046</v>
      </c>
      <c r="D1854" t="s">
        <v>52</v>
      </c>
      <c r="E1854" s="7">
        <v>405</v>
      </c>
      <c r="F1854" t="s">
        <v>20</v>
      </c>
      <c r="G1854" s="10" t="s">
        <v>21</v>
      </c>
      <c r="H1854" t="str">
        <f>"CA1202102098600"</f>
        <v>CA1202102098600</v>
      </c>
      <c r="I1854" t="str">
        <f>"K RAMIREZ 001200229510060343CV"</f>
        <v>K RAMIREZ 001200229510060343CV</v>
      </c>
    </row>
    <row r="1855" spans="1:9" x14ac:dyDescent="0.25">
      <c r="E1855" s="7"/>
      <c r="F1855" t="s">
        <v>20</v>
      </c>
      <c r="G1855" s="10" t="s">
        <v>21</v>
      </c>
      <c r="H1855" t="str">
        <f>"CA2202102098600"</f>
        <v>CA2202102098600</v>
      </c>
      <c r="I1855" t="str">
        <f>"L HERNANDEZ 001016025203080354"</f>
        <v>L HERNANDEZ 001016025203080354</v>
      </c>
    </row>
    <row r="1856" spans="1:9" x14ac:dyDescent="0.25">
      <c r="E1856" s="7"/>
      <c r="F1856" t="s">
        <v>20</v>
      </c>
      <c r="G1856" s="10" t="s">
        <v>21</v>
      </c>
      <c r="H1856" t="str">
        <f>"CA3202102098600"</f>
        <v>CA3202102098600</v>
      </c>
      <c r="I1856" t="str">
        <f>"00120788612011EM5023JOLENEGARC"</f>
        <v>00120788612011EM5023JOLENEGARC</v>
      </c>
    </row>
    <row r="1857" spans="1:9" x14ac:dyDescent="0.25">
      <c r="E1857" s="7"/>
      <c r="F1857" t="s">
        <v>20</v>
      </c>
      <c r="G1857" s="10" t="s">
        <v>21</v>
      </c>
      <c r="H1857" t="str">
        <f>"CSA202102098600"</f>
        <v>CSA202102098600</v>
      </c>
      <c r="I1857" t="str">
        <f>"S RODRIGUEZ 001281730413050336"</f>
        <v>S RODRIGUEZ 001281730413050336</v>
      </c>
    </row>
    <row r="1858" spans="1:9" x14ac:dyDescent="0.25">
      <c r="A1858" s="6">
        <v>44239</v>
      </c>
      <c r="B1858" t="s">
        <v>26</v>
      </c>
      <c r="C1858">
        <v>66047</v>
      </c>
      <c r="D1858" t="s">
        <v>54</v>
      </c>
      <c r="E1858" s="7">
        <v>1164.93</v>
      </c>
      <c r="F1858" t="s">
        <v>20</v>
      </c>
      <c r="G1858" s="10" t="s">
        <v>21</v>
      </c>
      <c r="H1858" t="str">
        <f>"BRE202102098600"</f>
        <v>BRE202102098600</v>
      </c>
      <c r="I1858" t="str">
        <f>"CASE #180-60751 457B DEDUCT"</f>
        <v>CASE #180-60751 457B DEDUCT</v>
      </c>
    </row>
    <row r="1859" spans="1:9" x14ac:dyDescent="0.25">
      <c r="A1859" s="6">
        <v>44239</v>
      </c>
      <c r="B1859" t="s">
        <v>26</v>
      </c>
      <c r="C1859">
        <v>66048</v>
      </c>
      <c r="D1859" t="s">
        <v>969</v>
      </c>
      <c r="E1859" s="7">
        <v>88.74</v>
      </c>
      <c r="F1859" t="s">
        <v>20</v>
      </c>
      <c r="G1859" s="10" t="s">
        <v>21</v>
      </c>
      <c r="H1859" t="str">
        <f>"ATG202102098600"</f>
        <v>ATG202102098600</v>
      </c>
      <c r="I1859" t="str">
        <f>"WG1910853 A. TREVINO"</f>
        <v>WG1910853 A. TREVINO</v>
      </c>
    </row>
    <row r="1860" spans="1:9" x14ac:dyDescent="0.25">
      <c r="A1860" s="6">
        <v>44237</v>
      </c>
      <c r="B1860" t="s">
        <v>26</v>
      </c>
      <c r="C1860">
        <v>66050</v>
      </c>
      <c r="D1860" t="s">
        <v>90</v>
      </c>
      <c r="E1860" s="7">
        <v>1636.56</v>
      </c>
      <c r="F1860" t="s">
        <v>20</v>
      </c>
      <c r="G1860" s="10" t="s">
        <v>329</v>
      </c>
      <c r="H1860" t="str">
        <f>"JAN.2021"</f>
        <v>JAN.2021</v>
      </c>
      <c r="I1860" t="str">
        <f>"AFLAC"</f>
        <v>AFLAC</v>
      </c>
    </row>
    <row r="1861" spans="1:9" x14ac:dyDescent="0.25">
      <c r="E1861" s="7"/>
      <c r="F1861" t="s">
        <v>20</v>
      </c>
      <c r="G1861" s="10" t="s">
        <v>21</v>
      </c>
      <c r="H1861" t="str">
        <f>"ACA202101128595"</f>
        <v>ACA202101128595</v>
      </c>
      <c r="I1861" t="str">
        <f>"AFLAC INSURANCE"</f>
        <v>AFLAC INSURANCE</v>
      </c>
    </row>
    <row r="1862" spans="1:9" x14ac:dyDescent="0.25">
      <c r="E1862" s="7"/>
      <c r="F1862" t="s">
        <v>20</v>
      </c>
      <c r="G1862" s="10" t="s">
        <v>21</v>
      </c>
      <c r="H1862" t="str">
        <f>"ACA202102098600"</f>
        <v>ACA202102098600</v>
      </c>
      <c r="I1862" t="str">
        <f>"AFLAC INSURANCE"</f>
        <v>AFLAC INSURANCE</v>
      </c>
    </row>
    <row r="1863" spans="1:9" x14ac:dyDescent="0.25">
      <c r="E1863" s="7"/>
      <c r="F1863" t="s">
        <v>20</v>
      </c>
      <c r="G1863" s="10" t="s">
        <v>21</v>
      </c>
      <c r="H1863" t="str">
        <f>"ADR202101128595"</f>
        <v>ADR202101128595</v>
      </c>
      <c r="I1863" t="str">
        <f>"INSURANCE"</f>
        <v>INSURANCE</v>
      </c>
    </row>
    <row r="1864" spans="1:9" x14ac:dyDescent="0.25">
      <c r="E1864" s="7"/>
      <c r="F1864" t="s">
        <v>20</v>
      </c>
      <c r="G1864" s="10" t="s">
        <v>21</v>
      </c>
      <c r="H1864" t="str">
        <f>"AF1202011038589"</f>
        <v>AF1202011038589</v>
      </c>
      <c r="I1864" t="str">
        <f>"AFLAC INSURANCE"</f>
        <v>AFLAC INSURANCE</v>
      </c>
    </row>
    <row r="1865" spans="1:9" x14ac:dyDescent="0.25">
      <c r="E1865" s="7"/>
      <c r="F1865" t="s">
        <v>20</v>
      </c>
      <c r="G1865" s="10" t="s">
        <v>21</v>
      </c>
      <c r="H1865" t="str">
        <f>"AF1202012158592"</f>
        <v>AF1202012158592</v>
      </c>
      <c r="I1865" t="str">
        <f>"AFLAC INSURANCE"</f>
        <v>AFLAC INSURANCE</v>
      </c>
    </row>
    <row r="1866" spans="1:9" x14ac:dyDescent="0.25">
      <c r="E1866" s="7"/>
      <c r="F1866" t="s">
        <v>20</v>
      </c>
      <c r="G1866" s="10" t="s">
        <v>21</v>
      </c>
      <c r="H1866" t="str">
        <f>"AFS202101128595"</f>
        <v>AFS202101128595</v>
      </c>
      <c r="I1866" t="str">
        <f>"AFLAC STD"</f>
        <v>AFLAC STD</v>
      </c>
    </row>
    <row r="1867" spans="1:9" x14ac:dyDescent="0.25">
      <c r="E1867" s="7"/>
      <c r="F1867" t="s">
        <v>20</v>
      </c>
      <c r="G1867" s="10" t="s">
        <v>21</v>
      </c>
      <c r="H1867" t="str">
        <f>"AFS202102098600"</f>
        <v>AFS202102098600</v>
      </c>
      <c r="I1867" t="str">
        <f>"AFLAC STD"</f>
        <v>AFLAC STD</v>
      </c>
    </row>
    <row r="1868" spans="1:9" x14ac:dyDescent="0.25">
      <c r="E1868" s="7"/>
      <c r="F1868" t="s">
        <v>20</v>
      </c>
      <c r="G1868" s="10" t="s">
        <v>21</v>
      </c>
      <c r="H1868" t="str">
        <f>"ASP202101128595"</f>
        <v>ASP202101128595</v>
      </c>
      <c r="I1868" t="str">
        <f>"AFLAC INSURANCE"</f>
        <v>AFLAC INSURANCE</v>
      </c>
    </row>
    <row r="1869" spans="1:9" x14ac:dyDescent="0.25">
      <c r="E1869" s="7"/>
      <c r="F1869" t="s">
        <v>20</v>
      </c>
      <c r="G1869" s="10" t="s">
        <v>21</v>
      </c>
      <c r="H1869" t="str">
        <f>"ASP202102098600"</f>
        <v>ASP202102098600</v>
      </c>
      <c r="I1869" t="str">
        <f>"AFLAC INSURANCE"</f>
        <v>AFLAC INSURANCE</v>
      </c>
    </row>
    <row r="1870" spans="1:9" x14ac:dyDescent="0.25">
      <c r="E1870" s="7"/>
      <c r="F1870" t="s">
        <v>20</v>
      </c>
      <c r="G1870" s="10" t="s">
        <v>21</v>
      </c>
      <c r="H1870" t="str">
        <f>"HCO202101128595"</f>
        <v>HCO202101128595</v>
      </c>
      <c r="I1870" t="str">
        <f>"AFLAC INSURANCE"</f>
        <v>AFLAC INSURANCE</v>
      </c>
    </row>
    <row r="1871" spans="1:9" x14ac:dyDescent="0.25">
      <c r="E1871" s="7"/>
      <c r="F1871" t="s">
        <v>20</v>
      </c>
      <c r="G1871" s="10" t="s">
        <v>21</v>
      </c>
      <c r="H1871" t="str">
        <f>"HCO202102098600"</f>
        <v>HCO202102098600</v>
      </c>
      <c r="I1871" t="str">
        <f>"AFLAC INSURANCE"</f>
        <v>AFLAC INSURANCE</v>
      </c>
    </row>
    <row r="1872" spans="1:9" x14ac:dyDescent="0.25">
      <c r="A1872" s="6">
        <v>44237</v>
      </c>
      <c r="B1872" t="s">
        <v>26</v>
      </c>
      <c r="C1872">
        <v>66055</v>
      </c>
      <c r="D1872" t="s">
        <v>98</v>
      </c>
      <c r="E1872" s="7">
        <v>3405.84</v>
      </c>
      <c r="F1872" t="s">
        <v>20</v>
      </c>
      <c r="G1872" s="10" t="s">
        <v>24</v>
      </c>
      <c r="H1872" t="str">
        <f>"JAN.2021"</f>
        <v>JAN.2021</v>
      </c>
      <c r="I1872" t="str">
        <f>"DEARBORN LIFE INSURANCE COMPAN"</f>
        <v>DEARBORN LIFE INSURANCE COMPAN</v>
      </c>
    </row>
    <row r="1873" spans="5:9" x14ac:dyDescent="0.25">
      <c r="E1873" s="7"/>
      <c r="F1873" t="s">
        <v>20</v>
      </c>
      <c r="G1873" s="10" t="s">
        <v>21</v>
      </c>
      <c r="H1873" t="str">
        <f>"STD202010208588"</f>
        <v>STD202010208588</v>
      </c>
      <c r="I1873" t="str">
        <f>"SHORT TERM DISABILITY"</f>
        <v>SHORT TERM DISABILITY</v>
      </c>
    </row>
    <row r="1874" spans="5:9" x14ac:dyDescent="0.25">
      <c r="E1874" s="7"/>
      <c r="F1874" t="s">
        <v>20</v>
      </c>
      <c r="G1874" s="10" t="s">
        <v>21</v>
      </c>
      <c r="H1874" t="str">
        <f>"STD202101128595"</f>
        <v>STD202101128595</v>
      </c>
      <c r="I1874" t="str">
        <f>"SHORT TERM DISABILITY"</f>
        <v>SHORT TERM DISABILITY</v>
      </c>
    </row>
    <row r="1875" spans="5:9" x14ac:dyDescent="0.25">
      <c r="E1875" s="7"/>
      <c r="F1875" t="s">
        <v>20</v>
      </c>
      <c r="G1875" s="10" t="s">
        <v>21</v>
      </c>
      <c r="H1875" t="str">
        <f>"STD202101138597"</f>
        <v>STD202101138597</v>
      </c>
      <c r="I1875" t="str">
        <f>"SHORT TERM DISABILITY"</f>
        <v>SHORT TERM DISABILITY</v>
      </c>
    </row>
    <row r="1876" spans="5:9" x14ac:dyDescent="0.25">
      <c r="E1876" s="7"/>
      <c r="F1876" t="s">
        <v>20</v>
      </c>
      <c r="G1876" s="10" t="s">
        <v>21</v>
      </c>
      <c r="H1876" t="str">
        <f>"VIS202012288594"</f>
        <v>VIS202012288594</v>
      </c>
      <c r="I1876" t="str">
        <f>"VISION INSURANCE"</f>
        <v>VISION INSURANCE</v>
      </c>
    </row>
    <row r="1877" spans="5:9" x14ac:dyDescent="0.25">
      <c r="E1877" s="7"/>
      <c r="F1877" t="s">
        <v>20</v>
      </c>
      <c r="G1877" s="10" t="s">
        <v>21</v>
      </c>
      <c r="H1877" t="str">
        <f>"VIS202101128595"</f>
        <v>VIS202101128595</v>
      </c>
      <c r="I1877" t="str">
        <f>"VISION INSURANCE"</f>
        <v>VISION INSURANCE</v>
      </c>
    </row>
    <row r="1878" spans="5:9" x14ac:dyDescent="0.25">
      <c r="E1878" s="7"/>
      <c r="F1878" t="s">
        <v>20</v>
      </c>
      <c r="G1878" s="10" t="s">
        <v>21</v>
      </c>
      <c r="H1878" t="str">
        <f>"VIS202101138597"</f>
        <v>VIS202101138597</v>
      </c>
      <c r="I1878" t="str">
        <f>"VISION INSURANCE"</f>
        <v>VISION INSURANCE</v>
      </c>
    </row>
    <row r="1879" spans="5:9" x14ac:dyDescent="0.25">
      <c r="E1879" s="7"/>
      <c r="F1879" t="s">
        <v>20</v>
      </c>
      <c r="G1879" s="10" t="s">
        <v>21</v>
      </c>
      <c r="H1879" t="str">
        <f>"VLC202012288594"</f>
        <v>VLC202012288594</v>
      </c>
      <c r="I1879" t="str">
        <f>"CHILD LIFE INSURANCE"</f>
        <v>CHILD LIFE INSURANCE</v>
      </c>
    </row>
    <row r="1880" spans="5:9" x14ac:dyDescent="0.25">
      <c r="E1880" s="7"/>
      <c r="F1880" t="s">
        <v>20</v>
      </c>
      <c r="G1880" s="10" t="s">
        <v>21</v>
      </c>
      <c r="H1880" t="str">
        <f>"VLC202101128595"</f>
        <v>VLC202101128595</v>
      </c>
      <c r="I1880" t="str">
        <f>"CHILD LIFE INSURANCE"</f>
        <v>CHILD LIFE INSURANCE</v>
      </c>
    </row>
    <row r="1881" spans="5:9" x14ac:dyDescent="0.25">
      <c r="E1881" s="7"/>
      <c r="F1881" t="s">
        <v>20</v>
      </c>
      <c r="G1881" s="10" t="s">
        <v>21</v>
      </c>
      <c r="H1881" t="str">
        <f>"VLS202012018591"</f>
        <v>VLS202012018591</v>
      </c>
      <c r="I1881" t="str">
        <f>"SPOUSE LIFE"</f>
        <v>SPOUSE LIFE</v>
      </c>
    </row>
    <row r="1882" spans="5:9" x14ac:dyDescent="0.25">
      <c r="E1882" s="7"/>
      <c r="F1882" t="s">
        <v>20</v>
      </c>
      <c r="G1882" s="10" t="s">
        <v>21</v>
      </c>
      <c r="H1882" t="str">
        <f>"VLS202101128595"</f>
        <v>VLS202101128595</v>
      </c>
      <c r="I1882" t="str">
        <f>"SPOUSE LIFE"</f>
        <v>SPOUSE LIFE</v>
      </c>
    </row>
    <row r="1883" spans="5:9" x14ac:dyDescent="0.25">
      <c r="E1883" s="7"/>
      <c r="F1883" t="s">
        <v>20</v>
      </c>
      <c r="G1883" s="10" t="s">
        <v>21</v>
      </c>
      <c r="H1883" t="str">
        <f>"VLS202101138596"</f>
        <v>VLS202101138596</v>
      </c>
      <c r="I1883" t="str">
        <f>"SPOUSE LIFE"</f>
        <v>SPOUSE LIFE</v>
      </c>
    </row>
    <row r="1884" spans="5:9" x14ac:dyDescent="0.25">
      <c r="E1884" s="7"/>
      <c r="F1884" t="s">
        <v>20</v>
      </c>
      <c r="G1884" s="10" t="s">
        <v>21</v>
      </c>
      <c r="H1884" t="str">
        <f>"VLS202101138597"</f>
        <v>VLS202101138597</v>
      </c>
      <c r="I1884" t="str">
        <f>"SPOUSE LIFE"</f>
        <v>SPOUSE LIFE</v>
      </c>
    </row>
    <row r="1885" spans="5:9" x14ac:dyDescent="0.25">
      <c r="E1885" s="7"/>
      <c r="F1885" t="s">
        <v>20</v>
      </c>
      <c r="G1885" s="10" t="s">
        <v>21</v>
      </c>
      <c r="H1885" t="str">
        <f>"VOE202010208588"</f>
        <v>VOE202010208588</v>
      </c>
      <c r="I1885" t="str">
        <f>"EMPLOYEE LIFE"</f>
        <v>EMPLOYEE LIFE</v>
      </c>
    </row>
    <row r="1886" spans="5:9" x14ac:dyDescent="0.25">
      <c r="E1886" s="7"/>
      <c r="F1886" t="s">
        <v>20</v>
      </c>
      <c r="G1886" s="10" t="s">
        <v>21</v>
      </c>
      <c r="H1886" t="str">
        <f>"VOE202101128595"</f>
        <v>VOE202101128595</v>
      </c>
      <c r="I1886" t="str">
        <f>"EMPLOYEE LIFE"</f>
        <v>EMPLOYEE LIFE</v>
      </c>
    </row>
    <row r="1887" spans="5:9" x14ac:dyDescent="0.25">
      <c r="E1887" s="7"/>
      <c r="F1887" t="s">
        <v>20</v>
      </c>
      <c r="G1887" s="10" t="s">
        <v>21</v>
      </c>
      <c r="H1887" t="str">
        <f>"VOL202012288594"</f>
        <v>VOL202012288594</v>
      </c>
      <c r="I1887" t="str">
        <f>"LIFE"</f>
        <v>LIFE</v>
      </c>
    </row>
    <row r="1888" spans="5:9" x14ac:dyDescent="0.25">
      <c r="E1888" s="7"/>
      <c r="F1888" t="s">
        <v>20</v>
      </c>
      <c r="G1888" s="10" t="s">
        <v>21</v>
      </c>
      <c r="H1888" t="str">
        <f>"VOL202101128595"</f>
        <v>VOL202101128595</v>
      </c>
      <c r="I1888" t="str">
        <f>"LIFE"</f>
        <v>LIFE</v>
      </c>
    </row>
    <row r="1889" spans="1:9" x14ac:dyDescent="0.25">
      <c r="E1889" s="7"/>
      <c r="F1889" t="s">
        <v>20</v>
      </c>
      <c r="G1889" s="10" t="s">
        <v>21</v>
      </c>
      <c r="H1889" t="str">
        <f>"VOL202101138597"</f>
        <v>VOL202101138597</v>
      </c>
      <c r="I1889" t="str">
        <f>"LIFE"</f>
        <v>LIFE</v>
      </c>
    </row>
    <row r="1890" spans="1:9" x14ac:dyDescent="0.25">
      <c r="A1890" s="6">
        <v>44237</v>
      </c>
      <c r="B1890" t="s">
        <v>26</v>
      </c>
      <c r="C1890">
        <v>66065</v>
      </c>
      <c r="D1890" t="s">
        <v>97</v>
      </c>
      <c r="E1890" s="7">
        <v>38313.5</v>
      </c>
      <c r="F1890" t="s">
        <v>20</v>
      </c>
      <c r="G1890" s="10" t="s">
        <v>24</v>
      </c>
      <c r="H1890" t="str">
        <f>"FEB.2021"</f>
        <v>FEB.2021</v>
      </c>
      <c r="I1890" t="str">
        <f>"HEALTH CARE SERVICE CORPORATIO"</f>
        <v>HEALTH CARE SERVICE CORPORATIO</v>
      </c>
    </row>
    <row r="1891" spans="1:9" x14ac:dyDescent="0.25">
      <c r="E1891" s="7"/>
      <c r="F1891" t="s">
        <v>20</v>
      </c>
      <c r="G1891" s="10" t="s">
        <v>21</v>
      </c>
      <c r="H1891" t="str">
        <f>"DEN202012158592"</f>
        <v>DEN202012158592</v>
      </c>
      <c r="I1891" t="str">
        <f>"DENTAL INSURANCE"</f>
        <v>DENTAL INSURANCE</v>
      </c>
    </row>
    <row r="1892" spans="1:9" x14ac:dyDescent="0.25">
      <c r="E1892" s="7"/>
      <c r="F1892" t="s">
        <v>20</v>
      </c>
      <c r="G1892" s="10" t="s">
        <v>21</v>
      </c>
      <c r="H1892" t="str">
        <f>"DEN202101128595"</f>
        <v>DEN202101128595</v>
      </c>
      <c r="I1892" t="str">
        <f>"DENTAL INSURANCE"</f>
        <v>DENTAL INSURANCE</v>
      </c>
    </row>
    <row r="1893" spans="1:9" x14ac:dyDescent="0.25">
      <c r="E1893" s="7"/>
      <c r="F1893" t="s">
        <v>20</v>
      </c>
      <c r="G1893" s="10" t="s">
        <v>21</v>
      </c>
      <c r="H1893" t="str">
        <f>"MED202012288594"</f>
        <v>MED202012288594</v>
      </c>
      <c r="I1893" t="str">
        <f>"HEALTH &amp; DENTAL INSURANCE"</f>
        <v>HEALTH &amp; DENTAL INSURANCE</v>
      </c>
    </row>
    <row r="1894" spans="1:9" x14ac:dyDescent="0.25">
      <c r="E1894" s="7"/>
      <c r="F1894" t="s">
        <v>20</v>
      </c>
      <c r="G1894" s="10" t="s">
        <v>21</v>
      </c>
      <c r="H1894" t="str">
        <f>"MED202101128595"</f>
        <v>MED202101128595</v>
      </c>
      <c r="I1894" t="str">
        <f>"HEALTH &amp; DENTAL INSURANCE"</f>
        <v>HEALTH &amp; DENTAL INSURANCE</v>
      </c>
    </row>
    <row r="1895" spans="1:9" x14ac:dyDescent="0.25">
      <c r="A1895" s="6">
        <v>44237</v>
      </c>
      <c r="B1895" t="s">
        <v>26</v>
      </c>
      <c r="C1895">
        <v>66070</v>
      </c>
      <c r="D1895" t="s">
        <v>95</v>
      </c>
      <c r="E1895" s="7">
        <v>25.32</v>
      </c>
      <c r="F1895" t="s">
        <v>20</v>
      </c>
      <c r="G1895" s="10" t="s">
        <v>329</v>
      </c>
      <c r="H1895" t="str">
        <f>"JAN.2021"</f>
        <v>JAN.2021</v>
      </c>
      <c r="I1895" t="str">
        <f>"LEGAL PLANS"</f>
        <v>LEGAL PLANS</v>
      </c>
    </row>
    <row r="1896" spans="1:9" x14ac:dyDescent="0.25">
      <c r="E1896" s="7"/>
      <c r="F1896" t="s">
        <v>20</v>
      </c>
      <c r="G1896" s="10" t="s">
        <v>21</v>
      </c>
      <c r="H1896" t="str">
        <f>"LEA202101128595"</f>
        <v>LEA202101128595</v>
      </c>
      <c r="I1896" t="str">
        <f>"INSURANCE"</f>
        <v>INSURANCE</v>
      </c>
    </row>
    <row r="1897" spans="1:9" x14ac:dyDescent="0.25">
      <c r="A1897" s="6">
        <v>44237</v>
      </c>
      <c r="B1897" t="s">
        <v>26</v>
      </c>
      <c r="C1897">
        <v>66071</v>
      </c>
      <c r="D1897" t="s">
        <v>96</v>
      </c>
      <c r="E1897" s="7">
        <v>225.2</v>
      </c>
      <c r="F1897" t="s">
        <v>20</v>
      </c>
      <c r="G1897" s="10" t="s">
        <v>329</v>
      </c>
      <c r="H1897" t="str">
        <f>"JAN.2021"</f>
        <v>JAN.2021</v>
      </c>
      <c r="I1897" t="str">
        <f>"LEGALSHIELD"</f>
        <v>LEGALSHIELD</v>
      </c>
    </row>
    <row r="1898" spans="1:9" x14ac:dyDescent="0.25">
      <c r="E1898" s="7"/>
      <c r="F1898" t="s">
        <v>20</v>
      </c>
      <c r="G1898" s="10" t="s">
        <v>21</v>
      </c>
      <c r="H1898" t="str">
        <f>"PPL202101128595"</f>
        <v>PPL202101128595</v>
      </c>
      <c r="I1898" t="str">
        <f>"INSURANCE"</f>
        <v>INSURANCE</v>
      </c>
    </row>
    <row r="1899" spans="1:9" x14ac:dyDescent="0.25">
      <c r="E1899" s="7"/>
      <c r="F1899" t="s">
        <v>20</v>
      </c>
      <c r="G1899" s="10" t="s">
        <v>21</v>
      </c>
      <c r="H1899" t="str">
        <f>"PPL202102098600"</f>
        <v>PPL202102098600</v>
      </c>
      <c r="I1899" t="str">
        <f>"INSURANCE"</f>
        <v>INSURANCE</v>
      </c>
    </row>
    <row r="1900" spans="1:9" x14ac:dyDescent="0.25">
      <c r="A1900" s="6">
        <v>44237</v>
      </c>
      <c r="B1900" t="s">
        <v>26</v>
      </c>
      <c r="C1900">
        <v>66073</v>
      </c>
      <c r="D1900" t="s">
        <v>74</v>
      </c>
      <c r="E1900" s="7">
        <v>2806.54</v>
      </c>
      <c r="F1900" t="s">
        <v>20</v>
      </c>
      <c r="G1900" s="10" t="s">
        <v>21</v>
      </c>
      <c r="H1900" t="str">
        <f>"9871945253"</f>
        <v>9871945253</v>
      </c>
      <c r="I1900" t="str">
        <f>"VERIZON WIRELESS"</f>
        <v>VERIZON WIRELESS</v>
      </c>
    </row>
    <row r="1901" spans="1:9" x14ac:dyDescent="0.25">
      <c r="E1901" s="7"/>
      <c r="F1901" t="s">
        <v>20</v>
      </c>
      <c r="G1901" s="10" t="s">
        <v>21</v>
      </c>
      <c r="H1901" t="str">
        <f>"9871945254"</f>
        <v>9871945254</v>
      </c>
      <c r="I1901" t="str">
        <f>"VERIZON WIRELESS"</f>
        <v>VERIZON WIRELESS</v>
      </c>
    </row>
    <row r="1902" spans="1:9" x14ac:dyDescent="0.25">
      <c r="A1902" s="6">
        <v>44237</v>
      </c>
      <c r="B1902" t="s">
        <v>26</v>
      </c>
      <c r="C1902">
        <v>66075</v>
      </c>
      <c r="D1902" t="s">
        <v>79</v>
      </c>
      <c r="E1902" s="7">
        <v>89.68</v>
      </c>
      <c r="F1902" t="s">
        <v>20</v>
      </c>
      <c r="G1902" s="10" t="s">
        <v>21</v>
      </c>
      <c r="H1902" t="str">
        <f>"7-179-79870"</f>
        <v>7-179-79870</v>
      </c>
      <c r="I1902" t="str">
        <f>"FEDEX"</f>
        <v>FEDEX</v>
      </c>
    </row>
    <row r="1903" spans="1:9" x14ac:dyDescent="0.25">
      <c r="E1903" s="7"/>
      <c r="F1903" t="s">
        <v>20</v>
      </c>
      <c r="G1903" s="10" t="s">
        <v>21</v>
      </c>
      <c r="H1903" t="str">
        <f>"7-259-78532"</f>
        <v>7-259-78532</v>
      </c>
      <c r="I1903" t="str">
        <f>"FEDEX"</f>
        <v>FEDEX</v>
      </c>
    </row>
    <row r="1904" spans="1:9" x14ac:dyDescent="0.25">
      <c r="A1904" s="6">
        <v>44237</v>
      </c>
      <c r="B1904" t="s">
        <v>26</v>
      </c>
      <c r="C1904">
        <v>66076</v>
      </c>
      <c r="D1904" t="s">
        <v>1026</v>
      </c>
      <c r="E1904" s="7">
        <v>372.61</v>
      </c>
      <c r="F1904" t="s">
        <v>20</v>
      </c>
      <c r="G1904" s="10" t="s">
        <v>21</v>
      </c>
      <c r="H1904" t="str">
        <f>"INV307978"</f>
        <v>INV307978</v>
      </c>
      <c r="I1904" t="str">
        <f>"894 ZYME OUT"</f>
        <v>894 ZYME OUT</v>
      </c>
    </row>
    <row r="1905" spans="1:9" x14ac:dyDescent="0.25">
      <c r="A1905" s="6">
        <v>44237</v>
      </c>
      <c r="B1905" t="s">
        <v>26</v>
      </c>
      <c r="C1905">
        <v>66077</v>
      </c>
      <c r="D1905" t="s">
        <v>345</v>
      </c>
      <c r="E1905" s="7">
        <v>308</v>
      </c>
      <c r="F1905" t="s">
        <v>20</v>
      </c>
      <c r="G1905" s="10" t="s">
        <v>21</v>
      </c>
      <c r="H1905" t="str">
        <f>"2/8/2021"</f>
        <v>2/8/2021</v>
      </c>
      <c r="I1905" t="str">
        <f>"MICHAEL ISAAC MARTINEZ"</f>
        <v>MICHAEL ISAAC MARTINEZ</v>
      </c>
    </row>
    <row r="1906" spans="1:9" x14ac:dyDescent="0.25">
      <c r="A1906" s="6">
        <v>44238</v>
      </c>
      <c r="B1906" t="s">
        <v>26</v>
      </c>
      <c r="C1906">
        <v>66078</v>
      </c>
      <c r="D1906" t="s">
        <v>92</v>
      </c>
      <c r="E1906" s="7">
        <v>34674.19</v>
      </c>
      <c r="F1906" t="s">
        <v>20</v>
      </c>
      <c r="G1906" s="10" t="s">
        <v>21</v>
      </c>
      <c r="H1906" t="str">
        <f>"RET202101128595"</f>
        <v>RET202101128595</v>
      </c>
      <c r="I1906" t="str">
        <f>"TMRS CITY OF FLORESVILLE"</f>
        <v>TMRS CITY OF FLORESVILLE</v>
      </c>
    </row>
    <row r="1907" spans="1:9" x14ac:dyDescent="0.25">
      <c r="E1907" s="7"/>
      <c r="F1907" t="s">
        <v>20</v>
      </c>
      <c r="G1907" s="10" t="s">
        <v>21</v>
      </c>
      <c r="H1907" t="str">
        <f>"RET202101138596"</f>
        <v>RET202101138596</v>
      </c>
      <c r="I1907" t="str">
        <f>"TMRS CITY OF FLORESVILLE"</f>
        <v>TMRS CITY OF FLORESVILLE</v>
      </c>
    </row>
    <row r="1908" spans="1:9" x14ac:dyDescent="0.25">
      <c r="E1908" s="7"/>
      <c r="F1908" t="s">
        <v>20</v>
      </c>
      <c r="G1908" s="10" t="s">
        <v>21</v>
      </c>
      <c r="H1908" t="str">
        <f>"RET202101138597"</f>
        <v>RET202101138597</v>
      </c>
      <c r="I1908" t="str">
        <f>"TMRS CITY OF FLORESVILLE"</f>
        <v>TMRS CITY OF FLORESVILLE</v>
      </c>
    </row>
    <row r="1909" spans="1:9" x14ac:dyDescent="0.25">
      <c r="E1909" s="7"/>
      <c r="F1909" t="s">
        <v>20</v>
      </c>
      <c r="G1909" s="10" t="s">
        <v>21</v>
      </c>
      <c r="H1909" t="str">
        <f>"RET202101268598"</f>
        <v>RET202101268598</v>
      </c>
      <c r="I1909" t="str">
        <f>"TMRS CITY OF FLORESVILLE"</f>
        <v>TMRS CITY OF FLORESVILLE</v>
      </c>
    </row>
    <row r="1910" spans="1:9" x14ac:dyDescent="0.25">
      <c r="A1910" s="6">
        <v>44238</v>
      </c>
      <c r="B1910" t="s">
        <v>26</v>
      </c>
      <c r="C1910">
        <v>66082</v>
      </c>
      <c r="D1910" t="s">
        <v>640</v>
      </c>
      <c r="E1910" s="7">
        <v>3700</v>
      </c>
      <c r="F1910" t="s">
        <v>20</v>
      </c>
      <c r="G1910" s="10" t="s">
        <v>21</v>
      </c>
      <c r="H1910" t="str">
        <f>"SS21"</f>
        <v>SS21</v>
      </c>
      <c r="I1910" t="str">
        <f>"FULL PAGE AD - EVENT CENT"</f>
        <v>FULL PAGE AD - EVENT CENT</v>
      </c>
    </row>
    <row r="1911" spans="1:9" x14ac:dyDescent="0.25">
      <c r="A1911" s="6">
        <v>44238</v>
      </c>
      <c r="B1911" t="s">
        <v>26</v>
      </c>
      <c r="C1911">
        <v>66083</v>
      </c>
      <c r="D1911" t="s">
        <v>986</v>
      </c>
      <c r="E1911" s="7">
        <v>1309.75</v>
      </c>
      <c r="F1911" t="s">
        <v>20</v>
      </c>
      <c r="G1911" s="10" t="s">
        <v>21</v>
      </c>
      <c r="H1911" t="str">
        <f>"1/2-2/09/2021"</f>
        <v>1/2-2/09/2021</v>
      </c>
      <c r="I1911" t="str">
        <f>"KERRY L. ESQUIVEL"</f>
        <v>KERRY L. ESQUIVEL</v>
      </c>
    </row>
    <row r="1912" spans="1:9" x14ac:dyDescent="0.25">
      <c r="A1912" s="6">
        <v>44238</v>
      </c>
      <c r="B1912" t="s">
        <v>26</v>
      </c>
      <c r="C1912">
        <v>66084</v>
      </c>
      <c r="D1912" t="s">
        <v>124</v>
      </c>
      <c r="E1912" s="7">
        <v>76.38</v>
      </c>
      <c r="F1912" t="s">
        <v>20</v>
      </c>
      <c r="G1912" s="10" t="s">
        <v>21</v>
      </c>
      <c r="H1912" t="str">
        <f>"11196658-1"</f>
        <v>11196658-1</v>
      </c>
      <c r="I1912" t="str">
        <f>"MCCOY'S CORPORATION"</f>
        <v>MCCOY'S CORPORATION</v>
      </c>
    </row>
    <row r="1913" spans="1:9" x14ac:dyDescent="0.25">
      <c r="E1913" s="7"/>
      <c r="F1913" t="s">
        <v>20</v>
      </c>
      <c r="G1913" s="10" t="s">
        <v>21</v>
      </c>
      <c r="H1913" t="str">
        <f>"90042556"</f>
        <v>90042556</v>
      </c>
      <c r="I1913" t="str">
        <f>"MCCOY'S CORPORATION"</f>
        <v>MCCOY'S CORPORATION</v>
      </c>
    </row>
    <row r="1914" spans="1:9" x14ac:dyDescent="0.25">
      <c r="A1914" s="6">
        <v>44239</v>
      </c>
      <c r="B1914" t="s">
        <v>26</v>
      </c>
      <c r="C1914">
        <v>66085</v>
      </c>
      <c r="D1914" t="s">
        <v>941</v>
      </c>
      <c r="E1914" s="7">
        <v>9106.92</v>
      </c>
      <c r="F1914" t="s">
        <v>20</v>
      </c>
      <c r="G1914" s="10" t="s">
        <v>21</v>
      </c>
      <c r="H1914" t="str">
        <f>"18747"</f>
        <v>18747</v>
      </c>
      <c r="I1914" t="str">
        <f>"ADCOMP SYSTEMS  INC"</f>
        <v>ADCOMP SYSTEMS  INC</v>
      </c>
    </row>
    <row r="1915" spans="1:9" x14ac:dyDescent="0.25">
      <c r="A1915" s="6">
        <v>44239</v>
      </c>
      <c r="B1915" t="s">
        <v>26</v>
      </c>
      <c r="C1915">
        <v>66086</v>
      </c>
      <c r="D1915" t="s">
        <v>139</v>
      </c>
      <c r="E1915" s="7">
        <v>65</v>
      </c>
      <c r="F1915" t="s">
        <v>20</v>
      </c>
      <c r="G1915" s="10" t="s">
        <v>21</v>
      </c>
      <c r="H1915" t="str">
        <f>"31384"</f>
        <v>31384</v>
      </c>
      <c r="I1915" t="str">
        <f>"ANGEL FIRE &amp; SAFETY"</f>
        <v>ANGEL FIRE &amp; SAFETY</v>
      </c>
    </row>
    <row r="1916" spans="1:9" x14ac:dyDescent="0.25">
      <c r="A1916" s="6">
        <v>44239</v>
      </c>
      <c r="B1916" t="s">
        <v>26</v>
      </c>
      <c r="C1916">
        <v>66087</v>
      </c>
      <c r="D1916" t="s">
        <v>821</v>
      </c>
      <c r="E1916" s="7">
        <v>855</v>
      </c>
      <c r="F1916" t="s">
        <v>20</v>
      </c>
      <c r="G1916" s="10" t="s">
        <v>21</v>
      </c>
      <c r="H1916" t="str">
        <f>"FRI8568"</f>
        <v>FRI8568</v>
      </c>
      <c r="I1916" t="str">
        <f>"WELL#1 REPAIR- HOSPITAL"</f>
        <v>WELL#1 REPAIR- HOSPITAL</v>
      </c>
    </row>
    <row r="1917" spans="1:9" x14ac:dyDescent="0.25">
      <c r="A1917" s="6">
        <v>44239</v>
      </c>
      <c r="B1917" t="s">
        <v>26</v>
      </c>
      <c r="C1917">
        <v>66088</v>
      </c>
      <c r="D1917" t="s">
        <v>115</v>
      </c>
      <c r="E1917" s="7">
        <v>130.97</v>
      </c>
      <c r="F1917" t="s">
        <v>20</v>
      </c>
      <c r="G1917" s="10" t="s">
        <v>21</v>
      </c>
      <c r="H1917" t="str">
        <f>"3547829267"</f>
        <v>3547829267</v>
      </c>
      <c r="I1917" t="str">
        <f>"PD UNIT 325 REPAIR"</f>
        <v>PD UNIT 325 REPAIR</v>
      </c>
    </row>
    <row r="1918" spans="1:9" x14ac:dyDescent="0.25">
      <c r="E1918" s="7"/>
      <c r="F1918" t="s">
        <v>20</v>
      </c>
      <c r="G1918" s="10" t="s">
        <v>21</v>
      </c>
      <c r="H1918" t="str">
        <f>"3547837075"</f>
        <v>3547837075</v>
      </c>
      <c r="I1918" t="str">
        <f>"WATER DEPT UNIT 601"</f>
        <v>WATER DEPT UNIT 601</v>
      </c>
    </row>
    <row r="1919" spans="1:9" x14ac:dyDescent="0.25">
      <c r="A1919" s="6">
        <v>44239</v>
      </c>
      <c r="B1919" t="s">
        <v>26</v>
      </c>
      <c r="C1919">
        <v>66089</v>
      </c>
      <c r="D1919" t="s">
        <v>313</v>
      </c>
      <c r="E1919" s="7">
        <v>74147.19</v>
      </c>
      <c r="F1919" t="s">
        <v>20</v>
      </c>
      <c r="G1919" s="10" t="s">
        <v>21</v>
      </c>
      <c r="H1919" t="str">
        <f>"99430009 3/1/2021"</f>
        <v>99430009 3/1/2021</v>
      </c>
      <c r="I1919" t="str">
        <f>"BB &amp; T GOVERNMENTAL FINANCE"</f>
        <v>BB &amp; T GOVERNMENTAL FINANCE</v>
      </c>
    </row>
    <row r="1920" spans="1:9" x14ac:dyDescent="0.25">
      <c r="E1920" s="7"/>
      <c r="F1920" t="s">
        <v>20</v>
      </c>
      <c r="G1920" s="10" t="s">
        <v>21</v>
      </c>
      <c r="H1920" t="str">
        <f>"99430044 3/1/2021"</f>
        <v>99430044 3/1/2021</v>
      </c>
      <c r="I1920" t="str">
        <f>"BB &amp; T GOVERNMENTAL FINANCE"</f>
        <v>BB &amp; T GOVERNMENTAL FINANCE</v>
      </c>
    </row>
    <row r="1921" spans="1:9" x14ac:dyDescent="0.25">
      <c r="A1921" s="6">
        <v>44239</v>
      </c>
      <c r="B1921" t="s">
        <v>26</v>
      </c>
      <c r="C1921">
        <v>66090</v>
      </c>
      <c r="D1921" t="s">
        <v>647</v>
      </c>
      <c r="E1921" s="7">
        <v>3288.8</v>
      </c>
      <c r="F1921" t="s">
        <v>20</v>
      </c>
      <c r="G1921" s="10" t="s">
        <v>21</v>
      </c>
      <c r="H1921" t="str">
        <f>"28719535"</f>
        <v>28719535</v>
      </c>
      <c r="I1921" t="str">
        <f>"DOCUMATION  INC."</f>
        <v>DOCUMATION  INC.</v>
      </c>
    </row>
    <row r="1922" spans="1:9" x14ac:dyDescent="0.25">
      <c r="A1922" s="6">
        <v>44239</v>
      </c>
      <c r="B1922" t="s">
        <v>26</v>
      </c>
      <c r="C1922">
        <v>66091</v>
      </c>
      <c r="D1922" t="s">
        <v>77</v>
      </c>
      <c r="E1922" s="7">
        <v>1445.75</v>
      </c>
      <c r="F1922" t="s">
        <v>20</v>
      </c>
      <c r="G1922" s="10" t="s">
        <v>21</v>
      </c>
      <c r="H1922" t="str">
        <f>"857000235-21"</f>
        <v>857000235-21</v>
      </c>
      <c r="I1922" t="str">
        <f>"CHLORINE FOR WWTP"</f>
        <v>CHLORINE FOR WWTP</v>
      </c>
    </row>
    <row r="1923" spans="1:9" x14ac:dyDescent="0.25">
      <c r="E1923" s="7"/>
      <c r="F1923" t="s">
        <v>20</v>
      </c>
      <c r="G1923" s="10" t="s">
        <v>21</v>
      </c>
      <c r="H1923" t="str">
        <f>"DE85000020-21"</f>
        <v>DE85000020-21</v>
      </c>
      <c r="I1923" t="str">
        <f>"DPC INDUSTRIES  INC."</f>
        <v>DPC INDUSTRIES  INC.</v>
      </c>
    </row>
    <row r="1924" spans="1:9" x14ac:dyDescent="0.25">
      <c r="E1924" s="7"/>
      <c r="F1924" t="s">
        <v>20</v>
      </c>
      <c r="G1924" s="10" t="s">
        <v>21</v>
      </c>
      <c r="H1924" t="str">
        <f>"DE85000215-21"</f>
        <v>DE85000215-21</v>
      </c>
      <c r="I1924" t="str">
        <f>"DPC INDUSTRIES  INC."</f>
        <v>DPC INDUSTRIES  INC.</v>
      </c>
    </row>
    <row r="1925" spans="1:9" x14ac:dyDescent="0.25">
      <c r="A1925" s="6">
        <v>44239</v>
      </c>
      <c r="B1925" t="s">
        <v>26</v>
      </c>
      <c r="C1925">
        <v>66092</v>
      </c>
      <c r="D1925" t="s">
        <v>1019</v>
      </c>
      <c r="E1925" s="7">
        <v>111.27</v>
      </c>
      <c r="F1925" t="s">
        <v>20</v>
      </c>
      <c r="G1925" s="10" t="s">
        <v>21</v>
      </c>
      <c r="H1925" t="str">
        <f>"176282A"</f>
        <v>176282A</v>
      </c>
      <c r="I1925" t="str">
        <f>"ENVELOPE KIT"</f>
        <v>ENVELOPE KIT</v>
      </c>
    </row>
    <row r="1926" spans="1:9" x14ac:dyDescent="0.25">
      <c r="A1926" s="6">
        <v>44239</v>
      </c>
      <c r="B1926" t="s">
        <v>26</v>
      </c>
      <c r="C1926">
        <v>66093</v>
      </c>
      <c r="D1926" t="s">
        <v>69</v>
      </c>
      <c r="E1926" s="7">
        <v>139.1</v>
      </c>
      <c r="F1926" t="s">
        <v>20</v>
      </c>
      <c r="G1926" s="10" t="s">
        <v>21</v>
      </c>
      <c r="H1926" t="str">
        <f>"3C05133"</f>
        <v>3C05133</v>
      </c>
      <c r="I1926" t="str">
        <f>"LAWNMOWER REPAIR"</f>
        <v>LAWNMOWER REPAIR</v>
      </c>
    </row>
    <row r="1927" spans="1:9" x14ac:dyDescent="0.25">
      <c r="E1927" s="7"/>
      <c r="F1927" t="s">
        <v>20</v>
      </c>
      <c r="G1927" s="10" t="s">
        <v>21</v>
      </c>
      <c r="H1927" t="str">
        <f>"3C05239"</f>
        <v>3C05239</v>
      </c>
      <c r="I1927" t="str">
        <f>"ZEROTURN REPAIR"</f>
        <v>ZEROTURN REPAIR</v>
      </c>
    </row>
    <row r="1928" spans="1:9" x14ac:dyDescent="0.25">
      <c r="A1928" s="6">
        <v>44239</v>
      </c>
      <c r="B1928" t="s">
        <v>26</v>
      </c>
      <c r="C1928">
        <v>66094</v>
      </c>
      <c r="D1928" t="s">
        <v>57</v>
      </c>
      <c r="E1928" s="7">
        <v>5999.81</v>
      </c>
      <c r="F1928" t="s">
        <v>20</v>
      </c>
      <c r="G1928" s="10" t="s">
        <v>21</v>
      </c>
      <c r="H1928" t="str">
        <f>"1161712/28-1/27/21"</f>
        <v>1161712/28-1/27/21</v>
      </c>
      <c r="I1928" t="str">
        <f>"F.E.L.P.S."</f>
        <v>F.E.L.P.S.</v>
      </c>
    </row>
    <row r="1929" spans="1:9" x14ac:dyDescent="0.25">
      <c r="E1929" s="7"/>
      <c r="F1929" t="s">
        <v>20</v>
      </c>
      <c r="G1929" s="10" t="s">
        <v>21</v>
      </c>
      <c r="H1929" t="str">
        <f>"3306212/28-1/27/21"</f>
        <v>3306212/28-1/27/21</v>
      </c>
      <c r="I1929" t="str">
        <f>"F.E.L.P.S."</f>
        <v>F.E.L.P.S.</v>
      </c>
    </row>
    <row r="1930" spans="1:9" x14ac:dyDescent="0.25">
      <c r="A1930" s="6">
        <v>44239</v>
      </c>
      <c r="B1930" t="s">
        <v>26</v>
      </c>
      <c r="C1930">
        <v>66095</v>
      </c>
      <c r="D1930" t="s">
        <v>79</v>
      </c>
      <c r="E1930" s="7">
        <v>11.82</v>
      </c>
      <c r="F1930" t="s">
        <v>20</v>
      </c>
      <c r="G1930" s="10" t="s">
        <v>21</v>
      </c>
      <c r="H1930" t="str">
        <f>"7-266-98049"</f>
        <v>7-266-98049</v>
      </c>
      <c r="I1930" t="str">
        <f>"FEDEX"</f>
        <v>FEDEX</v>
      </c>
    </row>
    <row r="1931" spans="1:9" x14ac:dyDescent="0.25">
      <c r="A1931" s="6">
        <v>44239</v>
      </c>
      <c r="B1931" t="s">
        <v>26</v>
      </c>
      <c r="C1931">
        <v>66096</v>
      </c>
      <c r="D1931" t="s">
        <v>59</v>
      </c>
      <c r="E1931" s="7">
        <v>189.42</v>
      </c>
      <c r="F1931" t="s">
        <v>20</v>
      </c>
      <c r="G1931" s="10" t="s">
        <v>21</v>
      </c>
      <c r="H1931" t="str">
        <f>"1101660"</f>
        <v>1101660</v>
      </c>
      <c r="I1931" t="str">
        <f>"WWTP STOCK"</f>
        <v>WWTP STOCK</v>
      </c>
    </row>
    <row r="1932" spans="1:9" x14ac:dyDescent="0.25">
      <c r="A1932" s="6">
        <v>44239</v>
      </c>
      <c r="B1932" t="s">
        <v>26</v>
      </c>
      <c r="C1932">
        <v>66097</v>
      </c>
      <c r="D1932" t="s">
        <v>85</v>
      </c>
      <c r="E1932" s="7">
        <v>676.4</v>
      </c>
      <c r="F1932" t="s">
        <v>20</v>
      </c>
      <c r="G1932" s="10" t="s">
        <v>21</v>
      </c>
      <c r="H1932" t="str">
        <f>"3930579 FEB.2021"</f>
        <v>3930579 FEB.2021</v>
      </c>
      <c r="I1932" t="str">
        <f>"FRONTIER"</f>
        <v>FRONTIER</v>
      </c>
    </row>
    <row r="1933" spans="1:9" x14ac:dyDescent="0.25">
      <c r="E1933" s="7"/>
      <c r="F1933" t="s">
        <v>20</v>
      </c>
      <c r="G1933" s="10" t="s">
        <v>21</v>
      </c>
      <c r="H1933" t="str">
        <f>"3933108 FEB.2021"</f>
        <v>3933108 FEB.2021</v>
      </c>
      <c r="I1933" t="str">
        <f>"FRONTIER"</f>
        <v>FRONTIER</v>
      </c>
    </row>
    <row r="1934" spans="1:9" x14ac:dyDescent="0.25">
      <c r="E1934" s="7"/>
      <c r="F1934" t="s">
        <v>20</v>
      </c>
      <c r="G1934" s="10" t="s">
        <v>21</v>
      </c>
      <c r="H1934" t="str">
        <f>"3937070 JAN.2021"</f>
        <v>3937070 JAN.2021</v>
      </c>
      <c r="I1934" t="str">
        <f>"FRONTIER"</f>
        <v>FRONTIER</v>
      </c>
    </row>
    <row r="1935" spans="1:9" x14ac:dyDescent="0.25">
      <c r="E1935" s="7"/>
      <c r="F1935" t="s">
        <v>20</v>
      </c>
      <c r="G1935" s="10" t="s">
        <v>21</v>
      </c>
      <c r="H1935" t="str">
        <f>"3939791 FEB.2021"</f>
        <v>3939791 FEB.2021</v>
      </c>
      <c r="I1935" t="str">
        <f>"FRONTIER"</f>
        <v>FRONTIER</v>
      </c>
    </row>
    <row r="1936" spans="1:9" x14ac:dyDescent="0.25">
      <c r="A1936" s="6">
        <v>44239</v>
      </c>
      <c r="B1936" t="s">
        <v>26</v>
      </c>
      <c r="C1936">
        <v>66098</v>
      </c>
      <c r="D1936" t="s">
        <v>532</v>
      </c>
      <c r="E1936" s="7">
        <v>80</v>
      </c>
      <c r="F1936" t="s">
        <v>20</v>
      </c>
      <c r="G1936" s="10" t="s">
        <v>21</v>
      </c>
      <c r="H1936" t="str">
        <f>"86159 CCANTU"</f>
        <v>86159 CCANTU</v>
      </c>
      <c r="I1936" t="str">
        <f>"GOVERNMENT FINANCE OFFICERS AS"</f>
        <v>GOVERNMENT FINANCE OFFICERS AS</v>
      </c>
    </row>
    <row r="1937" spans="1:9" x14ac:dyDescent="0.25">
      <c r="A1937" s="6">
        <v>44239</v>
      </c>
      <c r="B1937" t="s">
        <v>26</v>
      </c>
      <c r="C1937">
        <v>66099</v>
      </c>
      <c r="D1937" t="s">
        <v>301</v>
      </c>
      <c r="E1937" s="7">
        <v>4345.95</v>
      </c>
      <c r="F1937" t="s">
        <v>20</v>
      </c>
      <c r="G1937" s="10" t="s">
        <v>21</v>
      </c>
      <c r="H1937" t="str">
        <f>"197736"</f>
        <v>197736</v>
      </c>
      <c r="I1937" t="str">
        <f>"MACK TRUCK REPAIR"</f>
        <v>MACK TRUCK REPAIR</v>
      </c>
    </row>
    <row r="1938" spans="1:9" x14ac:dyDescent="0.25">
      <c r="A1938" s="6">
        <v>44239</v>
      </c>
      <c r="B1938" t="s">
        <v>26</v>
      </c>
      <c r="C1938">
        <v>66100</v>
      </c>
      <c r="D1938" t="s">
        <v>426</v>
      </c>
      <c r="E1938" s="7">
        <v>170.47</v>
      </c>
      <c r="F1938" t="s">
        <v>20</v>
      </c>
      <c r="G1938" s="10" t="s">
        <v>21</v>
      </c>
      <c r="H1938" t="str">
        <f>"189878"</f>
        <v>189878</v>
      </c>
      <c r="I1938" t="str">
        <f>"GT DISTRIBUTORS  INC."</f>
        <v>GT DISTRIBUTORS  INC.</v>
      </c>
    </row>
    <row r="1939" spans="1:9" x14ac:dyDescent="0.25">
      <c r="E1939" s="7"/>
      <c r="F1939" t="s">
        <v>20</v>
      </c>
      <c r="G1939" s="10" t="s">
        <v>21</v>
      </c>
      <c r="H1939" t="str">
        <f>"INV0822661"</f>
        <v>INV0822661</v>
      </c>
      <c r="I1939" t="str">
        <f>"PD UNIFORM BALANCE CHIEF"</f>
        <v>PD UNIFORM BALANCE CHIEF</v>
      </c>
    </row>
    <row r="1940" spans="1:9" x14ac:dyDescent="0.25">
      <c r="A1940" s="6">
        <v>44239</v>
      </c>
      <c r="B1940" t="s">
        <v>26</v>
      </c>
      <c r="C1940">
        <v>66101</v>
      </c>
      <c r="D1940" t="s">
        <v>125</v>
      </c>
      <c r="E1940" s="7">
        <v>1560</v>
      </c>
      <c r="F1940" t="s">
        <v>20</v>
      </c>
      <c r="G1940" s="10" t="s">
        <v>21</v>
      </c>
      <c r="H1940" t="str">
        <f>"21-0020"</f>
        <v>21-0020</v>
      </c>
      <c r="I1940" t="str">
        <f>"INTREPID SURVEYING CORPORATION"</f>
        <v>INTREPID SURVEYING CORPORATION</v>
      </c>
    </row>
    <row r="1941" spans="1:9" x14ac:dyDescent="0.25">
      <c r="A1941" s="6">
        <v>44239</v>
      </c>
      <c r="B1941" t="s">
        <v>26</v>
      </c>
      <c r="C1941">
        <v>66102</v>
      </c>
      <c r="D1941" t="s">
        <v>888</v>
      </c>
      <c r="E1941" s="7">
        <v>130</v>
      </c>
      <c r="F1941" t="s">
        <v>20</v>
      </c>
      <c r="G1941" s="10" t="s">
        <v>21</v>
      </c>
      <c r="H1941" t="str">
        <f>"190117"</f>
        <v>190117</v>
      </c>
      <c r="I1941" t="str">
        <f>"JULIE VERASTEGUI  CSR"</f>
        <v>JULIE VERASTEGUI  CSR</v>
      </c>
    </row>
    <row r="1942" spans="1:9" x14ac:dyDescent="0.25">
      <c r="A1942" s="6">
        <v>44239</v>
      </c>
      <c r="B1942" t="s">
        <v>26</v>
      </c>
      <c r="C1942">
        <v>66103</v>
      </c>
      <c r="D1942" t="s">
        <v>117</v>
      </c>
      <c r="E1942" s="7">
        <v>1271.93</v>
      </c>
      <c r="F1942" t="s">
        <v>20</v>
      </c>
      <c r="G1942" s="10" t="s">
        <v>21</v>
      </c>
      <c r="H1942" t="str">
        <f>"JANUARY 2021"</f>
        <v>JANUARY 2021</v>
      </c>
      <c r="I1942" t="str">
        <f>"LINEBARGER GOGGAN BLAIR &amp; SAMP"</f>
        <v>LINEBARGER GOGGAN BLAIR &amp; SAMP</v>
      </c>
    </row>
    <row r="1943" spans="1:9" x14ac:dyDescent="0.25">
      <c r="A1943" s="6">
        <v>44239</v>
      </c>
      <c r="B1943" t="s">
        <v>26</v>
      </c>
      <c r="C1943">
        <v>66104</v>
      </c>
      <c r="D1943" t="s">
        <v>326</v>
      </c>
      <c r="E1943" s="7">
        <v>41</v>
      </c>
      <c r="F1943" t="s">
        <v>20</v>
      </c>
      <c r="G1943" s="10" t="s">
        <v>21</v>
      </c>
      <c r="H1943" t="str">
        <f>"23008167"</f>
        <v>23008167</v>
      </c>
      <c r="I1943" t="str">
        <f>"MATHESON TRI-GAS INC"</f>
        <v>MATHESON TRI-GAS INC</v>
      </c>
    </row>
    <row r="1944" spans="1:9" x14ac:dyDescent="0.25">
      <c r="A1944" s="6">
        <v>44239</v>
      </c>
      <c r="B1944" t="s">
        <v>26</v>
      </c>
      <c r="C1944">
        <v>66105</v>
      </c>
      <c r="D1944" t="s">
        <v>124</v>
      </c>
      <c r="E1944" s="7">
        <v>166.09</v>
      </c>
      <c r="F1944" t="s">
        <v>20</v>
      </c>
      <c r="G1944" s="10" t="s">
        <v>21</v>
      </c>
      <c r="H1944" t="str">
        <f>"11100507"</f>
        <v>11100507</v>
      </c>
      <c r="I1944" t="str">
        <f>"STREET SUPPLIES"</f>
        <v>STREET SUPPLIES</v>
      </c>
    </row>
    <row r="1945" spans="1:9" x14ac:dyDescent="0.25">
      <c r="A1945" s="6">
        <v>44239</v>
      </c>
      <c r="B1945" t="s">
        <v>26</v>
      </c>
      <c r="C1945">
        <v>66106</v>
      </c>
      <c r="D1945" t="s">
        <v>327</v>
      </c>
      <c r="E1945" s="7">
        <v>29.25</v>
      </c>
      <c r="F1945" t="s">
        <v>20</v>
      </c>
      <c r="G1945" s="10" t="s">
        <v>21</v>
      </c>
      <c r="H1945" t="str">
        <f>"2192"</f>
        <v>2192</v>
      </c>
      <c r="I1945" t="str">
        <f>"MOY'S WATER WELL SERVICES"</f>
        <v>MOY'S WATER WELL SERVICES</v>
      </c>
    </row>
    <row r="1946" spans="1:9" x14ac:dyDescent="0.25">
      <c r="A1946" s="6">
        <v>44239</v>
      </c>
      <c r="B1946" t="s">
        <v>26</v>
      </c>
      <c r="C1946">
        <v>66107</v>
      </c>
      <c r="D1946" t="s">
        <v>240</v>
      </c>
      <c r="E1946" s="7">
        <v>816.77</v>
      </c>
      <c r="F1946" t="s">
        <v>20</v>
      </c>
      <c r="G1946" s="10" t="s">
        <v>21</v>
      </c>
      <c r="H1946" t="str">
        <f>"0204036-IN"</f>
        <v>0204036-IN</v>
      </c>
      <c r="I1946" t="str">
        <f>"NARDIS PUBLIC SAFETY"</f>
        <v>NARDIS PUBLIC SAFETY</v>
      </c>
    </row>
    <row r="1947" spans="1:9" x14ac:dyDescent="0.25">
      <c r="E1947" s="7"/>
      <c r="F1947" t="s">
        <v>20</v>
      </c>
      <c r="G1947" s="10" t="s">
        <v>21</v>
      </c>
      <c r="H1947" t="str">
        <f>"0204067-IN"</f>
        <v>0204067-IN</v>
      </c>
      <c r="I1947" t="str">
        <f>"SHOULDER PATCHES"</f>
        <v>SHOULDER PATCHES</v>
      </c>
    </row>
    <row r="1948" spans="1:9" x14ac:dyDescent="0.25">
      <c r="A1948" s="6">
        <v>44239</v>
      </c>
      <c r="B1948" t="s">
        <v>26</v>
      </c>
      <c r="C1948">
        <v>66108</v>
      </c>
      <c r="D1948" t="s">
        <v>123</v>
      </c>
      <c r="E1948" s="7">
        <v>123.09</v>
      </c>
      <c r="F1948" t="s">
        <v>20</v>
      </c>
      <c r="G1948" s="10" t="s">
        <v>21</v>
      </c>
      <c r="H1948" t="str">
        <f>"148549525001"</f>
        <v>148549525001</v>
      </c>
      <c r="I1948" t="str">
        <f>"OFFICE SUPPLIES"</f>
        <v>OFFICE SUPPLIES</v>
      </c>
    </row>
    <row r="1949" spans="1:9" x14ac:dyDescent="0.25">
      <c r="E1949" s="7"/>
      <c r="F1949" t="s">
        <v>20</v>
      </c>
      <c r="G1949" s="10" t="s">
        <v>21</v>
      </c>
      <c r="H1949" t="str">
        <f>"148553690001"</f>
        <v>148553690001</v>
      </c>
      <c r="I1949" t="str">
        <f>"OFFICE SUPPLIES"</f>
        <v>OFFICE SUPPLIES</v>
      </c>
    </row>
    <row r="1950" spans="1:9" x14ac:dyDescent="0.25">
      <c r="E1950" s="7"/>
      <c r="F1950" t="s">
        <v>20</v>
      </c>
      <c r="G1950" s="10" t="s">
        <v>21</v>
      </c>
      <c r="H1950" t="str">
        <f>"148553722001"</f>
        <v>148553722001</v>
      </c>
      <c r="I1950" t="str">
        <f>"OFFICE SUPPLIES"</f>
        <v>OFFICE SUPPLIES</v>
      </c>
    </row>
    <row r="1951" spans="1:9" x14ac:dyDescent="0.25">
      <c r="A1951" s="6">
        <v>44239</v>
      </c>
      <c r="B1951" t="s">
        <v>26</v>
      </c>
      <c r="C1951">
        <v>66109</v>
      </c>
      <c r="D1951" t="s">
        <v>518</v>
      </c>
      <c r="E1951" s="7">
        <v>300</v>
      </c>
      <c r="F1951" t="s">
        <v>20</v>
      </c>
      <c r="G1951" s="10" t="s">
        <v>21</v>
      </c>
      <c r="H1951" t="str">
        <f>"1925"</f>
        <v>1925</v>
      </c>
      <c r="I1951" t="str">
        <f>"OZ MONUMENTS INC"</f>
        <v>OZ MONUMENTS INC</v>
      </c>
    </row>
    <row r="1952" spans="1:9" x14ac:dyDescent="0.25">
      <c r="A1952" s="6">
        <v>44239</v>
      </c>
      <c r="B1952" t="s">
        <v>26</v>
      </c>
      <c r="C1952">
        <v>66110</v>
      </c>
      <c r="D1952" t="s">
        <v>62</v>
      </c>
      <c r="E1952" s="7">
        <v>225.25</v>
      </c>
      <c r="F1952" t="s">
        <v>20</v>
      </c>
      <c r="G1952" s="10" t="s">
        <v>21</v>
      </c>
      <c r="H1952" t="str">
        <f>"71967"</f>
        <v>71967</v>
      </c>
      <c r="I1952" t="str">
        <f>"PROFICIENT BENEFIT SOLUTIONS"</f>
        <v>PROFICIENT BENEFIT SOLUTIONS</v>
      </c>
    </row>
    <row r="1953" spans="1:9" x14ac:dyDescent="0.25">
      <c r="A1953" s="6">
        <v>44239</v>
      </c>
      <c r="B1953" t="s">
        <v>26</v>
      </c>
      <c r="C1953">
        <v>66111</v>
      </c>
      <c r="D1953" t="s">
        <v>119</v>
      </c>
      <c r="E1953" s="7">
        <v>338.23</v>
      </c>
      <c r="F1953" t="s">
        <v>20</v>
      </c>
      <c r="G1953" s="10" t="s">
        <v>21</v>
      </c>
      <c r="H1953" t="str">
        <f>"73761"</f>
        <v>73761</v>
      </c>
      <c r="I1953" t="str">
        <f>"PRUSKI'S TIRE SHOP  L.L.C."</f>
        <v>PRUSKI'S TIRE SHOP  L.L.C.</v>
      </c>
    </row>
    <row r="1954" spans="1:9" x14ac:dyDescent="0.25">
      <c r="A1954" s="6">
        <v>44239</v>
      </c>
      <c r="B1954" t="s">
        <v>26</v>
      </c>
      <c r="C1954">
        <v>66112</v>
      </c>
      <c r="D1954" t="s">
        <v>131</v>
      </c>
      <c r="E1954" s="7">
        <v>198.74</v>
      </c>
      <c r="F1954" t="s">
        <v>20</v>
      </c>
      <c r="G1954" s="10" t="s">
        <v>21</v>
      </c>
      <c r="H1954" t="str">
        <f>"056772"</f>
        <v>056772</v>
      </c>
      <c r="I1954" t="str">
        <f>"R &amp; S TEXAS PARTS CO"</f>
        <v>R &amp; S TEXAS PARTS CO</v>
      </c>
    </row>
    <row r="1955" spans="1:9" x14ac:dyDescent="0.25">
      <c r="E1955" s="7"/>
      <c r="F1955" t="s">
        <v>20</v>
      </c>
      <c r="G1955" s="10" t="s">
        <v>21</v>
      </c>
      <c r="H1955" t="str">
        <f>"056921"</f>
        <v>056921</v>
      </c>
      <c r="I1955" t="str">
        <f>"BELTS"</f>
        <v>BELTS</v>
      </c>
    </row>
    <row r="1956" spans="1:9" x14ac:dyDescent="0.25">
      <c r="A1956" s="6">
        <v>44239</v>
      </c>
      <c r="B1956" t="s">
        <v>26</v>
      </c>
      <c r="C1956">
        <v>66113</v>
      </c>
      <c r="D1956" t="s">
        <v>126</v>
      </c>
      <c r="E1956" s="7">
        <v>88455.22</v>
      </c>
      <c r="F1956" t="s">
        <v>20</v>
      </c>
      <c r="G1956" s="10" t="s">
        <v>21</v>
      </c>
      <c r="H1956" t="str">
        <f>"0859-002748018"</f>
        <v>0859-002748018</v>
      </c>
      <c r="I1956" t="str">
        <f>"REPUBLIC SERVICES #859"</f>
        <v>REPUBLIC SERVICES #859</v>
      </c>
    </row>
    <row r="1957" spans="1:9" x14ac:dyDescent="0.25">
      <c r="E1957" s="7"/>
      <c r="F1957" t="s">
        <v>20</v>
      </c>
      <c r="G1957" s="10" t="s">
        <v>21</v>
      </c>
      <c r="H1957" t="str">
        <f>"0859-002753725"</f>
        <v>0859-002753725</v>
      </c>
      <c r="I1957" t="str">
        <f>"REPUBLIC SERVICES #859"</f>
        <v>REPUBLIC SERVICES #859</v>
      </c>
    </row>
    <row r="1958" spans="1:9" x14ac:dyDescent="0.25">
      <c r="A1958" s="6">
        <v>44239</v>
      </c>
      <c r="B1958" t="s">
        <v>26</v>
      </c>
      <c r="C1958">
        <v>66114</v>
      </c>
      <c r="D1958" t="s">
        <v>630</v>
      </c>
      <c r="E1958" s="7">
        <v>3251.6</v>
      </c>
      <c r="F1958" t="s">
        <v>20</v>
      </c>
      <c r="G1958" s="10" t="s">
        <v>21</v>
      </c>
      <c r="H1958" t="str">
        <f>"40252"</f>
        <v>40252</v>
      </c>
      <c r="I1958" t="str">
        <f>"METERS"</f>
        <v>METERS</v>
      </c>
    </row>
    <row r="1959" spans="1:9" x14ac:dyDescent="0.25">
      <c r="A1959" s="6">
        <v>44239</v>
      </c>
      <c r="B1959" t="s">
        <v>91</v>
      </c>
      <c r="C1959">
        <v>66115</v>
      </c>
      <c r="D1959" t="s">
        <v>1022</v>
      </c>
      <c r="E1959" s="7">
        <v>1404.17</v>
      </c>
      <c r="F1959" t="s">
        <v>20</v>
      </c>
      <c r="G1959" s="10" t="s">
        <v>21</v>
      </c>
      <c r="H1959" t="str">
        <f>"532542 PARTIAL"</f>
        <v>532542 PARTIAL</v>
      </c>
      <c r="I1959" t="str">
        <f>"SAN ANTONIO BRAKE &amp; CLUTCH SER"</f>
        <v>SAN ANTONIO BRAKE &amp; CLUTCH SER</v>
      </c>
    </row>
    <row r="1960" spans="1:9" x14ac:dyDescent="0.25">
      <c r="A1960" s="6">
        <v>44239</v>
      </c>
      <c r="B1960" t="s">
        <v>91</v>
      </c>
      <c r="C1960">
        <v>66115</v>
      </c>
      <c r="D1960" t="s">
        <v>1022</v>
      </c>
      <c r="E1960" s="7">
        <v>1404.17</v>
      </c>
      <c r="F1960" t="s">
        <v>20</v>
      </c>
      <c r="G1960" s="10" t="s">
        <v>93</v>
      </c>
      <c r="H1960" t="str">
        <f>"CHECK"</f>
        <v>CHECK</v>
      </c>
      <c r="I1960" t="str">
        <f>""</f>
        <v/>
      </c>
    </row>
    <row r="1961" spans="1:9" x14ac:dyDescent="0.25">
      <c r="A1961" s="6">
        <v>44239</v>
      </c>
      <c r="B1961" t="s">
        <v>26</v>
      </c>
      <c r="C1961">
        <v>66116</v>
      </c>
      <c r="D1961" t="s">
        <v>132</v>
      </c>
      <c r="E1961" s="7">
        <v>48.98</v>
      </c>
      <c r="F1961" t="s">
        <v>20</v>
      </c>
      <c r="G1961" s="10" t="s">
        <v>21</v>
      </c>
      <c r="H1961" t="str">
        <f>"16992887 012821"</f>
        <v>16992887 012821</v>
      </c>
      <c r="I1961" t="str">
        <f>"SPARKLETTS &amp; SIERRA SPRINGS"</f>
        <v>SPARKLETTS &amp; SIERRA SPRINGS</v>
      </c>
    </row>
    <row r="1962" spans="1:9" x14ac:dyDescent="0.25">
      <c r="A1962" s="6">
        <v>44239</v>
      </c>
      <c r="B1962" t="s">
        <v>26</v>
      </c>
      <c r="C1962">
        <v>66117</v>
      </c>
      <c r="D1962" t="s">
        <v>31</v>
      </c>
      <c r="E1962" s="7">
        <v>2000</v>
      </c>
      <c r="F1962" t="s">
        <v>20</v>
      </c>
      <c r="G1962" s="10" t="s">
        <v>21</v>
      </c>
      <c r="H1962" t="str">
        <f>"2021256"</f>
        <v>2021256</v>
      </c>
      <c r="I1962" t="str">
        <f>"THE LAW OFFICE OF TOM CALDWELL"</f>
        <v>THE LAW OFFICE OF TOM CALDWELL</v>
      </c>
    </row>
    <row r="1963" spans="1:9" x14ac:dyDescent="0.25">
      <c r="A1963" s="6">
        <v>44239</v>
      </c>
      <c r="B1963" t="s">
        <v>26</v>
      </c>
      <c r="C1963">
        <v>66118</v>
      </c>
      <c r="D1963" t="s">
        <v>644</v>
      </c>
      <c r="E1963" s="7">
        <v>999.4</v>
      </c>
      <c r="F1963" t="s">
        <v>20</v>
      </c>
      <c r="G1963" s="10" t="s">
        <v>21</v>
      </c>
      <c r="H1963" t="str">
        <f>"8213558176"</f>
        <v>8213558176</v>
      </c>
      <c r="I1963" t="str">
        <f t="shared" ref="I1963:I1976" si="36">"UNIFIRST CORPORATION"</f>
        <v>UNIFIRST CORPORATION</v>
      </c>
    </row>
    <row r="1964" spans="1:9" x14ac:dyDescent="0.25">
      <c r="E1964" s="7"/>
      <c r="F1964" t="s">
        <v>20</v>
      </c>
      <c r="G1964" s="10" t="s">
        <v>21</v>
      </c>
      <c r="H1964" t="str">
        <f>"8213558177"</f>
        <v>8213558177</v>
      </c>
      <c r="I1964" t="str">
        <f t="shared" si="36"/>
        <v>UNIFIRST CORPORATION</v>
      </c>
    </row>
    <row r="1965" spans="1:9" x14ac:dyDescent="0.25">
      <c r="E1965" s="7"/>
      <c r="F1965" t="s">
        <v>20</v>
      </c>
      <c r="G1965" s="10" t="s">
        <v>21</v>
      </c>
      <c r="H1965" t="str">
        <f>"8213558178"</f>
        <v>8213558178</v>
      </c>
      <c r="I1965" t="str">
        <f t="shared" si="36"/>
        <v>UNIFIRST CORPORATION</v>
      </c>
    </row>
    <row r="1966" spans="1:9" x14ac:dyDescent="0.25">
      <c r="E1966" s="7"/>
      <c r="F1966" t="s">
        <v>20</v>
      </c>
      <c r="G1966" s="10" t="s">
        <v>21</v>
      </c>
      <c r="H1966" t="str">
        <f>"8213558179"</f>
        <v>8213558179</v>
      </c>
      <c r="I1966" t="str">
        <f t="shared" si="36"/>
        <v>UNIFIRST CORPORATION</v>
      </c>
    </row>
    <row r="1967" spans="1:9" x14ac:dyDescent="0.25">
      <c r="E1967" s="7"/>
      <c r="F1967" t="s">
        <v>20</v>
      </c>
      <c r="G1967" s="10" t="s">
        <v>21</v>
      </c>
      <c r="H1967" t="str">
        <f>"8213558180"</f>
        <v>8213558180</v>
      </c>
      <c r="I1967" t="str">
        <f t="shared" si="36"/>
        <v>UNIFIRST CORPORATION</v>
      </c>
    </row>
    <row r="1968" spans="1:9" x14ac:dyDescent="0.25">
      <c r="E1968" s="7"/>
      <c r="F1968" t="s">
        <v>20</v>
      </c>
      <c r="G1968" s="10" t="s">
        <v>21</v>
      </c>
      <c r="H1968" t="str">
        <f>"8213558181"</f>
        <v>8213558181</v>
      </c>
      <c r="I1968" t="str">
        <f t="shared" si="36"/>
        <v>UNIFIRST CORPORATION</v>
      </c>
    </row>
    <row r="1969" spans="1:9" x14ac:dyDescent="0.25">
      <c r="E1969" s="7"/>
      <c r="F1969" t="s">
        <v>20</v>
      </c>
      <c r="G1969" s="10" t="s">
        <v>21</v>
      </c>
      <c r="H1969" t="str">
        <f>"8213558182"</f>
        <v>8213558182</v>
      </c>
      <c r="I1969" t="str">
        <f t="shared" si="36"/>
        <v>UNIFIRST CORPORATION</v>
      </c>
    </row>
    <row r="1970" spans="1:9" x14ac:dyDescent="0.25">
      <c r="E1970" s="7"/>
      <c r="F1970" t="s">
        <v>20</v>
      </c>
      <c r="G1970" s="10" t="s">
        <v>21</v>
      </c>
      <c r="H1970" t="str">
        <f>"8213560733"</f>
        <v>8213560733</v>
      </c>
      <c r="I1970" t="str">
        <f t="shared" si="36"/>
        <v>UNIFIRST CORPORATION</v>
      </c>
    </row>
    <row r="1971" spans="1:9" x14ac:dyDescent="0.25">
      <c r="E1971" s="7"/>
      <c r="F1971" t="s">
        <v>20</v>
      </c>
      <c r="G1971" s="10" t="s">
        <v>21</v>
      </c>
      <c r="H1971" t="str">
        <f>"8213560734"</f>
        <v>8213560734</v>
      </c>
      <c r="I1971" t="str">
        <f t="shared" si="36"/>
        <v>UNIFIRST CORPORATION</v>
      </c>
    </row>
    <row r="1972" spans="1:9" x14ac:dyDescent="0.25">
      <c r="E1972" s="7"/>
      <c r="F1972" t="s">
        <v>20</v>
      </c>
      <c r="G1972" s="10" t="s">
        <v>21</v>
      </c>
      <c r="H1972" t="str">
        <f>"8213560735"</f>
        <v>8213560735</v>
      </c>
      <c r="I1972" t="str">
        <f t="shared" si="36"/>
        <v>UNIFIRST CORPORATION</v>
      </c>
    </row>
    <row r="1973" spans="1:9" x14ac:dyDescent="0.25">
      <c r="E1973" s="7"/>
      <c r="F1973" t="s">
        <v>20</v>
      </c>
      <c r="G1973" s="10" t="s">
        <v>21</v>
      </c>
      <c r="H1973" t="str">
        <f>"8213560736"</f>
        <v>8213560736</v>
      </c>
      <c r="I1973" t="str">
        <f t="shared" si="36"/>
        <v>UNIFIRST CORPORATION</v>
      </c>
    </row>
    <row r="1974" spans="1:9" x14ac:dyDescent="0.25">
      <c r="E1974" s="7"/>
      <c r="F1974" t="s">
        <v>20</v>
      </c>
      <c r="G1974" s="10" t="s">
        <v>21</v>
      </c>
      <c r="H1974" t="str">
        <f>"8213560737"</f>
        <v>8213560737</v>
      </c>
      <c r="I1974" t="str">
        <f t="shared" si="36"/>
        <v>UNIFIRST CORPORATION</v>
      </c>
    </row>
    <row r="1975" spans="1:9" x14ac:dyDescent="0.25">
      <c r="E1975" s="7"/>
      <c r="F1975" t="s">
        <v>20</v>
      </c>
      <c r="G1975" s="10" t="s">
        <v>21</v>
      </c>
      <c r="H1975" t="str">
        <f>"8213560738"</f>
        <v>8213560738</v>
      </c>
      <c r="I1975" t="str">
        <f t="shared" si="36"/>
        <v>UNIFIRST CORPORATION</v>
      </c>
    </row>
    <row r="1976" spans="1:9" x14ac:dyDescent="0.25">
      <c r="E1976" s="7"/>
      <c r="F1976" t="s">
        <v>20</v>
      </c>
      <c r="G1976" s="10" t="s">
        <v>21</v>
      </c>
      <c r="H1976" t="str">
        <f>"8213560739"</f>
        <v>8213560739</v>
      </c>
      <c r="I1976" t="str">
        <f t="shared" si="36"/>
        <v>UNIFIRST CORPORATION</v>
      </c>
    </row>
    <row r="1977" spans="1:9" x14ac:dyDescent="0.25">
      <c r="A1977" s="6">
        <v>44239</v>
      </c>
      <c r="B1977" t="s">
        <v>26</v>
      </c>
      <c r="C1977">
        <v>66121</v>
      </c>
      <c r="D1977" t="s">
        <v>203</v>
      </c>
      <c r="E1977" s="7">
        <v>1250.04</v>
      </c>
      <c r="F1977" t="s">
        <v>20</v>
      </c>
      <c r="G1977" s="10" t="s">
        <v>21</v>
      </c>
      <c r="H1977" t="str">
        <f>"479504"</f>
        <v>479504</v>
      </c>
      <c r="I1977" t="str">
        <f>"WWTP SUPPLIES"</f>
        <v>WWTP SUPPLIES</v>
      </c>
    </row>
    <row r="1978" spans="1:9" x14ac:dyDescent="0.25">
      <c r="E1978" s="7"/>
      <c r="F1978" t="s">
        <v>20</v>
      </c>
      <c r="G1978" s="10" t="s">
        <v>21</v>
      </c>
      <c r="H1978" t="str">
        <f>"487673"</f>
        <v>487673</v>
      </c>
      <c r="I1978" t="str">
        <f>"USA BLUEBOOK"</f>
        <v>USA BLUEBOOK</v>
      </c>
    </row>
    <row r="1979" spans="1:9" x14ac:dyDescent="0.25">
      <c r="A1979" s="6">
        <v>44239</v>
      </c>
      <c r="B1979" t="s">
        <v>26</v>
      </c>
      <c r="C1979">
        <v>66122</v>
      </c>
      <c r="D1979" t="s">
        <v>122</v>
      </c>
      <c r="E1979" s="7">
        <v>10</v>
      </c>
      <c r="F1979" t="s">
        <v>20</v>
      </c>
      <c r="G1979" s="10" t="s">
        <v>21</v>
      </c>
      <c r="H1979" t="str">
        <f>"153752"</f>
        <v>153752</v>
      </c>
      <c r="I1979" t="str">
        <f>"VILLA TIRES"</f>
        <v>VILLA TIRES</v>
      </c>
    </row>
    <row r="1980" spans="1:9" x14ac:dyDescent="0.25">
      <c r="A1980" s="6">
        <v>44239</v>
      </c>
      <c r="B1980" t="s">
        <v>26</v>
      </c>
      <c r="C1980">
        <v>66123</v>
      </c>
      <c r="D1980" t="s">
        <v>104</v>
      </c>
      <c r="E1980" s="7">
        <v>636.34</v>
      </c>
      <c r="F1980" t="s">
        <v>20</v>
      </c>
      <c r="G1980" s="10" t="s">
        <v>21</v>
      </c>
      <c r="H1980" t="str">
        <f>"10161"</f>
        <v>10161</v>
      </c>
      <c r="I1980" t="str">
        <f>"WILSON COUNTY NEWS"</f>
        <v>WILSON COUNTY NEWS</v>
      </c>
    </row>
    <row r="1981" spans="1:9" x14ac:dyDescent="0.25">
      <c r="E1981" s="7"/>
      <c r="F1981" t="s">
        <v>20</v>
      </c>
      <c r="G1981" s="10" t="s">
        <v>21</v>
      </c>
      <c r="H1981" t="str">
        <f>"10433"</f>
        <v>10433</v>
      </c>
      <c r="I1981" t="str">
        <f>"WILSON COUNTY NEWS"</f>
        <v>WILSON COUNTY NEWS</v>
      </c>
    </row>
    <row r="1982" spans="1:9" x14ac:dyDescent="0.25">
      <c r="E1982" s="7"/>
      <c r="F1982" t="s">
        <v>20</v>
      </c>
      <c r="G1982" s="10" t="s">
        <v>21</v>
      </c>
      <c r="H1982" t="str">
        <f>"10601"</f>
        <v>10601</v>
      </c>
      <c r="I1982" t="str">
        <f>"WILSON COUNTY NEWS"</f>
        <v>WILSON COUNTY NEWS</v>
      </c>
    </row>
    <row r="1983" spans="1:9" x14ac:dyDescent="0.25">
      <c r="E1983" s="7"/>
      <c r="F1983" t="s">
        <v>20</v>
      </c>
      <c r="G1983" s="10" t="s">
        <v>21</v>
      </c>
      <c r="H1983" t="str">
        <f>"11039"</f>
        <v>11039</v>
      </c>
      <c r="I1983" t="str">
        <f>"WILSON COUNTY NEWS"</f>
        <v>WILSON COUNTY NEWS</v>
      </c>
    </row>
    <row r="1984" spans="1:9" x14ac:dyDescent="0.25">
      <c r="A1984" s="6">
        <v>44244</v>
      </c>
      <c r="B1984" t="s">
        <v>26</v>
      </c>
      <c r="C1984">
        <v>66124</v>
      </c>
      <c r="D1984" t="s">
        <v>345</v>
      </c>
      <c r="E1984" s="7">
        <v>308</v>
      </c>
      <c r="F1984" t="s">
        <v>20</v>
      </c>
      <c r="G1984" s="10" t="s">
        <v>21</v>
      </c>
      <c r="H1984" t="str">
        <f>"02/15/2021"</f>
        <v>02/15/2021</v>
      </c>
      <c r="I1984" t="str">
        <f>"MICHAEL ISAAC MARTINEZ"</f>
        <v>MICHAEL ISAAC MARTINEZ</v>
      </c>
    </row>
    <row r="1985" spans="1:9" x14ac:dyDescent="0.25">
      <c r="A1985" s="6">
        <v>44244</v>
      </c>
      <c r="B1985" t="s">
        <v>26</v>
      </c>
      <c r="C1985">
        <v>66125</v>
      </c>
      <c r="D1985" t="s">
        <v>894</v>
      </c>
      <c r="E1985" s="7">
        <v>700</v>
      </c>
      <c r="F1985" t="s">
        <v>20</v>
      </c>
      <c r="G1985" s="10" t="s">
        <v>21</v>
      </c>
      <c r="H1985" t="str">
        <f>"01"</f>
        <v>01</v>
      </c>
      <c r="I1985" t="str">
        <f>"ABEL TORRES"</f>
        <v>ABEL TORRES</v>
      </c>
    </row>
    <row r="1986" spans="1:9" x14ac:dyDescent="0.25">
      <c r="A1986" s="6">
        <v>44244</v>
      </c>
      <c r="B1986" t="s">
        <v>26</v>
      </c>
      <c r="C1986">
        <v>66126</v>
      </c>
      <c r="D1986" t="s">
        <v>56</v>
      </c>
      <c r="E1986" s="7">
        <v>22.5</v>
      </c>
      <c r="F1986" t="s">
        <v>20</v>
      </c>
      <c r="G1986" s="10" t="s">
        <v>21</v>
      </c>
      <c r="H1986" t="str">
        <f>"189878"</f>
        <v>189878</v>
      </c>
      <c r="I1986" t="str">
        <f>"DOG FOOD - ANIMAL CONTROL"</f>
        <v>DOG FOOD - ANIMAL CONTROL</v>
      </c>
    </row>
    <row r="1987" spans="1:9" x14ac:dyDescent="0.25">
      <c r="A1987" s="6">
        <v>44250</v>
      </c>
      <c r="B1987" t="s">
        <v>26</v>
      </c>
      <c r="C1987">
        <v>66131</v>
      </c>
      <c r="D1987" t="s">
        <v>51</v>
      </c>
      <c r="E1987" s="7">
        <v>327.84</v>
      </c>
      <c r="F1987" t="s">
        <v>20</v>
      </c>
      <c r="G1987" s="10" t="s">
        <v>21</v>
      </c>
      <c r="H1987" t="str">
        <f>"CLE202102238602"</f>
        <v>CLE202102238602</v>
      </c>
      <c r="I1987" t="str">
        <f>"CLEAT ONLY DUES"</f>
        <v>CLEAT ONLY DUES</v>
      </c>
    </row>
    <row r="1988" spans="1:9" x14ac:dyDescent="0.25">
      <c r="E1988" s="7"/>
      <c r="F1988" t="s">
        <v>20</v>
      </c>
      <c r="G1988" s="10" t="s">
        <v>21</v>
      </c>
      <c r="H1988" t="str">
        <f>"PDD202102238602"</f>
        <v>PDD202102238602</v>
      </c>
      <c r="I1988" t="str">
        <f>"POLICE OFFICERS ASSOC DUES"</f>
        <v>POLICE OFFICERS ASSOC DUES</v>
      </c>
    </row>
    <row r="1989" spans="1:9" x14ac:dyDescent="0.25">
      <c r="A1989" s="6">
        <v>44250</v>
      </c>
      <c r="B1989" t="s">
        <v>26</v>
      </c>
      <c r="C1989">
        <v>66132</v>
      </c>
      <c r="D1989" t="s">
        <v>52</v>
      </c>
      <c r="E1989" s="7">
        <v>405</v>
      </c>
      <c r="F1989" t="s">
        <v>20</v>
      </c>
      <c r="G1989" s="10" t="s">
        <v>21</v>
      </c>
      <c r="H1989" t="str">
        <f>"CA1202102238602"</f>
        <v>CA1202102238602</v>
      </c>
      <c r="I1989" t="str">
        <f>"K RAMIREZ 001200229510060343CV"</f>
        <v>K RAMIREZ 001200229510060343CV</v>
      </c>
    </row>
    <row r="1990" spans="1:9" x14ac:dyDescent="0.25">
      <c r="E1990" s="7"/>
      <c r="F1990" t="s">
        <v>20</v>
      </c>
      <c r="G1990" s="10" t="s">
        <v>21</v>
      </c>
      <c r="H1990" t="str">
        <f>"CA2202102238602"</f>
        <v>CA2202102238602</v>
      </c>
      <c r="I1990" t="str">
        <f>"L HERNANDEZ 001016025203080354"</f>
        <v>L HERNANDEZ 001016025203080354</v>
      </c>
    </row>
    <row r="1991" spans="1:9" x14ac:dyDescent="0.25">
      <c r="E1991" s="7"/>
      <c r="F1991" t="s">
        <v>20</v>
      </c>
      <c r="G1991" s="10" t="s">
        <v>21</v>
      </c>
      <c r="H1991" t="str">
        <f>"CA3202102238602"</f>
        <v>CA3202102238602</v>
      </c>
      <c r="I1991" t="str">
        <f>"00120788612011EM5023JOLENEGARC"</f>
        <v>00120788612011EM5023JOLENEGARC</v>
      </c>
    </row>
    <row r="1992" spans="1:9" x14ac:dyDescent="0.25">
      <c r="E1992" s="7"/>
      <c r="F1992" t="s">
        <v>20</v>
      </c>
      <c r="G1992" s="10" t="s">
        <v>21</v>
      </c>
      <c r="H1992" t="str">
        <f>"CSA202102238602"</f>
        <v>CSA202102238602</v>
      </c>
      <c r="I1992" t="str">
        <f>"S RODRIGUEZ 001281730413050336"</f>
        <v>S RODRIGUEZ 001281730413050336</v>
      </c>
    </row>
    <row r="1993" spans="1:9" x14ac:dyDescent="0.25">
      <c r="A1993" s="6">
        <v>44250</v>
      </c>
      <c r="B1993" t="s">
        <v>26</v>
      </c>
      <c r="C1993">
        <v>66133</v>
      </c>
      <c r="D1993" t="s">
        <v>54</v>
      </c>
      <c r="E1993" s="7">
        <v>1164.93</v>
      </c>
      <c r="F1993" t="s">
        <v>20</v>
      </c>
      <c r="G1993" s="10" t="s">
        <v>21</v>
      </c>
      <c r="H1993" t="str">
        <f>"BRE202102238602"</f>
        <v>BRE202102238602</v>
      </c>
      <c r="I1993" t="str">
        <f>"CASE #180-60751 457B DEDUCT"</f>
        <v>CASE #180-60751 457B DEDUCT</v>
      </c>
    </row>
    <row r="1994" spans="1:9" x14ac:dyDescent="0.25">
      <c r="A1994" s="6">
        <v>44250</v>
      </c>
      <c r="B1994" t="s">
        <v>26</v>
      </c>
      <c r="C1994">
        <v>66134</v>
      </c>
      <c r="D1994" t="s">
        <v>969</v>
      </c>
      <c r="E1994" s="7">
        <v>88.74</v>
      </c>
      <c r="F1994" t="s">
        <v>20</v>
      </c>
      <c r="G1994" s="10" t="s">
        <v>21</v>
      </c>
      <c r="H1994" t="str">
        <f>"ATG202102238602"</f>
        <v>ATG202102238602</v>
      </c>
      <c r="I1994" t="str">
        <f>"WG1910853 A. TREVINO"</f>
        <v>WG1910853 A. TREVINO</v>
      </c>
    </row>
    <row r="1995" spans="1:9" x14ac:dyDescent="0.25">
      <c r="A1995" s="6">
        <v>44251</v>
      </c>
      <c r="B1995" t="s">
        <v>26</v>
      </c>
      <c r="C1995">
        <v>66135</v>
      </c>
      <c r="D1995" t="s">
        <v>102</v>
      </c>
      <c r="E1995" s="7">
        <v>415.39</v>
      </c>
      <c r="F1995" t="s">
        <v>20</v>
      </c>
      <c r="G1995" s="10" t="s">
        <v>21</v>
      </c>
      <c r="H1995" t="str">
        <f>"1120 D ST JAN.2021"</f>
        <v>1120 D ST JAN.2021</v>
      </c>
      <c r="I1995" t="str">
        <f>"CENTERPOINT ENERGY ENTEX"</f>
        <v>CENTERPOINT ENERGY ENTEX</v>
      </c>
    </row>
    <row r="1996" spans="1:9" x14ac:dyDescent="0.25">
      <c r="E1996" s="7"/>
      <c r="F1996" t="s">
        <v>20</v>
      </c>
      <c r="G1996" s="10" t="s">
        <v>21</v>
      </c>
      <c r="H1996" t="str">
        <f>"1200 1ST JAN.2021"</f>
        <v>1200 1ST JAN.2021</v>
      </c>
      <c r="I1996" t="str">
        <f>"CENTERPOINT ENERGY ENTEX"</f>
        <v>CENTERPOINT ENERGY ENTEX</v>
      </c>
    </row>
    <row r="1997" spans="1:9" x14ac:dyDescent="0.25">
      <c r="E1997" s="7"/>
      <c r="F1997" t="s">
        <v>20</v>
      </c>
      <c r="G1997" s="10" t="s">
        <v>21</v>
      </c>
      <c r="H1997" t="str">
        <f>"920 C. ST JAN.2021"</f>
        <v>920 C. ST JAN.2021</v>
      </c>
      <c r="I1997" t="str">
        <f>"CENTERPOINT ENERGY ENTEX"</f>
        <v>CENTERPOINT ENERGY ENTEX</v>
      </c>
    </row>
    <row r="1998" spans="1:9" x14ac:dyDescent="0.25">
      <c r="A1998" s="6">
        <v>44251</v>
      </c>
      <c r="B1998" t="s">
        <v>26</v>
      </c>
      <c r="C1998">
        <v>66136</v>
      </c>
      <c r="D1998" t="s">
        <v>110</v>
      </c>
      <c r="E1998" s="7">
        <v>7442.48</v>
      </c>
      <c r="F1998" t="s">
        <v>20</v>
      </c>
      <c r="G1998" s="10" t="s">
        <v>21</v>
      </c>
      <c r="H1998" t="str">
        <f>"1525746"</f>
        <v>1525746</v>
      </c>
      <c r="I1998" t="str">
        <f t="shared" ref="I1998:I2017" si="37">"BUREAU VERITAS NORTH AMERICA"</f>
        <v>BUREAU VERITAS NORTH AMERICA</v>
      </c>
    </row>
    <row r="1999" spans="1:9" x14ac:dyDescent="0.25">
      <c r="E1999" s="7"/>
      <c r="F1999" t="s">
        <v>20</v>
      </c>
      <c r="G1999" s="10" t="s">
        <v>21</v>
      </c>
      <c r="H1999" t="str">
        <f>"1525747"</f>
        <v>1525747</v>
      </c>
      <c r="I1999" t="str">
        <f t="shared" si="37"/>
        <v>BUREAU VERITAS NORTH AMERICA</v>
      </c>
    </row>
    <row r="2000" spans="1:9" x14ac:dyDescent="0.25">
      <c r="E2000" s="7"/>
      <c r="F2000" t="s">
        <v>20</v>
      </c>
      <c r="G2000" s="10" t="s">
        <v>21</v>
      </c>
      <c r="H2000" t="str">
        <f>"1525748"</f>
        <v>1525748</v>
      </c>
      <c r="I2000" t="str">
        <f t="shared" si="37"/>
        <v>BUREAU VERITAS NORTH AMERICA</v>
      </c>
    </row>
    <row r="2001" spans="5:9" x14ac:dyDescent="0.25">
      <c r="E2001" s="7"/>
      <c r="F2001" t="s">
        <v>20</v>
      </c>
      <c r="G2001" s="10" t="s">
        <v>21</v>
      </c>
      <c r="H2001" t="str">
        <f>"1533947"</f>
        <v>1533947</v>
      </c>
      <c r="I2001" t="str">
        <f t="shared" si="37"/>
        <v>BUREAU VERITAS NORTH AMERICA</v>
      </c>
    </row>
    <row r="2002" spans="5:9" x14ac:dyDescent="0.25">
      <c r="E2002" s="7"/>
      <c r="F2002" t="s">
        <v>20</v>
      </c>
      <c r="G2002" s="10" t="s">
        <v>21</v>
      </c>
      <c r="H2002" t="str">
        <f>"1553866"</f>
        <v>1553866</v>
      </c>
      <c r="I2002" t="str">
        <f t="shared" si="37"/>
        <v>BUREAU VERITAS NORTH AMERICA</v>
      </c>
    </row>
    <row r="2003" spans="5:9" x14ac:dyDescent="0.25">
      <c r="E2003" s="7"/>
      <c r="F2003" t="s">
        <v>20</v>
      </c>
      <c r="G2003" s="10" t="s">
        <v>21</v>
      </c>
      <c r="H2003" t="str">
        <f>"1553867"</f>
        <v>1553867</v>
      </c>
      <c r="I2003" t="str">
        <f t="shared" si="37"/>
        <v>BUREAU VERITAS NORTH AMERICA</v>
      </c>
    </row>
    <row r="2004" spans="5:9" x14ac:dyDescent="0.25">
      <c r="E2004" s="7"/>
      <c r="F2004" t="s">
        <v>20</v>
      </c>
      <c r="G2004" s="10" t="s">
        <v>21</v>
      </c>
      <c r="H2004" t="str">
        <f>"1553868"</f>
        <v>1553868</v>
      </c>
      <c r="I2004" t="str">
        <f t="shared" si="37"/>
        <v>BUREAU VERITAS NORTH AMERICA</v>
      </c>
    </row>
    <row r="2005" spans="5:9" x14ac:dyDescent="0.25">
      <c r="E2005" s="7"/>
      <c r="F2005" t="s">
        <v>20</v>
      </c>
      <c r="G2005" s="10" t="s">
        <v>21</v>
      </c>
      <c r="H2005" t="str">
        <f>"1553869"</f>
        <v>1553869</v>
      </c>
      <c r="I2005" t="str">
        <f t="shared" si="37"/>
        <v>BUREAU VERITAS NORTH AMERICA</v>
      </c>
    </row>
    <row r="2006" spans="5:9" x14ac:dyDescent="0.25">
      <c r="E2006" s="7"/>
      <c r="F2006" t="s">
        <v>20</v>
      </c>
      <c r="G2006" s="10" t="s">
        <v>21</v>
      </c>
      <c r="H2006" t="str">
        <f>"1553870"</f>
        <v>1553870</v>
      </c>
      <c r="I2006" t="str">
        <f t="shared" si="37"/>
        <v>BUREAU VERITAS NORTH AMERICA</v>
      </c>
    </row>
    <row r="2007" spans="5:9" x14ac:dyDescent="0.25">
      <c r="E2007" s="7"/>
      <c r="F2007" t="s">
        <v>20</v>
      </c>
      <c r="G2007" s="10" t="s">
        <v>21</v>
      </c>
      <c r="H2007" t="str">
        <f>"1553871"</f>
        <v>1553871</v>
      </c>
      <c r="I2007" t="str">
        <f t="shared" si="37"/>
        <v>BUREAU VERITAS NORTH AMERICA</v>
      </c>
    </row>
    <row r="2008" spans="5:9" x14ac:dyDescent="0.25">
      <c r="E2008" s="7"/>
      <c r="F2008" t="s">
        <v>20</v>
      </c>
      <c r="G2008" s="10" t="s">
        <v>21</v>
      </c>
      <c r="H2008" t="str">
        <f>"1553872"</f>
        <v>1553872</v>
      </c>
      <c r="I2008" t="str">
        <f t="shared" si="37"/>
        <v>BUREAU VERITAS NORTH AMERICA</v>
      </c>
    </row>
    <row r="2009" spans="5:9" x14ac:dyDescent="0.25">
      <c r="E2009" s="7"/>
      <c r="F2009" t="s">
        <v>20</v>
      </c>
      <c r="G2009" s="10" t="s">
        <v>21</v>
      </c>
      <c r="H2009" t="str">
        <f>"1553873"</f>
        <v>1553873</v>
      </c>
      <c r="I2009" t="str">
        <f t="shared" si="37"/>
        <v>BUREAU VERITAS NORTH AMERICA</v>
      </c>
    </row>
    <row r="2010" spans="5:9" x14ac:dyDescent="0.25">
      <c r="E2010" s="7"/>
      <c r="F2010" t="s">
        <v>20</v>
      </c>
      <c r="G2010" s="10" t="s">
        <v>21</v>
      </c>
      <c r="H2010" t="str">
        <f>"1553874"</f>
        <v>1553874</v>
      </c>
      <c r="I2010" t="str">
        <f t="shared" si="37"/>
        <v>BUREAU VERITAS NORTH AMERICA</v>
      </c>
    </row>
    <row r="2011" spans="5:9" x14ac:dyDescent="0.25">
      <c r="E2011" s="7"/>
      <c r="F2011" t="s">
        <v>20</v>
      </c>
      <c r="G2011" s="10" t="s">
        <v>21</v>
      </c>
      <c r="H2011" t="str">
        <f>"1553875"</f>
        <v>1553875</v>
      </c>
      <c r="I2011" t="str">
        <f t="shared" si="37"/>
        <v>BUREAU VERITAS NORTH AMERICA</v>
      </c>
    </row>
    <row r="2012" spans="5:9" x14ac:dyDescent="0.25">
      <c r="E2012" s="7"/>
      <c r="F2012" t="s">
        <v>20</v>
      </c>
      <c r="G2012" s="10" t="s">
        <v>21</v>
      </c>
      <c r="H2012" t="str">
        <f>"1566626"</f>
        <v>1566626</v>
      </c>
      <c r="I2012" t="str">
        <f t="shared" si="37"/>
        <v>BUREAU VERITAS NORTH AMERICA</v>
      </c>
    </row>
    <row r="2013" spans="5:9" x14ac:dyDescent="0.25">
      <c r="E2013" s="7"/>
      <c r="F2013" t="s">
        <v>20</v>
      </c>
      <c r="G2013" s="10" t="s">
        <v>21</v>
      </c>
      <c r="H2013" t="str">
        <f>"1566627"</f>
        <v>1566627</v>
      </c>
      <c r="I2013" t="str">
        <f t="shared" si="37"/>
        <v>BUREAU VERITAS NORTH AMERICA</v>
      </c>
    </row>
    <row r="2014" spans="5:9" x14ac:dyDescent="0.25">
      <c r="E2014" s="7"/>
      <c r="F2014" t="s">
        <v>20</v>
      </c>
      <c r="G2014" s="10" t="s">
        <v>21</v>
      </c>
      <c r="H2014" t="str">
        <f>"1566628"</f>
        <v>1566628</v>
      </c>
      <c r="I2014" t="str">
        <f t="shared" si="37"/>
        <v>BUREAU VERITAS NORTH AMERICA</v>
      </c>
    </row>
    <row r="2015" spans="5:9" x14ac:dyDescent="0.25">
      <c r="E2015" s="7"/>
      <c r="F2015" t="s">
        <v>20</v>
      </c>
      <c r="G2015" s="10" t="s">
        <v>21</v>
      </c>
      <c r="H2015" t="str">
        <f>"1566629"</f>
        <v>1566629</v>
      </c>
      <c r="I2015" t="str">
        <f t="shared" si="37"/>
        <v>BUREAU VERITAS NORTH AMERICA</v>
      </c>
    </row>
    <row r="2016" spans="5:9" x14ac:dyDescent="0.25">
      <c r="E2016" s="7"/>
      <c r="F2016" t="s">
        <v>20</v>
      </c>
      <c r="G2016" s="10" t="s">
        <v>21</v>
      </c>
      <c r="H2016" t="str">
        <f>"1566630"</f>
        <v>1566630</v>
      </c>
      <c r="I2016" t="str">
        <f t="shared" si="37"/>
        <v>BUREAU VERITAS NORTH AMERICA</v>
      </c>
    </row>
    <row r="2017" spans="1:9" x14ac:dyDescent="0.25">
      <c r="E2017" s="7"/>
      <c r="F2017" t="s">
        <v>20</v>
      </c>
      <c r="G2017" s="10" t="s">
        <v>21</v>
      </c>
      <c r="H2017" t="str">
        <f>"1566631"</f>
        <v>1566631</v>
      </c>
      <c r="I2017" t="str">
        <f t="shared" si="37"/>
        <v>BUREAU VERITAS NORTH AMERICA</v>
      </c>
    </row>
    <row r="2018" spans="1:9" x14ac:dyDescent="0.25">
      <c r="A2018" s="6">
        <v>44251</v>
      </c>
      <c r="B2018" t="s">
        <v>26</v>
      </c>
      <c r="C2018">
        <v>66140</v>
      </c>
      <c r="D2018" t="s">
        <v>1027</v>
      </c>
      <c r="E2018" s="7">
        <v>800</v>
      </c>
      <c r="F2018" t="s">
        <v>20</v>
      </c>
      <c r="G2018" s="10" t="s">
        <v>21</v>
      </c>
      <c r="H2018" t="str">
        <f>"6/12/2021 REFUND"</f>
        <v>6/12/2021 REFUND</v>
      </c>
      <c r="I2018" t="str">
        <f>"REFUND"</f>
        <v>REFUND</v>
      </c>
    </row>
    <row r="2019" spans="1:9" x14ac:dyDescent="0.25">
      <c r="A2019" s="6">
        <v>44251</v>
      </c>
      <c r="B2019" t="s">
        <v>26</v>
      </c>
      <c r="C2019">
        <v>66141</v>
      </c>
      <c r="D2019" t="s">
        <v>186</v>
      </c>
      <c r="E2019" s="7">
        <v>7703.94</v>
      </c>
      <c r="F2019" t="s">
        <v>20</v>
      </c>
      <c r="G2019" s="10" t="s">
        <v>21</v>
      </c>
      <c r="H2019" t="str">
        <f>"2ND QRT4/1-6/30/21"</f>
        <v>2ND QRT4/1-6/30/21</v>
      </c>
      <c r="I2019" t="str">
        <f>"WILSON COUNTY APPRAISAL DISTRI"</f>
        <v>WILSON COUNTY APPRAISAL DISTRI</v>
      </c>
    </row>
    <row r="2020" spans="1:9" x14ac:dyDescent="0.25">
      <c r="A2020" s="6">
        <v>44251</v>
      </c>
      <c r="B2020" t="s">
        <v>26</v>
      </c>
      <c r="C2020">
        <v>66142</v>
      </c>
      <c r="D2020" t="s">
        <v>213</v>
      </c>
      <c r="E2020" s="7">
        <v>10971.14</v>
      </c>
      <c r="F2020" t="s">
        <v>20</v>
      </c>
      <c r="G2020" s="10" t="s">
        <v>21</v>
      </c>
      <c r="H2020" t="str">
        <f>"JANUARY 2021"</f>
        <v>JANUARY 2021</v>
      </c>
      <c r="I2020" t="str">
        <f>"RIVER BEND COMMUNITY DEVELOPME"</f>
        <v>RIVER BEND COMMUNITY DEVELOPME</v>
      </c>
    </row>
    <row r="2021" spans="1:9" x14ac:dyDescent="0.25">
      <c r="A2021" s="6">
        <v>44251</v>
      </c>
      <c r="B2021" t="s">
        <v>26</v>
      </c>
      <c r="C2021">
        <v>66143</v>
      </c>
      <c r="D2021" t="s">
        <v>71</v>
      </c>
      <c r="E2021" s="7">
        <v>467.86</v>
      </c>
      <c r="F2021" t="s">
        <v>20</v>
      </c>
      <c r="G2021" s="10" t="s">
        <v>21</v>
      </c>
      <c r="H2021" t="str">
        <f>"4075258096"</f>
        <v>4075258096</v>
      </c>
      <c r="I2021" t="str">
        <f t="shared" ref="I2021:I2026" si="38">"CINTAS CORPORATION #087"</f>
        <v>CINTAS CORPORATION #087</v>
      </c>
    </row>
    <row r="2022" spans="1:9" x14ac:dyDescent="0.25">
      <c r="E2022" s="7"/>
      <c r="F2022" t="s">
        <v>20</v>
      </c>
      <c r="G2022" s="10" t="s">
        <v>21</v>
      </c>
      <c r="H2022" t="str">
        <f>"4075258105"</f>
        <v>4075258105</v>
      </c>
      <c r="I2022" t="str">
        <f t="shared" si="38"/>
        <v>CINTAS CORPORATION #087</v>
      </c>
    </row>
    <row r="2023" spans="1:9" x14ac:dyDescent="0.25">
      <c r="E2023" s="7"/>
      <c r="F2023" t="s">
        <v>20</v>
      </c>
      <c r="G2023" s="10" t="s">
        <v>21</v>
      </c>
      <c r="H2023" t="str">
        <f>"4075258128"</f>
        <v>4075258128</v>
      </c>
      <c r="I2023" t="str">
        <f t="shared" si="38"/>
        <v>CINTAS CORPORATION #087</v>
      </c>
    </row>
    <row r="2024" spans="1:9" x14ac:dyDescent="0.25">
      <c r="E2024" s="7"/>
      <c r="F2024" t="s">
        <v>20</v>
      </c>
      <c r="G2024" s="10" t="s">
        <v>21</v>
      </c>
      <c r="H2024" t="str">
        <f>"4075258130"</f>
        <v>4075258130</v>
      </c>
      <c r="I2024" t="str">
        <f t="shared" si="38"/>
        <v>CINTAS CORPORATION #087</v>
      </c>
    </row>
    <row r="2025" spans="1:9" x14ac:dyDescent="0.25">
      <c r="E2025" s="7"/>
      <c r="F2025" t="s">
        <v>20</v>
      </c>
      <c r="G2025" s="10" t="s">
        <v>21</v>
      </c>
      <c r="H2025" t="str">
        <f>"4075258139"</f>
        <v>4075258139</v>
      </c>
      <c r="I2025" t="str">
        <f t="shared" si="38"/>
        <v>CINTAS CORPORATION #087</v>
      </c>
    </row>
    <row r="2026" spans="1:9" x14ac:dyDescent="0.25">
      <c r="E2026" s="7"/>
      <c r="F2026" t="s">
        <v>20</v>
      </c>
      <c r="G2026" s="10" t="s">
        <v>21</v>
      </c>
      <c r="H2026" t="str">
        <f>"4075258150"</f>
        <v>4075258150</v>
      </c>
      <c r="I2026" t="str">
        <f t="shared" si="38"/>
        <v>CINTAS CORPORATION #087</v>
      </c>
    </row>
    <row r="2027" spans="1:9" x14ac:dyDescent="0.25">
      <c r="A2027" s="6">
        <v>44251</v>
      </c>
      <c r="B2027" t="s">
        <v>26</v>
      </c>
      <c r="C2027">
        <v>66145</v>
      </c>
      <c r="D2027" t="s">
        <v>75</v>
      </c>
      <c r="E2027" s="7">
        <v>189.95</v>
      </c>
      <c r="F2027" t="s">
        <v>20</v>
      </c>
      <c r="G2027" s="10" t="s">
        <v>21</v>
      </c>
      <c r="H2027" t="str">
        <f>"8184 2.23.2021"</f>
        <v>8184 2.23.2021</v>
      </c>
      <c r="I2027" t="str">
        <f>"WORK BOOTS"</f>
        <v>WORK BOOTS</v>
      </c>
    </row>
    <row r="2028" spans="1:9" x14ac:dyDescent="0.25">
      <c r="E2028" s="7"/>
      <c r="F2028" t="s">
        <v>20</v>
      </c>
      <c r="G2028" s="10" t="s">
        <v>21</v>
      </c>
      <c r="H2028" t="str">
        <f>"8184 2/23/2021"</f>
        <v>8184 2/23/2021</v>
      </c>
      <c r="I2028" t="str">
        <f>"SUPPLIES - EVENT CENTER"</f>
        <v>SUPPLIES - EVENT CENTER</v>
      </c>
    </row>
    <row r="2029" spans="1:9" x14ac:dyDescent="0.25">
      <c r="A2029" s="6">
        <v>44251</v>
      </c>
      <c r="B2029" t="s">
        <v>26</v>
      </c>
      <c r="C2029">
        <v>66146</v>
      </c>
      <c r="D2029" t="s">
        <v>81</v>
      </c>
      <c r="E2029" s="7">
        <v>235.42</v>
      </c>
      <c r="F2029" t="s">
        <v>20</v>
      </c>
      <c r="G2029" s="10" t="s">
        <v>21</v>
      </c>
      <c r="H2029" t="str">
        <f>"A.MONTOYA 2/24/21"</f>
        <v>A.MONTOYA 2/24/21</v>
      </c>
      <c r="I2029" t="str">
        <f>"CITY OF FLORESVILLE -PETTY CAS"</f>
        <v>CITY OF FLORESVILLE -PETTY CAS</v>
      </c>
    </row>
    <row r="2030" spans="1:9" x14ac:dyDescent="0.25">
      <c r="A2030" s="6">
        <v>44251</v>
      </c>
      <c r="B2030" t="s">
        <v>26</v>
      </c>
      <c r="C2030">
        <v>66148</v>
      </c>
      <c r="D2030" t="s">
        <v>85</v>
      </c>
      <c r="E2030" s="7">
        <v>322.55</v>
      </c>
      <c r="F2030" t="s">
        <v>20</v>
      </c>
      <c r="G2030" s="10" t="s">
        <v>21</v>
      </c>
      <c r="H2030" t="str">
        <f>"2162733 FEB.2021"</f>
        <v>2162733 FEB.2021</v>
      </c>
      <c r="I2030" t="str">
        <f>"FRONTIER"</f>
        <v>FRONTIER</v>
      </c>
    </row>
    <row r="2031" spans="1:9" x14ac:dyDescent="0.25">
      <c r="E2031" s="7"/>
      <c r="F2031" t="s">
        <v>20</v>
      </c>
      <c r="G2031" s="10" t="s">
        <v>21</v>
      </c>
      <c r="H2031" t="str">
        <f>"2162755 FEB.2021"</f>
        <v>2162755 FEB.2021</v>
      </c>
      <c r="I2031" t="str">
        <f>"FRONTIER"</f>
        <v>FRONTIER</v>
      </c>
    </row>
    <row r="2032" spans="1:9" x14ac:dyDescent="0.25">
      <c r="E2032" s="7"/>
      <c r="F2032" t="s">
        <v>20</v>
      </c>
      <c r="G2032" s="10" t="s">
        <v>21</v>
      </c>
      <c r="H2032" t="str">
        <f>"3932804 FEB.2021"</f>
        <v>3932804 FEB.2021</v>
      </c>
      <c r="I2032" t="str">
        <f>"FRONTIER"</f>
        <v>FRONTIER</v>
      </c>
    </row>
    <row r="2033" spans="1:9" x14ac:dyDescent="0.25">
      <c r="E2033" s="7"/>
      <c r="F2033" t="s">
        <v>20</v>
      </c>
      <c r="G2033" s="10" t="s">
        <v>21</v>
      </c>
      <c r="H2033" t="str">
        <f>"3933193 FEB.2021"</f>
        <v>3933193 FEB.2021</v>
      </c>
      <c r="I2033" t="str">
        <f>"FRONTIER"</f>
        <v>FRONTIER</v>
      </c>
    </row>
    <row r="2034" spans="1:9" x14ac:dyDescent="0.25">
      <c r="E2034" s="7"/>
      <c r="F2034" t="s">
        <v>20</v>
      </c>
      <c r="G2034" s="10" t="s">
        <v>21</v>
      </c>
      <c r="H2034" t="str">
        <f>"3936794 FEB.2021"</f>
        <v>3936794 FEB.2021</v>
      </c>
      <c r="I2034" t="str">
        <f>"FRONTIER"</f>
        <v>FRONTIER</v>
      </c>
    </row>
    <row r="2035" spans="1:9" x14ac:dyDescent="0.25">
      <c r="A2035" s="6">
        <v>44251</v>
      </c>
      <c r="B2035" t="s">
        <v>26</v>
      </c>
      <c r="C2035">
        <v>66149</v>
      </c>
      <c r="D2035" t="s">
        <v>311</v>
      </c>
      <c r="E2035" s="7">
        <v>1480.74</v>
      </c>
      <c r="F2035" t="s">
        <v>20</v>
      </c>
      <c r="G2035" s="10" t="s">
        <v>21</v>
      </c>
      <c r="H2035" t="str">
        <f>"JANUARY 2021"</f>
        <v>JANUARY 2021</v>
      </c>
      <c r="I2035" t="s">
        <v>571</v>
      </c>
    </row>
    <row r="2036" spans="1:9" x14ac:dyDescent="0.25">
      <c r="A2036" s="6">
        <v>44251</v>
      </c>
      <c r="B2036" t="s">
        <v>26</v>
      </c>
      <c r="C2036">
        <v>66150</v>
      </c>
      <c r="D2036" t="s">
        <v>345</v>
      </c>
      <c r="E2036" s="7">
        <v>110</v>
      </c>
      <c r="F2036" t="s">
        <v>20</v>
      </c>
      <c r="G2036" s="10" t="s">
        <v>21</v>
      </c>
      <c r="H2036" t="str">
        <f>"2/22/2021"</f>
        <v>2/22/2021</v>
      </c>
      <c r="I2036" t="str">
        <f>"MICHAEL ISAAC MARTINEZ"</f>
        <v>MICHAEL ISAAC MARTINEZ</v>
      </c>
    </row>
    <row r="2037" spans="1:9" x14ac:dyDescent="0.25">
      <c r="A2037" s="6">
        <v>44251</v>
      </c>
      <c r="B2037" t="s">
        <v>26</v>
      </c>
      <c r="C2037">
        <v>66151</v>
      </c>
      <c r="D2037" t="s">
        <v>872</v>
      </c>
      <c r="E2037" s="7">
        <v>57.5</v>
      </c>
      <c r="F2037" t="s">
        <v>20</v>
      </c>
      <c r="G2037" s="10" t="s">
        <v>21</v>
      </c>
      <c r="H2037" t="str">
        <f>"2/21/2021"</f>
        <v>2/21/2021</v>
      </c>
      <c r="I2037" t="str">
        <f>"DEVIN BENAVIDES"</f>
        <v>DEVIN BENAVIDES</v>
      </c>
    </row>
    <row r="2038" spans="1:9" x14ac:dyDescent="0.25">
      <c r="A2038" s="6">
        <v>44251</v>
      </c>
      <c r="B2038" t="s">
        <v>26</v>
      </c>
      <c r="C2038">
        <v>66152</v>
      </c>
      <c r="D2038" t="s">
        <v>986</v>
      </c>
      <c r="E2038" s="7">
        <v>449.5</v>
      </c>
      <c r="F2038" t="s">
        <v>20</v>
      </c>
      <c r="G2038" s="10" t="s">
        <v>21</v>
      </c>
      <c r="H2038" t="str">
        <f>"2/10-2/19/2021"</f>
        <v>2/10-2/19/2021</v>
      </c>
      <c r="I2038" t="str">
        <f>"KERRY L. ESQUIVEL"</f>
        <v>KERRY L. ESQUIVEL</v>
      </c>
    </row>
    <row r="2039" spans="1:9" x14ac:dyDescent="0.25">
      <c r="A2039" s="6">
        <v>44251</v>
      </c>
      <c r="B2039" t="s">
        <v>26</v>
      </c>
      <c r="C2039">
        <v>66153</v>
      </c>
      <c r="D2039" t="s">
        <v>1028</v>
      </c>
      <c r="E2039" s="7">
        <v>80894.399999999994</v>
      </c>
      <c r="F2039" t="s">
        <v>20</v>
      </c>
      <c r="G2039" s="10" t="s">
        <v>21</v>
      </c>
      <c r="H2039" t="str">
        <f>"EDA GRANT 2/2021"</f>
        <v>EDA GRANT 2/2021</v>
      </c>
      <c r="I2039" t="str">
        <f>"FOURS-VILLE PM  LLC"</f>
        <v>FOURS-VILLE PM  LLC</v>
      </c>
    </row>
    <row r="2040" spans="1:9" x14ac:dyDescent="0.25">
      <c r="A2040" s="6">
        <v>44252</v>
      </c>
      <c r="B2040" t="s">
        <v>26</v>
      </c>
      <c r="C2040">
        <v>66154</v>
      </c>
      <c r="D2040" t="s">
        <v>103</v>
      </c>
      <c r="E2040" s="7">
        <v>97003.69</v>
      </c>
      <c r="F2040" t="s">
        <v>20</v>
      </c>
      <c r="G2040" s="10" t="s">
        <v>21</v>
      </c>
      <c r="H2040" t="str">
        <f>"SALES TAX 2/2021"</f>
        <v>SALES TAX 2/2021</v>
      </c>
      <c r="I2040" t="str">
        <f>"F. E. D. C."</f>
        <v>F. E. D. C.</v>
      </c>
    </row>
    <row r="2041" spans="1:9" x14ac:dyDescent="0.25">
      <c r="A2041" s="6">
        <v>44252</v>
      </c>
      <c r="B2041" t="s">
        <v>26</v>
      </c>
      <c r="C2041">
        <v>66155</v>
      </c>
      <c r="D2041" t="s">
        <v>169</v>
      </c>
      <c r="E2041" s="7">
        <v>17.55</v>
      </c>
      <c r="F2041" t="s">
        <v>20</v>
      </c>
      <c r="G2041" s="10" t="s">
        <v>21</v>
      </c>
      <c r="H2041" t="str">
        <f>"143995"</f>
        <v>143995</v>
      </c>
      <c r="I2041" t="str">
        <f>"THE POLICE AND SHERIFFS PRESS"</f>
        <v>THE POLICE AND SHERIFFS PRESS</v>
      </c>
    </row>
    <row r="2042" spans="1:9" x14ac:dyDescent="0.25">
      <c r="A2042" s="6">
        <v>44252</v>
      </c>
      <c r="B2042" t="s">
        <v>26</v>
      </c>
      <c r="C2042">
        <v>66156</v>
      </c>
      <c r="D2042" t="s">
        <v>495</v>
      </c>
      <c r="E2042" s="7">
        <v>20.149999999999999</v>
      </c>
      <c r="F2042" t="s">
        <v>20</v>
      </c>
      <c r="G2042" s="10" t="s">
        <v>21</v>
      </c>
      <c r="H2042" t="str">
        <f>"0479615-IN"</f>
        <v>0479615-IN</v>
      </c>
      <c r="I2042" t="str">
        <f>"SIRCHIE"</f>
        <v>SIRCHIE</v>
      </c>
    </row>
    <row r="2043" spans="1:9" x14ac:dyDescent="0.25">
      <c r="A2043" s="6">
        <v>44252</v>
      </c>
      <c r="B2043" t="s">
        <v>91</v>
      </c>
      <c r="C2043">
        <v>66157</v>
      </c>
      <c r="D2043" t="s">
        <v>83</v>
      </c>
      <c r="E2043" s="7">
        <v>2088</v>
      </c>
      <c r="F2043" t="s">
        <v>20</v>
      </c>
      <c r="G2043" s="10" t="s">
        <v>21</v>
      </c>
      <c r="H2043" t="str">
        <f>"1208928*"</f>
        <v>1208928*</v>
      </c>
      <c r="I2043" t="str">
        <f>"APPRIVER"</f>
        <v>APPRIVER</v>
      </c>
    </row>
    <row r="2044" spans="1:9" x14ac:dyDescent="0.25">
      <c r="E2044" s="7"/>
      <c r="F2044" t="s">
        <v>20</v>
      </c>
      <c r="G2044" s="10" t="s">
        <v>21</v>
      </c>
      <c r="H2044" t="str">
        <f>"1208928*REISSUE"</f>
        <v>1208928*REISSUE</v>
      </c>
      <c r="I2044" t="str">
        <f>"APPRIVER"</f>
        <v>APPRIVER</v>
      </c>
    </row>
    <row r="2045" spans="1:9" x14ac:dyDescent="0.25">
      <c r="A2045" s="6">
        <v>44252</v>
      </c>
      <c r="B2045" t="s">
        <v>91</v>
      </c>
      <c r="C2045">
        <v>66157</v>
      </c>
      <c r="D2045" t="s">
        <v>83</v>
      </c>
      <c r="E2045" s="7">
        <v>2088</v>
      </c>
      <c r="F2045" t="s">
        <v>20</v>
      </c>
      <c r="G2045" s="10" t="s">
        <v>93</v>
      </c>
      <c r="H2045" t="str">
        <f>"CHECK"</f>
        <v>CHECK</v>
      </c>
      <c r="I2045" t="str">
        <f>""</f>
        <v/>
      </c>
    </row>
    <row r="2046" spans="1:9" x14ac:dyDescent="0.25">
      <c r="A2046" s="6">
        <v>44252</v>
      </c>
      <c r="B2046" t="s">
        <v>26</v>
      </c>
      <c r="C2046">
        <v>66158</v>
      </c>
      <c r="D2046" t="s">
        <v>85</v>
      </c>
      <c r="E2046" s="7">
        <v>2536.4</v>
      </c>
      <c r="F2046" t="s">
        <v>20</v>
      </c>
      <c r="G2046" s="10" t="s">
        <v>21</v>
      </c>
      <c r="H2046" t="str">
        <f>"3934055 FEB.2021"</f>
        <v>3934055 FEB.2021</v>
      </c>
      <c r="I2046" t="str">
        <f>"FRONTIER"</f>
        <v>FRONTIER</v>
      </c>
    </row>
    <row r="2047" spans="1:9" x14ac:dyDescent="0.25">
      <c r="E2047" s="7"/>
      <c r="F2047" t="s">
        <v>20</v>
      </c>
      <c r="G2047" s="10" t="s">
        <v>21</v>
      </c>
      <c r="H2047" t="str">
        <f>"8301970025 2/2021"</f>
        <v>8301970025 2/2021</v>
      </c>
      <c r="I2047" t="str">
        <f>"FRONTIER"</f>
        <v>FRONTIER</v>
      </c>
    </row>
    <row r="2048" spans="1:9" x14ac:dyDescent="0.25">
      <c r="A2048" s="6">
        <v>44252</v>
      </c>
      <c r="B2048" t="s">
        <v>26</v>
      </c>
      <c r="C2048">
        <v>66159</v>
      </c>
      <c r="D2048" t="s">
        <v>194</v>
      </c>
      <c r="E2048" s="7">
        <v>130</v>
      </c>
      <c r="F2048" t="s">
        <v>20</v>
      </c>
      <c r="G2048" s="10" t="s">
        <v>21</v>
      </c>
      <c r="H2048" t="str">
        <f>"017591972"</f>
        <v>017591972</v>
      </c>
      <c r="I2048" t="str">
        <f>"REMAINING UNIFORM BALANCE"</f>
        <v>REMAINING UNIFORM BALANCE</v>
      </c>
    </row>
    <row r="2049" spans="1:9" x14ac:dyDescent="0.25">
      <c r="A2049" s="6">
        <v>44252</v>
      </c>
      <c r="B2049" t="s">
        <v>26</v>
      </c>
      <c r="C2049">
        <v>66160</v>
      </c>
      <c r="D2049" t="s">
        <v>288</v>
      </c>
      <c r="E2049" s="7">
        <v>1926</v>
      </c>
      <c r="F2049" t="s">
        <v>20</v>
      </c>
      <c r="G2049" s="10" t="s">
        <v>21</v>
      </c>
      <c r="H2049" t="str">
        <f>"SI-1669289"</f>
        <v>SI-1669289</v>
      </c>
      <c r="I2049" t="str">
        <f>"AXON ENTERPRISES INC"</f>
        <v>AXON ENTERPRISES INC</v>
      </c>
    </row>
    <row r="2050" spans="1:9" x14ac:dyDescent="0.25">
      <c r="E2050" s="7"/>
      <c r="F2050" t="s">
        <v>20</v>
      </c>
      <c r="G2050" s="10" t="s">
        <v>21</v>
      </c>
      <c r="H2050" t="str">
        <f>"SI-1672580"</f>
        <v>SI-1672580</v>
      </c>
      <c r="I2050" t="str">
        <f>"AXON ENTERPRISES INC"</f>
        <v>AXON ENTERPRISES INC</v>
      </c>
    </row>
    <row r="2051" spans="1:9" x14ac:dyDescent="0.25">
      <c r="A2051" s="6">
        <v>44252</v>
      </c>
      <c r="B2051" t="s">
        <v>26</v>
      </c>
      <c r="C2051">
        <v>66161</v>
      </c>
      <c r="D2051" t="s">
        <v>346</v>
      </c>
      <c r="E2051" s="7">
        <v>13750</v>
      </c>
      <c r="F2051" t="s">
        <v>20</v>
      </c>
      <c r="G2051" s="10" t="s">
        <v>21</v>
      </c>
      <c r="H2051" t="str">
        <f>"1/11-2/11/2021"</f>
        <v>1/11-2/11/2021</v>
      </c>
      <c r="I2051" t="str">
        <f>"SYLVIA RODRIGUEZ"</f>
        <v>SYLVIA RODRIGUEZ</v>
      </c>
    </row>
    <row r="2052" spans="1:9" x14ac:dyDescent="0.25">
      <c r="A2052" s="6">
        <v>44252</v>
      </c>
      <c r="B2052" t="s">
        <v>26</v>
      </c>
      <c r="C2052">
        <v>66162</v>
      </c>
      <c r="D2052" t="s">
        <v>739</v>
      </c>
      <c r="E2052" s="7">
        <v>1531.39</v>
      </c>
      <c r="F2052" t="s">
        <v>20</v>
      </c>
      <c r="G2052" s="10" t="s">
        <v>21</v>
      </c>
      <c r="H2052" t="str">
        <f>"5286X01272021"</f>
        <v>5286X01272021</v>
      </c>
      <c r="I2052" t="str">
        <f>"FIRSTNET/AT&amp;T MOBILITY LLC"</f>
        <v>FIRSTNET/AT&amp;T MOBILITY LLC</v>
      </c>
    </row>
    <row r="2053" spans="1:9" x14ac:dyDescent="0.25">
      <c r="A2053" s="6">
        <v>44252</v>
      </c>
      <c r="B2053" t="s">
        <v>26</v>
      </c>
      <c r="C2053">
        <v>66163</v>
      </c>
      <c r="D2053" t="s">
        <v>83</v>
      </c>
      <c r="E2053" s="7">
        <v>1044</v>
      </c>
      <c r="F2053" t="s">
        <v>20</v>
      </c>
      <c r="G2053" s="10" t="s">
        <v>21</v>
      </c>
      <c r="H2053" t="str">
        <f>"1208928*REISSUE*"</f>
        <v>1208928*REISSUE*</v>
      </c>
      <c r="I2053" t="str">
        <f>"APPRIVER"</f>
        <v>APPRIVER</v>
      </c>
    </row>
    <row r="2054" spans="1:9" x14ac:dyDescent="0.25">
      <c r="A2054" s="6">
        <v>44252</v>
      </c>
      <c r="B2054" t="s">
        <v>26</v>
      </c>
      <c r="C2054">
        <v>66164</v>
      </c>
      <c r="D2054" t="s">
        <v>698</v>
      </c>
      <c r="E2054" s="7">
        <v>30</v>
      </c>
      <c r="F2054" t="s">
        <v>20</v>
      </c>
      <c r="G2054" s="10" t="s">
        <v>21</v>
      </c>
      <c r="H2054" t="str">
        <f>"02/21/2021"</f>
        <v>02/21/2021</v>
      </c>
      <c r="I2054" t="str">
        <f>"TRACY ORTIZ"</f>
        <v>TRACY ORTIZ</v>
      </c>
    </row>
    <row r="2055" spans="1:9" x14ac:dyDescent="0.25">
      <c r="A2055" s="6">
        <v>44260</v>
      </c>
      <c r="B2055" t="s">
        <v>26</v>
      </c>
      <c r="C2055">
        <v>66165</v>
      </c>
      <c r="D2055" t="s">
        <v>970</v>
      </c>
      <c r="E2055" s="7">
        <v>60</v>
      </c>
      <c r="F2055" t="s">
        <v>20</v>
      </c>
      <c r="G2055" s="10" t="s">
        <v>21</v>
      </c>
      <c r="H2055" t="str">
        <f>"2/28/2021"</f>
        <v>2/28/2021</v>
      </c>
      <c r="I2055" t="str">
        <f>"ABBYGAIL DELGADO"</f>
        <v>ABBYGAIL DELGADO</v>
      </c>
    </row>
    <row r="2056" spans="1:9" x14ac:dyDescent="0.25">
      <c r="A2056" s="6">
        <v>44260</v>
      </c>
      <c r="B2056" t="s">
        <v>26</v>
      </c>
      <c r="C2056">
        <v>66166</v>
      </c>
      <c r="D2056" t="s">
        <v>1029</v>
      </c>
      <c r="E2056" s="7">
        <v>5833.34</v>
      </c>
      <c r="F2056" t="s">
        <v>20</v>
      </c>
      <c r="G2056" s="10" t="s">
        <v>21</v>
      </c>
      <c r="H2056" t="str">
        <f>"03/10/2021"</f>
        <v>03/10/2021</v>
      </c>
      <c r="I2056" t="str">
        <f>"ANDY JOSLIN"</f>
        <v>ANDY JOSLIN</v>
      </c>
    </row>
    <row r="2057" spans="1:9" x14ac:dyDescent="0.25">
      <c r="A2057" s="6">
        <v>44260</v>
      </c>
      <c r="B2057" t="s">
        <v>26</v>
      </c>
      <c r="C2057">
        <v>66167</v>
      </c>
      <c r="D2057" t="s">
        <v>83</v>
      </c>
      <c r="E2057" s="7">
        <v>1080</v>
      </c>
      <c r="F2057" t="s">
        <v>20</v>
      </c>
      <c r="G2057" s="10" t="s">
        <v>21</v>
      </c>
      <c r="H2057" t="str">
        <f>"1488543"</f>
        <v>1488543</v>
      </c>
      <c r="I2057" t="str">
        <f>"APPRIVER"</f>
        <v>APPRIVER</v>
      </c>
    </row>
    <row r="2058" spans="1:9" x14ac:dyDescent="0.25">
      <c r="A2058" s="6">
        <v>44260</v>
      </c>
      <c r="B2058" t="s">
        <v>26</v>
      </c>
      <c r="C2058">
        <v>66168</v>
      </c>
      <c r="D2058" t="s">
        <v>195</v>
      </c>
      <c r="E2058" s="7">
        <v>3925.7</v>
      </c>
      <c r="F2058" t="s">
        <v>20</v>
      </c>
      <c r="G2058" s="10" t="s">
        <v>21</v>
      </c>
      <c r="H2058" t="str">
        <f>"1565202102"</f>
        <v>1565202102</v>
      </c>
      <c r="I2058" t="str">
        <f>"ARISTA INFORMATION SYSTEMS  IN"</f>
        <v>ARISTA INFORMATION SYSTEMS  IN</v>
      </c>
    </row>
    <row r="2059" spans="1:9" x14ac:dyDescent="0.25">
      <c r="E2059" s="7"/>
      <c r="F2059" t="s">
        <v>20</v>
      </c>
      <c r="G2059" s="10" t="s">
        <v>21</v>
      </c>
      <c r="H2059" t="str">
        <f>"31310"</f>
        <v>31310</v>
      </c>
      <c r="I2059" t="str">
        <f>"ARISTA INFORMATION SYSTEMS  IN"</f>
        <v>ARISTA INFORMATION SYSTEMS  IN</v>
      </c>
    </row>
    <row r="2060" spans="1:9" x14ac:dyDescent="0.25">
      <c r="A2060" s="6">
        <v>44260</v>
      </c>
      <c r="B2060" t="s">
        <v>26</v>
      </c>
      <c r="C2060">
        <v>66170</v>
      </c>
      <c r="D2060" t="s">
        <v>115</v>
      </c>
      <c r="E2060" s="7">
        <v>273.58</v>
      </c>
      <c r="F2060" t="s">
        <v>20</v>
      </c>
      <c r="G2060" s="10" t="s">
        <v>21</v>
      </c>
      <c r="H2060" t="str">
        <f>"3547842979"</f>
        <v>3547842979</v>
      </c>
      <c r="I2060" t="str">
        <f>"DIESEL EXHAUST"</f>
        <v>DIESEL EXHAUST</v>
      </c>
    </row>
    <row r="2061" spans="1:9" x14ac:dyDescent="0.25">
      <c r="E2061" s="7"/>
      <c r="F2061" t="s">
        <v>20</v>
      </c>
      <c r="G2061" s="10" t="s">
        <v>21</v>
      </c>
      <c r="H2061" t="str">
        <f>"3547844116"</f>
        <v>3547844116</v>
      </c>
      <c r="I2061" t="str">
        <f>"ANTIFREEZE/SHOP"</f>
        <v>ANTIFREEZE/SHOP</v>
      </c>
    </row>
    <row r="2062" spans="1:9" x14ac:dyDescent="0.25">
      <c r="E2062" s="7"/>
      <c r="F2062" t="s">
        <v>20</v>
      </c>
      <c r="G2062" s="10" t="s">
        <v>21</v>
      </c>
      <c r="H2062" t="str">
        <f>"3547851373"</f>
        <v>3547851373</v>
      </c>
      <c r="I2062" t="str">
        <f>"BATTERY FOR PD VEHICLE"</f>
        <v>BATTERY FOR PD VEHICLE</v>
      </c>
    </row>
    <row r="2063" spans="1:9" x14ac:dyDescent="0.25">
      <c r="A2063" s="6">
        <v>44260</v>
      </c>
      <c r="B2063" t="s">
        <v>26</v>
      </c>
      <c r="C2063">
        <v>66171</v>
      </c>
      <c r="D2063" t="s">
        <v>836</v>
      </c>
      <c r="E2063" s="7">
        <v>5458</v>
      </c>
      <c r="F2063" t="s">
        <v>20</v>
      </c>
      <c r="G2063" s="10" t="s">
        <v>21</v>
      </c>
      <c r="H2063" t="str">
        <f>"72727"</f>
        <v>72727</v>
      </c>
      <c r="I2063" t="str">
        <f>"BARCOM TECHNOLOGY SOLUTIONS  I"</f>
        <v>BARCOM TECHNOLOGY SOLUTIONS  I</v>
      </c>
    </row>
    <row r="2064" spans="1:9" x14ac:dyDescent="0.25">
      <c r="E2064" s="7"/>
      <c r="F2064" t="s">
        <v>20</v>
      </c>
      <c r="G2064" s="10" t="s">
        <v>21</v>
      </c>
      <c r="H2064" t="str">
        <f>"72728"</f>
        <v>72728</v>
      </c>
      <c r="I2064" t="str">
        <f>"BARCOM TECHNOLOGY SOLUTIONS  I"</f>
        <v>BARCOM TECHNOLOGY SOLUTIONS  I</v>
      </c>
    </row>
    <row r="2065" spans="1:9" x14ac:dyDescent="0.25">
      <c r="A2065" s="6">
        <v>44260</v>
      </c>
      <c r="B2065" t="s">
        <v>26</v>
      </c>
      <c r="C2065">
        <v>66172</v>
      </c>
      <c r="D2065" t="s">
        <v>38</v>
      </c>
      <c r="E2065" s="7">
        <v>100</v>
      </c>
      <c r="F2065" t="s">
        <v>20</v>
      </c>
      <c r="G2065" s="10" t="s">
        <v>21</v>
      </c>
      <c r="H2065" t="str">
        <f>"MARCH 2021"</f>
        <v>MARCH 2021</v>
      </c>
      <c r="I2065" t="str">
        <f>"CECELIA GONZALEZ-DIPPEL"</f>
        <v>CECELIA GONZALEZ-DIPPEL</v>
      </c>
    </row>
    <row r="2066" spans="1:9" x14ac:dyDescent="0.25">
      <c r="A2066" s="6">
        <v>44260</v>
      </c>
      <c r="B2066" t="s">
        <v>26</v>
      </c>
      <c r="C2066">
        <v>66173</v>
      </c>
      <c r="D2066" t="s">
        <v>63</v>
      </c>
      <c r="E2066" s="7">
        <v>1553.31</v>
      </c>
      <c r="F2066" t="s">
        <v>20</v>
      </c>
      <c r="G2066" s="10" t="s">
        <v>21</v>
      </c>
      <c r="H2066" t="str">
        <f>"8405005069"</f>
        <v>8405005069</v>
      </c>
      <c r="I2066" t="str">
        <f>"CINTAS CORPORATION"</f>
        <v>CINTAS CORPORATION</v>
      </c>
    </row>
    <row r="2067" spans="1:9" x14ac:dyDescent="0.25">
      <c r="E2067" s="7"/>
      <c r="F2067" t="s">
        <v>20</v>
      </c>
      <c r="G2067" s="10" t="s">
        <v>21</v>
      </c>
      <c r="H2067" t="str">
        <f>"8405019230"</f>
        <v>8405019230</v>
      </c>
      <c r="I2067" t="str">
        <f>"CINTAS CORPORATION"</f>
        <v>CINTAS CORPORATION</v>
      </c>
    </row>
    <row r="2068" spans="1:9" x14ac:dyDescent="0.25">
      <c r="A2068" s="6">
        <v>44260</v>
      </c>
      <c r="B2068" t="s">
        <v>26</v>
      </c>
      <c r="C2068">
        <v>66174</v>
      </c>
      <c r="D2068" t="s">
        <v>71</v>
      </c>
      <c r="E2068" s="7">
        <v>1505.76</v>
      </c>
      <c r="F2068" t="s">
        <v>20</v>
      </c>
      <c r="G2068" s="10" t="s">
        <v>21</v>
      </c>
      <c r="H2068" t="str">
        <f>"4075864919"</f>
        <v>4075864919</v>
      </c>
      <c r="I2068" t="str">
        <f t="shared" ref="I2068:I2077" si="39">"CINTAS CORPORATION #087"</f>
        <v>CINTAS CORPORATION #087</v>
      </c>
    </row>
    <row r="2069" spans="1:9" x14ac:dyDescent="0.25">
      <c r="E2069" s="7"/>
      <c r="F2069" t="s">
        <v>20</v>
      </c>
      <c r="G2069" s="10" t="s">
        <v>21</v>
      </c>
      <c r="H2069" t="str">
        <f>"4075864948"</f>
        <v>4075864948</v>
      </c>
      <c r="I2069" t="str">
        <f t="shared" si="39"/>
        <v>CINTAS CORPORATION #087</v>
      </c>
    </row>
    <row r="2070" spans="1:9" x14ac:dyDescent="0.25">
      <c r="E2070" s="7"/>
      <c r="F2070" t="s">
        <v>20</v>
      </c>
      <c r="G2070" s="10" t="s">
        <v>21</v>
      </c>
      <c r="H2070" t="str">
        <f>"4075865084"</f>
        <v>4075865084</v>
      </c>
      <c r="I2070" t="str">
        <f t="shared" si="39"/>
        <v>CINTAS CORPORATION #087</v>
      </c>
    </row>
    <row r="2071" spans="1:9" x14ac:dyDescent="0.25">
      <c r="E2071" s="7"/>
      <c r="F2071" t="s">
        <v>20</v>
      </c>
      <c r="G2071" s="10" t="s">
        <v>21</v>
      </c>
      <c r="H2071" t="str">
        <f>"4076733031"</f>
        <v>4076733031</v>
      </c>
      <c r="I2071" t="str">
        <f t="shared" si="39"/>
        <v>CINTAS CORPORATION #087</v>
      </c>
    </row>
    <row r="2072" spans="1:9" x14ac:dyDescent="0.25">
      <c r="E2072" s="7"/>
      <c r="F2072" t="s">
        <v>20</v>
      </c>
      <c r="G2072" s="10" t="s">
        <v>21</v>
      </c>
      <c r="H2072" t="str">
        <f>"4076733087"</f>
        <v>4076733087</v>
      </c>
      <c r="I2072" t="str">
        <f t="shared" si="39"/>
        <v>CINTAS CORPORATION #087</v>
      </c>
    </row>
    <row r="2073" spans="1:9" x14ac:dyDescent="0.25">
      <c r="E2073" s="7"/>
      <c r="F2073" t="s">
        <v>20</v>
      </c>
      <c r="G2073" s="10" t="s">
        <v>21</v>
      </c>
      <c r="H2073" t="str">
        <f>"4076733134"</f>
        <v>4076733134</v>
      </c>
      <c r="I2073" t="str">
        <f t="shared" si="39"/>
        <v>CINTAS CORPORATION #087</v>
      </c>
    </row>
    <row r="2074" spans="1:9" x14ac:dyDescent="0.25">
      <c r="E2074" s="7"/>
      <c r="F2074" t="s">
        <v>20</v>
      </c>
      <c r="G2074" s="10" t="s">
        <v>21</v>
      </c>
      <c r="H2074" t="str">
        <f>"4076733135"</f>
        <v>4076733135</v>
      </c>
      <c r="I2074" t="str">
        <f t="shared" si="39"/>
        <v>CINTAS CORPORATION #087</v>
      </c>
    </row>
    <row r="2075" spans="1:9" x14ac:dyDescent="0.25">
      <c r="E2075" s="7"/>
      <c r="F2075" t="s">
        <v>20</v>
      </c>
      <c r="G2075" s="10" t="s">
        <v>21</v>
      </c>
      <c r="H2075" t="str">
        <f>"4076733172"</f>
        <v>4076733172</v>
      </c>
      <c r="I2075" t="str">
        <f t="shared" si="39"/>
        <v>CINTAS CORPORATION #087</v>
      </c>
    </row>
    <row r="2076" spans="1:9" x14ac:dyDescent="0.25">
      <c r="E2076" s="7"/>
      <c r="F2076" t="s">
        <v>20</v>
      </c>
      <c r="G2076" s="10" t="s">
        <v>21</v>
      </c>
      <c r="H2076" t="str">
        <f>"4076733173"</f>
        <v>4076733173</v>
      </c>
      <c r="I2076" t="str">
        <f t="shared" si="39"/>
        <v>CINTAS CORPORATION #087</v>
      </c>
    </row>
    <row r="2077" spans="1:9" x14ac:dyDescent="0.25">
      <c r="E2077" s="7"/>
      <c r="F2077" t="s">
        <v>20</v>
      </c>
      <c r="G2077" s="10" t="s">
        <v>21</v>
      </c>
      <c r="H2077" t="str">
        <f>"4076734817"</f>
        <v>4076734817</v>
      </c>
      <c r="I2077" t="str">
        <f t="shared" si="39"/>
        <v>CINTAS CORPORATION #087</v>
      </c>
    </row>
    <row r="2078" spans="1:9" x14ac:dyDescent="0.25">
      <c r="A2078" s="6">
        <v>44260</v>
      </c>
      <c r="B2078" t="s">
        <v>26</v>
      </c>
      <c r="C2078">
        <v>66176</v>
      </c>
      <c r="D2078" t="s">
        <v>884</v>
      </c>
      <c r="E2078" s="7">
        <v>111</v>
      </c>
      <c r="F2078" t="s">
        <v>20</v>
      </c>
      <c r="G2078" s="10" t="s">
        <v>21</v>
      </c>
      <c r="H2078" t="str">
        <f>"REIMBSTMT WW OP"</f>
        <v>REIMBSTMT WW OP</v>
      </c>
      <c r="I2078" t="str">
        <f>"DAVID PAINTER"</f>
        <v>DAVID PAINTER</v>
      </c>
    </row>
    <row r="2079" spans="1:9" x14ac:dyDescent="0.25">
      <c r="A2079" s="6">
        <v>44260</v>
      </c>
      <c r="B2079" t="s">
        <v>26</v>
      </c>
      <c r="C2079">
        <v>66177</v>
      </c>
      <c r="D2079" t="s">
        <v>77</v>
      </c>
      <c r="E2079" s="7">
        <v>1242.53</v>
      </c>
      <c r="F2079" t="s">
        <v>20</v>
      </c>
      <c r="G2079" s="10" t="s">
        <v>21</v>
      </c>
      <c r="H2079" t="str">
        <f>"857000292-21"</f>
        <v>857000292-21</v>
      </c>
      <c r="I2079" t="str">
        <f>"CHLORINE -HOSPITAL WELL"</f>
        <v>CHLORINE -HOSPITAL WELL</v>
      </c>
    </row>
    <row r="2080" spans="1:9" x14ac:dyDescent="0.25">
      <c r="E2080" s="7"/>
      <c r="F2080" t="s">
        <v>20</v>
      </c>
      <c r="G2080" s="10" t="s">
        <v>21</v>
      </c>
      <c r="H2080" t="str">
        <f>"857000293-21"</f>
        <v>857000293-21</v>
      </c>
      <c r="I2080" t="str">
        <f>"CHLORINE FOR WWTP"</f>
        <v>CHLORINE FOR WWTP</v>
      </c>
    </row>
    <row r="2081" spans="1:9" x14ac:dyDescent="0.25">
      <c r="E2081" s="7"/>
      <c r="F2081" t="s">
        <v>20</v>
      </c>
      <c r="G2081" s="10" t="s">
        <v>21</v>
      </c>
      <c r="H2081" t="str">
        <f>"857000294-21"</f>
        <v>857000294-21</v>
      </c>
      <c r="I2081" t="str">
        <f>"CHLORINE - B STREET"</f>
        <v>CHLORINE - B STREET</v>
      </c>
    </row>
    <row r="2082" spans="1:9" x14ac:dyDescent="0.25">
      <c r="A2082" s="6">
        <v>44260</v>
      </c>
      <c r="B2082" t="s">
        <v>26</v>
      </c>
      <c r="C2082">
        <v>66178</v>
      </c>
      <c r="D2082" t="s">
        <v>1011</v>
      </c>
      <c r="E2082" s="7">
        <v>75</v>
      </c>
      <c r="F2082" t="s">
        <v>20</v>
      </c>
      <c r="G2082" s="10" t="s">
        <v>21</v>
      </c>
      <c r="H2082" t="str">
        <f>"MARCH 2021"</f>
        <v>MARCH 2021</v>
      </c>
      <c r="I2082" t="str">
        <f>"EDUARDO VILLARREAL"</f>
        <v>EDUARDO VILLARREAL</v>
      </c>
    </row>
    <row r="2083" spans="1:9" x14ac:dyDescent="0.25">
      <c r="A2083" s="6">
        <v>44260</v>
      </c>
      <c r="B2083" t="s">
        <v>26</v>
      </c>
      <c r="C2083">
        <v>66179</v>
      </c>
      <c r="D2083" t="s">
        <v>59</v>
      </c>
      <c r="E2083" s="7">
        <v>396.67</v>
      </c>
      <c r="F2083" t="s">
        <v>20</v>
      </c>
      <c r="G2083" s="10" t="s">
        <v>21</v>
      </c>
      <c r="H2083" t="str">
        <f>"1101657"</f>
        <v>1101657</v>
      </c>
      <c r="I2083" t="str">
        <f>"WWTP STOCK"</f>
        <v>WWTP STOCK</v>
      </c>
    </row>
    <row r="2084" spans="1:9" x14ac:dyDescent="0.25">
      <c r="E2084" s="7"/>
      <c r="F2084" t="s">
        <v>20</v>
      </c>
      <c r="G2084" s="10" t="s">
        <v>21</v>
      </c>
      <c r="H2084" t="str">
        <f>"1101660-1"</f>
        <v>1101660-1</v>
      </c>
      <c r="I2084" t="str">
        <f>"WWTP STOCK"</f>
        <v>WWTP STOCK</v>
      </c>
    </row>
    <row r="2085" spans="1:9" x14ac:dyDescent="0.25">
      <c r="E2085" s="7"/>
      <c r="F2085" t="s">
        <v>20</v>
      </c>
      <c r="G2085" s="10" t="s">
        <v>21</v>
      </c>
      <c r="H2085" t="str">
        <f>"1103717"</f>
        <v>1103717</v>
      </c>
      <c r="I2085" t="str">
        <f>"WORK ORDERS FOR WATER"</f>
        <v>WORK ORDERS FOR WATER</v>
      </c>
    </row>
    <row r="2086" spans="1:9" x14ac:dyDescent="0.25">
      <c r="A2086" s="6">
        <v>44260</v>
      </c>
      <c r="B2086" t="s">
        <v>26</v>
      </c>
      <c r="C2086">
        <v>66180</v>
      </c>
      <c r="D2086" t="s">
        <v>85</v>
      </c>
      <c r="E2086" s="7">
        <v>956.26</v>
      </c>
      <c r="F2086" t="s">
        <v>20</v>
      </c>
      <c r="G2086" s="10" t="s">
        <v>21</v>
      </c>
      <c r="H2086" t="str">
        <f>"3932056 FEB.2021"</f>
        <v>3932056 FEB.2021</v>
      </c>
      <c r="I2086" t="str">
        <f>"FRONTIER"</f>
        <v>FRONTIER</v>
      </c>
    </row>
    <row r="2087" spans="1:9" x14ac:dyDescent="0.25">
      <c r="E2087" s="7"/>
      <c r="F2087" t="s">
        <v>20</v>
      </c>
      <c r="G2087" s="10" t="s">
        <v>21</v>
      </c>
      <c r="H2087" t="str">
        <f>"3933105  FEB.2021"</f>
        <v>3933105  FEB.2021</v>
      </c>
      <c r="I2087" t="str">
        <f>"FRONTIER"</f>
        <v>FRONTIER</v>
      </c>
    </row>
    <row r="2088" spans="1:9" x14ac:dyDescent="0.25">
      <c r="E2088" s="7"/>
      <c r="F2088" t="s">
        <v>20</v>
      </c>
      <c r="G2088" s="10" t="s">
        <v>21</v>
      </c>
      <c r="H2088" t="str">
        <f>"3933186 FEB.2021"</f>
        <v>3933186 FEB.2021</v>
      </c>
      <c r="I2088" t="str">
        <f>"FRONTIER"</f>
        <v>FRONTIER</v>
      </c>
    </row>
    <row r="2089" spans="1:9" x14ac:dyDescent="0.25">
      <c r="E2089" s="7"/>
      <c r="F2089" t="s">
        <v>20</v>
      </c>
      <c r="G2089" s="10" t="s">
        <v>21</v>
      </c>
      <c r="H2089" t="str">
        <f>"3936616 FEB.2021"</f>
        <v>3936616 FEB.2021</v>
      </c>
      <c r="I2089" t="str">
        <f>"FRONTIER"</f>
        <v>FRONTIER</v>
      </c>
    </row>
    <row r="2090" spans="1:9" x14ac:dyDescent="0.25">
      <c r="E2090" s="7"/>
      <c r="F2090" t="s">
        <v>20</v>
      </c>
      <c r="G2090" s="10" t="s">
        <v>21</v>
      </c>
      <c r="H2090" t="str">
        <f>"3939456 FEB.2021"</f>
        <v>3939456 FEB.2021</v>
      </c>
      <c r="I2090" t="str">
        <f>"FRONTIER"</f>
        <v>FRONTIER</v>
      </c>
    </row>
    <row r="2091" spans="1:9" x14ac:dyDescent="0.25">
      <c r="A2091" s="6">
        <v>44260</v>
      </c>
      <c r="B2091" t="s">
        <v>26</v>
      </c>
      <c r="C2091">
        <v>66182</v>
      </c>
      <c r="D2091" t="s">
        <v>56</v>
      </c>
      <c r="E2091" s="7">
        <v>115</v>
      </c>
      <c r="F2091" t="s">
        <v>20</v>
      </c>
      <c r="G2091" s="10" t="s">
        <v>21</v>
      </c>
      <c r="H2091" t="str">
        <f>"190454"</f>
        <v>190454</v>
      </c>
      <c r="I2091" t="str">
        <f>"DOG FOOD"</f>
        <v>DOG FOOD</v>
      </c>
    </row>
    <row r="2092" spans="1:9" x14ac:dyDescent="0.25">
      <c r="E2092" s="7"/>
      <c r="F2092" t="s">
        <v>20</v>
      </c>
      <c r="G2092" s="10" t="s">
        <v>21</v>
      </c>
      <c r="H2092" t="str">
        <f>"190467"</f>
        <v>190467</v>
      </c>
      <c r="I2092" t="str">
        <f>"5 GAL CREDIT XTRA"</f>
        <v>5 GAL CREDIT XTRA</v>
      </c>
    </row>
    <row r="2093" spans="1:9" x14ac:dyDescent="0.25">
      <c r="A2093" s="6">
        <v>44260</v>
      </c>
      <c r="B2093" t="s">
        <v>26</v>
      </c>
      <c r="C2093">
        <v>66183</v>
      </c>
      <c r="D2093" t="s">
        <v>36</v>
      </c>
      <c r="E2093" s="7">
        <v>75</v>
      </c>
      <c r="F2093" t="s">
        <v>20</v>
      </c>
      <c r="G2093" s="10" t="s">
        <v>21</v>
      </c>
      <c r="H2093" t="str">
        <f>"MARCH 2021"</f>
        <v>MARCH 2021</v>
      </c>
      <c r="I2093" t="str">
        <f>"GLORIA M. CANTU"</f>
        <v>GLORIA M. CANTU</v>
      </c>
    </row>
    <row r="2094" spans="1:9" x14ac:dyDescent="0.25">
      <c r="A2094" s="6">
        <v>44260</v>
      </c>
      <c r="B2094" t="s">
        <v>26</v>
      </c>
      <c r="C2094">
        <v>66184</v>
      </c>
      <c r="D2094" t="s">
        <v>637</v>
      </c>
      <c r="E2094" s="7">
        <v>75</v>
      </c>
      <c r="F2094" t="s">
        <v>20</v>
      </c>
      <c r="G2094" s="10" t="s">
        <v>21</v>
      </c>
      <c r="H2094" t="str">
        <f>"MACH 2021"</f>
        <v>MACH 2021</v>
      </c>
      <c r="I2094" t="str">
        <f>"GLORIA MARTINEZ"</f>
        <v>GLORIA MARTINEZ</v>
      </c>
    </row>
    <row r="2095" spans="1:9" x14ac:dyDescent="0.25">
      <c r="A2095" s="6">
        <v>44260</v>
      </c>
      <c r="B2095" t="s">
        <v>26</v>
      </c>
      <c r="C2095">
        <v>66185</v>
      </c>
      <c r="D2095" t="s">
        <v>398</v>
      </c>
      <c r="E2095" s="7">
        <v>56.5</v>
      </c>
      <c r="F2095" t="s">
        <v>20</v>
      </c>
      <c r="G2095" s="10" t="s">
        <v>21</v>
      </c>
      <c r="H2095" t="str">
        <f>"20210302"</f>
        <v>20210302</v>
      </c>
      <c r="I2095" t="str">
        <f>"INTERCEPTOR TECHNOLOGY GROUP L"</f>
        <v>INTERCEPTOR TECHNOLOGY GROUP L</v>
      </c>
    </row>
    <row r="2096" spans="1:9" x14ac:dyDescent="0.25">
      <c r="A2096" s="6">
        <v>44260</v>
      </c>
      <c r="B2096" t="s">
        <v>26</v>
      </c>
      <c r="C2096">
        <v>66186</v>
      </c>
      <c r="D2096" t="s">
        <v>889</v>
      </c>
      <c r="E2096" s="7">
        <v>75</v>
      </c>
      <c r="F2096" t="s">
        <v>20</v>
      </c>
      <c r="G2096" s="10" t="s">
        <v>21</v>
      </c>
      <c r="H2096" t="str">
        <f>"MARCH 2021"</f>
        <v>MARCH 2021</v>
      </c>
      <c r="I2096" t="str">
        <f>"JADE JIMENEZ"</f>
        <v>JADE JIMENEZ</v>
      </c>
    </row>
    <row r="2097" spans="1:9" x14ac:dyDescent="0.25">
      <c r="A2097" s="6">
        <v>44260</v>
      </c>
      <c r="B2097" t="s">
        <v>26</v>
      </c>
      <c r="C2097">
        <v>66187</v>
      </c>
      <c r="D2097" t="s">
        <v>646</v>
      </c>
      <c r="E2097" s="7">
        <v>10850</v>
      </c>
      <c r="F2097" t="s">
        <v>20</v>
      </c>
      <c r="G2097" s="10" t="s">
        <v>21</v>
      </c>
      <c r="H2097" t="str">
        <f>"0121826-1"</f>
        <v>0121826-1</v>
      </c>
      <c r="I2097" t="str">
        <f>"ASPHALT ALLEY PROJECT"</f>
        <v>ASPHALT ALLEY PROJECT</v>
      </c>
    </row>
    <row r="2098" spans="1:9" x14ac:dyDescent="0.25">
      <c r="A2098" s="6">
        <v>44260</v>
      </c>
      <c r="B2098" t="s">
        <v>26</v>
      </c>
      <c r="C2098">
        <v>66188</v>
      </c>
      <c r="D2098" t="s">
        <v>471</v>
      </c>
      <c r="E2098" s="7">
        <v>3715.11</v>
      </c>
      <c r="F2098" t="s">
        <v>20</v>
      </c>
      <c r="G2098" s="10" t="s">
        <v>21</v>
      </c>
      <c r="H2098" t="str">
        <f>"0625"</f>
        <v>0625</v>
      </c>
      <c r="I2098" t="str">
        <f>"2016 FORD EXPLORER PD"</f>
        <v>2016 FORD EXPLORER PD</v>
      </c>
    </row>
    <row r="2099" spans="1:9" x14ac:dyDescent="0.25">
      <c r="A2099" s="6">
        <v>44260</v>
      </c>
      <c r="B2099" t="s">
        <v>26</v>
      </c>
      <c r="C2099">
        <v>66189</v>
      </c>
      <c r="D2099" t="s">
        <v>107</v>
      </c>
      <c r="E2099" s="7">
        <v>49.04</v>
      </c>
      <c r="F2099" t="s">
        <v>20</v>
      </c>
      <c r="G2099" s="10" t="s">
        <v>21</v>
      </c>
      <c r="H2099" t="str">
        <f>"1166960-20210131"</f>
        <v>1166960-20210131</v>
      </c>
      <c r="I2099" t="str">
        <f>"LEXISNEXIS RISK SOLUTIONS"</f>
        <v>LEXISNEXIS RISK SOLUTIONS</v>
      </c>
    </row>
    <row r="2100" spans="1:9" x14ac:dyDescent="0.25">
      <c r="A2100" s="6">
        <v>44260</v>
      </c>
      <c r="B2100" t="s">
        <v>26</v>
      </c>
      <c r="C2100">
        <v>66190</v>
      </c>
      <c r="D2100" t="s">
        <v>66</v>
      </c>
      <c r="E2100" s="7">
        <v>50</v>
      </c>
      <c r="F2100" t="s">
        <v>20</v>
      </c>
      <c r="G2100" s="10" t="s">
        <v>21</v>
      </c>
      <c r="H2100" t="str">
        <f>"59947"</f>
        <v>59947</v>
      </c>
      <c r="I2100" t="str">
        <f>"LOPEZ EXTERMINATING SERVICE  I"</f>
        <v>LOPEZ EXTERMINATING SERVICE  I</v>
      </c>
    </row>
    <row r="2101" spans="1:9" x14ac:dyDescent="0.25">
      <c r="A2101" s="6">
        <v>44260</v>
      </c>
      <c r="B2101" t="s">
        <v>26</v>
      </c>
      <c r="C2101">
        <v>66191</v>
      </c>
      <c r="D2101" t="s">
        <v>80</v>
      </c>
      <c r="E2101" s="7">
        <v>1500</v>
      </c>
      <c r="F2101" t="s">
        <v>20</v>
      </c>
      <c r="G2101" s="10" t="s">
        <v>21</v>
      </c>
      <c r="H2101" t="str">
        <f>"1648-2021301-1"</f>
        <v>1648-2021301-1</v>
      </c>
      <c r="I2101" t="str">
        <f>"LVWIFI.COM"</f>
        <v>LVWIFI.COM</v>
      </c>
    </row>
    <row r="2102" spans="1:9" x14ac:dyDescent="0.25">
      <c r="E2102" s="7"/>
      <c r="F2102" t="s">
        <v>20</v>
      </c>
      <c r="G2102" s="10" t="s">
        <v>21</v>
      </c>
      <c r="H2102" t="str">
        <f>"2313-20210301-1"</f>
        <v>2313-20210301-1</v>
      </c>
      <c r="I2102" t="str">
        <f>"LVWIFI.COM"</f>
        <v>LVWIFI.COM</v>
      </c>
    </row>
    <row r="2103" spans="1:9" x14ac:dyDescent="0.25">
      <c r="A2103" s="6">
        <v>44260</v>
      </c>
      <c r="B2103" t="s">
        <v>26</v>
      </c>
      <c r="C2103">
        <v>66192</v>
      </c>
      <c r="D2103" t="s">
        <v>558</v>
      </c>
      <c r="E2103" s="7">
        <v>75</v>
      </c>
      <c r="F2103" t="s">
        <v>20</v>
      </c>
      <c r="G2103" s="10" t="s">
        <v>21</v>
      </c>
      <c r="H2103" t="str">
        <f>"MARCH  2021"</f>
        <v>MARCH  2021</v>
      </c>
      <c r="I2103" t="str">
        <f>"MARISSA XIMENEZ"</f>
        <v>MARISSA XIMENEZ</v>
      </c>
    </row>
    <row r="2104" spans="1:9" x14ac:dyDescent="0.25">
      <c r="A2104" s="6">
        <v>44260</v>
      </c>
      <c r="B2104" t="s">
        <v>26</v>
      </c>
      <c r="C2104">
        <v>66193</v>
      </c>
      <c r="D2104" t="s">
        <v>124</v>
      </c>
      <c r="E2104" s="7">
        <v>35.090000000000003</v>
      </c>
      <c r="F2104" t="s">
        <v>20</v>
      </c>
      <c r="G2104" s="10" t="s">
        <v>21</v>
      </c>
      <c r="H2104" t="str">
        <f>"111006233"</f>
        <v>111006233</v>
      </c>
      <c r="I2104" t="str">
        <f>"MCCOY'S CORPORATION"</f>
        <v>MCCOY'S CORPORATION</v>
      </c>
    </row>
    <row r="2105" spans="1:9" x14ac:dyDescent="0.25">
      <c r="A2105" s="6">
        <v>44260</v>
      </c>
      <c r="B2105" t="s">
        <v>26</v>
      </c>
      <c r="C2105">
        <v>66194</v>
      </c>
      <c r="D2105" t="s">
        <v>345</v>
      </c>
      <c r="E2105" s="7">
        <v>341</v>
      </c>
      <c r="F2105" t="s">
        <v>20</v>
      </c>
      <c r="G2105" s="10" t="s">
        <v>21</v>
      </c>
      <c r="H2105" t="str">
        <f>"3/1/2021"</f>
        <v>3/1/2021</v>
      </c>
      <c r="I2105" t="str">
        <f>"MICHAEL ISAAC MARTINEZ"</f>
        <v>MICHAEL ISAAC MARTINEZ</v>
      </c>
    </row>
    <row r="2106" spans="1:9" x14ac:dyDescent="0.25">
      <c r="A2106" s="6">
        <v>44260</v>
      </c>
      <c r="B2106" t="s">
        <v>26</v>
      </c>
      <c r="C2106">
        <v>66195</v>
      </c>
      <c r="D2106" t="s">
        <v>689</v>
      </c>
      <c r="E2106" s="7">
        <v>1250</v>
      </c>
      <c r="F2106" t="s">
        <v>20</v>
      </c>
      <c r="G2106" s="10" t="s">
        <v>21</v>
      </c>
      <c r="H2106" t="str">
        <f>"3472"</f>
        <v>3472</v>
      </c>
      <c r="I2106" t="str">
        <f>"MOY'S WATER WELL DRILLING &amp; SE"</f>
        <v>MOY'S WATER WELL DRILLING &amp; SE</v>
      </c>
    </row>
    <row r="2107" spans="1:9" x14ac:dyDescent="0.25">
      <c r="A2107" s="6">
        <v>44260</v>
      </c>
      <c r="B2107" t="s">
        <v>26</v>
      </c>
      <c r="C2107">
        <v>66196</v>
      </c>
      <c r="D2107" t="s">
        <v>240</v>
      </c>
      <c r="E2107" s="7">
        <v>721.78</v>
      </c>
      <c r="F2107" t="s">
        <v>20</v>
      </c>
      <c r="G2107" s="10" t="s">
        <v>21</v>
      </c>
      <c r="H2107" t="str">
        <f>"0204392-IN"</f>
        <v>0204392-IN</v>
      </c>
      <c r="I2107" t="str">
        <f>"R.CASTILLAS UNIFORM ALLOW"</f>
        <v>R.CASTILLAS UNIFORM ALLOW</v>
      </c>
    </row>
    <row r="2108" spans="1:9" x14ac:dyDescent="0.25">
      <c r="A2108" s="6">
        <v>44260</v>
      </c>
      <c r="B2108" t="s">
        <v>26</v>
      </c>
      <c r="C2108">
        <v>66197</v>
      </c>
      <c r="D2108" t="s">
        <v>340</v>
      </c>
      <c r="E2108" s="7">
        <v>103.27</v>
      </c>
      <c r="F2108" t="s">
        <v>20</v>
      </c>
      <c r="G2108" s="10" t="s">
        <v>21</v>
      </c>
      <c r="H2108" t="str">
        <f>"1810-104192"</f>
        <v>1810-104192</v>
      </c>
      <c r="I2108" t="str">
        <f>"BATTERY FOR CAN AM"</f>
        <v>BATTERY FOR CAN AM</v>
      </c>
    </row>
    <row r="2109" spans="1:9" x14ac:dyDescent="0.25">
      <c r="A2109" s="6">
        <v>44260</v>
      </c>
      <c r="B2109" t="s">
        <v>26</v>
      </c>
      <c r="C2109">
        <v>66198</v>
      </c>
      <c r="D2109" t="s">
        <v>215</v>
      </c>
      <c r="E2109" s="7">
        <v>262.82</v>
      </c>
      <c r="F2109" t="s">
        <v>20</v>
      </c>
      <c r="G2109" s="10" t="s">
        <v>21</v>
      </c>
      <c r="H2109" t="str">
        <f>"652494"</f>
        <v>652494</v>
      </c>
      <c r="I2109" t="str">
        <f>"PLANT MAINT."</f>
        <v>PLANT MAINT.</v>
      </c>
    </row>
    <row r="2110" spans="1:9" x14ac:dyDescent="0.25">
      <c r="A2110" s="6">
        <v>44260</v>
      </c>
      <c r="B2110" t="s">
        <v>26</v>
      </c>
      <c r="C2110">
        <v>66199</v>
      </c>
      <c r="D2110" t="s">
        <v>123</v>
      </c>
      <c r="E2110" s="7">
        <v>243.69</v>
      </c>
      <c r="F2110" t="s">
        <v>20</v>
      </c>
      <c r="G2110" s="10" t="s">
        <v>21</v>
      </c>
      <c r="H2110" t="str">
        <f>"150655849001"</f>
        <v>150655849001</v>
      </c>
      <c r="I2110" t="str">
        <f>"INK FOR PRINTER"</f>
        <v>INK FOR PRINTER</v>
      </c>
    </row>
    <row r="2111" spans="1:9" x14ac:dyDescent="0.25">
      <c r="E2111" s="7"/>
      <c r="F2111" t="s">
        <v>20</v>
      </c>
      <c r="G2111" s="10" t="s">
        <v>21</v>
      </c>
      <c r="H2111" t="str">
        <f>"150692752001"</f>
        <v>150692752001</v>
      </c>
      <c r="I2111" t="str">
        <f>"INK FOR PRINTER"</f>
        <v>INK FOR PRINTER</v>
      </c>
    </row>
    <row r="2112" spans="1:9" x14ac:dyDescent="0.25">
      <c r="E2112" s="7"/>
      <c r="F2112" t="s">
        <v>20</v>
      </c>
      <c r="G2112" s="10" t="s">
        <v>21</v>
      </c>
      <c r="H2112" t="str">
        <f>"154756168001"</f>
        <v>154756168001</v>
      </c>
      <c r="I2112" t="str">
        <f>"OFFICE SUPPLIES"</f>
        <v>OFFICE SUPPLIES</v>
      </c>
    </row>
    <row r="2113" spans="1:9" x14ac:dyDescent="0.25">
      <c r="E2113" s="7"/>
      <c r="F2113" t="s">
        <v>20</v>
      </c>
      <c r="G2113" s="10" t="s">
        <v>21</v>
      </c>
      <c r="H2113" t="str">
        <f>"154757257001"</f>
        <v>154757257001</v>
      </c>
      <c r="I2113" t="str">
        <f>"OFFICE SUPPLIES"</f>
        <v>OFFICE SUPPLIES</v>
      </c>
    </row>
    <row r="2114" spans="1:9" x14ac:dyDescent="0.25">
      <c r="E2114" s="7"/>
      <c r="F2114" t="s">
        <v>20</v>
      </c>
      <c r="G2114" s="10" t="s">
        <v>21</v>
      </c>
      <c r="H2114" t="str">
        <f>"155125015001"</f>
        <v>155125015001</v>
      </c>
      <c r="I2114" t="str">
        <f>"PD OFFICE SUPPLIES"</f>
        <v>PD OFFICE SUPPLIES</v>
      </c>
    </row>
    <row r="2115" spans="1:9" x14ac:dyDescent="0.25">
      <c r="E2115" s="7"/>
      <c r="F2115" t="s">
        <v>20</v>
      </c>
      <c r="G2115" s="10" t="s">
        <v>21</v>
      </c>
      <c r="H2115" t="str">
        <f>"155128902001"</f>
        <v>155128902001</v>
      </c>
      <c r="I2115" t="str">
        <f>"PD OFFICE SUPPLIES"</f>
        <v>PD OFFICE SUPPLIES</v>
      </c>
    </row>
    <row r="2116" spans="1:9" x14ac:dyDescent="0.25">
      <c r="A2116" s="6">
        <v>44260</v>
      </c>
      <c r="B2116" t="s">
        <v>26</v>
      </c>
      <c r="C2116">
        <v>66201</v>
      </c>
      <c r="D2116" t="s">
        <v>137</v>
      </c>
      <c r="E2116" s="7">
        <v>121.9</v>
      </c>
      <c r="F2116" t="s">
        <v>20</v>
      </c>
      <c r="G2116" s="10" t="s">
        <v>21</v>
      </c>
      <c r="H2116" t="str">
        <f>"21648"</f>
        <v>21648</v>
      </c>
      <c r="I2116" t="str">
        <f>"OMNIBUS-M  INC.D.B.A."</f>
        <v>OMNIBUS-M  INC.D.B.A.</v>
      </c>
    </row>
    <row r="2117" spans="1:9" x14ac:dyDescent="0.25">
      <c r="E2117" s="7"/>
      <c r="F2117" t="s">
        <v>20</v>
      </c>
      <c r="G2117" s="10" t="s">
        <v>21</v>
      </c>
      <c r="H2117" t="str">
        <f>"21649"</f>
        <v>21649</v>
      </c>
      <c r="I2117" t="str">
        <f>"OMNIBUS-M  INC.D.B.A."</f>
        <v>OMNIBUS-M  INC.D.B.A.</v>
      </c>
    </row>
    <row r="2118" spans="1:9" x14ac:dyDescent="0.25">
      <c r="A2118" s="6">
        <v>44260</v>
      </c>
      <c r="B2118" t="s">
        <v>26</v>
      </c>
      <c r="C2118">
        <v>66202</v>
      </c>
      <c r="D2118" t="s">
        <v>184</v>
      </c>
      <c r="E2118" s="7">
        <v>1024</v>
      </c>
      <c r="F2118" t="s">
        <v>20</v>
      </c>
      <c r="G2118" s="10" t="s">
        <v>21</v>
      </c>
      <c r="H2118" t="str">
        <f>"1062-037"</f>
        <v>1062-037</v>
      </c>
      <c r="I2118" t="str">
        <f>"POLLUTION CONTROL SERVICES"</f>
        <v>POLLUTION CONTROL SERVICES</v>
      </c>
    </row>
    <row r="2119" spans="1:9" x14ac:dyDescent="0.25">
      <c r="E2119" s="7"/>
      <c r="F2119" t="s">
        <v>20</v>
      </c>
      <c r="G2119" s="10" t="s">
        <v>21</v>
      </c>
      <c r="H2119" t="str">
        <f>"1062-038"</f>
        <v>1062-038</v>
      </c>
      <c r="I2119" t="str">
        <f>"POLLUTION CONTROL SERVICES"</f>
        <v>POLLUTION CONTROL SERVICES</v>
      </c>
    </row>
    <row r="2120" spans="1:9" x14ac:dyDescent="0.25">
      <c r="A2120" s="6">
        <v>44260</v>
      </c>
      <c r="B2120" t="s">
        <v>26</v>
      </c>
      <c r="C2120">
        <v>66203</v>
      </c>
      <c r="D2120" t="s">
        <v>528</v>
      </c>
      <c r="E2120" s="7">
        <v>387.25</v>
      </c>
      <c r="F2120" t="s">
        <v>20</v>
      </c>
      <c r="G2120" s="10" t="s">
        <v>21</v>
      </c>
      <c r="H2120" t="str">
        <f>"10511880"</f>
        <v>10511880</v>
      </c>
      <c r="I2120" t="str">
        <f>"PROSTAR SERVICES INC"</f>
        <v>PROSTAR SERVICES INC</v>
      </c>
    </row>
    <row r="2121" spans="1:9" x14ac:dyDescent="0.25">
      <c r="A2121" s="6">
        <v>44260</v>
      </c>
      <c r="B2121" t="s">
        <v>26</v>
      </c>
      <c r="C2121">
        <v>66204</v>
      </c>
      <c r="D2121" t="s">
        <v>131</v>
      </c>
      <c r="E2121" s="7">
        <v>44.09</v>
      </c>
      <c r="F2121" t="s">
        <v>20</v>
      </c>
      <c r="G2121" s="10" t="s">
        <v>21</v>
      </c>
      <c r="H2121" t="str">
        <f>"057137"</f>
        <v>057137</v>
      </c>
      <c r="I2121" t="str">
        <f>"WWTP SUPPLIES"</f>
        <v>WWTP SUPPLIES</v>
      </c>
    </row>
    <row r="2122" spans="1:9" x14ac:dyDescent="0.25">
      <c r="A2122" s="6">
        <v>44260</v>
      </c>
      <c r="B2122" t="s">
        <v>26</v>
      </c>
      <c r="C2122">
        <v>66205</v>
      </c>
      <c r="D2122" t="s">
        <v>926</v>
      </c>
      <c r="E2122" s="7">
        <v>8469.86</v>
      </c>
      <c r="F2122" t="s">
        <v>20</v>
      </c>
      <c r="G2122" s="10" t="s">
        <v>21</v>
      </c>
      <c r="H2122" t="str">
        <f>"2021217-1"</f>
        <v>2021217-1</v>
      </c>
      <c r="I2122" t="str">
        <f>"SLP CONSTRUCTORS INC"</f>
        <v>SLP CONSTRUCTORS INC</v>
      </c>
    </row>
    <row r="2123" spans="1:9" x14ac:dyDescent="0.25">
      <c r="A2123" s="6">
        <v>44260</v>
      </c>
      <c r="B2123" t="s">
        <v>91</v>
      </c>
      <c r="C2123">
        <v>66206</v>
      </c>
      <c r="D2123" t="s">
        <v>346</v>
      </c>
      <c r="E2123" s="7">
        <v>13750</v>
      </c>
      <c r="F2123" t="s">
        <v>20</v>
      </c>
      <c r="G2123" s="10" t="s">
        <v>21</v>
      </c>
      <c r="H2123" t="str">
        <f>"1/11-2/11-2021"</f>
        <v>1/11-2/11-2021</v>
      </c>
      <c r="I2123" t="str">
        <f>"SYLVIA RODRIGUEZ"</f>
        <v>SYLVIA RODRIGUEZ</v>
      </c>
    </row>
    <row r="2124" spans="1:9" x14ac:dyDescent="0.25">
      <c r="A2124" s="6">
        <v>44260</v>
      </c>
      <c r="B2124" t="s">
        <v>91</v>
      </c>
      <c r="C2124">
        <v>66206</v>
      </c>
      <c r="D2124" t="s">
        <v>346</v>
      </c>
      <c r="E2124" s="7">
        <v>13750</v>
      </c>
      <c r="F2124" t="s">
        <v>20</v>
      </c>
      <c r="G2124" s="10" t="s">
        <v>93</v>
      </c>
      <c r="H2124" t="str">
        <f>"CHECK"</f>
        <v>CHECK</v>
      </c>
      <c r="I2124" t="str">
        <f>""</f>
        <v/>
      </c>
    </row>
    <row r="2125" spans="1:9" x14ac:dyDescent="0.25">
      <c r="A2125" s="6">
        <v>44260</v>
      </c>
      <c r="B2125" t="s">
        <v>26</v>
      </c>
      <c r="C2125">
        <v>66207</v>
      </c>
      <c r="D2125" t="s">
        <v>554</v>
      </c>
      <c r="E2125" s="7">
        <v>74.95</v>
      </c>
      <c r="F2125" t="s">
        <v>20</v>
      </c>
      <c r="G2125" s="10" t="s">
        <v>21</v>
      </c>
      <c r="H2125" t="str">
        <f>"AB22289"</f>
        <v>AB22289</v>
      </c>
      <c r="I2125" t="str">
        <f>"TEXAS WIRED MUSIC"</f>
        <v>TEXAS WIRED MUSIC</v>
      </c>
    </row>
    <row r="2126" spans="1:9" x14ac:dyDescent="0.25">
      <c r="A2126" s="6">
        <v>44260</v>
      </c>
      <c r="B2126" t="s">
        <v>26</v>
      </c>
      <c r="C2126">
        <v>66208</v>
      </c>
      <c r="D2126" t="s">
        <v>568</v>
      </c>
      <c r="E2126" s="7">
        <v>568.44000000000005</v>
      </c>
      <c r="F2126" t="s">
        <v>20</v>
      </c>
      <c r="G2126" s="10" t="s">
        <v>21</v>
      </c>
      <c r="H2126" t="str">
        <f>"18495114"</f>
        <v>18495114</v>
      </c>
      <c r="I2126" t="str">
        <f>"TIRES"</f>
        <v>TIRES</v>
      </c>
    </row>
    <row r="2127" spans="1:9" x14ac:dyDescent="0.25">
      <c r="A2127" s="6">
        <v>44260</v>
      </c>
      <c r="B2127" t="s">
        <v>26</v>
      </c>
      <c r="C2127">
        <v>66209</v>
      </c>
      <c r="D2127" t="s">
        <v>698</v>
      </c>
      <c r="E2127" s="7">
        <v>60</v>
      </c>
      <c r="F2127" t="s">
        <v>20</v>
      </c>
      <c r="G2127" s="10" t="s">
        <v>21</v>
      </c>
      <c r="H2127" t="str">
        <f>"2/28/2021"</f>
        <v>2/28/2021</v>
      </c>
      <c r="I2127" t="str">
        <f>"TRACY ORTIZ"</f>
        <v>TRACY ORTIZ</v>
      </c>
    </row>
    <row r="2128" spans="1:9" x14ac:dyDescent="0.25">
      <c r="A2128" s="6">
        <v>44260</v>
      </c>
      <c r="B2128" t="s">
        <v>26</v>
      </c>
      <c r="C2128">
        <v>66210</v>
      </c>
      <c r="D2128" t="s">
        <v>61</v>
      </c>
      <c r="E2128" s="7">
        <v>1969.14</v>
      </c>
      <c r="F2128" t="s">
        <v>20</v>
      </c>
      <c r="G2128" s="10" t="s">
        <v>21</v>
      </c>
      <c r="H2128" t="str">
        <f>"025-323931"</f>
        <v>025-323931</v>
      </c>
      <c r="I2128" t="str">
        <f>"TYLER TECHNOLOGIES  INC."</f>
        <v>TYLER TECHNOLOGIES  INC.</v>
      </c>
    </row>
    <row r="2129" spans="1:9" x14ac:dyDescent="0.25">
      <c r="E2129" s="7"/>
      <c r="F2129" t="s">
        <v>20</v>
      </c>
      <c r="G2129" s="10" t="s">
        <v>21</v>
      </c>
      <c r="H2129" t="str">
        <f>"025-324420"</f>
        <v>025-324420</v>
      </c>
      <c r="I2129" t="str">
        <f>"TYLER TECHNOLOGIES  INC."</f>
        <v>TYLER TECHNOLOGIES  INC.</v>
      </c>
    </row>
    <row r="2130" spans="1:9" x14ac:dyDescent="0.25">
      <c r="A2130" s="6">
        <v>44260</v>
      </c>
      <c r="B2130" t="s">
        <v>26</v>
      </c>
      <c r="C2130">
        <v>66211</v>
      </c>
      <c r="D2130" t="s">
        <v>644</v>
      </c>
      <c r="E2130" s="7">
        <v>994.48</v>
      </c>
      <c r="F2130" t="s">
        <v>20</v>
      </c>
      <c r="G2130" s="10" t="s">
        <v>21</v>
      </c>
      <c r="H2130" t="str">
        <f>"8213563347"</f>
        <v>8213563347</v>
      </c>
      <c r="I2130" t="str">
        <f t="shared" ref="I2130:I2143" si="40">"UNIFIRST CORPORATION"</f>
        <v>UNIFIRST CORPORATION</v>
      </c>
    </row>
    <row r="2131" spans="1:9" x14ac:dyDescent="0.25">
      <c r="E2131" s="7"/>
      <c r="F2131" t="s">
        <v>20</v>
      </c>
      <c r="G2131" s="10" t="s">
        <v>21</v>
      </c>
      <c r="H2131" t="str">
        <f>"8213563348"</f>
        <v>8213563348</v>
      </c>
      <c r="I2131" t="str">
        <f t="shared" si="40"/>
        <v>UNIFIRST CORPORATION</v>
      </c>
    </row>
    <row r="2132" spans="1:9" x14ac:dyDescent="0.25">
      <c r="E2132" s="7"/>
      <c r="F2132" t="s">
        <v>20</v>
      </c>
      <c r="G2132" s="10" t="s">
        <v>21</v>
      </c>
      <c r="H2132" t="str">
        <f>"8213563349"</f>
        <v>8213563349</v>
      </c>
      <c r="I2132" t="str">
        <f t="shared" si="40"/>
        <v>UNIFIRST CORPORATION</v>
      </c>
    </row>
    <row r="2133" spans="1:9" x14ac:dyDescent="0.25">
      <c r="E2133" s="7"/>
      <c r="F2133" t="s">
        <v>20</v>
      </c>
      <c r="G2133" s="10" t="s">
        <v>21</v>
      </c>
      <c r="H2133" t="str">
        <f>"8213563350"</f>
        <v>8213563350</v>
      </c>
      <c r="I2133" t="str">
        <f t="shared" si="40"/>
        <v>UNIFIRST CORPORATION</v>
      </c>
    </row>
    <row r="2134" spans="1:9" x14ac:dyDescent="0.25">
      <c r="E2134" s="7"/>
      <c r="F2134" t="s">
        <v>20</v>
      </c>
      <c r="G2134" s="10" t="s">
        <v>21</v>
      </c>
      <c r="H2134" t="str">
        <f>"8213563351"</f>
        <v>8213563351</v>
      </c>
      <c r="I2134" t="str">
        <f t="shared" si="40"/>
        <v>UNIFIRST CORPORATION</v>
      </c>
    </row>
    <row r="2135" spans="1:9" x14ac:dyDescent="0.25">
      <c r="E2135" s="7"/>
      <c r="F2135" t="s">
        <v>20</v>
      </c>
      <c r="G2135" s="10" t="s">
        <v>21</v>
      </c>
      <c r="H2135" t="str">
        <f>"8213563352"</f>
        <v>8213563352</v>
      </c>
      <c r="I2135" t="str">
        <f t="shared" si="40"/>
        <v>UNIFIRST CORPORATION</v>
      </c>
    </row>
    <row r="2136" spans="1:9" x14ac:dyDescent="0.25">
      <c r="E2136" s="7"/>
      <c r="F2136" t="s">
        <v>20</v>
      </c>
      <c r="G2136" s="10" t="s">
        <v>21</v>
      </c>
      <c r="H2136" t="str">
        <f>"8213563353"</f>
        <v>8213563353</v>
      </c>
      <c r="I2136" t="str">
        <f t="shared" si="40"/>
        <v>UNIFIRST CORPORATION</v>
      </c>
    </row>
    <row r="2137" spans="1:9" x14ac:dyDescent="0.25">
      <c r="E2137" s="7"/>
      <c r="F2137" t="s">
        <v>20</v>
      </c>
      <c r="G2137" s="10" t="s">
        <v>21</v>
      </c>
      <c r="H2137" t="str">
        <f>"8213565920"</f>
        <v>8213565920</v>
      </c>
      <c r="I2137" t="str">
        <f t="shared" si="40"/>
        <v>UNIFIRST CORPORATION</v>
      </c>
    </row>
    <row r="2138" spans="1:9" x14ac:dyDescent="0.25">
      <c r="E2138" s="7"/>
      <c r="F2138" t="s">
        <v>20</v>
      </c>
      <c r="G2138" s="10" t="s">
        <v>21</v>
      </c>
      <c r="H2138" t="str">
        <f>"8213565921"</f>
        <v>8213565921</v>
      </c>
      <c r="I2138" t="str">
        <f t="shared" si="40"/>
        <v>UNIFIRST CORPORATION</v>
      </c>
    </row>
    <row r="2139" spans="1:9" x14ac:dyDescent="0.25">
      <c r="E2139" s="7"/>
      <c r="F2139" t="s">
        <v>20</v>
      </c>
      <c r="G2139" s="10" t="s">
        <v>21</v>
      </c>
      <c r="H2139" t="str">
        <f>"8213565922"</f>
        <v>8213565922</v>
      </c>
      <c r="I2139" t="str">
        <f t="shared" si="40"/>
        <v>UNIFIRST CORPORATION</v>
      </c>
    </row>
    <row r="2140" spans="1:9" x14ac:dyDescent="0.25">
      <c r="E2140" s="7"/>
      <c r="F2140" t="s">
        <v>20</v>
      </c>
      <c r="G2140" s="10" t="s">
        <v>21</v>
      </c>
      <c r="H2140" t="str">
        <f>"8213565923"</f>
        <v>8213565923</v>
      </c>
      <c r="I2140" t="str">
        <f t="shared" si="40"/>
        <v>UNIFIRST CORPORATION</v>
      </c>
    </row>
    <row r="2141" spans="1:9" x14ac:dyDescent="0.25">
      <c r="E2141" s="7"/>
      <c r="F2141" t="s">
        <v>20</v>
      </c>
      <c r="G2141" s="10" t="s">
        <v>21</v>
      </c>
      <c r="H2141" t="str">
        <f>"8213565924"</f>
        <v>8213565924</v>
      </c>
      <c r="I2141" t="str">
        <f t="shared" si="40"/>
        <v>UNIFIRST CORPORATION</v>
      </c>
    </row>
    <row r="2142" spans="1:9" x14ac:dyDescent="0.25">
      <c r="E2142" s="7"/>
      <c r="F2142" t="s">
        <v>20</v>
      </c>
      <c r="G2142" s="10" t="s">
        <v>21</v>
      </c>
      <c r="H2142" t="str">
        <f>"8213565925"</f>
        <v>8213565925</v>
      </c>
      <c r="I2142" t="str">
        <f t="shared" si="40"/>
        <v>UNIFIRST CORPORATION</v>
      </c>
    </row>
    <row r="2143" spans="1:9" x14ac:dyDescent="0.25">
      <c r="E2143" s="7"/>
      <c r="F2143" t="s">
        <v>20</v>
      </c>
      <c r="G2143" s="10" t="s">
        <v>21</v>
      </c>
      <c r="H2143" t="str">
        <f>"8213565926"</f>
        <v>8213565926</v>
      </c>
      <c r="I2143" t="str">
        <f t="shared" si="40"/>
        <v>UNIFIRST CORPORATION</v>
      </c>
    </row>
    <row r="2144" spans="1:9" x14ac:dyDescent="0.25">
      <c r="A2144" s="6">
        <v>44260</v>
      </c>
      <c r="B2144" t="s">
        <v>26</v>
      </c>
      <c r="C2144">
        <v>66214</v>
      </c>
      <c r="D2144" t="s">
        <v>285</v>
      </c>
      <c r="E2144" s="7">
        <v>150</v>
      </c>
      <c r="F2144" t="s">
        <v>20</v>
      </c>
      <c r="G2144" s="10" t="s">
        <v>21</v>
      </c>
      <c r="H2144" t="str">
        <f>"3/1/2021-3/1/2022"</f>
        <v>3/1/2021-3/1/2022</v>
      </c>
      <c r="I2144" t="str">
        <f>"VICTOR O. SCHINNERER &amp; CO. INC"</f>
        <v>VICTOR O. SCHINNERER &amp; CO. INC</v>
      </c>
    </row>
    <row r="2145" spans="1:9" x14ac:dyDescent="0.25">
      <c r="A2145" s="6">
        <v>44260</v>
      </c>
      <c r="B2145" t="s">
        <v>26</v>
      </c>
      <c r="C2145">
        <v>66215</v>
      </c>
      <c r="D2145" t="s">
        <v>122</v>
      </c>
      <c r="E2145" s="7">
        <v>140</v>
      </c>
      <c r="F2145" t="s">
        <v>20</v>
      </c>
      <c r="G2145" s="10" t="s">
        <v>21</v>
      </c>
      <c r="H2145" t="str">
        <f>"153753"</f>
        <v>153753</v>
      </c>
      <c r="I2145" t="str">
        <f t="shared" ref="I2145:I2150" si="41">"VILLA TIRES"</f>
        <v>VILLA TIRES</v>
      </c>
    </row>
    <row r="2146" spans="1:9" x14ac:dyDescent="0.25">
      <c r="E2146" s="7"/>
      <c r="F2146" t="s">
        <v>20</v>
      </c>
      <c r="G2146" s="10" t="s">
        <v>21</v>
      </c>
      <c r="H2146" t="str">
        <f>"153754"</f>
        <v>153754</v>
      </c>
      <c r="I2146" t="str">
        <f t="shared" si="41"/>
        <v>VILLA TIRES</v>
      </c>
    </row>
    <row r="2147" spans="1:9" x14ac:dyDescent="0.25">
      <c r="E2147" s="7"/>
      <c r="F2147" t="s">
        <v>20</v>
      </c>
      <c r="G2147" s="10" t="s">
        <v>21</v>
      </c>
      <c r="H2147" t="str">
        <f>"153755"</f>
        <v>153755</v>
      </c>
      <c r="I2147" t="str">
        <f t="shared" si="41"/>
        <v>VILLA TIRES</v>
      </c>
    </row>
    <row r="2148" spans="1:9" x14ac:dyDescent="0.25">
      <c r="E2148" s="7"/>
      <c r="F2148" t="s">
        <v>20</v>
      </c>
      <c r="G2148" s="10" t="s">
        <v>21</v>
      </c>
      <c r="H2148" t="str">
        <f>"153763"</f>
        <v>153763</v>
      </c>
      <c r="I2148" t="str">
        <f t="shared" si="41"/>
        <v>VILLA TIRES</v>
      </c>
    </row>
    <row r="2149" spans="1:9" x14ac:dyDescent="0.25">
      <c r="E2149" s="7"/>
      <c r="F2149" t="s">
        <v>20</v>
      </c>
      <c r="G2149" s="10" t="s">
        <v>21</v>
      </c>
      <c r="H2149" t="str">
        <f>"153764"</f>
        <v>153764</v>
      </c>
      <c r="I2149" t="str">
        <f t="shared" si="41"/>
        <v>VILLA TIRES</v>
      </c>
    </row>
    <row r="2150" spans="1:9" x14ac:dyDescent="0.25">
      <c r="E2150" s="7"/>
      <c r="F2150" t="s">
        <v>20</v>
      </c>
      <c r="G2150" s="10" t="s">
        <v>21</v>
      </c>
      <c r="H2150" t="str">
        <f>"153768"</f>
        <v>153768</v>
      </c>
      <c r="I2150" t="str">
        <f t="shared" si="41"/>
        <v>VILLA TIRES</v>
      </c>
    </row>
    <row r="2151" spans="1:9" x14ac:dyDescent="0.25">
      <c r="A2151" s="6">
        <v>44260</v>
      </c>
      <c r="B2151" t="s">
        <v>26</v>
      </c>
      <c r="C2151">
        <v>66216</v>
      </c>
      <c r="D2151" t="s">
        <v>202</v>
      </c>
      <c r="E2151" s="7">
        <v>4194.22</v>
      </c>
      <c r="F2151" t="s">
        <v>20</v>
      </c>
      <c r="G2151" s="10" t="s">
        <v>21</v>
      </c>
      <c r="H2151" t="str">
        <f>"62246563"</f>
        <v>62246563</v>
      </c>
      <c r="I2151" t="str">
        <f>"VULCAN CONSTRUCTION MATERIALS"</f>
        <v>VULCAN CONSTRUCTION MATERIALS</v>
      </c>
    </row>
    <row r="2152" spans="1:9" x14ac:dyDescent="0.25">
      <c r="E2152" s="7"/>
      <c r="F2152" t="s">
        <v>20</v>
      </c>
      <c r="G2152" s="10" t="s">
        <v>21</v>
      </c>
      <c r="H2152" t="str">
        <f>"62250606"</f>
        <v>62250606</v>
      </c>
      <c r="I2152" t="str">
        <f>"VULCAN CONSTRUCTION MATERIALS"</f>
        <v>VULCAN CONSTRUCTION MATERIALS</v>
      </c>
    </row>
    <row r="2153" spans="1:9" x14ac:dyDescent="0.25">
      <c r="A2153" s="6">
        <v>44260</v>
      </c>
      <c r="B2153" t="s">
        <v>26</v>
      </c>
      <c r="C2153">
        <v>66217</v>
      </c>
      <c r="D2153" t="s">
        <v>104</v>
      </c>
      <c r="E2153" s="7">
        <v>50</v>
      </c>
      <c r="F2153" t="s">
        <v>20</v>
      </c>
      <c r="G2153" s="10" t="s">
        <v>21</v>
      </c>
      <c r="H2153" t="str">
        <f>"8135"</f>
        <v>8135</v>
      </c>
      <c r="I2153" t="str">
        <f>"WILSON COUNTY NEWS"</f>
        <v>WILSON COUNTY NEWS</v>
      </c>
    </row>
    <row r="2154" spans="1:9" x14ac:dyDescent="0.25">
      <c r="A2154" s="6">
        <v>44264</v>
      </c>
      <c r="B2154" t="s">
        <v>26</v>
      </c>
      <c r="C2154">
        <v>66218</v>
      </c>
      <c r="D2154" t="s">
        <v>97</v>
      </c>
      <c r="E2154" s="7">
        <v>38313.5</v>
      </c>
      <c r="F2154" t="s">
        <v>20</v>
      </c>
      <c r="G2154" s="10" t="s">
        <v>24</v>
      </c>
      <c r="H2154" t="str">
        <f>"MARCH 2021"</f>
        <v>MARCH 2021</v>
      </c>
      <c r="I2154" t="str">
        <f>"HEALTH CARE SERVICE CORPORATIO"</f>
        <v>HEALTH CARE SERVICE CORPORATIO</v>
      </c>
    </row>
    <row r="2155" spans="1:9" x14ac:dyDescent="0.25">
      <c r="E2155" s="7"/>
      <c r="F2155" t="s">
        <v>20</v>
      </c>
      <c r="G2155" s="10" t="s">
        <v>21</v>
      </c>
      <c r="H2155" t="str">
        <f>"DEN202102098600"</f>
        <v>DEN202102098600</v>
      </c>
      <c r="I2155" t="str">
        <f>"DENTAL INSURANCE"</f>
        <v>DENTAL INSURANCE</v>
      </c>
    </row>
    <row r="2156" spans="1:9" x14ac:dyDescent="0.25">
      <c r="E2156" s="7"/>
      <c r="F2156" t="s">
        <v>20</v>
      </c>
      <c r="G2156" s="10" t="s">
        <v>21</v>
      </c>
      <c r="H2156" t="str">
        <f>"DEN202102238602"</f>
        <v>DEN202102238602</v>
      </c>
      <c r="I2156" t="str">
        <f>"DENTAL INSURANCE"</f>
        <v>DENTAL INSURANCE</v>
      </c>
    </row>
    <row r="2157" spans="1:9" x14ac:dyDescent="0.25">
      <c r="E2157" s="7"/>
      <c r="F2157" t="s">
        <v>20</v>
      </c>
      <c r="G2157" s="10" t="s">
        <v>21</v>
      </c>
      <c r="H2157" t="str">
        <f>"MED202102098600"</f>
        <v>MED202102098600</v>
      </c>
      <c r="I2157" t="str">
        <f>"HEALTH &amp; DENTAL INSURANCE"</f>
        <v>HEALTH &amp; DENTAL INSURANCE</v>
      </c>
    </row>
    <row r="2158" spans="1:9" x14ac:dyDescent="0.25">
      <c r="E2158" s="7"/>
      <c r="F2158" t="s">
        <v>20</v>
      </c>
      <c r="G2158" s="10" t="s">
        <v>21</v>
      </c>
      <c r="H2158" t="str">
        <f>"MED202102238602"</f>
        <v>MED202102238602</v>
      </c>
      <c r="I2158" t="str">
        <f>"HEALTH &amp; DENTAL INSURANCE"</f>
        <v>HEALTH &amp; DENTAL INSURANCE</v>
      </c>
    </row>
    <row r="2159" spans="1:9" x14ac:dyDescent="0.25">
      <c r="A2159" s="6">
        <v>44264</v>
      </c>
      <c r="B2159" t="s">
        <v>26</v>
      </c>
      <c r="C2159">
        <v>66223</v>
      </c>
      <c r="D2159" t="s">
        <v>90</v>
      </c>
      <c r="E2159" s="7">
        <v>1636.56</v>
      </c>
      <c r="F2159" t="s">
        <v>20</v>
      </c>
      <c r="G2159" s="10" t="s">
        <v>329</v>
      </c>
      <c r="H2159" t="str">
        <f>"MARCH 2021"</f>
        <v>MARCH 2021</v>
      </c>
      <c r="I2159" t="str">
        <f>"AFLAC"</f>
        <v>AFLAC</v>
      </c>
    </row>
    <row r="2160" spans="1:9" x14ac:dyDescent="0.25">
      <c r="E2160" s="7"/>
      <c r="F2160" t="s">
        <v>20</v>
      </c>
      <c r="G2160" s="10" t="s">
        <v>21</v>
      </c>
      <c r="H2160" t="str">
        <f>"ACA202102238602"</f>
        <v>ACA202102238602</v>
      </c>
      <c r="I2160" t="str">
        <f>"AFLAC INSURANCE"</f>
        <v>AFLAC INSURANCE</v>
      </c>
    </row>
    <row r="2161" spans="1:9" x14ac:dyDescent="0.25">
      <c r="E2161" s="7"/>
      <c r="F2161" t="s">
        <v>20</v>
      </c>
      <c r="G2161" s="10" t="s">
        <v>21</v>
      </c>
      <c r="H2161" t="str">
        <f>"ADR202102098600"</f>
        <v>ADR202102098600</v>
      </c>
      <c r="I2161" t="str">
        <f>"INSURANCE"</f>
        <v>INSURANCE</v>
      </c>
    </row>
    <row r="2162" spans="1:9" x14ac:dyDescent="0.25">
      <c r="E2162" s="7"/>
      <c r="F2162" t="s">
        <v>20</v>
      </c>
      <c r="G2162" s="10" t="s">
        <v>21</v>
      </c>
      <c r="H2162" t="str">
        <f>"ADR202102238602"</f>
        <v>ADR202102238602</v>
      </c>
      <c r="I2162" t="str">
        <f>"INSURANCE"</f>
        <v>INSURANCE</v>
      </c>
    </row>
    <row r="2163" spans="1:9" x14ac:dyDescent="0.25">
      <c r="E2163" s="7"/>
      <c r="F2163" t="s">
        <v>20</v>
      </c>
      <c r="G2163" s="10" t="s">
        <v>21</v>
      </c>
      <c r="H2163" t="str">
        <f>"AF1202101128595"</f>
        <v>AF1202101128595</v>
      </c>
      <c r="I2163" t="str">
        <f>"AFLAC INSURANCE"</f>
        <v>AFLAC INSURANCE</v>
      </c>
    </row>
    <row r="2164" spans="1:9" x14ac:dyDescent="0.25">
      <c r="E2164" s="7"/>
      <c r="F2164" t="s">
        <v>20</v>
      </c>
      <c r="G2164" s="10" t="s">
        <v>21</v>
      </c>
      <c r="H2164" t="str">
        <f>"AF1202102238602"</f>
        <v>AF1202102238602</v>
      </c>
      <c r="I2164" t="str">
        <f>"AFLAC INSURANCE"</f>
        <v>AFLAC INSURANCE</v>
      </c>
    </row>
    <row r="2165" spans="1:9" x14ac:dyDescent="0.25">
      <c r="E2165" s="7"/>
      <c r="F2165" t="s">
        <v>20</v>
      </c>
      <c r="G2165" s="10" t="s">
        <v>21</v>
      </c>
      <c r="H2165" t="str">
        <f>"AFS202102238602"</f>
        <v>AFS202102238602</v>
      </c>
      <c r="I2165" t="str">
        <f>"AFLAC STD"</f>
        <v>AFLAC STD</v>
      </c>
    </row>
    <row r="2166" spans="1:9" x14ac:dyDescent="0.25">
      <c r="E2166" s="7"/>
      <c r="F2166" t="s">
        <v>20</v>
      </c>
      <c r="G2166" s="10" t="s">
        <v>21</v>
      </c>
      <c r="H2166" t="str">
        <f>"ASP202102238602"</f>
        <v>ASP202102238602</v>
      </c>
      <c r="I2166" t="str">
        <f>"AFLAC INSURANCE"</f>
        <v>AFLAC INSURANCE</v>
      </c>
    </row>
    <row r="2167" spans="1:9" x14ac:dyDescent="0.25">
      <c r="E2167" s="7"/>
      <c r="F2167" t="s">
        <v>20</v>
      </c>
      <c r="G2167" s="10" t="s">
        <v>21</v>
      </c>
      <c r="H2167" t="str">
        <f>"HCO202102238602"</f>
        <v>HCO202102238602</v>
      </c>
      <c r="I2167" t="str">
        <f>"AFLAC INSURANCE"</f>
        <v>AFLAC INSURANCE</v>
      </c>
    </row>
    <row r="2168" spans="1:9" x14ac:dyDescent="0.25">
      <c r="A2168" s="6">
        <v>44264</v>
      </c>
      <c r="B2168" t="s">
        <v>26</v>
      </c>
      <c r="C2168">
        <v>66227</v>
      </c>
      <c r="D2168" t="s">
        <v>98</v>
      </c>
      <c r="E2168" s="7">
        <v>3242.42</v>
      </c>
      <c r="F2168" t="s">
        <v>20</v>
      </c>
      <c r="G2168" s="10" t="s">
        <v>24</v>
      </c>
      <c r="H2168" t="str">
        <f>"MARCH 2021"</f>
        <v>MARCH 2021</v>
      </c>
      <c r="I2168" t="str">
        <f>"DEARBORN LIFE INSURANCE COMPAN"</f>
        <v>DEARBORN LIFE INSURANCE COMPAN</v>
      </c>
    </row>
    <row r="2169" spans="1:9" x14ac:dyDescent="0.25">
      <c r="E2169" s="7"/>
      <c r="F2169" t="s">
        <v>20</v>
      </c>
      <c r="G2169" s="10" t="s">
        <v>21</v>
      </c>
      <c r="H2169" t="str">
        <f>"STD202102098600"</f>
        <v>STD202102098600</v>
      </c>
      <c r="I2169" t="str">
        <f>"SHORT TERM DISABILITY"</f>
        <v>SHORT TERM DISABILITY</v>
      </c>
    </row>
    <row r="2170" spans="1:9" x14ac:dyDescent="0.25">
      <c r="E2170" s="7"/>
      <c r="F2170" t="s">
        <v>20</v>
      </c>
      <c r="G2170" s="10" t="s">
        <v>21</v>
      </c>
      <c r="H2170" t="str">
        <f>"STD202102238602"</f>
        <v>STD202102238602</v>
      </c>
      <c r="I2170" t="str">
        <f>"SHORT TERM DISABILITY"</f>
        <v>SHORT TERM DISABILITY</v>
      </c>
    </row>
    <row r="2171" spans="1:9" x14ac:dyDescent="0.25">
      <c r="E2171" s="7"/>
      <c r="F2171" t="s">
        <v>20</v>
      </c>
      <c r="G2171" s="10" t="s">
        <v>21</v>
      </c>
      <c r="H2171" t="str">
        <f>"VIS202102098600"</f>
        <v>VIS202102098600</v>
      </c>
      <c r="I2171" t="str">
        <f>"VISION INSURANCE"</f>
        <v>VISION INSURANCE</v>
      </c>
    </row>
    <row r="2172" spans="1:9" x14ac:dyDescent="0.25">
      <c r="E2172" s="7"/>
      <c r="F2172" t="s">
        <v>20</v>
      </c>
      <c r="G2172" s="10" t="s">
        <v>21</v>
      </c>
      <c r="H2172" t="str">
        <f>"VIS202102238602"</f>
        <v>VIS202102238602</v>
      </c>
      <c r="I2172" t="str">
        <f>"VISION INSURANCE"</f>
        <v>VISION INSURANCE</v>
      </c>
    </row>
    <row r="2173" spans="1:9" x14ac:dyDescent="0.25">
      <c r="E2173" s="7"/>
      <c r="F2173" t="s">
        <v>20</v>
      </c>
      <c r="G2173" s="10" t="s">
        <v>21</v>
      </c>
      <c r="H2173" t="str">
        <f>"VLC202102098600"</f>
        <v>VLC202102098600</v>
      </c>
      <c r="I2173" t="str">
        <f>"CHILD LIFE INSURANCE"</f>
        <v>CHILD LIFE INSURANCE</v>
      </c>
    </row>
    <row r="2174" spans="1:9" x14ac:dyDescent="0.25">
      <c r="E2174" s="7"/>
      <c r="F2174" t="s">
        <v>20</v>
      </c>
      <c r="G2174" s="10" t="s">
        <v>21</v>
      </c>
      <c r="H2174" t="str">
        <f>"VLC202102238602"</f>
        <v>VLC202102238602</v>
      </c>
      <c r="I2174" t="str">
        <f>"CHILD LIFE INSURANCE"</f>
        <v>CHILD LIFE INSURANCE</v>
      </c>
    </row>
    <row r="2175" spans="1:9" x14ac:dyDescent="0.25">
      <c r="E2175" s="7"/>
      <c r="F2175" t="s">
        <v>20</v>
      </c>
      <c r="G2175" s="10" t="s">
        <v>21</v>
      </c>
      <c r="H2175" t="str">
        <f>"VLS202102098600"</f>
        <v>VLS202102098600</v>
      </c>
      <c r="I2175" t="str">
        <f>"SPOUSE LIFE"</f>
        <v>SPOUSE LIFE</v>
      </c>
    </row>
    <row r="2176" spans="1:9" x14ac:dyDescent="0.25">
      <c r="E2176" s="7"/>
      <c r="F2176" t="s">
        <v>20</v>
      </c>
      <c r="G2176" s="10" t="s">
        <v>21</v>
      </c>
      <c r="H2176" t="str">
        <f>"VLS202102238602"</f>
        <v>VLS202102238602</v>
      </c>
      <c r="I2176" t="str">
        <f>"SPOUSE LIFE"</f>
        <v>SPOUSE LIFE</v>
      </c>
    </row>
    <row r="2177" spans="1:9" x14ac:dyDescent="0.25">
      <c r="E2177" s="7"/>
      <c r="F2177" t="s">
        <v>20</v>
      </c>
      <c r="G2177" s="10" t="s">
        <v>21</v>
      </c>
      <c r="H2177" t="str">
        <f>"VOE202102098600"</f>
        <v>VOE202102098600</v>
      </c>
      <c r="I2177" t="str">
        <f>"EMPLOYEE LIFE"</f>
        <v>EMPLOYEE LIFE</v>
      </c>
    </row>
    <row r="2178" spans="1:9" x14ac:dyDescent="0.25">
      <c r="E2178" s="7"/>
      <c r="F2178" t="s">
        <v>20</v>
      </c>
      <c r="G2178" s="10" t="s">
        <v>21</v>
      </c>
      <c r="H2178" t="str">
        <f>"VOE202102238602"</f>
        <v>VOE202102238602</v>
      </c>
      <c r="I2178" t="str">
        <f>"EMPLOYEE LIFE"</f>
        <v>EMPLOYEE LIFE</v>
      </c>
    </row>
    <row r="2179" spans="1:9" x14ac:dyDescent="0.25">
      <c r="E2179" s="7"/>
      <c r="F2179" t="s">
        <v>20</v>
      </c>
      <c r="G2179" s="10" t="s">
        <v>21</v>
      </c>
      <c r="H2179" t="str">
        <f>"VOL202102098600"</f>
        <v>VOL202102098600</v>
      </c>
      <c r="I2179" t="str">
        <f>"LIFE"</f>
        <v>LIFE</v>
      </c>
    </row>
    <row r="2180" spans="1:9" x14ac:dyDescent="0.25">
      <c r="E2180" s="7"/>
      <c r="F2180" t="s">
        <v>20</v>
      </c>
      <c r="G2180" s="10" t="s">
        <v>21</v>
      </c>
      <c r="H2180" t="str">
        <f>"VOL202102238602"</f>
        <v>VOL202102238602</v>
      </c>
      <c r="I2180" t="str">
        <f>"LIFE"</f>
        <v>LIFE</v>
      </c>
    </row>
    <row r="2181" spans="1:9" x14ac:dyDescent="0.25">
      <c r="A2181" s="6">
        <v>44264</v>
      </c>
      <c r="B2181" t="s">
        <v>26</v>
      </c>
      <c r="C2181">
        <v>66236</v>
      </c>
      <c r="D2181" t="s">
        <v>95</v>
      </c>
      <c r="E2181" s="7">
        <v>25.32</v>
      </c>
      <c r="F2181" t="s">
        <v>20</v>
      </c>
      <c r="G2181" s="10" t="s">
        <v>21</v>
      </c>
      <c r="H2181" t="str">
        <f>"LEA202102098600"</f>
        <v>LEA202102098600</v>
      </c>
      <c r="I2181" t="str">
        <f>"INSURANCE"</f>
        <v>INSURANCE</v>
      </c>
    </row>
    <row r="2182" spans="1:9" x14ac:dyDescent="0.25">
      <c r="E2182" s="7"/>
      <c r="F2182" t="s">
        <v>20</v>
      </c>
      <c r="G2182" s="10" t="s">
        <v>21</v>
      </c>
      <c r="H2182" t="str">
        <f>"LEA202102238602"</f>
        <v>LEA202102238602</v>
      </c>
      <c r="I2182" t="str">
        <f>"INSURANCE"</f>
        <v>INSURANCE</v>
      </c>
    </row>
    <row r="2183" spans="1:9" x14ac:dyDescent="0.25">
      <c r="A2183" s="6">
        <v>44264</v>
      </c>
      <c r="B2183" t="s">
        <v>26</v>
      </c>
      <c r="C2183">
        <v>66237</v>
      </c>
      <c r="D2183" t="s">
        <v>96</v>
      </c>
      <c r="E2183" s="7">
        <v>225.2</v>
      </c>
      <c r="F2183" t="s">
        <v>20</v>
      </c>
      <c r="G2183" s="10" t="s">
        <v>329</v>
      </c>
      <c r="H2183" t="str">
        <f>"02/15/2021"</f>
        <v>02/15/2021</v>
      </c>
      <c r="I2183" t="str">
        <f>"LEGALSHIELD"</f>
        <v>LEGALSHIELD</v>
      </c>
    </row>
    <row r="2184" spans="1:9" x14ac:dyDescent="0.25">
      <c r="E2184" s="7"/>
      <c r="F2184" t="s">
        <v>20</v>
      </c>
      <c r="G2184" s="10" t="s">
        <v>21</v>
      </c>
      <c r="H2184" t="str">
        <f>"PPL202102238602"</f>
        <v>PPL202102238602</v>
      </c>
      <c r="I2184" t="str">
        <f>"INSURANCE"</f>
        <v>INSURANCE</v>
      </c>
    </row>
    <row r="2185" spans="1:9" x14ac:dyDescent="0.25">
      <c r="A2185" s="6">
        <v>44264</v>
      </c>
      <c r="B2185" t="s">
        <v>26</v>
      </c>
      <c r="C2185">
        <v>66238</v>
      </c>
      <c r="D2185" t="s">
        <v>92</v>
      </c>
      <c r="E2185" s="7">
        <v>32251.86</v>
      </c>
      <c r="F2185" t="s">
        <v>20</v>
      </c>
      <c r="G2185" s="10" t="s">
        <v>21</v>
      </c>
      <c r="H2185" t="str">
        <f>"RET202102098600"</f>
        <v>RET202102098600</v>
      </c>
      <c r="I2185" t="str">
        <f>"TMRS CITY OF FLORESVILLE"</f>
        <v>TMRS CITY OF FLORESVILLE</v>
      </c>
    </row>
    <row r="2186" spans="1:9" x14ac:dyDescent="0.25">
      <c r="E2186" s="7"/>
      <c r="F2186" t="s">
        <v>20</v>
      </c>
      <c r="G2186" s="10" t="s">
        <v>21</v>
      </c>
      <c r="H2186" t="str">
        <f>"RET202102238602"</f>
        <v>RET202102238602</v>
      </c>
      <c r="I2186" t="str">
        <f>"TMRS CITY OF FLORESVILLE"</f>
        <v>TMRS CITY OF FLORESVILLE</v>
      </c>
    </row>
    <row r="2187" spans="1:9" x14ac:dyDescent="0.25">
      <c r="A2187" s="6">
        <v>44264</v>
      </c>
      <c r="B2187" t="s">
        <v>26</v>
      </c>
      <c r="C2187">
        <v>66246</v>
      </c>
      <c r="D2187" t="s">
        <v>51</v>
      </c>
      <c r="E2187" s="7">
        <v>327.84</v>
      </c>
      <c r="F2187" t="s">
        <v>20</v>
      </c>
      <c r="G2187" s="10" t="s">
        <v>21</v>
      </c>
      <c r="H2187" t="str">
        <f>"CLE202103098603"</f>
        <v>CLE202103098603</v>
      </c>
      <c r="I2187" t="str">
        <f>"CLEAT ONLY DUES"</f>
        <v>CLEAT ONLY DUES</v>
      </c>
    </row>
    <row r="2188" spans="1:9" x14ac:dyDescent="0.25">
      <c r="E2188" s="7"/>
      <c r="F2188" t="s">
        <v>20</v>
      </c>
      <c r="G2188" s="10" t="s">
        <v>21</v>
      </c>
      <c r="H2188" t="str">
        <f>"PDD202103098603"</f>
        <v>PDD202103098603</v>
      </c>
      <c r="I2188" t="str">
        <f>"POLICE OFFICERS ASSOC DUES"</f>
        <v>POLICE OFFICERS ASSOC DUES</v>
      </c>
    </row>
    <row r="2189" spans="1:9" x14ac:dyDescent="0.25">
      <c r="A2189" s="6">
        <v>44264</v>
      </c>
      <c r="B2189" t="s">
        <v>26</v>
      </c>
      <c r="C2189">
        <v>66247</v>
      </c>
      <c r="D2189" t="s">
        <v>52</v>
      </c>
      <c r="E2189" s="7">
        <v>405</v>
      </c>
      <c r="F2189" t="s">
        <v>20</v>
      </c>
      <c r="G2189" s="10" t="s">
        <v>21</v>
      </c>
      <c r="H2189" t="str">
        <f>"CA1202103098603"</f>
        <v>CA1202103098603</v>
      </c>
      <c r="I2189" t="str">
        <f>"K RAMIREZ 001200229510060343CV"</f>
        <v>K RAMIREZ 001200229510060343CV</v>
      </c>
    </row>
    <row r="2190" spans="1:9" x14ac:dyDescent="0.25">
      <c r="E2190" s="7"/>
      <c r="F2190" t="s">
        <v>20</v>
      </c>
      <c r="G2190" s="10" t="s">
        <v>21</v>
      </c>
      <c r="H2190" t="str">
        <f>"CA2202103098603"</f>
        <v>CA2202103098603</v>
      </c>
      <c r="I2190" t="str">
        <f>"L HERNANDEZ 001016025203080354"</f>
        <v>L HERNANDEZ 001016025203080354</v>
      </c>
    </row>
    <row r="2191" spans="1:9" x14ac:dyDescent="0.25">
      <c r="E2191" s="7"/>
      <c r="F2191" t="s">
        <v>20</v>
      </c>
      <c r="G2191" s="10" t="s">
        <v>21</v>
      </c>
      <c r="H2191" t="str">
        <f>"CA3202103098603"</f>
        <v>CA3202103098603</v>
      </c>
      <c r="I2191" t="str">
        <f>"00120788612011EM5023JOLENEGARC"</f>
        <v>00120788612011EM5023JOLENEGARC</v>
      </c>
    </row>
    <row r="2192" spans="1:9" x14ac:dyDescent="0.25">
      <c r="E2192" s="7"/>
      <c r="F2192" t="s">
        <v>20</v>
      </c>
      <c r="G2192" s="10" t="s">
        <v>21</v>
      </c>
      <c r="H2192" t="str">
        <f>"CSA202103098603"</f>
        <v>CSA202103098603</v>
      </c>
      <c r="I2192" t="str">
        <f>"S RODRIGUEZ 001281730413050336"</f>
        <v>S RODRIGUEZ 001281730413050336</v>
      </c>
    </row>
    <row r="2193" spans="1:9" x14ac:dyDescent="0.25">
      <c r="A2193" s="6">
        <v>44264</v>
      </c>
      <c r="B2193" t="s">
        <v>26</v>
      </c>
      <c r="C2193">
        <v>66248</v>
      </c>
      <c r="D2193" t="s">
        <v>54</v>
      </c>
      <c r="E2193" s="7">
        <v>1164.93</v>
      </c>
      <c r="F2193" t="s">
        <v>20</v>
      </c>
      <c r="G2193" s="10" t="s">
        <v>21</v>
      </c>
      <c r="H2193" t="str">
        <f>"BRE202103098603"</f>
        <v>BRE202103098603</v>
      </c>
      <c r="I2193" t="str">
        <f>"CASE #180-60751 457B DEDUCT"</f>
        <v>CASE #180-60751 457B DEDUCT</v>
      </c>
    </row>
    <row r="2194" spans="1:9" x14ac:dyDescent="0.25">
      <c r="A2194" s="6">
        <v>44264</v>
      </c>
      <c r="B2194" t="s">
        <v>26</v>
      </c>
      <c r="C2194">
        <v>66249</v>
      </c>
      <c r="D2194" t="s">
        <v>969</v>
      </c>
      <c r="E2194" s="7">
        <v>88.74</v>
      </c>
      <c r="F2194" t="s">
        <v>20</v>
      </c>
      <c r="G2194" s="10" t="s">
        <v>21</v>
      </c>
      <c r="H2194" t="str">
        <f>"ATG202103098603"</f>
        <v>ATG202103098603</v>
      </c>
      <c r="I2194" t="str">
        <f>"WG1910853 A. TREVINO"</f>
        <v>WG1910853 A. TREVINO</v>
      </c>
    </row>
    <row r="2195" spans="1:9" x14ac:dyDescent="0.25">
      <c r="A2195" s="6">
        <v>44265</v>
      </c>
      <c r="B2195" t="s">
        <v>26</v>
      </c>
      <c r="C2195">
        <v>66250</v>
      </c>
      <c r="D2195" t="s">
        <v>57</v>
      </c>
      <c r="E2195" s="7">
        <v>16974.68</v>
      </c>
      <c r="F2195" t="s">
        <v>20</v>
      </c>
      <c r="G2195" s="10" t="s">
        <v>21</v>
      </c>
      <c r="H2195" t="str">
        <f>"11617 1/19-2/17/21"</f>
        <v>11617 1/19-2/17/21</v>
      </c>
      <c r="I2195" t="str">
        <f>"F.E.L.P.S."</f>
        <v>F.E.L.P.S.</v>
      </c>
    </row>
    <row r="2196" spans="1:9" x14ac:dyDescent="0.25">
      <c r="A2196" s="6">
        <v>44265</v>
      </c>
      <c r="B2196" t="s">
        <v>26</v>
      </c>
      <c r="C2196">
        <v>66251</v>
      </c>
      <c r="D2196" t="s">
        <v>0</v>
      </c>
      <c r="E2196" s="7">
        <v>2490.5</v>
      </c>
      <c r="F2196" t="s">
        <v>20</v>
      </c>
      <c r="G2196" s="10" t="s">
        <v>21</v>
      </c>
      <c r="H2196" t="str">
        <f>"1/10-2/10/2021"</f>
        <v>1/10-2/10/2021</v>
      </c>
      <c r="I2196" t="str">
        <f>"CITY OF FLORESVILLE"</f>
        <v>CITY OF FLORESVILLE</v>
      </c>
    </row>
    <row r="2197" spans="1:9" x14ac:dyDescent="0.25">
      <c r="A2197" s="6">
        <v>44265</v>
      </c>
      <c r="B2197" t="s">
        <v>26</v>
      </c>
      <c r="C2197">
        <v>66252</v>
      </c>
      <c r="D2197" t="s">
        <v>81</v>
      </c>
      <c r="E2197" s="7">
        <v>647.52</v>
      </c>
      <c r="F2197" t="s">
        <v>20</v>
      </c>
      <c r="G2197" s="10" t="s">
        <v>21</v>
      </c>
      <c r="H2197" t="str">
        <f>"C.PEREZ 3/10/2021"</f>
        <v>C.PEREZ 3/10/2021</v>
      </c>
      <c r="I2197" t="str">
        <f>"CITY OF FLORESVILLE -PETTY CAS"</f>
        <v>CITY OF FLORESVILLE -PETTY CAS</v>
      </c>
    </row>
    <row r="2198" spans="1:9" x14ac:dyDescent="0.25">
      <c r="A2198" s="6">
        <v>44265</v>
      </c>
      <c r="B2198" t="s">
        <v>26</v>
      </c>
      <c r="C2198">
        <v>66253</v>
      </c>
      <c r="D2198" t="s">
        <v>739</v>
      </c>
      <c r="E2198" s="7">
        <v>1531.36</v>
      </c>
      <c r="F2198" t="s">
        <v>20</v>
      </c>
      <c r="G2198" s="10" t="s">
        <v>21</v>
      </c>
      <c r="H2198" t="str">
        <f>"5286X02272021"</f>
        <v>5286X02272021</v>
      </c>
      <c r="I2198" t="str">
        <f>"FIRSTNET/AT&amp;T MOBILITY LLC"</f>
        <v>FIRSTNET/AT&amp;T MOBILITY LLC</v>
      </c>
    </row>
    <row r="2199" spans="1:9" x14ac:dyDescent="0.25">
      <c r="A2199" s="6">
        <v>44265</v>
      </c>
      <c r="B2199" t="s">
        <v>26</v>
      </c>
      <c r="C2199">
        <v>66254</v>
      </c>
      <c r="D2199" t="s">
        <v>888</v>
      </c>
      <c r="E2199" s="7">
        <v>728</v>
      </c>
      <c r="F2199" t="s">
        <v>20</v>
      </c>
      <c r="G2199" s="10" t="s">
        <v>21</v>
      </c>
      <c r="H2199" t="str">
        <f>"190123"</f>
        <v>190123</v>
      </c>
      <c r="I2199" t="str">
        <f>"JULIE VERASTEGUI  CSR"</f>
        <v>JULIE VERASTEGUI  CSR</v>
      </c>
    </row>
    <row r="2200" spans="1:9" x14ac:dyDescent="0.25">
      <c r="A2200" s="6">
        <v>44265</v>
      </c>
      <c r="B2200" t="s">
        <v>26</v>
      </c>
      <c r="C2200">
        <v>66255</v>
      </c>
      <c r="D2200" t="s">
        <v>986</v>
      </c>
      <c r="E2200" s="7">
        <v>1240</v>
      </c>
      <c r="F2200" t="s">
        <v>20</v>
      </c>
      <c r="G2200" s="10" t="s">
        <v>21</v>
      </c>
      <c r="H2200" t="str">
        <f>"2/22-03/5/2021"</f>
        <v>2/22-03/5/2021</v>
      </c>
      <c r="I2200" t="str">
        <f>"KERRY L. ESQUIVEL"</f>
        <v>KERRY L. ESQUIVEL</v>
      </c>
    </row>
    <row r="2201" spans="1:9" x14ac:dyDescent="0.25">
      <c r="A2201" s="6">
        <v>44265</v>
      </c>
      <c r="B2201" t="s">
        <v>26</v>
      </c>
      <c r="C2201">
        <v>66256</v>
      </c>
      <c r="D2201" t="s">
        <v>1018</v>
      </c>
      <c r="E2201" s="7">
        <v>17267.849999999999</v>
      </c>
      <c r="F2201" t="s">
        <v>20</v>
      </c>
      <c r="G2201" s="10" t="s">
        <v>21</v>
      </c>
      <c r="H2201" t="str">
        <f>"1/17-02/28/2021"</f>
        <v>1/17-02/28/2021</v>
      </c>
      <c r="I2201" t="str">
        <f>"LAW OFFICE OF JOSE GARZA"</f>
        <v>LAW OFFICE OF JOSE GARZA</v>
      </c>
    </row>
    <row r="2202" spans="1:9" x14ac:dyDescent="0.25">
      <c r="A2202" s="6">
        <v>44265</v>
      </c>
      <c r="B2202" t="s">
        <v>26</v>
      </c>
      <c r="C2202">
        <v>66257</v>
      </c>
      <c r="D2202" t="s">
        <v>345</v>
      </c>
      <c r="E2202" s="7">
        <v>275</v>
      </c>
      <c r="F2202" t="s">
        <v>20</v>
      </c>
      <c r="G2202" s="10" t="s">
        <v>21</v>
      </c>
      <c r="H2202" t="str">
        <f>"3/8/2021"</f>
        <v>3/8/2021</v>
      </c>
      <c r="I2202" t="str">
        <f>"MICHAEL ISAAC MARTINEZ"</f>
        <v>MICHAEL ISAAC MARTINEZ</v>
      </c>
    </row>
    <row r="2203" spans="1:9" x14ac:dyDescent="0.25">
      <c r="A2203" s="6">
        <v>44265</v>
      </c>
      <c r="B2203" t="s">
        <v>26</v>
      </c>
      <c r="C2203">
        <v>66258</v>
      </c>
      <c r="D2203" t="s">
        <v>213</v>
      </c>
      <c r="E2203" s="7">
        <v>10086.02</v>
      </c>
      <c r="F2203" t="s">
        <v>20</v>
      </c>
      <c r="G2203" s="10" t="s">
        <v>21</v>
      </c>
      <c r="H2203" t="str">
        <f>"FEBRUARY 2021"</f>
        <v>FEBRUARY 2021</v>
      </c>
      <c r="I2203" t="str">
        <f>"RIVER BEND COMMUNITY DEVELOPME"</f>
        <v>RIVER BEND COMMUNITY DEVELOPME</v>
      </c>
    </row>
    <row r="2204" spans="1:9" x14ac:dyDescent="0.25">
      <c r="A2204" s="6">
        <v>44265</v>
      </c>
      <c r="B2204" t="s">
        <v>26</v>
      </c>
      <c r="C2204">
        <v>66259</v>
      </c>
      <c r="D2204" t="s">
        <v>1030</v>
      </c>
      <c r="E2204" s="7">
        <v>62415</v>
      </c>
      <c r="F2204" t="s">
        <v>20</v>
      </c>
      <c r="G2204" s="10" t="s">
        <v>21</v>
      </c>
      <c r="H2204" t="str">
        <f>"PAY APP #2"</f>
        <v>PAY APP #2</v>
      </c>
      <c r="I2204" t="str">
        <f>"TRIUN  LLC"</f>
        <v>TRIUN  LLC</v>
      </c>
    </row>
    <row r="2205" spans="1:9" x14ac:dyDescent="0.25">
      <c r="A2205" s="6">
        <v>44265</v>
      </c>
      <c r="B2205" t="s">
        <v>26</v>
      </c>
      <c r="C2205">
        <v>66260</v>
      </c>
      <c r="D2205" t="s">
        <v>829</v>
      </c>
      <c r="E2205" s="7">
        <v>138</v>
      </c>
      <c r="F2205" t="s">
        <v>20</v>
      </c>
      <c r="G2205" s="10" t="s">
        <v>21</v>
      </c>
      <c r="H2205" t="str">
        <f>"ACCOG FIELD TRNG"</f>
        <v>ACCOG FIELD TRNG</v>
      </c>
      <c r="I2205" t="str">
        <f>"TRAVEL AND TRAINING MEALS"</f>
        <v>TRAVEL AND TRAINING MEALS</v>
      </c>
    </row>
    <row r="2206" spans="1:9" x14ac:dyDescent="0.25">
      <c r="A2206" s="6">
        <v>44266</v>
      </c>
      <c r="B2206" t="s">
        <v>26</v>
      </c>
      <c r="C2206">
        <v>66261</v>
      </c>
      <c r="D2206" t="s">
        <v>74</v>
      </c>
      <c r="E2206" s="7">
        <v>4372.9399999999996</v>
      </c>
      <c r="F2206" t="s">
        <v>20</v>
      </c>
      <c r="G2206" s="10" t="s">
        <v>21</v>
      </c>
      <c r="H2206" t="str">
        <f>"9874058417"</f>
        <v>9874058417</v>
      </c>
      <c r="I2206" t="str">
        <f>"VERIZON WIRELESS"</f>
        <v>VERIZON WIRELESS</v>
      </c>
    </row>
    <row r="2207" spans="1:9" x14ac:dyDescent="0.25">
      <c r="E2207" s="7"/>
      <c r="F2207" t="s">
        <v>20</v>
      </c>
      <c r="G2207" s="10" t="s">
        <v>21</v>
      </c>
      <c r="H2207" t="str">
        <f>"9874058418"</f>
        <v>9874058418</v>
      </c>
      <c r="I2207" t="str">
        <f>"VERIZON WIRELESS"</f>
        <v>VERIZON WIRELESS</v>
      </c>
    </row>
    <row r="2208" spans="1:9" x14ac:dyDescent="0.25">
      <c r="A2208" s="6">
        <v>44267</v>
      </c>
      <c r="B2208" t="s">
        <v>26</v>
      </c>
      <c r="C2208">
        <v>66263</v>
      </c>
      <c r="D2208" t="s">
        <v>139</v>
      </c>
      <c r="E2208" s="7">
        <v>65</v>
      </c>
      <c r="F2208" t="s">
        <v>20</v>
      </c>
      <c r="G2208" s="10" t="s">
        <v>21</v>
      </c>
      <c r="H2208" t="str">
        <f>"31602"</f>
        <v>31602</v>
      </c>
      <c r="I2208" t="str">
        <f>"ANGEL FIRE &amp; SAFETY"</f>
        <v>ANGEL FIRE &amp; SAFETY</v>
      </c>
    </row>
    <row r="2209" spans="1:9" x14ac:dyDescent="0.25">
      <c r="A2209" s="6">
        <v>44267</v>
      </c>
      <c r="B2209" t="s">
        <v>26</v>
      </c>
      <c r="C2209">
        <v>66264</v>
      </c>
      <c r="D2209" t="s">
        <v>715</v>
      </c>
      <c r="E2209" s="7">
        <v>3450</v>
      </c>
      <c r="F2209" t="s">
        <v>20</v>
      </c>
      <c r="G2209" s="10" t="s">
        <v>21</v>
      </c>
      <c r="H2209" t="str">
        <f>"21031002"</f>
        <v>21031002</v>
      </c>
      <c r="I2209" t="str">
        <f>"CAPRISK CONSULTING GROUP"</f>
        <v>CAPRISK CONSULTING GROUP</v>
      </c>
    </row>
    <row r="2210" spans="1:9" x14ac:dyDescent="0.25">
      <c r="A2210" s="6">
        <v>44267</v>
      </c>
      <c r="B2210" t="s">
        <v>26</v>
      </c>
      <c r="C2210">
        <v>66265</v>
      </c>
      <c r="D2210" t="s">
        <v>63</v>
      </c>
      <c r="E2210" s="7">
        <v>42.37</v>
      </c>
      <c r="F2210" t="s">
        <v>20</v>
      </c>
      <c r="G2210" s="10" t="s">
        <v>21</v>
      </c>
      <c r="H2210" t="str">
        <f>"8405025420"</f>
        <v>8405025420</v>
      </c>
      <c r="I2210" t="str">
        <f>"CINTAS CORPORATION"</f>
        <v>CINTAS CORPORATION</v>
      </c>
    </row>
    <row r="2211" spans="1:9" x14ac:dyDescent="0.25">
      <c r="A2211" s="6">
        <v>44267</v>
      </c>
      <c r="B2211" t="s">
        <v>26</v>
      </c>
      <c r="C2211">
        <v>66266</v>
      </c>
      <c r="D2211" t="s">
        <v>71</v>
      </c>
      <c r="E2211" s="7">
        <v>1221.8800000000001</v>
      </c>
      <c r="F2211" t="s">
        <v>20</v>
      </c>
      <c r="G2211" s="10" t="s">
        <v>21</v>
      </c>
      <c r="H2211" t="str">
        <f>"4077233958"</f>
        <v>4077233958</v>
      </c>
      <c r="I2211" t="str">
        <f t="shared" ref="I2211:I2216" si="42">"CINTAS CORPORATION #087"</f>
        <v>CINTAS CORPORATION #087</v>
      </c>
    </row>
    <row r="2212" spans="1:9" x14ac:dyDescent="0.25">
      <c r="E2212" s="7"/>
      <c r="F2212" t="s">
        <v>20</v>
      </c>
      <c r="G2212" s="10" t="s">
        <v>21</v>
      </c>
      <c r="H2212" t="str">
        <f>"4077909830"</f>
        <v>4077909830</v>
      </c>
      <c r="I2212" t="str">
        <f t="shared" si="42"/>
        <v>CINTAS CORPORATION #087</v>
      </c>
    </row>
    <row r="2213" spans="1:9" x14ac:dyDescent="0.25">
      <c r="E2213" s="7"/>
      <c r="F2213" t="s">
        <v>20</v>
      </c>
      <c r="G2213" s="10" t="s">
        <v>21</v>
      </c>
      <c r="H2213" t="str">
        <f>"4077909850"</f>
        <v>4077909850</v>
      </c>
      <c r="I2213" t="str">
        <f t="shared" si="42"/>
        <v>CINTAS CORPORATION #087</v>
      </c>
    </row>
    <row r="2214" spans="1:9" x14ac:dyDescent="0.25">
      <c r="E2214" s="7"/>
      <c r="F2214" t="s">
        <v>20</v>
      </c>
      <c r="G2214" s="10" t="s">
        <v>21</v>
      </c>
      <c r="H2214" t="str">
        <f>"4077909857"</f>
        <v>4077909857</v>
      </c>
      <c r="I2214" t="str">
        <f t="shared" si="42"/>
        <v>CINTAS CORPORATION #087</v>
      </c>
    </row>
    <row r="2215" spans="1:9" x14ac:dyDescent="0.25">
      <c r="E2215" s="7"/>
      <c r="F2215" t="s">
        <v>20</v>
      </c>
      <c r="G2215" s="10" t="s">
        <v>21</v>
      </c>
      <c r="H2215" t="str">
        <f>"4077909859"</f>
        <v>4077909859</v>
      </c>
      <c r="I2215" t="str">
        <f t="shared" si="42"/>
        <v>CINTAS CORPORATION #087</v>
      </c>
    </row>
    <row r="2216" spans="1:9" x14ac:dyDescent="0.25">
      <c r="E2216" s="7"/>
      <c r="F2216" t="s">
        <v>20</v>
      </c>
      <c r="G2216" s="10" t="s">
        <v>21</v>
      </c>
      <c r="H2216" t="str">
        <f>"4077909896"</f>
        <v>4077909896</v>
      </c>
      <c r="I2216" t="str">
        <f t="shared" si="42"/>
        <v>CINTAS CORPORATION #087</v>
      </c>
    </row>
    <row r="2217" spans="1:9" x14ac:dyDescent="0.25">
      <c r="A2217" s="6">
        <v>44267</v>
      </c>
      <c r="B2217" t="s">
        <v>26</v>
      </c>
      <c r="C2217">
        <v>66268</v>
      </c>
      <c r="D2217" t="s">
        <v>661</v>
      </c>
      <c r="E2217" s="7">
        <v>99</v>
      </c>
      <c r="F2217" t="s">
        <v>20</v>
      </c>
      <c r="G2217" s="10" t="s">
        <v>21</v>
      </c>
      <c r="H2217" t="str">
        <f>"8405032503"</f>
        <v>8405032503</v>
      </c>
      <c r="I2217" t="str">
        <f>"CINTAS FAS LOCKBOX 631025"</f>
        <v>CINTAS FAS LOCKBOX 631025</v>
      </c>
    </row>
    <row r="2218" spans="1:9" x14ac:dyDescent="0.25">
      <c r="A2218" s="6">
        <v>44267</v>
      </c>
      <c r="B2218" t="s">
        <v>26</v>
      </c>
      <c r="C2218">
        <v>66269</v>
      </c>
      <c r="D2218" t="s">
        <v>899</v>
      </c>
      <c r="E2218" s="7">
        <v>37.51</v>
      </c>
      <c r="F2218" t="s">
        <v>20</v>
      </c>
      <c r="G2218" s="10" t="s">
        <v>21</v>
      </c>
      <c r="H2218" t="str">
        <f>"REIMBSTMT 2/18/21"</f>
        <v>REIMBSTMT 2/18/21</v>
      </c>
      <c r="I2218" t="str">
        <f>"REFUND"</f>
        <v>REFUND</v>
      </c>
    </row>
    <row r="2219" spans="1:9" x14ac:dyDescent="0.25">
      <c r="A2219" s="6">
        <v>44267</v>
      </c>
      <c r="B2219" t="s">
        <v>26</v>
      </c>
      <c r="C2219">
        <v>66270</v>
      </c>
      <c r="D2219" t="s">
        <v>58</v>
      </c>
      <c r="E2219" s="7">
        <v>33</v>
      </c>
      <c r="F2219" t="s">
        <v>20</v>
      </c>
      <c r="G2219" s="10" t="s">
        <v>21</v>
      </c>
      <c r="H2219" t="str">
        <f>"625842"</f>
        <v>625842</v>
      </c>
      <c r="I2219" t="str">
        <f>"DEASON ANIMAL HOSPITAL"</f>
        <v>DEASON ANIMAL HOSPITAL</v>
      </c>
    </row>
    <row r="2220" spans="1:9" x14ac:dyDescent="0.25">
      <c r="A2220" s="6">
        <v>44267</v>
      </c>
      <c r="B2220" t="s">
        <v>26</v>
      </c>
      <c r="C2220">
        <v>66271</v>
      </c>
      <c r="D2220" t="s">
        <v>64</v>
      </c>
      <c r="E2220" s="7">
        <v>4774</v>
      </c>
      <c r="F2220" t="s">
        <v>20</v>
      </c>
      <c r="G2220" s="10" t="s">
        <v>21</v>
      </c>
      <c r="H2220" t="str">
        <f>"8407"</f>
        <v>8407</v>
      </c>
      <c r="I2220" t="str">
        <f>"DREWA DESIGNS  INC."</f>
        <v>DREWA DESIGNS  INC.</v>
      </c>
    </row>
    <row r="2221" spans="1:9" x14ac:dyDescent="0.25">
      <c r="A2221" s="6">
        <v>44267</v>
      </c>
      <c r="B2221" t="s">
        <v>26</v>
      </c>
      <c r="C2221">
        <v>66272</v>
      </c>
      <c r="D2221" t="s">
        <v>57</v>
      </c>
      <c r="E2221" s="7">
        <v>7775.85</v>
      </c>
      <c r="F2221" t="s">
        <v>20</v>
      </c>
      <c r="G2221" s="10" t="s">
        <v>21</v>
      </c>
      <c r="H2221" t="str">
        <f>"11617 1/27-2/24/21"</f>
        <v>11617 1/27-2/24/21</v>
      </c>
      <c r="I2221" t="str">
        <f>"F.E.L.P.S."</f>
        <v>F.E.L.P.S.</v>
      </c>
    </row>
    <row r="2222" spans="1:9" x14ac:dyDescent="0.25">
      <c r="E2222" s="7"/>
      <c r="F2222" t="s">
        <v>20</v>
      </c>
      <c r="G2222" s="10" t="s">
        <v>21</v>
      </c>
      <c r="H2222" t="str">
        <f>"33062 1/24-2/24/21"</f>
        <v>33062 1/24-2/24/21</v>
      </c>
      <c r="I2222" t="str">
        <f>"F.E.L.P.S."</f>
        <v>F.E.L.P.S.</v>
      </c>
    </row>
    <row r="2223" spans="1:9" x14ac:dyDescent="0.25">
      <c r="A2223" s="6">
        <v>44267</v>
      </c>
      <c r="B2223" t="s">
        <v>26</v>
      </c>
      <c r="C2223">
        <v>66273</v>
      </c>
      <c r="D2223" t="s">
        <v>85</v>
      </c>
      <c r="E2223" s="7">
        <v>3082.86</v>
      </c>
      <c r="F2223" t="s">
        <v>20</v>
      </c>
      <c r="G2223" s="10" t="s">
        <v>21</v>
      </c>
      <c r="H2223" t="str">
        <f>"2162691 FEB.2021"</f>
        <v>2162691 FEB.2021</v>
      </c>
      <c r="I2223" t="str">
        <f t="shared" ref="I2223:I2230" si="43">"FRONTIER"</f>
        <v>FRONTIER</v>
      </c>
    </row>
    <row r="2224" spans="1:9" x14ac:dyDescent="0.25">
      <c r="E2224" s="7"/>
      <c r="F2224" t="s">
        <v>20</v>
      </c>
      <c r="G2224" s="10" t="s">
        <v>21</v>
      </c>
      <c r="H2224" t="str">
        <f>"3930579 MAR.2021"</f>
        <v>3930579 MAR.2021</v>
      </c>
      <c r="I2224" t="str">
        <f t="shared" si="43"/>
        <v>FRONTIER</v>
      </c>
    </row>
    <row r="2225" spans="1:9" x14ac:dyDescent="0.25">
      <c r="E2225" s="7"/>
      <c r="F2225" t="s">
        <v>20</v>
      </c>
      <c r="G2225" s="10" t="s">
        <v>21</v>
      </c>
      <c r="H2225" t="str">
        <f>"3933108 MAR.2021"</f>
        <v>3933108 MAR.2021</v>
      </c>
      <c r="I2225" t="str">
        <f t="shared" si="43"/>
        <v>FRONTIER</v>
      </c>
    </row>
    <row r="2226" spans="1:9" x14ac:dyDescent="0.25">
      <c r="E2226" s="7"/>
      <c r="F2226" t="s">
        <v>20</v>
      </c>
      <c r="G2226" s="10" t="s">
        <v>21</v>
      </c>
      <c r="H2226" t="str">
        <f>"3933718  FEB2021"</f>
        <v>3933718  FEB2021</v>
      </c>
      <c r="I2226" t="str">
        <f t="shared" si="43"/>
        <v>FRONTIER</v>
      </c>
    </row>
    <row r="2227" spans="1:9" x14ac:dyDescent="0.25">
      <c r="E2227" s="7"/>
      <c r="F2227" t="s">
        <v>20</v>
      </c>
      <c r="G2227" s="10" t="s">
        <v>21</v>
      </c>
      <c r="H2227" t="str">
        <f>"3937070 FEB.2021"</f>
        <v>3937070 FEB.2021</v>
      </c>
      <c r="I2227" t="str">
        <f t="shared" si="43"/>
        <v>FRONTIER</v>
      </c>
    </row>
    <row r="2228" spans="1:9" x14ac:dyDescent="0.25">
      <c r="E2228" s="7"/>
      <c r="F2228" t="s">
        <v>20</v>
      </c>
      <c r="G2228" s="10" t="s">
        <v>21</v>
      </c>
      <c r="H2228" t="str">
        <f>"3939791 MAR.2021"</f>
        <v>3939791 MAR.2021</v>
      </c>
      <c r="I2228" t="str">
        <f t="shared" si="43"/>
        <v>FRONTIER</v>
      </c>
    </row>
    <row r="2229" spans="1:9" x14ac:dyDescent="0.25">
      <c r="E2229" s="7"/>
      <c r="F2229" t="s">
        <v>20</v>
      </c>
      <c r="G2229" s="10" t="s">
        <v>21</v>
      </c>
      <c r="H2229" t="str">
        <f>"8301970045 FEB.21"</f>
        <v>8301970045 FEB.21</v>
      </c>
      <c r="I2229" t="str">
        <f t="shared" si="43"/>
        <v>FRONTIER</v>
      </c>
    </row>
    <row r="2230" spans="1:9" x14ac:dyDescent="0.25">
      <c r="E2230" s="7"/>
      <c r="F2230" t="s">
        <v>20</v>
      </c>
      <c r="G2230" s="10" t="s">
        <v>21</v>
      </c>
      <c r="H2230" t="str">
        <f>"9837110025 AN. FEE"</f>
        <v>9837110025 AN. FEE</v>
      </c>
      <c r="I2230" t="str">
        <f t="shared" si="43"/>
        <v>FRONTIER</v>
      </c>
    </row>
    <row r="2231" spans="1:9" x14ac:dyDescent="0.25">
      <c r="A2231" s="6">
        <v>44267</v>
      </c>
      <c r="B2231" t="s">
        <v>26</v>
      </c>
      <c r="C2231">
        <v>66275</v>
      </c>
      <c r="D2231" t="s">
        <v>125</v>
      </c>
      <c r="E2231" s="7">
        <v>440</v>
      </c>
      <c r="F2231" t="s">
        <v>20</v>
      </c>
      <c r="G2231" s="10" t="s">
        <v>21</v>
      </c>
      <c r="H2231" t="str">
        <f>"20-0711 2/2021"</f>
        <v>20-0711 2/2021</v>
      </c>
      <c r="I2231" t="str">
        <f>"INTREPID SURVEYING CORPORATION"</f>
        <v>INTREPID SURVEYING CORPORATION</v>
      </c>
    </row>
    <row r="2232" spans="1:9" x14ac:dyDescent="0.25">
      <c r="A2232" s="6">
        <v>44267</v>
      </c>
      <c r="B2232" t="s">
        <v>26</v>
      </c>
      <c r="C2232">
        <v>66276</v>
      </c>
      <c r="D2232" t="s">
        <v>282</v>
      </c>
      <c r="E2232" s="7">
        <v>7500</v>
      </c>
      <c r="F2232" t="s">
        <v>20</v>
      </c>
      <c r="G2232" s="10" t="s">
        <v>21</v>
      </c>
      <c r="H2232" t="str">
        <f>"4224"</f>
        <v>4224</v>
      </c>
      <c r="I2232" t="str">
        <f>"LANGFORD COMMUNITY MANAGEMENT"</f>
        <v>LANGFORD COMMUNITY MANAGEMENT</v>
      </c>
    </row>
    <row r="2233" spans="1:9" x14ac:dyDescent="0.25">
      <c r="A2233" s="6">
        <v>44267</v>
      </c>
      <c r="B2233" t="s">
        <v>26</v>
      </c>
      <c r="C2233">
        <v>66277</v>
      </c>
      <c r="D2233" t="s">
        <v>66</v>
      </c>
      <c r="E2233" s="7">
        <v>340</v>
      </c>
      <c r="F2233" t="s">
        <v>20</v>
      </c>
      <c r="G2233" s="10" t="s">
        <v>21</v>
      </c>
      <c r="H2233" t="str">
        <f>"60063"</f>
        <v>60063</v>
      </c>
      <c r="I2233" t="str">
        <f>"LOPEZ EXTERMINATING SERVICE  I"</f>
        <v>LOPEZ EXTERMINATING SERVICE  I</v>
      </c>
    </row>
    <row r="2234" spans="1:9" x14ac:dyDescent="0.25">
      <c r="A2234" s="6">
        <v>44267</v>
      </c>
      <c r="B2234" t="s">
        <v>26</v>
      </c>
      <c r="C2234">
        <v>66278</v>
      </c>
      <c r="D2234" t="s">
        <v>105</v>
      </c>
      <c r="E2234" s="7">
        <v>7</v>
      </c>
      <c r="F2234" t="s">
        <v>20</v>
      </c>
      <c r="G2234" s="10" t="s">
        <v>21</v>
      </c>
      <c r="H2234" t="str">
        <f>"379584"</f>
        <v>379584</v>
      </c>
      <c r="I2234" t="str">
        <f>"LUBE WORKS"</f>
        <v>LUBE WORKS</v>
      </c>
    </row>
    <row r="2235" spans="1:9" x14ac:dyDescent="0.25">
      <c r="A2235" s="6">
        <v>44267</v>
      </c>
      <c r="B2235" t="s">
        <v>26</v>
      </c>
      <c r="C2235">
        <v>66279</v>
      </c>
      <c r="D2235" t="s">
        <v>29</v>
      </c>
      <c r="E2235" s="7">
        <v>1049.8</v>
      </c>
      <c r="F2235" t="s">
        <v>20</v>
      </c>
      <c r="G2235" s="10" t="s">
        <v>21</v>
      </c>
      <c r="H2235" t="str">
        <f>"46618"</f>
        <v>46618</v>
      </c>
      <c r="I2235" t="str">
        <f>"M &amp; S ENGINEERING  LLC"</f>
        <v>M &amp; S ENGINEERING  LLC</v>
      </c>
    </row>
    <row r="2236" spans="1:9" x14ac:dyDescent="0.25">
      <c r="A2236" s="6">
        <v>44267</v>
      </c>
      <c r="B2236" t="s">
        <v>26</v>
      </c>
      <c r="C2236">
        <v>66280</v>
      </c>
      <c r="D2236" t="s">
        <v>326</v>
      </c>
      <c r="E2236" s="7">
        <v>41</v>
      </c>
      <c r="F2236" t="s">
        <v>20</v>
      </c>
      <c r="G2236" s="10" t="s">
        <v>21</v>
      </c>
      <c r="H2236" t="str">
        <f>"23160183"</f>
        <v>23160183</v>
      </c>
      <c r="I2236" t="str">
        <f>"MATHESON TRI-GAS INC"</f>
        <v>MATHESON TRI-GAS INC</v>
      </c>
    </row>
    <row r="2237" spans="1:9" x14ac:dyDescent="0.25">
      <c r="A2237" s="6">
        <v>44267</v>
      </c>
      <c r="B2237" t="s">
        <v>26</v>
      </c>
      <c r="C2237">
        <v>66281</v>
      </c>
      <c r="D2237" t="s">
        <v>240</v>
      </c>
      <c r="E2237" s="7">
        <v>158.94</v>
      </c>
      <c r="F2237" t="s">
        <v>20</v>
      </c>
      <c r="G2237" s="10" t="s">
        <v>21</v>
      </c>
      <c r="H2237" t="str">
        <f>"0205195-IN"</f>
        <v>0205195-IN</v>
      </c>
      <c r="I2237" t="str">
        <f>"NARDIS PUBLIC SAFETY"</f>
        <v>NARDIS PUBLIC SAFETY</v>
      </c>
    </row>
    <row r="2238" spans="1:9" x14ac:dyDescent="0.25">
      <c r="E2238" s="7"/>
      <c r="F2238" t="s">
        <v>20</v>
      </c>
      <c r="G2238" s="10" t="s">
        <v>21</v>
      </c>
      <c r="H2238" t="str">
        <f>"0205395-IN"</f>
        <v>0205395-IN</v>
      </c>
      <c r="I2238" t="str">
        <f>"NARDIS PUBLIC SAFETY"</f>
        <v>NARDIS PUBLIC SAFETY</v>
      </c>
    </row>
    <row r="2239" spans="1:9" x14ac:dyDescent="0.25">
      <c r="A2239" s="6">
        <v>44267</v>
      </c>
      <c r="B2239" t="s">
        <v>26</v>
      </c>
      <c r="C2239">
        <v>66282</v>
      </c>
      <c r="D2239" t="s">
        <v>123</v>
      </c>
      <c r="E2239" s="7">
        <v>142.01</v>
      </c>
      <c r="F2239" t="s">
        <v>20</v>
      </c>
      <c r="G2239" s="10" t="s">
        <v>21</v>
      </c>
      <c r="H2239" t="str">
        <f>"15291829001"</f>
        <v>15291829001</v>
      </c>
      <c r="I2239" t="str">
        <f>"OFFICE DEPOT  INC."</f>
        <v>OFFICE DEPOT  INC.</v>
      </c>
    </row>
    <row r="2240" spans="1:9" x14ac:dyDescent="0.25">
      <c r="E2240" s="7"/>
      <c r="F2240" t="s">
        <v>20</v>
      </c>
      <c r="G2240" s="10" t="s">
        <v>21</v>
      </c>
      <c r="H2240" t="str">
        <f>"152927325001"</f>
        <v>152927325001</v>
      </c>
      <c r="I2240" t="str">
        <f>"OFFICE DEPOT  INC."</f>
        <v>OFFICE DEPOT  INC.</v>
      </c>
    </row>
    <row r="2241" spans="1:9" x14ac:dyDescent="0.25">
      <c r="A2241" s="6">
        <v>44267</v>
      </c>
      <c r="B2241" t="s">
        <v>26</v>
      </c>
      <c r="C2241">
        <v>66283</v>
      </c>
      <c r="D2241" t="s">
        <v>62</v>
      </c>
      <c r="E2241" s="7">
        <v>225.25</v>
      </c>
      <c r="F2241" t="s">
        <v>20</v>
      </c>
      <c r="G2241" s="10" t="s">
        <v>21</v>
      </c>
      <c r="H2241" t="str">
        <f>"72440"</f>
        <v>72440</v>
      </c>
      <c r="I2241" t="str">
        <f>"PROFICIENT BENEFIT SOLUTIONS"</f>
        <v>PROFICIENT BENEFIT SOLUTIONS</v>
      </c>
    </row>
    <row r="2242" spans="1:9" x14ac:dyDescent="0.25">
      <c r="A2242" s="6">
        <v>44267</v>
      </c>
      <c r="B2242" t="s">
        <v>26</v>
      </c>
      <c r="C2242">
        <v>66284</v>
      </c>
      <c r="D2242" t="s">
        <v>126</v>
      </c>
      <c r="E2242" s="7">
        <v>88493.36</v>
      </c>
      <c r="F2242" t="s">
        <v>20</v>
      </c>
      <c r="G2242" s="10" t="s">
        <v>21</v>
      </c>
      <c r="H2242" t="str">
        <f>"0859-002770258"</f>
        <v>0859-002770258</v>
      </c>
      <c r="I2242" t="str">
        <f>"REPUBLIC SERVICES #859"</f>
        <v>REPUBLIC SERVICES #859</v>
      </c>
    </row>
    <row r="2243" spans="1:9" x14ac:dyDescent="0.25">
      <c r="E2243" s="7"/>
      <c r="F2243" t="s">
        <v>20</v>
      </c>
      <c r="G2243" s="10" t="s">
        <v>21</v>
      </c>
      <c r="H2243" t="str">
        <f>"0859-002774438"</f>
        <v>0859-002774438</v>
      </c>
      <c r="I2243" t="str">
        <f>"REPUBLIC SERVICES #859"</f>
        <v>REPUBLIC SERVICES #859</v>
      </c>
    </row>
    <row r="2244" spans="1:9" x14ac:dyDescent="0.25">
      <c r="A2244" s="6">
        <v>44267</v>
      </c>
      <c r="B2244" t="s">
        <v>26</v>
      </c>
      <c r="C2244">
        <v>66285</v>
      </c>
      <c r="D2244" t="s">
        <v>339</v>
      </c>
      <c r="E2244" s="7">
        <v>90</v>
      </c>
      <c r="F2244" t="s">
        <v>20</v>
      </c>
      <c r="G2244" s="10" t="s">
        <v>21</v>
      </c>
      <c r="H2244" t="str">
        <f>"825063"</f>
        <v>825063</v>
      </c>
      <c r="I2244" t="str">
        <f>"SOUTHWEST PUBLIC SAFETY"</f>
        <v>SOUTHWEST PUBLIC SAFETY</v>
      </c>
    </row>
    <row r="2245" spans="1:9" x14ac:dyDescent="0.25">
      <c r="A2245" s="6">
        <v>44267</v>
      </c>
      <c r="B2245" t="s">
        <v>26</v>
      </c>
      <c r="C2245">
        <v>66286</v>
      </c>
      <c r="D2245" t="s">
        <v>132</v>
      </c>
      <c r="E2245" s="7">
        <v>65.540000000000006</v>
      </c>
      <c r="F2245" t="s">
        <v>20</v>
      </c>
      <c r="G2245" s="10" t="s">
        <v>21</v>
      </c>
      <c r="H2245" t="str">
        <f>"16992887 022521"</f>
        <v>16992887 022521</v>
      </c>
      <c r="I2245" t="str">
        <f>"SPARKLETTS &amp; SIERRA SPRINGS"</f>
        <v>SPARKLETTS &amp; SIERRA SPRINGS</v>
      </c>
    </row>
    <row r="2246" spans="1:9" x14ac:dyDescent="0.25">
      <c r="A2246" s="6">
        <v>44267</v>
      </c>
      <c r="B2246" t="s">
        <v>26</v>
      </c>
      <c r="C2246">
        <v>66287</v>
      </c>
      <c r="D2246" t="s">
        <v>644</v>
      </c>
      <c r="E2246" s="7">
        <v>995.48</v>
      </c>
      <c r="F2246" t="s">
        <v>20</v>
      </c>
      <c r="G2246" s="10" t="s">
        <v>21</v>
      </c>
      <c r="H2246" t="str">
        <f>"8213568523"</f>
        <v>8213568523</v>
      </c>
      <c r="I2246" t="str">
        <f t="shared" ref="I2246:I2259" si="44">"UNIFIRST CORPORATION"</f>
        <v>UNIFIRST CORPORATION</v>
      </c>
    </row>
    <row r="2247" spans="1:9" x14ac:dyDescent="0.25">
      <c r="E2247" s="7"/>
      <c r="F2247" t="s">
        <v>20</v>
      </c>
      <c r="G2247" s="10" t="s">
        <v>21</v>
      </c>
      <c r="H2247" t="str">
        <f>"8213568524"</f>
        <v>8213568524</v>
      </c>
      <c r="I2247" t="str">
        <f t="shared" si="44"/>
        <v>UNIFIRST CORPORATION</v>
      </c>
    </row>
    <row r="2248" spans="1:9" x14ac:dyDescent="0.25">
      <c r="E2248" s="7"/>
      <c r="F2248" t="s">
        <v>20</v>
      </c>
      <c r="G2248" s="10" t="s">
        <v>21</v>
      </c>
      <c r="H2248" t="str">
        <f>"8213568525"</f>
        <v>8213568525</v>
      </c>
      <c r="I2248" t="str">
        <f t="shared" si="44"/>
        <v>UNIFIRST CORPORATION</v>
      </c>
    </row>
    <row r="2249" spans="1:9" x14ac:dyDescent="0.25">
      <c r="E2249" s="7"/>
      <c r="F2249" t="s">
        <v>20</v>
      </c>
      <c r="G2249" s="10" t="s">
        <v>21</v>
      </c>
      <c r="H2249" t="str">
        <f>"8213568526"</f>
        <v>8213568526</v>
      </c>
      <c r="I2249" t="str">
        <f t="shared" si="44"/>
        <v>UNIFIRST CORPORATION</v>
      </c>
    </row>
    <row r="2250" spans="1:9" x14ac:dyDescent="0.25">
      <c r="E2250" s="7"/>
      <c r="F2250" t="s">
        <v>20</v>
      </c>
      <c r="G2250" s="10" t="s">
        <v>21</v>
      </c>
      <c r="H2250" t="str">
        <f>"8213568527"</f>
        <v>8213568527</v>
      </c>
      <c r="I2250" t="str">
        <f t="shared" si="44"/>
        <v>UNIFIRST CORPORATION</v>
      </c>
    </row>
    <row r="2251" spans="1:9" x14ac:dyDescent="0.25">
      <c r="E2251" s="7"/>
      <c r="F2251" t="s">
        <v>20</v>
      </c>
      <c r="G2251" s="10" t="s">
        <v>21</v>
      </c>
      <c r="H2251" t="str">
        <f>"8213568528"</f>
        <v>8213568528</v>
      </c>
      <c r="I2251" t="str">
        <f t="shared" si="44"/>
        <v>UNIFIRST CORPORATION</v>
      </c>
    </row>
    <row r="2252" spans="1:9" x14ac:dyDescent="0.25">
      <c r="E2252" s="7"/>
      <c r="F2252" t="s">
        <v>20</v>
      </c>
      <c r="G2252" s="10" t="s">
        <v>21</v>
      </c>
      <c r="H2252" t="str">
        <f>"8213568529"</f>
        <v>8213568529</v>
      </c>
      <c r="I2252" t="str">
        <f t="shared" si="44"/>
        <v>UNIFIRST CORPORATION</v>
      </c>
    </row>
    <row r="2253" spans="1:9" x14ac:dyDescent="0.25">
      <c r="E2253" s="7"/>
      <c r="F2253" t="s">
        <v>20</v>
      </c>
      <c r="G2253" s="10" t="s">
        <v>21</v>
      </c>
      <c r="H2253" t="str">
        <f>"8213571068"</f>
        <v>8213571068</v>
      </c>
      <c r="I2253" t="str">
        <f t="shared" si="44"/>
        <v>UNIFIRST CORPORATION</v>
      </c>
    </row>
    <row r="2254" spans="1:9" x14ac:dyDescent="0.25">
      <c r="E2254" s="7"/>
      <c r="F2254" t="s">
        <v>20</v>
      </c>
      <c r="G2254" s="10" t="s">
        <v>21</v>
      </c>
      <c r="H2254" t="str">
        <f>"8213571069"</f>
        <v>8213571069</v>
      </c>
      <c r="I2254" t="str">
        <f t="shared" si="44"/>
        <v>UNIFIRST CORPORATION</v>
      </c>
    </row>
    <row r="2255" spans="1:9" x14ac:dyDescent="0.25">
      <c r="E2255" s="7"/>
      <c r="F2255" t="s">
        <v>20</v>
      </c>
      <c r="G2255" s="10" t="s">
        <v>21</v>
      </c>
      <c r="H2255" t="str">
        <f>"8213571070"</f>
        <v>8213571070</v>
      </c>
      <c r="I2255" t="str">
        <f t="shared" si="44"/>
        <v>UNIFIRST CORPORATION</v>
      </c>
    </row>
    <row r="2256" spans="1:9" x14ac:dyDescent="0.25">
      <c r="E2256" s="7"/>
      <c r="F2256" t="s">
        <v>20</v>
      </c>
      <c r="G2256" s="10" t="s">
        <v>21</v>
      </c>
      <c r="H2256" t="str">
        <f>"8213571071"</f>
        <v>8213571071</v>
      </c>
      <c r="I2256" t="str">
        <f t="shared" si="44"/>
        <v>UNIFIRST CORPORATION</v>
      </c>
    </row>
    <row r="2257" spans="1:9" x14ac:dyDescent="0.25">
      <c r="E2257" s="7"/>
      <c r="F2257" t="s">
        <v>20</v>
      </c>
      <c r="G2257" s="10" t="s">
        <v>21</v>
      </c>
      <c r="H2257" t="str">
        <f>"8213571072"</f>
        <v>8213571072</v>
      </c>
      <c r="I2257" t="str">
        <f t="shared" si="44"/>
        <v>UNIFIRST CORPORATION</v>
      </c>
    </row>
    <row r="2258" spans="1:9" x14ac:dyDescent="0.25">
      <c r="E2258" s="7"/>
      <c r="F2258" t="s">
        <v>20</v>
      </c>
      <c r="G2258" s="10" t="s">
        <v>21</v>
      </c>
      <c r="H2258" t="str">
        <f>"8213571073"</f>
        <v>8213571073</v>
      </c>
      <c r="I2258" t="str">
        <f t="shared" si="44"/>
        <v>UNIFIRST CORPORATION</v>
      </c>
    </row>
    <row r="2259" spans="1:9" x14ac:dyDescent="0.25">
      <c r="E2259" s="7"/>
      <c r="F2259" t="s">
        <v>20</v>
      </c>
      <c r="G2259" s="10" t="s">
        <v>21</v>
      </c>
      <c r="H2259" t="str">
        <f>"8213571074"</f>
        <v>8213571074</v>
      </c>
      <c r="I2259" t="str">
        <f t="shared" si="44"/>
        <v>UNIFIRST CORPORATION</v>
      </c>
    </row>
    <row r="2260" spans="1:9" x14ac:dyDescent="0.25">
      <c r="A2260" s="6">
        <v>44267</v>
      </c>
      <c r="B2260" t="s">
        <v>26</v>
      </c>
      <c r="C2260">
        <v>66290</v>
      </c>
      <c r="D2260" t="s">
        <v>122</v>
      </c>
      <c r="E2260" s="7">
        <v>34</v>
      </c>
      <c r="F2260" t="s">
        <v>20</v>
      </c>
      <c r="G2260" s="10" t="s">
        <v>21</v>
      </c>
      <c r="H2260" t="str">
        <f>"153760"</f>
        <v>153760</v>
      </c>
      <c r="I2260" t="str">
        <f>"VILLA TIRES"</f>
        <v>VILLA TIRES</v>
      </c>
    </row>
    <row r="2261" spans="1:9" x14ac:dyDescent="0.25">
      <c r="E2261" s="7"/>
      <c r="F2261" t="s">
        <v>20</v>
      </c>
      <c r="G2261" s="10" t="s">
        <v>21</v>
      </c>
      <c r="H2261" t="str">
        <f>"153774"</f>
        <v>153774</v>
      </c>
      <c r="I2261" t="str">
        <f>"VILLA TIRES"</f>
        <v>VILLA TIRES</v>
      </c>
    </row>
    <row r="2262" spans="1:9" x14ac:dyDescent="0.25">
      <c r="E2262" s="7"/>
      <c r="F2262" t="s">
        <v>20</v>
      </c>
      <c r="G2262" s="10" t="s">
        <v>21</v>
      </c>
      <c r="H2262" t="str">
        <f>"153776"</f>
        <v>153776</v>
      </c>
      <c r="I2262" t="str">
        <f>"VILLA TIRES"</f>
        <v>VILLA TIRES</v>
      </c>
    </row>
    <row r="2263" spans="1:9" x14ac:dyDescent="0.25">
      <c r="A2263" s="6">
        <v>44267</v>
      </c>
      <c r="B2263" t="s">
        <v>26</v>
      </c>
      <c r="C2263">
        <v>66291</v>
      </c>
      <c r="D2263" t="s">
        <v>104</v>
      </c>
      <c r="E2263" s="7">
        <v>110.4</v>
      </c>
      <c r="F2263" t="s">
        <v>20</v>
      </c>
      <c r="G2263" s="10" t="s">
        <v>21</v>
      </c>
      <c r="H2263" t="str">
        <f>"11937"</f>
        <v>11937</v>
      </c>
      <c r="I2263" t="str">
        <f>"WILSON COUNTY NEWS"</f>
        <v>WILSON COUNTY NEWS</v>
      </c>
    </row>
    <row r="2264" spans="1:9" x14ac:dyDescent="0.25">
      <c r="A2264" s="6">
        <v>44267</v>
      </c>
      <c r="B2264" t="s">
        <v>26</v>
      </c>
      <c r="C2264">
        <v>66292</v>
      </c>
      <c r="D2264" t="s">
        <v>76</v>
      </c>
      <c r="E2264" s="7">
        <v>3012.15</v>
      </c>
      <c r="F2264" t="s">
        <v>20</v>
      </c>
      <c r="G2264" s="10" t="s">
        <v>21</v>
      </c>
      <c r="H2264" t="str">
        <f>"1163"</f>
        <v>1163</v>
      </c>
      <c r="I2264" t="str">
        <f>"WILSON COUNTY TAX COLLECTOR"</f>
        <v>WILSON COUNTY TAX COLLECTOR</v>
      </c>
    </row>
    <row r="2265" spans="1:9" x14ac:dyDescent="0.25">
      <c r="A2265" s="6">
        <v>44267</v>
      </c>
      <c r="B2265" t="s">
        <v>26</v>
      </c>
      <c r="C2265">
        <v>66293</v>
      </c>
      <c r="D2265" t="s">
        <v>483</v>
      </c>
      <c r="E2265" s="7">
        <v>119.32</v>
      </c>
      <c r="F2265" t="s">
        <v>20</v>
      </c>
      <c r="G2265" s="10" t="s">
        <v>21</v>
      </c>
      <c r="H2265" t="str">
        <f>"5451295"</f>
        <v>5451295</v>
      </c>
      <c r="I2265" t="str">
        <f>"HYDRALIC HOSE"</f>
        <v>HYDRALIC HOSE</v>
      </c>
    </row>
    <row r="2266" spans="1:9" x14ac:dyDescent="0.25">
      <c r="A2266" s="6">
        <v>44267</v>
      </c>
      <c r="B2266" t="s">
        <v>26</v>
      </c>
      <c r="C2266">
        <v>66294</v>
      </c>
      <c r="D2266" t="s">
        <v>115</v>
      </c>
      <c r="E2266" s="7">
        <v>312.19</v>
      </c>
      <c r="F2266" t="s">
        <v>20</v>
      </c>
      <c r="G2266" s="10" t="s">
        <v>21</v>
      </c>
      <c r="H2266" t="str">
        <f>"3547855259"</f>
        <v>3547855259</v>
      </c>
      <c r="I2266" t="str">
        <f>"STREET DEPT UNIT 402"</f>
        <v>STREET DEPT UNIT 402</v>
      </c>
    </row>
    <row r="2267" spans="1:9" x14ac:dyDescent="0.25">
      <c r="E2267" s="7"/>
      <c r="F2267" t="s">
        <v>20</v>
      </c>
      <c r="G2267" s="10" t="s">
        <v>21</v>
      </c>
      <c r="H2267" t="str">
        <f>"3547859630"</f>
        <v>3547859630</v>
      </c>
      <c r="I2267" t="str">
        <f>"PD UNIT 334 BATTERY"</f>
        <v>PD UNIT 334 BATTERY</v>
      </c>
    </row>
    <row r="2268" spans="1:9" x14ac:dyDescent="0.25">
      <c r="A2268" s="6">
        <v>44267</v>
      </c>
      <c r="B2268" t="s">
        <v>26</v>
      </c>
      <c r="C2268">
        <v>66295</v>
      </c>
      <c r="D2268" t="s">
        <v>1031</v>
      </c>
      <c r="E2268" s="7">
        <v>2892.35</v>
      </c>
      <c r="F2268" t="s">
        <v>20</v>
      </c>
      <c r="G2268" s="10" t="s">
        <v>21</v>
      </c>
      <c r="H2268" t="str">
        <f>"119112"</f>
        <v>119112</v>
      </c>
      <c r="I2268" t="str">
        <f>"ASPHALT ALLEY PROJECT"</f>
        <v>ASPHALT ALLEY PROJECT</v>
      </c>
    </row>
    <row r="2269" spans="1:9" x14ac:dyDescent="0.25">
      <c r="A2269" s="6">
        <v>44267</v>
      </c>
      <c r="B2269" t="s">
        <v>26</v>
      </c>
      <c r="C2269">
        <v>66296</v>
      </c>
      <c r="D2269" t="s">
        <v>684</v>
      </c>
      <c r="E2269" s="7">
        <v>644.94000000000005</v>
      </c>
      <c r="F2269" t="s">
        <v>20</v>
      </c>
      <c r="G2269" s="10" t="s">
        <v>21</v>
      </c>
      <c r="H2269" t="str">
        <f>"0064880"</f>
        <v>0064880</v>
      </c>
      <c r="I2269" t="str">
        <f>"SWEEPER REPAIR"</f>
        <v>SWEEPER REPAIR</v>
      </c>
    </row>
    <row r="2270" spans="1:9" x14ac:dyDescent="0.25">
      <c r="A2270" s="6">
        <v>44267</v>
      </c>
      <c r="B2270" t="s">
        <v>26</v>
      </c>
      <c r="C2270">
        <v>66297</v>
      </c>
      <c r="D2270" t="s">
        <v>143</v>
      </c>
      <c r="E2270" s="7">
        <v>333.22</v>
      </c>
      <c r="F2270" t="s">
        <v>20</v>
      </c>
      <c r="G2270" s="10" t="s">
        <v>21</v>
      </c>
      <c r="H2270" t="str">
        <f>"9402422854"</f>
        <v>9402422854</v>
      </c>
      <c r="I2270" t="str">
        <f>"200 GAL OIL"</f>
        <v>200 GAL OIL</v>
      </c>
    </row>
    <row r="2271" spans="1:9" x14ac:dyDescent="0.25">
      <c r="A2271" s="6">
        <v>44267</v>
      </c>
      <c r="B2271" t="s">
        <v>26</v>
      </c>
      <c r="C2271">
        <v>66298</v>
      </c>
      <c r="D2271" t="s">
        <v>59</v>
      </c>
      <c r="E2271" s="7">
        <v>730.26</v>
      </c>
      <c r="F2271" t="s">
        <v>20</v>
      </c>
      <c r="G2271" s="10" t="s">
        <v>21</v>
      </c>
      <c r="H2271" t="str">
        <f>"1105667"</f>
        <v>1105667</v>
      </c>
      <c r="I2271" t="str">
        <f>"WATER SUPPLIES -MCDONALDS"</f>
        <v>WATER SUPPLIES -MCDONALDS</v>
      </c>
    </row>
    <row r="2272" spans="1:9" x14ac:dyDescent="0.25">
      <c r="A2272" s="6">
        <v>44267</v>
      </c>
      <c r="B2272" t="s">
        <v>26</v>
      </c>
      <c r="C2272">
        <v>66299</v>
      </c>
      <c r="D2272" t="s">
        <v>609</v>
      </c>
      <c r="E2272" s="7">
        <v>1289.6199999999999</v>
      </c>
      <c r="F2272" t="s">
        <v>20</v>
      </c>
      <c r="G2272" s="10" t="s">
        <v>21</v>
      </c>
      <c r="H2272" t="str">
        <f>"32256419"</f>
        <v>32256419</v>
      </c>
      <c r="I2272" t="str">
        <f>"SHOP SUPPLIES"</f>
        <v>SHOP SUPPLIES</v>
      </c>
    </row>
    <row r="2273" spans="1:9" x14ac:dyDescent="0.25">
      <c r="A2273" s="6">
        <v>44267</v>
      </c>
      <c r="B2273" t="s">
        <v>26</v>
      </c>
      <c r="C2273">
        <v>66301</v>
      </c>
      <c r="D2273" t="s">
        <v>426</v>
      </c>
      <c r="E2273" s="7">
        <v>1227</v>
      </c>
      <c r="F2273" t="s">
        <v>20</v>
      </c>
      <c r="G2273" s="10" t="s">
        <v>21</v>
      </c>
      <c r="H2273" t="str">
        <f>"INV0828727"</f>
        <v>INV0828727</v>
      </c>
      <c r="I2273" t="str">
        <f>"GLOCK-MODEL 17-GEN 5 9MM-"</f>
        <v>GLOCK-MODEL 17-GEN 5 9MM-</v>
      </c>
    </row>
    <row r="2274" spans="1:9" x14ac:dyDescent="0.25">
      <c r="A2274" s="6">
        <v>44267</v>
      </c>
      <c r="B2274" t="s">
        <v>26</v>
      </c>
      <c r="C2274">
        <v>66302</v>
      </c>
      <c r="D2274" t="s">
        <v>105</v>
      </c>
      <c r="E2274" s="7">
        <v>21</v>
      </c>
      <c r="F2274" t="s">
        <v>20</v>
      </c>
      <c r="G2274" s="10" t="s">
        <v>21</v>
      </c>
      <c r="H2274" t="str">
        <f>"379138"</f>
        <v>379138</v>
      </c>
      <c r="I2274" t="str">
        <f>"INSPECTION STICKER"</f>
        <v>INSPECTION STICKER</v>
      </c>
    </row>
    <row r="2275" spans="1:9" x14ac:dyDescent="0.25">
      <c r="E2275" s="7"/>
      <c r="F2275" t="s">
        <v>20</v>
      </c>
      <c r="G2275" s="10" t="s">
        <v>21</v>
      </c>
      <c r="H2275" t="str">
        <f>"379146"</f>
        <v>379146</v>
      </c>
      <c r="I2275" t="str">
        <f>"INSPECTION STICKER"</f>
        <v>INSPECTION STICKER</v>
      </c>
    </row>
    <row r="2276" spans="1:9" x14ac:dyDescent="0.25">
      <c r="E2276" s="7"/>
      <c r="F2276" t="s">
        <v>20</v>
      </c>
      <c r="G2276" s="10" t="s">
        <v>21</v>
      </c>
      <c r="H2276" t="str">
        <f>"379157"</f>
        <v>379157</v>
      </c>
      <c r="I2276" t="str">
        <f>"INSPECTION STICKER"</f>
        <v>INSPECTION STICKER</v>
      </c>
    </row>
    <row r="2277" spans="1:9" x14ac:dyDescent="0.25">
      <c r="A2277" s="6">
        <v>44267</v>
      </c>
      <c r="B2277" t="s">
        <v>26</v>
      </c>
      <c r="C2277">
        <v>66303</v>
      </c>
      <c r="D2277" t="s">
        <v>124</v>
      </c>
      <c r="E2277" s="7">
        <v>66.709999999999994</v>
      </c>
      <c r="F2277" t="s">
        <v>20</v>
      </c>
      <c r="G2277" s="10" t="s">
        <v>21</v>
      </c>
      <c r="H2277" t="str">
        <f>"11100633"</f>
        <v>11100633</v>
      </c>
      <c r="I2277" t="str">
        <f>"TOOLS/SUPPLIES"</f>
        <v>TOOLS/SUPPLIES</v>
      </c>
    </row>
    <row r="2278" spans="1:9" x14ac:dyDescent="0.25">
      <c r="E2278" s="7"/>
      <c r="F2278" t="s">
        <v>20</v>
      </c>
      <c r="G2278" s="10" t="s">
        <v>21</v>
      </c>
      <c r="H2278" t="str">
        <f>"11102098"</f>
        <v>11102098</v>
      </c>
      <c r="I2278" t="str">
        <f>"PORTLAND MIX"</f>
        <v>PORTLAND MIX</v>
      </c>
    </row>
    <row r="2279" spans="1:9" x14ac:dyDescent="0.25">
      <c r="A2279" s="6">
        <v>44267</v>
      </c>
      <c r="B2279" t="s">
        <v>26</v>
      </c>
      <c r="C2279">
        <v>66304</v>
      </c>
      <c r="D2279" t="s">
        <v>240</v>
      </c>
      <c r="E2279" s="7">
        <v>1698.85</v>
      </c>
      <c r="F2279" t="s">
        <v>20</v>
      </c>
      <c r="G2279" s="10" t="s">
        <v>21</v>
      </c>
      <c r="H2279" t="str">
        <f>"0204789-IN"</f>
        <v>0204789-IN</v>
      </c>
      <c r="I2279" t="str">
        <f>"UNIFORMS"</f>
        <v>UNIFORMS</v>
      </c>
    </row>
    <row r="2280" spans="1:9" x14ac:dyDescent="0.25">
      <c r="E2280" s="7"/>
      <c r="F2280" t="s">
        <v>20</v>
      </c>
      <c r="G2280" s="10" t="s">
        <v>21</v>
      </c>
      <c r="H2280" t="str">
        <f>"0205138-IN"</f>
        <v>0205138-IN</v>
      </c>
      <c r="I2280" t="str">
        <f>"UNIFORM ALLOWANCE"</f>
        <v>UNIFORM ALLOWANCE</v>
      </c>
    </row>
    <row r="2281" spans="1:9" x14ac:dyDescent="0.25">
      <c r="E2281" s="7"/>
      <c r="F2281" t="s">
        <v>20</v>
      </c>
      <c r="G2281" s="10" t="s">
        <v>21</v>
      </c>
      <c r="H2281" t="str">
        <f>"0205362-IN"</f>
        <v>0205362-IN</v>
      </c>
      <c r="I2281" t="str">
        <f>"B. HERRERA UNIFORM ALLOWA"</f>
        <v>B. HERRERA UNIFORM ALLOWA</v>
      </c>
    </row>
    <row r="2282" spans="1:9" x14ac:dyDescent="0.25">
      <c r="E2282" s="7"/>
      <c r="F2282" t="s">
        <v>20</v>
      </c>
      <c r="G2282" s="10" t="s">
        <v>21</v>
      </c>
      <c r="H2282" t="str">
        <f>"0205365-IN"</f>
        <v>0205365-IN</v>
      </c>
      <c r="I2282" t="str">
        <f>"UNIFORM ALLOWANCE"</f>
        <v>UNIFORM ALLOWANCE</v>
      </c>
    </row>
    <row r="2283" spans="1:9" x14ac:dyDescent="0.25">
      <c r="A2283" s="6">
        <v>44267</v>
      </c>
      <c r="B2283" t="s">
        <v>26</v>
      </c>
      <c r="C2283">
        <v>66305</v>
      </c>
      <c r="D2283" t="s">
        <v>215</v>
      </c>
      <c r="E2283" s="7">
        <v>375</v>
      </c>
      <c r="F2283" t="s">
        <v>20</v>
      </c>
      <c r="G2283" s="10" t="s">
        <v>21</v>
      </c>
      <c r="H2283" t="str">
        <f>"653219"</f>
        <v>653219</v>
      </c>
      <c r="I2283" t="str">
        <f>"AMT PUMP"</f>
        <v>AMT PUMP</v>
      </c>
    </row>
    <row r="2284" spans="1:9" x14ac:dyDescent="0.25">
      <c r="A2284" s="6">
        <v>44267</v>
      </c>
      <c r="B2284" t="s">
        <v>26</v>
      </c>
      <c r="C2284">
        <v>66306</v>
      </c>
      <c r="D2284" t="s">
        <v>123</v>
      </c>
      <c r="E2284" s="7">
        <v>68.13</v>
      </c>
      <c r="F2284" t="s">
        <v>20</v>
      </c>
      <c r="G2284" s="10" t="s">
        <v>21</v>
      </c>
      <c r="H2284" t="str">
        <f>"154379675001"</f>
        <v>154379675001</v>
      </c>
      <c r="I2284" t="str">
        <f>"OFFICE SUPPLIES"</f>
        <v>OFFICE SUPPLIES</v>
      </c>
    </row>
    <row r="2285" spans="1:9" x14ac:dyDescent="0.25">
      <c r="E2285" s="7"/>
      <c r="F2285" t="s">
        <v>20</v>
      </c>
      <c r="G2285" s="10" t="s">
        <v>21</v>
      </c>
      <c r="H2285" t="str">
        <f>"154433642001"</f>
        <v>154433642001</v>
      </c>
      <c r="I2285" t="str">
        <f>"OFFICE SUPPLIES"</f>
        <v>OFFICE SUPPLIES</v>
      </c>
    </row>
    <row r="2286" spans="1:9" x14ac:dyDescent="0.25">
      <c r="E2286" s="7"/>
      <c r="F2286" t="s">
        <v>20</v>
      </c>
      <c r="G2286" s="10" t="s">
        <v>21</v>
      </c>
      <c r="H2286" t="str">
        <f>"154433643001"</f>
        <v>154433643001</v>
      </c>
      <c r="I2286" t="str">
        <f>"OFFICE SUPPLIES"</f>
        <v>OFFICE SUPPLIES</v>
      </c>
    </row>
    <row r="2287" spans="1:9" x14ac:dyDescent="0.25">
      <c r="E2287" s="7"/>
      <c r="F2287" t="s">
        <v>20</v>
      </c>
      <c r="G2287" s="10" t="s">
        <v>21</v>
      </c>
      <c r="H2287" t="str">
        <f>"156973129001"</f>
        <v>156973129001</v>
      </c>
      <c r="I2287" t="str">
        <f>"OFFICE SUPPLIES"</f>
        <v>OFFICE SUPPLIES</v>
      </c>
    </row>
    <row r="2288" spans="1:9" x14ac:dyDescent="0.25">
      <c r="A2288" s="6">
        <v>44267</v>
      </c>
      <c r="B2288" t="s">
        <v>26</v>
      </c>
      <c r="C2288">
        <v>66307</v>
      </c>
      <c r="D2288" t="s">
        <v>131</v>
      </c>
      <c r="E2288" s="7">
        <v>112.96</v>
      </c>
      <c r="F2288" t="s">
        <v>20</v>
      </c>
      <c r="G2288" s="10" t="s">
        <v>21</v>
      </c>
      <c r="H2288" t="str">
        <f>"055690"</f>
        <v>055690</v>
      </c>
      <c r="I2288" t="str">
        <f>"TOOLS AND SUPPLIES-WW"</f>
        <v>TOOLS AND SUPPLIES-WW</v>
      </c>
    </row>
    <row r="2289" spans="1:9" x14ac:dyDescent="0.25">
      <c r="A2289" s="6">
        <v>44267</v>
      </c>
      <c r="B2289" t="s">
        <v>26</v>
      </c>
      <c r="C2289">
        <v>66308</v>
      </c>
      <c r="D2289" t="s">
        <v>339</v>
      </c>
      <c r="E2289" s="7">
        <v>284.52</v>
      </c>
      <c r="F2289" t="s">
        <v>20</v>
      </c>
      <c r="G2289" s="10" t="s">
        <v>21</v>
      </c>
      <c r="H2289" t="str">
        <f>"824888"</f>
        <v>824888</v>
      </c>
      <c r="I2289" t="str">
        <f>"STREAMLIGHT STINGER LED"</f>
        <v>STREAMLIGHT STINGER LED</v>
      </c>
    </row>
    <row r="2290" spans="1:9" x14ac:dyDescent="0.25">
      <c r="A2290" s="6">
        <v>44267</v>
      </c>
      <c r="B2290" t="s">
        <v>26</v>
      </c>
      <c r="C2290">
        <v>66309</v>
      </c>
      <c r="D2290" t="s">
        <v>75</v>
      </c>
      <c r="E2290" s="7">
        <v>34.99</v>
      </c>
      <c r="F2290" t="s">
        <v>20</v>
      </c>
      <c r="G2290" s="10" t="s">
        <v>21</v>
      </c>
      <c r="H2290" t="str">
        <f>"8184 3/23/2021"</f>
        <v>8184 3/23/2021</v>
      </c>
      <c r="I2290" t="str">
        <f>"PUMP SPRAYER"</f>
        <v>PUMP SPRAYER</v>
      </c>
    </row>
    <row r="2291" spans="1:9" x14ac:dyDescent="0.25">
      <c r="A2291" s="6">
        <v>44267</v>
      </c>
      <c r="B2291" t="s">
        <v>26</v>
      </c>
      <c r="C2291">
        <v>66310</v>
      </c>
      <c r="D2291" t="s">
        <v>203</v>
      </c>
      <c r="E2291" s="7">
        <v>126.57</v>
      </c>
      <c r="F2291" t="s">
        <v>20</v>
      </c>
      <c r="G2291" s="10" t="s">
        <v>21</v>
      </c>
      <c r="H2291" t="str">
        <f>"501720"</f>
        <v>501720</v>
      </c>
      <c r="I2291" t="str">
        <f>"PLANT MAINT."</f>
        <v>PLANT MAINT.</v>
      </c>
    </row>
    <row r="2292" spans="1:9" x14ac:dyDescent="0.25">
      <c r="A2292" s="6">
        <v>44273</v>
      </c>
      <c r="B2292" t="s">
        <v>26</v>
      </c>
      <c r="C2292">
        <v>66311</v>
      </c>
      <c r="D2292" t="s">
        <v>273</v>
      </c>
      <c r="E2292" s="7">
        <v>13362.3</v>
      </c>
      <c r="F2292" t="s">
        <v>20</v>
      </c>
      <c r="G2292" s="10" t="s">
        <v>21</v>
      </c>
      <c r="H2292" t="str">
        <f>"5119-000095858"</f>
        <v>5119-000095858</v>
      </c>
      <c r="I2292" t="str">
        <f>"REPUBLIC SERVICES TESSMAN ROAD"</f>
        <v>REPUBLIC SERVICES TESSMAN ROAD</v>
      </c>
    </row>
    <row r="2293" spans="1:9" x14ac:dyDescent="0.25">
      <c r="E2293" s="7"/>
      <c r="F2293" t="s">
        <v>20</v>
      </c>
      <c r="G2293" s="10" t="s">
        <v>21</v>
      </c>
      <c r="H2293" t="str">
        <f>"5119-000096037"</f>
        <v>5119-000096037</v>
      </c>
      <c r="I2293" t="str">
        <f>"REPUBLIC SERVICES TESSMAN ROAD"</f>
        <v>REPUBLIC SERVICES TESSMAN ROAD</v>
      </c>
    </row>
    <row r="2294" spans="1:9" x14ac:dyDescent="0.25">
      <c r="E2294" s="7"/>
      <c r="F2294" t="s">
        <v>20</v>
      </c>
      <c r="G2294" s="10" t="s">
        <v>21</v>
      </c>
      <c r="H2294" t="str">
        <f>"5119-000096197"</f>
        <v>5119-000096197</v>
      </c>
      <c r="I2294" t="str">
        <f>"REPUBLIC SERVICES TESSMAN ROAD"</f>
        <v>REPUBLIC SERVICES TESSMAN ROAD</v>
      </c>
    </row>
    <row r="2295" spans="1:9" x14ac:dyDescent="0.25">
      <c r="E2295" s="7"/>
      <c r="F2295" t="s">
        <v>20</v>
      </c>
      <c r="G2295" s="10" t="s">
        <v>21</v>
      </c>
      <c r="H2295" t="str">
        <f>"5119-000096383"</f>
        <v>5119-000096383</v>
      </c>
      <c r="I2295" t="str">
        <f>"REPUBLIC SERVICES TESSMAN ROAD"</f>
        <v>REPUBLIC SERVICES TESSMAN ROAD</v>
      </c>
    </row>
    <row r="2296" spans="1:9" x14ac:dyDescent="0.25">
      <c r="E2296" s="7"/>
      <c r="F2296" t="s">
        <v>20</v>
      </c>
      <c r="G2296" s="10" t="s">
        <v>21</v>
      </c>
      <c r="H2296" t="str">
        <f>"5119-000096525"</f>
        <v>5119-000096525</v>
      </c>
      <c r="I2296" t="str">
        <f>"REPUBLIC SERVICES TESSMAN ROAD"</f>
        <v>REPUBLIC SERVICES TESSMAN ROAD</v>
      </c>
    </row>
    <row r="2297" spans="1:9" x14ac:dyDescent="0.25">
      <c r="A2297" s="6">
        <v>44273</v>
      </c>
      <c r="B2297" t="s">
        <v>26</v>
      </c>
      <c r="C2297">
        <v>66312</v>
      </c>
      <c r="D2297" t="s">
        <v>570</v>
      </c>
      <c r="E2297" s="7">
        <v>1086.75</v>
      </c>
      <c r="F2297" t="s">
        <v>20</v>
      </c>
      <c r="G2297" s="10" t="s">
        <v>21</v>
      </c>
      <c r="H2297" t="str">
        <f>"DVS139462"</f>
        <v>DVS139462</v>
      </c>
      <c r="I2297" t="str">
        <f>"DOMINION VOTING"</f>
        <v>DOMINION VOTING</v>
      </c>
    </row>
    <row r="2298" spans="1:9" x14ac:dyDescent="0.25">
      <c r="A2298" s="6">
        <v>44273</v>
      </c>
      <c r="B2298" t="s">
        <v>26</v>
      </c>
      <c r="C2298">
        <v>66313</v>
      </c>
      <c r="D2298" t="s">
        <v>71</v>
      </c>
      <c r="E2298" s="7">
        <v>3787.63</v>
      </c>
      <c r="F2298" t="s">
        <v>20</v>
      </c>
      <c r="G2298" s="10" t="s">
        <v>21</v>
      </c>
      <c r="H2298" t="str">
        <f>"4054990694"</f>
        <v>4054990694</v>
      </c>
      <c r="I2298" t="str">
        <f t="shared" ref="I2298:I2309" si="45">"CINTAS CORPORATION #087"</f>
        <v>CINTAS CORPORATION #087</v>
      </c>
    </row>
    <row r="2299" spans="1:9" x14ac:dyDescent="0.25">
      <c r="E2299" s="7"/>
      <c r="F2299" t="s">
        <v>20</v>
      </c>
      <c r="G2299" s="10" t="s">
        <v>21</v>
      </c>
      <c r="H2299" t="str">
        <f>"4055638046"</f>
        <v>4055638046</v>
      </c>
      <c r="I2299" t="str">
        <f t="shared" si="45"/>
        <v>CINTAS CORPORATION #087</v>
      </c>
    </row>
    <row r="2300" spans="1:9" x14ac:dyDescent="0.25">
      <c r="E2300" s="7"/>
      <c r="F2300" t="s">
        <v>20</v>
      </c>
      <c r="G2300" s="10" t="s">
        <v>21</v>
      </c>
      <c r="H2300" t="str">
        <f>"4055638081"</f>
        <v>4055638081</v>
      </c>
      <c r="I2300" t="str">
        <f t="shared" si="45"/>
        <v>CINTAS CORPORATION #087</v>
      </c>
    </row>
    <row r="2301" spans="1:9" x14ac:dyDescent="0.25">
      <c r="E2301" s="7"/>
      <c r="F2301" t="s">
        <v>20</v>
      </c>
      <c r="G2301" s="10" t="s">
        <v>21</v>
      </c>
      <c r="H2301" t="str">
        <f>"4058254048*"</f>
        <v>4058254048*</v>
      </c>
      <c r="I2301" t="str">
        <f t="shared" si="45"/>
        <v>CINTAS CORPORATION #087</v>
      </c>
    </row>
    <row r="2302" spans="1:9" x14ac:dyDescent="0.25">
      <c r="E2302" s="7"/>
      <c r="F2302" t="s">
        <v>20</v>
      </c>
      <c r="G2302" s="10" t="s">
        <v>21</v>
      </c>
      <c r="H2302" t="str">
        <f>"4058259943"</f>
        <v>4058259943</v>
      </c>
      <c r="I2302" t="str">
        <f t="shared" si="45"/>
        <v>CINTAS CORPORATION #087</v>
      </c>
    </row>
    <row r="2303" spans="1:9" x14ac:dyDescent="0.25">
      <c r="E2303" s="7"/>
      <c r="F2303" t="s">
        <v>20</v>
      </c>
      <c r="G2303" s="10" t="s">
        <v>21</v>
      </c>
      <c r="H2303" t="str">
        <f>"4059483594"</f>
        <v>4059483594</v>
      </c>
      <c r="I2303" t="str">
        <f t="shared" si="45"/>
        <v>CINTAS CORPORATION #087</v>
      </c>
    </row>
    <row r="2304" spans="1:9" x14ac:dyDescent="0.25">
      <c r="E2304" s="7"/>
      <c r="F2304" t="s">
        <v>20</v>
      </c>
      <c r="G2304" s="10" t="s">
        <v>21</v>
      </c>
      <c r="H2304" t="str">
        <f>"4066069256"</f>
        <v>4066069256</v>
      </c>
      <c r="I2304" t="str">
        <f t="shared" si="45"/>
        <v>CINTAS CORPORATION #087</v>
      </c>
    </row>
    <row r="2305" spans="1:9" x14ac:dyDescent="0.25">
      <c r="E2305" s="7"/>
      <c r="F2305" t="s">
        <v>20</v>
      </c>
      <c r="G2305" s="10" t="s">
        <v>21</v>
      </c>
      <c r="H2305" t="str">
        <f>"4068172435"</f>
        <v>4068172435</v>
      </c>
      <c r="I2305" t="str">
        <f t="shared" si="45"/>
        <v>CINTAS CORPORATION #087</v>
      </c>
    </row>
    <row r="2306" spans="1:9" x14ac:dyDescent="0.25">
      <c r="E2306" s="7"/>
      <c r="F2306" t="s">
        <v>20</v>
      </c>
      <c r="G2306" s="10" t="s">
        <v>21</v>
      </c>
      <c r="H2306" t="str">
        <f>"4069393385"</f>
        <v>4069393385</v>
      </c>
      <c r="I2306" t="str">
        <f t="shared" si="45"/>
        <v>CINTAS CORPORATION #087</v>
      </c>
    </row>
    <row r="2307" spans="1:9" x14ac:dyDescent="0.25">
      <c r="E2307" s="7"/>
      <c r="F2307" t="s">
        <v>20</v>
      </c>
      <c r="G2307" s="10" t="s">
        <v>21</v>
      </c>
      <c r="H2307" t="str">
        <f>"4070000171"</f>
        <v>4070000171</v>
      </c>
      <c r="I2307" t="str">
        <f t="shared" si="45"/>
        <v>CINTAS CORPORATION #087</v>
      </c>
    </row>
    <row r="2308" spans="1:9" x14ac:dyDescent="0.25">
      <c r="E2308" s="7"/>
      <c r="F2308" t="s">
        <v>20</v>
      </c>
      <c r="G2308" s="10" t="s">
        <v>21</v>
      </c>
      <c r="H2308" t="str">
        <f>"4071997852"</f>
        <v>4071997852</v>
      </c>
      <c r="I2308" t="str">
        <f t="shared" si="45"/>
        <v>CINTAS CORPORATION #087</v>
      </c>
    </row>
    <row r="2309" spans="1:9" x14ac:dyDescent="0.25">
      <c r="E2309" s="7"/>
      <c r="F2309" t="s">
        <v>20</v>
      </c>
      <c r="G2309" s="10" t="s">
        <v>21</v>
      </c>
      <c r="H2309" t="str">
        <f>"4073261086"</f>
        <v>4073261086</v>
      </c>
      <c r="I2309" t="str">
        <f t="shared" si="45"/>
        <v>CINTAS CORPORATION #087</v>
      </c>
    </row>
    <row r="2310" spans="1:9" x14ac:dyDescent="0.25">
      <c r="A2310" s="6">
        <v>44273</v>
      </c>
      <c r="B2310" t="s">
        <v>26</v>
      </c>
      <c r="C2310">
        <v>66315</v>
      </c>
      <c r="D2310" t="s">
        <v>83</v>
      </c>
      <c r="E2310" s="7">
        <v>1080</v>
      </c>
      <c r="F2310" t="s">
        <v>20</v>
      </c>
      <c r="G2310" s="10" t="s">
        <v>21</v>
      </c>
      <c r="H2310" t="str">
        <f>"1452296"</f>
        <v>1452296</v>
      </c>
      <c r="I2310" t="str">
        <f>"APPRIVER"</f>
        <v>APPRIVER</v>
      </c>
    </row>
    <row r="2311" spans="1:9" x14ac:dyDescent="0.25">
      <c r="A2311" s="6">
        <v>44273</v>
      </c>
      <c r="B2311" t="s">
        <v>26</v>
      </c>
      <c r="C2311">
        <v>66316</v>
      </c>
      <c r="D2311" t="s">
        <v>345</v>
      </c>
      <c r="E2311" s="7">
        <v>341</v>
      </c>
      <c r="F2311" t="s">
        <v>20</v>
      </c>
      <c r="G2311" s="10" t="s">
        <v>21</v>
      </c>
      <c r="H2311" t="str">
        <f>"3.15.2021"</f>
        <v>3.15.2021</v>
      </c>
      <c r="I2311" t="str">
        <f>"MICHAEL ISAAC MARTINEZ"</f>
        <v>MICHAEL ISAAC MARTINEZ</v>
      </c>
    </row>
    <row r="2312" spans="1:9" x14ac:dyDescent="0.25">
      <c r="A2312" s="6">
        <v>44273</v>
      </c>
      <c r="B2312" t="s">
        <v>26</v>
      </c>
      <c r="C2312">
        <v>66317</v>
      </c>
      <c r="D2312" t="s">
        <v>323</v>
      </c>
      <c r="E2312" s="7">
        <v>630</v>
      </c>
      <c r="F2312" t="s">
        <v>20</v>
      </c>
      <c r="G2312" s="10" t="s">
        <v>21</v>
      </c>
      <c r="H2312" t="str">
        <f>"183 2/28/2021"</f>
        <v>183 2/28/2021</v>
      </c>
      <c r="I2312" t="str">
        <f>"POLLOK SELF STORAGE LLC"</f>
        <v>POLLOK SELF STORAGE LLC</v>
      </c>
    </row>
    <row r="2313" spans="1:9" x14ac:dyDescent="0.25">
      <c r="E2313" s="7"/>
      <c r="F2313" t="s">
        <v>20</v>
      </c>
      <c r="G2313" s="10" t="s">
        <v>21</v>
      </c>
      <c r="H2313" t="str">
        <f>"185 2/28/2021"</f>
        <v>185 2/28/2021</v>
      </c>
      <c r="I2313" t="str">
        <f>"POLLOK SELF STORAGE LLC"</f>
        <v>POLLOK SELF STORAGE LLC</v>
      </c>
    </row>
    <row r="2314" spans="1:9" x14ac:dyDescent="0.25">
      <c r="E2314" s="7"/>
      <c r="F2314" t="s">
        <v>20</v>
      </c>
      <c r="G2314" s="10" t="s">
        <v>21</v>
      </c>
      <c r="H2314" t="str">
        <f>"186 02/28/2021"</f>
        <v>186 02/28/2021</v>
      </c>
      <c r="I2314" t="str">
        <f>"POLLOK SELF STORAGE LLC"</f>
        <v>POLLOK SELF STORAGE LLC</v>
      </c>
    </row>
    <row r="2315" spans="1:9" x14ac:dyDescent="0.25">
      <c r="E2315" s="7"/>
      <c r="F2315" t="s">
        <v>20</v>
      </c>
      <c r="G2315" s="10" t="s">
        <v>21</v>
      </c>
      <c r="H2315" t="str">
        <f>"187 02/28/2021"</f>
        <v>187 02/28/2021</v>
      </c>
      <c r="I2315" t="str">
        <f>"POLLOK SELF STORAGE LLC"</f>
        <v>POLLOK SELF STORAGE LLC</v>
      </c>
    </row>
    <row r="2316" spans="1:9" x14ac:dyDescent="0.25">
      <c r="A2316" s="6">
        <v>44273</v>
      </c>
      <c r="B2316" t="s">
        <v>26</v>
      </c>
      <c r="C2316">
        <v>66318</v>
      </c>
      <c r="D2316" t="s">
        <v>346</v>
      </c>
      <c r="E2316" s="7">
        <v>13750</v>
      </c>
      <c r="F2316" t="s">
        <v>20</v>
      </c>
      <c r="G2316" s="10" t="s">
        <v>21</v>
      </c>
      <c r="H2316" t="str">
        <f>"02/11-03/11/2021"</f>
        <v>02/11-03/11/2021</v>
      </c>
      <c r="I2316" t="str">
        <f>"SYLVIA RODRIGUEZ"</f>
        <v>SYLVIA RODRIGUEZ</v>
      </c>
    </row>
    <row r="2317" spans="1:9" x14ac:dyDescent="0.25">
      <c r="A2317" s="6">
        <v>44273</v>
      </c>
      <c r="B2317" t="s">
        <v>26</v>
      </c>
      <c r="C2317">
        <v>66319</v>
      </c>
      <c r="D2317" t="s">
        <v>657</v>
      </c>
      <c r="E2317" s="7">
        <v>186</v>
      </c>
      <c r="F2317" t="s">
        <v>20</v>
      </c>
      <c r="G2317" s="10" t="s">
        <v>21</v>
      </c>
      <c r="H2317" t="str">
        <f>"3-10-2021"</f>
        <v>3-10-2021</v>
      </c>
      <c r="I2317" t="str">
        <f>"VALERIE VALERIO"</f>
        <v>VALERIE VALERIO</v>
      </c>
    </row>
    <row r="2318" spans="1:9" x14ac:dyDescent="0.25">
      <c r="A2318" s="6">
        <v>44273</v>
      </c>
      <c r="B2318" t="s">
        <v>26</v>
      </c>
      <c r="C2318">
        <v>66320</v>
      </c>
      <c r="D2318" t="s">
        <v>1032</v>
      </c>
      <c r="E2318" s="7">
        <v>1500</v>
      </c>
      <c r="F2318" t="s">
        <v>20</v>
      </c>
      <c r="G2318" s="10" t="s">
        <v>21</v>
      </c>
      <c r="H2318" t="str">
        <f>"2-21-17580 FEB2021"</f>
        <v>2-21-17580 FEB2021</v>
      </c>
      <c r="I2318" t="str">
        <f>"LEAL &amp; CARTER  P.C."</f>
        <v>LEAL &amp; CARTER  P.C.</v>
      </c>
    </row>
    <row r="2319" spans="1:9" x14ac:dyDescent="0.25">
      <c r="A2319" s="6">
        <v>44278</v>
      </c>
      <c r="B2319" t="s">
        <v>26</v>
      </c>
      <c r="C2319">
        <v>66325</v>
      </c>
      <c r="D2319" t="s">
        <v>51</v>
      </c>
      <c r="E2319" s="7">
        <v>346.31</v>
      </c>
      <c r="F2319" t="s">
        <v>20</v>
      </c>
      <c r="G2319" s="10" t="s">
        <v>21</v>
      </c>
      <c r="H2319" t="str">
        <f>"CLE202103238604"</f>
        <v>CLE202103238604</v>
      </c>
      <c r="I2319" t="str">
        <f>"CLEAT ONLY DUES"</f>
        <v>CLEAT ONLY DUES</v>
      </c>
    </row>
    <row r="2320" spans="1:9" x14ac:dyDescent="0.25">
      <c r="E2320" s="7"/>
      <c r="F2320" t="s">
        <v>20</v>
      </c>
      <c r="G2320" s="10" t="s">
        <v>21</v>
      </c>
      <c r="H2320" t="str">
        <f>"PDD202103238604"</f>
        <v>PDD202103238604</v>
      </c>
      <c r="I2320" t="str">
        <f>"POLICE OFFICERS ASSOC DUES"</f>
        <v>POLICE OFFICERS ASSOC DUES</v>
      </c>
    </row>
    <row r="2321" spans="1:9" x14ac:dyDescent="0.25">
      <c r="A2321" s="6">
        <v>44278</v>
      </c>
      <c r="B2321" t="s">
        <v>26</v>
      </c>
      <c r="C2321">
        <v>66326</v>
      </c>
      <c r="D2321" t="s">
        <v>52</v>
      </c>
      <c r="E2321" s="7">
        <v>405</v>
      </c>
      <c r="F2321" t="s">
        <v>20</v>
      </c>
      <c r="G2321" s="10" t="s">
        <v>21</v>
      </c>
      <c r="H2321" t="str">
        <f>"CA1202103238604"</f>
        <v>CA1202103238604</v>
      </c>
      <c r="I2321" t="str">
        <f>"K RAMIREZ 001200229510060343CV"</f>
        <v>K RAMIREZ 001200229510060343CV</v>
      </c>
    </row>
    <row r="2322" spans="1:9" x14ac:dyDescent="0.25">
      <c r="E2322" s="7"/>
      <c r="F2322" t="s">
        <v>20</v>
      </c>
      <c r="G2322" s="10" t="s">
        <v>21</v>
      </c>
      <c r="H2322" t="str">
        <f>"CA2202103238604"</f>
        <v>CA2202103238604</v>
      </c>
      <c r="I2322" t="str">
        <f>"L HERNANDEZ 001016025203080354"</f>
        <v>L HERNANDEZ 001016025203080354</v>
      </c>
    </row>
    <row r="2323" spans="1:9" x14ac:dyDescent="0.25">
      <c r="E2323" s="7"/>
      <c r="F2323" t="s">
        <v>20</v>
      </c>
      <c r="G2323" s="10" t="s">
        <v>21</v>
      </c>
      <c r="H2323" t="str">
        <f>"CA3202103238604"</f>
        <v>CA3202103238604</v>
      </c>
      <c r="I2323" t="str">
        <f>"00120788612011EM5023JOLENEGARC"</f>
        <v>00120788612011EM5023JOLENEGARC</v>
      </c>
    </row>
    <row r="2324" spans="1:9" x14ac:dyDescent="0.25">
      <c r="E2324" s="7"/>
      <c r="F2324" t="s">
        <v>20</v>
      </c>
      <c r="G2324" s="10" t="s">
        <v>21</v>
      </c>
      <c r="H2324" t="str">
        <f>"CSA202103238604"</f>
        <v>CSA202103238604</v>
      </c>
      <c r="I2324" t="str">
        <f>"S RODRIGUEZ 001281730413050336"</f>
        <v>S RODRIGUEZ 001281730413050336</v>
      </c>
    </row>
    <row r="2325" spans="1:9" x14ac:dyDescent="0.25">
      <c r="A2325" s="6">
        <v>44278</v>
      </c>
      <c r="B2325" t="s">
        <v>26</v>
      </c>
      <c r="C2325">
        <v>66327</v>
      </c>
      <c r="D2325" t="s">
        <v>54</v>
      </c>
      <c r="E2325" s="7">
        <v>1164.93</v>
      </c>
      <c r="F2325" t="s">
        <v>20</v>
      </c>
      <c r="G2325" s="10" t="s">
        <v>21</v>
      </c>
      <c r="H2325" t="str">
        <f>"BRE202103238604"</f>
        <v>BRE202103238604</v>
      </c>
      <c r="I2325" t="str">
        <f>"CASE #180-60751 457B DEDUCT"</f>
        <v>CASE #180-60751 457B DEDUCT</v>
      </c>
    </row>
    <row r="2326" spans="1:9" x14ac:dyDescent="0.25">
      <c r="A2326" s="6">
        <v>44279</v>
      </c>
      <c r="B2326" t="s">
        <v>26</v>
      </c>
      <c r="C2326">
        <v>66328</v>
      </c>
      <c r="D2326" t="s">
        <v>102</v>
      </c>
      <c r="E2326" s="7">
        <v>536.02</v>
      </c>
      <c r="F2326" t="s">
        <v>20</v>
      </c>
      <c r="G2326" s="10" t="s">
        <v>21</v>
      </c>
      <c r="H2326" t="str">
        <f>"1120 D.ST FEB.2021"</f>
        <v>1120 D.ST FEB.2021</v>
      </c>
      <c r="I2326" t="str">
        <f>"CENTERPOINT ENERGY ENTEX"</f>
        <v>CENTERPOINT ENERGY ENTEX</v>
      </c>
    </row>
    <row r="2327" spans="1:9" x14ac:dyDescent="0.25">
      <c r="E2327" s="7"/>
      <c r="F2327" t="s">
        <v>20</v>
      </c>
      <c r="G2327" s="10" t="s">
        <v>21</v>
      </c>
      <c r="H2327" t="str">
        <f>"1200 1ST FEB.2021"</f>
        <v>1200 1ST FEB.2021</v>
      </c>
      <c r="I2327" t="str">
        <f>"CENTERPOINT ENERGY ENTEX"</f>
        <v>CENTERPOINT ENERGY ENTEX</v>
      </c>
    </row>
    <row r="2328" spans="1:9" x14ac:dyDescent="0.25">
      <c r="E2328" s="7"/>
      <c r="F2328" t="s">
        <v>20</v>
      </c>
      <c r="G2328" s="10" t="s">
        <v>21</v>
      </c>
      <c r="H2328" t="str">
        <f>"920 C.ST FEB.2021"</f>
        <v>920 C.ST FEB.2021</v>
      </c>
      <c r="I2328" t="str">
        <f>"CENTERPOINT ENERGY ENTEX"</f>
        <v>CENTERPOINT ENERGY ENTEX</v>
      </c>
    </row>
    <row r="2329" spans="1:9" x14ac:dyDescent="0.25">
      <c r="A2329" s="6">
        <v>44279</v>
      </c>
      <c r="B2329" t="s">
        <v>26</v>
      </c>
      <c r="C2329">
        <v>66329</v>
      </c>
      <c r="D2329" t="s">
        <v>57</v>
      </c>
      <c r="E2329" s="7">
        <v>22634.880000000001</v>
      </c>
      <c r="F2329" t="s">
        <v>20</v>
      </c>
      <c r="G2329" s="10" t="s">
        <v>21</v>
      </c>
      <c r="H2329" t="str">
        <f>"11617 2/17-3/16/21"</f>
        <v>11617 2/17-3/16/21</v>
      </c>
      <c r="I2329" t="str">
        <f>"F.E.L.P.S."</f>
        <v>F.E.L.P.S.</v>
      </c>
    </row>
    <row r="2330" spans="1:9" x14ac:dyDescent="0.25">
      <c r="A2330" s="6">
        <v>44279</v>
      </c>
      <c r="B2330" t="s">
        <v>26</v>
      </c>
      <c r="C2330">
        <v>66330</v>
      </c>
      <c r="D2330" t="s">
        <v>729</v>
      </c>
      <c r="E2330" s="7">
        <v>950.8</v>
      </c>
      <c r="F2330" t="s">
        <v>20</v>
      </c>
      <c r="G2330" s="10" t="s">
        <v>21</v>
      </c>
      <c r="H2330" t="str">
        <f>"P36827"</f>
        <v>P36827</v>
      </c>
      <c r="I2330" t="str">
        <f>"EQUIPMENT REPAIR W&amp;WW"</f>
        <v>EQUIPMENT REPAIR W&amp;WW</v>
      </c>
    </row>
    <row r="2331" spans="1:9" x14ac:dyDescent="0.25">
      <c r="A2331" s="6">
        <v>44279</v>
      </c>
      <c r="B2331" t="s">
        <v>26</v>
      </c>
      <c r="C2331">
        <v>66331</v>
      </c>
      <c r="D2331" t="s">
        <v>471</v>
      </c>
      <c r="E2331" s="7">
        <v>2584.1999999999998</v>
      </c>
      <c r="F2331" t="s">
        <v>20</v>
      </c>
      <c r="G2331" s="10" t="s">
        <v>21</v>
      </c>
      <c r="H2331" t="str">
        <f>"0626"</f>
        <v>0626</v>
      </c>
      <c r="I2331" t="str">
        <f>"JOHNNY'S PAINT &amp; BODY"</f>
        <v>JOHNNY'S PAINT &amp; BODY</v>
      </c>
    </row>
    <row r="2332" spans="1:9" x14ac:dyDescent="0.25">
      <c r="A2332" s="6">
        <v>44279</v>
      </c>
      <c r="B2332" t="s">
        <v>26</v>
      </c>
      <c r="C2332">
        <v>66332</v>
      </c>
      <c r="D2332" t="s">
        <v>103</v>
      </c>
      <c r="E2332" s="7">
        <v>76831.33</v>
      </c>
      <c r="F2332" t="s">
        <v>20</v>
      </c>
      <c r="G2332" s="10" t="s">
        <v>21</v>
      </c>
      <c r="H2332" t="str">
        <f>"SALES TAX MARCH"</f>
        <v>SALES TAX MARCH</v>
      </c>
      <c r="I2332" t="str">
        <f>"F. E. D. C."</f>
        <v>F. E. D. C.</v>
      </c>
    </row>
    <row r="2333" spans="1:9" x14ac:dyDescent="0.25">
      <c r="A2333" s="6">
        <v>44279</v>
      </c>
      <c r="B2333" t="s">
        <v>26</v>
      </c>
      <c r="C2333">
        <v>66333</v>
      </c>
      <c r="D2333" t="s">
        <v>59</v>
      </c>
      <c r="E2333" s="7">
        <v>9317.7199999999993</v>
      </c>
      <c r="F2333" t="s">
        <v>20</v>
      </c>
      <c r="G2333" s="10" t="s">
        <v>21</v>
      </c>
      <c r="H2333" t="str">
        <f>"1089008-1"</f>
        <v>1089008-1</v>
      </c>
      <c r="I2333" t="str">
        <f>"FERGUSON WATERWORKS - MUNICIPA"</f>
        <v>FERGUSON WATERWORKS - MUNICIPA</v>
      </c>
    </row>
    <row r="2334" spans="1:9" x14ac:dyDescent="0.25">
      <c r="E2334" s="7"/>
      <c r="F2334" t="s">
        <v>20</v>
      </c>
      <c r="G2334" s="10" t="s">
        <v>21</v>
      </c>
      <c r="H2334" t="str">
        <f>"1098015"</f>
        <v>1098015</v>
      </c>
      <c r="I2334" t="str">
        <f>"PIPES/CONNECTIONS"</f>
        <v>PIPES/CONNECTIONS</v>
      </c>
    </row>
    <row r="2335" spans="1:9" x14ac:dyDescent="0.25">
      <c r="E2335" s="7"/>
      <c r="F2335" t="s">
        <v>20</v>
      </c>
      <c r="G2335" s="10" t="s">
        <v>21</v>
      </c>
      <c r="H2335" t="str">
        <f>"1107958"</f>
        <v>1107958</v>
      </c>
      <c r="I2335" t="str">
        <f>"MISC MATERIAL FOR STOCK"</f>
        <v>MISC MATERIAL FOR STOCK</v>
      </c>
    </row>
    <row r="2336" spans="1:9" x14ac:dyDescent="0.25">
      <c r="E2336" s="7"/>
      <c r="F2336" t="s">
        <v>20</v>
      </c>
      <c r="G2336" s="10" t="s">
        <v>21</v>
      </c>
      <c r="H2336" t="str">
        <f>"1107960"</f>
        <v>1107960</v>
      </c>
      <c r="I2336" t="str">
        <f>"MISC MATERIAL FOR STOCK"</f>
        <v>MISC MATERIAL FOR STOCK</v>
      </c>
    </row>
    <row r="2337" spans="1:9" x14ac:dyDescent="0.25">
      <c r="E2337" s="7"/>
      <c r="F2337" t="s">
        <v>20</v>
      </c>
      <c r="G2337" s="10" t="s">
        <v>21</v>
      </c>
      <c r="H2337" t="str">
        <f>"1107968"</f>
        <v>1107968</v>
      </c>
      <c r="I2337" t="str">
        <f>"MISC MATERIAL FOR STOCK"</f>
        <v>MISC MATERIAL FOR STOCK</v>
      </c>
    </row>
    <row r="2338" spans="1:9" x14ac:dyDescent="0.25">
      <c r="A2338" s="6">
        <v>44279</v>
      </c>
      <c r="B2338" t="s">
        <v>26</v>
      </c>
      <c r="C2338">
        <v>66337</v>
      </c>
      <c r="D2338" t="s">
        <v>105</v>
      </c>
      <c r="E2338" s="7">
        <v>14</v>
      </c>
      <c r="F2338" t="s">
        <v>20</v>
      </c>
      <c r="G2338" s="10" t="s">
        <v>21</v>
      </c>
      <c r="H2338" t="str">
        <f>"380255"</f>
        <v>380255</v>
      </c>
      <c r="I2338" t="str">
        <f>"STATE INSP 0811"</f>
        <v>STATE INSP 0811</v>
      </c>
    </row>
    <row r="2339" spans="1:9" x14ac:dyDescent="0.25">
      <c r="E2339" s="7"/>
      <c r="F2339" t="s">
        <v>20</v>
      </c>
      <c r="G2339" s="10" t="s">
        <v>21</v>
      </c>
      <c r="H2339" t="str">
        <f>"380261"</f>
        <v>380261</v>
      </c>
      <c r="I2339" t="str">
        <f>"STATE INSP 0815"</f>
        <v>STATE INSP 0815</v>
      </c>
    </row>
    <row r="2340" spans="1:9" x14ac:dyDescent="0.25">
      <c r="A2340" s="6">
        <v>44279</v>
      </c>
      <c r="B2340" t="s">
        <v>26</v>
      </c>
      <c r="C2340">
        <v>66338</v>
      </c>
      <c r="D2340" t="s">
        <v>202</v>
      </c>
      <c r="E2340" s="7">
        <v>956.78</v>
      </c>
      <c r="F2340" t="s">
        <v>20</v>
      </c>
      <c r="G2340" s="10" t="s">
        <v>21</v>
      </c>
      <c r="H2340" t="str">
        <f>"62257826"</f>
        <v>62257826</v>
      </c>
      <c r="I2340" t="str">
        <f>"A-2 BASE FOR STREETS"</f>
        <v>A-2 BASE FOR STREETS</v>
      </c>
    </row>
    <row r="2341" spans="1:9" x14ac:dyDescent="0.25">
      <c r="A2341" s="6">
        <v>44279</v>
      </c>
      <c r="B2341" t="s">
        <v>26</v>
      </c>
      <c r="C2341">
        <v>66339</v>
      </c>
      <c r="D2341" t="s">
        <v>179</v>
      </c>
      <c r="E2341" s="7">
        <v>129.97999999999999</v>
      </c>
      <c r="F2341" t="s">
        <v>20</v>
      </c>
      <c r="G2341" s="10" t="s">
        <v>21</v>
      </c>
      <c r="H2341" t="str">
        <f>"62548"</f>
        <v>62548</v>
      </c>
      <c r="I2341" t="str">
        <f>"SARA TRUCK"</f>
        <v>SARA TRUCK</v>
      </c>
    </row>
    <row r="2342" spans="1:9" x14ac:dyDescent="0.25">
      <c r="A2342" s="6">
        <v>44279</v>
      </c>
      <c r="B2342" t="s">
        <v>26</v>
      </c>
      <c r="C2342">
        <v>66340</v>
      </c>
      <c r="D2342" t="s">
        <v>273</v>
      </c>
      <c r="E2342" s="7">
        <v>6580.97</v>
      </c>
      <c r="F2342" t="s">
        <v>20</v>
      </c>
      <c r="G2342" s="10" t="s">
        <v>21</v>
      </c>
      <c r="H2342" t="str">
        <f>"5119-000096693"</f>
        <v>5119-000096693</v>
      </c>
      <c r="I2342" t="str">
        <f>"REPUBLIC SERVICES TESSMAN ROAD"</f>
        <v>REPUBLIC SERVICES TESSMAN ROAD</v>
      </c>
    </row>
    <row r="2343" spans="1:9" x14ac:dyDescent="0.25">
      <c r="A2343" s="6">
        <v>44279</v>
      </c>
      <c r="B2343" t="s">
        <v>26</v>
      </c>
      <c r="C2343">
        <v>66341</v>
      </c>
      <c r="D2343" t="s">
        <v>240</v>
      </c>
      <c r="E2343" s="7">
        <v>697.89</v>
      </c>
      <c r="F2343" t="s">
        <v>20</v>
      </c>
      <c r="G2343" s="10" t="s">
        <v>21</v>
      </c>
      <c r="H2343" t="str">
        <f>"0205588-IN"</f>
        <v>0205588-IN</v>
      </c>
      <c r="I2343" t="str">
        <f>"UNIFORM ALLOWANCE -OLIVO"</f>
        <v>UNIFORM ALLOWANCE -OLIVO</v>
      </c>
    </row>
    <row r="2344" spans="1:9" x14ac:dyDescent="0.25">
      <c r="A2344" s="6">
        <v>44279</v>
      </c>
      <c r="B2344" t="s">
        <v>26</v>
      </c>
      <c r="C2344">
        <v>66342</v>
      </c>
      <c r="D2344" t="s">
        <v>184</v>
      </c>
      <c r="E2344" s="7">
        <v>1018</v>
      </c>
      <c r="F2344" t="s">
        <v>20</v>
      </c>
      <c r="G2344" s="10" t="s">
        <v>21</v>
      </c>
      <c r="H2344" t="str">
        <f>"1062-350"</f>
        <v>1062-350</v>
      </c>
      <c r="I2344" t="str">
        <f>"POLLUTION CONTROL SERVICES"</f>
        <v>POLLUTION CONTROL SERVICES</v>
      </c>
    </row>
    <row r="2345" spans="1:9" x14ac:dyDescent="0.25">
      <c r="E2345" s="7"/>
      <c r="F2345" t="s">
        <v>20</v>
      </c>
      <c r="G2345" s="10" t="s">
        <v>21</v>
      </c>
      <c r="H2345" t="str">
        <f>"1062-351"</f>
        <v>1062-351</v>
      </c>
      <c r="I2345" t="str">
        <f>"POLLUTION CONTROL SERVICES"</f>
        <v>POLLUTION CONTROL SERVICES</v>
      </c>
    </row>
    <row r="2346" spans="1:9" x14ac:dyDescent="0.25">
      <c r="A2346" s="6">
        <v>44279</v>
      </c>
      <c r="B2346" t="s">
        <v>26</v>
      </c>
      <c r="C2346">
        <v>66343</v>
      </c>
      <c r="D2346" t="s">
        <v>115</v>
      </c>
      <c r="E2346" s="7">
        <v>674.16</v>
      </c>
      <c r="F2346" t="s">
        <v>20</v>
      </c>
      <c r="G2346" s="10" t="s">
        <v>21</v>
      </c>
      <c r="H2346" t="str">
        <f>"3547861420"</f>
        <v>3547861420</v>
      </c>
      <c r="I2346" t="str">
        <f>"AUTOZONE"</f>
        <v>AUTOZONE</v>
      </c>
    </row>
    <row r="2347" spans="1:9" x14ac:dyDescent="0.25">
      <c r="E2347" s="7"/>
      <c r="F2347" t="s">
        <v>20</v>
      </c>
      <c r="G2347" s="10" t="s">
        <v>21</v>
      </c>
      <c r="H2347" t="str">
        <f>"3547861432"</f>
        <v>3547861432</v>
      </c>
      <c r="I2347" t="str">
        <f>"DIESEL EXHAUST"</f>
        <v>DIESEL EXHAUST</v>
      </c>
    </row>
    <row r="2348" spans="1:9" x14ac:dyDescent="0.25">
      <c r="E2348" s="7"/>
      <c r="F2348" t="s">
        <v>20</v>
      </c>
      <c r="G2348" s="10" t="s">
        <v>21</v>
      </c>
      <c r="H2348" t="str">
        <f>"3547862094"</f>
        <v>3547862094</v>
      </c>
      <c r="I2348" t="str">
        <f>"UNIT 325 PD REPAIR"</f>
        <v>UNIT 325 PD REPAIR</v>
      </c>
    </row>
    <row r="2349" spans="1:9" x14ac:dyDescent="0.25">
      <c r="E2349" s="7"/>
      <c r="F2349" t="s">
        <v>20</v>
      </c>
      <c r="G2349" s="10" t="s">
        <v>21</v>
      </c>
      <c r="H2349" t="str">
        <f>"3547862096"</f>
        <v>3547862096</v>
      </c>
      <c r="I2349" t="str">
        <f>"OIL"</f>
        <v>OIL</v>
      </c>
    </row>
    <row r="2350" spans="1:9" x14ac:dyDescent="0.25">
      <c r="A2350" s="6">
        <v>44279</v>
      </c>
      <c r="B2350" t="s">
        <v>26</v>
      </c>
      <c r="C2350">
        <v>66344</v>
      </c>
      <c r="D2350" t="s">
        <v>63</v>
      </c>
      <c r="E2350" s="7">
        <v>475</v>
      </c>
      <c r="F2350" t="s">
        <v>20</v>
      </c>
      <c r="G2350" s="10" t="s">
        <v>21</v>
      </c>
      <c r="H2350" t="str">
        <f>"8405043139"</f>
        <v>8405043139</v>
      </c>
      <c r="I2350" t="str">
        <f>"CINTAS CORPORATION"</f>
        <v>CINTAS CORPORATION</v>
      </c>
    </row>
    <row r="2351" spans="1:9" x14ac:dyDescent="0.25">
      <c r="A2351" s="6">
        <v>44279</v>
      </c>
      <c r="B2351" t="s">
        <v>26</v>
      </c>
      <c r="C2351">
        <v>66345</v>
      </c>
      <c r="D2351" t="s">
        <v>117</v>
      </c>
      <c r="E2351" s="7">
        <v>331.86</v>
      </c>
      <c r="F2351" t="s">
        <v>20</v>
      </c>
      <c r="G2351" s="10" t="s">
        <v>21</v>
      </c>
      <c r="H2351" t="str">
        <f>"FEBRUARY 2021"</f>
        <v>FEBRUARY 2021</v>
      </c>
      <c r="I2351" t="str">
        <f>"LINEBARGER GOGGAN BLAIR &amp; SAMP"</f>
        <v>LINEBARGER GOGGAN BLAIR &amp; SAMP</v>
      </c>
    </row>
    <row r="2352" spans="1:9" x14ac:dyDescent="0.25">
      <c r="A2352" s="6">
        <v>44279</v>
      </c>
      <c r="B2352" t="s">
        <v>26</v>
      </c>
      <c r="C2352">
        <v>66346</v>
      </c>
      <c r="D2352" t="s">
        <v>69</v>
      </c>
      <c r="E2352" s="7">
        <v>70.5</v>
      </c>
      <c r="F2352" t="s">
        <v>20</v>
      </c>
      <c r="G2352" s="10" t="s">
        <v>21</v>
      </c>
      <c r="H2352" t="str">
        <f>"3C05931"</f>
        <v>3C05931</v>
      </c>
      <c r="I2352" t="str">
        <f>"SCAG REPAIR"</f>
        <v>SCAG REPAIR</v>
      </c>
    </row>
    <row r="2353" spans="1:9" x14ac:dyDescent="0.25">
      <c r="A2353" s="6">
        <v>44279</v>
      </c>
      <c r="B2353" t="s">
        <v>26</v>
      </c>
      <c r="C2353">
        <v>66347</v>
      </c>
      <c r="D2353" t="s">
        <v>248</v>
      </c>
      <c r="E2353" s="7">
        <v>426.54</v>
      </c>
      <c r="F2353" t="s">
        <v>20</v>
      </c>
      <c r="G2353" s="10" t="s">
        <v>21</v>
      </c>
      <c r="H2353" t="str">
        <f>"1017661582"</f>
        <v>1017661582</v>
      </c>
      <c r="I2353" t="str">
        <f>"PITNEY BOWES"</f>
        <v>PITNEY BOWES</v>
      </c>
    </row>
    <row r="2354" spans="1:9" x14ac:dyDescent="0.25">
      <c r="E2354" s="7"/>
      <c r="F2354" t="s">
        <v>20</v>
      </c>
      <c r="G2354" s="10" t="s">
        <v>21</v>
      </c>
      <c r="H2354" t="str">
        <f>"1017673803"</f>
        <v>1017673803</v>
      </c>
      <c r="I2354" t="str">
        <f>"PITNEY BOWES"</f>
        <v>PITNEY BOWES</v>
      </c>
    </row>
    <row r="2355" spans="1:9" x14ac:dyDescent="0.25">
      <c r="A2355" s="6">
        <v>44279</v>
      </c>
      <c r="B2355" t="s">
        <v>26</v>
      </c>
      <c r="C2355">
        <v>66348</v>
      </c>
      <c r="D2355" t="s">
        <v>71</v>
      </c>
      <c r="E2355" s="7">
        <v>1842.7</v>
      </c>
      <c r="F2355" t="s">
        <v>20</v>
      </c>
      <c r="G2355" s="10" t="s">
        <v>21</v>
      </c>
      <c r="H2355" t="str">
        <f>"1901621504"</f>
        <v>1901621504</v>
      </c>
      <c r="I2355" t="str">
        <f t="shared" ref="I2355:I2364" si="46">"CINTAS CORPORATION #087"</f>
        <v>CINTAS CORPORATION #087</v>
      </c>
    </row>
    <row r="2356" spans="1:9" x14ac:dyDescent="0.25">
      <c r="E2356" s="7"/>
      <c r="F2356" t="s">
        <v>20</v>
      </c>
      <c r="G2356" s="10" t="s">
        <v>21</v>
      </c>
      <c r="H2356" t="str">
        <f>"4059483617"</f>
        <v>4059483617</v>
      </c>
      <c r="I2356" t="str">
        <f t="shared" si="46"/>
        <v>CINTAS CORPORATION #087</v>
      </c>
    </row>
    <row r="2357" spans="1:9" x14ac:dyDescent="0.25">
      <c r="E2357" s="7"/>
      <c r="F2357" t="s">
        <v>20</v>
      </c>
      <c r="G2357" s="10" t="s">
        <v>21</v>
      </c>
      <c r="H2357" t="str">
        <f>"4073261033"</f>
        <v>4073261033</v>
      </c>
      <c r="I2357" t="str">
        <f t="shared" si="46"/>
        <v>CINTAS CORPORATION #087</v>
      </c>
    </row>
    <row r="2358" spans="1:9" x14ac:dyDescent="0.25">
      <c r="E2358" s="7"/>
      <c r="F2358" t="s">
        <v>20</v>
      </c>
      <c r="G2358" s="10" t="s">
        <v>21</v>
      </c>
      <c r="H2358" t="str">
        <f>"4076734818"</f>
        <v>4076734818</v>
      </c>
      <c r="I2358" t="str">
        <f t="shared" si="46"/>
        <v>CINTAS CORPORATION #087</v>
      </c>
    </row>
    <row r="2359" spans="1:9" x14ac:dyDescent="0.25">
      <c r="E2359" s="7"/>
      <c r="F2359" t="s">
        <v>20</v>
      </c>
      <c r="G2359" s="10" t="s">
        <v>21</v>
      </c>
      <c r="H2359" t="str">
        <f>"4076734839"</f>
        <v>4076734839</v>
      </c>
      <c r="I2359" t="str">
        <f t="shared" si="46"/>
        <v>CINTAS CORPORATION #087</v>
      </c>
    </row>
    <row r="2360" spans="1:9" x14ac:dyDescent="0.25">
      <c r="E2360" s="7"/>
      <c r="F2360" t="s">
        <v>20</v>
      </c>
      <c r="G2360" s="10" t="s">
        <v>21</v>
      </c>
      <c r="H2360" t="str">
        <f>"4077233984"</f>
        <v>4077233984</v>
      </c>
      <c r="I2360" t="str">
        <f t="shared" si="46"/>
        <v>CINTAS CORPORATION #087</v>
      </c>
    </row>
    <row r="2361" spans="1:9" x14ac:dyDescent="0.25">
      <c r="E2361" s="7"/>
      <c r="F2361" t="s">
        <v>20</v>
      </c>
      <c r="G2361" s="10" t="s">
        <v>21</v>
      </c>
      <c r="H2361" t="str">
        <f>"4077234014"</f>
        <v>4077234014</v>
      </c>
      <c r="I2361" t="str">
        <f t="shared" si="46"/>
        <v>CINTAS CORPORATION #087</v>
      </c>
    </row>
    <row r="2362" spans="1:9" x14ac:dyDescent="0.25">
      <c r="E2362" s="7"/>
      <c r="F2362" t="s">
        <v>20</v>
      </c>
      <c r="G2362" s="10" t="s">
        <v>21</v>
      </c>
      <c r="H2362" t="str">
        <f>"4078551145"</f>
        <v>4078551145</v>
      </c>
      <c r="I2362" t="str">
        <f t="shared" si="46"/>
        <v>CINTAS CORPORATION #087</v>
      </c>
    </row>
    <row r="2363" spans="1:9" x14ac:dyDescent="0.25">
      <c r="E2363" s="7"/>
      <c r="F2363" t="s">
        <v>20</v>
      </c>
      <c r="G2363" s="10" t="s">
        <v>21</v>
      </c>
      <c r="H2363" t="str">
        <f>"4078551197"</f>
        <v>4078551197</v>
      </c>
      <c r="I2363" t="str">
        <f t="shared" si="46"/>
        <v>CINTAS CORPORATION #087</v>
      </c>
    </row>
    <row r="2364" spans="1:9" x14ac:dyDescent="0.25">
      <c r="E2364" s="7"/>
      <c r="F2364" t="s">
        <v>20</v>
      </c>
      <c r="G2364" s="10" t="s">
        <v>21</v>
      </c>
      <c r="H2364" t="str">
        <f>"4078551294"</f>
        <v>4078551294</v>
      </c>
      <c r="I2364" t="str">
        <f t="shared" si="46"/>
        <v>CINTAS CORPORATION #087</v>
      </c>
    </row>
    <row r="2365" spans="1:9" x14ac:dyDescent="0.25">
      <c r="A2365" s="6">
        <v>44279</v>
      </c>
      <c r="B2365" t="s">
        <v>26</v>
      </c>
      <c r="C2365">
        <v>66351</v>
      </c>
      <c r="D2365" t="s">
        <v>122</v>
      </c>
      <c r="E2365" s="7">
        <v>40</v>
      </c>
      <c r="F2365" t="s">
        <v>20</v>
      </c>
      <c r="G2365" s="10" t="s">
        <v>21</v>
      </c>
      <c r="H2365" t="str">
        <f>"153785"</f>
        <v>153785</v>
      </c>
      <c r="I2365" t="str">
        <f>"VILLA TIRES"</f>
        <v>VILLA TIRES</v>
      </c>
    </row>
    <row r="2366" spans="1:9" x14ac:dyDescent="0.25">
      <c r="A2366" s="6">
        <v>44279</v>
      </c>
      <c r="B2366" t="s">
        <v>26</v>
      </c>
      <c r="C2366">
        <v>66352</v>
      </c>
      <c r="D2366" t="s">
        <v>123</v>
      </c>
      <c r="E2366" s="7">
        <v>583.95000000000005</v>
      </c>
      <c r="F2366" t="s">
        <v>20</v>
      </c>
      <c r="G2366" s="10" t="s">
        <v>21</v>
      </c>
      <c r="H2366" t="str">
        <f>"156024856001"</f>
        <v>156024856001</v>
      </c>
      <c r="I2366" t="str">
        <f t="shared" ref="I2366:I2371" si="47">"OFFICE SUPPLIES"</f>
        <v>OFFICE SUPPLIES</v>
      </c>
    </row>
    <row r="2367" spans="1:9" x14ac:dyDescent="0.25">
      <c r="E2367" s="7"/>
      <c r="F2367" t="s">
        <v>20</v>
      </c>
      <c r="G2367" s="10" t="s">
        <v>21</v>
      </c>
      <c r="H2367" t="str">
        <f>"156160598001"</f>
        <v>156160598001</v>
      </c>
      <c r="I2367" t="str">
        <f t="shared" si="47"/>
        <v>OFFICE SUPPLIES</v>
      </c>
    </row>
    <row r="2368" spans="1:9" x14ac:dyDescent="0.25">
      <c r="E2368" s="7"/>
      <c r="F2368" t="s">
        <v>20</v>
      </c>
      <c r="G2368" s="10" t="s">
        <v>21</v>
      </c>
      <c r="H2368" t="str">
        <f>"156160622001"</f>
        <v>156160622001</v>
      </c>
      <c r="I2368" t="str">
        <f t="shared" si="47"/>
        <v>OFFICE SUPPLIES</v>
      </c>
    </row>
    <row r="2369" spans="1:9" x14ac:dyDescent="0.25">
      <c r="E2369" s="7"/>
      <c r="F2369" t="s">
        <v>20</v>
      </c>
      <c r="G2369" s="10" t="s">
        <v>21</v>
      </c>
      <c r="H2369" t="str">
        <f>"156160632001"</f>
        <v>156160632001</v>
      </c>
      <c r="I2369" t="str">
        <f t="shared" si="47"/>
        <v>OFFICE SUPPLIES</v>
      </c>
    </row>
    <row r="2370" spans="1:9" x14ac:dyDescent="0.25">
      <c r="E2370" s="7"/>
      <c r="F2370" t="s">
        <v>20</v>
      </c>
      <c r="G2370" s="10" t="s">
        <v>21</v>
      </c>
      <c r="H2370" t="str">
        <f>"156160633001"</f>
        <v>156160633001</v>
      </c>
      <c r="I2370" t="str">
        <f t="shared" si="47"/>
        <v>OFFICE SUPPLIES</v>
      </c>
    </row>
    <row r="2371" spans="1:9" x14ac:dyDescent="0.25">
      <c r="E2371" s="7"/>
      <c r="F2371" t="s">
        <v>20</v>
      </c>
      <c r="G2371" s="10" t="s">
        <v>21</v>
      </c>
      <c r="H2371" t="str">
        <f>"156160649001"</f>
        <v>156160649001</v>
      </c>
      <c r="I2371" t="str">
        <f t="shared" si="47"/>
        <v>OFFICE SUPPLIES</v>
      </c>
    </row>
    <row r="2372" spans="1:9" x14ac:dyDescent="0.25">
      <c r="A2372" s="6">
        <v>44279</v>
      </c>
      <c r="B2372" t="s">
        <v>26</v>
      </c>
      <c r="C2372">
        <v>66354</v>
      </c>
      <c r="D2372" t="s">
        <v>77</v>
      </c>
      <c r="E2372" s="7">
        <v>330</v>
      </c>
      <c r="F2372" t="s">
        <v>20</v>
      </c>
      <c r="G2372" s="10" t="s">
        <v>21</v>
      </c>
      <c r="H2372" t="str">
        <f>"DE85000275-21"</f>
        <v>DE85000275-21</v>
      </c>
      <c r="I2372" t="str">
        <f>"DPC INDUSTRIES  INC."</f>
        <v>DPC INDUSTRIES  INC.</v>
      </c>
    </row>
    <row r="2373" spans="1:9" x14ac:dyDescent="0.25">
      <c r="E2373" s="7"/>
      <c r="F2373" t="s">
        <v>20</v>
      </c>
      <c r="G2373" s="10" t="s">
        <v>21</v>
      </c>
      <c r="H2373" t="str">
        <f>"DE85000470-21"</f>
        <v>DE85000470-21</v>
      </c>
      <c r="I2373" t="str">
        <f>"DPC INDUSTRIES  INC."</f>
        <v>DPC INDUSTRIES  INC.</v>
      </c>
    </row>
    <row r="2374" spans="1:9" x14ac:dyDescent="0.25">
      <c r="A2374" s="6">
        <v>44279</v>
      </c>
      <c r="B2374" t="s">
        <v>26</v>
      </c>
      <c r="C2374">
        <v>66355</v>
      </c>
      <c r="D2374" t="s">
        <v>124</v>
      </c>
      <c r="E2374" s="7">
        <v>53.23</v>
      </c>
      <c r="F2374" t="s">
        <v>20</v>
      </c>
      <c r="G2374" s="10" t="s">
        <v>21</v>
      </c>
      <c r="H2374" t="str">
        <f>"11102062"</f>
        <v>11102062</v>
      </c>
      <c r="I2374" t="str">
        <f>"MATERIAL FOR BEERWAREHOUS"</f>
        <v>MATERIAL FOR BEERWAREHOUS</v>
      </c>
    </row>
    <row r="2375" spans="1:9" x14ac:dyDescent="0.25">
      <c r="E2375" s="7"/>
      <c r="F2375" t="s">
        <v>20</v>
      </c>
      <c r="G2375" s="10" t="s">
        <v>21</v>
      </c>
      <c r="H2375" t="str">
        <f>"11102063"</f>
        <v>11102063</v>
      </c>
      <c r="I2375" t="str">
        <f>"MATERIAL FOR BEERWAREHOUS"</f>
        <v>MATERIAL FOR BEERWAREHOUS</v>
      </c>
    </row>
    <row r="2376" spans="1:9" x14ac:dyDescent="0.25">
      <c r="E2376" s="7"/>
      <c r="F2376" t="s">
        <v>20</v>
      </c>
      <c r="G2376" s="10" t="s">
        <v>21</v>
      </c>
      <c r="H2376" t="str">
        <f>"11102571"</f>
        <v>11102571</v>
      </c>
      <c r="I2376" t="str">
        <f>"KEYS FOR CONSESSION STAND"</f>
        <v>KEYS FOR CONSESSION STAND</v>
      </c>
    </row>
    <row r="2377" spans="1:9" x14ac:dyDescent="0.25">
      <c r="A2377" s="6">
        <v>44279</v>
      </c>
      <c r="B2377" t="s">
        <v>26</v>
      </c>
      <c r="C2377">
        <v>66356</v>
      </c>
      <c r="D2377" t="s">
        <v>31</v>
      </c>
      <c r="E2377" s="7">
        <v>2000</v>
      </c>
      <c r="F2377" t="s">
        <v>20</v>
      </c>
      <c r="G2377" s="10" t="s">
        <v>21</v>
      </c>
      <c r="H2377" t="str">
        <f>"2021260"</f>
        <v>2021260</v>
      </c>
      <c r="I2377" t="str">
        <f>"THE LAW OFFICE OF TOM CALDWELL"</f>
        <v>THE LAW OFFICE OF TOM CALDWELL</v>
      </c>
    </row>
    <row r="2378" spans="1:9" x14ac:dyDescent="0.25">
      <c r="A2378" s="6">
        <v>44279</v>
      </c>
      <c r="B2378" t="s">
        <v>26</v>
      </c>
      <c r="C2378">
        <v>66357</v>
      </c>
      <c r="D2378" t="s">
        <v>131</v>
      </c>
      <c r="E2378" s="7">
        <v>42.99</v>
      </c>
      <c r="F2378" t="s">
        <v>20</v>
      </c>
      <c r="G2378" s="10" t="s">
        <v>21</v>
      </c>
      <c r="H2378" t="str">
        <f>"057838"</f>
        <v>057838</v>
      </c>
      <c r="I2378" t="str">
        <f>"PARKS DEPT REPAIR"</f>
        <v>PARKS DEPT REPAIR</v>
      </c>
    </row>
    <row r="2379" spans="1:9" x14ac:dyDescent="0.25">
      <c r="A2379" s="6">
        <v>44279</v>
      </c>
      <c r="B2379" t="s">
        <v>26</v>
      </c>
      <c r="C2379">
        <v>66358</v>
      </c>
      <c r="D2379" t="s">
        <v>85</v>
      </c>
      <c r="E2379" s="7">
        <v>2890.32</v>
      </c>
      <c r="F2379" t="s">
        <v>20</v>
      </c>
      <c r="G2379" s="10" t="s">
        <v>21</v>
      </c>
      <c r="H2379" t="str">
        <f>"2162733 MAR.2021"</f>
        <v>2162733 MAR.2021</v>
      </c>
      <c r="I2379" t="str">
        <f t="shared" ref="I2379:I2385" si="48">"FRONTIER"</f>
        <v>FRONTIER</v>
      </c>
    </row>
    <row r="2380" spans="1:9" x14ac:dyDescent="0.25">
      <c r="E2380" s="7"/>
      <c r="F2380" t="s">
        <v>20</v>
      </c>
      <c r="G2380" s="10" t="s">
        <v>21</v>
      </c>
      <c r="H2380" t="str">
        <f>"2162755 MAR.2021"</f>
        <v>2162755 MAR.2021</v>
      </c>
      <c r="I2380" t="str">
        <f t="shared" si="48"/>
        <v>FRONTIER</v>
      </c>
    </row>
    <row r="2381" spans="1:9" x14ac:dyDescent="0.25">
      <c r="E2381" s="7"/>
      <c r="F2381" t="s">
        <v>20</v>
      </c>
      <c r="G2381" s="10" t="s">
        <v>21</v>
      </c>
      <c r="H2381" t="str">
        <f>"3932804 MAR.2021"</f>
        <v>3932804 MAR.2021</v>
      </c>
      <c r="I2381" t="str">
        <f t="shared" si="48"/>
        <v>FRONTIER</v>
      </c>
    </row>
    <row r="2382" spans="1:9" x14ac:dyDescent="0.25">
      <c r="E2382" s="7"/>
      <c r="F2382" t="s">
        <v>20</v>
      </c>
      <c r="G2382" s="10" t="s">
        <v>21</v>
      </c>
      <c r="H2382" t="str">
        <f>"3934055 MAR.2021"</f>
        <v>3934055 MAR.2021</v>
      </c>
      <c r="I2382" t="str">
        <f t="shared" si="48"/>
        <v>FRONTIER</v>
      </c>
    </row>
    <row r="2383" spans="1:9" x14ac:dyDescent="0.25">
      <c r="E2383" s="7"/>
      <c r="F2383" t="s">
        <v>20</v>
      </c>
      <c r="G2383" s="10" t="s">
        <v>21</v>
      </c>
      <c r="H2383" t="str">
        <f>"3936794 MAR.2021"</f>
        <v>3936794 MAR.2021</v>
      </c>
      <c r="I2383" t="str">
        <f t="shared" si="48"/>
        <v>FRONTIER</v>
      </c>
    </row>
    <row r="2384" spans="1:9" x14ac:dyDescent="0.25">
      <c r="E2384" s="7"/>
      <c r="F2384" t="s">
        <v>20</v>
      </c>
      <c r="G2384" s="10" t="s">
        <v>21</v>
      </c>
      <c r="H2384" t="str">
        <f>"3938193 MAR.2021"</f>
        <v>3938193 MAR.2021</v>
      </c>
      <c r="I2384" t="str">
        <f t="shared" si="48"/>
        <v>FRONTIER</v>
      </c>
    </row>
    <row r="2385" spans="1:9" x14ac:dyDescent="0.25">
      <c r="E2385" s="7"/>
      <c r="F2385" t="s">
        <v>20</v>
      </c>
      <c r="G2385" s="10" t="s">
        <v>21</v>
      </c>
      <c r="H2385" t="str">
        <f>"8301970025 3/21"</f>
        <v>8301970025 3/21</v>
      </c>
      <c r="I2385" t="str">
        <f t="shared" si="48"/>
        <v>FRONTIER</v>
      </c>
    </row>
    <row r="2386" spans="1:9" x14ac:dyDescent="0.25">
      <c r="A2386" s="6">
        <v>44279</v>
      </c>
      <c r="B2386" t="s">
        <v>26</v>
      </c>
      <c r="C2386">
        <v>66360</v>
      </c>
      <c r="D2386" t="s">
        <v>195</v>
      </c>
      <c r="E2386" s="7">
        <v>1530</v>
      </c>
      <c r="F2386" t="s">
        <v>20</v>
      </c>
      <c r="G2386" s="10" t="s">
        <v>21</v>
      </c>
      <c r="H2386" t="str">
        <f>"31492"</f>
        <v>31492</v>
      </c>
      <c r="I2386" t="str">
        <f>"ARISTA INFORMATION SYSTEMS  IN"</f>
        <v>ARISTA INFORMATION SYSTEMS  IN</v>
      </c>
    </row>
    <row r="2387" spans="1:9" x14ac:dyDescent="0.25">
      <c r="A2387" s="6">
        <v>44279</v>
      </c>
      <c r="B2387" t="s">
        <v>26</v>
      </c>
      <c r="C2387">
        <v>66361</v>
      </c>
      <c r="D2387" t="s">
        <v>323</v>
      </c>
      <c r="E2387" s="7">
        <v>770.97</v>
      </c>
      <c r="F2387" t="s">
        <v>20</v>
      </c>
      <c r="G2387" s="10" t="s">
        <v>21</v>
      </c>
      <c r="H2387" t="str">
        <f>"UNIT 183  4/1/21"</f>
        <v>UNIT 183  4/1/21</v>
      </c>
      <c r="I2387" t="str">
        <f t="shared" ref="I2387:I2394" si="49">"POLLOK SELF STORAGE LLC"</f>
        <v>POLLOK SELF STORAGE LLC</v>
      </c>
    </row>
    <row r="2388" spans="1:9" x14ac:dyDescent="0.25">
      <c r="E2388" s="7"/>
      <c r="F2388" t="s">
        <v>20</v>
      </c>
      <c r="G2388" s="10" t="s">
        <v>21</v>
      </c>
      <c r="H2388" t="str">
        <f>"UNIT 183 3/29-3/31"</f>
        <v>UNIT 183 3/29-3/31</v>
      </c>
      <c r="I2388" t="str">
        <f t="shared" si="49"/>
        <v>POLLOK SELF STORAGE LLC</v>
      </c>
    </row>
    <row r="2389" spans="1:9" x14ac:dyDescent="0.25">
      <c r="E2389" s="7"/>
      <c r="F2389" t="s">
        <v>20</v>
      </c>
      <c r="G2389" s="10" t="s">
        <v>21</v>
      </c>
      <c r="H2389" t="str">
        <f>"UNIT 185 3/29-3/31"</f>
        <v>UNIT 185 3/29-3/31</v>
      </c>
      <c r="I2389" t="str">
        <f t="shared" si="49"/>
        <v>POLLOK SELF STORAGE LLC</v>
      </c>
    </row>
    <row r="2390" spans="1:9" x14ac:dyDescent="0.25">
      <c r="E2390" s="7"/>
      <c r="F2390" t="s">
        <v>20</v>
      </c>
      <c r="G2390" s="10" t="s">
        <v>21</v>
      </c>
      <c r="H2390" t="str">
        <f>"UNIT 185 4/1/21"</f>
        <v>UNIT 185 4/1/21</v>
      </c>
      <c r="I2390" t="str">
        <f t="shared" si="49"/>
        <v>POLLOK SELF STORAGE LLC</v>
      </c>
    </row>
    <row r="2391" spans="1:9" x14ac:dyDescent="0.25">
      <c r="E2391" s="7"/>
      <c r="F2391" t="s">
        <v>20</v>
      </c>
      <c r="G2391" s="10" t="s">
        <v>21</v>
      </c>
      <c r="H2391" t="str">
        <f>"UNIT 186 3/29-3/31"</f>
        <v>UNIT 186 3/29-3/31</v>
      </c>
      <c r="I2391" t="str">
        <f t="shared" si="49"/>
        <v>POLLOK SELF STORAGE LLC</v>
      </c>
    </row>
    <row r="2392" spans="1:9" x14ac:dyDescent="0.25">
      <c r="E2392" s="7"/>
      <c r="F2392" t="s">
        <v>20</v>
      </c>
      <c r="G2392" s="10" t="s">
        <v>21</v>
      </c>
      <c r="H2392" t="str">
        <f>"UNIT 186 4/1/21"</f>
        <v>UNIT 186 4/1/21</v>
      </c>
      <c r="I2392" t="str">
        <f t="shared" si="49"/>
        <v>POLLOK SELF STORAGE LLC</v>
      </c>
    </row>
    <row r="2393" spans="1:9" x14ac:dyDescent="0.25">
      <c r="E2393" s="7"/>
      <c r="F2393" t="s">
        <v>20</v>
      </c>
      <c r="G2393" s="10" t="s">
        <v>21</v>
      </c>
      <c r="H2393" t="str">
        <f>"UNIT 187 3/29-3/31"</f>
        <v>UNIT 187 3/29-3/31</v>
      </c>
      <c r="I2393" t="str">
        <f t="shared" si="49"/>
        <v>POLLOK SELF STORAGE LLC</v>
      </c>
    </row>
    <row r="2394" spans="1:9" x14ac:dyDescent="0.25">
      <c r="E2394" s="7"/>
      <c r="F2394" t="s">
        <v>20</v>
      </c>
      <c r="G2394" s="10" t="s">
        <v>21</v>
      </c>
      <c r="H2394" t="str">
        <f>"UNIT 187 4/1/2021"</f>
        <v>UNIT 187 4/1/2021</v>
      </c>
      <c r="I2394" t="str">
        <f t="shared" si="49"/>
        <v>POLLOK SELF STORAGE LLC</v>
      </c>
    </row>
    <row r="2395" spans="1:9" x14ac:dyDescent="0.25">
      <c r="A2395" s="6">
        <v>44279</v>
      </c>
      <c r="B2395" t="s">
        <v>26</v>
      </c>
      <c r="C2395">
        <v>66363</v>
      </c>
      <c r="D2395" t="s">
        <v>315</v>
      </c>
      <c r="E2395" s="7">
        <v>499.99</v>
      </c>
      <c r="F2395" t="s">
        <v>20</v>
      </c>
      <c r="G2395" s="10" t="s">
        <v>21</v>
      </c>
      <c r="H2395" t="str">
        <f>"864914"</f>
        <v>864914</v>
      </c>
      <c r="I2395" t="str">
        <f>"CUPS/FHS"</f>
        <v>CUPS/FHS</v>
      </c>
    </row>
    <row r="2396" spans="1:9" x14ac:dyDescent="0.25">
      <c r="A2396" s="6">
        <v>44279</v>
      </c>
      <c r="B2396" t="s">
        <v>26</v>
      </c>
      <c r="C2396">
        <v>66364</v>
      </c>
      <c r="D2396" t="s">
        <v>644</v>
      </c>
      <c r="E2396" s="7">
        <v>673.23</v>
      </c>
      <c r="F2396" t="s">
        <v>20</v>
      </c>
      <c r="G2396" s="10" t="s">
        <v>21</v>
      </c>
      <c r="H2396" t="str">
        <f>"8213573657"</f>
        <v>8213573657</v>
      </c>
      <c r="I2396" t="str">
        <f t="shared" ref="I2396:I2402" si="50">"UNIFIRST CORPORATION"</f>
        <v>UNIFIRST CORPORATION</v>
      </c>
    </row>
    <row r="2397" spans="1:9" x14ac:dyDescent="0.25">
      <c r="E2397" s="7"/>
      <c r="F2397" t="s">
        <v>20</v>
      </c>
      <c r="G2397" s="10" t="s">
        <v>21</v>
      </c>
      <c r="H2397" t="str">
        <f>"8213573658"</f>
        <v>8213573658</v>
      </c>
      <c r="I2397" t="str">
        <f t="shared" si="50"/>
        <v>UNIFIRST CORPORATION</v>
      </c>
    </row>
    <row r="2398" spans="1:9" x14ac:dyDescent="0.25">
      <c r="E2398" s="7"/>
      <c r="F2398" t="s">
        <v>20</v>
      </c>
      <c r="G2398" s="10" t="s">
        <v>21</v>
      </c>
      <c r="H2398" t="str">
        <f>"8213573659"</f>
        <v>8213573659</v>
      </c>
      <c r="I2398" t="str">
        <f t="shared" si="50"/>
        <v>UNIFIRST CORPORATION</v>
      </c>
    </row>
    <row r="2399" spans="1:9" x14ac:dyDescent="0.25">
      <c r="E2399" s="7"/>
      <c r="F2399" t="s">
        <v>20</v>
      </c>
      <c r="G2399" s="10" t="s">
        <v>21</v>
      </c>
      <c r="H2399" t="str">
        <f>"8213573660"</f>
        <v>8213573660</v>
      </c>
      <c r="I2399" t="str">
        <f t="shared" si="50"/>
        <v>UNIFIRST CORPORATION</v>
      </c>
    </row>
    <row r="2400" spans="1:9" x14ac:dyDescent="0.25">
      <c r="E2400" s="7"/>
      <c r="F2400" t="s">
        <v>20</v>
      </c>
      <c r="G2400" s="10" t="s">
        <v>21</v>
      </c>
      <c r="H2400" t="str">
        <f>"8213573661"</f>
        <v>8213573661</v>
      </c>
      <c r="I2400" t="str">
        <f t="shared" si="50"/>
        <v>UNIFIRST CORPORATION</v>
      </c>
    </row>
    <row r="2401" spans="1:9" x14ac:dyDescent="0.25">
      <c r="E2401" s="7"/>
      <c r="F2401" t="s">
        <v>20</v>
      </c>
      <c r="G2401" s="10" t="s">
        <v>21</v>
      </c>
      <c r="H2401" t="str">
        <f>"8213573662"</f>
        <v>8213573662</v>
      </c>
      <c r="I2401" t="str">
        <f t="shared" si="50"/>
        <v>UNIFIRST CORPORATION</v>
      </c>
    </row>
    <row r="2402" spans="1:9" x14ac:dyDescent="0.25">
      <c r="E2402" s="7"/>
      <c r="F2402" t="s">
        <v>20</v>
      </c>
      <c r="G2402" s="10" t="s">
        <v>21</v>
      </c>
      <c r="H2402" t="str">
        <f>"8213573663"</f>
        <v>8213573663</v>
      </c>
      <c r="I2402" t="str">
        <f t="shared" si="50"/>
        <v>UNIFIRST CORPORATION</v>
      </c>
    </row>
    <row r="2403" spans="1:9" x14ac:dyDescent="0.25">
      <c r="A2403" s="6">
        <v>44279</v>
      </c>
      <c r="B2403" t="s">
        <v>26</v>
      </c>
      <c r="C2403">
        <v>66366</v>
      </c>
      <c r="D2403" t="s">
        <v>647</v>
      </c>
      <c r="E2403" s="7">
        <v>3288.81</v>
      </c>
      <c r="F2403" t="s">
        <v>20</v>
      </c>
      <c r="G2403" s="10" t="s">
        <v>21</v>
      </c>
      <c r="H2403" t="str">
        <f>"28912078"</f>
        <v>28912078</v>
      </c>
      <c r="I2403" t="str">
        <f>"DOCUMATION  INC."</f>
        <v>DOCUMATION  INC.</v>
      </c>
    </row>
    <row r="2404" spans="1:9" x14ac:dyDescent="0.25">
      <c r="A2404" s="6">
        <v>44279</v>
      </c>
      <c r="B2404" t="s">
        <v>26</v>
      </c>
      <c r="C2404">
        <v>66367</v>
      </c>
      <c r="D2404" t="s">
        <v>1033</v>
      </c>
      <c r="E2404" s="7">
        <v>7639.29</v>
      </c>
      <c r="F2404" t="s">
        <v>20</v>
      </c>
      <c r="G2404" s="10" t="s">
        <v>21</v>
      </c>
      <c r="H2404" t="str">
        <f>"1143"</f>
        <v>1143</v>
      </c>
      <c r="I2404" t="str">
        <f>"WWTP 2021 GMC REPAIR"</f>
        <v>WWTP 2021 GMC REPAIR</v>
      </c>
    </row>
    <row r="2405" spans="1:9" x14ac:dyDescent="0.25">
      <c r="E2405" s="7"/>
      <c r="F2405" t="s">
        <v>20</v>
      </c>
      <c r="G2405" s="10" t="s">
        <v>21</v>
      </c>
      <c r="H2405" t="str">
        <f>"1144"</f>
        <v>1144</v>
      </c>
      <c r="I2405" t="str">
        <f>"TEN/28 COLLISION REPAIR AND RE"</f>
        <v>TEN/28 COLLISION REPAIR AND RE</v>
      </c>
    </row>
    <row r="2406" spans="1:9" x14ac:dyDescent="0.25">
      <c r="A2406" s="6">
        <v>44279</v>
      </c>
      <c r="B2406" t="s">
        <v>26</v>
      </c>
      <c r="C2406">
        <v>66368</v>
      </c>
      <c r="D2406" t="s">
        <v>986</v>
      </c>
      <c r="E2406" s="7">
        <v>728.5</v>
      </c>
      <c r="F2406" t="s">
        <v>20</v>
      </c>
      <c r="G2406" s="10" t="s">
        <v>21</v>
      </c>
      <c r="H2406" t="str">
        <f>"3/8-3/19/2021"</f>
        <v>3/8-3/19/2021</v>
      </c>
      <c r="I2406" t="str">
        <f>"KERRY L. ESQUIVEL"</f>
        <v>KERRY L. ESQUIVEL</v>
      </c>
    </row>
    <row r="2407" spans="1:9" x14ac:dyDescent="0.25">
      <c r="A2407" s="6">
        <v>44279</v>
      </c>
      <c r="B2407" t="s">
        <v>26</v>
      </c>
      <c r="C2407">
        <v>66369</v>
      </c>
      <c r="D2407" t="s">
        <v>103</v>
      </c>
      <c r="E2407" s="7">
        <v>60000</v>
      </c>
      <c r="F2407" t="s">
        <v>20</v>
      </c>
      <c r="G2407" s="10" t="s">
        <v>21</v>
      </c>
      <c r="H2407" t="str">
        <f>"RES. #2020-018"</f>
        <v>RES. #2020-018</v>
      </c>
      <c r="I2407" t="str">
        <f>"F. E. D. C."</f>
        <v>F. E. D. C.</v>
      </c>
    </row>
    <row r="2408" spans="1:9" x14ac:dyDescent="0.25">
      <c r="A2408" s="6">
        <v>44280</v>
      </c>
      <c r="B2408" t="s">
        <v>26</v>
      </c>
      <c r="C2408">
        <v>66370</v>
      </c>
      <c r="D2408" t="s">
        <v>345</v>
      </c>
      <c r="E2408" s="7">
        <v>330</v>
      </c>
      <c r="F2408" t="s">
        <v>20</v>
      </c>
      <c r="G2408" s="10" t="s">
        <v>21</v>
      </c>
      <c r="H2408" t="str">
        <f>"3/22/2021"</f>
        <v>3/22/2021</v>
      </c>
      <c r="I2408" t="str">
        <f>"MICHAEL ISAAC MARTINEZ"</f>
        <v>MICHAEL ISAAC MARTINEZ</v>
      </c>
    </row>
    <row r="2409" spans="1:9" x14ac:dyDescent="0.25">
      <c r="A2409" s="6">
        <v>44281</v>
      </c>
      <c r="B2409" t="s">
        <v>26</v>
      </c>
      <c r="C2409">
        <v>66371</v>
      </c>
      <c r="D2409" t="s">
        <v>584</v>
      </c>
      <c r="E2409" s="7">
        <v>70</v>
      </c>
      <c r="F2409" t="s">
        <v>20</v>
      </c>
      <c r="G2409" s="10" t="s">
        <v>21</v>
      </c>
      <c r="H2409" t="str">
        <f>"3/21/2021"</f>
        <v>3/21/2021</v>
      </c>
      <c r="I2409" t="str">
        <f>"AMANDA SENDEJO"</f>
        <v>AMANDA SENDEJO</v>
      </c>
    </row>
    <row r="2410" spans="1:9" x14ac:dyDescent="0.25">
      <c r="A2410" s="6">
        <v>44285</v>
      </c>
      <c r="B2410" t="s">
        <v>91</v>
      </c>
      <c r="C2410">
        <v>66372</v>
      </c>
      <c r="D2410" t="s">
        <v>90</v>
      </c>
      <c r="E2410" s="7">
        <v>150.69</v>
      </c>
      <c r="F2410" t="s">
        <v>20</v>
      </c>
      <c r="G2410" s="10" t="s">
        <v>24</v>
      </c>
      <c r="H2410" t="str">
        <f>"MARCH 2021"</f>
        <v>MARCH 2021</v>
      </c>
      <c r="I2410" t="str">
        <f>"AFLAC"</f>
        <v>AFLAC</v>
      </c>
    </row>
    <row r="2411" spans="1:9" x14ac:dyDescent="0.25">
      <c r="E2411" s="7"/>
      <c r="F2411" t="s">
        <v>20</v>
      </c>
      <c r="G2411" s="10" t="s">
        <v>21</v>
      </c>
      <c r="H2411" t="str">
        <f>"AF1202103098603"</f>
        <v>AF1202103098603</v>
      </c>
      <c r="I2411" t="str">
        <f>"AFLAC INSURANCE"</f>
        <v>AFLAC INSURANCE</v>
      </c>
    </row>
    <row r="2412" spans="1:9" x14ac:dyDescent="0.25">
      <c r="A2412" s="6">
        <v>44285</v>
      </c>
      <c r="B2412" t="s">
        <v>91</v>
      </c>
      <c r="C2412">
        <v>66372</v>
      </c>
      <c r="D2412" t="s">
        <v>90</v>
      </c>
      <c r="E2412" s="7">
        <v>150.69</v>
      </c>
      <c r="F2412" t="s">
        <v>20</v>
      </c>
      <c r="G2412" s="10" t="s">
        <v>93</v>
      </c>
      <c r="H2412" t="str">
        <f>"CHECK"</f>
        <v>CHECK</v>
      </c>
      <c r="I2412" t="str">
        <f>""</f>
        <v/>
      </c>
    </row>
    <row r="2413" spans="1:9" x14ac:dyDescent="0.25">
      <c r="A2413" s="6">
        <v>44285</v>
      </c>
      <c r="B2413" t="s">
        <v>26</v>
      </c>
      <c r="C2413">
        <v>66373</v>
      </c>
      <c r="D2413" t="s">
        <v>584</v>
      </c>
      <c r="E2413" s="7">
        <v>75</v>
      </c>
      <c r="F2413" t="s">
        <v>20</v>
      </c>
      <c r="G2413" s="10" t="s">
        <v>21</v>
      </c>
      <c r="H2413" t="str">
        <f>"3/28/2021"</f>
        <v>3/28/2021</v>
      </c>
      <c r="I2413" t="str">
        <f>"AMANDA SENDEJO"</f>
        <v>AMANDA SENDEJO</v>
      </c>
    </row>
    <row r="2414" spans="1:9" x14ac:dyDescent="0.25">
      <c r="A2414" s="6">
        <v>44285</v>
      </c>
      <c r="B2414" t="s">
        <v>26</v>
      </c>
      <c r="C2414">
        <v>66374</v>
      </c>
      <c r="D2414" t="s">
        <v>83</v>
      </c>
      <c r="E2414" s="7">
        <v>1080</v>
      </c>
      <c r="F2414" t="s">
        <v>20</v>
      </c>
      <c r="G2414" s="10" t="s">
        <v>21</v>
      </c>
      <c r="H2414" t="str">
        <f>"1524504"</f>
        <v>1524504</v>
      </c>
      <c r="I2414" t="str">
        <f>"APPRIVER"</f>
        <v>APPRIVER</v>
      </c>
    </row>
    <row r="2415" spans="1:9" x14ac:dyDescent="0.25">
      <c r="A2415" s="6">
        <v>44285</v>
      </c>
      <c r="B2415" t="s">
        <v>26</v>
      </c>
      <c r="C2415">
        <v>66375</v>
      </c>
      <c r="D2415" t="s">
        <v>836</v>
      </c>
      <c r="E2415" s="7">
        <v>412</v>
      </c>
      <c r="F2415" t="s">
        <v>20</v>
      </c>
      <c r="G2415" s="10" t="s">
        <v>21</v>
      </c>
      <c r="H2415" t="str">
        <f>"73480"</f>
        <v>73480</v>
      </c>
      <c r="I2415" t="str">
        <f>"CITY YARD IT REPAIR"</f>
        <v>CITY YARD IT REPAIR</v>
      </c>
    </row>
    <row r="2416" spans="1:9" x14ac:dyDescent="0.25">
      <c r="A2416" s="6">
        <v>44285</v>
      </c>
      <c r="B2416" t="s">
        <v>26</v>
      </c>
      <c r="C2416">
        <v>66376</v>
      </c>
      <c r="D2416" t="s">
        <v>168</v>
      </c>
      <c r="E2416" s="7">
        <v>180</v>
      </c>
      <c r="F2416" t="s">
        <v>20</v>
      </c>
      <c r="G2416" s="10" t="s">
        <v>21</v>
      </c>
      <c r="H2416" t="str">
        <f>"LI-7414"</f>
        <v>LI-7414</v>
      </c>
      <c r="I2416" t="str">
        <f>"BEXAR COUNTY AUDITOR/ATTN:CRIM"</f>
        <v>BEXAR COUNTY AUDITOR/ATTN:CRIM</v>
      </c>
    </row>
    <row r="2417" spans="1:9" x14ac:dyDescent="0.25">
      <c r="E2417" s="7"/>
      <c r="F2417" t="s">
        <v>20</v>
      </c>
      <c r="G2417" s="10" t="s">
        <v>21</v>
      </c>
      <c r="H2417" t="str">
        <f>"LI-7415"</f>
        <v>LI-7415</v>
      </c>
      <c r="I2417" t="str">
        <f>"BEXAR COUNTY AUDITOR/ATTN:CRIM"</f>
        <v>BEXAR COUNTY AUDITOR/ATTN:CRIM</v>
      </c>
    </row>
    <row r="2418" spans="1:9" x14ac:dyDescent="0.25">
      <c r="E2418" s="7"/>
      <c r="F2418" t="s">
        <v>20</v>
      </c>
      <c r="G2418" s="10" t="s">
        <v>21</v>
      </c>
      <c r="H2418" t="str">
        <f>"LI-7416"</f>
        <v>LI-7416</v>
      </c>
      <c r="I2418" t="str">
        <f>"BEXAR COUNTY AUDITOR/ATTN:CRIM"</f>
        <v>BEXAR COUNTY AUDITOR/ATTN:CRIM</v>
      </c>
    </row>
    <row r="2419" spans="1:9" x14ac:dyDescent="0.25">
      <c r="A2419" s="6">
        <v>44285</v>
      </c>
      <c r="B2419" t="s">
        <v>26</v>
      </c>
      <c r="C2419">
        <v>66377</v>
      </c>
      <c r="D2419" t="s">
        <v>336</v>
      </c>
      <c r="E2419" s="7">
        <v>46</v>
      </c>
      <c r="F2419" t="s">
        <v>20</v>
      </c>
      <c r="G2419" s="10" t="s">
        <v>21</v>
      </c>
      <c r="H2419" t="str">
        <f>"ALAMO AREA COUNCIL"</f>
        <v>ALAMO AREA COUNCIL</v>
      </c>
      <c r="I2419" t="str">
        <f>"TRAVEL AND TRAINING"</f>
        <v>TRAVEL AND TRAINING</v>
      </c>
    </row>
    <row r="2420" spans="1:9" x14ac:dyDescent="0.25">
      <c r="A2420" s="6">
        <v>44285</v>
      </c>
      <c r="B2420" t="s">
        <v>26</v>
      </c>
      <c r="C2420">
        <v>66378</v>
      </c>
      <c r="D2420" t="s">
        <v>63</v>
      </c>
      <c r="E2420" s="7">
        <v>898.39</v>
      </c>
      <c r="F2420" t="s">
        <v>20</v>
      </c>
      <c r="G2420" s="10" t="s">
        <v>21</v>
      </c>
      <c r="H2420" t="str">
        <f>"8405058003"</f>
        <v>8405058003</v>
      </c>
      <c r="I2420" t="str">
        <f>"CINTAS CORPORATION"</f>
        <v>CINTAS CORPORATION</v>
      </c>
    </row>
    <row r="2421" spans="1:9" x14ac:dyDescent="0.25">
      <c r="A2421" s="6">
        <v>44285</v>
      </c>
      <c r="B2421" t="s">
        <v>26</v>
      </c>
      <c r="C2421">
        <v>66379</v>
      </c>
      <c r="D2421" t="s">
        <v>71</v>
      </c>
      <c r="E2421" s="7">
        <v>929.09</v>
      </c>
      <c r="F2421" t="s">
        <v>20</v>
      </c>
      <c r="G2421" s="10" t="s">
        <v>21</v>
      </c>
      <c r="H2421" t="str">
        <f>"4079189090"</f>
        <v>4079189090</v>
      </c>
      <c r="I2421" t="str">
        <f t="shared" ref="I2421:I2429" si="51">"CINTAS CORPORATION #087"</f>
        <v>CINTAS CORPORATION #087</v>
      </c>
    </row>
    <row r="2422" spans="1:9" x14ac:dyDescent="0.25">
      <c r="E2422" s="7"/>
      <c r="F2422" t="s">
        <v>20</v>
      </c>
      <c r="G2422" s="10" t="s">
        <v>21</v>
      </c>
      <c r="H2422" t="str">
        <f>"4079189094"</f>
        <v>4079189094</v>
      </c>
      <c r="I2422" t="str">
        <f t="shared" si="51"/>
        <v>CINTAS CORPORATION #087</v>
      </c>
    </row>
    <row r="2423" spans="1:9" x14ac:dyDescent="0.25">
      <c r="E2423" s="7"/>
      <c r="F2423" t="s">
        <v>20</v>
      </c>
      <c r="G2423" s="10" t="s">
        <v>21</v>
      </c>
      <c r="H2423" t="str">
        <f>"4079189095"</f>
        <v>4079189095</v>
      </c>
      <c r="I2423" t="str">
        <f t="shared" si="51"/>
        <v>CINTAS CORPORATION #087</v>
      </c>
    </row>
    <row r="2424" spans="1:9" x14ac:dyDescent="0.25">
      <c r="E2424" s="7"/>
      <c r="F2424" t="s">
        <v>20</v>
      </c>
      <c r="G2424" s="10" t="s">
        <v>21</v>
      </c>
      <c r="H2424" t="str">
        <f>"4079189149"</f>
        <v>4079189149</v>
      </c>
      <c r="I2424" t="str">
        <f t="shared" si="51"/>
        <v>CINTAS CORPORATION #087</v>
      </c>
    </row>
    <row r="2425" spans="1:9" x14ac:dyDescent="0.25">
      <c r="E2425" s="7"/>
      <c r="F2425" t="s">
        <v>20</v>
      </c>
      <c r="G2425" s="10" t="s">
        <v>21</v>
      </c>
      <c r="H2425" t="str">
        <f>"4079189151"</f>
        <v>4079189151</v>
      </c>
      <c r="I2425" t="str">
        <f t="shared" si="51"/>
        <v>CINTAS CORPORATION #087</v>
      </c>
    </row>
    <row r="2426" spans="1:9" x14ac:dyDescent="0.25">
      <c r="E2426" s="7"/>
      <c r="F2426" t="s">
        <v>20</v>
      </c>
      <c r="G2426" s="10" t="s">
        <v>21</v>
      </c>
      <c r="H2426" t="str">
        <f>"4079189156"</f>
        <v>4079189156</v>
      </c>
      <c r="I2426" t="str">
        <f t="shared" si="51"/>
        <v>CINTAS CORPORATION #087</v>
      </c>
    </row>
    <row r="2427" spans="1:9" x14ac:dyDescent="0.25">
      <c r="E2427" s="7"/>
      <c r="F2427" t="s">
        <v>20</v>
      </c>
      <c r="G2427" s="10" t="s">
        <v>21</v>
      </c>
      <c r="H2427" t="str">
        <f>"4079197077"</f>
        <v>4079197077</v>
      </c>
      <c r="I2427" t="str">
        <f t="shared" si="51"/>
        <v>CINTAS CORPORATION #087</v>
      </c>
    </row>
    <row r="2428" spans="1:9" x14ac:dyDescent="0.25">
      <c r="E2428" s="7"/>
      <c r="F2428" t="s">
        <v>20</v>
      </c>
      <c r="G2428" s="10" t="s">
        <v>21</v>
      </c>
      <c r="H2428" t="str">
        <f>"4079197079"</f>
        <v>4079197079</v>
      </c>
      <c r="I2428" t="str">
        <f t="shared" si="51"/>
        <v>CINTAS CORPORATION #087</v>
      </c>
    </row>
    <row r="2429" spans="1:9" x14ac:dyDescent="0.25">
      <c r="E2429" s="7"/>
      <c r="F2429" t="s">
        <v>20</v>
      </c>
      <c r="G2429" s="10" t="s">
        <v>21</v>
      </c>
      <c r="H2429" t="str">
        <f>"4079197083"</f>
        <v>4079197083</v>
      </c>
      <c r="I2429" t="str">
        <f t="shared" si="51"/>
        <v>CINTAS CORPORATION #087</v>
      </c>
    </row>
    <row r="2430" spans="1:9" x14ac:dyDescent="0.25">
      <c r="A2430" s="6">
        <v>44285</v>
      </c>
      <c r="B2430" t="s">
        <v>26</v>
      </c>
      <c r="C2430">
        <v>66381</v>
      </c>
      <c r="D2430" t="s">
        <v>77</v>
      </c>
      <c r="E2430" s="7">
        <v>2128.73</v>
      </c>
      <c r="F2430" t="s">
        <v>20</v>
      </c>
      <c r="G2430" s="10" t="s">
        <v>21</v>
      </c>
      <c r="H2430" t="str">
        <f>"857000526-21"</f>
        <v>857000526-21</v>
      </c>
      <c r="I2430" t="str">
        <f>"CHLORINE ON HOSP WELL"</f>
        <v>CHLORINE ON HOSP WELL</v>
      </c>
    </row>
    <row r="2431" spans="1:9" x14ac:dyDescent="0.25">
      <c r="E2431" s="7"/>
      <c r="F2431" t="s">
        <v>20</v>
      </c>
      <c r="G2431" s="10" t="s">
        <v>21</v>
      </c>
      <c r="H2431" t="str">
        <f>"857000527-21"</f>
        <v>857000527-21</v>
      </c>
      <c r="I2431" t="str">
        <f>"CHLORINE WWTP"</f>
        <v>CHLORINE WWTP</v>
      </c>
    </row>
    <row r="2432" spans="1:9" x14ac:dyDescent="0.25">
      <c r="E2432" s="7"/>
      <c r="F2432" t="s">
        <v>20</v>
      </c>
      <c r="G2432" s="10" t="s">
        <v>21</v>
      </c>
      <c r="H2432" t="str">
        <f>"857000528-21"</f>
        <v>857000528-21</v>
      </c>
      <c r="I2432" t="str">
        <f>"CHLORINE B STREET"</f>
        <v>CHLORINE B STREET</v>
      </c>
    </row>
    <row r="2433" spans="1:9" x14ac:dyDescent="0.25">
      <c r="A2433" s="6">
        <v>44285</v>
      </c>
      <c r="B2433" t="s">
        <v>26</v>
      </c>
      <c r="C2433">
        <v>66382</v>
      </c>
      <c r="D2433" t="s">
        <v>69</v>
      </c>
      <c r="E2433" s="7">
        <v>79.41</v>
      </c>
      <c r="F2433" t="s">
        <v>20</v>
      </c>
      <c r="G2433" s="10" t="s">
        <v>21</v>
      </c>
      <c r="H2433" t="str">
        <f>"3C06254"</f>
        <v>3C06254</v>
      </c>
      <c r="I2433" t="str">
        <f>"BLADES"</f>
        <v>BLADES</v>
      </c>
    </row>
    <row r="2434" spans="1:9" x14ac:dyDescent="0.25">
      <c r="A2434" s="6">
        <v>44285</v>
      </c>
      <c r="B2434" t="s">
        <v>26</v>
      </c>
      <c r="C2434">
        <v>66383</v>
      </c>
      <c r="D2434" t="s">
        <v>59</v>
      </c>
      <c r="E2434" s="7">
        <v>6.51</v>
      </c>
      <c r="F2434" t="s">
        <v>20</v>
      </c>
      <c r="G2434" s="10" t="s">
        <v>21</v>
      </c>
      <c r="H2434" t="str">
        <f>"1107968-1"</f>
        <v>1107968-1</v>
      </c>
      <c r="I2434" t="str">
        <f>"FERGUSON WATERWORKS - MUNICIPA"</f>
        <v>FERGUSON WATERWORKS - MUNICIPA</v>
      </c>
    </row>
    <row r="2435" spans="1:9" x14ac:dyDescent="0.25">
      <c r="A2435" s="6">
        <v>44285</v>
      </c>
      <c r="B2435" t="s">
        <v>26</v>
      </c>
      <c r="C2435">
        <v>66384</v>
      </c>
      <c r="D2435" t="s">
        <v>85</v>
      </c>
      <c r="E2435" s="7">
        <v>844.02</v>
      </c>
      <c r="F2435" t="s">
        <v>20</v>
      </c>
      <c r="G2435" s="10" t="s">
        <v>21</v>
      </c>
      <c r="H2435" t="str">
        <f>"3932056 MAR.2021"</f>
        <v>3932056 MAR.2021</v>
      </c>
      <c r="I2435" t="str">
        <f>"FRONTIER"</f>
        <v>FRONTIER</v>
      </c>
    </row>
    <row r="2436" spans="1:9" x14ac:dyDescent="0.25">
      <c r="E2436" s="7"/>
      <c r="F2436" t="s">
        <v>20</v>
      </c>
      <c r="G2436" s="10" t="s">
        <v>21</v>
      </c>
      <c r="H2436" t="str">
        <f>"3933105 MAR.2021"</f>
        <v>3933105 MAR.2021</v>
      </c>
      <c r="I2436" t="str">
        <f>"FRONTIER"</f>
        <v>FRONTIER</v>
      </c>
    </row>
    <row r="2437" spans="1:9" x14ac:dyDescent="0.25">
      <c r="E2437" s="7"/>
      <c r="F2437" t="s">
        <v>20</v>
      </c>
      <c r="G2437" s="10" t="s">
        <v>21</v>
      </c>
      <c r="H2437" t="str">
        <f>"3936616 MAR.2021"</f>
        <v>3936616 MAR.2021</v>
      </c>
      <c r="I2437" t="str">
        <f>"FRONTIER"</f>
        <v>FRONTIER</v>
      </c>
    </row>
    <row r="2438" spans="1:9" x14ac:dyDescent="0.25">
      <c r="E2438" s="7"/>
      <c r="F2438" t="s">
        <v>20</v>
      </c>
      <c r="G2438" s="10" t="s">
        <v>21</v>
      </c>
      <c r="H2438" t="str">
        <f>"3939456 MAR.2021"</f>
        <v>3939456 MAR.2021</v>
      </c>
      <c r="I2438" t="str">
        <f>"FRONTIER"</f>
        <v>FRONTIER</v>
      </c>
    </row>
    <row r="2439" spans="1:9" x14ac:dyDescent="0.25">
      <c r="A2439" s="6">
        <v>44285</v>
      </c>
      <c r="B2439" t="s">
        <v>26</v>
      </c>
      <c r="C2439">
        <v>66385</v>
      </c>
      <c r="D2439" t="s">
        <v>1034</v>
      </c>
      <c r="E2439" s="7">
        <v>22390</v>
      </c>
      <c r="F2439" t="s">
        <v>20</v>
      </c>
      <c r="G2439" s="10" t="s">
        <v>21</v>
      </c>
      <c r="H2439" t="str">
        <f>"48532"</f>
        <v>48532</v>
      </c>
      <c r="I2439" t="str">
        <f>"EMERGENCY JOB"</f>
        <v>EMERGENCY JOB</v>
      </c>
    </row>
    <row r="2440" spans="1:9" x14ac:dyDescent="0.25">
      <c r="A2440" s="6">
        <v>44285</v>
      </c>
      <c r="B2440" t="s">
        <v>26</v>
      </c>
      <c r="C2440">
        <v>66386</v>
      </c>
      <c r="D2440" t="s">
        <v>194</v>
      </c>
      <c r="E2440" s="7">
        <v>74.7</v>
      </c>
      <c r="F2440" t="s">
        <v>20</v>
      </c>
      <c r="G2440" s="10" t="s">
        <v>21</v>
      </c>
      <c r="H2440" t="str">
        <f>"017683848"</f>
        <v>017683848</v>
      </c>
      <c r="I2440" t="str">
        <f>"UNIFORMS"</f>
        <v>UNIFORMS</v>
      </c>
    </row>
    <row r="2441" spans="1:9" x14ac:dyDescent="0.25">
      <c r="A2441" s="6">
        <v>44285</v>
      </c>
      <c r="B2441" t="s">
        <v>26</v>
      </c>
      <c r="C2441">
        <v>66387</v>
      </c>
      <c r="D2441" t="s">
        <v>56</v>
      </c>
      <c r="E2441" s="7">
        <v>89.85</v>
      </c>
      <c r="F2441" t="s">
        <v>20</v>
      </c>
      <c r="G2441" s="10" t="s">
        <v>21</v>
      </c>
      <c r="H2441" t="str">
        <f>"191381"</f>
        <v>191381</v>
      </c>
      <c r="I2441" t="str">
        <f>"TALSTAR PL G LANDSCAPE 25"</f>
        <v>TALSTAR PL G LANDSCAPE 25</v>
      </c>
    </row>
    <row r="2442" spans="1:9" x14ac:dyDescent="0.25">
      <c r="A2442" s="6">
        <v>44285</v>
      </c>
      <c r="B2442" t="s">
        <v>26</v>
      </c>
      <c r="C2442">
        <v>66388</v>
      </c>
      <c r="D2442" t="s">
        <v>398</v>
      </c>
      <c r="E2442" s="7">
        <v>343</v>
      </c>
      <c r="F2442" t="s">
        <v>20</v>
      </c>
      <c r="G2442" s="10" t="s">
        <v>21</v>
      </c>
      <c r="H2442" t="str">
        <f>"2005"</f>
        <v>2005</v>
      </c>
      <c r="I2442" t="str">
        <f>"INTERCEPTOR TECHNOLOGY GROUP L"</f>
        <v>INTERCEPTOR TECHNOLOGY GROUP L</v>
      </c>
    </row>
    <row r="2443" spans="1:9" x14ac:dyDescent="0.25">
      <c r="A2443" s="6">
        <v>44285</v>
      </c>
      <c r="B2443" t="s">
        <v>26</v>
      </c>
      <c r="C2443">
        <v>66389</v>
      </c>
      <c r="D2443" t="s">
        <v>125</v>
      </c>
      <c r="E2443" s="7">
        <v>6000</v>
      </c>
      <c r="F2443" t="s">
        <v>20</v>
      </c>
      <c r="G2443" s="10" t="s">
        <v>21</v>
      </c>
      <c r="H2443" t="str">
        <f>"19-0318 JAN.2021"</f>
        <v>19-0318 JAN.2021</v>
      </c>
      <c r="I2443" t="str">
        <f>"INTREPID SURVEYING CORPORATION"</f>
        <v>INTREPID SURVEYING CORPORATION</v>
      </c>
    </row>
    <row r="2444" spans="1:9" x14ac:dyDescent="0.25">
      <c r="A2444" s="6">
        <v>44285</v>
      </c>
      <c r="B2444" t="s">
        <v>26</v>
      </c>
      <c r="C2444">
        <v>66390</v>
      </c>
      <c r="D2444" t="s">
        <v>1035</v>
      </c>
      <c r="E2444" s="7">
        <v>200</v>
      </c>
      <c r="F2444" t="s">
        <v>20</v>
      </c>
      <c r="G2444" s="10" t="s">
        <v>21</v>
      </c>
      <c r="H2444" t="str">
        <f>"RFND RET PRTY4/10"</f>
        <v>RFND RET PRTY4/10</v>
      </c>
      <c r="I2444" t="str">
        <f>"REFUND"</f>
        <v>REFUND</v>
      </c>
    </row>
    <row r="2445" spans="1:9" x14ac:dyDescent="0.25">
      <c r="A2445" s="6">
        <v>44285</v>
      </c>
      <c r="B2445" t="s">
        <v>91</v>
      </c>
      <c r="C2445">
        <v>66391</v>
      </c>
      <c r="D2445" t="s">
        <v>927</v>
      </c>
      <c r="E2445" s="7">
        <v>1370.37</v>
      </c>
      <c r="F2445" t="s">
        <v>20</v>
      </c>
      <c r="G2445" s="10" t="s">
        <v>21</v>
      </c>
      <c r="H2445" t="str">
        <f>"0000031"</f>
        <v>0000031</v>
      </c>
      <c r="I2445" t="str">
        <f>"JOELZ LAWN MOWING SERVICE"</f>
        <v>JOELZ LAWN MOWING SERVICE</v>
      </c>
    </row>
    <row r="2446" spans="1:9" x14ac:dyDescent="0.25">
      <c r="A2446" s="6">
        <v>44285</v>
      </c>
      <c r="B2446" t="s">
        <v>91</v>
      </c>
      <c r="C2446">
        <v>66391</v>
      </c>
      <c r="D2446" t="s">
        <v>927</v>
      </c>
      <c r="E2446" s="7">
        <v>1370.37</v>
      </c>
      <c r="F2446" t="s">
        <v>20</v>
      </c>
      <c r="G2446" s="10" t="s">
        <v>93</v>
      </c>
      <c r="H2446" t="str">
        <f>"CHECK"</f>
        <v>CHECK</v>
      </c>
      <c r="I2446" t="str">
        <f>""</f>
        <v/>
      </c>
    </row>
    <row r="2447" spans="1:9" x14ac:dyDescent="0.25">
      <c r="A2447" s="6">
        <v>44285</v>
      </c>
      <c r="B2447" t="s">
        <v>26</v>
      </c>
      <c r="C2447">
        <v>66392</v>
      </c>
      <c r="D2447" t="s">
        <v>258</v>
      </c>
      <c r="E2447" s="7">
        <v>135</v>
      </c>
      <c r="F2447" t="s">
        <v>20</v>
      </c>
      <c r="G2447" s="10" t="s">
        <v>21</v>
      </c>
      <c r="H2447" t="str">
        <f>"153297"</f>
        <v>153297</v>
      </c>
      <c r="I2447" t="str">
        <f>"SKID STEER REPAIR"</f>
        <v>SKID STEER REPAIR</v>
      </c>
    </row>
    <row r="2448" spans="1:9" x14ac:dyDescent="0.25">
      <c r="E2448" s="7"/>
      <c r="F2448" t="s">
        <v>20</v>
      </c>
      <c r="G2448" s="10" t="s">
        <v>21</v>
      </c>
      <c r="H2448" t="str">
        <f>"191381"</f>
        <v>191381</v>
      </c>
      <c r="I2448" t="str">
        <f>"JOHNS OIL COMPANY"</f>
        <v>JOHNS OIL COMPANY</v>
      </c>
    </row>
    <row r="2449" spans="1:9" x14ac:dyDescent="0.25">
      <c r="A2449" s="6">
        <v>44285</v>
      </c>
      <c r="B2449" t="s">
        <v>26</v>
      </c>
      <c r="C2449">
        <v>66393</v>
      </c>
      <c r="D2449" t="s">
        <v>1036</v>
      </c>
      <c r="E2449" s="7">
        <v>450</v>
      </c>
      <c r="F2449" t="s">
        <v>20</v>
      </c>
      <c r="G2449" s="10" t="s">
        <v>21</v>
      </c>
      <c r="H2449" t="str">
        <f>"2"</f>
        <v>2</v>
      </c>
      <c r="I2449" t="str">
        <f>"REPAIR INTERROGATION ROOM"</f>
        <v>REPAIR INTERROGATION ROOM</v>
      </c>
    </row>
    <row r="2450" spans="1:9" x14ac:dyDescent="0.25">
      <c r="A2450" s="6">
        <v>44285</v>
      </c>
      <c r="B2450" t="s">
        <v>26</v>
      </c>
      <c r="C2450">
        <v>66394</v>
      </c>
      <c r="D2450" t="s">
        <v>1017</v>
      </c>
      <c r="E2450" s="7">
        <v>29</v>
      </c>
      <c r="F2450" t="s">
        <v>20</v>
      </c>
      <c r="G2450" s="10" t="s">
        <v>21</v>
      </c>
      <c r="H2450" t="str">
        <f>"1166960-20210228"</f>
        <v>1166960-20210228</v>
      </c>
      <c r="I2450" t="str">
        <f>"LABCORP"</f>
        <v>LABCORP</v>
      </c>
    </row>
    <row r="2451" spans="1:9" x14ac:dyDescent="0.25">
      <c r="A2451" s="6">
        <v>44285</v>
      </c>
      <c r="B2451" t="s">
        <v>26</v>
      </c>
      <c r="C2451">
        <v>66395</v>
      </c>
      <c r="D2451" t="s">
        <v>107</v>
      </c>
      <c r="E2451" s="7">
        <v>50.05</v>
      </c>
      <c r="F2451" t="s">
        <v>20</v>
      </c>
      <c r="G2451" s="10" t="s">
        <v>21</v>
      </c>
      <c r="H2451" t="str">
        <f>"1166960-20210228"</f>
        <v>1166960-20210228</v>
      </c>
      <c r="I2451" t="str">
        <f>"LEXISNEXIS RISK SOLUTIONS"</f>
        <v>LEXISNEXIS RISK SOLUTIONS</v>
      </c>
    </row>
    <row r="2452" spans="1:9" x14ac:dyDescent="0.25">
      <c r="E2452" s="7"/>
      <c r="F2452" t="s">
        <v>20</v>
      </c>
      <c r="G2452" s="10" t="s">
        <v>21</v>
      </c>
      <c r="H2452" t="str">
        <f>"68807943"</f>
        <v>68807943</v>
      </c>
      <c r="I2452" t="str">
        <f>"LEXISNEXIS RISK SOLUTIONS"</f>
        <v>LEXISNEXIS RISK SOLUTIONS</v>
      </c>
    </row>
    <row r="2453" spans="1:9" x14ac:dyDescent="0.25">
      <c r="A2453" s="6">
        <v>44285</v>
      </c>
      <c r="B2453" t="s">
        <v>26</v>
      </c>
      <c r="C2453">
        <v>66396</v>
      </c>
      <c r="D2453" t="s">
        <v>29</v>
      </c>
      <c r="E2453" s="7">
        <v>1932.5</v>
      </c>
      <c r="F2453" t="s">
        <v>20</v>
      </c>
      <c r="G2453" s="10" t="s">
        <v>21</v>
      </c>
      <c r="H2453" t="str">
        <f>"49664"</f>
        <v>49664</v>
      </c>
      <c r="I2453" t="str">
        <f>"M &amp; S ENGINEERING  LLC"</f>
        <v>M &amp; S ENGINEERING  LLC</v>
      </c>
    </row>
    <row r="2454" spans="1:9" x14ac:dyDescent="0.25">
      <c r="A2454" s="6">
        <v>44285</v>
      </c>
      <c r="B2454" t="s">
        <v>26</v>
      </c>
      <c r="C2454">
        <v>66397</v>
      </c>
      <c r="D2454" t="s">
        <v>326</v>
      </c>
      <c r="E2454" s="7">
        <v>24.1</v>
      </c>
      <c r="F2454" t="s">
        <v>20</v>
      </c>
      <c r="G2454" s="10" t="s">
        <v>21</v>
      </c>
      <c r="H2454" t="str">
        <f>"23254898"</f>
        <v>23254898</v>
      </c>
      <c r="I2454" t="str">
        <f>"CARBON DIOXIDE"</f>
        <v>CARBON DIOXIDE</v>
      </c>
    </row>
    <row r="2455" spans="1:9" x14ac:dyDescent="0.25">
      <c r="A2455" s="6">
        <v>44285</v>
      </c>
      <c r="B2455" t="s">
        <v>26</v>
      </c>
      <c r="C2455">
        <v>66398</v>
      </c>
      <c r="D2455" t="s">
        <v>345</v>
      </c>
      <c r="E2455" s="7">
        <v>253</v>
      </c>
      <c r="F2455" t="s">
        <v>20</v>
      </c>
      <c r="G2455" s="10" t="s">
        <v>21</v>
      </c>
      <c r="H2455" t="str">
        <f>"3/29/2021"</f>
        <v>3/29/2021</v>
      </c>
      <c r="I2455" t="str">
        <f>"MICHAEL ISAAC MARTINEZ"</f>
        <v>MICHAEL ISAAC MARTINEZ</v>
      </c>
    </row>
    <row r="2456" spans="1:9" x14ac:dyDescent="0.25">
      <c r="A2456" s="6">
        <v>44285</v>
      </c>
      <c r="B2456" t="s">
        <v>26</v>
      </c>
      <c r="C2456">
        <v>66399</v>
      </c>
      <c r="D2456" t="s">
        <v>137</v>
      </c>
      <c r="E2456" s="7">
        <v>69.95</v>
      </c>
      <c r="F2456" t="s">
        <v>20</v>
      </c>
      <c r="G2456" s="10" t="s">
        <v>21</v>
      </c>
      <c r="H2456" t="str">
        <f>"22674"</f>
        <v>22674</v>
      </c>
      <c r="I2456" t="str">
        <f>"OMNIBUS-M  INC.D.B.A."</f>
        <v>OMNIBUS-M  INC.D.B.A.</v>
      </c>
    </row>
    <row r="2457" spans="1:9" x14ac:dyDescent="0.25">
      <c r="A2457" s="6">
        <v>44285</v>
      </c>
      <c r="B2457" t="s">
        <v>26</v>
      </c>
      <c r="C2457">
        <v>66400</v>
      </c>
      <c r="D2457" t="s">
        <v>169</v>
      </c>
      <c r="E2457" s="7">
        <v>35.1</v>
      </c>
      <c r="F2457" t="s">
        <v>20</v>
      </c>
      <c r="G2457" s="10" t="s">
        <v>21</v>
      </c>
      <c r="H2457" t="str">
        <f>"145053"</f>
        <v>145053</v>
      </c>
      <c r="I2457" t="str">
        <f>"THE POLICE AND SHERIFFS PRESS"</f>
        <v>THE POLICE AND SHERIFFS PRESS</v>
      </c>
    </row>
    <row r="2458" spans="1:9" x14ac:dyDescent="0.25">
      <c r="E2458" s="7"/>
      <c r="F2458" t="s">
        <v>20</v>
      </c>
      <c r="G2458" s="10" t="s">
        <v>21</v>
      </c>
      <c r="H2458" t="str">
        <f>"145101"</f>
        <v>145101</v>
      </c>
      <c r="I2458" t="str">
        <f>"THE POLICE AND SHERIFFS PRESS"</f>
        <v>THE POLICE AND SHERIFFS PRESS</v>
      </c>
    </row>
    <row r="2459" spans="1:9" x14ac:dyDescent="0.25">
      <c r="A2459" s="6">
        <v>44285</v>
      </c>
      <c r="B2459" t="s">
        <v>26</v>
      </c>
      <c r="C2459">
        <v>66401</v>
      </c>
      <c r="D2459" t="s">
        <v>528</v>
      </c>
      <c r="E2459" s="7">
        <v>292.68</v>
      </c>
      <c r="F2459" t="s">
        <v>20</v>
      </c>
      <c r="G2459" s="10" t="s">
        <v>21</v>
      </c>
      <c r="H2459" t="str">
        <f>"10532212"</f>
        <v>10532212</v>
      </c>
      <c r="I2459" t="str">
        <f>"PROSTAR SERVICES INC"</f>
        <v>PROSTAR SERVICES INC</v>
      </c>
    </row>
    <row r="2460" spans="1:9" x14ac:dyDescent="0.25">
      <c r="A2460" s="6">
        <v>44285</v>
      </c>
      <c r="B2460" t="s">
        <v>26</v>
      </c>
      <c r="C2460">
        <v>66402</v>
      </c>
      <c r="D2460" t="s">
        <v>1037</v>
      </c>
      <c r="E2460" s="7">
        <v>92</v>
      </c>
      <c r="F2460" t="s">
        <v>20</v>
      </c>
      <c r="G2460" s="10" t="s">
        <v>21</v>
      </c>
      <c r="H2460" t="str">
        <f>"PATROL RIFLE CRSE"</f>
        <v>PATROL RIFLE CRSE</v>
      </c>
      <c r="I2460" t="str">
        <f>"TRAVEL AND TRAINING"</f>
        <v>TRAVEL AND TRAINING</v>
      </c>
    </row>
    <row r="2461" spans="1:9" x14ac:dyDescent="0.25">
      <c r="A2461" s="6">
        <v>44285</v>
      </c>
      <c r="B2461" t="s">
        <v>26</v>
      </c>
      <c r="C2461">
        <v>66403</v>
      </c>
      <c r="D2461" t="s">
        <v>630</v>
      </c>
      <c r="E2461" s="7">
        <v>18259.34</v>
      </c>
      <c r="F2461" t="s">
        <v>20</v>
      </c>
      <c r="G2461" s="10" t="s">
        <v>21</v>
      </c>
      <c r="H2461" t="str">
        <f>"36542"</f>
        <v>36542</v>
      </c>
      <c r="I2461" t="str">
        <f>"RG3 METER COMPANY"</f>
        <v>RG3 METER COMPANY</v>
      </c>
    </row>
    <row r="2462" spans="1:9" x14ac:dyDescent="0.25">
      <c r="E2462" s="7"/>
      <c r="F2462" t="s">
        <v>20</v>
      </c>
      <c r="G2462" s="10" t="s">
        <v>21</v>
      </c>
      <c r="H2462" t="str">
        <f>"36543"</f>
        <v>36543</v>
      </c>
      <c r="I2462" t="str">
        <f>"RG3 METER COMPANY"</f>
        <v>RG3 METER COMPANY</v>
      </c>
    </row>
    <row r="2463" spans="1:9" x14ac:dyDescent="0.25">
      <c r="E2463" s="7"/>
      <c r="F2463" t="s">
        <v>20</v>
      </c>
      <c r="G2463" s="10" t="s">
        <v>21</v>
      </c>
      <c r="H2463" t="str">
        <f>"36580"</f>
        <v>36580</v>
      </c>
      <c r="I2463" t="str">
        <f>"METERS FOR THE LINKS"</f>
        <v>METERS FOR THE LINKS</v>
      </c>
    </row>
    <row r="2464" spans="1:9" x14ac:dyDescent="0.25">
      <c r="A2464" s="6">
        <v>44285</v>
      </c>
      <c r="B2464" t="s">
        <v>26</v>
      </c>
      <c r="C2464">
        <v>66404</v>
      </c>
      <c r="D2464" t="s">
        <v>1038</v>
      </c>
      <c r="E2464" s="7">
        <v>92</v>
      </c>
      <c r="F2464" t="s">
        <v>20</v>
      </c>
      <c r="G2464" s="10" t="s">
        <v>21</v>
      </c>
      <c r="H2464" t="str">
        <f>"PATROL RIFLE CRSE"</f>
        <v>PATROL RIFLE CRSE</v>
      </c>
      <c r="I2464" t="str">
        <f>"TRAVEL AND TRAINING"</f>
        <v>TRAVEL AND TRAINING</v>
      </c>
    </row>
    <row r="2465" spans="1:9" x14ac:dyDescent="0.25">
      <c r="A2465" s="6">
        <v>44285</v>
      </c>
      <c r="B2465" t="s">
        <v>26</v>
      </c>
      <c r="C2465">
        <v>66405</v>
      </c>
      <c r="D2465" t="s">
        <v>61</v>
      </c>
      <c r="E2465" s="7">
        <v>11422.19</v>
      </c>
      <c r="F2465" t="s">
        <v>20</v>
      </c>
      <c r="G2465" s="10" t="s">
        <v>21</v>
      </c>
      <c r="H2465" t="str">
        <f>"025-326675"</f>
        <v>025-326675</v>
      </c>
      <c r="I2465" t="str">
        <f>"TYLER TECHNOLOGIES  INC."</f>
        <v>TYLER TECHNOLOGIES  INC.</v>
      </c>
    </row>
    <row r="2466" spans="1:9" x14ac:dyDescent="0.25">
      <c r="A2466" s="6">
        <v>44285</v>
      </c>
      <c r="B2466" t="s">
        <v>26</v>
      </c>
      <c r="C2466">
        <v>66406</v>
      </c>
      <c r="D2466" t="s">
        <v>644</v>
      </c>
      <c r="E2466" s="7">
        <v>521.03</v>
      </c>
      <c r="F2466" t="s">
        <v>20</v>
      </c>
      <c r="G2466" s="10" t="s">
        <v>21</v>
      </c>
      <c r="H2466" t="str">
        <f>"8213576184"</f>
        <v>8213576184</v>
      </c>
      <c r="I2466" t="str">
        <f t="shared" ref="I2466:I2472" si="52">"UNIFIRST CORPORATION"</f>
        <v>UNIFIRST CORPORATION</v>
      </c>
    </row>
    <row r="2467" spans="1:9" x14ac:dyDescent="0.25">
      <c r="E2467" s="7"/>
      <c r="F2467" t="s">
        <v>20</v>
      </c>
      <c r="G2467" s="10" t="s">
        <v>21</v>
      </c>
      <c r="H2467" t="str">
        <f>"8213576185"</f>
        <v>8213576185</v>
      </c>
      <c r="I2467" t="str">
        <f t="shared" si="52"/>
        <v>UNIFIRST CORPORATION</v>
      </c>
    </row>
    <row r="2468" spans="1:9" x14ac:dyDescent="0.25">
      <c r="E2468" s="7"/>
      <c r="F2468" t="s">
        <v>20</v>
      </c>
      <c r="G2468" s="10" t="s">
        <v>21</v>
      </c>
      <c r="H2468" t="str">
        <f>"8213576186"</f>
        <v>8213576186</v>
      </c>
      <c r="I2468" t="str">
        <f t="shared" si="52"/>
        <v>UNIFIRST CORPORATION</v>
      </c>
    </row>
    <row r="2469" spans="1:9" x14ac:dyDescent="0.25">
      <c r="E2469" s="7"/>
      <c r="F2469" t="s">
        <v>20</v>
      </c>
      <c r="G2469" s="10" t="s">
        <v>21</v>
      </c>
      <c r="H2469" t="str">
        <f>"8213576187"</f>
        <v>8213576187</v>
      </c>
      <c r="I2469" t="str">
        <f t="shared" si="52"/>
        <v>UNIFIRST CORPORATION</v>
      </c>
    </row>
    <row r="2470" spans="1:9" x14ac:dyDescent="0.25">
      <c r="E2470" s="7"/>
      <c r="F2470" t="s">
        <v>20</v>
      </c>
      <c r="G2470" s="10" t="s">
        <v>21</v>
      </c>
      <c r="H2470" t="str">
        <f>"8213576188"</f>
        <v>8213576188</v>
      </c>
      <c r="I2470" t="str">
        <f t="shared" si="52"/>
        <v>UNIFIRST CORPORATION</v>
      </c>
    </row>
    <row r="2471" spans="1:9" x14ac:dyDescent="0.25">
      <c r="E2471" s="7"/>
      <c r="F2471" t="s">
        <v>20</v>
      </c>
      <c r="G2471" s="10" t="s">
        <v>21</v>
      </c>
      <c r="H2471" t="str">
        <f>"8213576189"</f>
        <v>8213576189</v>
      </c>
      <c r="I2471" t="str">
        <f t="shared" si="52"/>
        <v>UNIFIRST CORPORATION</v>
      </c>
    </row>
    <row r="2472" spans="1:9" x14ac:dyDescent="0.25">
      <c r="E2472" s="7"/>
      <c r="F2472" t="s">
        <v>20</v>
      </c>
      <c r="G2472" s="10" t="s">
        <v>21</v>
      </c>
      <c r="H2472" t="str">
        <f>"8213576190"</f>
        <v>8213576190</v>
      </c>
      <c r="I2472" t="str">
        <f t="shared" si="52"/>
        <v>UNIFIRST CORPORATION</v>
      </c>
    </row>
    <row r="2473" spans="1:9" x14ac:dyDescent="0.25">
      <c r="A2473" s="6">
        <v>44285</v>
      </c>
      <c r="B2473" t="s">
        <v>26</v>
      </c>
      <c r="C2473">
        <v>66408</v>
      </c>
      <c r="D2473" t="s">
        <v>203</v>
      </c>
      <c r="E2473" s="7">
        <v>255.33</v>
      </c>
      <c r="F2473" t="s">
        <v>20</v>
      </c>
      <c r="G2473" s="10" t="s">
        <v>21</v>
      </c>
      <c r="H2473" t="str">
        <f>"528160"</f>
        <v>528160</v>
      </c>
      <c r="I2473" t="str">
        <f>"MARKING TAPE FOR SIDEWALK"</f>
        <v>MARKING TAPE FOR SIDEWALK</v>
      </c>
    </row>
    <row r="2474" spans="1:9" x14ac:dyDescent="0.25">
      <c r="E2474" s="7"/>
      <c r="F2474" t="s">
        <v>20</v>
      </c>
      <c r="G2474" s="10" t="s">
        <v>21</v>
      </c>
      <c r="H2474" t="str">
        <f>"529116"</f>
        <v>529116</v>
      </c>
      <c r="I2474" t="str">
        <f>"DPD CHLORINE FOR WATER"</f>
        <v>DPD CHLORINE FOR WATER</v>
      </c>
    </row>
    <row r="2475" spans="1:9" x14ac:dyDescent="0.25">
      <c r="A2475" s="6">
        <v>44285</v>
      </c>
      <c r="B2475" t="s">
        <v>26</v>
      </c>
      <c r="C2475">
        <v>66409</v>
      </c>
      <c r="D2475" t="s">
        <v>1038</v>
      </c>
      <c r="E2475" s="7">
        <v>46</v>
      </c>
      <c r="F2475" t="s">
        <v>20</v>
      </c>
      <c r="G2475" s="10" t="s">
        <v>21</v>
      </c>
      <c r="H2475" t="str">
        <f>"TCIC/TLETS ACCESS"</f>
        <v>TCIC/TLETS ACCESS</v>
      </c>
      <c r="I2475" t="str">
        <f>"TRAVEL AND TRAINING"</f>
        <v>TRAVEL AND TRAINING</v>
      </c>
    </row>
    <row r="2476" spans="1:9" x14ac:dyDescent="0.25">
      <c r="A2476" s="6">
        <v>44285</v>
      </c>
      <c r="B2476" t="s">
        <v>26</v>
      </c>
      <c r="C2476">
        <v>66410</v>
      </c>
      <c r="D2476" t="s">
        <v>1003</v>
      </c>
      <c r="E2476" s="7">
        <v>67769.600000000006</v>
      </c>
      <c r="F2476" t="s">
        <v>20</v>
      </c>
      <c r="G2476" s="10" t="s">
        <v>21</v>
      </c>
      <c r="H2476" t="str">
        <f>"DG#210463"</f>
        <v>DG#210463</v>
      </c>
      <c r="I2476" t="str">
        <f>"GUNN BUICK GMC  LTD"</f>
        <v>GUNN BUICK GMC  LTD</v>
      </c>
    </row>
    <row r="2477" spans="1:9" x14ac:dyDescent="0.25">
      <c r="A2477" s="6">
        <v>44286</v>
      </c>
      <c r="B2477" t="s">
        <v>26</v>
      </c>
      <c r="C2477">
        <v>66411</v>
      </c>
      <c r="D2477" t="s">
        <v>90</v>
      </c>
      <c r="E2477" s="7">
        <v>1636.56</v>
      </c>
      <c r="F2477" t="s">
        <v>20</v>
      </c>
      <c r="G2477" s="10" t="s">
        <v>21</v>
      </c>
      <c r="H2477" t="str">
        <f>"ACA202103098603"</f>
        <v>ACA202103098603</v>
      </c>
      <c r="I2477" t="str">
        <f>"AFLAC INSURANCE"</f>
        <v>AFLAC INSURANCE</v>
      </c>
    </row>
    <row r="2478" spans="1:9" x14ac:dyDescent="0.25">
      <c r="E2478" s="7"/>
      <c r="F2478" t="s">
        <v>20</v>
      </c>
      <c r="G2478" s="10" t="s">
        <v>21</v>
      </c>
      <c r="H2478" t="str">
        <f>"ACA202103238604"</f>
        <v>ACA202103238604</v>
      </c>
      <c r="I2478" t="str">
        <f>"AFLAC INSURANCE"</f>
        <v>AFLAC INSURANCE</v>
      </c>
    </row>
    <row r="2479" spans="1:9" x14ac:dyDescent="0.25">
      <c r="E2479" s="7"/>
      <c r="F2479" t="s">
        <v>20</v>
      </c>
      <c r="G2479" s="10" t="s">
        <v>21</v>
      </c>
      <c r="H2479" t="str">
        <f>"ADR202103098603"</f>
        <v>ADR202103098603</v>
      </c>
      <c r="I2479" t="str">
        <f>"INSURANCE"</f>
        <v>INSURANCE</v>
      </c>
    </row>
    <row r="2480" spans="1:9" x14ac:dyDescent="0.25">
      <c r="E2480" s="7"/>
      <c r="F2480" t="s">
        <v>20</v>
      </c>
      <c r="G2480" s="10" t="s">
        <v>21</v>
      </c>
      <c r="H2480" t="str">
        <f>"ADR202103238604"</f>
        <v>ADR202103238604</v>
      </c>
      <c r="I2480" t="str">
        <f>"INSURANCE"</f>
        <v>INSURANCE</v>
      </c>
    </row>
    <row r="2481" spans="1:9" x14ac:dyDescent="0.25">
      <c r="E2481" s="7"/>
      <c r="F2481" t="s">
        <v>20</v>
      </c>
      <c r="G2481" s="10" t="s">
        <v>21</v>
      </c>
      <c r="H2481" t="str">
        <f>"AF1202102098600"</f>
        <v>AF1202102098600</v>
      </c>
      <c r="I2481" t="str">
        <f>"AFLAC INSURANCE"</f>
        <v>AFLAC INSURANCE</v>
      </c>
    </row>
    <row r="2482" spans="1:9" x14ac:dyDescent="0.25">
      <c r="E2482" s="7"/>
      <c r="F2482" t="s">
        <v>20</v>
      </c>
      <c r="G2482" s="10" t="s">
        <v>21</v>
      </c>
      <c r="H2482" t="str">
        <f>"AF1202103098603"</f>
        <v>AF1202103098603</v>
      </c>
      <c r="I2482" t="str">
        <f>"AFLAC INSURANCE"</f>
        <v>AFLAC INSURANCE</v>
      </c>
    </row>
    <row r="2483" spans="1:9" x14ac:dyDescent="0.25">
      <c r="E2483" s="7"/>
      <c r="F2483" t="s">
        <v>20</v>
      </c>
      <c r="G2483" s="10" t="s">
        <v>21</v>
      </c>
      <c r="H2483" t="str">
        <f>"AFS202103098603"</f>
        <v>AFS202103098603</v>
      </c>
      <c r="I2483" t="str">
        <f>"AFLAC STD"</f>
        <v>AFLAC STD</v>
      </c>
    </row>
    <row r="2484" spans="1:9" x14ac:dyDescent="0.25">
      <c r="E2484" s="7"/>
      <c r="F2484" t="s">
        <v>20</v>
      </c>
      <c r="G2484" s="10" t="s">
        <v>21</v>
      </c>
      <c r="H2484" t="str">
        <f>"AFS202103238604"</f>
        <v>AFS202103238604</v>
      </c>
      <c r="I2484" t="str">
        <f>"AFLAC STD"</f>
        <v>AFLAC STD</v>
      </c>
    </row>
    <row r="2485" spans="1:9" x14ac:dyDescent="0.25">
      <c r="E2485" s="7"/>
      <c r="F2485" t="s">
        <v>20</v>
      </c>
      <c r="G2485" s="10" t="s">
        <v>21</v>
      </c>
      <c r="H2485" t="str">
        <f>"ASP202103098603"</f>
        <v>ASP202103098603</v>
      </c>
      <c r="I2485" t="str">
        <f>"AFLAC INSURANCE"</f>
        <v>AFLAC INSURANCE</v>
      </c>
    </row>
    <row r="2486" spans="1:9" x14ac:dyDescent="0.25">
      <c r="E2486" s="7"/>
      <c r="F2486" t="s">
        <v>20</v>
      </c>
      <c r="G2486" s="10" t="s">
        <v>21</v>
      </c>
      <c r="H2486" t="str">
        <f>"ASP202103238604"</f>
        <v>ASP202103238604</v>
      </c>
      <c r="I2486" t="str">
        <f>"AFLAC INSURANCE"</f>
        <v>AFLAC INSURANCE</v>
      </c>
    </row>
    <row r="2487" spans="1:9" x14ac:dyDescent="0.25">
      <c r="E2487" s="7"/>
      <c r="F2487" t="s">
        <v>20</v>
      </c>
      <c r="G2487" s="10" t="s">
        <v>21</v>
      </c>
      <c r="H2487" t="str">
        <f>"HCO202103098603"</f>
        <v>HCO202103098603</v>
      </c>
      <c r="I2487" t="str">
        <f>"AFLAC INSURANCE"</f>
        <v>AFLAC INSURANCE</v>
      </c>
    </row>
    <row r="2488" spans="1:9" x14ac:dyDescent="0.25">
      <c r="E2488" s="7"/>
      <c r="F2488" t="s">
        <v>20</v>
      </c>
      <c r="G2488" s="10" t="s">
        <v>21</v>
      </c>
      <c r="H2488" t="str">
        <f>"HCO202103238604"</f>
        <v>HCO202103238604</v>
      </c>
      <c r="I2488" t="str">
        <f>"AFLAC INSURANCE"</f>
        <v>AFLAC INSURANCE</v>
      </c>
    </row>
    <row r="2489" spans="1:9" x14ac:dyDescent="0.25">
      <c r="A2489" s="6">
        <v>44286</v>
      </c>
      <c r="B2489" t="s">
        <v>26</v>
      </c>
      <c r="C2489">
        <v>66416</v>
      </c>
      <c r="D2489" t="s">
        <v>95</v>
      </c>
      <c r="E2489" s="7">
        <v>25.32</v>
      </c>
      <c r="F2489" t="s">
        <v>20</v>
      </c>
      <c r="G2489" s="10" t="s">
        <v>21</v>
      </c>
      <c r="H2489" t="str">
        <f>"LEA202103098603"</f>
        <v>LEA202103098603</v>
      </c>
      <c r="I2489" t="str">
        <f>"INSURANCE"</f>
        <v>INSURANCE</v>
      </c>
    </row>
    <row r="2490" spans="1:9" x14ac:dyDescent="0.25">
      <c r="E2490" s="7"/>
      <c r="F2490" t="s">
        <v>20</v>
      </c>
      <c r="G2490" s="10" t="s">
        <v>21</v>
      </c>
      <c r="H2490" t="str">
        <f>"LEA202103238604"</f>
        <v>LEA202103238604</v>
      </c>
      <c r="I2490" t="str">
        <f>"INSURANCE"</f>
        <v>INSURANCE</v>
      </c>
    </row>
    <row r="2491" spans="1:9" x14ac:dyDescent="0.25">
      <c r="A2491" s="6">
        <v>44286</v>
      </c>
      <c r="B2491" t="s">
        <v>26</v>
      </c>
      <c r="C2491">
        <v>66417</v>
      </c>
      <c r="D2491" t="s">
        <v>96</v>
      </c>
      <c r="E2491" s="7">
        <v>225.24</v>
      </c>
      <c r="F2491" t="s">
        <v>20</v>
      </c>
      <c r="G2491" s="10" t="s">
        <v>21</v>
      </c>
      <c r="H2491" t="str">
        <f>"PPL202103098603"</f>
        <v>PPL202103098603</v>
      </c>
      <c r="I2491" t="str">
        <f>"INSURANCE"</f>
        <v>INSURANCE</v>
      </c>
    </row>
    <row r="2492" spans="1:9" x14ac:dyDescent="0.25">
      <c r="E2492" s="7"/>
      <c r="F2492" t="s">
        <v>20</v>
      </c>
      <c r="G2492" s="10" t="s">
        <v>21</v>
      </c>
      <c r="H2492" t="str">
        <f>"PPL202103238604"</f>
        <v>PPL202103238604</v>
      </c>
      <c r="I2492" t="str">
        <f>"INSURANCE"</f>
        <v>INSURANCE</v>
      </c>
    </row>
    <row r="2493" spans="1:9" x14ac:dyDescent="0.25">
      <c r="A2493" s="6">
        <v>44286</v>
      </c>
      <c r="B2493" t="s">
        <v>26</v>
      </c>
      <c r="C2493">
        <v>66418</v>
      </c>
      <c r="D2493" t="s">
        <v>97</v>
      </c>
      <c r="E2493" s="7">
        <v>38313.5</v>
      </c>
      <c r="F2493" t="s">
        <v>20</v>
      </c>
      <c r="G2493" s="10" t="s">
        <v>24</v>
      </c>
      <c r="H2493" t="str">
        <f>"4/1-5/1/2021*"</f>
        <v>4/1-5/1/2021*</v>
      </c>
      <c r="I2493" t="str">
        <f>"HEALTH CARE SERVICE CORPORATIO"</f>
        <v>HEALTH CARE SERVICE CORPORATIO</v>
      </c>
    </row>
    <row r="2494" spans="1:9" x14ac:dyDescent="0.25">
      <c r="E2494" s="7"/>
      <c r="F2494" t="s">
        <v>20</v>
      </c>
      <c r="G2494" s="10" t="s">
        <v>21</v>
      </c>
      <c r="H2494" t="str">
        <f>"DEN202103098603"</f>
        <v>DEN202103098603</v>
      </c>
      <c r="I2494" t="str">
        <f>"DENTAL INSURANCE"</f>
        <v>DENTAL INSURANCE</v>
      </c>
    </row>
    <row r="2495" spans="1:9" x14ac:dyDescent="0.25">
      <c r="E2495" s="7"/>
      <c r="F2495" t="s">
        <v>20</v>
      </c>
      <c r="G2495" s="10" t="s">
        <v>21</v>
      </c>
      <c r="H2495" t="str">
        <f>"DEN202103238604"</f>
        <v>DEN202103238604</v>
      </c>
      <c r="I2495" t="str">
        <f>"DENTAL INSURANCE"</f>
        <v>DENTAL INSURANCE</v>
      </c>
    </row>
    <row r="2496" spans="1:9" x14ac:dyDescent="0.25">
      <c r="E2496" s="7"/>
      <c r="F2496" t="s">
        <v>20</v>
      </c>
      <c r="G2496" s="10" t="s">
        <v>21</v>
      </c>
      <c r="H2496" t="str">
        <f>"MED202103098603"</f>
        <v>MED202103098603</v>
      </c>
      <c r="I2496" t="str">
        <f>"HEALTH &amp; DENTAL INSURANCE"</f>
        <v>HEALTH &amp; DENTAL INSURANCE</v>
      </c>
    </row>
    <row r="2497" spans="1:9" x14ac:dyDescent="0.25">
      <c r="E2497" s="7"/>
      <c r="F2497" t="s">
        <v>20</v>
      </c>
      <c r="G2497" s="10" t="s">
        <v>21</v>
      </c>
      <c r="H2497" t="str">
        <f>"MED202103238604"</f>
        <v>MED202103238604</v>
      </c>
      <c r="I2497" t="str">
        <f>"HEALTH &amp; DENTAL INSURANCE"</f>
        <v>HEALTH &amp; DENTAL INSURANCE</v>
      </c>
    </row>
    <row r="2498" spans="1:9" x14ac:dyDescent="0.25">
      <c r="A2498" s="6">
        <v>44286</v>
      </c>
      <c r="B2498" t="s">
        <v>26</v>
      </c>
      <c r="C2498">
        <v>66423</v>
      </c>
      <c r="D2498" t="s">
        <v>98</v>
      </c>
      <c r="E2498" s="7">
        <v>3202.82</v>
      </c>
      <c r="F2498" t="s">
        <v>20</v>
      </c>
      <c r="G2498" s="10" t="s">
        <v>24</v>
      </c>
      <c r="H2498" t="str">
        <f>"4/1-4/30/2021"</f>
        <v>4/1-4/30/2021</v>
      </c>
      <c r="I2498" t="str">
        <f>"DEARBORN LIFE INSURANCE COMPAN"</f>
        <v>DEARBORN LIFE INSURANCE COMPAN</v>
      </c>
    </row>
    <row r="2499" spans="1:9" x14ac:dyDescent="0.25">
      <c r="E2499" s="7"/>
      <c r="F2499" t="s">
        <v>20</v>
      </c>
      <c r="G2499" s="10" t="s">
        <v>21</v>
      </c>
      <c r="H2499" t="str">
        <f>"STD202103098603"</f>
        <v>STD202103098603</v>
      </c>
      <c r="I2499" t="str">
        <f>"SHORT TERM DISABILITY"</f>
        <v>SHORT TERM DISABILITY</v>
      </c>
    </row>
    <row r="2500" spans="1:9" x14ac:dyDescent="0.25">
      <c r="E2500" s="7"/>
      <c r="F2500" t="s">
        <v>20</v>
      </c>
      <c r="G2500" s="10" t="s">
        <v>21</v>
      </c>
      <c r="H2500" t="str">
        <f>"STD202103238604"</f>
        <v>STD202103238604</v>
      </c>
      <c r="I2500" t="str">
        <f>"SHORT TERM DISABILITY"</f>
        <v>SHORT TERM DISABILITY</v>
      </c>
    </row>
    <row r="2501" spans="1:9" x14ac:dyDescent="0.25">
      <c r="E2501" s="7"/>
      <c r="F2501" t="s">
        <v>20</v>
      </c>
      <c r="G2501" s="10" t="s">
        <v>21</v>
      </c>
      <c r="H2501" t="str">
        <f>"VIS202103098603"</f>
        <v>VIS202103098603</v>
      </c>
      <c r="I2501" t="str">
        <f>"VISION INSURANCE"</f>
        <v>VISION INSURANCE</v>
      </c>
    </row>
    <row r="2502" spans="1:9" x14ac:dyDescent="0.25">
      <c r="E2502" s="7"/>
      <c r="F2502" t="s">
        <v>20</v>
      </c>
      <c r="G2502" s="10" t="s">
        <v>21</v>
      </c>
      <c r="H2502" t="str">
        <f>"VIS202103238604"</f>
        <v>VIS202103238604</v>
      </c>
      <c r="I2502" t="str">
        <f>"VISION INSURANCE"</f>
        <v>VISION INSURANCE</v>
      </c>
    </row>
    <row r="2503" spans="1:9" x14ac:dyDescent="0.25">
      <c r="E2503" s="7"/>
      <c r="F2503" t="s">
        <v>20</v>
      </c>
      <c r="G2503" s="10" t="s">
        <v>21</v>
      </c>
      <c r="H2503" t="str">
        <f>"VLC202103098603"</f>
        <v>VLC202103098603</v>
      </c>
      <c r="I2503" t="str">
        <f>"CHILD LIFE INSURANCE"</f>
        <v>CHILD LIFE INSURANCE</v>
      </c>
    </row>
    <row r="2504" spans="1:9" x14ac:dyDescent="0.25">
      <c r="E2504" s="7"/>
      <c r="F2504" t="s">
        <v>20</v>
      </c>
      <c r="G2504" s="10" t="s">
        <v>21</v>
      </c>
      <c r="H2504" t="str">
        <f>"VLC202103238604"</f>
        <v>VLC202103238604</v>
      </c>
      <c r="I2504" t="str">
        <f>"CHILD LIFE INSURANCE"</f>
        <v>CHILD LIFE INSURANCE</v>
      </c>
    </row>
    <row r="2505" spans="1:9" x14ac:dyDescent="0.25">
      <c r="E2505" s="7"/>
      <c r="F2505" t="s">
        <v>20</v>
      </c>
      <c r="G2505" s="10" t="s">
        <v>21</v>
      </c>
      <c r="H2505" t="str">
        <f>"VLS202103098603"</f>
        <v>VLS202103098603</v>
      </c>
      <c r="I2505" t="str">
        <f>"SPOUSE LIFE"</f>
        <v>SPOUSE LIFE</v>
      </c>
    </row>
    <row r="2506" spans="1:9" x14ac:dyDescent="0.25">
      <c r="E2506" s="7"/>
      <c r="F2506" t="s">
        <v>20</v>
      </c>
      <c r="G2506" s="10" t="s">
        <v>21</v>
      </c>
      <c r="H2506" t="str">
        <f>"VLS202103238604"</f>
        <v>VLS202103238604</v>
      </c>
      <c r="I2506" t="str">
        <f>"SPOUSE LIFE"</f>
        <v>SPOUSE LIFE</v>
      </c>
    </row>
    <row r="2507" spans="1:9" x14ac:dyDescent="0.25">
      <c r="E2507" s="7"/>
      <c r="F2507" t="s">
        <v>20</v>
      </c>
      <c r="G2507" s="10" t="s">
        <v>21</v>
      </c>
      <c r="H2507" t="str">
        <f>"VOE202103098603"</f>
        <v>VOE202103098603</v>
      </c>
      <c r="I2507" t="str">
        <f>"EMPLOYEE LIFE"</f>
        <v>EMPLOYEE LIFE</v>
      </c>
    </row>
    <row r="2508" spans="1:9" x14ac:dyDescent="0.25">
      <c r="E2508" s="7"/>
      <c r="F2508" t="s">
        <v>20</v>
      </c>
      <c r="G2508" s="10" t="s">
        <v>21</v>
      </c>
      <c r="H2508" t="str">
        <f>"VOE202103238604"</f>
        <v>VOE202103238604</v>
      </c>
      <c r="I2508" t="str">
        <f>"EMPLOYEE LIFE"</f>
        <v>EMPLOYEE LIFE</v>
      </c>
    </row>
    <row r="2509" spans="1:9" x14ac:dyDescent="0.25">
      <c r="E2509" s="7"/>
      <c r="F2509" t="s">
        <v>20</v>
      </c>
      <c r="G2509" s="10" t="s">
        <v>21</v>
      </c>
      <c r="H2509" t="str">
        <f>"VOL202103098603"</f>
        <v>VOL202103098603</v>
      </c>
      <c r="I2509" t="str">
        <f>"LIFE"</f>
        <v>LIFE</v>
      </c>
    </row>
    <row r="2510" spans="1:9" x14ac:dyDescent="0.25">
      <c r="E2510" s="7"/>
      <c r="F2510" t="s">
        <v>20</v>
      </c>
      <c r="G2510" s="10" t="s">
        <v>21</v>
      </c>
      <c r="H2510" t="str">
        <f>"VOL202103238604"</f>
        <v>VOL202103238604</v>
      </c>
      <c r="I2510" t="str">
        <f>"LIFE"</f>
        <v>LIFE</v>
      </c>
    </row>
    <row r="2511" spans="1:9" x14ac:dyDescent="0.25">
      <c r="A2511" s="6">
        <v>44286</v>
      </c>
      <c r="B2511" t="s">
        <v>26</v>
      </c>
      <c r="C2511">
        <v>66432</v>
      </c>
      <c r="D2511" t="s">
        <v>97</v>
      </c>
      <c r="E2511" s="7">
        <v>1707.36</v>
      </c>
      <c r="F2511" t="s">
        <v>20</v>
      </c>
      <c r="G2511" s="10" t="s">
        <v>21</v>
      </c>
      <c r="H2511" t="str">
        <f>"H.TUNER COBRA"</f>
        <v>H.TUNER COBRA</v>
      </c>
      <c r="I2511" t="str">
        <f>"HEALTH CARE SERVICE CORPORATIO"</f>
        <v>HEALTH CARE SERVICE CORPORATIO</v>
      </c>
    </row>
    <row r="2512" spans="1:9" x14ac:dyDescent="0.25">
      <c r="A2512" s="6">
        <v>44293</v>
      </c>
      <c r="B2512" t="s">
        <v>26</v>
      </c>
      <c r="C2512">
        <v>66437</v>
      </c>
      <c r="D2512" t="s">
        <v>51</v>
      </c>
      <c r="E2512" s="7">
        <v>346.31</v>
      </c>
      <c r="F2512" t="s">
        <v>20</v>
      </c>
      <c r="G2512" s="10" t="s">
        <v>21</v>
      </c>
      <c r="H2512" t="str">
        <f>"CLE202104078605"</f>
        <v>CLE202104078605</v>
      </c>
      <c r="I2512" t="str">
        <f>"CLEAT ONLY DUES"</f>
        <v>CLEAT ONLY DUES</v>
      </c>
    </row>
    <row r="2513" spans="1:9" x14ac:dyDescent="0.25">
      <c r="E2513" s="7"/>
      <c r="F2513" t="s">
        <v>20</v>
      </c>
      <c r="G2513" s="10" t="s">
        <v>21</v>
      </c>
      <c r="H2513" t="str">
        <f>"PDD202104078605"</f>
        <v>PDD202104078605</v>
      </c>
      <c r="I2513" t="str">
        <f>"POLICE OFFICERS ASSOC DUES"</f>
        <v>POLICE OFFICERS ASSOC DUES</v>
      </c>
    </row>
    <row r="2514" spans="1:9" x14ac:dyDescent="0.25">
      <c r="A2514" s="6">
        <v>44293</v>
      </c>
      <c r="B2514" t="s">
        <v>26</v>
      </c>
      <c r="C2514">
        <v>66438</v>
      </c>
      <c r="D2514" t="s">
        <v>52</v>
      </c>
      <c r="E2514" s="7">
        <v>405</v>
      </c>
      <c r="F2514" t="s">
        <v>20</v>
      </c>
      <c r="G2514" s="10" t="s">
        <v>21</v>
      </c>
      <c r="H2514" t="str">
        <f>"CA1202104078605"</f>
        <v>CA1202104078605</v>
      </c>
      <c r="I2514" t="str">
        <f>"K RAMIREZ 001200229510060343CV"</f>
        <v>K RAMIREZ 001200229510060343CV</v>
      </c>
    </row>
    <row r="2515" spans="1:9" x14ac:dyDescent="0.25">
      <c r="E2515" s="7"/>
      <c r="F2515" t="s">
        <v>20</v>
      </c>
      <c r="G2515" s="10" t="s">
        <v>21</v>
      </c>
      <c r="H2515" t="str">
        <f>"CA2202104078605"</f>
        <v>CA2202104078605</v>
      </c>
      <c r="I2515" t="str">
        <f>"L HERNANDEZ 001016025203080354"</f>
        <v>L HERNANDEZ 001016025203080354</v>
      </c>
    </row>
    <row r="2516" spans="1:9" x14ac:dyDescent="0.25">
      <c r="E2516" s="7"/>
      <c r="F2516" t="s">
        <v>20</v>
      </c>
      <c r="G2516" s="10" t="s">
        <v>21</v>
      </c>
      <c r="H2516" t="str">
        <f>"CA3202104078605"</f>
        <v>CA3202104078605</v>
      </c>
      <c r="I2516" t="str">
        <f>"00120788612011EM5023JOLENEGARC"</f>
        <v>00120788612011EM5023JOLENEGARC</v>
      </c>
    </row>
    <row r="2517" spans="1:9" x14ac:dyDescent="0.25">
      <c r="E2517" s="7"/>
      <c r="F2517" t="s">
        <v>20</v>
      </c>
      <c r="G2517" s="10" t="s">
        <v>21</v>
      </c>
      <c r="H2517" t="str">
        <f>"CSA202104078605"</f>
        <v>CSA202104078605</v>
      </c>
      <c r="I2517" t="str">
        <f>"S RODRIGUEZ 001281730413050336"</f>
        <v>S RODRIGUEZ 001281730413050336</v>
      </c>
    </row>
    <row r="2518" spans="1:9" x14ac:dyDescent="0.25">
      <c r="A2518" s="6">
        <v>44293</v>
      </c>
      <c r="B2518" t="s">
        <v>26</v>
      </c>
      <c r="C2518">
        <v>66439</v>
      </c>
      <c r="D2518" t="s">
        <v>54</v>
      </c>
      <c r="E2518" s="7">
        <v>1164.93</v>
      </c>
      <c r="F2518" t="s">
        <v>20</v>
      </c>
      <c r="G2518" s="10" t="s">
        <v>21</v>
      </c>
      <c r="H2518" t="str">
        <f>"BRE202104078605"</f>
        <v>BRE202104078605</v>
      </c>
      <c r="I2518" t="str">
        <f>"CASE #180-60751 457B DEDUCT"</f>
        <v>CASE #180-60751 457B DEDUCT</v>
      </c>
    </row>
    <row r="2519" spans="1:9" x14ac:dyDescent="0.25">
      <c r="A2519" s="6">
        <v>44293</v>
      </c>
      <c r="B2519" t="s">
        <v>26</v>
      </c>
      <c r="C2519">
        <v>66440</v>
      </c>
      <c r="D2519" t="s">
        <v>157</v>
      </c>
      <c r="E2519" s="7">
        <v>1700.85</v>
      </c>
      <c r="F2519" t="s">
        <v>20</v>
      </c>
      <c r="G2519" s="10" t="s">
        <v>21</v>
      </c>
      <c r="H2519" t="str">
        <f>"4/7/2021"</f>
        <v>4/7/2021</v>
      </c>
      <c r="I2519" t="str">
        <f>"GLAZIERS"</f>
        <v>GLAZIERS</v>
      </c>
    </row>
    <row r="2520" spans="1:9" x14ac:dyDescent="0.25">
      <c r="A2520" s="6">
        <v>44293</v>
      </c>
      <c r="B2520" t="s">
        <v>26</v>
      </c>
      <c r="C2520">
        <v>66441</v>
      </c>
      <c r="D2520" t="s">
        <v>1029</v>
      </c>
      <c r="E2520" s="7">
        <v>5833.34</v>
      </c>
      <c r="F2520" t="s">
        <v>20</v>
      </c>
      <c r="G2520" s="10" t="s">
        <v>21</v>
      </c>
      <c r="H2520" t="str">
        <f>"4/10/2021"</f>
        <v>4/10/2021</v>
      </c>
      <c r="I2520" t="str">
        <f>"ANDY JOSLIN"</f>
        <v>ANDY JOSLIN</v>
      </c>
    </row>
    <row r="2521" spans="1:9" x14ac:dyDescent="0.25">
      <c r="A2521" s="6">
        <v>44293</v>
      </c>
      <c r="B2521" t="s">
        <v>26</v>
      </c>
      <c r="C2521">
        <v>66442</v>
      </c>
      <c r="D2521" t="s">
        <v>139</v>
      </c>
      <c r="E2521" s="7">
        <v>65</v>
      </c>
      <c r="F2521" t="s">
        <v>20</v>
      </c>
      <c r="G2521" s="10" t="s">
        <v>21</v>
      </c>
      <c r="H2521" t="str">
        <f>"31912"</f>
        <v>31912</v>
      </c>
      <c r="I2521" t="str">
        <f>"ANGEL FIRE &amp; SAFETY"</f>
        <v>ANGEL FIRE &amp; SAFETY</v>
      </c>
    </row>
    <row r="2522" spans="1:9" x14ac:dyDescent="0.25">
      <c r="A2522" s="6">
        <v>44293</v>
      </c>
      <c r="B2522" t="s">
        <v>26</v>
      </c>
      <c r="C2522">
        <v>66443</v>
      </c>
      <c r="D2522" t="s">
        <v>115</v>
      </c>
      <c r="E2522" s="7">
        <v>169.38</v>
      </c>
      <c r="F2522" t="s">
        <v>20</v>
      </c>
      <c r="G2522" s="10" t="s">
        <v>21</v>
      </c>
      <c r="H2522" t="str">
        <f>"3547876880"</f>
        <v>3547876880</v>
      </c>
      <c r="I2522" t="str">
        <f>"STREETS UNIT 401"</f>
        <v>STREETS UNIT 401</v>
      </c>
    </row>
    <row r="2523" spans="1:9" x14ac:dyDescent="0.25">
      <c r="A2523" s="6">
        <v>44293</v>
      </c>
      <c r="B2523" t="s">
        <v>26</v>
      </c>
      <c r="C2523">
        <v>66444</v>
      </c>
      <c r="D2523" t="s">
        <v>118</v>
      </c>
      <c r="E2523" s="7">
        <v>845</v>
      </c>
      <c r="F2523" t="s">
        <v>20</v>
      </c>
      <c r="G2523" s="10" t="s">
        <v>21</v>
      </c>
      <c r="H2523" t="str">
        <f>"12248"</f>
        <v>12248</v>
      </c>
      <c r="I2523" t="str">
        <f>"CITY YARD A/C REPAIR"</f>
        <v>CITY YARD A/C REPAIR</v>
      </c>
    </row>
    <row r="2524" spans="1:9" x14ac:dyDescent="0.25">
      <c r="A2524" s="6">
        <v>44293</v>
      </c>
      <c r="B2524" t="s">
        <v>26</v>
      </c>
      <c r="C2524">
        <v>66445</v>
      </c>
      <c r="D2524" t="s">
        <v>71</v>
      </c>
      <c r="E2524" s="7">
        <v>1270.6500000000001</v>
      </c>
      <c r="F2524" t="s">
        <v>20</v>
      </c>
      <c r="G2524" s="10" t="s">
        <v>21</v>
      </c>
      <c r="H2524" t="str">
        <f>"4079868286"</f>
        <v>4079868286</v>
      </c>
      <c r="I2524" t="str">
        <f t="shared" ref="I2524:I2529" si="53">"CINTAS CORPORATION #087"</f>
        <v>CINTAS CORPORATION #087</v>
      </c>
    </row>
    <row r="2525" spans="1:9" x14ac:dyDescent="0.25">
      <c r="E2525" s="7"/>
      <c r="F2525" t="s">
        <v>20</v>
      </c>
      <c r="G2525" s="10" t="s">
        <v>21</v>
      </c>
      <c r="H2525" t="str">
        <f>"4079868299"</f>
        <v>4079868299</v>
      </c>
      <c r="I2525" t="str">
        <f t="shared" si="53"/>
        <v>CINTAS CORPORATION #087</v>
      </c>
    </row>
    <row r="2526" spans="1:9" x14ac:dyDescent="0.25">
      <c r="E2526" s="7"/>
      <c r="F2526" t="s">
        <v>20</v>
      </c>
      <c r="G2526" s="10" t="s">
        <v>21</v>
      </c>
      <c r="H2526" t="str">
        <f>"4079868307"</f>
        <v>4079868307</v>
      </c>
      <c r="I2526" t="str">
        <f t="shared" si="53"/>
        <v>CINTAS CORPORATION #087</v>
      </c>
    </row>
    <row r="2527" spans="1:9" x14ac:dyDescent="0.25">
      <c r="E2527" s="7"/>
      <c r="F2527" t="s">
        <v>20</v>
      </c>
      <c r="G2527" s="10" t="s">
        <v>21</v>
      </c>
      <c r="H2527" t="str">
        <f>"4079868315"</f>
        <v>4079868315</v>
      </c>
      <c r="I2527" t="str">
        <f t="shared" si="53"/>
        <v>CINTAS CORPORATION #087</v>
      </c>
    </row>
    <row r="2528" spans="1:9" x14ac:dyDescent="0.25">
      <c r="E2528" s="7"/>
      <c r="F2528" t="s">
        <v>20</v>
      </c>
      <c r="G2528" s="10" t="s">
        <v>21</v>
      </c>
      <c r="H2528" t="str">
        <f>"4079868321"</f>
        <v>4079868321</v>
      </c>
      <c r="I2528" t="str">
        <f t="shared" si="53"/>
        <v>CINTAS CORPORATION #087</v>
      </c>
    </row>
    <row r="2529" spans="1:9" x14ac:dyDescent="0.25">
      <c r="E2529" s="7"/>
      <c r="F2529" t="s">
        <v>20</v>
      </c>
      <c r="G2529" s="10" t="s">
        <v>21</v>
      </c>
      <c r="H2529" t="str">
        <f>"4079868485"</f>
        <v>4079868485</v>
      </c>
      <c r="I2529" t="str">
        <f t="shared" si="53"/>
        <v>CINTAS CORPORATION #087</v>
      </c>
    </row>
    <row r="2530" spans="1:9" x14ac:dyDescent="0.25">
      <c r="A2530" s="6">
        <v>44293</v>
      </c>
      <c r="B2530" t="s">
        <v>26</v>
      </c>
      <c r="C2530">
        <v>66447</v>
      </c>
      <c r="D2530" t="s">
        <v>661</v>
      </c>
      <c r="E2530" s="7">
        <v>99</v>
      </c>
      <c r="F2530" t="s">
        <v>20</v>
      </c>
      <c r="G2530" s="10" t="s">
        <v>21</v>
      </c>
      <c r="H2530" t="str">
        <f>"8405070768"</f>
        <v>8405070768</v>
      </c>
      <c r="I2530" t="str">
        <f>"CINTAS FAS LOCKBOX 631025"</f>
        <v>CINTAS FAS LOCKBOX 631025</v>
      </c>
    </row>
    <row r="2531" spans="1:9" x14ac:dyDescent="0.25">
      <c r="A2531" s="6">
        <v>44293</v>
      </c>
      <c r="B2531" t="s">
        <v>26</v>
      </c>
      <c r="C2531">
        <v>66448</v>
      </c>
      <c r="D2531" t="s">
        <v>64</v>
      </c>
      <c r="E2531" s="7">
        <v>2464</v>
      </c>
      <c r="F2531" t="s">
        <v>20</v>
      </c>
      <c r="G2531" s="10" t="s">
        <v>21</v>
      </c>
      <c r="H2531" t="str">
        <f>"8437"</f>
        <v>8437</v>
      </c>
      <c r="I2531" t="str">
        <f>"DREWA DESIGNS  INC."</f>
        <v>DREWA DESIGNS  INC.</v>
      </c>
    </row>
    <row r="2532" spans="1:9" x14ac:dyDescent="0.25">
      <c r="A2532" s="6">
        <v>44293</v>
      </c>
      <c r="B2532" t="s">
        <v>26</v>
      </c>
      <c r="C2532">
        <v>66449</v>
      </c>
      <c r="D2532" t="s">
        <v>69</v>
      </c>
      <c r="E2532" s="7">
        <v>299.99</v>
      </c>
      <c r="F2532" t="s">
        <v>20</v>
      </c>
      <c r="G2532" s="10" t="s">
        <v>21</v>
      </c>
      <c r="H2532" t="str">
        <f>"3C06319"</f>
        <v>3C06319</v>
      </c>
      <c r="I2532" t="str">
        <f>"EWALD KUBOTA  INC."</f>
        <v>EWALD KUBOTA  INC.</v>
      </c>
    </row>
    <row r="2533" spans="1:9" x14ac:dyDescent="0.25">
      <c r="A2533" s="6">
        <v>44293</v>
      </c>
      <c r="B2533" t="s">
        <v>26</v>
      </c>
      <c r="C2533">
        <v>66450</v>
      </c>
      <c r="D2533" t="s">
        <v>79</v>
      </c>
      <c r="E2533" s="7">
        <v>164.14</v>
      </c>
      <c r="F2533" t="s">
        <v>20</v>
      </c>
      <c r="G2533" s="10" t="s">
        <v>21</v>
      </c>
      <c r="H2533" t="str">
        <f>"7-318-41454"</f>
        <v>7-318-41454</v>
      </c>
      <c r="I2533" t="str">
        <f>"FEDEX"</f>
        <v>FEDEX</v>
      </c>
    </row>
    <row r="2534" spans="1:9" x14ac:dyDescent="0.25">
      <c r="A2534" s="6">
        <v>44293</v>
      </c>
      <c r="B2534" t="s">
        <v>26</v>
      </c>
      <c r="C2534">
        <v>66451</v>
      </c>
      <c r="D2534" t="s">
        <v>59</v>
      </c>
      <c r="E2534" s="7">
        <v>2024.74</v>
      </c>
      <c r="F2534" t="s">
        <v>20</v>
      </c>
      <c r="G2534" s="10" t="s">
        <v>21</v>
      </c>
      <c r="H2534" t="str">
        <f>"1107958-1"</f>
        <v>1107958-1</v>
      </c>
      <c r="I2534" t="str">
        <f>"FERGUSON WATERWORKS - MUNICIPA"</f>
        <v>FERGUSON WATERWORKS - MUNICIPA</v>
      </c>
    </row>
    <row r="2535" spans="1:9" x14ac:dyDescent="0.25">
      <c r="E2535" s="7"/>
      <c r="F2535" t="s">
        <v>20</v>
      </c>
      <c r="G2535" s="10" t="s">
        <v>21</v>
      </c>
      <c r="H2535" t="str">
        <f>"1110032"</f>
        <v>1110032</v>
      </c>
      <c r="I2535" t="str">
        <f>"RESTROOM REPAIR"</f>
        <v>RESTROOM REPAIR</v>
      </c>
    </row>
    <row r="2536" spans="1:9" x14ac:dyDescent="0.25">
      <c r="E2536" s="7"/>
      <c r="F2536" t="s">
        <v>20</v>
      </c>
      <c r="G2536" s="10" t="s">
        <v>21</v>
      </c>
      <c r="H2536" t="str">
        <f>"1110436"</f>
        <v>1110436</v>
      </c>
      <c r="I2536" t="str">
        <f>"NEW ROAD RISER"</f>
        <v>NEW ROAD RISER</v>
      </c>
    </row>
    <row r="2537" spans="1:9" x14ac:dyDescent="0.25">
      <c r="E2537" s="7"/>
      <c r="F2537" t="s">
        <v>20</v>
      </c>
      <c r="G2537" s="10" t="s">
        <v>21</v>
      </c>
      <c r="H2537" t="str">
        <f>"1110436/1110453"</f>
        <v>1110436/1110453</v>
      </c>
      <c r="I2537" t="str">
        <f>"NEW ROAD RISER"</f>
        <v>NEW ROAD RISER</v>
      </c>
    </row>
    <row r="2538" spans="1:9" x14ac:dyDescent="0.25">
      <c r="E2538" s="7"/>
      <c r="F2538" t="s">
        <v>20</v>
      </c>
      <c r="G2538" s="10" t="s">
        <v>21</v>
      </c>
      <c r="H2538" t="str">
        <f>"1110453"</f>
        <v>1110453</v>
      </c>
      <c r="I2538" t="str">
        <f>"NEW ROAD RISER"</f>
        <v>NEW ROAD RISER</v>
      </c>
    </row>
    <row r="2539" spans="1:9" x14ac:dyDescent="0.25">
      <c r="E2539" s="7"/>
      <c r="F2539" t="s">
        <v>20</v>
      </c>
      <c r="G2539" s="10" t="s">
        <v>21</v>
      </c>
      <c r="H2539" t="str">
        <f>"22203"</f>
        <v>22203</v>
      </c>
      <c r="I2539" t="str">
        <f>"MISC STOCK"</f>
        <v>MISC STOCK</v>
      </c>
    </row>
    <row r="2540" spans="1:9" x14ac:dyDescent="0.25">
      <c r="A2540" s="6">
        <v>44293</v>
      </c>
      <c r="B2540" t="s">
        <v>26</v>
      </c>
      <c r="C2540">
        <v>66453</v>
      </c>
      <c r="D2540" t="s">
        <v>739</v>
      </c>
      <c r="E2540" s="7">
        <v>100.9</v>
      </c>
      <c r="F2540" t="s">
        <v>20</v>
      </c>
      <c r="G2540" s="10" t="s">
        <v>21</v>
      </c>
      <c r="H2540" t="str">
        <f>"5286X03272021"</f>
        <v>5286X03272021</v>
      </c>
      <c r="I2540" t="str">
        <f>"FIRSTNET/AT&amp;T MOBILITY LLC"</f>
        <v>FIRSTNET/AT&amp;T MOBILITY LLC</v>
      </c>
    </row>
    <row r="2541" spans="1:9" x14ac:dyDescent="0.25">
      <c r="A2541" s="6">
        <v>44293</v>
      </c>
      <c r="B2541" t="s">
        <v>26</v>
      </c>
      <c r="C2541">
        <v>66454</v>
      </c>
      <c r="D2541" t="s">
        <v>85</v>
      </c>
      <c r="E2541" s="7">
        <v>1539.6</v>
      </c>
      <c r="F2541" t="s">
        <v>20</v>
      </c>
      <c r="G2541" s="10" t="s">
        <v>21</v>
      </c>
      <c r="H2541" t="str">
        <f>"8301970046 3/2021"</f>
        <v>8301970046 3/2021</v>
      </c>
      <c r="I2541" t="str">
        <f>"FRONTIER"</f>
        <v>FRONTIER</v>
      </c>
    </row>
    <row r="2542" spans="1:9" x14ac:dyDescent="0.25">
      <c r="A2542" s="6">
        <v>44293</v>
      </c>
      <c r="B2542" t="s">
        <v>26</v>
      </c>
      <c r="C2542">
        <v>66455</v>
      </c>
      <c r="D2542" t="s">
        <v>986</v>
      </c>
      <c r="E2542" s="7">
        <v>1116</v>
      </c>
      <c r="F2542" t="s">
        <v>20</v>
      </c>
      <c r="G2542" s="10" t="s">
        <v>21</v>
      </c>
      <c r="H2542" t="str">
        <f>"3/22-4/02/2021"</f>
        <v>3/22-4/02/2021</v>
      </c>
      <c r="I2542" t="str">
        <f>"KERRY L. ESQUIVEL"</f>
        <v>KERRY L. ESQUIVEL</v>
      </c>
    </row>
    <row r="2543" spans="1:9" x14ac:dyDescent="0.25">
      <c r="A2543" s="6">
        <v>44293</v>
      </c>
      <c r="B2543" t="s">
        <v>26</v>
      </c>
      <c r="C2543">
        <v>66456</v>
      </c>
      <c r="D2543" t="s">
        <v>1032</v>
      </c>
      <c r="E2543" s="7">
        <v>12000</v>
      </c>
      <c r="F2543" t="s">
        <v>20</v>
      </c>
      <c r="G2543" s="10" t="s">
        <v>21</v>
      </c>
      <c r="H2543" t="str">
        <f>"3-21-17599  4/1/21"</f>
        <v>3-21-17599  4/1/21</v>
      </c>
      <c r="I2543" t="str">
        <f>"LEAL &amp; CARTER  P.C."</f>
        <v>LEAL &amp; CARTER  P.C.</v>
      </c>
    </row>
    <row r="2544" spans="1:9" x14ac:dyDescent="0.25">
      <c r="A2544" s="6">
        <v>44293</v>
      </c>
      <c r="B2544" t="s">
        <v>26</v>
      </c>
      <c r="C2544">
        <v>66457</v>
      </c>
      <c r="D2544" t="s">
        <v>80</v>
      </c>
      <c r="E2544" s="7">
        <v>1500</v>
      </c>
      <c r="F2544" t="s">
        <v>20</v>
      </c>
      <c r="G2544" s="10" t="s">
        <v>21</v>
      </c>
      <c r="H2544" t="str">
        <f>"1648-20210401-1"</f>
        <v>1648-20210401-1</v>
      </c>
      <c r="I2544" t="str">
        <f>"LVWIFI.COM"</f>
        <v>LVWIFI.COM</v>
      </c>
    </row>
    <row r="2545" spans="1:9" x14ac:dyDescent="0.25">
      <c r="E2545" s="7"/>
      <c r="F2545" t="s">
        <v>20</v>
      </c>
      <c r="G2545" s="10" t="s">
        <v>21</v>
      </c>
      <c r="H2545" t="str">
        <f>"2313-20210401-1"</f>
        <v>2313-20210401-1</v>
      </c>
      <c r="I2545" t="str">
        <f>"LVWIFI.COM"</f>
        <v>LVWIFI.COM</v>
      </c>
    </row>
    <row r="2546" spans="1:9" x14ac:dyDescent="0.25">
      <c r="A2546" s="6">
        <v>44293</v>
      </c>
      <c r="B2546" t="s">
        <v>26</v>
      </c>
      <c r="C2546">
        <v>66458</v>
      </c>
      <c r="D2546" t="s">
        <v>29</v>
      </c>
      <c r="E2546" s="7">
        <v>663.38</v>
      </c>
      <c r="F2546" t="s">
        <v>20</v>
      </c>
      <c r="G2546" s="10" t="s">
        <v>21</v>
      </c>
      <c r="H2546" t="str">
        <f>"49352"</f>
        <v>49352</v>
      </c>
      <c r="I2546" t="str">
        <f>"M &amp; S ENGINEERING  LLC"</f>
        <v>M &amp; S ENGINEERING  LLC</v>
      </c>
    </row>
    <row r="2547" spans="1:9" x14ac:dyDescent="0.25">
      <c r="A2547" s="6">
        <v>44293</v>
      </c>
      <c r="B2547" t="s">
        <v>26</v>
      </c>
      <c r="C2547">
        <v>66459</v>
      </c>
      <c r="D2547" t="s">
        <v>124</v>
      </c>
      <c r="E2547" s="7">
        <v>95.54</v>
      </c>
      <c r="F2547" t="s">
        <v>20</v>
      </c>
      <c r="G2547" s="10" t="s">
        <v>21</v>
      </c>
      <c r="H2547" t="str">
        <f>"11102844"</f>
        <v>11102844</v>
      </c>
      <c r="I2547" t="str">
        <f>"HIKE AND BIKE TRAIL BENCH"</f>
        <v>HIKE AND BIKE TRAIL BENCH</v>
      </c>
    </row>
    <row r="2548" spans="1:9" x14ac:dyDescent="0.25">
      <c r="E2548" s="7"/>
      <c r="F2548" t="s">
        <v>20</v>
      </c>
      <c r="G2548" s="10" t="s">
        <v>21</v>
      </c>
      <c r="H2548" t="str">
        <f>"1110633"</f>
        <v>1110633</v>
      </c>
      <c r="I2548" t="str">
        <f>"MCCOY'S CORPORATION"</f>
        <v>MCCOY'S CORPORATION</v>
      </c>
    </row>
    <row r="2549" spans="1:9" x14ac:dyDescent="0.25">
      <c r="A2549" s="6">
        <v>44293</v>
      </c>
      <c r="B2549" t="s">
        <v>91</v>
      </c>
      <c r="C2549">
        <v>66460</v>
      </c>
      <c r="D2549" t="s">
        <v>689</v>
      </c>
      <c r="E2549" s="7">
        <v>4133.34</v>
      </c>
      <c r="F2549" t="s">
        <v>20</v>
      </c>
      <c r="G2549" s="10" t="s">
        <v>21</v>
      </c>
      <c r="H2549" t="str">
        <f>"3675"</f>
        <v>3675</v>
      </c>
      <c r="I2549" t="str">
        <f>"MOY'S WATER WELL DRILLING &amp; SE"</f>
        <v>MOY'S WATER WELL DRILLING &amp; SE</v>
      </c>
    </row>
    <row r="2550" spans="1:9" x14ac:dyDescent="0.25">
      <c r="E2550" s="7"/>
      <c r="F2550" t="s">
        <v>20</v>
      </c>
      <c r="G2550" s="10" t="s">
        <v>21</v>
      </c>
      <c r="H2550" t="str">
        <f>"73652"</f>
        <v>73652</v>
      </c>
      <c r="I2550" t="str">
        <f>"MOY'S WATER WELL DRILLING &amp; SE"</f>
        <v>MOY'S WATER WELL DRILLING &amp; SE</v>
      </c>
    </row>
    <row r="2551" spans="1:9" x14ac:dyDescent="0.25">
      <c r="A2551" s="6">
        <v>44293</v>
      </c>
      <c r="B2551" t="s">
        <v>91</v>
      </c>
      <c r="C2551">
        <v>66460</v>
      </c>
      <c r="D2551" t="s">
        <v>689</v>
      </c>
      <c r="E2551" s="7">
        <v>4133.34</v>
      </c>
      <c r="F2551" t="s">
        <v>20</v>
      </c>
      <c r="G2551" s="10" t="s">
        <v>93</v>
      </c>
      <c r="H2551" t="str">
        <f>"CHECK"</f>
        <v>CHECK</v>
      </c>
      <c r="I2551" t="str">
        <f>""</f>
        <v/>
      </c>
    </row>
    <row r="2552" spans="1:9" x14ac:dyDescent="0.25">
      <c r="A2552" s="6">
        <v>44293</v>
      </c>
      <c r="B2552" t="s">
        <v>26</v>
      </c>
      <c r="C2552">
        <v>66461</v>
      </c>
      <c r="D2552" t="s">
        <v>340</v>
      </c>
      <c r="E2552" s="7">
        <v>76.72</v>
      </c>
      <c r="F2552" t="s">
        <v>20</v>
      </c>
      <c r="G2552" s="10" t="s">
        <v>21</v>
      </c>
      <c r="H2552" t="str">
        <f>"1810109807"</f>
        <v>1810109807</v>
      </c>
      <c r="I2552" t="str">
        <f>"SHREDDER REPAIR"</f>
        <v>SHREDDER REPAIR</v>
      </c>
    </row>
    <row r="2553" spans="1:9" x14ac:dyDescent="0.25">
      <c r="A2553" s="6">
        <v>44293</v>
      </c>
      <c r="B2553" t="s">
        <v>26</v>
      </c>
      <c r="C2553">
        <v>66462</v>
      </c>
      <c r="D2553" t="s">
        <v>137</v>
      </c>
      <c r="E2553" s="7">
        <v>51.95</v>
      </c>
      <c r="F2553" t="s">
        <v>20</v>
      </c>
      <c r="G2553" s="10" t="s">
        <v>21</v>
      </c>
      <c r="H2553" t="str">
        <f>"22673"</f>
        <v>22673</v>
      </c>
      <c r="I2553" t="str">
        <f>"OMNIBUS-M  INC.D.B.A."</f>
        <v>OMNIBUS-M  INC.D.B.A.</v>
      </c>
    </row>
    <row r="2554" spans="1:9" x14ac:dyDescent="0.25">
      <c r="A2554" s="6">
        <v>44293</v>
      </c>
      <c r="B2554" t="s">
        <v>26</v>
      </c>
      <c r="C2554">
        <v>66463</v>
      </c>
      <c r="D2554" t="s">
        <v>184</v>
      </c>
      <c r="E2554" s="7">
        <v>260</v>
      </c>
      <c r="F2554" t="s">
        <v>20</v>
      </c>
      <c r="G2554" s="10" t="s">
        <v>21</v>
      </c>
      <c r="H2554" t="str">
        <f>"1061-405"</f>
        <v>1061-405</v>
      </c>
      <c r="I2554" t="str">
        <f>"POLLUTION CONTROL SERVICES"</f>
        <v>POLLUTION CONTROL SERVICES</v>
      </c>
    </row>
    <row r="2555" spans="1:9" x14ac:dyDescent="0.25">
      <c r="A2555" s="6">
        <v>44293</v>
      </c>
      <c r="B2555" t="s">
        <v>26</v>
      </c>
      <c r="C2555">
        <v>66464</v>
      </c>
      <c r="D2555" t="s">
        <v>971</v>
      </c>
      <c r="E2555" s="7">
        <v>49.04</v>
      </c>
      <c r="F2555" t="s">
        <v>20</v>
      </c>
      <c r="G2555" s="10" t="s">
        <v>21</v>
      </c>
      <c r="H2555" t="str">
        <f>"REIMBST 1525914"</f>
        <v>REIMBST 1525914</v>
      </c>
      <c r="I2555" t="str">
        <f>"RAYMUNDO REYES"</f>
        <v>RAYMUNDO REYES</v>
      </c>
    </row>
    <row r="2556" spans="1:9" x14ac:dyDescent="0.25">
      <c r="A2556" s="6">
        <v>44293</v>
      </c>
      <c r="B2556" t="s">
        <v>26</v>
      </c>
      <c r="C2556">
        <v>66465</v>
      </c>
      <c r="D2556" t="s">
        <v>126</v>
      </c>
      <c r="E2556" s="7">
        <v>88669.93</v>
      </c>
      <c r="F2556" t="s">
        <v>20</v>
      </c>
      <c r="G2556" s="10" t="s">
        <v>21</v>
      </c>
      <c r="H2556" t="str">
        <f>"0859-002805302"</f>
        <v>0859-002805302</v>
      </c>
      <c r="I2556" t="str">
        <f>"REPUBLIC SERVICES #859"</f>
        <v>REPUBLIC SERVICES #859</v>
      </c>
    </row>
    <row r="2557" spans="1:9" x14ac:dyDescent="0.25">
      <c r="A2557" s="6">
        <v>44293</v>
      </c>
      <c r="B2557" t="s">
        <v>26</v>
      </c>
      <c r="C2557">
        <v>66466</v>
      </c>
      <c r="D2557" t="s">
        <v>339</v>
      </c>
      <c r="E2557" s="7">
        <v>1004.31</v>
      </c>
      <c r="F2557" t="s">
        <v>20</v>
      </c>
      <c r="G2557" s="10" t="s">
        <v>21</v>
      </c>
      <c r="H2557" t="str">
        <f>"824274-1"</f>
        <v>824274-1</v>
      </c>
      <c r="I2557" t="str">
        <f>"LIGHTING"</f>
        <v>LIGHTING</v>
      </c>
    </row>
    <row r="2558" spans="1:9" x14ac:dyDescent="0.25">
      <c r="A2558" s="6">
        <v>44293</v>
      </c>
      <c r="B2558" t="s">
        <v>26</v>
      </c>
      <c r="C2558">
        <v>66467</v>
      </c>
      <c r="D2558" t="s">
        <v>132</v>
      </c>
      <c r="E2558" s="7">
        <v>59.33</v>
      </c>
      <c r="F2558" t="s">
        <v>20</v>
      </c>
      <c r="G2558" s="10" t="s">
        <v>21</v>
      </c>
      <c r="H2558" t="str">
        <f>"16992887  032521"</f>
        <v>16992887  032521</v>
      </c>
      <c r="I2558" t="str">
        <f>"SPARKLETTS &amp; SIERRA SPRINGS"</f>
        <v>SPARKLETTS &amp; SIERRA SPRINGS</v>
      </c>
    </row>
    <row r="2559" spans="1:9" x14ac:dyDescent="0.25">
      <c r="A2559" s="6">
        <v>44293</v>
      </c>
      <c r="B2559" t="s">
        <v>26</v>
      </c>
      <c r="C2559">
        <v>66468</v>
      </c>
      <c r="D2559" t="s">
        <v>84</v>
      </c>
      <c r="E2559" s="7">
        <v>2476.4899999999998</v>
      </c>
      <c r="F2559" t="s">
        <v>20</v>
      </c>
      <c r="G2559" s="10" t="s">
        <v>21</v>
      </c>
      <c r="H2559" t="str">
        <f>"1765648"</f>
        <v>1765648</v>
      </c>
      <c r="I2559" t="str">
        <f>"STANTEC CONSULTING SERVICES IN"</f>
        <v>STANTEC CONSULTING SERVICES IN</v>
      </c>
    </row>
    <row r="2560" spans="1:9" x14ac:dyDescent="0.25">
      <c r="E2560" s="7"/>
      <c r="F2560" t="s">
        <v>20</v>
      </c>
      <c r="G2560" s="10" t="s">
        <v>21</v>
      </c>
      <c r="H2560" t="str">
        <f>"1765656"</f>
        <v>1765656</v>
      </c>
      <c r="I2560" t="str">
        <f>"STANTEC CONSULTING SERVICES IN"</f>
        <v>STANTEC CONSULTING SERVICES IN</v>
      </c>
    </row>
    <row r="2561" spans="1:9" x14ac:dyDescent="0.25">
      <c r="E2561" s="7"/>
      <c r="F2561" t="s">
        <v>20</v>
      </c>
      <c r="G2561" s="10" t="s">
        <v>21</v>
      </c>
      <c r="H2561" t="str">
        <f>"1765660"</f>
        <v>1765660</v>
      </c>
      <c r="I2561" t="str">
        <f>"STANTEC CONSULTING SERVICES IN"</f>
        <v>STANTEC CONSULTING SERVICES IN</v>
      </c>
    </row>
    <row r="2562" spans="1:9" x14ac:dyDescent="0.25">
      <c r="A2562" s="6">
        <v>44293</v>
      </c>
      <c r="B2562" t="s">
        <v>26</v>
      </c>
      <c r="C2562">
        <v>66469</v>
      </c>
      <c r="D2562" t="s">
        <v>554</v>
      </c>
      <c r="E2562" s="7">
        <v>74.95</v>
      </c>
      <c r="F2562" t="s">
        <v>20</v>
      </c>
      <c r="G2562" s="10" t="s">
        <v>21</v>
      </c>
      <c r="H2562" t="str">
        <f>"AB26465"</f>
        <v>AB26465</v>
      </c>
      <c r="I2562" t="str">
        <f>"TEXAS WIRED MUSIC"</f>
        <v>TEXAS WIRED MUSIC</v>
      </c>
    </row>
    <row r="2563" spans="1:9" x14ac:dyDescent="0.25">
      <c r="A2563" s="6">
        <v>44293</v>
      </c>
      <c r="B2563" t="s">
        <v>26</v>
      </c>
      <c r="C2563">
        <v>66470</v>
      </c>
      <c r="D2563" t="s">
        <v>73</v>
      </c>
      <c r="E2563" s="7">
        <v>40823</v>
      </c>
      <c r="F2563" t="s">
        <v>20</v>
      </c>
      <c r="G2563" s="10" t="s">
        <v>21</v>
      </c>
      <c r="H2563" t="str">
        <f>"8027  4/1/2021"</f>
        <v>8027  4/1/2021</v>
      </c>
      <c r="I2563" t="str">
        <f>"TML INTERGOVERNMENTAL RISK POO"</f>
        <v>TML INTERGOVERNMENTAL RISK POO</v>
      </c>
    </row>
    <row r="2564" spans="1:9" x14ac:dyDescent="0.25">
      <c r="A2564" s="6">
        <v>44293</v>
      </c>
      <c r="B2564" t="s">
        <v>26</v>
      </c>
      <c r="C2564">
        <v>66471</v>
      </c>
      <c r="D2564" t="s">
        <v>75</v>
      </c>
      <c r="E2564" s="7">
        <v>1210.93</v>
      </c>
      <c r="F2564" t="s">
        <v>20</v>
      </c>
      <c r="G2564" s="10" t="s">
        <v>21</v>
      </c>
      <c r="H2564" t="str">
        <f>"8184  4/24/2021"</f>
        <v>8184  4/24/2021</v>
      </c>
      <c r="I2564" t="str">
        <f>"AIR COMPRESSER 5.5HP 8GAL"</f>
        <v>AIR COMPRESSER 5.5HP 8GAL</v>
      </c>
    </row>
    <row r="2565" spans="1:9" x14ac:dyDescent="0.25">
      <c r="A2565" s="6">
        <v>44293</v>
      </c>
      <c r="B2565" t="s">
        <v>26</v>
      </c>
      <c r="C2565">
        <v>66472</v>
      </c>
      <c r="D2565" t="s">
        <v>61</v>
      </c>
      <c r="E2565" s="7">
        <v>188</v>
      </c>
      <c r="F2565" t="s">
        <v>20</v>
      </c>
      <c r="G2565" s="10" t="s">
        <v>21</v>
      </c>
      <c r="H2565" t="str">
        <f>"025-327696"</f>
        <v>025-327696</v>
      </c>
      <c r="I2565" t="str">
        <f>"TYLER TECHNOLOGIES  INC."</f>
        <v>TYLER TECHNOLOGIES  INC.</v>
      </c>
    </row>
    <row r="2566" spans="1:9" x14ac:dyDescent="0.25">
      <c r="A2566" s="6">
        <v>44293</v>
      </c>
      <c r="B2566" t="s">
        <v>26</v>
      </c>
      <c r="C2566">
        <v>66473</v>
      </c>
      <c r="D2566" t="s">
        <v>644</v>
      </c>
      <c r="E2566" s="7">
        <v>512.63</v>
      </c>
      <c r="F2566" t="s">
        <v>20</v>
      </c>
      <c r="G2566" s="10" t="s">
        <v>21</v>
      </c>
      <c r="H2566" t="str">
        <f>"8213578733"</f>
        <v>8213578733</v>
      </c>
      <c r="I2566" t="str">
        <f t="shared" ref="I2566:I2572" si="54">"UNIFIRST CORPORATION"</f>
        <v>UNIFIRST CORPORATION</v>
      </c>
    </row>
    <row r="2567" spans="1:9" x14ac:dyDescent="0.25">
      <c r="E2567" s="7"/>
      <c r="F2567" t="s">
        <v>20</v>
      </c>
      <c r="G2567" s="10" t="s">
        <v>21</v>
      </c>
      <c r="H2567" t="str">
        <f>"8213578734"</f>
        <v>8213578734</v>
      </c>
      <c r="I2567" t="str">
        <f t="shared" si="54"/>
        <v>UNIFIRST CORPORATION</v>
      </c>
    </row>
    <row r="2568" spans="1:9" x14ac:dyDescent="0.25">
      <c r="E2568" s="7"/>
      <c r="F2568" t="s">
        <v>20</v>
      </c>
      <c r="G2568" s="10" t="s">
        <v>21</v>
      </c>
      <c r="H2568" t="str">
        <f>"8213578735"</f>
        <v>8213578735</v>
      </c>
      <c r="I2568" t="str">
        <f t="shared" si="54"/>
        <v>UNIFIRST CORPORATION</v>
      </c>
    </row>
    <row r="2569" spans="1:9" x14ac:dyDescent="0.25">
      <c r="E2569" s="7"/>
      <c r="F2569" t="s">
        <v>20</v>
      </c>
      <c r="G2569" s="10" t="s">
        <v>21</v>
      </c>
      <c r="H2569" t="str">
        <f>"8213578736"</f>
        <v>8213578736</v>
      </c>
      <c r="I2569" t="str">
        <f t="shared" si="54"/>
        <v>UNIFIRST CORPORATION</v>
      </c>
    </row>
    <row r="2570" spans="1:9" x14ac:dyDescent="0.25">
      <c r="E2570" s="7"/>
      <c r="F2570" t="s">
        <v>20</v>
      </c>
      <c r="G2570" s="10" t="s">
        <v>21</v>
      </c>
      <c r="H2570" t="str">
        <f>"8213578737"</f>
        <v>8213578737</v>
      </c>
      <c r="I2570" t="str">
        <f t="shared" si="54"/>
        <v>UNIFIRST CORPORATION</v>
      </c>
    </row>
    <row r="2571" spans="1:9" x14ac:dyDescent="0.25">
      <c r="E2571" s="7"/>
      <c r="F2571" t="s">
        <v>20</v>
      </c>
      <c r="G2571" s="10" t="s">
        <v>21</v>
      </c>
      <c r="H2571" t="str">
        <f>"8213578738"</f>
        <v>8213578738</v>
      </c>
      <c r="I2571" t="str">
        <f t="shared" si="54"/>
        <v>UNIFIRST CORPORATION</v>
      </c>
    </row>
    <row r="2572" spans="1:9" x14ac:dyDescent="0.25">
      <c r="E2572" s="7"/>
      <c r="F2572" t="s">
        <v>20</v>
      </c>
      <c r="G2572" s="10" t="s">
        <v>21</v>
      </c>
      <c r="H2572" t="str">
        <f>"8213578739"</f>
        <v>8213578739</v>
      </c>
      <c r="I2572" t="str">
        <f t="shared" si="54"/>
        <v>UNIFIRST CORPORATION</v>
      </c>
    </row>
    <row r="2573" spans="1:9" x14ac:dyDescent="0.25">
      <c r="A2573" s="6">
        <v>44293</v>
      </c>
      <c r="B2573" t="s">
        <v>26</v>
      </c>
      <c r="C2573">
        <v>66475</v>
      </c>
      <c r="D2573" t="s">
        <v>122</v>
      </c>
      <c r="E2573" s="7">
        <v>10</v>
      </c>
      <c r="F2573" t="s">
        <v>20</v>
      </c>
      <c r="G2573" s="10" t="s">
        <v>21</v>
      </c>
      <c r="H2573" t="str">
        <f>"142701"</f>
        <v>142701</v>
      </c>
      <c r="I2573" t="str">
        <f>"VILLA TIRES"</f>
        <v>VILLA TIRES</v>
      </c>
    </row>
    <row r="2574" spans="1:9" x14ac:dyDescent="0.25">
      <c r="A2574" s="6">
        <v>44293</v>
      </c>
      <c r="B2574" t="s">
        <v>26</v>
      </c>
      <c r="C2574">
        <v>66476</v>
      </c>
      <c r="D2574" t="s">
        <v>104</v>
      </c>
      <c r="E2574" s="7">
        <v>197.4</v>
      </c>
      <c r="F2574" t="s">
        <v>20</v>
      </c>
      <c r="G2574" s="10" t="s">
        <v>21</v>
      </c>
      <c r="H2574" t="str">
        <f>"143620317"</f>
        <v>143620317</v>
      </c>
      <c r="I2574" t="str">
        <f t="shared" ref="I2574:I2579" si="55">"WILSON COUNTY NEWS"</f>
        <v>WILSON COUNTY NEWS</v>
      </c>
    </row>
    <row r="2575" spans="1:9" x14ac:dyDescent="0.25">
      <c r="E2575" s="7"/>
      <c r="F2575" t="s">
        <v>20</v>
      </c>
      <c r="G2575" s="10" t="s">
        <v>21</v>
      </c>
      <c r="H2575" t="str">
        <f>"143620324"</f>
        <v>143620324</v>
      </c>
      <c r="I2575" t="str">
        <f t="shared" si="55"/>
        <v>WILSON COUNTY NEWS</v>
      </c>
    </row>
    <row r="2576" spans="1:9" x14ac:dyDescent="0.25">
      <c r="E2576" s="7"/>
      <c r="F2576" t="s">
        <v>20</v>
      </c>
      <c r="G2576" s="10" t="s">
        <v>21</v>
      </c>
      <c r="H2576" t="str">
        <f>"1443490317"</f>
        <v>1443490317</v>
      </c>
      <c r="I2576" t="str">
        <f t="shared" si="55"/>
        <v>WILSON COUNTY NEWS</v>
      </c>
    </row>
    <row r="2577" spans="1:9" x14ac:dyDescent="0.25">
      <c r="E2577" s="7"/>
      <c r="F2577" t="s">
        <v>20</v>
      </c>
      <c r="G2577" s="10" t="s">
        <v>21</v>
      </c>
      <c r="H2577" t="str">
        <f>"1443550317"</f>
        <v>1443550317</v>
      </c>
      <c r="I2577" t="str">
        <f t="shared" si="55"/>
        <v>WILSON COUNTY NEWS</v>
      </c>
    </row>
    <row r="2578" spans="1:9" x14ac:dyDescent="0.25">
      <c r="E2578" s="7"/>
      <c r="F2578" t="s">
        <v>20</v>
      </c>
      <c r="G2578" s="10" t="s">
        <v>21</v>
      </c>
      <c r="H2578" t="str">
        <f>"1443620331"</f>
        <v>1443620331</v>
      </c>
      <c r="I2578" t="str">
        <f t="shared" si="55"/>
        <v>WILSON COUNTY NEWS</v>
      </c>
    </row>
    <row r="2579" spans="1:9" x14ac:dyDescent="0.25">
      <c r="E2579" s="7"/>
      <c r="F2579" t="s">
        <v>20</v>
      </c>
      <c r="G2579" s="10" t="s">
        <v>21</v>
      </c>
      <c r="H2579" t="str">
        <f>"1444210331"</f>
        <v>1444210331</v>
      </c>
      <c r="I2579" t="str">
        <f t="shared" si="55"/>
        <v>WILSON COUNTY NEWS</v>
      </c>
    </row>
    <row r="2580" spans="1:9" x14ac:dyDescent="0.25">
      <c r="A2580" s="6">
        <v>44294</v>
      </c>
      <c r="B2580" t="s">
        <v>26</v>
      </c>
      <c r="C2580">
        <v>66477</v>
      </c>
      <c r="D2580" t="s">
        <v>0</v>
      </c>
      <c r="E2580" s="7">
        <v>2447.36</v>
      </c>
      <c r="F2580" t="s">
        <v>20</v>
      </c>
      <c r="G2580" s="10" t="s">
        <v>21</v>
      </c>
      <c r="H2580" t="str">
        <f>"2/10-3/10/2021"</f>
        <v>2/10-3/10/2021</v>
      </c>
      <c r="I2580" t="str">
        <f>"CITY OF FLORESVILLE"</f>
        <v>CITY OF FLORESVILLE</v>
      </c>
    </row>
    <row r="2581" spans="1:9" x14ac:dyDescent="0.25">
      <c r="A2581" s="6">
        <v>44294</v>
      </c>
      <c r="B2581" t="s">
        <v>26</v>
      </c>
      <c r="C2581">
        <v>66478</v>
      </c>
      <c r="D2581" t="s">
        <v>345</v>
      </c>
      <c r="E2581" s="7">
        <v>275</v>
      </c>
      <c r="F2581" t="s">
        <v>20</v>
      </c>
      <c r="G2581" s="10" t="s">
        <v>21</v>
      </c>
      <c r="H2581" t="str">
        <f>"4/5/2021"</f>
        <v>4/5/2021</v>
      </c>
      <c r="I2581" t="str">
        <f>"MICHAEL ISAAC MARTINEZ"</f>
        <v>MICHAEL ISAAC MARTINEZ</v>
      </c>
    </row>
    <row r="2582" spans="1:9" x14ac:dyDescent="0.25">
      <c r="A2582" s="6">
        <v>44294</v>
      </c>
      <c r="B2582" t="s">
        <v>26</v>
      </c>
      <c r="C2582">
        <v>66479</v>
      </c>
      <c r="D2582" t="s">
        <v>273</v>
      </c>
      <c r="E2582" s="7">
        <v>4779.6899999999996</v>
      </c>
      <c r="F2582" t="s">
        <v>20</v>
      </c>
      <c r="G2582" s="10" t="s">
        <v>21</v>
      </c>
      <c r="H2582" t="str">
        <f>"5119-000096865"</f>
        <v>5119-000096865</v>
      </c>
      <c r="I2582" t="str">
        <f>"REPUBLIC SERVICES TESSMAN ROAD"</f>
        <v>REPUBLIC SERVICES TESSMAN ROAD</v>
      </c>
    </row>
    <row r="2583" spans="1:9" x14ac:dyDescent="0.25">
      <c r="A2583" s="6">
        <v>44294</v>
      </c>
      <c r="B2583" t="s">
        <v>26</v>
      </c>
      <c r="C2583">
        <v>66480</v>
      </c>
      <c r="D2583" t="s">
        <v>205</v>
      </c>
      <c r="E2583" s="7">
        <v>1270.2</v>
      </c>
      <c r="F2583" t="s">
        <v>20</v>
      </c>
      <c r="G2583" s="10" t="s">
        <v>21</v>
      </c>
      <c r="H2583" t="str">
        <f>"4/8/2021"</f>
        <v>4/8/2021</v>
      </c>
      <c r="I2583" t="str">
        <f>"SILVER EAGLE DISTRIBUTORS"</f>
        <v>SILVER EAGLE DISTRIBUTORS</v>
      </c>
    </row>
    <row r="2584" spans="1:9" x14ac:dyDescent="0.25">
      <c r="A2584" s="6">
        <v>44294</v>
      </c>
      <c r="B2584" t="s">
        <v>26</v>
      </c>
      <c r="C2584">
        <v>66481</v>
      </c>
      <c r="D2584" t="s">
        <v>836</v>
      </c>
      <c r="E2584" s="7">
        <v>5465.84</v>
      </c>
      <c r="F2584" t="s">
        <v>20</v>
      </c>
      <c r="G2584" s="10" t="s">
        <v>21</v>
      </c>
      <c r="H2584" t="str">
        <f>"73651"</f>
        <v>73651</v>
      </c>
      <c r="I2584" t="str">
        <f>"BARCOM TECHNOLOGY SOLUTIONS  I"</f>
        <v>BARCOM TECHNOLOGY SOLUTIONS  I</v>
      </c>
    </row>
    <row r="2585" spans="1:9" x14ac:dyDescent="0.25">
      <c r="E2585" s="7"/>
      <c r="F2585" t="s">
        <v>20</v>
      </c>
      <c r="G2585" s="10" t="s">
        <v>21</v>
      </c>
      <c r="H2585" t="str">
        <f>"73652"</f>
        <v>73652</v>
      </c>
      <c r="I2585" t="str">
        <f>"BARCOM TECHNOLOGY SOLUTIONS  I"</f>
        <v>BARCOM TECHNOLOGY SOLUTIONS  I</v>
      </c>
    </row>
    <row r="2586" spans="1:9" x14ac:dyDescent="0.25">
      <c r="A2586" s="6">
        <v>44294</v>
      </c>
      <c r="B2586" t="s">
        <v>26</v>
      </c>
      <c r="C2586">
        <v>66483</v>
      </c>
      <c r="D2586" t="s">
        <v>945</v>
      </c>
      <c r="E2586" s="7">
        <v>193.26</v>
      </c>
      <c r="F2586" t="s">
        <v>20</v>
      </c>
      <c r="G2586" s="10" t="s">
        <v>21</v>
      </c>
      <c r="H2586" t="str">
        <f>"4710098946"</f>
        <v>4710098946</v>
      </c>
      <c r="I2586" t="str">
        <f>"TIRES FOR FORD RANGER"</f>
        <v>TIRES FOR FORD RANGER</v>
      </c>
    </row>
    <row r="2587" spans="1:9" x14ac:dyDescent="0.25">
      <c r="A2587" s="6">
        <v>44294</v>
      </c>
      <c r="B2587" t="s">
        <v>26</v>
      </c>
      <c r="C2587">
        <v>66484</v>
      </c>
      <c r="D2587" t="s">
        <v>38</v>
      </c>
      <c r="E2587" s="7">
        <v>100</v>
      </c>
      <c r="F2587" t="s">
        <v>20</v>
      </c>
      <c r="G2587" s="10" t="s">
        <v>21</v>
      </c>
      <c r="H2587" t="str">
        <f t="shared" ref="H2587:H2592" si="56">"APRIL 2021"</f>
        <v>APRIL 2021</v>
      </c>
      <c r="I2587" t="str">
        <f>"CECELIA GONZALEZ-DIPPEL"</f>
        <v>CECELIA GONZALEZ-DIPPEL</v>
      </c>
    </row>
    <row r="2588" spans="1:9" x14ac:dyDescent="0.25">
      <c r="A2588" s="6">
        <v>44294</v>
      </c>
      <c r="B2588" t="s">
        <v>26</v>
      </c>
      <c r="C2588">
        <v>66485</v>
      </c>
      <c r="D2588" t="s">
        <v>1011</v>
      </c>
      <c r="E2588" s="7">
        <v>75</v>
      </c>
      <c r="F2588" t="s">
        <v>20</v>
      </c>
      <c r="G2588" s="10" t="s">
        <v>21</v>
      </c>
      <c r="H2588" t="str">
        <f t="shared" si="56"/>
        <v>APRIL 2021</v>
      </c>
      <c r="I2588" t="str">
        <f>"EDUARDO VILLARREAL"</f>
        <v>EDUARDO VILLARREAL</v>
      </c>
    </row>
    <row r="2589" spans="1:9" x14ac:dyDescent="0.25">
      <c r="A2589" s="6">
        <v>44294</v>
      </c>
      <c r="B2589" t="s">
        <v>26</v>
      </c>
      <c r="C2589">
        <v>66486</v>
      </c>
      <c r="D2589" t="s">
        <v>36</v>
      </c>
      <c r="E2589" s="7">
        <v>75</v>
      </c>
      <c r="F2589" t="s">
        <v>20</v>
      </c>
      <c r="G2589" s="10" t="s">
        <v>21</v>
      </c>
      <c r="H2589" t="str">
        <f t="shared" si="56"/>
        <v>APRIL 2021</v>
      </c>
      <c r="I2589" t="str">
        <f>"GLORIA M. CANTU"</f>
        <v>GLORIA M. CANTU</v>
      </c>
    </row>
    <row r="2590" spans="1:9" x14ac:dyDescent="0.25">
      <c r="A2590" s="6">
        <v>44294</v>
      </c>
      <c r="B2590" t="s">
        <v>26</v>
      </c>
      <c r="C2590">
        <v>66487</v>
      </c>
      <c r="D2590" t="s">
        <v>637</v>
      </c>
      <c r="E2590" s="7">
        <v>75</v>
      </c>
      <c r="F2590" t="s">
        <v>20</v>
      </c>
      <c r="G2590" s="10" t="s">
        <v>21</v>
      </c>
      <c r="H2590" t="str">
        <f t="shared" si="56"/>
        <v>APRIL 2021</v>
      </c>
      <c r="I2590" t="str">
        <f>"GLORIA MARTINEZ"</f>
        <v>GLORIA MARTINEZ</v>
      </c>
    </row>
    <row r="2591" spans="1:9" x14ac:dyDescent="0.25">
      <c r="A2591" s="6">
        <v>44294</v>
      </c>
      <c r="B2591" t="s">
        <v>26</v>
      </c>
      <c r="C2591">
        <v>66488</v>
      </c>
      <c r="D2591" t="s">
        <v>889</v>
      </c>
      <c r="E2591" s="7">
        <v>75</v>
      </c>
      <c r="F2591" t="s">
        <v>20</v>
      </c>
      <c r="G2591" s="10" t="s">
        <v>21</v>
      </c>
      <c r="H2591" t="str">
        <f t="shared" si="56"/>
        <v>APRIL 2021</v>
      </c>
      <c r="I2591" t="str">
        <f>"JADE JIMENEZ"</f>
        <v>JADE JIMENEZ</v>
      </c>
    </row>
    <row r="2592" spans="1:9" x14ac:dyDescent="0.25">
      <c r="A2592" s="6">
        <v>44294</v>
      </c>
      <c r="B2592" t="s">
        <v>26</v>
      </c>
      <c r="C2592">
        <v>66489</v>
      </c>
      <c r="D2592" t="s">
        <v>558</v>
      </c>
      <c r="E2592" s="7">
        <v>75</v>
      </c>
      <c r="F2592" t="s">
        <v>20</v>
      </c>
      <c r="G2592" s="10" t="s">
        <v>21</v>
      </c>
      <c r="H2592" t="str">
        <f t="shared" si="56"/>
        <v>APRIL 2021</v>
      </c>
      <c r="I2592" t="str">
        <f>"MARISSA XIMENEZ"</f>
        <v>MARISSA XIMENEZ</v>
      </c>
    </row>
    <row r="2593" spans="1:9" x14ac:dyDescent="0.25">
      <c r="A2593" s="6">
        <v>44300</v>
      </c>
      <c r="B2593" t="s">
        <v>26</v>
      </c>
      <c r="C2593">
        <v>66490</v>
      </c>
      <c r="D2593" t="s">
        <v>1029</v>
      </c>
      <c r="E2593" s="7">
        <v>434.96</v>
      </c>
      <c r="F2593" t="s">
        <v>20</v>
      </c>
      <c r="G2593" s="10" t="s">
        <v>21</v>
      </c>
      <c r="H2593" t="str">
        <f>"CM TRAINING"</f>
        <v>CM TRAINING</v>
      </c>
      <c r="I2593" t="str">
        <f>"ANDY JOSLIN"</f>
        <v>ANDY JOSLIN</v>
      </c>
    </row>
    <row r="2594" spans="1:9" x14ac:dyDescent="0.25">
      <c r="A2594" s="6">
        <v>44300</v>
      </c>
      <c r="B2594" t="s">
        <v>26</v>
      </c>
      <c r="C2594">
        <v>66491</v>
      </c>
      <c r="D2594" t="s">
        <v>115</v>
      </c>
      <c r="E2594" s="7">
        <v>165.16</v>
      </c>
      <c r="F2594" t="s">
        <v>20</v>
      </c>
      <c r="G2594" s="10" t="s">
        <v>21</v>
      </c>
      <c r="H2594" t="str">
        <f>"3547883980"</f>
        <v>3547883980</v>
      </c>
      <c r="I2594" t="str">
        <f>"SUPPLIES FOR SHOP"</f>
        <v>SUPPLIES FOR SHOP</v>
      </c>
    </row>
    <row r="2595" spans="1:9" x14ac:dyDescent="0.25">
      <c r="E2595" s="7"/>
      <c r="F2595" t="s">
        <v>20</v>
      </c>
      <c r="G2595" s="10" t="s">
        <v>21</v>
      </c>
      <c r="H2595" t="str">
        <f>"3547883981"</f>
        <v>3547883981</v>
      </c>
      <c r="I2595" t="str">
        <f>"AUTOZONE"</f>
        <v>AUTOZONE</v>
      </c>
    </row>
    <row r="2596" spans="1:9" x14ac:dyDescent="0.25">
      <c r="A2596" s="6">
        <v>44300</v>
      </c>
      <c r="B2596" t="s">
        <v>26</v>
      </c>
      <c r="C2596">
        <v>66492</v>
      </c>
      <c r="D2596" t="s">
        <v>170</v>
      </c>
      <c r="E2596" s="7">
        <v>2308</v>
      </c>
      <c r="F2596" t="s">
        <v>20</v>
      </c>
      <c r="G2596" s="10" t="s">
        <v>21</v>
      </c>
      <c r="H2596" t="str">
        <f>"0000033580"</f>
        <v>0000033580</v>
      </c>
      <c r="I2596" t="str">
        <f>"BARRETT &amp; SONS  INC."</f>
        <v>BARRETT &amp; SONS  INC.</v>
      </c>
    </row>
    <row r="2597" spans="1:9" x14ac:dyDescent="0.25">
      <c r="A2597" s="6">
        <v>44300</v>
      </c>
      <c r="B2597" t="s">
        <v>26</v>
      </c>
      <c r="C2597">
        <v>66493</v>
      </c>
      <c r="D2597" t="s">
        <v>110</v>
      </c>
      <c r="E2597" s="7">
        <v>5140.37</v>
      </c>
      <c r="F2597" t="s">
        <v>20</v>
      </c>
      <c r="G2597" s="10" t="s">
        <v>21</v>
      </c>
      <c r="H2597" t="str">
        <f>"15746379"</f>
        <v>15746379</v>
      </c>
      <c r="I2597" t="str">
        <f t="shared" ref="I2597:I2604" si="57">"BUREAU VERITAS NORTH AMERICA"</f>
        <v>BUREAU VERITAS NORTH AMERICA</v>
      </c>
    </row>
    <row r="2598" spans="1:9" x14ac:dyDescent="0.25">
      <c r="E2598" s="7"/>
      <c r="F2598" t="s">
        <v>20</v>
      </c>
      <c r="G2598" s="10" t="s">
        <v>21</v>
      </c>
      <c r="H2598" t="str">
        <f>"1574682"</f>
        <v>1574682</v>
      </c>
      <c r="I2598" t="str">
        <f t="shared" si="57"/>
        <v>BUREAU VERITAS NORTH AMERICA</v>
      </c>
    </row>
    <row r="2599" spans="1:9" x14ac:dyDescent="0.25">
      <c r="E2599" s="7"/>
      <c r="F2599" t="s">
        <v>20</v>
      </c>
      <c r="G2599" s="10" t="s">
        <v>21</v>
      </c>
      <c r="H2599" t="str">
        <f>"1574683"</f>
        <v>1574683</v>
      </c>
      <c r="I2599" t="str">
        <f t="shared" si="57"/>
        <v>BUREAU VERITAS NORTH AMERICA</v>
      </c>
    </row>
    <row r="2600" spans="1:9" x14ac:dyDescent="0.25">
      <c r="E2600" s="7"/>
      <c r="F2600" t="s">
        <v>20</v>
      </c>
      <c r="G2600" s="10" t="s">
        <v>21</v>
      </c>
      <c r="H2600" t="str">
        <f>"1574684"</f>
        <v>1574684</v>
      </c>
      <c r="I2600" t="str">
        <f t="shared" si="57"/>
        <v>BUREAU VERITAS NORTH AMERICA</v>
      </c>
    </row>
    <row r="2601" spans="1:9" x14ac:dyDescent="0.25">
      <c r="E2601" s="7"/>
      <c r="F2601" t="s">
        <v>20</v>
      </c>
      <c r="G2601" s="10" t="s">
        <v>21</v>
      </c>
      <c r="H2601" t="str">
        <f>"1574685"</f>
        <v>1574685</v>
      </c>
      <c r="I2601" t="str">
        <f t="shared" si="57"/>
        <v>BUREAU VERITAS NORTH AMERICA</v>
      </c>
    </row>
    <row r="2602" spans="1:9" x14ac:dyDescent="0.25">
      <c r="E2602" s="7"/>
      <c r="F2602" t="s">
        <v>20</v>
      </c>
      <c r="G2602" s="10" t="s">
        <v>21</v>
      </c>
      <c r="H2602" t="str">
        <f>"1574686"</f>
        <v>1574686</v>
      </c>
      <c r="I2602" t="str">
        <f t="shared" si="57"/>
        <v>BUREAU VERITAS NORTH AMERICA</v>
      </c>
    </row>
    <row r="2603" spans="1:9" x14ac:dyDescent="0.25">
      <c r="E2603" s="7"/>
      <c r="F2603" t="s">
        <v>20</v>
      </c>
      <c r="G2603" s="10" t="s">
        <v>21</v>
      </c>
      <c r="H2603" t="str">
        <f>"1574687"</f>
        <v>1574687</v>
      </c>
      <c r="I2603" t="str">
        <f t="shared" si="57"/>
        <v>BUREAU VERITAS NORTH AMERICA</v>
      </c>
    </row>
    <row r="2604" spans="1:9" x14ac:dyDescent="0.25">
      <c r="E2604" s="7"/>
      <c r="F2604" t="s">
        <v>20</v>
      </c>
      <c r="G2604" s="10" t="s">
        <v>21</v>
      </c>
      <c r="H2604" t="str">
        <f>"1574688"</f>
        <v>1574688</v>
      </c>
      <c r="I2604" t="str">
        <f t="shared" si="57"/>
        <v>BUREAU VERITAS NORTH AMERICA</v>
      </c>
    </row>
    <row r="2605" spans="1:9" x14ac:dyDescent="0.25">
      <c r="A2605" s="6">
        <v>44300</v>
      </c>
      <c r="B2605" t="s">
        <v>26</v>
      </c>
      <c r="C2605">
        <v>66495</v>
      </c>
      <c r="D2605" t="s">
        <v>102</v>
      </c>
      <c r="E2605" s="7">
        <v>110.94</v>
      </c>
      <c r="F2605" t="s">
        <v>20</v>
      </c>
      <c r="G2605" s="10" t="s">
        <v>21</v>
      </c>
      <c r="H2605" t="str">
        <f>"1120 S ST MAR.2021"</f>
        <v>1120 S ST MAR.2021</v>
      </c>
      <c r="I2605" t="str">
        <f>"CENTERPOINT ENERGY ENTEX"</f>
        <v>CENTERPOINT ENERGY ENTEX</v>
      </c>
    </row>
    <row r="2606" spans="1:9" x14ac:dyDescent="0.25">
      <c r="E2606" s="7"/>
      <c r="F2606" t="s">
        <v>20</v>
      </c>
      <c r="G2606" s="10" t="s">
        <v>21</v>
      </c>
      <c r="H2606" t="str">
        <f>"1200 1ST MAR.2021"</f>
        <v>1200 1ST MAR.2021</v>
      </c>
      <c r="I2606" t="str">
        <f>"CENTERPOINT ENERGY ENTEX"</f>
        <v>CENTERPOINT ENERGY ENTEX</v>
      </c>
    </row>
    <row r="2607" spans="1:9" x14ac:dyDescent="0.25">
      <c r="E2607" s="7"/>
      <c r="F2607" t="s">
        <v>20</v>
      </c>
      <c r="G2607" s="10" t="s">
        <v>21</v>
      </c>
      <c r="H2607" t="str">
        <f>"920 C.ST MAR.2021"</f>
        <v>920 C.ST MAR.2021</v>
      </c>
      <c r="I2607" t="str">
        <f>"CENTERPOINT ENERGY ENTEX"</f>
        <v>CENTERPOINT ENERGY ENTEX</v>
      </c>
    </row>
    <row r="2608" spans="1:9" x14ac:dyDescent="0.25">
      <c r="A2608" s="6">
        <v>44300</v>
      </c>
      <c r="B2608" t="s">
        <v>26</v>
      </c>
      <c r="C2608">
        <v>66496</v>
      </c>
      <c r="D2608" t="s">
        <v>63</v>
      </c>
      <c r="E2608" s="7">
        <v>475</v>
      </c>
      <c r="F2608" t="s">
        <v>20</v>
      </c>
      <c r="G2608" s="10" t="s">
        <v>21</v>
      </c>
      <c r="H2608" t="str">
        <f>"8405081561"</f>
        <v>8405081561</v>
      </c>
      <c r="I2608" t="str">
        <f>"CINTAS CORPORATION"</f>
        <v>CINTAS CORPORATION</v>
      </c>
    </row>
    <row r="2609" spans="1:9" x14ac:dyDescent="0.25">
      <c r="A2609" s="6">
        <v>44300</v>
      </c>
      <c r="B2609" t="s">
        <v>26</v>
      </c>
      <c r="C2609">
        <v>66497</v>
      </c>
      <c r="D2609" t="s">
        <v>71</v>
      </c>
      <c r="E2609" s="7">
        <v>2115.6799999999998</v>
      </c>
      <c r="F2609" t="s">
        <v>20</v>
      </c>
      <c r="G2609" s="10" t="s">
        <v>21</v>
      </c>
      <c r="H2609" t="str">
        <f>"4080496898"</f>
        <v>4080496898</v>
      </c>
      <c r="I2609" t="str">
        <f t="shared" ref="I2609:I2620" si="58">"CINTAS CORPORATION #087"</f>
        <v>CINTAS CORPORATION #087</v>
      </c>
    </row>
    <row r="2610" spans="1:9" x14ac:dyDescent="0.25">
      <c r="E2610" s="7"/>
      <c r="F2610" t="s">
        <v>20</v>
      </c>
      <c r="G2610" s="10" t="s">
        <v>21</v>
      </c>
      <c r="H2610" t="str">
        <f>"4080496911"</f>
        <v>4080496911</v>
      </c>
      <c r="I2610" t="str">
        <f t="shared" si="58"/>
        <v>CINTAS CORPORATION #087</v>
      </c>
    </row>
    <row r="2611" spans="1:9" x14ac:dyDescent="0.25">
      <c r="E2611" s="7"/>
      <c r="F2611" t="s">
        <v>20</v>
      </c>
      <c r="G2611" s="10" t="s">
        <v>21</v>
      </c>
      <c r="H2611" t="str">
        <f>"4080496929"</f>
        <v>4080496929</v>
      </c>
      <c r="I2611" t="str">
        <f t="shared" si="58"/>
        <v>CINTAS CORPORATION #087</v>
      </c>
    </row>
    <row r="2612" spans="1:9" x14ac:dyDescent="0.25">
      <c r="E2612" s="7"/>
      <c r="F2612" t="s">
        <v>20</v>
      </c>
      <c r="G2612" s="10" t="s">
        <v>21</v>
      </c>
      <c r="H2612" t="str">
        <f>"4080496955"</f>
        <v>4080496955</v>
      </c>
      <c r="I2612" t="str">
        <f t="shared" si="58"/>
        <v>CINTAS CORPORATION #087</v>
      </c>
    </row>
    <row r="2613" spans="1:9" x14ac:dyDescent="0.25">
      <c r="E2613" s="7"/>
      <c r="F2613" t="s">
        <v>20</v>
      </c>
      <c r="G2613" s="10" t="s">
        <v>21</v>
      </c>
      <c r="H2613" t="str">
        <f>"4080497004"</f>
        <v>4080497004</v>
      </c>
      <c r="I2613" t="str">
        <f t="shared" si="58"/>
        <v>CINTAS CORPORATION #087</v>
      </c>
    </row>
    <row r="2614" spans="1:9" x14ac:dyDescent="0.25">
      <c r="E2614" s="7"/>
      <c r="F2614" t="s">
        <v>20</v>
      </c>
      <c r="G2614" s="10" t="s">
        <v>21</v>
      </c>
      <c r="H2614" t="str">
        <f>"4080497043"</f>
        <v>4080497043</v>
      </c>
      <c r="I2614" t="str">
        <f t="shared" si="58"/>
        <v>CINTAS CORPORATION #087</v>
      </c>
    </row>
    <row r="2615" spans="1:9" x14ac:dyDescent="0.25">
      <c r="E2615" s="7"/>
      <c r="F2615" t="s">
        <v>20</v>
      </c>
      <c r="G2615" s="10" t="s">
        <v>21</v>
      </c>
      <c r="H2615" t="str">
        <f>"40811196871"</f>
        <v>40811196871</v>
      </c>
      <c r="I2615" t="str">
        <f t="shared" si="58"/>
        <v>CINTAS CORPORATION #087</v>
      </c>
    </row>
    <row r="2616" spans="1:9" x14ac:dyDescent="0.25">
      <c r="E2616" s="7"/>
      <c r="F2616" t="s">
        <v>20</v>
      </c>
      <c r="G2616" s="10" t="s">
        <v>21</v>
      </c>
      <c r="H2616" t="str">
        <f>"4081120003"</f>
        <v>4081120003</v>
      </c>
      <c r="I2616" t="str">
        <f t="shared" si="58"/>
        <v>CINTAS CORPORATION #087</v>
      </c>
    </row>
    <row r="2617" spans="1:9" x14ac:dyDescent="0.25">
      <c r="E2617" s="7"/>
      <c r="F2617" t="s">
        <v>20</v>
      </c>
      <c r="G2617" s="10" t="s">
        <v>21</v>
      </c>
      <c r="H2617" t="str">
        <f>"4081120006"</f>
        <v>4081120006</v>
      </c>
      <c r="I2617" t="str">
        <f t="shared" si="58"/>
        <v>CINTAS CORPORATION #087</v>
      </c>
    </row>
    <row r="2618" spans="1:9" x14ac:dyDescent="0.25">
      <c r="E2618" s="7"/>
      <c r="F2618" t="s">
        <v>20</v>
      </c>
      <c r="G2618" s="10" t="s">
        <v>21</v>
      </c>
      <c r="H2618" t="str">
        <f>"4081120008"</f>
        <v>4081120008</v>
      </c>
      <c r="I2618" t="str">
        <f t="shared" si="58"/>
        <v>CINTAS CORPORATION #087</v>
      </c>
    </row>
    <row r="2619" spans="1:9" x14ac:dyDescent="0.25">
      <c r="E2619" s="7"/>
      <c r="F2619" t="s">
        <v>20</v>
      </c>
      <c r="G2619" s="10" t="s">
        <v>21</v>
      </c>
      <c r="H2619" t="str">
        <f>"4081120022"</f>
        <v>4081120022</v>
      </c>
      <c r="I2619" t="str">
        <f t="shared" si="58"/>
        <v>CINTAS CORPORATION #087</v>
      </c>
    </row>
    <row r="2620" spans="1:9" x14ac:dyDescent="0.25">
      <c r="E2620" s="7"/>
      <c r="F2620" t="s">
        <v>20</v>
      </c>
      <c r="G2620" s="10" t="s">
        <v>21</v>
      </c>
      <c r="H2620" t="str">
        <f>"4081120174"</f>
        <v>4081120174</v>
      </c>
      <c r="I2620" t="str">
        <f t="shared" si="58"/>
        <v>CINTAS CORPORATION #087</v>
      </c>
    </row>
    <row r="2621" spans="1:9" x14ac:dyDescent="0.25">
      <c r="A2621" s="6">
        <v>44300</v>
      </c>
      <c r="B2621" t="s">
        <v>26</v>
      </c>
      <c r="C2621">
        <v>66500</v>
      </c>
      <c r="D2621" t="s">
        <v>81</v>
      </c>
      <c r="E2621" s="7">
        <v>84.03</v>
      </c>
      <c r="F2621" t="s">
        <v>20</v>
      </c>
      <c r="G2621" s="10" t="s">
        <v>21</v>
      </c>
      <c r="H2621" t="str">
        <f>"A.MARTINEZ 4/14/21"</f>
        <v>A.MARTINEZ 4/14/21</v>
      </c>
      <c r="I2621" t="str">
        <f>"CITY OF FLORESVILLE -PETTY CAS"</f>
        <v>CITY OF FLORESVILLE -PETTY CAS</v>
      </c>
    </row>
    <row r="2622" spans="1:9" x14ac:dyDescent="0.25">
      <c r="A2622" s="6">
        <v>44300</v>
      </c>
      <c r="B2622" t="s">
        <v>26</v>
      </c>
      <c r="C2622">
        <v>66501</v>
      </c>
      <c r="D2622" t="s">
        <v>872</v>
      </c>
      <c r="E2622" s="7">
        <v>202.5</v>
      </c>
      <c r="F2622" t="s">
        <v>20</v>
      </c>
      <c r="G2622" s="10" t="s">
        <v>21</v>
      </c>
      <c r="H2622" t="str">
        <f>"4/10/2021"</f>
        <v>4/10/2021</v>
      </c>
      <c r="I2622" t="str">
        <f>"DEVIN  DELAINE BENAVIDES"</f>
        <v>DEVIN  DELAINE BENAVIDES</v>
      </c>
    </row>
    <row r="2623" spans="1:9" x14ac:dyDescent="0.25">
      <c r="A2623" s="6">
        <v>44300</v>
      </c>
      <c r="B2623" t="s">
        <v>26</v>
      </c>
      <c r="C2623">
        <v>66502</v>
      </c>
      <c r="D2623" t="s">
        <v>180</v>
      </c>
      <c r="E2623" s="7">
        <v>87.5</v>
      </c>
      <c r="F2623" t="s">
        <v>20</v>
      </c>
      <c r="G2623" s="10" t="s">
        <v>21</v>
      </c>
      <c r="H2623" t="str">
        <f>"0013395  3/31/21"</f>
        <v>0013395  3/31/21</v>
      </c>
      <c r="I2623" t="str">
        <f>"DITTMAR LUMBER CO."</f>
        <v>DITTMAR LUMBER CO.</v>
      </c>
    </row>
    <row r="2624" spans="1:9" x14ac:dyDescent="0.25">
      <c r="A2624" s="6">
        <v>44300</v>
      </c>
      <c r="B2624" t="s">
        <v>26</v>
      </c>
      <c r="C2624">
        <v>66503</v>
      </c>
      <c r="D2624" t="s">
        <v>647</v>
      </c>
      <c r="E2624" s="7">
        <v>3288.81</v>
      </c>
      <c r="F2624" t="s">
        <v>20</v>
      </c>
      <c r="G2624" s="10" t="s">
        <v>21</v>
      </c>
      <c r="H2624" t="str">
        <f>"29099143"</f>
        <v>29099143</v>
      </c>
      <c r="I2624" t="str">
        <f>"DOCUMATION  INC."</f>
        <v>DOCUMATION  INC.</v>
      </c>
    </row>
    <row r="2625" spans="1:9" x14ac:dyDescent="0.25">
      <c r="A2625" s="6">
        <v>44300</v>
      </c>
      <c r="B2625" t="s">
        <v>26</v>
      </c>
      <c r="C2625">
        <v>66504</v>
      </c>
      <c r="D2625" t="s">
        <v>69</v>
      </c>
      <c r="E2625" s="7">
        <v>56.67</v>
      </c>
      <c r="F2625" t="s">
        <v>20</v>
      </c>
      <c r="G2625" s="10" t="s">
        <v>21</v>
      </c>
      <c r="H2625" t="str">
        <f>"3C06653"</f>
        <v>3C06653</v>
      </c>
      <c r="I2625" t="str">
        <f>"OIL FOR SHOP"</f>
        <v>OIL FOR SHOP</v>
      </c>
    </row>
    <row r="2626" spans="1:9" x14ac:dyDescent="0.25">
      <c r="A2626" s="6">
        <v>44300</v>
      </c>
      <c r="B2626" t="s">
        <v>26</v>
      </c>
      <c r="C2626">
        <v>66505</v>
      </c>
      <c r="D2626" t="s">
        <v>57</v>
      </c>
      <c r="E2626" s="7">
        <v>4969.6400000000003</v>
      </c>
      <c r="F2626" t="s">
        <v>20</v>
      </c>
      <c r="G2626" s="10" t="s">
        <v>21</v>
      </c>
      <c r="H2626" t="str">
        <f>"33062 2/24-3/29/21"</f>
        <v>33062 2/24-3/29/21</v>
      </c>
      <c r="I2626" t="str">
        <f>"F.E.L.P.S."</f>
        <v>F.E.L.P.S.</v>
      </c>
    </row>
    <row r="2627" spans="1:9" x14ac:dyDescent="0.25">
      <c r="A2627" s="6">
        <v>44300</v>
      </c>
      <c r="B2627" t="s">
        <v>26</v>
      </c>
      <c r="C2627">
        <v>66506</v>
      </c>
      <c r="D2627" t="s">
        <v>1039</v>
      </c>
      <c r="E2627" s="7">
        <v>500</v>
      </c>
      <c r="F2627" t="s">
        <v>20</v>
      </c>
      <c r="G2627" s="10" t="s">
        <v>21</v>
      </c>
      <c r="H2627" t="str">
        <f>"REFND 9/25/21"</f>
        <v>REFND 9/25/21</v>
      </c>
      <c r="I2627" t="str">
        <f>"REFUND"</f>
        <v>REFUND</v>
      </c>
    </row>
    <row r="2628" spans="1:9" x14ac:dyDescent="0.25">
      <c r="A2628" s="6">
        <v>44300</v>
      </c>
      <c r="B2628" t="s">
        <v>26</v>
      </c>
      <c r="C2628">
        <v>66507</v>
      </c>
      <c r="D2628" t="s">
        <v>59</v>
      </c>
      <c r="E2628" s="7">
        <v>5562.58</v>
      </c>
      <c r="F2628" t="s">
        <v>20</v>
      </c>
      <c r="G2628" s="10" t="s">
        <v>21</v>
      </c>
      <c r="H2628" t="str">
        <f>"1107952"</f>
        <v>1107952</v>
      </c>
      <c r="I2628" t="str">
        <f>"FERGUSON WATERWORKS - MUNICIPA"</f>
        <v>FERGUSON WATERWORKS - MUNICIPA</v>
      </c>
    </row>
    <row r="2629" spans="1:9" x14ac:dyDescent="0.25">
      <c r="E2629" s="7"/>
      <c r="F2629" t="s">
        <v>20</v>
      </c>
      <c r="G2629" s="10" t="s">
        <v>21</v>
      </c>
      <c r="H2629" t="str">
        <f>"1110456"</f>
        <v>1110456</v>
      </c>
      <c r="I2629" t="str">
        <f>"FERGUSON WATERWORKS - MUNICIPA"</f>
        <v>FERGUSON WATERWORKS - MUNICIPA</v>
      </c>
    </row>
    <row r="2630" spans="1:9" x14ac:dyDescent="0.25">
      <c r="A2630" s="6">
        <v>44300</v>
      </c>
      <c r="B2630" t="s">
        <v>26</v>
      </c>
      <c r="C2630">
        <v>66508</v>
      </c>
      <c r="D2630" t="s">
        <v>85</v>
      </c>
      <c r="E2630" s="7">
        <v>2741.59</v>
      </c>
      <c r="F2630" t="s">
        <v>20</v>
      </c>
      <c r="G2630" s="10" t="s">
        <v>21</v>
      </c>
      <c r="H2630" t="str">
        <f>"2162691 3/21"</f>
        <v>2162691 3/21</v>
      </c>
      <c r="I2630" t="str">
        <f>"FRONTIER"</f>
        <v>FRONTIER</v>
      </c>
    </row>
    <row r="2631" spans="1:9" x14ac:dyDescent="0.25">
      <c r="E2631" s="7"/>
      <c r="F2631" t="s">
        <v>20</v>
      </c>
      <c r="G2631" s="10" t="s">
        <v>21</v>
      </c>
      <c r="H2631" t="str">
        <f>"3933718 3/21"</f>
        <v>3933718 3/21</v>
      </c>
      <c r="I2631" t="str">
        <f>"FRONTIER"</f>
        <v>FRONTIER</v>
      </c>
    </row>
    <row r="2632" spans="1:9" x14ac:dyDescent="0.25">
      <c r="E2632" s="7"/>
      <c r="F2632" t="s">
        <v>20</v>
      </c>
      <c r="G2632" s="10" t="s">
        <v>21</v>
      </c>
      <c r="H2632" t="str">
        <f>"3937070  3/21"</f>
        <v>3937070  3/21</v>
      </c>
      <c r="I2632" t="str">
        <f>"FRONTIER"</f>
        <v>FRONTIER</v>
      </c>
    </row>
    <row r="2633" spans="1:9" x14ac:dyDescent="0.25">
      <c r="E2633" s="7"/>
      <c r="F2633" t="s">
        <v>20</v>
      </c>
      <c r="G2633" s="10" t="s">
        <v>21</v>
      </c>
      <c r="H2633" t="str">
        <f>"9837110024  3/21"</f>
        <v>9837110024  3/21</v>
      </c>
      <c r="I2633" t="str">
        <f>"FRONTIER"</f>
        <v>FRONTIER</v>
      </c>
    </row>
    <row r="2634" spans="1:9" x14ac:dyDescent="0.25">
      <c r="A2634" s="6">
        <v>44300</v>
      </c>
      <c r="B2634" t="s">
        <v>26</v>
      </c>
      <c r="C2634">
        <v>66509</v>
      </c>
      <c r="D2634" t="s">
        <v>56</v>
      </c>
      <c r="E2634" s="7">
        <v>22.5</v>
      </c>
      <c r="F2634" t="s">
        <v>20</v>
      </c>
      <c r="G2634" s="10" t="s">
        <v>21</v>
      </c>
      <c r="H2634" t="str">
        <f>"191919"</f>
        <v>191919</v>
      </c>
      <c r="I2634" t="str">
        <f>"DOG FOOD"</f>
        <v>DOG FOOD</v>
      </c>
    </row>
    <row r="2635" spans="1:9" x14ac:dyDescent="0.25">
      <c r="A2635" s="6">
        <v>44300</v>
      </c>
      <c r="B2635" t="s">
        <v>26</v>
      </c>
      <c r="C2635">
        <v>66510</v>
      </c>
      <c r="D2635" t="s">
        <v>398</v>
      </c>
      <c r="E2635" s="7">
        <v>56.5</v>
      </c>
      <c r="F2635" t="s">
        <v>20</v>
      </c>
      <c r="G2635" s="10" t="s">
        <v>21</v>
      </c>
      <c r="H2635" t="str">
        <f>"20210410"</f>
        <v>20210410</v>
      </c>
      <c r="I2635" t="str">
        <f>"INTERCEPTOR TECHNOLOGY GROUP L"</f>
        <v>INTERCEPTOR TECHNOLOGY GROUP L</v>
      </c>
    </row>
    <row r="2636" spans="1:9" x14ac:dyDescent="0.25">
      <c r="A2636" s="6">
        <v>44300</v>
      </c>
      <c r="B2636" t="s">
        <v>26</v>
      </c>
      <c r="C2636">
        <v>66511</v>
      </c>
      <c r="D2636" t="s">
        <v>125</v>
      </c>
      <c r="E2636" s="7">
        <v>3780</v>
      </c>
      <c r="F2636" t="s">
        <v>20</v>
      </c>
      <c r="G2636" s="10" t="s">
        <v>21</v>
      </c>
      <c r="H2636" t="str">
        <f>"20-0711 MAR 2021"</f>
        <v>20-0711 MAR 2021</v>
      </c>
      <c r="I2636" t="str">
        <f>"INTREPID SURVEYING CORPORATION"</f>
        <v>INTREPID SURVEYING CORPORATION</v>
      </c>
    </row>
    <row r="2637" spans="1:9" x14ac:dyDescent="0.25">
      <c r="E2637" s="7"/>
      <c r="F2637" t="s">
        <v>20</v>
      </c>
      <c r="G2637" s="10" t="s">
        <v>21</v>
      </c>
      <c r="H2637" t="str">
        <f>"21-0020 MAR 2021"</f>
        <v>21-0020 MAR 2021</v>
      </c>
      <c r="I2637" t="str">
        <f>"INTREPID SURVEYING CORPORATION"</f>
        <v>INTREPID SURVEYING CORPORATION</v>
      </c>
    </row>
    <row r="2638" spans="1:9" x14ac:dyDescent="0.25">
      <c r="A2638" s="6">
        <v>44300</v>
      </c>
      <c r="B2638" t="s">
        <v>26</v>
      </c>
      <c r="C2638">
        <v>66512</v>
      </c>
      <c r="D2638" t="s">
        <v>1040</v>
      </c>
      <c r="E2638" s="7">
        <v>70</v>
      </c>
      <c r="F2638" t="s">
        <v>20</v>
      </c>
      <c r="G2638" s="10" t="s">
        <v>21</v>
      </c>
      <c r="H2638" t="str">
        <f>"4/12/2021"</f>
        <v>4/12/2021</v>
      </c>
      <c r="I2638" t="str">
        <f>"JOSE LUIS AQUIANO"</f>
        <v>JOSE LUIS AQUIANO</v>
      </c>
    </row>
    <row r="2639" spans="1:9" x14ac:dyDescent="0.25">
      <c r="A2639" s="6">
        <v>44300</v>
      </c>
      <c r="B2639" t="s">
        <v>26</v>
      </c>
      <c r="C2639">
        <v>66513</v>
      </c>
      <c r="D2639" t="s">
        <v>1018</v>
      </c>
      <c r="E2639" s="7">
        <v>9590</v>
      </c>
      <c r="F2639" t="s">
        <v>20</v>
      </c>
      <c r="G2639" s="10" t="s">
        <v>21</v>
      </c>
      <c r="H2639" t="str">
        <f>"3/1-3/31/2021"</f>
        <v>3/1-3/31/2021</v>
      </c>
      <c r="I2639" t="str">
        <f>"LAW OFFICE OF JOSE GARZA"</f>
        <v>LAW OFFICE OF JOSE GARZA</v>
      </c>
    </row>
    <row r="2640" spans="1:9" x14ac:dyDescent="0.25">
      <c r="A2640" s="6">
        <v>44300</v>
      </c>
      <c r="B2640" t="s">
        <v>26</v>
      </c>
      <c r="C2640">
        <v>66514</v>
      </c>
      <c r="D2640" t="s">
        <v>345</v>
      </c>
      <c r="E2640" s="7">
        <v>220</v>
      </c>
      <c r="F2640" t="s">
        <v>20</v>
      </c>
      <c r="G2640" s="10" t="s">
        <v>21</v>
      </c>
      <c r="H2640" t="str">
        <f>"4/12/2021"</f>
        <v>4/12/2021</v>
      </c>
      <c r="I2640" t="str">
        <f>"MICHAEL ISAAC MARTINEZ"</f>
        <v>MICHAEL ISAAC MARTINEZ</v>
      </c>
    </row>
    <row r="2641" spans="1:9" x14ac:dyDescent="0.25">
      <c r="A2641" s="6">
        <v>44300</v>
      </c>
      <c r="B2641" t="s">
        <v>26</v>
      </c>
      <c r="C2641">
        <v>66515</v>
      </c>
      <c r="D2641" t="s">
        <v>1041</v>
      </c>
      <c r="E2641" s="7">
        <v>162</v>
      </c>
      <c r="F2641" t="s">
        <v>20</v>
      </c>
      <c r="G2641" s="10" t="s">
        <v>21</v>
      </c>
      <c r="H2641" t="str">
        <f>"606654"</f>
        <v>606654</v>
      </c>
      <c r="I2641" t="str">
        <f>"MONARCH TROPHY STUDIO"</f>
        <v>MONARCH TROPHY STUDIO</v>
      </c>
    </row>
    <row r="2642" spans="1:9" x14ac:dyDescent="0.25">
      <c r="A2642" s="6">
        <v>44300</v>
      </c>
      <c r="B2642" t="s">
        <v>26</v>
      </c>
      <c r="C2642">
        <v>66517</v>
      </c>
      <c r="D2642" t="s">
        <v>215</v>
      </c>
      <c r="E2642" s="7">
        <v>8386.25</v>
      </c>
      <c r="F2642" t="s">
        <v>20</v>
      </c>
      <c r="G2642" s="10" t="s">
        <v>21</v>
      </c>
      <c r="H2642" t="str">
        <f>"656790"</f>
        <v>656790</v>
      </c>
      <c r="I2642" t="str">
        <f>"WWTP SULZER PUMP"</f>
        <v>WWTP SULZER PUMP</v>
      </c>
    </row>
    <row r="2643" spans="1:9" x14ac:dyDescent="0.25">
      <c r="A2643" s="6">
        <v>44300</v>
      </c>
      <c r="B2643" t="s">
        <v>26</v>
      </c>
      <c r="C2643">
        <v>66518</v>
      </c>
      <c r="D2643" t="s">
        <v>123</v>
      </c>
      <c r="E2643" s="7">
        <v>335.29</v>
      </c>
      <c r="F2643" t="s">
        <v>20</v>
      </c>
      <c r="G2643" s="10" t="s">
        <v>21</v>
      </c>
      <c r="H2643" t="str">
        <f>"165637862001"</f>
        <v>165637862001</v>
      </c>
      <c r="I2643" t="str">
        <f>"PARKS CLEANING SUPPLIES"</f>
        <v>PARKS CLEANING SUPPLIES</v>
      </c>
    </row>
    <row r="2644" spans="1:9" x14ac:dyDescent="0.25">
      <c r="E2644" s="7"/>
      <c r="F2644" t="s">
        <v>20</v>
      </c>
      <c r="G2644" s="10" t="s">
        <v>21</v>
      </c>
      <c r="H2644" t="str">
        <f>"166218354001"</f>
        <v>166218354001</v>
      </c>
      <c r="I2644" t="str">
        <f>"OFFICE SUPPLIES"</f>
        <v>OFFICE SUPPLIES</v>
      </c>
    </row>
    <row r="2645" spans="1:9" x14ac:dyDescent="0.25">
      <c r="E2645" s="7"/>
      <c r="F2645" t="s">
        <v>20</v>
      </c>
      <c r="G2645" s="10" t="s">
        <v>21</v>
      </c>
      <c r="H2645" t="str">
        <f>"166219032001"</f>
        <v>166219032001</v>
      </c>
      <c r="I2645" t="str">
        <f>"OFFICE SUPPLIES"</f>
        <v>OFFICE SUPPLIES</v>
      </c>
    </row>
    <row r="2646" spans="1:9" x14ac:dyDescent="0.25">
      <c r="E2646" s="7"/>
      <c r="F2646" t="s">
        <v>20</v>
      </c>
      <c r="G2646" s="10" t="s">
        <v>21</v>
      </c>
      <c r="H2646" t="str">
        <f>"166219033001"</f>
        <v>166219033001</v>
      </c>
      <c r="I2646" t="str">
        <f>"OFFICE SUPPLIES"</f>
        <v>OFFICE SUPPLIES</v>
      </c>
    </row>
    <row r="2647" spans="1:9" x14ac:dyDescent="0.25">
      <c r="E2647" s="7"/>
      <c r="F2647" t="s">
        <v>20</v>
      </c>
      <c r="G2647" s="10" t="s">
        <v>21</v>
      </c>
      <c r="H2647" t="str">
        <f>"166219034001"</f>
        <v>166219034001</v>
      </c>
      <c r="I2647" t="str">
        <f>"OFFICE SUPPLIES"</f>
        <v>OFFICE SUPPLIES</v>
      </c>
    </row>
    <row r="2648" spans="1:9" x14ac:dyDescent="0.25">
      <c r="A2648" s="6">
        <v>44300</v>
      </c>
      <c r="B2648" t="s">
        <v>26</v>
      </c>
      <c r="C2648">
        <v>66520</v>
      </c>
      <c r="D2648" t="s">
        <v>62</v>
      </c>
      <c r="E2648" s="7">
        <v>225.25</v>
      </c>
      <c r="F2648" t="s">
        <v>20</v>
      </c>
      <c r="G2648" s="10" t="s">
        <v>21</v>
      </c>
      <c r="H2648" t="str">
        <f>"72908"</f>
        <v>72908</v>
      </c>
      <c r="I2648" t="str">
        <f>"PROFICIENT BENEFIT SOLUTIONS"</f>
        <v>PROFICIENT BENEFIT SOLUTIONS</v>
      </c>
    </row>
    <row r="2649" spans="1:9" x14ac:dyDescent="0.25">
      <c r="A2649" s="6">
        <v>44300</v>
      </c>
      <c r="B2649" t="s">
        <v>26</v>
      </c>
      <c r="C2649">
        <v>66521</v>
      </c>
      <c r="D2649" t="s">
        <v>126</v>
      </c>
      <c r="E2649" s="7">
        <v>560.58000000000004</v>
      </c>
      <c r="F2649" t="s">
        <v>20</v>
      </c>
      <c r="G2649" s="10" t="s">
        <v>21</v>
      </c>
      <c r="H2649" t="str">
        <f>"0859-002798504"</f>
        <v>0859-002798504</v>
      </c>
      <c r="I2649" t="str">
        <f>"REPUBLIC SERVICES #859"</f>
        <v>REPUBLIC SERVICES #859</v>
      </c>
    </row>
    <row r="2650" spans="1:9" x14ac:dyDescent="0.25">
      <c r="A2650" s="6">
        <v>44300</v>
      </c>
      <c r="B2650" t="s">
        <v>26</v>
      </c>
      <c r="C2650">
        <v>66522</v>
      </c>
      <c r="D2650" t="s">
        <v>630</v>
      </c>
      <c r="E2650" s="7">
        <v>154.66999999999999</v>
      </c>
      <c r="F2650" t="s">
        <v>20</v>
      </c>
      <c r="G2650" s="10" t="s">
        <v>21</v>
      </c>
      <c r="H2650" t="str">
        <f>"34719"</f>
        <v>34719</v>
      </c>
      <c r="I2650" t="str">
        <f>"RG3 METER COMPANY"</f>
        <v>RG3 METER COMPANY</v>
      </c>
    </row>
    <row r="2651" spans="1:9" x14ac:dyDescent="0.25">
      <c r="A2651" s="6">
        <v>44300</v>
      </c>
      <c r="B2651" t="s">
        <v>26</v>
      </c>
      <c r="C2651">
        <v>66523</v>
      </c>
      <c r="D2651" t="s">
        <v>213</v>
      </c>
      <c r="E2651" s="7">
        <v>919.7</v>
      </c>
      <c r="F2651" t="s">
        <v>20</v>
      </c>
      <c r="G2651" s="10" t="s">
        <v>21</v>
      </c>
      <c r="H2651" t="str">
        <f>"MARCH 2021"</f>
        <v>MARCH 2021</v>
      </c>
      <c r="I2651" t="str">
        <f>"RIVER BEND COMMUNITY DEVELOPME"</f>
        <v>RIVER BEND COMMUNITY DEVELOPME</v>
      </c>
    </row>
    <row r="2652" spans="1:9" x14ac:dyDescent="0.25">
      <c r="A2652" s="6">
        <v>44300</v>
      </c>
      <c r="B2652" t="s">
        <v>26</v>
      </c>
      <c r="C2652">
        <v>66524</v>
      </c>
      <c r="D2652" t="s">
        <v>114</v>
      </c>
      <c r="E2652" s="7">
        <v>6511.26</v>
      </c>
      <c r="F2652" t="s">
        <v>20</v>
      </c>
      <c r="G2652" s="10" t="s">
        <v>21</v>
      </c>
      <c r="H2652" t="str">
        <f>"QRT END 3/31/2021"</f>
        <v>QRT END 3/31/2021</v>
      </c>
      <c r="I2652" t="str">
        <f>"STATE COMPTROLLER"</f>
        <v>STATE COMPTROLLER</v>
      </c>
    </row>
    <row r="2653" spans="1:9" x14ac:dyDescent="0.25">
      <c r="A2653" s="6">
        <v>44300</v>
      </c>
      <c r="B2653" t="s">
        <v>26</v>
      </c>
      <c r="C2653">
        <v>66525</v>
      </c>
      <c r="D2653" t="s">
        <v>1042</v>
      </c>
      <c r="E2653" s="7">
        <v>480</v>
      </c>
      <c r="F2653" t="s">
        <v>20</v>
      </c>
      <c r="G2653" s="10" t="s">
        <v>21</v>
      </c>
      <c r="H2653" t="str">
        <f>"102004"</f>
        <v>102004</v>
      </c>
      <c r="I2653" t="str">
        <f>"FOOD BANK CATERING"</f>
        <v>FOOD BANK CATERING</v>
      </c>
    </row>
    <row r="2654" spans="1:9" x14ac:dyDescent="0.25">
      <c r="A2654" s="6">
        <v>44300</v>
      </c>
      <c r="B2654" t="s">
        <v>26</v>
      </c>
      <c r="C2654">
        <v>66526</v>
      </c>
      <c r="D2654" t="s">
        <v>698</v>
      </c>
      <c r="E2654" s="7">
        <v>132.5</v>
      </c>
      <c r="F2654" t="s">
        <v>20</v>
      </c>
      <c r="G2654" s="10" t="s">
        <v>21</v>
      </c>
      <c r="H2654" t="str">
        <f>"4/10/2021"</f>
        <v>4/10/2021</v>
      </c>
      <c r="I2654" t="str">
        <f>"TRACY ORTIZ"</f>
        <v>TRACY ORTIZ</v>
      </c>
    </row>
    <row r="2655" spans="1:9" x14ac:dyDescent="0.25">
      <c r="A2655" s="6">
        <v>44300</v>
      </c>
      <c r="B2655" t="s">
        <v>26</v>
      </c>
      <c r="C2655">
        <v>66527</v>
      </c>
      <c r="D2655" t="s">
        <v>1030</v>
      </c>
      <c r="E2655" s="7">
        <v>151553.01999999999</v>
      </c>
      <c r="F2655" t="s">
        <v>20</v>
      </c>
      <c r="G2655" s="10" t="s">
        <v>21</v>
      </c>
      <c r="H2655" t="str">
        <f>"PAY APP#3"</f>
        <v>PAY APP#3</v>
      </c>
      <c r="I2655" t="str">
        <f>"TRIUN  LLC"</f>
        <v>TRIUN  LLC</v>
      </c>
    </row>
    <row r="2656" spans="1:9" x14ac:dyDescent="0.25">
      <c r="A2656" s="6">
        <v>44300</v>
      </c>
      <c r="B2656" t="s">
        <v>26</v>
      </c>
      <c r="C2656">
        <v>66528</v>
      </c>
      <c r="D2656" t="s">
        <v>74</v>
      </c>
      <c r="E2656" s="7">
        <v>2993.34</v>
      </c>
      <c r="F2656" t="s">
        <v>20</v>
      </c>
      <c r="G2656" s="10" t="s">
        <v>21</v>
      </c>
      <c r="H2656" t="str">
        <f>"9876203286*"</f>
        <v>9876203286*</v>
      </c>
      <c r="I2656" t="str">
        <f>"VERIZON WIRELESS"</f>
        <v>VERIZON WIRELESS</v>
      </c>
    </row>
    <row r="2657" spans="1:9" x14ac:dyDescent="0.25">
      <c r="E2657" s="7"/>
      <c r="F2657" t="s">
        <v>20</v>
      </c>
      <c r="G2657" s="10" t="s">
        <v>21</v>
      </c>
      <c r="H2657" t="str">
        <f>"9876203287"</f>
        <v>9876203287</v>
      </c>
      <c r="I2657" t="str">
        <f>"VERIZON WIRELESS"</f>
        <v>VERIZON WIRELESS</v>
      </c>
    </row>
    <row r="2658" spans="1:9" x14ac:dyDescent="0.25">
      <c r="A2658" s="6">
        <v>44300</v>
      </c>
      <c r="B2658" t="s">
        <v>26</v>
      </c>
      <c r="C2658">
        <v>66530</v>
      </c>
      <c r="D2658" t="s">
        <v>1008</v>
      </c>
      <c r="E2658" s="7">
        <v>650</v>
      </c>
      <c r="F2658" t="s">
        <v>20</v>
      </c>
      <c r="G2658" s="10" t="s">
        <v>21</v>
      </c>
      <c r="H2658" t="str">
        <f>"2242"</f>
        <v>2242</v>
      </c>
      <c r="I2658" t="str">
        <f>"LINEX FOR NEW WW TRUCK"</f>
        <v>LINEX FOR NEW WW TRUCK</v>
      </c>
    </row>
    <row r="2659" spans="1:9" x14ac:dyDescent="0.25">
      <c r="A2659" s="6">
        <v>44300</v>
      </c>
      <c r="B2659" t="s">
        <v>26</v>
      </c>
      <c r="C2659">
        <v>66531</v>
      </c>
      <c r="D2659" t="s">
        <v>104</v>
      </c>
      <c r="E2659" s="7">
        <v>21.7</v>
      </c>
      <c r="F2659" t="s">
        <v>20</v>
      </c>
      <c r="G2659" s="10" t="s">
        <v>21</v>
      </c>
      <c r="H2659" t="str">
        <f>"1444130331"</f>
        <v>1444130331</v>
      </c>
      <c r="I2659" t="str">
        <f>"WILSON COUNTY NEWS"</f>
        <v>WILSON COUNTY NEWS</v>
      </c>
    </row>
    <row r="2660" spans="1:9" x14ac:dyDescent="0.25">
      <c r="A2660" s="6">
        <v>44300</v>
      </c>
      <c r="B2660" t="s">
        <v>26</v>
      </c>
      <c r="C2660">
        <v>66532</v>
      </c>
      <c r="D2660" t="s">
        <v>1030</v>
      </c>
      <c r="E2660" s="7">
        <v>900</v>
      </c>
      <c r="F2660" t="s">
        <v>20</v>
      </c>
      <c r="G2660" s="10" t="s">
        <v>21</v>
      </c>
      <c r="H2660" t="str">
        <f>"CC19037-6"</f>
        <v>CC19037-6</v>
      </c>
      <c r="I2660" t="str">
        <f>"TRIUN  LLC"</f>
        <v>TRIUN  LLC</v>
      </c>
    </row>
    <row r="2661" spans="1:9" x14ac:dyDescent="0.25">
      <c r="A2661" s="6">
        <v>44300</v>
      </c>
      <c r="B2661" t="s">
        <v>26</v>
      </c>
      <c r="C2661">
        <v>66533</v>
      </c>
      <c r="D2661" t="s">
        <v>92</v>
      </c>
      <c r="E2661" s="7">
        <v>31858.85</v>
      </c>
      <c r="F2661" t="s">
        <v>20</v>
      </c>
      <c r="G2661" s="10" t="s">
        <v>21</v>
      </c>
      <c r="H2661" t="str">
        <f>"RET202103098603"</f>
        <v>RET202103098603</v>
      </c>
      <c r="I2661" t="str">
        <f>"TMRS CITY OF FLORESVILLE"</f>
        <v>TMRS CITY OF FLORESVILLE</v>
      </c>
    </row>
    <row r="2662" spans="1:9" x14ac:dyDescent="0.25">
      <c r="E2662" s="7"/>
      <c r="F2662" t="s">
        <v>20</v>
      </c>
      <c r="G2662" s="10" t="s">
        <v>21</v>
      </c>
      <c r="H2662" t="str">
        <f>"RET202103238604"</f>
        <v>RET202103238604</v>
      </c>
      <c r="I2662" t="str">
        <f>"TMRS CITY OF FLORESVILLE"</f>
        <v>TMRS CITY OF FLORESVILLE</v>
      </c>
    </row>
    <row r="2663" spans="1:9" x14ac:dyDescent="0.25">
      <c r="A2663" s="6">
        <v>44306</v>
      </c>
      <c r="B2663" t="s">
        <v>26</v>
      </c>
      <c r="C2663">
        <v>66541</v>
      </c>
      <c r="D2663" t="s">
        <v>51</v>
      </c>
      <c r="E2663" s="7">
        <v>346.31</v>
      </c>
      <c r="F2663" t="s">
        <v>20</v>
      </c>
      <c r="G2663" s="10" t="s">
        <v>21</v>
      </c>
      <c r="H2663" t="str">
        <f>"CLE202104208606"</f>
        <v>CLE202104208606</v>
      </c>
      <c r="I2663" t="str">
        <f>"CLEAT ONLY DUES"</f>
        <v>CLEAT ONLY DUES</v>
      </c>
    </row>
    <row r="2664" spans="1:9" x14ac:dyDescent="0.25">
      <c r="E2664" s="7"/>
      <c r="F2664" t="s">
        <v>20</v>
      </c>
      <c r="G2664" s="10" t="s">
        <v>21</v>
      </c>
      <c r="H2664" t="str">
        <f>"PDD202104208606"</f>
        <v>PDD202104208606</v>
      </c>
      <c r="I2664" t="str">
        <f>"POLICE OFFICERS ASSOC DUES"</f>
        <v>POLICE OFFICERS ASSOC DUES</v>
      </c>
    </row>
    <row r="2665" spans="1:9" x14ac:dyDescent="0.25">
      <c r="A2665" s="6">
        <v>44306</v>
      </c>
      <c r="B2665" t="s">
        <v>26</v>
      </c>
      <c r="C2665">
        <v>66542</v>
      </c>
      <c r="D2665" t="s">
        <v>52</v>
      </c>
      <c r="E2665" s="7">
        <v>926.54</v>
      </c>
      <c r="F2665" t="s">
        <v>20</v>
      </c>
      <c r="G2665" s="10" t="s">
        <v>21</v>
      </c>
      <c r="H2665" t="str">
        <f>"CA1202104208606"</f>
        <v>CA1202104208606</v>
      </c>
      <c r="I2665" t="str">
        <f>"K RAMIREZ 001200229510060343CV"</f>
        <v>K RAMIREZ 001200229510060343CV</v>
      </c>
    </row>
    <row r="2666" spans="1:9" x14ac:dyDescent="0.25">
      <c r="E2666" s="7"/>
      <c r="F2666" t="s">
        <v>20</v>
      </c>
      <c r="G2666" s="10" t="s">
        <v>21</v>
      </c>
      <c r="H2666" t="str">
        <f>"CA2202104208606"</f>
        <v>CA2202104208606</v>
      </c>
      <c r="I2666" t="str">
        <f>"L HERNANDEZ 001016025203080354"</f>
        <v>L HERNANDEZ 001016025203080354</v>
      </c>
    </row>
    <row r="2667" spans="1:9" x14ac:dyDescent="0.25">
      <c r="E2667" s="7"/>
      <c r="F2667" t="s">
        <v>20</v>
      </c>
      <c r="G2667" s="10" t="s">
        <v>21</v>
      </c>
      <c r="H2667" t="str">
        <f>"CA3202104208606"</f>
        <v>CA3202104208606</v>
      </c>
      <c r="I2667" t="str">
        <f>"00120788612011EM5023JOLENEGARC"</f>
        <v>00120788612011EM5023JOLENEGARC</v>
      </c>
    </row>
    <row r="2668" spans="1:9" x14ac:dyDescent="0.25">
      <c r="E2668" s="7"/>
      <c r="F2668" t="s">
        <v>20</v>
      </c>
      <c r="G2668" s="10" t="s">
        <v>21</v>
      </c>
      <c r="H2668" t="str">
        <f>"CSA202104208606"</f>
        <v>CSA202104208606</v>
      </c>
      <c r="I2668" t="str">
        <f>"S RODRIGUEZ 001281730413050336"</f>
        <v>S RODRIGUEZ 001281730413050336</v>
      </c>
    </row>
    <row r="2669" spans="1:9" x14ac:dyDescent="0.25">
      <c r="E2669" s="7"/>
      <c r="F2669" t="s">
        <v>20</v>
      </c>
      <c r="G2669" s="10" t="s">
        <v>21</v>
      </c>
      <c r="H2669" t="str">
        <f>"CSI202104208606"</f>
        <v>CSI202104208606</v>
      </c>
      <c r="I2669" t="str">
        <f>"KTRINIDAD0014071774CVW2000777"</f>
        <v>KTRINIDAD0014071774CVW2000777</v>
      </c>
    </row>
    <row r="2670" spans="1:9" x14ac:dyDescent="0.25">
      <c r="A2670" s="6">
        <v>44306</v>
      </c>
      <c r="B2670" t="s">
        <v>26</v>
      </c>
      <c r="C2670">
        <v>66543</v>
      </c>
      <c r="D2670" t="s">
        <v>54</v>
      </c>
      <c r="E2670" s="7">
        <v>1164.93</v>
      </c>
      <c r="F2670" t="s">
        <v>20</v>
      </c>
      <c r="G2670" s="10" t="s">
        <v>21</v>
      </c>
      <c r="H2670" t="str">
        <f>"BRE202104208606"</f>
        <v>BRE202104208606</v>
      </c>
      <c r="I2670" t="str">
        <f>"CASE #180-60751 457B DEDUCT"</f>
        <v>CASE #180-60751 457B DEDUCT</v>
      </c>
    </row>
    <row r="2671" spans="1:9" x14ac:dyDescent="0.25">
      <c r="A2671" s="6">
        <v>44307</v>
      </c>
      <c r="B2671" t="s">
        <v>26</v>
      </c>
      <c r="C2671">
        <v>66544</v>
      </c>
      <c r="D2671" t="s">
        <v>1043</v>
      </c>
      <c r="E2671" s="7">
        <v>2150</v>
      </c>
      <c r="F2671" t="s">
        <v>20</v>
      </c>
      <c r="G2671" s="10" t="s">
        <v>21</v>
      </c>
      <c r="H2671" t="str">
        <f>"79"</f>
        <v>79</v>
      </c>
      <c r="I2671" t="str">
        <f>"AM1 ELECTRICAL SERVICES"</f>
        <v>AM1 ELECTRICAL SERVICES</v>
      </c>
    </row>
    <row r="2672" spans="1:9" x14ac:dyDescent="0.25">
      <c r="A2672" s="6">
        <v>44307</v>
      </c>
      <c r="B2672" t="s">
        <v>26</v>
      </c>
      <c r="C2672">
        <v>66545</v>
      </c>
      <c r="D2672" t="s">
        <v>423</v>
      </c>
      <c r="E2672" s="7">
        <v>462</v>
      </c>
      <c r="F2672" t="s">
        <v>20</v>
      </c>
      <c r="G2672" s="10" t="s">
        <v>21</v>
      </c>
      <c r="H2672" t="str">
        <f>"RENEAL 6/1-5/31/22"</f>
        <v>RENEAL 6/1-5/31/22</v>
      </c>
      <c r="I2672" t="str">
        <f>"AMERICAN WATER WORKS ASSOCIATI"</f>
        <v>AMERICAN WATER WORKS ASSOCIATI</v>
      </c>
    </row>
    <row r="2673" spans="1:9" x14ac:dyDescent="0.25">
      <c r="E2673" s="7"/>
      <c r="F2673" t="s">
        <v>20</v>
      </c>
      <c r="G2673" s="10" t="s">
        <v>21</v>
      </c>
      <c r="H2673" t="str">
        <f>"RENEWAL 6/1-5/31"</f>
        <v>RENEWAL 6/1-5/31</v>
      </c>
      <c r="I2673" t="str">
        <f>"AMERICAN WATER WORKS ASSOCIATI"</f>
        <v>AMERICAN WATER WORKS ASSOCIATI</v>
      </c>
    </row>
    <row r="2674" spans="1:9" x14ac:dyDescent="0.25">
      <c r="A2674" s="6">
        <v>44307</v>
      </c>
      <c r="B2674" t="s">
        <v>26</v>
      </c>
      <c r="C2674">
        <v>66546</v>
      </c>
      <c r="D2674" t="s">
        <v>872</v>
      </c>
      <c r="E2674" s="7">
        <v>140</v>
      </c>
      <c r="F2674" t="s">
        <v>20</v>
      </c>
      <c r="G2674" s="10" t="s">
        <v>21</v>
      </c>
      <c r="H2674" t="str">
        <f>"4/17/2021"</f>
        <v>4/17/2021</v>
      </c>
      <c r="I2674" t="str">
        <f>"DEVIN  DELAINE BENAVIDES"</f>
        <v>DEVIN  DELAINE BENAVIDES</v>
      </c>
    </row>
    <row r="2675" spans="1:9" x14ac:dyDescent="0.25">
      <c r="A2675" s="6">
        <v>44307</v>
      </c>
      <c r="B2675" t="s">
        <v>26</v>
      </c>
      <c r="C2675">
        <v>66547</v>
      </c>
      <c r="D2675" t="s">
        <v>103</v>
      </c>
      <c r="E2675" s="7">
        <v>67860.75</v>
      </c>
      <c r="F2675" t="s">
        <v>20</v>
      </c>
      <c r="G2675" s="10" t="s">
        <v>21</v>
      </c>
      <c r="H2675" t="str">
        <f>"SALES TAX APRIL"</f>
        <v>SALES TAX APRIL</v>
      </c>
      <c r="I2675" t="str">
        <f>"F. E. D. C."</f>
        <v>F. E. D. C.</v>
      </c>
    </row>
    <row r="2676" spans="1:9" x14ac:dyDescent="0.25">
      <c r="A2676" s="6">
        <v>44307</v>
      </c>
      <c r="B2676" t="s">
        <v>26</v>
      </c>
      <c r="C2676">
        <v>66548</v>
      </c>
      <c r="D2676" t="s">
        <v>85</v>
      </c>
      <c r="E2676" s="7">
        <v>404.66</v>
      </c>
      <c r="F2676" t="s">
        <v>20</v>
      </c>
      <c r="G2676" s="10" t="s">
        <v>21</v>
      </c>
      <c r="H2676" t="str">
        <f>"2162733 APR.2021"</f>
        <v>2162733 APR.2021</v>
      </c>
      <c r="I2676" t="str">
        <f t="shared" ref="I2676:I2681" si="59">"FRONTIER"</f>
        <v>FRONTIER</v>
      </c>
    </row>
    <row r="2677" spans="1:9" x14ac:dyDescent="0.25">
      <c r="E2677" s="7"/>
      <c r="F2677" t="s">
        <v>20</v>
      </c>
      <c r="G2677" s="10" t="s">
        <v>21</v>
      </c>
      <c r="H2677" t="str">
        <f>"2162755 APR.2021"</f>
        <v>2162755 APR.2021</v>
      </c>
      <c r="I2677" t="str">
        <f t="shared" si="59"/>
        <v>FRONTIER</v>
      </c>
    </row>
    <row r="2678" spans="1:9" x14ac:dyDescent="0.25">
      <c r="E2678" s="7"/>
      <c r="F2678" t="s">
        <v>20</v>
      </c>
      <c r="G2678" s="10" t="s">
        <v>21</v>
      </c>
      <c r="H2678" t="str">
        <f>"3930579 APR.2021"</f>
        <v>3930579 APR.2021</v>
      </c>
      <c r="I2678" t="str">
        <f t="shared" si="59"/>
        <v>FRONTIER</v>
      </c>
    </row>
    <row r="2679" spans="1:9" x14ac:dyDescent="0.25">
      <c r="E2679" s="7"/>
      <c r="F2679" t="s">
        <v>20</v>
      </c>
      <c r="G2679" s="10" t="s">
        <v>21</v>
      </c>
      <c r="H2679" t="str">
        <f>"3933108 APR.2021"</f>
        <v>3933108 APR.2021</v>
      </c>
      <c r="I2679" t="str">
        <f t="shared" si="59"/>
        <v>FRONTIER</v>
      </c>
    </row>
    <row r="2680" spans="1:9" x14ac:dyDescent="0.25">
      <c r="E2680" s="7"/>
      <c r="F2680" t="s">
        <v>20</v>
      </c>
      <c r="G2680" s="10" t="s">
        <v>21</v>
      </c>
      <c r="H2680" t="str">
        <f>"3938193 APR.2021"</f>
        <v>3938193 APR.2021</v>
      </c>
      <c r="I2680" t="str">
        <f t="shared" si="59"/>
        <v>FRONTIER</v>
      </c>
    </row>
    <row r="2681" spans="1:9" x14ac:dyDescent="0.25">
      <c r="E2681" s="7"/>
      <c r="F2681" t="s">
        <v>20</v>
      </c>
      <c r="G2681" s="10" t="s">
        <v>21</v>
      </c>
      <c r="H2681" t="str">
        <f>"3939791 APR.2021"</f>
        <v>3939791 APR.2021</v>
      </c>
      <c r="I2681" t="str">
        <f t="shared" si="59"/>
        <v>FRONTIER</v>
      </c>
    </row>
    <row r="2682" spans="1:9" x14ac:dyDescent="0.25">
      <c r="A2682" s="6">
        <v>44307</v>
      </c>
      <c r="B2682" t="s">
        <v>26</v>
      </c>
      <c r="C2682">
        <v>66549</v>
      </c>
      <c r="D2682" t="s">
        <v>986</v>
      </c>
      <c r="E2682" s="7">
        <v>1116</v>
      </c>
      <c r="F2682" t="s">
        <v>20</v>
      </c>
      <c r="G2682" s="10" t="s">
        <v>21</v>
      </c>
      <c r="H2682" t="str">
        <f>"4/5-4/16/2021"</f>
        <v>4/5-4/16/2021</v>
      </c>
      <c r="I2682" t="str">
        <f>"KERRY L. ESQUIVEL"</f>
        <v>KERRY L. ESQUIVEL</v>
      </c>
    </row>
    <row r="2683" spans="1:9" x14ac:dyDescent="0.25">
      <c r="A2683" s="6">
        <v>44307</v>
      </c>
      <c r="B2683" t="s">
        <v>26</v>
      </c>
      <c r="C2683">
        <v>66550</v>
      </c>
      <c r="D2683" t="s">
        <v>345</v>
      </c>
      <c r="E2683" s="7">
        <v>264</v>
      </c>
      <c r="F2683" t="s">
        <v>20</v>
      </c>
      <c r="G2683" s="10" t="s">
        <v>21</v>
      </c>
      <c r="H2683" t="str">
        <f>"4/19/2021"</f>
        <v>4/19/2021</v>
      </c>
      <c r="I2683" t="str">
        <f>"MICHAEL ISAAC MARTINEZ"</f>
        <v>MICHAEL ISAAC MARTINEZ</v>
      </c>
    </row>
    <row r="2684" spans="1:9" x14ac:dyDescent="0.25">
      <c r="A2684" s="6">
        <v>44307</v>
      </c>
      <c r="B2684" t="s">
        <v>26</v>
      </c>
      <c r="C2684">
        <v>66551</v>
      </c>
      <c r="D2684" t="s">
        <v>689</v>
      </c>
      <c r="E2684" s="7">
        <v>2932.5</v>
      </c>
      <c r="F2684" t="s">
        <v>20</v>
      </c>
      <c r="G2684" s="10" t="s">
        <v>21</v>
      </c>
      <c r="H2684" t="str">
        <f>"3675* REISSUE"</f>
        <v>3675* REISSUE</v>
      </c>
      <c r="I2684" t="str">
        <f>"MOY'S WATER WELL DRILLING &amp; SE"</f>
        <v>MOY'S WATER WELL DRILLING &amp; SE</v>
      </c>
    </row>
    <row r="2685" spans="1:9" x14ac:dyDescent="0.25">
      <c r="A2685" s="6">
        <v>44307</v>
      </c>
      <c r="B2685" t="s">
        <v>26</v>
      </c>
      <c r="C2685">
        <v>66552</v>
      </c>
      <c r="D2685" t="s">
        <v>844</v>
      </c>
      <c r="E2685" s="7">
        <v>50</v>
      </c>
      <c r="F2685" t="s">
        <v>20</v>
      </c>
      <c r="G2685" s="10" t="s">
        <v>21</v>
      </c>
      <c r="H2685" t="str">
        <f>"REFUND BW 7/3/2021"</f>
        <v>REFUND BW 7/3/2021</v>
      </c>
      <c r="I2685" t="str">
        <f>"REFUND"</f>
        <v>REFUND</v>
      </c>
    </row>
    <row r="2686" spans="1:9" x14ac:dyDescent="0.25">
      <c r="A2686" s="6">
        <v>44307</v>
      </c>
      <c r="B2686" t="s">
        <v>26</v>
      </c>
      <c r="C2686">
        <v>66553</v>
      </c>
      <c r="D2686" t="s">
        <v>943</v>
      </c>
      <c r="E2686" s="7">
        <v>9153.2800000000007</v>
      </c>
      <c r="F2686" t="s">
        <v>20</v>
      </c>
      <c r="G2686" s="10" t="s">
        <v>21</v>
      </c>
      <c r="H2686" t="str">
        <f>"4380"</f>
        <v>4380</v>
      </c>
      <c r="I2686" t="str">
        <f>"FREEZE DAMAGE REPAIR"</f>
        <v>FREEZE DAMAGE REPAIR</v>
      </c>
    </row>
    <row r="2687" spans="1:9" x14ac:dyDescent="0.25">
      <c r="E2687" s="7"/>
      <c r="F2687" t="s">
        <v>20</v>
      </c>
      <c r="G2687" s="10" t="s">
        <v>21</v>
      </c>
      <c r="H2687" t="str">
        <f>"4381"</f>
        <v>4381</v>
      </c>
      <c r="I2687" t="str">
        <f>"FREEZE DAMAGE REPAIR"</f>
        <v>FREEZE DAMAGE REPAIR</v>
      </c>
    </row>
    <row r="2688" spans="1:9" x14ac:dyDescent="0.25">
      <c r="E2688" s="7"/>
      <c r="F2688" t="s">
        <v>20</v>
      </c>
      <c r="G2688" s="10" t="s">
        <v>21</v>
      </c>
      <c r="H2688" t="str">
        <f>"4382"</f>
        <v>4382</v>
      </c>
      <c r="I2688" t="str">
        <f>"NICKEL INDUSTRIAL CONTRACTORS"</f>
        <v>NICKEL INDUSTRIAL CONTRACTORS</v>
      </c>
    </row>
    <row r="2689" spans="1:9" x14ac:dyDescent="0.25">
      <c r="A2689" s="6">
        <v>44307</v>
      </c>
      <c r="B2689" t="s">
        <v>26</v>
      </c>
      <c r="C2689">
        <v>66554</v>
      </c>
      <c r="D2689" t="s">
        <v>737</v>
      </c>
      <c r="E2689" s="7">
        <v>46</v>
      </c>
      <c r="F2689" t="s">
        <v>20</v>
      </c>
      <c r="G2689" s="10" t="s">
        <v>21</v>
      </c>
      <c r="H2689" t="str">
        <f>"CLASS 4/13/2021"</f>
        <v>CLASS 4/13/2021</v>
      </c>
      <c r="I2689" t="str">
        <f>"MEALS FOR R. GARCIA"</f>
        <v>MEALS FOR R. GARCIA</v>
      </c>
    </row>
    <row r="2690" spans="1:9" x14ac:dyDescent="0.25">
      <c r="A2690" s="6">
        <v>44307</v>
      </c>
      <c r="B2690" t="s">
        <v>26</v>
      </c>
      <c r="C2690">
        <v>66555</v>
      </c>
      <c r="D2690" t="s">
        <v>1044</v>
      </c>
      <c r="E2690" s="7">
        <v>400</v>
      </c>
      <c r="F2690" t="s">
        <v>20</v>
      </c>
      <c r="G2690" s="10" t="s">
        <v>21</v>
      </c>
      <c r="H2690" t="str">
        <f>"REFUN 4/24/21COVID"</f>
        <v>REFUN 4/24/21COVID</v>
      </c>
      <c r="I2690" t="str">
        <f>"REFUND"</f>
        <v>REFUND</v>
      </c>
    </row>
    <row r="2691" spans="1:9" x14ac:dyDescent="0.25">
      <c r="A2691" s="6">
        <v>44307</v>
      </c>
      <c r="B2691" t="s">
        <v>26</v>
      </c>
      <c r="C2691">
        <v>66556</v>
      </c>
      <c r="D2691" t="s">
        <v>346</v>
      </c>
      <c r="E2691" s="7">
        <v>13750</v>
      </c>
      <c r="F2691" t="s">
        <v>20</v>
      </c>
      <c r="G2691" s="10" t="s">
        <v>21</v>
      </c>
      <c r="H2691" t="str">
        <f>"3/11-4/11/2021"</f>
        <v>3/11-4/11/2021</v>
      </c>
      <c r="I2691" t="str">
        <f>"SYLVIA RODRIGUEZ"</f>
        <v>SYLVIA RODRIGUEZ</v>
      </c>
    </row>
    <row r="2692" spans="1:9" x14ac:dyDescent="0.25">
      <c r="A2692" s="6">
        <v>44307</v>
      </c>
      <c r="B2692" t="s">
        <v>26</v>
      </c>
      <c r="C2692">
        <v>66557</v>
      </c>
      <c r="D2692" t="s">
        <v>925</v>
      </c>
      <c r="E2692" s="7">
        <v>188.8</v>
      </c>
      <c r="F2692" t="s">
        <v>20</v>
      </c>
      <c r="G2692" s="10" t="s">
        <v>21</v>
      </c>
      <c r="H2692" t="str">
        <f>"48424*"</f>
        <v>48424*</v>
      </c>
      <c r="I2692" t="str">
        <f>"TOOLS PLUS INDUSTRIES LLC"</f>
        <v>TOOLS PLUS INDUSTRIES LLC</v>
      </c>
    </row>
    <row r="2693" spans="1:9" x14ac:dyDescent="0.25">
      <c r="A2693" s="6">
        <v>44307</v>
      </c>
      <c r="B2693" t="s">
        <v>26</v>
      </c>
      <c r="C2693">
        <v>66558</v>
      </c>
      <c r="D2693" t="s">
        <v>698</v>
      </c>
      <c r="E2693" s="7">
        <v>150</v>
      </c>
      <c r="F2693" t="s">
        <v>20</v>
      </c>
      <c r="G2693" s="10" t="s">
        <v>21</v>
      </c>
      <c r="H2693" t="str">
        <f>"4/17/2021"</f>
        <v>4/17/2021</v>
      </c>
      <c r="I2693" t="str">
        <f>"TRACY ORTIZ"</f>
        <v>TRACY ORTIZ</v>
      </c>
    </row>
    <row r="2694" spans="1:9" x14ac:dyDescent="0.25">
      <c r="A2694" s="6">
        <v>44314</v>
      </c>
      <c r="B2694" t="s">
        <v>26</v>
      </c>
      <c r="C2694">
        <v>66559</v>
      </c>
      <c r="D2694" t="s">
        <v>212</v>
      </c>
      <c r="E2694" s="7">
        <v>600</v>
      </c>
      <c r="F2694" t="s">
        <v>20</v>
      </c>
      <c r="G2694" s="10" t="s">
        <v>21</v>
      </c>
      <c r="H2694" t="str">
        <f>"MEMBSH DUE MAYOR"</f>
        <v>MEMBSH DUE MAYOR</v>
      </c>
      <c r="I2694" t="str">
        <f>"AACOG"</f>
        <v>AACOG</v>
      </c>
    </row>
    <row r="2695" spans="1:9" x14ac:dyDescent="0.25">
      <c r="A2695" s="6">
        <v>44314</v>
      </c>
      <c r="B2695" t="s">
        <v>26</v>
      </c>
      <c r="C2695">
        <v>66560</v>
      </c>
      <c r="D2695" t="s">
        <v>1045</v>
      </c>
      <c r="E2695" s="7">
        <v>500</v>
      </c>
      <c r="F2695" t="s">
        <v>20</v>
      </c>
      <c r="G2695" s="10" t="s">
        <v>21</v>
      </c>
      <c r="H2695" t="str">
        <f>"TRAINING 5/3/2021"</f>
        <v>TRAINING 5/3/2021</v>
      </c>
      <c r="I2695" t="str">
        <f>"CRISIS INTERV TRAINING"</f>
        <v>CRISIS INTERV TRAINING</v>
      </c>
    </row>
    <row r="2696" spans="1:9" x14ac:dyDescent="0.25">
      <c r="A2696" s="6">
        <v>44314</v>
      </c>
      <c r="B2696" t="s">
        <v>26</v>
      </c>
      <c r="C2696">
        <v>66561</v>
      </c>
      <c r="D2696" t="s">
        <v>821</v>
      </c>
      <c r="E2696" s="7">
        <v>414.89</v>
      </c>
      <c r="F2696" t="s">
        <v>20</v>
      </c>
      <c r="G2696" s="10" t="s">
        <v>21</v>
      </c>
      <c r="H2696" t="str">
        <f>"NSII2145"</f>
        <v>NSII2145</v>
      </c>
      <c r="I2696" t="str">
        <f>"AUSTIN ARMATURE WORKS  LP"</f>
        <v>AUSTIN ARMATURE WORKS  LP</v>
      </c>
    </row>
    <row r="2697" spans="1:9" x14ac:dyDescent="0.25">
      <c r="A2697" s="6">
        <v>44314</v>
      </c>
      <c r="B2697" t="s">
        <v>26</v>
      </c>
      <c r="C2697">
        <v>66562</v>
      </c>
      <c r="D2697" t="s">
        <v>836</v>
      </c>
      <c r="E2697" s="7">
        <v>505</v>
      </c>
      <c r="F2697" t="s">
        <v>20</v>
      </c>
      <c r="G2697" s="10" t="s">
        <v>21</v>
      </c>
      <c r="H2697" t="str">
        <f>"74224"</f>
        <v>74224</v>
      </c>
      <c r="I2697" t="str">
        <f>"BARCOM TECHNOLOGY SOLUTIONS  I"</f>
        <v>BARCOM TECHNOLOGY SOLUTIONS  I</v>
      </c>
    </row>
    <row r="2698" spans="1:9" x14ac:dyDescent="0.25">
      <c r="A2698" s="6">
        <v>44314</v>
      </c>
      <c r="B2698" t="s">
        <v>26</v>
      </c>
      <c r="C2698">
        <v>66563</v>
      </c>
      <c r="D2698" t="s">
        <v>736</v>
      </c>
      <c r="E2698" s="7">
        <v>245</v>
      </c>
      <c r="F2698" t="s">
        <v>20</v>
      </c>
      <c r="G2698" s="10" t="s">
        <v>21</v>
      </c>
      <c r="H2698" t="str">
        <f>"SECURITY 4/10/21"</f>
        <v>SECURITY 4/10/21</v>
      </c>
      <c r="I2698" t="str">
        <f>"BRIAN ZUNIGA"</f>
        <v>BRIAN ZUNIGA</v>
      </c>
    </row>
    <row r="2699" spans="1:9" x14ac:dyDescent="0.25">
      <c r="A2699" s="6">
        <v>44314</v>
      </c>
      <c r="B2699" t="s">
        <v>26</v>
      </c>
      <c r="C2699">
        <v>66564</v>
      </c>
      <c r="D2699" t="s">
        <v>118</v>
      </c>
      <c r="E2699" s="7">
        <v>2653</v>
      </c>
      <c r="F2699" t="s">
        <v>20</v>
      </c>
      <c r="G2699" s="10" t="s">
        <v>21</v>
      </c>
      <c r="H2699" t="str">
        <f>"12264"</f>
        <v>12264</v>
      </c>
      <c r="I2699" t="str">
        <f>"CITY YARD A/C REPAIR"</f>
        <v>CITY YARD A/C REPAIR</v>
      </c>
    </row>
    <row r="2700" spans="1:9" x14ac:dyDescent="0.25">
      <c r="E2700" s="7"/>
      <c r="F2700" t="s">
        <v>20</v>
      </c>
      <c r="G2700" s="10" t="s">
        <v>21</v>
      </c>
      <c r="H2700" t="str">
        <f>"12265"</f>
        <v>12265</v>
      </c>
      <c r="I2700" t="str">
        <f>"BRYAN AIR CONDITIONING &amp; HEATI"</f>
        <v>BRYAN AIR CONDITIONING &amp; HEATI</v>
      </c>
    </row>
    <row r="2701" spans="1:9" x14ac:dyDescent="0.25">
      <c r="A2701" s="6">
        <v>44314</v>
      </c>
      <c r="B2701" t="s">
        <v>26</v>
      </c>
      <c r="C2701">
        <v>66565</v>
      </c>
      <c r="D2701" t="s">
        <v>63</v>
      </c>
      <c r="E2701" s="7">
        <v>571.54999999999995</v>
      </c>
      <c r="F2701" t="s">
        <v>20</v>
      </c>
      <c r="G2701" s="10" t="s">
        <v>21</v>
      </c>
      <c r="H2701" t="str">
        <f>"8405090376"</f>
        <v>8405090376</v>
      </c>
      <c r="I2701" t="str">
        <f>"CINTAS CORPORATION"</f>
        <v>CINTAS CORPORATION</v>
      </c>
    </row>
    <row r="2702" spans="1:9" x14ac:dyDescent="0.25">
      <c r="E2702" s="7"/>
      <c r="F2702" t="s">
        <v>20</v>
      </c>
      <c r="G2702" s="10" t="s">
        <v>21</v>
      </c>
      <c r="H2702" t="str">
        <f>"8405096896"</f>
        <v>8405096896</v>
      </c>
      <c r="I2702" t="str">
        <f>"CINTAS CORPORATION"</f>
        <v>CINTAS CORPORATION</v>
      </c>
    </row>
    <row r="2703" spans="1:9" x14ac:dyDescent="0.25">
      <c r="A2703" s="6">
        <v>44314</v>
      </c>
      <c r="B2703" t="s">
        <v>26</v>
      </c>
      <c r="C2703">
        <v>66566</v>
      </c>
      <c r="D2703" t="s">
        <v>71</v>
      </c>
      <c r="E2703" s="7">
        <v>993.67</v>
      </c>
      <c r="F2703" t="s">
        <v>20</v>
      </c>
      <c r="G2703" s="10" t="s">
        <v>21</v>
      </c>
      <c r="H2703" t="str">
        <f>"4081819860"</f>
        <v>4081819860</v>
      </c>
      <c r="I2703" t="str">
        <f t="shared" ref="I2703:I2710" si="60">"CINTAS CORPORATION #087"</f>
        <v>CINTAS CORPORATION #087</v>
      </c>
    </row>
    <row r="2704" spans="1:9" x14ac:dyDescent="0.25">
      <c r="E2704" s="7"/>
      <c r="F2704" t="s">
        <v>20</v>
      </c>
      <c r="G2704" s="10" t="s">
        <v>21</v>
      </c>
      <c r="H2704" t="str">
        <f>"4081819885"</f>
        <v>4081819885</v>
      </c>
      <c r="I2704" t="str">
        <f t="shared" si="60"/>
        <v>CINTAS CORPORATION #087</v>
      </c>
    </row>
    <row r="2705" spans="1:9" x14ac:dyDescent="0.25">
      <c r="E2705" s="7"/>
      <c r="F2705" t="s">
        <v>20</v>
      </c>
      <c r="G2705" s="10" t="s">
        <v>21</v>
      </c>
      <c r="H2705" t="str">
        <f>"4081819904"</f>
        <v>4081819904</v>
      </c>
      <c r="I2705" t="str">
        <f t="shared" si="60"/>
        <v>CINTAS CORPORATION #087</v>
      </c>
    </row>
    <row r="2706" spans="1:9" x14ac:dyDescent="0.25">
      <c r="E2706" s="7"/>
      <c r="F2706" t="s">
        <v>20</v>
      </c>
      <c r="G2706" s="10" t="s">
        <v>21</v>
      </c>
      <c r="H2706" t="str">
        <f>"4081819920"</f>
        <v>4081819920</v>
      </c>
      <c r="I2706" t="str">
        <f t="shared" si="60"/>
        <v>CINTAS CORPORATION #087</v>
      </c>
    </row>
    <row r="2707" spans="1:9" x14ac:dyDescent="0.25">
      <c r="E2707" s="7"/>
      <c r="F2707" t="s">
        <v>20</v>
      </c>
      <c r="G2707" s="10" t="s">
        <v>21</v>
      </c>
      <c r="H2707" t="str">
        <f>"4081819966"</f>
        <v>4081819966</v>
      </c>
      <c r="I2707" t="str">
        <f t="shared" si="60"/>
        <v>CINTAS CORPORATION #087</v>
      </c>
    </row>
    <row r="2708" spans="1:9" x14ac:dyDescent="0.25">
      <c r="E2708" s="7"/>
      <c r="F2708" t="s">
        <v>20</v>
      </c>
      <c r="G2708" s="10" t="s">
        <v>21</v>
      </c>
      <c r="H2708" t="str">
        <f>"4081819992"</f>
        <v>4081819992</v>
      </c>
      <c r="I2708" t="str">
        <f t="shared" si="60"/>
        <v>CINTAS CORPORATION #087</v>
      </c>
    </row>
    <row r="2709" spans="1:9" x14ac:dyDescent="0.25">
      <c r="E2709" s="7"/>
      <c r="F2709" t="s">
        <v>20</v>
      </c>
      <c r="G2709" s="10" t="s">
        <v>21</v>
      </c>
      <c r="H2709" t="str">
        <f>"4081828292"</f>
        <v>4081828292</v>
      </c>
      <c r="I2709" t="str">
        <f t="shared" si="60"/>
        <v>CINTAS CORPORATION #087</v>
      </c>
    </row>
    <row r="2710" spans="1:9" x14ac:dyDescent="0.25">
      <c r="E2710" s="7"/>
      <c r="F2710" t="s">
        <v>20</v>
      </c>
      <c r="G2710" s="10" t="s">
        <v>21</v>
      </c>
      <c r="H2710" t="str">
        <f>"4081828293"</f>
        <v>4081828293</v>
      </c>
      <c r="I2710" t="str">
        <f t="shared" si="60"/>
        <v>CINTAS CORPORATION #087</v>
      </c>
    </row>
    <row r="2711" spans="1:9" x14ac:dyDescent="0.25">
      <c r="A2711" s="6">
        <v>44314</v>
      </c>
      <c r="B2711" t="s">
        <v>26</v>
      </c>
      <c r="C2711">
        <v>66568</v>
      </c>
      <c r="D2711" t="s">
        <v>633</v>
      </c>
      <c r="E2711" s="7">
        <v>390.99</v>
      </c>
      <c r="F2711" t="s">
        <v>20</v>
      </c>
      <c r="G2711" s="10" t="s">
        <v>21</v>
      </c>
      <c r="H2711" t="str">
        <f>"0096553818"</f>
        <v>0096553818</v>
      </c>
      <c r="I2711" t="str">
        <f>"CINTAS FIRE 636525"</f>
        <v>CINTAS FIRE 636525</v>
      </c>
    </row>
    <row r="2712" spans="1:9" x14ac:dyDescent="0.25">
      <c r="A2712" s="6">
        <v>44314</v>
      </c>
      <c r="B2712" t="s">
        <v>26</v>
      </c>
      <c r="C2712">
        <v>66569</v>
      </c>
      <c r="D2712" t="s">
        <v>0</v>
      </c>
      <c r="E2712" s="7">
        <v>2586.7800000000002</v>
      </c>
      <c r="F2712" t="s">
        <v>20</v>
      </c>
      <c r="G2712" s="10" t="s">
        <v>21</v>
      </c>
      <c r="H2712" t="str">
        <f>"3/10-4/10/2021"</f>
        <v>3/10-4/10/2021</v>
      </c>
      <c r="I2712" t="str">
        <f>"CITY OF FLORESVILLE"</f>
        <v>CITY OF FLORESVILLE</v>
      </c>
    </row>
    <row r="2713" spans="1:9" x14ac:dyDescent="0.25">
      <c r="A2713" s="6">
        <v>44314</v>
      </c>
      <c r="B2713" t="s">
        <v>26</v>
      </c>
      <c r="C2713">
        <v>66570</v>
      </c>
      <c r="D2713" t="s">
        <v>81</v>
      </c>
      <c r="E2713" s="7">
        <v>375.4</v>
      </c>
      <c r="F2713" t="s">
        <v>20</v>
      </c>
      <c r="G2713" s="10" t="s">
        <v>21</v>
      </c>
      <c r="H2713" t="str">
        <f>"A.MARTINEZ 4/27/21"</f>
        <v>A.MARTINEZ 4/27/21</v>
      </c>
      <c r="I2713" t="str">
        <f>"CITY OF FLORESVILLE -PETTY CAS"</f>
        <v>CITY OF FLORESVILLE -PETTY CAS</v>
      </c>
    </row>
    <row r="2714" spans="1:9" x14ac:dyDescent="0.25">
      <c r="E2714" s="7"/>
      <c r="F2714" t="s">
        <v>20</v>
      </c>
      <c r="G2714" s="10" t="s">
        <v>21</v>
      </c>
      <c r="H2714" t="str">
        <f>"A.MONTOYA 4/26/21"</f>
        <v>A.MONTOYA 4/26/21</v>
      </c>
      <c r="I2714" t="str">
        <f>"CITY OF FLORESVILLE -PETTY CAS"</f>
        <v>CITY OF FLORESVILLE -PETTY CAS</v>
      </c>
    </row>
    <row r="2715" spans="1:9" x14ac:dyDescent="0.25">
      <c r="A2715" s="6">
        <v>44314</v>
      </c>
      <c r="B2715" t="s">
        <v>26</v>
      </c>
      <c r="C2715">
        <v>66572</v>
      </c>
      <c r="D2715" t="s">
        <v>875</v>
      </c>
      <c r="E2715" s="7">
        <v>238.37</v>
      </c>
      <c r="F2715" t="s">
        <v>20</v>
      </c>
      <c r="G2715" s="10" t="s">
        <v>21</v>
      </c>
      <c r="H2715" t="str">
        <f>"36699"</f>
        <v>36699</v>
      </c>
      <c r="I2715" t="str">
        <f>"COF DIRECT DEPOSIT FORMS"</f>
        <v>COF DIRECT DEPOSIT FORMS</v>
      </c>
    </row>
    <row r="2716" spans="1:9" x14ac:dyDescent="0.25">
      <c r="A2716" s="6">
        <v>44314</v>
      </c>
      <c r="B2716" t="s">
        <v>26</v>
      </c>
      <c r="C2716">
        <v>66573</v>
      </c>
      <c r="D2716" t="s">
        <v>899</v>
      </c>
      <c r="E2716" s="7">
        <v>155.4</v>
      </c>
      <c r="F2716" t="s">
        <v>20</v>
      </c>
      <c r="G2716" s="10" t="s">
        <v>21</v>
      </c>
      <c r="H2716" t="str">
        <f>"REIMB. ICSI 4/2021"</f>
        <v>REIMB. ICSI 4/2021</v>
      </c>
      <c r="I2716" t="str">
        <f>"DANNY ROMERO"</f>
        <v>DANNY ROMERO</v>
      </c>
    </row>
    <row r="2717" spans="1:9" x14ac:dyDescent="0.25">
      <c r="A2717" s="6">
        <v>44314</v>
      </c>
      <c r="B2717" t="s">
        <v>26</v>
      </c>
      <c r="C2717">
        <v>66574</v>
      </c>
      <c r="D2717" t="s">
        <v>77</v>
      </c>
      <c r="E2717" s="7">
        <v>919.29</v>
      </c>
      <c r="F2717" t="s">
        <v>20</v>
      </c>
      <c r="G2717" s="10" t="s">
        <v>21</v>
      </c>
      <c r="H2717" t="str">
        <f>"857000771-21"</f>
        <v>857000771-21</v>
      </c>
      <c r="I2717" t="str">
        <f>"CHLORINE ON B STREET"</f>
        <v>CHLORINE ON B STREET</v>
      </c>
    </row>
    <row r="2718" spans="1:9" x14ac:dyDescent="0.25">
      <c r="E2718" s="7"/>
      <c r="F2718" t="s">
        <v>20</v>
      </c>
      <c r="G2718" s="10" t="s">
        <v>21</v>
      </c>
      <c r="H2718" t="str">
        <f>"DE85000720-21"</f>
        <v>DE85000720-21</v>
      </c>
      <c r="I2718" t="str">
        <f>"DPC INDUSTRIES  INC."</f>
        <v>DPC INDUSTRIES  INC.</v>
      </c>
    </row>
    <row r="2719" spans="1:9" x14ac:dyDescent="0.25">
      <c r="A2719" s="6">
        <v>44314</v>
      </c>
      <c r="B2719" t="s">
        <v>26</v>
      </c>
      <c r="C2719">
        <v>66575</v>
      </c>
      <c r="D2719" t="s">
        <v>79</v>
      </c>
      <c r="E2719" s="7">
        <v>30.77</v>
      </c>
      <c r="F2719" t="s">
        <v>20</v>
      </c>
      <c r="G2719" s="10" t="s">
        <v>21</v>
      </c>
      <c r="H2719" t="str">
        <f>"7-340-24018"</f>
        <v>7-340-24018</v>
      </c>
      <c r="I2719" t="str">
        <f>"FEDEX"</f>
        <v>FEDEX</v>
      </c>
    </row>
    <row r="2720" spans="1:9" x14ac:dyDescent="0.25">
      <c r="E2720" s="7"/>
      <c r="F2720" t="s">
        <v>20</v>
      </c>
      <c r="G2720" s="10" t="s">
        <v>21</v>
      </c>
      <c r="H2720" t="str">
        <f>"7-347-84089"</f>
        <v>7-347-84089</v>
      </c>
      <c r="I2720" t="str">
        <f>"FEDEX"</f>
        <v>FEDEX</v>
      </c>
    </row>
    <row r="2721" spans="1:9" x14ac:dyDescent="0.25">
      <c r="A2721" s="6">
        <v>44314</v>
      </c>
      <c r="B2721" t="s">
        <v>91</v>
      </c>
      <c r="C2721">
        <v>66576</v>
      </c>
      <c r="D2721" t="s">
        <v>1046</v>
      </c>
      <c r="E2721" s="7">
        <v>440</v>
      </c>
      <c r="F2721" t="s">
        <v>20</v>
      </c>
      <c r="G2721" s="10" t="s">
        <v>21</v>
      </c>
      <c r="H2721" t="str">
        <f>"1767"</f>
        <v>1767</v>
      </c>
      <c r="I2721" t="str">
        <f>"WW LIFT STATION"</f>
        <v>WW LIFT STATION</v>
      </c>
    </row>
    <row r="2722" spans="1:9" x14ac:dyDescent="0.25">
      <c r="A2722" s="6">
        <v>44314</v>
      </c>
      <c r="B2722" t="s">
        <v>91</v>
      </c>
      <c r="C2722">
        <v>66576</v>
      </c>
      <c r="D2722" t="s">
        <v>1046</v>
      </c>
      <c r="E2722" s="7">
        <v>440</v>
      </c>
      <c r="F2722" t="s">
        <v>20</v>
      </c>
      <c r="G2722" s="10" t="s">
        <v>93</v>
      </c>
      <c r="H2722" t="str">
        <f>"CHECK"</f>
        <v>CHECK</v>
      </c>
      <c r="I2722" t="str">
        <f>""</f>
        <v/>
      </c>
    </row>
    <row r="2723" spans="1:9" x14ac:dyDescent="0.25">
      <c r="A2723" s="6">
        <v>44314</v>
      </c>
      <c r="B2723" t="s">
        <v>26</v>
      </c>
      <c r="C2723">
        <v>66577</v>
      </c>
      <c r="D2723" t="s">
        <v>59</v>
      </c>
      <c r="E2723" s="7">
        <v>846.68</v>
      </c>
      <c r="F2723" t="s">
        <v>20</v>
      </c>
      <c r="G2723" s="10" t="s">
        <v>21</v>
      </c>
      <c r="H2723" t="str">
        <f>"1110454"</f>
        <v>1110454</v>
      </c>
      <c r="I2723" t="str">
        <f>"NEW ROAD RISER"</f>
        <v>NEW ROAD RISER</v>
      </c>
    </row>
    <row r="2724" spans="1:9" x14ac:dyDescent="0.25">
      <c r="E2724" s="7"/>
      <c r="F2724" t="s">
        <v>20</v>
      </c>
      <c r="G2724" s="10" t="s">
        <v>21</v>
      </c>
      <c r="H2724" t="str">
        <f>"1110455"</f>
        <v>1110455</v>
      </c>
      <c r="I2724" t="str">
        <f>"NEW ROAD RISER"</f>
        <v>NEW ROAD RISER</v>
      </c>
    </row>
    <row r="2725" spans="1:9" x14ac:dyDescent="0.25">
      <c r="A2725" s="6">
        <v>44314</v>
      </c>
      <c r="B2725" t="s">
        <v>26</v>
      </c>
      <c r="C2725">
        <v>66578</v>
      </c>
      <c r="D2725" t="s">
        <v>85</v>
      </c>
      <c r="E2725" s="7">
        <v>984.39</v>
      </c>
      <c r="F2725" t="s">
        <v>20</v>
      </c>
      <c r="G2725" s="10" t="s">
        <v>21</v>
      </c>
      <c r="H2725" t="str">
        <f>"3932056 APR.2021"</f>
        <v>3932056 APR.2021</v>
      </c>
      <c r="I2725" t="str">
        <f t="shared" ref="I2725:I2731" si="61">"FRONTIER"</f>
        <v>FRONTIER</v>
      </c>
    </row>
    <row r="2726" spans="1:9" x14ac:dyDescent="0.25">
      <c r="E2726" s="7"/>
      <c r="F2726" t="s">
        <v>20</v>
      </c>
      <c r="G2726" s="10" t="s">
        <v>21</v>
      </c>
      <c r="H2726" t="str">
        <f>"3932804 APR.2021"</f>
        <v>3932804 APR.2021</v>
      </c>
      <c r="I2726" t="str">
        <f t="shared" si="61"/>
        <v>FRONTIER</v>
      </c>
    </row>
    <row r="2727" spans="1:9" x14ac:dyDescent="0.25">
      <c r="E2727" s="7"/>
      <c r="F2727" t="s">
        <v>20</v>
      </c>
      <c r="G2727" s="10" t="s">
        <v>21</v>
      </c>
      <c r="H2727" t="str">
        <f>"3933105 APR.2021"</f>
        <v>3933105 APR.2021</v>
      </c>
      <c r="I2727" t="str">
        <f t="shared" si="61"/>
        <v>FRONTIER</v>
      </c>
    </row>
    <row r="2728" spans="1:9" x14ac:dyDescent="0.25">
      <c r="E2728" s="7"/>
      <c r="F2728" t="s">
        <v>20</v>
      </c>
      <c r="G2728" s="10" t="s">
        <v>21</v>
      </c>
      <c r="H2728" t="str">
        <f>"3933186 MAR.2021"</f>
        <v>3933186 MAR.2021</v>
      </c>
      <c r="I2728" t="str">
        <f t="shared" si="61"/>
        <v>FRONTIER</v>
      </c>
    </row>
    <row r="2729" spans="1:9" x14ac:dyDescent="0.25">
      <c r="E2729" s="7"/>
      <c r="F2729" t="s">
        <v>20</v>
      </c>
      <c r="G2729" s="10" t="s">
        <v>21</v>
      </c>
      <c r="H2729" t="str">
        <f>"3936616 AR.2021"</f>
        <v>3936616 AR.2021</v>
      </c>
      <c r="I2729" t="str">
        <f t="shared" si="61"/>
        <v>FRONTIER</v>
      </c>
    </row>
    <row r="2730" spans="1:9" x14ac:dyDescent="0.25">
      <c r="E2730" s="7"/>
      <c r="F2730" t="s">
        <v>20</v>
      </c>
      <c r="G2730" s="10" t="s">
        <v>21</v>
      </c>
      <c r="H2730" t="str">
        <f>"3936794 APR.2021"</f>
        <v>3936794 APR.2021</v>
      </c>
      <c r="I2730" t="str">
        <f t="shared" si="61"/>
        <v>FRONTIER</v>
      </c>
    </row>
    <row r="2731" spans="1:9" x14ac:dyDescent="0.25">
      <c r="E2731" s="7"/>
      <c r="F2731" t="s">
        <v>20</v>
      </c>
      <c r="G2731" s="10" t="s">
        <v>21</v>
      </c>
      <c r="H2731" t="str">
        <f>"3939456 APR.2021"</f>
        <v>3939456 APR.2021</v>
      </c>
      <c r="I2731" t="str">
        <f t="shared" si="61"/>
        <v>FRONTIER</v>
      </c>
    </row>
    <row r="2732" spans="1:9" x14ac:dyDescent="0.25">
      <c r="A2732" s="6">
        <v>44314</v>
      </c>
      <c r="B2732" t="s">
        <v>26</v>
      </c>
      <c r="C2732">
        <v>66580</v>
      </c>
      <c r="D2732" t="s">
        <v>351</v>
      </c>
      <c r="E2732" s="7">
        <v>75</v>
      </c>
      <c r="F2732" t="s">
        <v>20</v>
      </c>
      <c r="G2732" s="10" t="s">
        <v>21</v>
      </c>
      <c r="H2732" t="str">
        <f>"1105533"</f>
        <v>1105533</v>
      </c>
      <c r="I2732" t="str">
        <f>"H &amp; H OIL"</f>
        <v>H &amp; H OIL</v>
      </c>
    </row>
    <row r="2733" spans="1:9" x14ac:dyDescent="0.25">
      <c r="A2733" s="6">
        <v>44314</v>
      </c>
      <c r="B2733" t="s">
        <v>26</v>
      </c>
      <c r="C2733">
        <v>66581</v>
      </c>
      <c r="D2733" t="s">
        <v>258</v>
      </c>
      <c r="E2733" s="7">
        <v>40.6</v>
      </c>
      <c r="F2733" t="s">
        <v>20</v>
      </c>
      <c r="G2733" s="10" t="s">
        <v>21</v>
      </c>
      <c r="H2733" t="str">
        <f>"153439"</f>
        <v>153439</v>
      </c>
      <c r="I2733" t="str">
        <f>"HOSE REPAIR FOR LOADER"</f>
        <v>HOSE REPAIR FOR LOADER</v>
      </c>
    </row>
    <row r="2734" spans="1:9" x14ac:dyDescent="0.25">
      <c r="A2734" s="6">
        <v>44314</v>
      </c>
      <c r="B2734" t="s">
        <v>26</v>
      </c>
      <c r="C2734">
        <v>66582</v>
      </c>
      <c r="D2734" t="s">
        <v>107</v>
      </c>
      <c r="E2734" s="7">
        <v>6.29</v>
      </c>
      <c r="F2734" t="s">
        <v>20</v>
      </c>
      <c r="G2734" s="10" t="s">
        <v>21</v>
      </c>
      <c r="H2734" t="str">
        <f>"1166960-20210331"</f>
        <v>1166960-20210331</v>
      </c>
      <c r="I2734" t="str">
        <f>"LEXISNEXIS RISK SOLUTIONS"</f>
        <v>LEXISNEXIS RISK SOLUTIONS</v>
      </c>
    </row>
    <row r="2735" spans="1:9" x14ac:dyDescent="0.25">
      <c r="A2735" s="6">
        <v>44314</v>
      </c>
      <c r="B2735" t="s">
        <v>26</v>
      </c>
      <c r="C2735">
        <v>66583</v>
      </c>
      <c r="D2735" t="s">
        <v>117</v>
      </c>
      <c r="E2735" s="7">
        <v>2307.4699999999998</v>
      </c>
      <c r="F2735" t="s">
        <v>20</v>
      </c>
      <c r="G2735" s="10" t="s">
        <v>21</v>
      </c>
      <c r="H2735" t="str">
        <f>"MARCH 2021"</f>
        <v>MARCH 2021</v>
      </c>
      <c r="I2735" t="str">
        <f>"LINEBARGER GOGGAN BLAIR &amp; SAMP"</f>
        <v>LINEBARGER GOGGAN BLAIR &amp; SAMP</v>
      </c>
    </row>
    <row r="2736" spans="1:9" x14ac:dyDescent="0.25">
      <c r="A2736" s="6">
        <v>44314</v>
      </c>
      <c r="B2736" t="s">
        <v>26</v>
      </c>
      <c r="C2736">
        <v>66584</v>
      </c>
      <c r="D2736" t="s">
        <v>105</v>
      </c>
      <c r="E2736" s="7">
        <v>35</v>
      </c>
      <c r="F2736" t="s">
        <v>20</v>
      </c>
      <c r="G2736" s="10" t="s">
        <v>21</v>
      </c>
      <c r="H2736" t="str">
        <f>"384381"</f>
        <v>384381</v>
      </c>
      <c r="I2736" t="str">
        <f>"INSPECTION PD 330"</f>
        <v>INSPECTION PD 330</v>
      </c>
    </row>
    <row r="2737" spans="1:9" x14ac:dyDescent="0.25">
      <c r="E2737" s="7"/>
      <c r="F2737" t="s">
        <v>20</v>
      </c>
      <c r="G2737" s="10" t="s">
        <v>21</v>
      </c>
      <c r="H2737" t="str">
        <f>"384435"</f>
        <v>384435</v>
      </c>
      <c r="I2737" t="str">
        <f>"INSPECTION SHOP 605"</f>
        <v>INSPECTION SHOP 605</v>
      </c>
    </row>
    <row r="2738" spans="1:9" x14ac:dyDescent="0.25">
      <c r="E2738" s="7"/>
      <c r="F2738" t="s">
        <v>20</v>
      </c>
      <c r="G2738" s="10" t="s">
        <v>21</v>
      </c>
      <c r="H2738" t="str">
        <f>"384439"</f>
        <v>384439</v>
      </c>
      <c r="I2738" t="str">
        <f>"INSPECTION PD 317"</f>
        <v>INSPECTION PD 317</v>
      </c>
    </row>
    <row r="2739" spans="1:9" x14ac:dyDescent="0.25">
      <c r="E2739" s="7"/>
      <c r="F2739" t="s">
        <v>20</v>
      </c>
      <c r="G2739" s="10" t="s">
        <v>21</v>
      </c>
      <c r="H2739" t="str">
        <f>"384708"</f>
        <v>384708</v>
      </c>
      <c r="I2739" t="str">
        <f>"INSPECTION PD 325"</f>
        <v>INSPECTION PD 325</v>
      </c>
    </row>
    <row r="2740" spans="1:9" x14ac:dyDescent="0.25">
      <c r="E2740" s="7"/>
      <c r="F2740" t="s">
        <v>20</v>
      </c>
      <c r="G2740" s="10" t="s">
        <v>21</v>
      </c>
      <c r="H2740" t="str">
        <f>"384727"</f>
        <v>384727</v>
      </c>
      <c r="I2740" t="str">
        <f>"INSPECTION PARKS 207"</f>
        <v>INSPECTION PARKS 207</v>
      </c>
    </row>
    <row r="2741" spans="1:9" x14ac:dyDescent="0.25">
      <c r="A2741" s="6">
        <v>44314</v>
      </c>
      <c r="B2741" t="s">
        <v>26</v>
      </c>
      <c r="C2741">
        <v>66585</v>
      </c>
      <c r="D2741" t="s">
        <v>326</v>
      </c>
      <c r="E2741" s="7">
        <v>41</v>
      </c>
      <c r="F2741" t="s">
        <v>20</v>
      </c>
      <c r="G2741" s="10" t="s">
        <v>21</v>
      </c>
      <c r="H2741" t="str">
        <f>"23336277"</f>
        <v>23336277</v>
      </c>
      <c r="I2741" t="str">
        <f>"MATHESON TRI-GAS INC"</f>
        <v>MATHESON TRI-GAS INC</v>
      </c>
    </row>
    <row r="2742" spans="1:9" x14ac:dyDescent="0.25">
      <c r="A2742" s="6">
        <v>44314</v>
      </c>
      <c r="B2742" t="s">
        <v>26</v>
      </c>
      <c r="C2742">
        <v>66586</v>
      </c>
      <c r="D2742" t="s">
        <v>124</v>
      </c>
      <c r="E2742" s="7">
        <v>378.98</v>
      </c>
      <c r="F2742" t="s">
        <v>20</v>
      </c>
      <c r="G2742" s="10" t="s">
        <v>21</v>
      </c>
      <c r="H2742" t="str">
        <f>"11103872"</f>
        <v>11103872</v>
      </c>
      <c r="I2742" t="str">
        <f>"SHELVES FOR VAULT"</f>
        <v>SHELVES FOR VAULT</v>
      </c>
    </row>
    <row r="2743" spans="1:9" x14ac:dyDescent="0.25">
      <c r="E2743" s="7"/>
      <c r="F2743" t="s">
        <v>20</v>
      </c>
      <c r="G2743" s="10" t="s">
        <v>21</v>
      </c>
      <c r="H2743" t="str">
        <f>"11104016"</f>
        <v>11104016</v>
      </c>
      <c r="I2743" t="str">
        <f>"POOL FENCE REPAIR"</f>
        <v>POOL FENCE REPAIR</v>
      </c>
    </row>
    <row r="2744" spans="1:9" x14ac:dyDescent="0.25">
      <c r="E2744" s="7"/>
      <c r="F2744" t="s">
        <v>20</v>
      </c>
      <c r="G2744" s="10" t="s">
        <v>21</v>
      </c>
      <c r="H2744" t="str">
        <f>"11104233"</f>
        <v>11104233</v>
      </c>
      <c r="I2744" t="str">
        <f>"SIDEWALK REPAIR"</f>
        <v>SIDEWALK REPAIR</v>
      </c>
    </row>
    <row r="2745" spans="1:9" x14ac:dyDescent="0.25">
      <c r="A2745" s="6">
        <v>44314</v>
      </c>
      <c r="B2745" t="s">
        <v>26</v>
      </c>
      <c r="C2745">
        <v>66588</v>
      </c>
      <c r="D2745" t="s">
        <v>345</v>
      </c>
      <c r="E2745" s="7">
        <v>286</v>
      </c>
      <c r="F2745" t="s">
        <v>20</v>
      </c>
      <c r="G2745" s="10" t="s">
        <v>21</v>
      </c>
      <c r="H2745" t="str">
        <f>"4/26/2021"</f>
        <v>4/26/2021</v>
      </c>
      <c r="I2745" t="str">
        <f>"MICHAEL ISAAC MARTINEZ"</f>
        <v>MICHAEL ISAAC MARTINEZ</v>
      </c>
    </row>
    <row r="2746" spans="1:9" x14ac:dyDescent="0.25">
      <c r="A2746" s="6">
        <v>44314</v>
      </c>
      <c r="B2746" t="s">
        <v>26</v>
      </c>
      <c r="C2746">
        <v>66589</v>
      </c>
      <c r="D2746" t="s">
        <v>240</v>
      </c>
      <c r="E2746" s="7">
        <v>318.95999999999998</v>
      </c>
      <c r="F2746" t="s">
        <v>20</v>
      </c>
      <c r="G2746" s="10" t="s">
        <v>21</v>
      </c>
      <c r="H2746" t="str">
        <f>"0207100-IN"</f>
        <v>0207100-IN</v>
      </c>
      <c r="I2746" t="str">
        <f>"NARDIS PUBLIC SAFETY"</f>
        <v>NARDIS PUBLIC SAFETY</v>
      </c>
    </row>
    <row r="2747" spans="1:9" x14ac:dyDescent="0.25">
      <c r="E2747" s="7"/>
      <c r="F2747" t="s">
        <v>20</v>
      </c>
      <c r="G2747" s="10" t="s">
        <v>21</v>
      </c>
      <c r="H2747" t="str">
        <f>"0207651-IN"</f>
        <v>0207651-IN</v>
      </c>
      <c r="I2747" t="str">
        <f>"NARDIS PUBLIC SAFETY"</f>
        <v>NARDIS PUBLIC SAFETY</v>
      </c>
    </row>
    <row r="2748" spans="1:9" x14ac:dyDescent="0.25">
      <c r="A2748" s="6">
        <v>44314</v>
      </c>
      <c r="B2748" t="s">
        <v>26</v>
      </c>
      <c r="C2748">
        <v>66590</v>
      </c>
      <c r="D2748" t="s">
        <v>943</v>
      </c>
      <c r="E2748" s="7">
        <v>187.5</v>
      </c>
      <c r="F2748" t="s">
        <v>20</v>
      </c>
      <c r="G2748" s="10" t="s">
        <v>21</v>
      </c>
      <c r="H2748" t="str">
        <f>"4398"</f>
        <v>4398</v>
      </c>
      <c r="I2748" t="str">
        <f>"NICKEL INDUSTRIAL CONTRACTORS"</f>
        <v>NICKEL INDUSTRIAL CONTRACTORS</v>
      </c>
    </row>
    <row r="2749" spans="1:9" x14ac:dyDescent="0.25">
      <c r="A2749" s="6">
        <v>44314</v>
      </c>
      <c r="B2749" t="s">
        <v>26</v>
      </c>
      <c r="C2749">
        <v>66591</v>
      </c>
      <c r="D2749" t="s">
        <v>123</v>
      </c>
      <c r="E2749" s="7">
        <v>268.35000000000002</v>
      </c>
      <c r="F2749" t="s">
        <v>20</v>
      </c>
      <c r="G2749" s="10" t="s">
        <v>21</v>
      </c>
      <c r="H2749" t="str">
        <f>"167493511001"</f>
        <v>167493511001</v>
      </c>
      <c r="I2749" t="str">
        <f t="shared" ref="I2749:I2754" si="62">"OFFICE SUPPLIES"</f>
        <v>OFFICE SUPPLIES</v>
      </c>
    </row>
    <row r="2750" spans="1:9" x14ac:dyDescent="0.25">
      <c r="E2750" s="7"/>
      <c r="F2750" t="s">
        <v>20</v>
      </c>
      <c r="G2750" s="10" t="s">
        <v>21</v>
      </c>
      <c r="H2750" t="str">
        <f>"167495602001"</f>
        <v>167495602001</v>
      </c>
      <c r="I2750" t="str">
        <f t="shared" si="62"/>
        <v>OFFICE SUPPLIES</v>
      </c>
    </row>
    <row r="2751" spans="1:9" x14ac:dyDescent="0.25">
      <c r="E2751" s="7"/>
      <c r="F2751" t="s">
        <v>20</v>
      </c>
      <c r="G2751" s="10" t="s">
        <v>21</v>
      </c>
      <c r="H2751" t="str">
        <f>"167495604001"</f>
        <v>167495604001</v>
      </c>
      <c r="I2751" t="str">
        <f t="shared" si="62"/>
        <v>OFFICE SUPPLIES</v>
      </c>
    </row>
    <row r="2752" spans="1:9" x14ac:dyDescent="0.25">
      <c r="E2752" s="7"/>
      <c r="F2752" t="s">
        <v>20</v>
      </c>
      <c r="G2752" s="10" t="s">
        <v>21</v>
      </c>
      <c r="H2752" t="str">
        <f>"167891699001"</f>
        <v>167891699001</v>
      </c>
      <c r="I2752" t="str">
        <f t="shared" si="62"/>
        <v>OFFICE SUPPLIES</v>
      </c>
    </row>
    <row r="2753" spans="1:9" x14ac:dyDescent="0.25">
      <c r="E2753" s="7"/>
      <c r="F2753" t="s">
        <v>20</v>
      </c>
      <c r="G2753" s="10" t="s">
        <v>21</v>
      </c>
      <c r="H2753" t="str">
        <f>"167891938001"</f>
        <v>167891938001</v>
      </c>
      <c r="I2753" t="str">
        <f t="shared" si="62"/>
        <v>OFFICE SUPPLIES</v>
      </c>
    </row>
    <row r="2754" spans="1:9" x14ac:dyDescent="0.25">
      <c r="E2754" s="7"/>
      <c r="F2754" t="s">
        <v>20</v>
      </c>
      <c r="G2754" s="10" t="s">
        <v>21</v>
      </c>
      <c r="H2754" t="str">
        <f>"167891941001"</f>
        <v>167891941001</v>
      </c>
      <c r="I2754" t="str">
        <f t="shared" si="62"/>
        <v>OFFICE SUPPLIES</v>
      </c>
    </row>
    <row r="2755" spans="1:9" x14ac:dyDescent="0.25">
      <c r="A2755" s="6">
        <v>44314</v>
      </c>
      <c r="B2755" t="s">
        <v>26</v>
      </c>
      <c r="C2755">
        <v>66593</v>
      </c>
      <c r="D2755" t="s">
        <v>106</v>
      </c>
      <c r="E2755" s="7">
        <v>126.68</v>
      </c>
      <c r="F2755" t="s">
        <v>20</v>
      </c>
      <c r="G2755" s="10" t="s">
        <v>21</v>
      </c>
      <c r="H2755" t="str">
        <f>"1ST QRT.2021"</f>
        <v>1ST QRT.2021</v>
      </c>
      <c r="I2755" t="str">
        <f>"OMNIBASE SERVICES OF TEXAS"</f>
        <v>OMNIBASE SERVICES OF TEXAS</v>
      </c>
    </row>
    <row r="2756" spans="1:9" x14ac:dyDescent="0.25">
      <c r="A2756" s="6">
        <v>44314</v>
      </c>
      <c r="B2756" t="s">
        <v>26</v>
      </c>
      <c r="C2756">
        <v>66594</v>
      </c>
      <c r="D2756" t="s">
        <v>137</v>
      </c>
      <c r="E2756" s="7">
        <v>121.9</v>
      </c>
      <c r="F2756" t="s">
        <v>20</v>
      </c>
      <c r="G2756" s="10" t="s">
        <v>21</v>
      </c>
      <c r="H2756" t="str">
        <f>"23719"</f>
        <v>23719</v>
      </c>
      <c r="I2756" t="str">
        <f>"OMNIBUS-M  INC.D.B.A."</f>
        <v>OMNIBUS-M  INC.D.B.A.</v>
      </c>
    </row>
    <row r="2757" spans="1:9" x14ac:dyDescent="0.25">
      <c r="E2757" s="7"/>
      <c r="F2757" t="s">
        <v>20</v>
      </c>
      <c r="G2757" s="10" t="s">
        <v>21</v>
      </c>
      <c r="H2757" t="str">
        <f>"23720"</f>
        <v>23720</v>
      </c>
      <c r="I2757" t="str">
        <f>"OMNIBUS-M  INC.D.B.A."</f>
        <v>OMNIBUS-M  INC.D.B.A.</v>
      </c>
    </row>
    <row r="2758" spans="1:9" x14ac:dyDescent="0.25">
      <c r="A2758" s="6">
        <v>44314</v>
      </c>
      <c r="B2758" t="s">
        <v>26</v>
      </c>
      <c r="C2758">
        <v>66595</v>
      </c>
      <c r="D2758" t="s">
        <v>323</v>
      </c>
      <c r="E2758" s="7">
        <v>630</v>
      </c>
      <c r="F2758" t="s">
        <v>20</v>
      </c>
      <c r="G2758" s="10" t="s">
        <v>21</v>
      </c>
      <c r="H2758" t="str">
        <f>"UNIT 183 4/28/2021"</f>
        <v>UNIT 183 4/28/2021</v>
      </c>
      <c r="I2758" t="str">
        <f>"POLLOK SELF STORAGE LLC"</f>
        <v>POLLOK SELF STORAGE LLC</v>
      </c>
    </row>
    <row r="2759" spans="1:9" x14ac:dyDescent="0.25">
      <c r="E2759" s="7"/>
      <c r="F2759" t="s">
        <v>20</v>
      </c>
      <c r="G2759" s="10" t="s">
        <v>21</v>
      </c>
      <c r="H2759" t="str">
        <f>"UNIT 185 4/28/2021"</f>
        <v>UNIT 185 4/28/2021</v>
      </c>
      <c r="I2759" t="str">
        <f>"POLLOK SELF STORAGE LLC"</f>
        <v>POLLOK SELF STORAGE LLC</v>
      </c>
    </row>
    <row r="2760" spans="1:9" x14ac:dyDescent="0.25">
      <c r="E2760" s="7"/>
      <c r="F2760" t="s">
        <v>20</v>
      </c>
      <c r="G2760" s="10" t="s">
        <v>21</v>
      </c>
      <c r="H2760" t="str">
        <f>"UNIT 186 4/28/2021"</f>
        <v>UNIT 186 4/28/2021</v>
      </c>
      <c r="I2760" t="str">
        <f>"POLLOK SELF STORAGE LLC"</f>
        <v>POLLOK SELF STORAGE LLC</v>
      </c>
    </row>
    <row r="2761" spans="1:9" x14ac:dyDescent="0.25">
      <c r="E2761" s="7"/>
      <c r="F2761" t="s">
        <v>20</v>
      </c>
      <c r="G2761" s="10" t="s">
        <v>21</v>
      </c>
      <c r="H2761" t="str">
        <f>"UNIT 187 4/28/2021"</f>
        <v>UNIT 187 4/28/2021</v>
      </c>
      <c r="I2761" t="str">
        <f>"POLLOK SELF STORAGE LLC"</f>
        <v>POLLOK SELF STORAGE LLC</v>
      </c>
    </row>
    <row r="2762" spans="1:9" x14ac:dyDescent="0.25">
      <c r="A2762" s="6">
        <v>44314</v>
      </c>
      <c r="B2762" t="s">
        <v>26</v>
      </c>
      <c r="C2762">
        <v>66596</v>
      </c>
      <c r="D2762" t="s">
        <v>184</v>
      </c>
      <c r="E2762" s="7">
        <v>1152</v>
      </c>
      <c r="F2762" t="s">
        <v>20</v>
      </c>
      <c r="G2762" s="10" t="s">
        <v>21</v>
      </c>
      <c r="H2762" t="str">
        <f>"1062-678"</f>
        <v>1062-678</v>
      </c>
      <c r="I2762" t="str">
        <f>"POLLUTION CONTROL SERVICES"</f>
        <v>POLLUTION CONTROL SERVICES</v>
      </c>
    </row>
    <row r="2763" spans="1:9" x14ac:dyDescent="0.25">
      <c r="E2763" s="7"/>
      <c r="F2763" t="s">
        <v>20</v>
      </c>
      <c r="G2763" s="10" t="s">
        <v>21</v>
      </c>
      <c r="H2763" t="str">
        <f>"1062-679"</f>
        <v>1062-679</v>
      </c>
      <c r="I2763" t="str">
        <f>"POLLUTION CONTROL SERVICES"</f>
        <v>POLLUTION CONTROL SERVICES</v>
      </c>
    </row>
    <row r="2764" spans="1:9" x14ac:dyDescent="0.25">
      <c r="A2764" s="6">
        <v>44314</v>
      </c>
      <c r="B2764" t="s">
        <v>26</v>
      </c>
      <c r="C2764">
        <v>66597</v>
      </c>
      <c r="D2764" t="s">
        <v>119</v>
      </c>
      <c r="E2764" s="7">
        <v>490.8</v>
      </c>
      <c r="F2764" t="s">
        <v>20</v>
      </c>
      <c r="G2764" s="10" t="s">
        <v>21</v>
      </c>
      <c r="H2764" t="str">
        <f>"76275"</f>
        <v>76275</v>
      </c>
      <c r="I2764" t="str">
        <f>"TIRE FOR BACKHOE"</f>
        <v>TIRE FOR BACKHOE</v>
      </c>
    </row>
    <row r="2765" spans="1:9" x14ac:dyDescent="0.25">
      <c r="A2765" s="6">
        <v>44314</v>
      </c>
      <c r="B2765" t="s">
        <v>26</v>
      </c>
      <c r="C2765">
        <v>66598</v>
      </c>
      <c r="D2765" t="s">
        <v>48</v>
      </c>
      <c r="E2765" s="7">
        <v>1014.37</v>
      </c>
      <c r="F2765" t="s">
        <v>20</v>
      </c>
      <c r="G2765" s="10" t="s">
        <v>21</v>
      </c>
      <c r="H2765" t="str">
        <f>"1902"</f>
        <v>1902</v>
      </c>
      <c r="I2765" t="str">
        <f>"RANDY HOLLAR  LLC"</f>
        <v>RANDY HOLLAR  LLC</v>
      </c>
    </row>
    <row r="2766" spans="1:9" x14ac:dyDescent="0.25">
      <c r="A2766" s="6">
        <v>44314</v>
      </c>
      <c r="B2766" t="s">
        <v>26</v>
      </c>
      <c r="C2766">
        <v>66599</v>
      </c>
      <c r="D2766" t="s">
        <v>737</v>
      </c>
      <c r="E2766" s="7">
        <v>400.4</v>
      </c>
      <c r="F2766" t="s">
        <v>20</v>
      </c>
      <c r="G2766" s="10" t="s">
        <v>21</v>
      </c>
      <c r="H2766" t="str">
        <f>"REMINBSMT ICSI4/21"</f>
        <v>REMINBSMT ICSI4/21</v>
      </c>
      <c r="I2766" t="str">
        <f>"REUBEN GARCIA"</f>
        <v>REUBEN GARCIA</v>
      </c>
    </row>
    <row r="2767" spans="1:9" x14ac:dyDescent="0.25">
      <c r="E2767" s="7"/>
      <c r="F2767" t="s">
        <v>20</v>
      </c>
      <c r="G2767" s="10" t="s">
        <v>21</v>
      </c>
      <c r="H2767" t="str">
        <f>"SECURITY 4/10/2021"</f>
        <v>SECURITY 4/10/2021</v>
      </c>
      <c r="I2767" t="str">
        <f>"REUBEN GARCIA"</f>
        <v>REUBEN GARCIA</v>
      </c>
    </row>
    <row r="2768" spans="1:9" x14ac:dyDescent="0.25">
      <c r="A2768" s="6">
        <v>44314</v>
      </c>
      <c r="B2768" t="s">
        <v>26</v>
      </c>
      <c r="C2768">
        <v>66600</v>
      </c>
      <c r="D2768" t="s">
        <v>630</v>
      </c>
      <c r="E2768" s="7">
        <v>31.87</v>
      </c>
      <c r="F2768" t="s">
        <v>20</v>
      </c>
      <c r="G2768" s="10" t="s">
        <v>21</v>
      </c>
      <c r="H2768" t="str">
        <f>"36680"</f>
        <v>36680</v>
      </c>
      <c r="I2768" t="str">
        <f>"RG3 METER COMPANY"</f>
        <v>RG3 METER COMPANY</v>
      </c>
    </row>
    <row r="2769" spans="1:9" x14ac:dyDescent="0.25">
      <c r="A2769" s="6">
        <v>44314</v>
      </c>
      <c r="B2769" t="s">
        <v>26</v>
      </c>
      <c r="C2769">
        <v>66601</v>
      </c>
      <c r="D2769" t="s">
        <v>975</v>
      </c>
      <c r="E2769" s="7">
        <v>107</v>
      </c>
      <c r="F2769" t="s">
        <v>20</v>
      </c>
      <c r="G2769" s="10" t="s">
        <v>21</v>
      </c>
      <c r="H2769" t="str">
        <f>"P80408"</f>
        <v>P80408</v>
      </c>
      <c r="I2769" t="str">
        <f>"TIRE FOR SHREDDER"</f>
        <v>TIRE FOR SHREDDER</v>
      </c>
    </row>
    <row r="2770" spans="1:9" x14ac:dyDescent="0.25">
      <c r="A2770" s="6">
        <v>44314</v>
      </c>
      <c r="B2770" t="s">
        <v>26</v>
      </c>
      <c r="C2770">
        <v>66602</v>
      </c>
      <c r="D2770" t="s">
        <v>1033</v>
      </c>
      <c r="E2770" s="7">
        <v>4895.78</v>
      </c>
      <c r="F2770" t="s">
        <v>20</v>
      </c>
      <c r="G2770" s="10" t="s">
        <v>21</v>
      </c>
      <c r="H2770" t="str">
        <f>"1154"</f>
        <v>1154</v>
      </c>
      <c r="I2770" t="str">
        <f>"2021 GMC 1500 SIERRA REPA"</f>
        <v>2021 GMC 1500 SIERRA REPA</v>
      </c>
    </row>
    <row r="2771" spans="1:9" x14ac:dyDescent="0.25">
      <c r="A2771" s="6">
        <v>44314</v>
      </c>
      <c r="B2771" t="s">
        <v>26</v>
      </c>
      <c r="C2771">
        <v>66603</v>
      </c>
      <c r="D2771" t="s">
        <v>148</v>
      </c>
      <c r="E2771" s="7">
        <v>100</v>
      </c>
      <c r="F2771" t="s">
        <v>20</v>
      </c>
      <c r="G2771" s="10" t="s">
        <v>21</v>
      </c>
      <c r="H2771" t="str">
        <f>"T2E0004031"</f>
        <v>T2E0004031</v>
      </c>
      <c r="I2771" t="str">
        <f>"TEXAS COMMISSION ON ENVIRONMEN"</f>
        <v>TEXAS COMMISSION ON ENVIRONMEN</v>
      </c>
    </row>
    <row r="2772" spans="1:9" x14ac:dyDescent="0.25">
      <c r="E2772" s="7"/>
      <c r="F2772" t="s">
        <v>20</v>
      </c>
      <c r="G2772" s="10" t="s">
        <v>21</v>
      </c>
      <c r="H2772" t="str">
        <f>"T2E0004032"</f>
        <v>T2E0004032</v>
      </c>
      <c r="I2772" t="str">
        <f>"TEXAS COMMISSION ON ENVIRONMEN"</f>
        <v>TEXAS COMMISSION ON ENVIRONMEN</v>
      </c>
    </row>
    <row r="2773" spans="1:9" x14ac:dyDescent="0.25">
      <c r="A2773" s="6">
        <v>44314</v>
      </c>
      <c r="B2773" t="s">
        <v>26</v>
      </c>
      <c r="C2773">
        <v>66604</v>
      </c>
      <c r="D2773" t="s">
        <v>698</v>
      </c>
      <c r="E2773" s="7">
        <v>80</v>
      </c>
      <c r="F2773" t="s">
        <v>20</v>
      </c>
      <c r="G2773" s="10" t="s">
        <v>21</v>
      </c>
      <c r="H2773" t="str">
        <f>"4/25/2021"</f>
        <v>4/25/2021</v>
      </c>
      <c r="I2773" t="str">
        <f>"TRACY ORTIZ"</f>
        <v>TRACY ORTIZ</v>
      </c>
    </row>
    <row r="2774" spans="1:9" x14ac:dyDescent="0.25">
      <c r="A2774" s="6">
        <v>44314</v>
      </c>
      <c r="B2774" t="s">
        <v>26</v>
      </c>
      <c r="C2774">
        <v>66605</v>
      </c>
      <c r="D2774" t="s">
        <v>61</v>
      </c>
      <c r="E2774" s="7">
        <v>4360.03</v>
      </c>
      <c r="F2774" t="s">
        <v>20</v>
      </c>
      <c r="G2774" s="10" t="s">
        <v>21</v>
      </c>
      <c r="H2774" t="str">
        <f>"025-326429"</f>
        <v>025-326429</v>
      </c>
      <c r="I2774" t="str">
        <f>"TYLER TECHNOLOGIES  INC."</f>
        <v>TYLER TECHNOLOGIES  INC.</v>
      </c>
    </row>
    <row r="2775" spans="1:9" x14ac:dyDescent="0.25">
      <c r="E2775" s="7"/>
      <c r="F2775" t="s">
        <v>20</v>
      </c>
      <c r="G2775" s="10" t="s">
        <v>21</v>
      </c>
      <c r="H2775" t="str">
        <f>"025-328834"</f>
        <v>025-328834</v>
      </c>
      <c r="I2775" t="str">
        <f>"TYLER TECHNOLOGIES  INC."</f>
        <v>TYLER TECHNOLOGIES  INC.</v>
      </c>
    </row>
    <row r="2776" spans="1:9" x14ac:dyDescent="0.25">
      <c r="E2776" s="7"/>
      <c r="F2776" t="s">
        <v>20</v>
      </c>
      <c r="G2776" s="10" t="s">
        <v>21</v>
      </c>
      <c r="H2776" t="str">
        <f>"025-329262"</f>
        <v>025-329262</v>
      </c>
      <c r="I2776" t="str">
        <f>"TYLER TECHNOLOGIES  INC."</f>
        <v>TYLER TECHNOLOGIES  INC.</v>
      </c>
    </row>
    <row r="2777" spans="1:9" x14ac:dyDescent="0.25">
      <c r="A2777" s="6">
        <v>44314</v>
      </c>
      <c r="B2777" t="s">
        <v>26</v>
      </c>
      <c r="C2777">
        <v>66606</v>
      </c>
      <c r="D2777" t="s">
        <v>644</v>
      </c>
      <c r="E2777" s="7">
        <v>1993.17</v>
      </c>
      <c r="F2777" t="s">
        <v>20</v>
      </c>
      <c r="G2777" s="10" t="s">
        <v>21</v>
      </c>
      <c r="H2777" t="str">
        <f>"8213581283"</f>
        <v>8213581283</v>
      </c>
      <c r="I2777" t="str">
        <f t="shared" ref="I2777:I2804" si="63">"UNIFIRST CORPORATION"</f>
        <v>UNIFIRST CORPORATION</v>
      </c>
    </row>
    <row r="2778" spans="1:9" x14ac:dyDescent="0.25">
      <c r="E2778" s="7"/>
      <c r="F2778" t="s">
        <v>20</v>
      </c>
      <c r="G2778" s="10" t="s">
        <v>21</v>
      </c>
      <c r="H2778" t="str">
        <f>"8213581284"</f>
        <v>8213581284</v>
      </c>
      <c r="I2778" t="str">
        <f t="shared" si="63"/>
        <v>UNIFIRST CORPORATION</v>
      </c>
    </row>
    <row r="2779" spans="1:9" x14ac:dyDescent="0.25">
      <c r="E2779" s="7"/>
      <c r="F2779" t="s">
        <v>20</v>
      </c>
      <c r="G2779" s="10" t="s">
        <v>21</v>
      </c>
      <c r="H2779" t="str">
        <f>"8213581285"</f>
        <v>8213581285</v>
      </c>
      <c r="I2779" t="str">
        <f t="shared" si="63"/>
        <v>UNIFIRST CORPORATION</v>
      </c>
    </row>
    <row r="2780" spans="1:9" x14ac:dyDescent="0.25">
      <c r="E2780" s="7"/>
      <c r="F2780" t="s">
        <v>20</v>
      </c>
      <c r="G2780" s="10" t="s">
        <v>21</v>
      </c>
      <c r="H2780" t="str">
        <f>"8213581286"</f>
        <v>8213581286</v>
      </c>
      <c r="I2780" t="str">
        <f t="shared" si="63"/>
        <v>UNIFIRST CORPORATION</v>
      </c>
    </row>
    <row r="2781" spans="1:9" x14ac:dyDescent="0.25">
      <c r="E2781" s="7"/>
      <c r="F2781" t="s">
        <v>20</v>
      </c>
      <c r="G2781" s="10" t="s">
        <v>21</v>
      </c>
      <c r="H2781" t="str">
        <f>"8213581287"</f>
        <v>8213581287</v>
      </c>
      <c r="I2781" t="str">
        <f t="shared" si="63"/>
        <v>UNIFIRST CORPORATION</v>
      </c>
    </row>
    <row r="2782" spans="1:9" x14ac:dyDescent="0.25">
      <c r="E2782" s="7"/>
      <c r="F2782" t="s">
        <v>20</v>
      </c>
      <c r="G2782" s="10" t="s">
        <v>21</v>
      </c>
      <c r="H2782" t="str">
        <f>"8213581288"</f>
        <v>8213581288</v>
      </c>
      <c r="I2782" t="str">
        <f t="shared" si="63"/>
        <v>UNIFIRST CORPORATION</v>
      </c>
    </row>
    <row r="2783" spans="1:9" x14ac:dyDescent="0.25">
      <c r="E2783" s="7"/>
      <c r="F2783" t="s">
        <v>20</v>
      </c>
      <c r="G2783" s="10" t="s">
        <v>21</v>
      </c>
      <c r="H2783" t="str">
        <f>"8213581289"</f>
        <v>8213581289</v>
      </c>
      <c r="I2783" t="str">
        <f t="shared" si="63"/>
        <v>UNIFIRST CORPORATION</v>
      </c>
    </row>
    <row r="2784" spans="1:9" x14ac:dyDescent="0.25">
      <c r="E2784" s="7"/>
      <c r="F2784" t="s">
        <v>20</v>
      </c>
      <c r="G2784" s="10" t="s">
        <v>21</v>
      </c>
      <c r="H2784" t="str">
        <f>"8213583871"</f>
        <v>8213583871</v>
      </c>
      <c r="I2784" t="str">
        <f t="shared" si="63"/>
        <v>UNIFIRST CORPORATION</v>
      </c>
    </row>
    <row r="2785" spans="5:9" x14ac:dyDescent="0.25">
      <c r="E2785" s="7"/>
      <c r="F2785" t="s">
        <v>20</v>
      </c>
      <c r="G2785" s="10" t="s">
        <v>21</v>
      </c>
      <c r="H2785" t="str">
        <f>"8213583872"</f>
        <v>8213583872</v>
      </c>
      <c r="I2785" t="str">
        <f t="shared" si="63"/>
        <v>UNIFIRST CORPORATION</v>
      </c>
    </row>
    <row r="2786" spans="5:9" x14ac:dyDescent="0.25">
      <c r="E2786" s="7"/>
      <c r="F2786" t="s">
        <v>20</v>
      </c>
      <c r="G2786" s="10" t="s">
        <v>21</v>
      </c>
      <c r="H2786" t="str">
        <f>"8213583873"</f>
        <v>8213583873</v>
      </c>
      <c r="I2786" t="str">
        <f t="shared" si="63"/>
        <v>UNIFIRST CORPORATION</v>
      </c>
    </row>
    <row r="2787" spans="5:9" x14ac:dyDescent="0.25">
      <c r="E2787" s="7"/>
      <c r="F2787" t="s">
        <v>20</v>
      </c>
      <c r="G2787" s="10" t="s">
        <v>21</v>
      </c>
      <c r="H2787" t="str">
        <f>"8213583874"</f>
        <v>8213583874</v>
      </c>
      <c r="I2787" t="str">
        <f t="shared" si="63"/>
        <v>UNIFIRST CORPORATION</v>
      </c>
    </row>
    <row r="2788" spans="5:9" x14ac:dyDescent="0.25">
      <c r="E2788" s="7"/>
      <c r="F2788" t="s">
        <v>20</v>
      </c>
      <c r="G2788" s="10" t="s">
        <v>21</v>
      </c>
      <c r="H2788" t="str">
        <f>"8213583875"</f>
        <v>8213583875</v>
      </c>
      <c r="I2788" t="str">
        <f t="shared" si="63"/>
        <v>UNIFIRST CORPORATION</v>
      </c>
    </row>
    <row r="2789" spans="5:9" x14ac:dyDescent="0.25">
      <c r="E2789" s="7"/>
      <c r="F2789" t="s">
        <v>20</v>
      </c>
      <c r="G2789" s="10" t="s">
        <v>21</v>
      </c>
      <c r="H2789" t="str">
        <f>"8213583876"</f>
        <v>8213583876</v>
      </c>
      <c r="I2789" t="str">
        <f t="shared" si="63"/>
        <v>UNIFIRST CORPORATION</v>
      </c>
    </row>
    <row r="2790" spans="5:9" x14ac:dyDescent="0.25">
      <c r="E2790" s="7"/>
      <c r="F2790" t="s">
        <v>20</v>
      </c>
      <c r="G2790" s="10" t="s">
        <v>21</v>
      </c>
      <c r="H2790" t="str">
        <f>"8213583877"</f>
        <v>8213583877</v>
      </c>
      <c r="I2790" t="str">
        <f t="shared" si="63"/>
        <v>UNIFIRST CORPORATION</v>
      </c>
    </row>
    <row r="2791" spans="5:9" x14ac:dyDescent="0.25">
      <c r="E2791" s="7"/>
      <c r="F2791" t="s">
        <v>20</v>
      </c>
      <c r="G2791" s="10" t="s">
        <v>21</v>
      </c>
      <c r="H2791" t="str">
        <f>"8213586463"</f>
        <v>8213586463</v>
      </c>
      <c r="I2791" t="str">
        <f t="shared" si="63"/>
        <v>UNIFIRST CORPORATION</v>
      </c>
    </row>
    <row r="2792" spans="5:9" x14ac:dyDescent="0.25">
      <c r="E2792" s="7"/>
      <c r="F2792" t="s">
        <v>20</v>
      </c>
      <c r="G2792" s="10" t="s">
        <v>21</v>
      </c>
      <c r="H2792" t="str">
        <f>"8213586464"</f>
        <v>8213586464</v>
      </c>
      <c r="I2792" t="str">
        <f t="shared" si="63"/>
        <v>UNIFIRST CORPORATION</v>
      </c>
    </row>
    <row r="2793" spans="5:9" x14ac:dyDescent="0.25">
      <c r="E2793" s="7"/>
      <c r="F2793" t="s">
        <v>20</v>
      </c>
      <c r="G2793" s="10" t="s">
        <v>21</v>
      </c>
      <c r="H2793" t="str">
        <f>"8213586465"</f>
        <v>8213586465</v>
      </c>
      <c r="I2793" t="str">
        <f t="shared" si="63"/>
        <v>UNIFIRST CORPORATION</v>
      </c>
    </row>
    <row r="2794" spans="5:9" x14ac:dyDescent="0.25">
      <c r="E2794" s="7"/>
      <c r="F2794" t="s">
        <v>20</v>
      </c>
      <c r="G2794" s="10" t="s">
        <v>21</v>
      </c>
      <c r="H2794" t="str">
        <f>"8213586466"</f>
        <v>8213586466</v>
      </c>
      <c r="I2794" t="str">
        <f t="shared" si="63"/>
        <v>UNIFIRST CORPORATION</v>
      </c>
    </row>
    <row r="2795" spans="5:9" x14ac:dyDescent="0.25">
      <c r="E2795" s="7"/>
      <c r="F2795" t="s">
        <v>20</v>
      </c>
      <c r="G2795" s="10" t="s">
        <v>21</v>
      </c>
      <c r="H2795" t="str">
        <f>"8213586467"</f>
        <v>8213586467</v>
      </c>
      <c r="I2795" t="str">
        <f t="shared" si="63"/>
        <v>UNIFIRST CORPORATION</v>
      </c>
    </row>
    <row r="2796" spans="5:9" x14ac:dyDescent="0.25">
      <c r="E2796" s="7"/>
      <c r="F2796" t="s">
        <v>20</v>
      </c>
      <c r="G2796" s="10" t="s">
        <v>21</v>
      </c>
      <c r="H2796" t="str">
        <f>"8213586468"</f>
        <v>8213586468</v>
      </c>
      <c r="I2796" t="str">
        <f t="shared" si="63"/>
        <v>UNIFIRST CORPORATION</v>
      </c>
    </row>
    <row r="2797" spans="5:9" x14ac:dyDescent="0.25">
      <c r="E2797" s="7"/>
      <c r="F2797" t="s">
        <v>20</v>
      </c>
      <c r="G2797" s="10" t="s">
        <v>21</v>
      </c>
      <c r="H2797" t="str">
        <f>"8213586469"</f>
        <v>8213586469</v>
      </c>
      <c r="I2797" t="str">
        <f t="shared" si="63"/>
        <v>UNIFIRST CORPORATION</v>
      </c>
    </row>
    <row r="2798" spans="5:9" x14ac:dyDescent="0.25">
      <c r="E2798" s="7"/>
      <c r="F2798" t="s">
        <v>20</v>
      </c>
      <c r="G2798" s="10" t="s">
        <v>21</v>
      </c>
      <c r="H2798" t="str">
        <f>"8213589032"</f>
        <v>8213589032</v>
      </c>
      <c r="I2798" t="str">
        <f t="shared" si="63"/>
        <v>UNIFIRST CORPORATION</v>
      </c>
    </row>
    <row r="2799" spans="5:9" x14ac:dyDescent="0.25">
      <c r="E2799" s="7"/>
      <c r="F2799" t="s">
        <v>20</v>
      </c>
      <c r="G2799" s="10" t="s">
        <v>21</v>
      </c>
      <c r="H2799" t="str">
        <f>"8213589033"</f>
        <v>8213589033</v>
      </c>
      <c r="I2799" t="str">
        <f t="shared" si="63"/>
        <v>UNIFIRST CORPORATION</v>
      </c>
    </row>
    <row r="2800" spans="5:9" x14ac:dyDescent="0.25">
      <c r="E2800" s="7"/>
      <c r="F2800" t="s">
        <v>20</v>
      </c>
      <c r="G2800" s="10" t="s">
        <v>21</v>
      </c>
      <c r="H2800" t="str">
        <f>"8213589034"</f>
        <v>8213589034</v>
      </c>
      <c r="I2800" t="str">
        <f t="shared" si="63"/>
        <v>UNIFIRST CORPORATION</v>
      </c>
    </row>
    <row r="2801" spans="1:9" x14ac:dyDescent="0.25">
      <c r="E2801" s="7"/>
      <c r="F2801" t="s">
        <v>20</v>
      </c>
      <c r="G2801" s="10" t="s">
        <v>21</v>
      </c>
      <c r="H2801" t="str">
        <f>"8213589035"</f>
        <v>8213589035</v>
      </c>
      <c r="I2801" t="str">
        <f t="shared" si="63"/>
        <v>UNIFIRST CORPORATION</v>
      </c>
    </row>
    <row r="2802" spans="1:9" x14ac:dyDescent="0.25">
      <c r="E2802" s="7"/>
      <c r="F2802" t="s">
        <v>20</v>
      </c>
      <c r="G2802" s="10" t="s">
        <v>21</v>
      </c>
      <c r="H2802" t="str">
        <f>"8213589036"</f>
        <v>8213589036</v>
      </c>
      <c r="I2802" t="str">
        <f t="shared" si="63"/>
        <v>UNIFIRST CORPORATION</v>
      </c>
    </row>
    <row r="2803" spans="1:9" x14ac:dyDescent="0.25">
      <c r="E2803" s="7"/>
      <c r="F2803" t="s">
        <v>20</v>
      </c>
      <c r="G2803" s="10" t="s">
        <v>21</v>
      </c>
      <c r="H2803" t="str">
        <f>"8213589037"</f>
        <v>8213589037</v>
      </c>
      <c r="I2803" t="str">
        <f t="shared" si="63"/>
        <v>UNIFIRST CORPORATION</v>
      </c>
    </row>
    <row r="2804" spans="1:9" x14ac:dyDescent="0.25">
      <c r="E2804" s="7"/>
      <c r="F2804" t="s">
        <v>20</v>
      </c>
      <c r="G2804" s="10" t="s">
        <v>21</v>
      </c>
      <c r="H2804" t="str">
        <f>"8213589038"</f>
        <v>8213589038</v>
      </c>
      <c r="I2804" t="str">
        <f t="shared" si="63"/>
        <v>UNIFIRST CORPORATION</v>
      </c>
    </row>
    <row r="2805" spans="1:9" x14ac:dyDescent="0.25">
      <c r="A2805" s="6">
        <v>44314</v>
      </c>
      <c r="B2805" t="s">
        <v>26</v>
      </c>
      <c r="C2805">
        <v>66612</v>
      </c>
      <c r="D2805" t="s">
        <v>122</v>
      </c>
      <c r="E2805" s="7">
        <v>18</v>
      </c>
      <c r="F2805" t="s">
        <v>20</v>
      </c>
      <c r="G2805" s="10" t="s">
        <v>21</v>
      </c>
      <c r="H2805" t="str">
        <f>"142721"</f>
        <v>142721</v>
      </c>
      <c r="I2805" t="str">
        <f>"VILLA TIRES"</f>
        <v>VILLA TIRES</v>
      </c>
    </row>
    <row r="2806" spans="1:9" x14ac:dyDescent="0.25">
      <c r="E2806" s="7"/>
      <c r="F2806" t="s">
        <v>20</v>
      </c>
      <c r="G2806" s="10" t="s">
        <v>21</v>
      </c>
      <c r="H2806" t="str">
        <f>"142727"</f>
        <v>142727</v>
      </c>
      <c r="I2806" t="str">
        <f>"VILLA TIRES"</f>
        <v>VILLA TIRES</v>
      </c>
    </row>
    <row r="2807" spans="1:9" x14ac:dyDescent="0.25">
      <c r="A2807" s="6">
        <v>44314</v>
      </c>
      <c r="B2807" t="s">
        <v>26</v>
      </c>
      <c r="C2807">
        <v>66613</v>
      </c>
      <c r="D2807" t="s">
        <v>1047</v>
      </c>
      <c r="E2807" s="7">
        <v>120</v>
      </c>
      <c r="F2807" t="s">
        <v>20</v>
      </c>
      <c r="G2807" s="10" t="s">
        <v>21</v>
      </c>
      <c r="H2807" t="str">
        <f>"2352"</f>
        <v>2352</v>
      </c>
      <c r="I2807" t="str">
        <f>"LOCKS FOR PANEL TRUCK"</f>
        <v>LOCKS FOR PANEL TRUCK</v>
      </c>
    </row>
    <row r="2808" spans="1:9" x14ac:dyDescent="0.25">
      <c r="A2808" s="6">
        <v>44314</v>
      </c>
      <c r="B2808" t="s">
        <v>26</v>
      </c>
      <c r="C2808">
        <v>66614</v>
      </c>
      <c r="D2808" t="s">
        <v>104</v>
      </c>
      <c r="E2808" s="7">
        <v>25</v>
      </c>
      <c r="F2808" t="s">
        <v>20</v>
      </c>
      <c r="G2808" s="10" t="s">
        <v>21</v>
      </c>
      <c r="H2808" t="str">
        <f>"44798"</f>
        <v>44798</v>
      </c>
      <c r="I2808" t="str">
        <f>"ANDY JOSLIN BUSINESS CARD"</f>
        <v>ANDY JOSLIN BUSINESS CARD</v>
      </c>
    </row>
    <row r="2809" spans="1:9" x14ac:dyDescent="0.25">
      <c r="A2809" s="6">
        <v>44315</v>
      </c>
      <c r="B2809" t="s">
        <v>26</v>
      </c>
      <c r="C2809">
        <v>66615</v>
      </c>
      <c r="D2809" t="s">
        <v>1046</v>
      </c>
      <c r="E2809" s="7">
        <v>540</v>
      </c>
      <c r="F2809" t="s">
        <v>20</v>
      </c>
      <c r="G2809" s="10" t="s">
        <v>21</v>
      </c>
      <c r="H2809" t="str">
        <f>"1767*"</f>
        <v>1767*</v>
      </c>
      <c r="I2809" t="str">
        <f>"WW LIFT STATION"</f>
        <v>WW LIFT STATION</v>
      </c>
    </row>
    <row r="2810" spans="1:9" x14ac:dyDescent="0.25">
      <c r="E2810" s="7"/>
      <c r="F2810" t="s">
        <v>20</v>
      </c>
      <c r="G2810" s="10" t="s">
        <v>21</v>
      </c>
      <c r="H2810" t="str">
        <f>"1767- reissue"</f>
        <v>1767- reissue</v>
      </c>
      <c r="I2810" t="str">
        <f>"FEREZCO POWER SYSTEMS LLC"</f>
        <v>FEREZCO POWER SYSTEMS LLC</v>
      </c>
    </row>
    <row r="2811" spans="1:9" x14ac:dyDescent="0.25">
      <c r="A2811" s="6">
        <v>44322</v>
      </c>
      <c r="B2811" t="s">
        <v>26</v>
      </c>
      <c r="C2811">
        <v>66621</v>
      </c>
      <c r="D2811" t="s">
        <v>51</v>
      </c>
      <c r="E2811" s="7">
        <v>346.31</v>
      </c>
      <c r="F2811" t="s">
        <v>20</v>
      </c>
      <c r="G2811" s="10" t="s">
        <v>21</v>
      </c>
      <c r="H2811" t="str">
        <f>"CLE202105048607"</f>
        <v>CLE202105048607</v>
      </c>
      <c r="I2811" t="str">
        <f>"CLEAT ONLY DUES"</f>
        <v>CLEAT ONLY DUES</v>
      </c>
    </row>
    <row r="2812" spans="1:9" x14ac:dyDescent="0.25">
      <c r="E2812" s="7"/>
      <c r="F2812" t="s">
        <v>20</v>
      </c>
      <c r="G2812" s="10" t="s">
        <v>21</v>
      </c>
      <c r="H2812" t="str">
        <f>"PDD202105048607"</f>
        <v>PDD202105048607</v>
      </c>
      <c r="I2812" t="str">
        <f>"POLICE OFFICERS ASSOC DUES"</f>
        <v>POLICE OFFICERS ASSOC DUES</v>
      </c>
    </row>
    <row r="2813" spans="1:9" x14ac:dyDescent="0.25">
      <c r="A2813" s="6">
        <v>44322</v>
      </c>
      <c r="B2813" t="s">
        <v>26</v>
      </c>
      <c r="C2813">
        <v>66622</v>
      </c>
      <c r="D2813" t="s">
        <v>52</v>
      </c>
      <c r="E2813" s="7">
        <v>926.54</v>
      </c>
      <c r="F2813" t="s">
        <v>20</v>
      </c>
      <c r="G2813" s="10" t="s">
        <v>21</v>
      </c>
      <c r="H2813" t="str">
        <f>"CA1202105048607"</f>
        <v>CA1202105048607</v>
      </c>
      <c r="I2813" t="str">
        <f>"K RAMIREZ 001200229510060343CV"</f>
        <v>K RAMIREZ 001200229510060343CV</v>
      </c>
    </row>
    <row r="2814" spans="1:9" x14ac:dyDescent="0.25">
      <c r="E2814" s="7"/>
      <c r="F2814" t="s">
        <v>20</v>
      </c>
      <c r="G2814" s="10" t="s">
        <v>21</v>
      </c>
      <c r="H2814" t="str">
        <f>"CA2202105048607"</f>
        <v>CA2202105048607</v>
      </c>
      <c r="I2814" t="str">
        <f>"L HERNANDEZ 001016025203080354"</f>
        <v>L HERNANDEZ 001016025203080354</v>
      </c>
    </row>
    <row r="2815" spans="1:9" x14ac:dyDescent="0.25">
      <c r="E2815" s="7"/>
      <c r="F2815" t="s">
        <v>20</v>
      </c>
      <c r="G2815" s="10" t="s">
        <v>21</v>
      </c>
      <c r="H2815" t="str">
        <f>"CA3202105048607"</f>
        <v>CA3202105048607</v>
      </c>
      <c r="I2815" t="str">
        <f>"00120788612011EM5023JOLENEGARC"</f>
        <v>00120788612011EM5023JOLENEGARC</v>
      </c>
    </row>
    <row r="2816" spans="1:9" x14ac:dyDescent="0.25">
      <c r="E2816" s="7"/>
      <c r="F2816" t="s">
        <v>20</v>
      </c>
      <c r="G2816" s="10" t="s">
        <v>21</v>
      </c>
      <c r="H2816" t="str">
        <f>"CSA202105048607"</f>
        <v>CSA202105048607</v>
      </c>
      <c r="I2816" t="str">
        <f>"S RODRIGUEZ 001281730413050336"</f>
        <v>S RODRIGUEZ 001281730413050336</v>
      </c>
    </row>
    <row r="2817" spans="1:9" x14ac:dyDescent="0.25">
      <c r="E2817" s="7"/>
      <c r="F2817" t="s">
        <v>20</v>
      </c>
      <c r="G2817" s="10" t="s">
        <v>21</v>
      </c>
      <c r="H2817" t="str">
        <f>"CSI202105048607"</f>
        <v>CSI202105048607</v>
      </c>
      <c r="I2817" t="str">
        <f>"KTRINIDAD0014071774CVW2000777"</f>
        <v>KTRINIDAD0014071774CVW2000777</v>
      </c>
    </row>
    <row r="2818" spans="1:9" x14ac:dyDescent="0.25">
      <c r="A2818" s="6">
        <v>44322</v>
      </c>
      <c r="B2818" t="s">
        <v>26</v>
      </c>
      <c r="C2818">
        <v>66623</v>
      </c>
      <c r="D2818" t="s">
        <v>54</v>
      </c>
      <c r="E2818" s="7">
        <v>1164.93</v>
      </c>
      <c r="F2818" t="s">
        <v>20</v>
      </c>
      <c r="G2818" s="10" t="s">
        <v>21</v>
      </c>
      <c r="H2818" t="str">
        <f>"BRE202105048607"</f>
        <v>BRE202105048607</v>
      </c>
      <c r="I2818" t="str">
        <f>"CASE #180-60751 457B DEDUCT"</f>
        <v>CASE #180-60751 457B DEDUCT</v>
      </c>
    </row>
    <row r="2819" spans="1:9" x14ac:dyDescent="0.25">
      <c r="A2819" s="6">
        <v>44322</v>
      </c>
      <c r="B2819" t="s">
        <v>26</v>
      </c>
      <c r="C2819">
        <v>66624</v>
      </c>
      <c r="D2819" t="s">
        <v>83</v>
      </c>
      <c r="E2819" s="7">
        <v>1080</v>
      </c>
      <c r="F2819" t="s">
        <v>20</v>
      </c>
      <c r="G2819" s="10" t="s">
        <v>21</v>
      </c>
      <c r="H2819" t="str">
        <f>"1561183"</f>
        <v>1561183</v>
      </c>
      <c r="I2819" t="str">
        <f>"APPRIVER"</f>
        <v>APPRIVER</v>
      </c>
    </row>
    <row r="2820" spans="1:9" x14ac:dyDescent="0.25">
      <c r="A2820" s="6">
        <v>44322</v>
      </c>
      <c r="B2820" t="s">
        <v>26</v>
      </c>
      <c r="C2820">
        <v>66625</v>
      </c>
      <c r="D2820" t="s">
        <v>836</v>
      </c>
      <c r="E2820" s="7">
        <v>5468.36</v>
      </c>
      <c r="F2820" t="s">
        <v>20</v>
      </c>
      <c r="G2820" s="10" t="s">
        <v>21</v>
      </c>
      <c r="H2820" t="str">
        <f>"74460"</f>
        <v>74460</v>
      </c>
      <c r="I2820" t="str">
        <f>"BARCOM TECHNOLOGY SOLUTIONS  I"</f>
        <v>BARCOM TECHNOLOGY SOLUTIONS  I</v>
      </c>
    </row>
    <row r="2821" spans="1:9" x14ac:dyDescent="0.25">
      <c r="E2821" s="7"/>
      <c r="F2821" t="s">
        <v>20</v>
      </c>
      <c r="G2821" s="10" t="s">
        <v>21</v>
      </c>
      <c r="H2821" t="str">
        <f>"74461"</f>
        <v>74461</v>
      </c>
      <c r="I2821" t="str">
        <f>"BARCOM TECHNOLOGY SOLUTIONS  I"</f>
        <v>BARCOM TECHNOLOGY SOLUTIONS  I</v>
      </c>
    </row>
    <row r="2822" spans="1:9" x14ac:dyDescent="0.25">
      <c r="A2822" s="6">
        <v>44322</v>
      </c>
      <c r="B2822" t="s">
        <v>26</v>
      </c>
      <c r="C2822">
        <v>66626</v>
      </c>
      <c r="D2822" t="s">
        <v>71</v>
      </c>
      <c r="E2822" s="7">
        <v>1270.6500000000001</v>
      </c>
      <c r="F2822" t="s">
        <v>20</v>
      </c>
      <c r="G2822" s="10" t="s">
        <v>21</v>
      </c>
      <c r="H2822" t="str">
        <f>"4082524521"</f>
        <v>4082524521</v>
      </c>
      <c r="I2822" t="str">
        <f t="shared" ref="I2822:I2827" si="64">"CINTAS CORPORATION #087"</f>
        <v>CINTAS CORPORATION #087</v>
      </c>
    </row>
    <row r="2823" spans="1:9" x14ac:dyDescent="0.25">
      <c r="E2823" s="7"/>
      <c r="F2823" t="s">
        <v>20</v>
      </c>
      <c r="G2823" s="10" t="s">
        <v>21</v>
      </c>
      <c r="H2823" t="str">
        <f>"4082524607"</f>
        <v>4082524607</v>
      </c>
      <c r="I2823" t="str">
        <f t="shared" si="64"/>
        <v>CINTAS CORPORATION #087</v>
      </c>
    </row>
    <row r="2824" spans="1:9" x14ac:dyDescent="0.25">
      <c r="E2824" s="7"/>
      <c r="F2824" t="s">
        <v>20</v>
      </c>
      <c r="G2824" s="10" t="s">
        <v>21</v>
      </c>
      <c r="H2824" t="str">
        <f>"4082524610"</f>
        <v>4082524610</v>
      </c>
      <c r="I2824" t="str">
        <f t="shared" si="64"/>
        <v>CINTAS CORPORATION #087</v>
      </c>
    </row>
    <row r="2825" spans="1:9" x14ac:dyDescent="0.25">
      <c r="E2825" s="7"/>
      <c r="F2825" t="s">
        <v>20</v>
      </c>
      <c r="G2825" s="10" t="s">
        <v>21</v>
      </c>
      <c r="H2825" t="str">
        <f>"4082524618"</f>
        <v>4082524618</v>
      </c>
      <c r="I2825" t="str">
        <f t="shared" si="64"/>
        <v>CINTAS CORPORATION #087</v>
      </c>
    </row>
    <row r="2826" spans="1:9" x14ac:dyDescent="0.25">
      <c r="E2826" s="7"/>
      <c r="F2826" t="s">
        <v>20</v>
      </c>
      <c r="G2826" s="10" t="s">
        <v>21</v>
      </c>
      <c r="H2826" t="str">
        <f>"4082524625"</f>
        <v>4082524625</v>
      </c>
      <c r="I2826" t="str">
        <f t="shared" si="64"/>
        <v>CINTAS CORPORATION #087</v>
      </c>
    </row>
    <row r="2827" spans="1:9" x14ac:dyDescent="0.25">
      <c r="E2827" s="7"/>
      <c r="F2827" t="s">
        <v>20</v>
      </c>
      <c r="G2827" s="10" t="s">
        <v>21</v>
      </c>
      <c r="H2827" t="str">
        <f>"4082524633"</f>
        <v>4082524633</v>
      </c>
      <c r="I2827" t="str">
        <f t="shared" si="64"/>
        <v>CINTAS CORPORATION #087</v>
      </c>
    </row>
    <row r="2828" spans="1:9" x14ac:dyDescent="0.25">
      <c r="A2828" s="6">
        <v>44322</v>
      </c>
      <c r="B2828" t="s">
        <v>91</v>
      </c>
      <c r="C2828">
        <v>66628</v>
      </c>
      <c r="D2828" t="s">
        <v>98</v>
      </c>
      <c r="E2828" s="7">
        <v>169.75</v>
      </c>
      <c r="F2828" t="s">
        <v>20</v>
      </c>
      <c r="G2828" s="10" t="s">
        <v>21</v>
      </c>
      <c r="H2828" t="str">
        <f>"DEC.2020"</f>
        <v>DEC.2020</v>
      </c>
      <c r="I2828" t="str">
        <f>"DEARBORN LIFE INSURANCE COMPAN"</f>
        <v>DEARBORN LIFE INSURANCE COMPAN</v>
      </c>
    </row>
    <row r="2829" spans="1:9" x14ac:dyDescent="0.25">
      <c r="E2829" s="7"/>
      <c r="F2829" t="s">
        <v>20</v>
      </c>
      <c r="G2829" s="10" t="s">
        <v>21</v>
      </c>
      <c r="H2829" t="str">
        <f>"VOL202101138596"</f>
        <v>VOL202101138596</v>
      </c>
      <c r="I2829" t="str">
        <f>"LIFE"</f>
        <v>LIFE</v>
      </c>
    </row>
    <row r="2830" spans="1:9" x14ac:dyDescent="0.25">
      <c r="A2830" s="6">
        <v>44322</v>
      </c>
      <c r="B2830" t="s">
        <v>91</v>
      </c>
      <c r="C2830">
        <v>66628</v>
      </c>
      <c r="D2830" t="s">
        <v>98</v>
      </c>
      <c r="E2830" s="7">
        <v>169.75</v>
      </c>
      <c r="F2830" t="s">
        <v>20</v>
      </c>
      <c r="G2830" s="10" t="s">
        <v>93</v>
      </c>
      <c r="H2830" t="str">
        <f>"CHECK"</f>
        <v>CHECK</v>
      </c>
      <c r="I2830" t="str">
        <f>""</f>
        <v/>
      </c>
    </row>
    <row r="2831" spans="1:9" x14ac:dyDescent="0.25">
      <c r="A2831" s="6">
        <v>44322</v>
      </c>
      <c r="B2831" t="s">
        <v>26</v>
      </c>
      <c r="C2831">
        <v>66630</v>
      </c>
      <c r="D2831" t="s">
        <v>64</v>
      </c>
      <c r="E2831" s="7">
        <v>4942</v>
      </c>
      <c r="F2831" t="s">
        <v>20</v>
      </c>
      <c r="G2831" s="10" t="s">
        <v>21</v>
      </c>
      <c r="H2831" t="str">
        <f>"8462"</f>
        <v>8462</v>
      </c>
      <c r="I2831" t="str">
        <f>"DREWA DESIGNS  INC."</f>
        <v>DREWA DESIGNS  INC.</v>
      </c>
    </row>
    <row r="2832" spans="1:9" x14ac:dyDescent="0.25">
      <c r="A2832" s="6">
        <v>44322</v>
      </c>
      <c r="B2832" t="s">
        <v>26</v>
      </c>
      <c r="C2832">
        <v>66631</v>
      </c>
      <c r="D2832" t="s">
        <v>85</v>
      </c>
      <c r="E2832" s="7">
        <v>2731.43</v>
      </c>
      <c r="F2832" t="s">
        <v>20</v>
      </c>
      <c r="G2832" s="10" t="s">
        <v>21</v>
      </c>
      <c r="H2832" t="str">
        <f>"2162691 APR.2021"</f>
        <v>2162691 APR.2021</v>
      </c>
      <c r="I2832" t="str">
        <f>"FRONTIER"</f>
        <v>FRONTIER</v>
      </c>
    </row>
    <row r="2833" spans="1:9" x14ac:dyDescent="0.25">
      <c r="E2833" s="7"/>
      <c r="F2833" t="s">
        <v>20</v>
      </c>
      <c r="G2833" s="10" t="s">
        <v>21</v>
      </c>
      <c r="H2833" t="str">
        <f>"3933718 APR.2021"</f>
        <v>3933718 APR.2021</v>
      </c>
      <c r="I2833" t="str">
        <f>"FRONTIER"</f>
        <v>FRONTIER</v>
      </c>
    </row>
    <row r="2834" spans="1:9" x14ac:dyDescent="0.25">
      <c r="E2834" s="7"/>
      <c r="F2834" t="s">
        <v>20</v>
      </c>
      <c r="G2834" s="10" t="s">
        <v>21</v>
      </c>
      <c r="H2834" t="str">
        <f>"3934055 APR.2021"</f>
        <v>3934055 APR.2021</v>
      </c>
      <c r="I2834" t="str">
        <f>"FRONTIER"</f>
        <v>FRONTIER</v>
      </c>
    </row>
    <row r="2835" spans="1:9" x14ac:dyDescent="0.25">
      <c r="E2835" s="7"/>
      <c r="F2835" t="s">
        <v>20</v>
      </c>
      <c r="G2835" s="10" t="s">
        <v>21</v>
      </c>
      <c r="H2835" t="str">
        <f>"7-355-05121"</f>
        <v>7-355-05121</v>
      </c>
      <c r="I2835" t="str">
        <f>"FRONTIER"</f>
        <v>FRONTIER</v>
      </c>
    </row>
    <row r="2836" spans="1:9" x14ac:dyDescent="0.25">
      <c r="E2836" s="7"/>
      <c r="F2836" t="s">
        <v>20</v>
      </c>
      <c r="G2836" s="10" t="s">
        <v>21</v>
      </c>
      <c r="H2836" t="str">
        <f>"8301970025 4/2021"</f>
        <v>8301970025 4/2021</v>
      </c>
      <c r="I2836" t="str">
        <f>"FRONTIER"</f>
        <v>FRONTIER</v>
      </c>
    </row>
    <row r="2837" spans="1:9" x14ac:dyDescent="0.25">
      <c r="A2837" s="6">
        <v>44322</v>
      </c>
      <c r="B2837" t="s">
        <v>91</v>
      </c>
      <c r="C2837">
        <v>66633</v>
      </c>
      <c r="D2837" t="s">
        <v>97</v>
      </c>
      <c r="E2837" s="7">
        <v>5054.63</v>
      </c>
      <c r="F2837" t="s">
        <v>20</v>
      </c>
      <c r="G2837" s="10" t="s">
        <v>24</v>
      </c>
      <c r="H2837" t="str">
        <f>"4/1-5/1-2021"</f>
        <v>4/1-5/1-2021</v>
      </c>
      <c r="I2837" t="str">
        <f>"HEALTH CARE SERVICE CORPORATIO"</f>
        <v>HEALTH CARE SERVICE CORPORATIO</v>
      </c>
    </row>
    <row r="2838" spans="1:9" x14ac:dyDescent="0.25">
      <c r="E2838" s="7"/>
      <c r="F2838" t="s">
        <v>20</v>
      </c>
      <c r="G2838" s="10" t="s">
        <v>21</v>
      </c>
      <c r="H2838" t="str">
        <f>"DEC.2020"</f>
        <v>DEC.2020</v>
      </c>
      <c r="I2838" t="str">
        <f>"HEALTH CARE SERVICE CORPORATIO"</f>
        <v>HEALTH CARE SERVICE CORPORATIO</v>
      </c>
    </row>
    <row r="2839" spans="1:9" x14ac:dyDescent="0.25">
      <c r="E2839" s="7"/>
      <c r="F2839" t="s">
        <v>20</v>
      </c>
      <c r="G2839" s="10" t="s">
        <v>21</v>
      </c>
      <c r="H2839" t="str">
        <f>"DEN202101138597"</f>
        <v>DEN202101138597</v>
      </c>
      <c r="I2839" t="str">
        <f>"DENTAL INSURANCE"</f>
        <v>DENTAL INSURANCE</v>
      </c>
    </row>
    <row r="2840" spans="1:9" x14ac:dyDescent="0.25">
      <c r="A2840" s="6">
        <v>44322</v>
      </c>
      <c r="B2840" t="s">
        <v>91</v>
      </c>
      <c r="C2840">
        <v>66633</v>
      </c>
      <c r="D2840" t="s">
        <v>97</v>
      </c>
      <c r="E2840" s="7">
        <v>5054.63</v>
      </c>
      <c r="F2840" t="s">
        <v>20</v>
      </c>
      <c r="G2840" s="10" t="s">
        <v>93</v>
      </c>
      <c r="H2840" t="str">
        <f>"CHECK"</f>
        <v>CHECK</v>
      </c>
      <c r="I2840" t="str">
        <f>""</f>
        <v/>
      </c>
    </row>
    <row r="2841" spans="1:9" x14ac:dyDescent="0.25">
      <c r="A2841" s="6">
        <v>44322</v>
      </c>
      <c r="B2841" t="s">
        <v>26</v>
      </c>
      <c r="C2841">
        <v>66635</v>
      </c>
      <c r="D2841" t="s">
        <v>986</v>
      </c>
      <c r="E2841" s="7">
        <v>1240</v>
      </c>
      <c r="F2841" t="s">
        <v>20</v>
      </c>
      <c r="G2841" s="10" t="s">
        <v>21</v>
      </c>
      <c r="H2841" t="str">
        <f>"4/19-4/30/2021"</f>
        <v>4/19-4/30/2021</v>
      </c>
      <c r="I2841" t="str">
        <f>"KERRY L. ESQUIVEL"</f>
        <v>KERRY L. ESQUIVEL</v>
      </c>
    </row>
    <row r="2842" spans="1:9" x14ac:dyDescent="0.25">
      <c r="A2842" s="6">
        <v>44322</v>
      </c>
      <c r="B2842" t="s">
        <v>26</v>
      </c>
      <c r="C2842">
        <v>66636</v>
      </c>
      <c r="D2842" t="s">
        <v>66</v>
      </c>
      <c r="E2842" s="7">
        <v>502.88</v>
      </c>
      <c r="F2842" t="s">
        <v>20</v>
      </c>
      <c r="G2842" s="10" t="s">
        <v>21</v>
      </c>
      <c r="H2842" t="str">
        <f>"60489"</f>
        <v>60489</v>
      </c>
      <c r="I2842" t="str">
        <f>"LOPEZ EXTERMINATING SERVICE  I"</f>
        <v>LOPEZ EXTERMINATING SERVICE  I</v>
      </c>
    </row>
    <row r="2843" spans="1:9" x14ac:dyDescent="0.25">
      <c r="A2843" s="6">
        <v>44322</v>
      </c>
      <c r="B2843" t="s">
        <v>26</v>
      </c>
      <c r="C2843">
        <v>66637</v>
      </c>
      <c r="D2843" t="s">
        <v>80</v>
      </c>
      <c r="E2843" s="7">
        <v>1500</v>
      </c>
      <c r="F2843" t="s">
        <v>20</v>
      </c>
      <c r="G2843" s="10" t="s">
        <v>21</v>
      </c>
      <c r="H2843" t="str">
        <f>"1648-20210501-1"</f>
        <v>1648-20210501-1</v>
      </c>
      <c r="I2843" t="str">
        <f>"LVWIFI.COM"</f>
        <v>LVWIFI.COM</v>
      </c>
    </row>
    <row r="2844" spans="1:9" x14ac:dyDescent="0.25">
      <c r="E2844" s="7"/>
      <c r="F2844" t="s">
        <v>20</v>
      </c>
      <c r="G2844" s="10" t="s">
        <v>21</v>
      </c>
      <c r="H2844" t="str">
        <f>"2313-20210501-1"</f>
        <v>2313-20210501-1</v>
      </c>
      <c r="I2844" t="str">
        <f>"LVWIFI.COM"</f>
        <v>LVWIFI.COM</v>
      </c>
    </row>
    <row r="2845" spans="1:9" x14ac:dyDescent="0.25">
      <c r="A2845" s="6">
        <v>44322</v>
      </c>
      <c r="B2845" t="s">
        <v>26</v>
      </c>
      <c r="C2845">
        <v>66638</v>
      </c>
      <c r="D2845" t="s">
        <v>528</v>
      </c>
      <c r="E2845" s="7">
        <v>156.69</v>
      </c>
      <c r="F2845" t="s">
        <v>20</v>
      </c>
      <c r="G2845" s="10" t="s">
        <v>21</v>
      </c>
      <c r="H2845" t="str">
        <f>"10555795"</f>
        <v>10555795</v>
      </c>
      <c r="I2845" t="str">
        <f>"PROSTAR SERVICES INC"</f>
        <v>PROSTAR SERVICES INC</v>
      </c>
    </row>
    <row r="2846" spans="1:9" x14ac:dyDescent="0.25">
      <c r="A2846" s="6">
        <v>44322</v>
      </c>
      <c r="B2846" t="s">
        <v>26</v>
      </c>
      <c r="C2846">
        <v>66639</v>
      </c>
      <c r="D2846" t="s">
        <v>132</v>
      </c>
      <c r="E2846" s="7">
        <v>83.55</v>
      </c>
      <c r="F2846" t="s">
        <v>20</v>
      </c>
      <c r="G2846" s="10" t="s">
        <v>21</v>
      </c>
      <c r="H2846" t="str">
        <f>"16992887 042221"</f>
        <v>16992887 042221</v>
      </c>
      <c r="I2846" t="str">
        <f>"SPARKLETTS &amp; SIERRA SPRINGS"</f>
        <v>SPARKLETTS &amp; SIERRA SPRINGS</v>
      </c>
    </row>
    <row r="2847" spans="1:9" x14ac:dyDescent="0.25">
      <c r="A2847" s="6">
        <v>44322</v>
      </c>
      <c r="B2847" t="s">
        <v>26</v>
      </c>
      <c r="C2847">
        <v>66640</v>
      </c>
      <c r="D2847" t="s">
        <v>554</v>
      </c>
      <c r="E2847" s="7">
        <v>74.95</v>
      </c>
      <c r="F2847" t="s">
        <v>20</v>
      </c>
      <c r="G2847" s="10" t="s">
        <v>21</v>
      </c>
      <c r="H2847" t="str">
        <f>"AB30724"</f>
        <v>AB30724</v>
      </c>
      <c r="I2847" t="str">
        <f>"TEXAS WIRED MUSIC"</f>
        <v>TEXAS WIRED MUSIC</v>
      </c>
    </row>
    <row r="2848" spans="1:9" x14ac:dyDescent="0.25">
      <c r="A2848" s="6">
        <v>44322</v>
      </c>
      <c r="B2848" t="s">
        <v>26</v>
      </c>
      <c r="C2848">
        <v>66641</v>
      </c>
      <c r="D2848" t="s">
        <v>254</v>
      </c>
      <c r="E2848" s="7">
        <v>22444.31</v>
      </c>
      <c r="F2848" t="s">
        <v>20</v>
      </c>
      <c r="G2848" s="10" t="s">
        <v>21</v>
      </c>
      <c r="H2848" t="str">
        <f>"QRT END 12/31/2020"</f>
        <v>QRT END 12/31/2020</v>
      </c>
      <c r="I2848" t="str">
        <f>"TEXAS WORKFORCE COMMISSION"</f>
        <v>TEXAS WORKFORCE COMMISSION</v>
      </c>
    </row>
    <row r="2849" spans="1:9" x14ac:dyDescent="0.25">
      <c r="A2849" s="6">
        <v>44322</v>
      </c>
      <c r="B2849" t="s">
        <v>26</v>
      </c>
      <c r="C2849">
        <v>66642</v>
      </c>
      <c r="D2849" t="s">
        <v>31</v>
      </c>
      <c r="E2849" s="7">
        <v>4000</v>
      </c>
      <c r="F2849" t="s">
        <v>20</v>
      </c>
      <c r="G2849" s="10" t="s">
        <v>21</v>
      </c>
      <c r="H2849" t="str">
        <f>"2021265"</f>
        <v>2021265</v>
      </c>
      <c r="I2849" t="str">
        <f>"THE LAW OFFICE OF TOM CALDWELL"</f>
        <v>THE LAW OFFICE OF TOM CALDWELL</v>
      </c>
    </row>
    <row r="2850" spans="1:9" x14ac:dyDescent="0.25">
      <c r="A2850" s="6">
        <v>44322</v>
      </c>
      <c r="B2850" t="s">
        <v>26</v>
      </c>
      <c r="C2850">
        <v>66643</v>
      </c>
      <c r="D2850" t="s">
        <v>61</v>
      </c>
      <c r="E2850" s="7">
        <v>2684.3</v>
      </c>
      <c r="F2850" t="s">
        <v>20</v>
      </c>
      <c r="G2850" s="10" t="s">
        <v>21</v>
      </c>
      <c r="H2850" t="str">
        <f>"025-330745"</f>
        <v>025-330745</v>
      </c>
      <c r="I2850" t="str">
        <f>"TYLER TECHNOLOGIES  INC."</f>
        <v>TYLER TECHNOLOGIES  INC.</v>
      </c>
    </row>
    <row r="2851" spans="1:9" x14ac:dyDescent="0.25">
      <c r="E2851" s="7"/>
      <c r="F2851" t="s">
        <v>20</v>
      </c>
      <c r="G2851" s="10" t="s">
        <v>21</v>
      </c>
      <c r="H2851" t="str">
        <f>"025-331377"</f>
        <v>025-331377</v>
      </c>
      <c r="I2851" t="str">
        <f>"TYLER TECHNOLOGIES  INC."</f>
        <v>TYLER TECHNOLOGIES  INC.</v>
      </c>
    </row>
    <row r="2852" spans="1:9" x14ac:dyDescent="0.25">
      <c r="A2852" s="6">
        <v>44322</v>
      </c>
      <c r="B2852" t="s">
        <v>26</v>
      </c>
      <c r="C2852">
        <v>66644</v>
      </c>
      <c r="D2852" t="s">
        <v>74</v>
      </c>
      <c r="E2852" s="7">
        <v>26.7</v>
      </c>
      <c r="F2852" t="s">
        <v>20</v>
      </c>
      <c r="G2852" s="10" t="s">
        <v>21</v>
      </c>
      <c r="H2852" t="str">
        <f>"9878339514"</f>
        <v>9878339514</v>
      </c>
      <c r="I2852" t="str">
        <f>"VERIZON WIRELESS"</f>
        <v>VERIZON WIRELESS</v>
      </c>
    </row>
    <row r="2853" spans="1:9" x14ac:dyDescent="0.25">
      <c r="A2853" s="6">
        <v>44322</v>
      </c>
      <c r="B2853" t="s">
        <v>26</v>
      </c>
      <c r="C2853">
        <v>66645</v>
      </c>
      <c r="D2853" t="s">
        <v>122</v>
      </c>
      <c r="E2853" s="7">
        <v>10</v>
      </c>
      <c r="F2853" t="s">
        <v>20</v>
      </c>
      <c r="G2853" s="10" t="s">
        <v>21</v>
      </c>
      <c r="H2853" t="str">
        <f>"142712"</f>
        <v>142712</v>
      </c>
      <c r="I2853" t="str">
        <f>"VILLA TIRES"</f>
        <v>VILLA TIRES</v>
      </c>
    </row>
    <row r="2854" spans="1:9" x14ac:dyDescent="0.25">
      <c r="A2854" s="6">
        <v>44322</v>
      </c>
      <c r="B2854" t="s">
        <v>26</v>
      </c>
      <c r="C2854">
        <v>66646</v>
      </c>
      <c r="D2854" t="s">
        <v>1048</v>
      </c>
      <c r="E2854" s="7">
        <v>50</v>
      </c>
      <c r="F2854" t="s">
        <v>20</v>
      </c>
      <c r="G2854" s="10" t="s">
        <v>21</v>
      </c>
      <c r="H2854" t="str">
        <f>"DPST RFND 4/20/21"</f>
        <v>DPST RFND 4/20/21</v>
      </c>
      <c r="I2854" t="str">
        <f>"REFUND"</f>
        <v>REFUND</v>
      </c>
    </row>
    <row r="2855" spans="1:9" x14ac:dyDescent="0.25">
      <c r="A2855" s="6">
        <v>44322</v>
      </c>
      <c r="B2855" t="s">
        <v>26</v>
      </c>
      <c r="C2855">
        <v>66647</v>
      </c>
      <c r="D2855" t="s">
        <v>303</v>
      </c>
      <c r="E2855" s="7">
        <v>2372.5</v>
      </c>
      <c r="F2855" t="s">
        <v>20</v>
      </c>
      <c r="G2855" s="10" t="s">
        <v>21</v>
      </c>
      <c r="H2855" t="str">
        <f>"383053"</f>
        <v>383053</v>
      </c>
      <c r="I2855" t="str">
        <f>"DUAL-2 ANTENNA RADAR SYST"</f>
        <v>DUAL-2 ANTENNA RADAR SYST</v>
      </c>
    </row>
    <row r="2856" spans="1:9" x14ac:dyDescent="0.25">
      <c r="A2856" s="6">
        <v>44322</v>
      </c>
      <c r="B2856" t="s">
        <v>26</v>
      </c>
      <c r="C2856">
        <v>66648</v>
      </c>
      <c r="D2856" t="s">
        <v>949</v>
      </c>
      <c r="E2856" s="7">
        <v>330.37</v>
      </c>
      <c r="F2856" t="s">
        <v>20</v>
      </c>
      <c r="G2856" s="10" t="s">
        <v>21</v>
      </c>
      <c r="H2856" t="str">
        <f>"17427"</f>
        <v>17427</v>
      </c>
      <c r="I2856" t="str">
        <f>"NEW TRUCK LOGO DECALS"</f>
        <v>NEW TRUCK LOGO DECALS</v>
      </c>
    </row>
    <row r="2857" spans="1:9" x14ac:dyDescent="0.25">
      <c r="A2857" s="6">
        <v>44322</v>
      </c>
      <c r="B2857" t="s">
        <v>26</v>
      </c>
      <c r="C2857">
        <v>66649</v>
      </c>
      <c r="D2857" t="s">
        <v>115</v>
      </c>
      <c r="E2857" s="7">
        <v>36.159999999999997</v>
      </c>
      <c r="F2857" t="s">
        <v>20</v>
      </c>
      <c r="G2857" s="10" t="s">
        <v>21</v>
      </c>
      <c r="H2857" t="str">
        <f>"3547897606"</f>
        <v>3547897606</v>
      </c>
      <c r="I2857" t="str">
        <f>"TRAILER ADAPTER"</f>
        <v>TRAILER ADAPTER</v>
      </c>
    </row>
    <row r="2858" spans="1:9" x14ac:dyDescent="0.25">
      <c r="E2858" s="7"/>
      <c r="F2858" t="s">
        <v>20</v>
      </c>
      <c r="G2858" s="10" t="s">
        <v>21</v>
      </c>
      <c r="H2858" t="str">
        <f>"3547897607"</f>
        <v>3547897607</v>
      </c>
      <c r="I2858" t="str">
        <f>"2021 GMC WATER DEPT"</f>
        <v>2021 GMC WATER DEPT</v>
      </c>
    </row>
    <row r="2859" spans="1:9" x14ac:dyDescent="0.25">
      <c r="A2859" s="6">
        <v>44322</v>
      </c>
      <c r="B2859" t="s">
        <v>26</v>
      </c>
      <c r="C2859">
        <v>66650</v>
      </c>
      <c r="D2859" t="s">
        <v>899</v>
      </c>
      <c r="E2859" s="7">
        <v>230</v>
      </c>
      <c r="F2859" t="s">
        <v>20</v>
      </c>
      <c r="G2859" s="10" t="s">
        <v>21</v>
      </c>
      <c r="H2859" t="str">
        <f>"ICSI CLS 5/10-5/14"</f>
        <v>ICSI CLS 5/10-5/14</v>
      </c>
      <c r="I2859" t="str">
        <f>"PER DIEM FOR OFF ROMERO"</f>
        <v>PER DIEM FOR OFF ROMERO</v>
      </c>
    </row>
    <row r="2860" spans="1:9" x14ac:dyDescent="0.25">
      <c r="A2860" s="6">
        <v>44322</v>
      </c>
      <c r="B2860" t="s">
        <v>26</v>
      </c>
      <c r="C2860">
        <v>66651</v>
      </c>
      <c r="D2860" t="s">
        <v>77</v>
      </c>
      <c r="E2860" s="7">
        <v>1908.1</v>
      </c>
      <c r="F2860" t="s">
        <v>20</v>
      </c>
      <c r="G2860" s="10" t="s">
        <v>21</v>
      </c>
      <c r="H2860" t="str">
        <f>"857000786-21"</f>
        <v>857000786-21</v>
      </c>
      <c r="I2860" t="str">
        <f>"CHLORINE FOR HOSPITAL"</f>
        <v>CHLORINE FOR HOSPITAL</v>
      </c>
    </row>
    <row r="2861" spans="1:9" x14ac:dyDescent="0.25">
      <c r="E2861" s="7"/>
      <c r="F2861" t="s">
        <v>20</v>
      </c>
      <c r="G2861" s="10" t="s">
        <v>21</v>
      </c>
      <c r="H2861" t="str">
        <f>"857000787-21"</f>
        <v>857000787-21</v>
      </c>
      <c r="I2861" t="str">
        <f>"CHLORINE WWTP"</f>
        <v>CHLORINE WWTP</v>
      </c>
    </row>
    <row r="2862" spans="1:9" x14ac:dyDescent="0.25">
      <c r="A2862" s="6">
        <v>44322</v>
      </c>
      <c r="B2862" t="s">
        <v>26</v>
      </c>
      <c r="C2862">
        <v>66652</v>
      </c>
      <c r="D2862" t="s">
        <v>69</v>
      </c>
      <c r="E2862" s="7">
        <v>96.21</v>
      </c>
      <c r="F2862" t="s">
        <v>20</v>
      </c>
      <c r="G2862" s="10" t="s">
        <v>21</v>
      </c>
      <c r="H2862" t="str">
        <f>"3C07142"</f>
        <v>3C07142</v>
      </c>
      <c r="I2862" t="str">
        <f>"BLADE FOR WWTP"</f>
        <v>BLADE FOR WWTP</v>
      </c>
    </row>
    <row r="2863" spans="1:9" x14ac:dyDescent="0.25">
      <c r="A2863" s="6">
        <v>44322</v>
      </c>
      <c r="B2863" t="s">
        <v>26</v>
      </c>
      <c r="C2863">
        <v>66653</v>
      </c>
      <c r="D2863" t="s">
        <v>59</v>
      </c>
      <c r="E2863" s="7">
        <v>2193</v>
      </c>
      <c r="F2863" t="s">
        <v>20</v>
      </c>
      <c r="G2863" s="10" t="s">
        <v>21</v>
      </c>
      <c r="H2863" t="str">
        <f>"1113559"</f>
        <v>1113559</v>
      </c>
      <c r="I2863" t="str">
        <f>"TRASH PUMP"</f>
        <v>TRASH PUMP</v>
      </c>
    </row>
    <row r="2864" spans="1:9" x14ac:dyDescent="0.25">
      <c r="A2864" s="6">
        <v>44322</v>
      </c>
      <c r="B2864" t="s">
        <v>26</v>
      </c>
      <c r="C2864">
        <v>66654</v>
      </c>
      <c r="D2864" t="s">
        <v>194</v>
      </c>
      <c r="E2864" s="7">
        <v>1298.45</v>
      </c>
      <c r="F2864" t="s">
        <v>20</v>
      </c>
      <c r="G2864" s="10" t="s">
        <v>21</v>
      </c>
      <c r="H2864" t="str">
        <f>"017871335"</f>
        <v>017871335</v>
      </c>
      <c r="I2864" t="str">
        <f>"UNIFORMS"</f>
        <v>UNIFORMS</v>
      </c>
    </row>
    <row r="2865" spans="1:9" x14ac:dyDescent="0.25">
      <c r="E2865" s="7"/>
      <c r="F2865" t="s">
        <v>20</v>
      </c>
      <c r="G2865" s="10" t="s">
        <v>21</v>
      </c>
      <c r="H2865" t="str">
        <f>"018033388"</f>
        <v>018033388</v>
      </c>
      <c r="I2865" t="str">
        <f>"UNIFORM BAL- DET ORTIZ"</f>
        <v>UNIFORM BAL- DET ORTIZ</v>
      </c>
    </row>
    <row r="2866" spans="1:9" x14ac:dyDescent="0.25">
      <c r="E2866" s="7"/>
      <c r="F2866" t="s">
        <v>20</v>
      </c>
      <c r="G2866" s="10" t="s">
        <v>21</v>
      </c>
      <c r="H2866" t="str">
        <f>"018033389"</f>
        <v>018033389</v>
      </c>
      <c r="I2866" t="str">
        <f>"UNIFORM BAL- DET ORTIZ"</f>
        <v>UNIFORM BAL- DET ORTIZ</v>
      </c>
    </row>
    <row r="2867" spans="1:9" x14ac:dyDescent="0.25">
      <c r="E2867" s="7"/>
      <c r="F2867" t="s">
        <v>20</v>
      </c>
      <c r="G2867" s="10" t="s">
        <v>21</v>
      </c>
      <c r="H2867" t="str">
        <f>"018033390"</f>
        <v>018033390</v>
      </c>
      <c r="I2867" t="str">
        <f>"UNIFORM BAL- DET ORTIZ"</f>
        <v>UNIFORM BAL- DET ORTIZ</v>
      </c>
    </row>
    <row r="2868" spans="1:9" x14ac:dyDescent="0.25">
      <c r="E2868" s="7"/>
      <c r="F2868" t="s">
        <v>20</v>
      </c>
      <c r="G2868" s="10" t="s">
        <v>21</v>
      </c>
      <c r="H2868" t="str">
        <f>"018082396"</f>
        <v>018082396</v>
      </c>
      <c r="I2868" t="str">
        <f>"UNIFORM-SGT HERRERA"</f>
        <v>UNIFORM-SGT HERRERA</v>
      </c>
    </row>
    <row r="2869" spans="1:9" x14ac:dyDescent="0.25">
      <c r="A2869" s="6">
        <v>44322</v>
      </c>
      <c r="B2869" t="s">
        <v>26</v>
      </c>
      <c r="C2869">
        <v>66655</v>
      </c>
      <c r="D2869" t="s">
        <v>302</v>
      </c>
      <c r="E2869" s="7">
        <v>153.6</v>
      </c>
      <c r="F2869" t="s">
        <v>20</v>
      </c>
      <c r="G2869" s="10" t="s">
        <v>21</v>
      </c>
      <c r="H2869" t="str">
        <f>"9873791744"</f>
        <v>9873791744</v>
      </c>
      <c r="I2869" t="str">
        <f>"VEHICLE INSPECTION FORM"</f>
        <v>VEHICLE INSPECTION FORM</v>
      </c>
    </row>
    <row r="2870" spans="1:9" x14ac:dyDescent="0.25">
      <c r="A2870" s="6">
        <v>44322</v>
      </c>
      <c r="B2870" t="s">
        <v>26</v>
      </c>
      <c r="C2870">
        <v>66656</v>
      </c>
      <c r="D2870" t="s">
        <v>469</v>
      </c>
      <c r="E2870" s="7">
        <v>429</v>
      </c>
      <c r="F2870" t="s">
        <v>20</v>
      </c>
      <c r="G2870" s="10" t="s">
        <v>21</v>
      </c>
      <c r="H2870" t="str">
        <f>"LEMIT CHIEF CLASS"</f>
        <v>LEMIT CHIEF CLASS</v>
      </c>
      <c r="I2870" t="str">
        <f>"TRAVEL AND TRAINING"</f>
        <v>TRAVEL AND TRAINING</v>
      </c>
    </row>
    <row r="2871" spans="1:9" x14ac:dyDescent="0.25">
      <c r="A2871" s="6">
        <v>44322</v>
      </c>
      <c r="B2871" t="s">
        <v>26</v>
      </c>
      <c r="C2871">
        <v>66657</v>
      </c>
      <c r="D2871" t="s">
        <v>119</v>
      </c>
      <c r="E2871" s="7">
        <v>1004.54</v>
      </c>
      <c r="F2871" t="s">
        <v>20</v>
      </c>
      <c r="G2871" s="10" t="s">
        <v>21</v>
      </c>
      <c r="H2871" t="str">
        <f>"76408"</f>
        <v>76408</v>
      </c>
      <c r="I2871" t="str">
        <f>"2 TIRES FOR DUMP TRUCK"</f>
        <v>2 TIRES FOR DUMP TRUCK</v>
      </c>
    </row>
    <row r="2872" spans="1:9" x14ac:dyDescent="0.25">
      <c r="A2872" s="6">
        <v>44322</v>
      </c>
      <c r="B2872" t="s">
        <v>26</v>
      </c>
      <c r="C2872">
        <v>66658</v>
      </c>
      <c r="D2872" t="s">
        <v>737</v>
      </c>
      <c r="E2872" s="7">
        <v>230</v>
      </c>
      <c r="F2872" t="s">
        <v>20</v>
      </c>
      <c r="G2872" s="10" t="s">
        <v>21</v>
      </c>
      <c r="H2872" t="str">
        <f>"OCSI CLS 5/1-5/14/"</f>
        <v>OCSI CLS 5/1-5/14/</v>
      </c>
      <c r="I2872" t="str">
        <f>"PER DIEM FOR OFF. GARCIA"</f>
        <v>PER DIEM FOR OFF. GARCIA</v>
      </c>
    </row>
    <row r="2873" spans="1:9" x14ac:dyDescent="0.25">
      <c r="A2873" s="6">
        <v>44322</v>
      </c>
      <c r="B2873" t="s">
        <v>26</v>
      </c>
      <c r="C2873">
        <v>66659</v>
      </c>
      <c r="D2873" t="s">
        <v>975</v>
      </c>
      <c r="E2873" s="7">
        <v>107.73</v>
      </c>
      <c r="F2873" t="s">
        <v>20</v>
      </c>
      <c r="G2873" s="10" t="s">
        <v>21</v>
      </c>
      <c r="H2873" t="str">
        <f>"P779928"</f>
        <v>P779928</v>
      </c>
      <c r="I2873" t="str">
        <f>"PART FOR SHREDDER"</f>
        <v>PART FOR SHREDDER</v>
      </c>
    </row>
    <row r="2874" spans="1:9" x14ac:dyDescent="0.25">
      <c r="A2874" s="6">
        <v>44322</v>
      </c>
      <c r="B2874" t="s">
        <v>26</v>
      </c>
      <c r="C2874">
        <v>66660</v>
      </c>
      <c r="D2874" t="s">
        <v>203</v>
      </c>
      <c r="E2874" s="7">
        <v>527.20000000000005</v>
      </c>
      <c r="F2874" t="s">
        <v>20</v>
      </c>
      <c r="G2874" s="10" t="s">
        <v>21</v>
      </c>
      <c r="H2874" t="str">
        <f>"577940"</f>
        <v>577940</v>
      </c>
      <c r="I2874" t="str">
        <f>"POWDER FREE GLOVES"</f>
        <v>POWDER FREE GLOVES</v>
      </c>
    </row>
    <row r="2875" spans="1:9" x14ac:dyDescent="0.25">
      <c r="E2875" s="7"/>
      <c r="F2875" t="s">
        <v>20</v>
      </c>
      <c r="G2875" s="10" t="s">
        <v>21</v>
      </c>
      <c r="H2875" t="str">
        <f>"578090"</f>
        <v>578090</v>
      </c>
      <c r="I2875" t="str">
        <f>"POWDER FREE GLOVES"</f>
        <v>POWDER FREE GLOVES</v>
      </c>
    </row>
    <row r="2876" spans="1:9" x14ac:dyDescent="0.25">
      <c r="A2876" s="6">
        <v>44322</v>
      </c>
      <c r="B2876" t="s">
        <v>26</v>
      </c>
      <c r="C2876">
        <v>66661</v>
      </c>
      <c r="D2876" t="s">
        <v>79</v>
      </c>
      <c r="E2876" s="7">
        <v>37.53</v>
      </c>
      <c r="F2876" t="s">
        <v>20</v>
      </c>
      <c r="G2876" s="10" t="s">
        <v>21</v>
      </c>
      <c r="H2876" t="str">
        <f>"7-355-05121"</f>
        <v>7-355-05121</v>
      </c>
      <c r="I2876" t="str">
        <f>"FEDEX"</f>
        <v>FEDEX</v>
      </c>
    </row>
    <row r="2877" spans="1:9" x14ac:dyDescent="0.25">
      <c r="A2877" s="6">
        <v>44322</v>
      </c>
      <c r="B2877" t="s">
        <v>26</v>
      </c>
      <c r="C2877">
        <v>66662</v>
      </c>
      <c r="D2877" t="s">
        <v>345</v>
      </c>
      <c r="E2877" s="7">
        <v>286</v>
      </c>
      <c r="F2877" t="s">
        <v>20</v>
      </c>
      <c r="G2877" s="10" t="s">
        <v>21</v>
      </c>
      <c r="H2877" t="str">
        <f>"05/3/2021"</f>
        <v>05/3/2021</v>
      </c>
      <c r="I2877" t="str">
        <f>"MICHAEL ISAAC MARTINEZ"</f>
        <v>MICHAEL ISAAC MARTINEZ</v>
      </c>
    </row>
    <row r="2878" spans="1:9" x14ac:dyDescent="0.25">
      <c r="A2878" s="6">
        <v>44322</v>
      </c>
      <c r="B2878" t="s">
        <v>26</v>
      </c>
      <c r="C2878">
        <v>66663</v>
      </c>
      <c r="D2878" t="s">
        <v>698</v>
      </c>
      <c r="E2878" s="7">
        <v>152</v>
      </c>
      <c r="F2878" t="s">
        <v>20</v>
      </c>
      <c r="G2878" s="10" t="s">
        <v>21</v>
      </c>
      <c r="H2878" t="str">
        <f>"4/30/2021"</f>
        <v>4/30/2021</v>
      </c>
      <c r="I2878" t="str">
        <f>"TRACY ORTIZ"</f>
        <v>TRACY ORTIZ</v>
      </c>
    </row>
    <row r="2879" spans="1:9" x14ac:dyDescent="0.25">
      <c r="A2879" s="6">
        <v>44322</v>
      </c>
      <c r="B2879" t="s">
        <v>26</v>
      </c>
      <c r="C2879">
        <v>66664</v>
      </c>
      <c r="D2879" t="s">
        <v>781</v>
      </c>
      <c r="E2879" s="7">
        <v>60</v>
      </c>
      <c r="F2879" t="s">
        <v>20</v>
      </c>
      <c r="G2879" s="10" t="s">
        <v>21</v>
      </c>
      <c r="H2879" t="str">
        <f>"4/30/2021"</f>
        <v>4/30/2021</v>
      </c>
      <c r="I2879" t="str">
        <f>"ASHLEY MARTINEZ"</f>
        <v>ASHLEY MARTINEZ</v>
      </c>
    </row>
    <row r="2880" spans="1:9" x14ac:dyDescent="0.25">
      <c r="A2880" s="6">
        <v>44322</v>
      </c>
      <c r="B2880" t="s">
        <v>26</v>
      </c>
      <c r="C2880">
        <v>66665</v>
      </c>
      <c r="D2880" t="s">
        <v>872</v>
      </c>
      <c r="E2880" s="7">
        <v>60</v>
      </c>
      <c r="F2880" t="s">
        <v>20</v>
      </c>
      <c r="G2880" s="10" t="s">
        <v>21</v>
      </c>
      <c r="H2880" t="str">
        <f>"04/30/2021"</f>
        <v>04/30/2021</v>
      </c>
      <c r="I2880" t="str">
        <f>"DEVIN  DELAINE BENAVIDES"</f>
        <v>DEVIN  DELAINE BENAVIDES</v>
      </c>
    </row>
    <row r="2881" spans="1:9" x14ac:dyDescent="0.25">
      <c r="A2881" s="6">
        <v>44322</v>
      </c>
      <c r="B2881" t="s">
        <v>26</v>
      </c>
      <c r="C2881">
        <v>66666</v>
      </c>
      <c r="D2881" t="s">
        <v>1018</v>
      </c>
      <c r="E2881" s="7">
        <v>4225</v>
      </c>
      <c r="F2881" t="s">
        <v>20</v>
      </c>
      <c r="G2881" s="10" t="s">
        <v>21</v>
      </c>
      <c r="H2881" t="str">
        <f>"4/1-4/30/2021"</f>
        <v>4/1-4/30/2021</v>
      </c>
      <c r="I2881" t="str">
        <f>"LAW OFFICE OF JOSE GARZA"</f>
        <v>LAW OFFICE OF JOSE GARZA</v>
      </c>
    </row>
    <row r="2882" spans="1:9" x14ac:dyDescent="0.25">
      <c r="A2882" s="6">
        <v>44322</v>
      </c>
      <c r="B2882" t="s">
        <v>26</v>
      </c>
      <c r="C2882">
        <v>66667</v>
      </c>
      <c r="D2882" t="s">
        <v>90</v>
      </c>
      <c r="E2882" s="7">
        <v>2454.84</v>
      </c>
      <c r="F2882" t="s">
        <v>20</v>
      </c>
      <c r="G2882" s="10" t="s">
        <v>329</v>
      </c>
      <c r="H2882" t="str">
        <f>"250289"</f>
        <v>250289</v>
      </c>
      <c r="I2882" t="str">
        <f>"AFLAC"</f>
        <v>AFLAC</v>
      </c>
    </row>
    <row r="2883" spans="1:9" x14ac:dyDescent="0.25">
      <c r="E2883" s="7"/>
      <c r="F2883" t="s">
        <v>20</v>
      </c>
      <c r="G2883" s="10" t="s">
        <v>21</v>
      </c>
      <c r="H2883" t="str">
        <f>"ACA202104078605"</f>
        <v>ACA202104078605</v>
      </c>
      <c r="I2883" t="str">
        <f>"AFLAC INSURANCE"</f>
        <v>AFLAC INSURANCE</v>
      </c>
    </row>
    <row r="2884" spans="1:9" x14ac:dyDescent="0.25">
      <c r="E2884" s="7"/>
      <c r="F2884" t="s">
        <v>20</v>
      </c>
      <c r="G2884" s="10" t="s">
        <v>21</v>
      </c>
      <c r="H2884" t="str">
        <f>"ACA202104208606"</f>
        <v>ACA202104208606</v>
      </c>
      <c r="I2884" t="str">
        <f>"AFLAC INSURANCE"</f>
        <v>AFLAC INSURANCE</v>
      </c>
    </row>
    <row r="2885" spans="1:9" x14ac:dyDescent="0.25">
      <c r="E2885" s="7"/>
      <c r="F2885" t="s">
        <v>20</v>
      </c>
      <c r="G2885" s="10" t="s">
        <v>21</v>
      </c>
      <c r="H2885" t="str">
        <f>"ADR202104078605"</f>
        <v>ADR202104078605</v>
      </c>
      <c r="I2885" t="str">
        <f>"INSURANCE"</f>
        <v>INSURANCE</v>
      </c>
    </row>
    <row r="2886" spans="1:9" x14ac:dyDescent="0.25">
      <c r="E2886" s="7"/>
      <c r="F2886" t="s">
        <v>20</v>
      </c>
      <c r="G2886" s="10" t="s">
        <v>21</v>
      </c>
      <c r="H2886" t="str">
        <f>"ADR202104208606"</f>
        <v>ADR202104208606</v>
      </c>
      <c r="I2886" t="str">
        <f>"INSURANCE"</f>
        <v>INSURANCE</v>
      </c>
    </row>
    <row r="2887" spans="1:9" x14ac:dyDescent="0.25">
      <c r="E2887" s="7"/>
      <c r="F2887" t="s">
        <v>20</v>
      </c>
      <c r="G2887" s="10" t="s">
        <v>21</v>
      </c>
      <c r="H2887" t="str">
        <f>"AF1202103238604"</f>
        <v>AF1202103238604</v>
      </c>
      <c r="I2887" t="str">
        <f>"AFLAC INSURANCE"</f>
        <v>AFLAC INSURANCE</v>
      </c>
    </row>
    <row r="2888" spans="1:9" x14ac:dyDescent="0.25">
      <c r="E2888" s="7"/>
      <c r="F2888" t="s">
        <v>20</v>
      </c>
      <c r="G2888" s="10" t="s">
        <v>21</v>
      </c>
      <c r="H2888" t="str">
        <f>"AF1202104078605"</f>
        <v>AF1202104078605</v>
      </c>
      <c r="I2888" t="str">
        <f>"AFLAC INSURANCE"</f>
        <v>AFLAC INSURANCE</v>
      </c>
    </row>
    <row r="2889" spans="1:9" x14ac:dyDescent="0.25">
      <c r="E2889" s="7"/>
      <c r="F2889" t="s">
        <v>20</v>
      </c>
      <c r="G2889" s="10" t="s">
        <v>21</v>
      </c>
      <c r="H2889" t="str">
        <f>"AF1202104208606"</f>
        <v>AF1202104208606</v>
      </c>
      <c r="I2889" t="str">
        <f>"AFLAC INSURANCE"</f>
        <v>AFLAC INSURANCE</v>
      </c>
    </row>
    <row r="2890" spans="1:9" x14ac:dyDescent="0.25">
      <c r="E2890" s="7"/>
      <c r="F2890" t="s">
        <v>20</v>
      </c>
      <c r="G2890" s="10" t="s">
        <v>21</v>
      </c>
      <c r="H2890" t="str">
        <f>"AFS202104078605"</f>
        <v>AFS202104078605</v>
      </c>
      <c r="I2890" t="str">
        <f>"AFLAC STD"</f>
        <v>AFLAC STD</v>
      </c>
    </row>
    <row r="2891" spans="1:9" x14ac:dyDescent="0.25">
      <c r="E2891" s="7"/>
      <c r="F2891" t="s">
        <v>20</v>
      </c>
      <c r="G2891" s="10" t="s">
        <v>21</v>
      </c>
      <c r="H2891" t="str">
        <f>"AFS202104208606"</f>
        <v>AFS202104208606</v>
      </c>
      <c r="I2891" t="str">
        <f>"AFLAC STD"</f>
        <v>AFLAC STD</v>
      </c>
    </row>
    <row r="2892" spans="1:9" x14ac:dyDescent="0.25">
      <c r="E2892" s="7"/>
      <c r="F2892" t="s">
        <v>20</v>
      </c>
      <c r="G2892" s="10" t="s">
        <v>21</v>
      </c>
      <c r="H2892" t="str">
        <f>"ASP202104078605"</f>
        <v>ASP202104078605</v>
      </c>
      <c r="I2892" t="str">
        <f>"AFLAC INSURANCE"</f>
        <v>AFLAC INSURANCE</v>
      </c>
    </row>
    <row r="2893" spans="1:9" x14ac:dyDescent="0.25">
      <c r="E2893" s="7"/>
      <c r="F2893" t="s">
        <v>20</v>
      </c>
      <c r="G2893" s="10" t="s">
        <v>21</v>
      </c>
      <c r="H2893" t="str">
        <f>"ASP202104208606"</f>
        <v>ASP202104208606</v>
      </c>
      <c r="I2893" t="str">
        <f>"AFLAC INSURANCE"</f>
        <v>AFLAC INSURANCE</v>
      </c>
    </row>
    <row r="2894" spans="1:9" x14ac:dyDescent="0.25">
      <c r="E2894" s="7"/>
      <c r="F2894" t="s">
        <v>20</v>
      </c>
      <c r="G2894" s="10" t="s">
        <v>21</v>
      </c>
      <c r="H2894" t="str">
        <f>"HCO202104078605"</f>
        <v>HCO202104078605</v>
      </c>
      <c r="I2894" t="str">
        <f>"AFLAC INSURANCE"</f>
        <v>AFLAC INSURANCE</v>
      </c>
    </row>
    <row r="2895" spans="1:9" x14ac:dyDescent="0.25">
      <c r="E2895" s="7"/>
      <c r="F2895" t="s">
        <v>20</v>
      </c>
      <c r="G2895" s="10" t="s">
        <v>21</v>
      </c>
      <c r="H2895" t="str">
        <f>"HCO202104208606"</f>
        <v>HCO202104208606</v>
      </c>
      <c r="I2895" t="str">
        <f>"AFLAC INSURANCE"</f>
        <v>AFLAC INSURANCE</v>
      </c>
    </row>
    <row r="2896" spans="1:9" x14ac:dyDescent="0.25">
      <c r="A2896" s="6">
        <v>44322</v>
      </c>
      <c r="B2896" t="s">
        <v>26</v>
      </c>
      <c r="C2896">
        <v>66673</v>
      </c>
      <c r="D2896" t="s">
        <v>95</v>
      </c>
      <c r="E2896" s="7">
        <v>25.32</v>
      </c>
      <c r="F2896" t="s">
        <v>20</v>
      </c>
      <c r="G2896" s="10" t="s">
        <v>21</v>
      </c>
      <c r="H2896" t="str">
        <f>"LEA202104078605"</f>
        <v>LEA202104078605</v>
      </c>
      <c r="I2896" t="str">
        <f>"INSURANCE"</f>
        <v>INSURANCE</v>
      </c>
    </row>
    <row r="2897" spans="1:9" x14ac:dyDescent="0.25">
      <c r="E2897" s="7"/>
      <c r="F2897" t="s">
        <v>20</v>
      </c>
      <c r="G2897" s="10" t="s">
        <v>21</v>
      </c>
      <c r="H2897" t="str">
        <f>"LEA202104208606"</f>
        <v>LEA202104208606</v>
      </c>
      <c r="I2897" t="str">
        <f>"INSURANCE"</f>
        <v>INSURANCE</v>
      </c>
    </row>
    <row r="2898" spans="1:9" x14ac:dyDescent="0.25">
      <c r="A2898" s="6">
        <v>44322</v>
      </c>
      <c r="B2898" t="s">
        <v>26</v>
      </c>
      <c r="C2898">
        <v>66674</v>
      </c>
      <c r="D2898" t="s">
        <v>96</v>
      </c>
      <c r="E2898" s="7">
        <v>225.24</v>
      </c>
      <c r="F2898" t="s">
        <v>20</v>
      </c>
      <c r="G2898" s="10" t="s">
        <v>21</v>
      </c>
      <c r="H2898" t="str">
        <f>"PPL202104078605"</f>
        <v>PPL202104078605</v>
      </c>
      <c r="I2898" t="str">
        <f>"INSURANCE"</f>
        <v>INSURANCE</v>
      </c>
    </row>
    <row r="2899" spans="1:9" x14ac:dyDescent="0.25">
      <c r="E2899" s="7"/>
      <c r="F2899" t="s">
        <v>20</v>
      </c>
      <c r="G2899" s="10" t="s">
        <v>21</v>
      </c>
      <c r="H2899" t="str">
        <f>"PPL202104208606"</f>
        <v>PPL202104208606</v>
      </c>
      <c r="I2899" t="str">
        <f>"INSURANCE"</f>
        <v>INSURANCE</v>
      </c>
    </row>
    <row r="2900" spans="1:9" x14ac:dyDescent="0.25">
      <c r="A2900" s="6">
        <v>44322</v>
      </c>
      <c r="B2900" t="s">
        <v>26</v>
      </c>
      <c r="C2900">
        <v>66675</v>
      </c>
      <c r="D2900" t="s">
        <v>97</v>
      </c>
      <c r="E2900" s="7">
        <v>42382.94</v>
      </c>
      <c r="F2900" t="s">
        <v>20</v>
      </c>
      <c r="G2900" s="10" t="s">
        <v>329</v>
      </c>
      <c r="H2900" t="str">
        <f>"MAY 2021"</f>
        <v>MAY 2021</v>
      </c>
      <c r="I2900" t="str">
        <f>"HEALTH CARE SERVICE CORPORATIO"</f>
        <v>HEALTH CARE SERVICE CORPORATIO</v>
      </c>
    </row>
    <row r="2901" spans="1:9" x14ac:dyDescent="0.25">
      <c r="E2901" s="7"/>
      <c r="F2901" t="s">
        <v>20</v>
      </c>
      <c r="G2901" s="10" t="s">
        <v>21</v>
      </c>
      <c r="H2901" t="str">
        <f>"DEN202104078605"</f>
        <v>DEN202104078605</v>
      </c>
      <c r="I2901" t="str">
        <f>"DENTAL INSURANCE"</f>
        <v>DENTAL INSURANCE</v>
      </c>
    </row>
    <row r="2902" spans="1:9" x14ac:dyDescent="0.25">
      <c r="E2902" s="7"/>
      <c r="F2902" t="s">
        <v>20</v>
      </c>
      <c r="G2902" s="10" t="s">
        <v>21</v>
      </c>
      <c r="H2902" t="str">
        <f>"DEN202104208606"</f>
        <v>DEN202104208606</v>
      </c>
      <c r="I2902" t="str">
        <f>"DENTAL INSURANCE"</f>
        <v>DENTAL INSURANCE</v>
      </c>
    </row>
    <row r="2903" spans="1:9" x14ac:dyDescent="0.25">
      <c r="E2903" s="7"/>
      <c r="F2903" t="s">
        <v>20</v>
      </c>
      <c r="G2903" s="10" t="s">
        <v>21</v>
      </c>
      <c r="H2903" t="str">
        <f>"HT CORBRA"</f>
        <v>HT CORBRA</v>
      </c>
      <c r="I2903" t="str">
        <f>"HEALTH CARE SERVICE CORPORATIO"</f>
        <v>HEALTH CARE SERVICE CORPORATIO</v>
      </c>
    </row>
    <row r="2904" spans="1:9" x14ac:dyDescent="0.25">
      <c r="E2904" s="7"/>
      <c r="F2904" t="s">
        <v>20</v>
      </c>
      <c r="G2904" s="10" t="s">
        <v>21</v>
      </c>
      <c r="H2904" t="str">
        <f>"MED202101138596"</f>
        <v>MED202101138596</v>
      </c>
      <c r="I2904" t="str">
        <f>"HEALTH &amp; DENTAL INSURANCE"</f>
        <v>HEALTH &amp; DENTAL INSURANCE</v>
      </c>
    </row>
    <row r="2905" spans="1:9" x14ac:dyDescent="0.25">
      <c r="E2905" s="7"/>
      <c r="F2905" t="s">
        <v>20</v>
      </c>
      <c r="G2905" s="10" t="s">
        <v>21</v>
      </c>
      <c r="H2905" t="str">
        <f>"MED202101138597"</f>
        <v>MED202101138597</v>
      </c>
      <c r="I2905" t="str">
        <f>"HEALTH &amp; DENTAL INSURANCE"</f>
        <v>HEALTH &amp; DENTAL INSURANCE</v>
      </c>
    </row>
    <row r="2906" spans="1:9" x14ac:dyDescent="0.25">
      <c r="E2906" s="7"/>
      <c r="F2906" t="s">
        <v>20</v>
      </c>
      <c r="G2906" s="10" t="s">
        <v>21</v>
      </c>
      <c r="H2906" t="str">
        <f>"MED202104078605"</f>
        <v>MED202104078605</v>
      </c>
      <c r="I2906" t="str">
        <f>"HEALTH &amp; DENTAL INSURANCE"</f>
        <v>HEALTH &amp; DENTAL INSURANCE</v>
      </c>
    </row>
    <row r="2907" spans="1:9" x14ac:dyDescent="0.25">
      <c r="E2907" s="7"/>
      <c r="F2907" t="s">
        <v>20</v>
      </c>
      <c r="G2907" s="10" t="s">
        <v>21</v>
      </c>
      <c r="H2907" t="str">
        <f>"MED202104208606"</f>
        <v>MED202104208606</v>
      </c>
      <c r="I2907" t="str">
        <f>"HEALTH &amp; DENTAL INSURANCE"</f>
        <v>HEALTH &amp; DENTAL INSURANCE</v>
      </c>
    </row>
    <row r="2908" spans="1:9" x14ac:dyDescent="0.25">
      <c r="A2908" s="6">
        <v>44322</v>
      </c>
      <c r="B2908" t="s">
        <v>26</v>
      </c>
      <c r="C2908">
        <v>66680</v>
      </c>
      <c r="D2908" t="s">
        <v>98</v>
      </c>
      <c r="E2908" s="7">
        <v>3273.4</v>
      </c>
      <c r="F2908" t="s">
        <v>20</v>
      </c>
      <c r="G2908" s="10" t="s">
        <v>329</v>
      </c>
      <c r="H2908" t="str">
        <f>"MAY 2021"</f>
        <v>MAY 2021</v>
      </c>
      <c r="I2908" t="str">
        <f>"DEARBORN LIFE INSURANCE COMPAN"</f>
        <v>DEARBORN LIFE INSURANCE COMPAN</v>
      </c>
    </row>
    <row r="2909" spans="1:9" x14ac:dyDescent="0.25">
      <c r="E2909" s="7"/>
      <c r="F2909" t="s">
        <v>20</v>
      </c>
      <c r="G2909" s="10" t="s">
        <v>21</v>
      </c>
      <c r="H2909" t="str">
        <f>"MAY 2021"</f>
        <v>MAY 2021</v>
      </c>
      <c r="I2909" t="str">
        <f>"DEARBORN LIFE INSURANCE COMPAN"</f>
        <v>DEARBORN LIFE INSURANCE COMPAN</v>
      </c>
    </row>
    <row r="2910" spans="1:9" x14ac:dyDescent="0.25">
      <c r="E2910" s="7"/>
      <c r="F2910" t="s">
        <v>20</v>
      </c>
      <c r="G2910" s="10" t="s">
        <v>21</v>
      </c>
      <c r="H2910" t="str">
        <f>"STD202101138596"</f>
        <v>STD202101138596</v>
      </c>
      <c r="I2910" t="str">
        <f>"SHORT TERM DISABILITY"</f>
        <v>SHORT TERM DISABILITY</v>
      </c>
    </row>
    <row r="2911" spans="1:9" x14ac:dyDescent="0.25">
      <c r="E2911" s="7"/>
      <c r="F2911" t="s">
        <v>20</v>
      </c>
      <c r="G2911" s="10" t="s">
        <v>21</v>
      </c>
      <c r="H2911" t="str">
        <f>"STD202104078605"</f>
        <v>STD202104078605</v>
      </c>
      <c r="I2911" t="str">
        <f>"SHORT TERM DISABILITY"</f>
        <v>SHORT TERM DISABILITY</v>
      </c>
    </row>
    <row r="2912" spans="1:9" x14ac:dyDescent="0.25">
      <c r="E2912" s="7"/>
      <c r="F2912" t="s">
        <v>20</v>
      </c>
      <c r="G2912" s="10" t="s">
        <v>21</v>
      </c>
      <c r="H2912" t="str">
        <f>"STD202104208606"</f>
        <v>STD202104208606</v>
      </c>
      <c r="I2912" t="str">
        <f>"SHORT TERM DISABILITY"</f>
        <v>SHORT TERM DISABILITY</v>
      </c>
    </row>
    <row r="2913" spans="1:9" x14ac:dyDescent="0.25">
      <c r="E2913" s="7"/>
      <c r="F2913" t="s">
        <v>20</v>
      </c>
      <c r="G2913" s="10" t="s">
        <v>21</v>
      </c>
      <c r="H2913" t="str">
        <f>"VIS202104078605"</f>
        <v>VIS202104078605</v>
      </c>
      <c r="I2913" t="str">
        <f>"VISION INSURANCE"</f>
        <v>VISION INSURANCE</v>
      </c>
    </row>
    <row r="2914" spans="1:9" x14ac:dyDescent="0.25">
      <c r="E2914" s="7"/>
      <c r="F2914" t="s">
        <v>20</v>
      </c>
      <c r="G2914" s="10" t="s">
        <v>21</v>
      </c>
      <c r="H2914" t="str">
        <f>"VIS202104208606"</f>
        <v>VIS202104208606</v>
      </c>
      <c r="I2914" t="str">
        <f>"VISION INSURANCE"</f>
        <v>VISION INSURANCE</v>
      </c>
    </row>
    <row r="2915" spans="1:9" x14ac:dyDescent="0.25">
      <c r="E2915" s="7"/>
      <c r="F2915" t="s">
        <v>20</v>
      </c>
      <c r="G2915" s="10" t="s">
        <v>21</v>
      </c>
      <c r="H2915" t="str">
        <f>"VLC202104078605"</f>
        <v>VLC202104078605</v>
      </c>
      <c r="I2915" t="str">
        <f>"CHILD LIFE INSURANCE"</f>
        <v>CHILD LIFE INSURANCE</v>
      </c>
    </row>
    <row r="2916" spans="1:9" x14ac:dyDescent="0.25">
      <c r="E2916" s="7"/>
      <c r="F2916" t="s">
        <v>20</v>
      </c>
      <c r="G2916" s="10" t="s">
        <v>21</v>
      </c>
      <c r="H2916" t="str">
        <f>"VLC202104208606"</f>
        <v>VLC202104208606</v>
      </c>
      <c r="I2916" t="str">
        <f>"CHILD LIFE INSURANCE"</f>
        <v>CHILD LIFE INSURANCE</v>
      </c>
    </row>
    <row r="2917" spans="1:9" x14ac:dyDescent="0.25">
      <c r="E2917" s="7"/>
      <c r="F2917" t="s">
        <v>20</v>
      </c>
      <c r="G2917" s="10" t="s">
        <v>21</v>
      </c>
      <c r="H2917" t="str">
        <f>"VLS202104078605"</f>
        <v>VLS202104078605</v>
      </c>
      <c r="I2917" t="str">
        <f>"SPOUSE LIFE"</f>
        <v>SPOUSE LIFE</v>
      </c>
    </row>
    <row r="2918" spans="1:9" x14ac:dyDescent="0.25">
      <c r="E2918" s="7"/>
      <c r="F2918" t="s">
        <v>20</v>
      </c>
      <c r="G2918" s="10" t="s">
        <v>21</v>
      </c>
      <c r="H2918" t="str">
        <f>"VLS202104208606"</f>
        <v>VLS202104208606</v>
      </c>
      <c r="I2918" t="str">
        <f>"SPOUSE LIFE"</f>
        <v>SPOUSE LIFE</v>
      </c>
    </row>
    <row r="2919" spans="1:9" x14ac:dyDescent="0.25">
      <c r="E2919" s="7"/>
      <c r="F2919" t="s">
        <v>20</v>
      </c>
      <c r="G2919" s="10" t="s">
        <v>21</v>
      </c>
      <c r="H2919" t="str">
        <f>"VOE202101138596"</f>
        <v>VOE202101138596</v>
      </c>
      <c r="I2919" t="str">
        <f>"EMPLOYEE LIFE"</f>
        <v>EMPLOYEE LIFE</v>
      </c>
    </row>
    <row r="2920" spans="1:9" x14ac:dyDescent="0.25">
      <c r="E2920" s="7"/>
      <c r="F2920" t="s">
        <v>20</v>
      </c>
      <c r="G2920" s="10" t="s">
        <v>21</v>
      </c>
      <c r="H2920" t="str">
        <f>"VOE202101138597"</f>
        <v>VOE202101138597</v>
      </c>
      <c r="I2920" t="str">
        <f>"EMPLOYEE LIFE"</f>
        <v>EMPLOYEE LIFE</v>
      </c>
    </row>
    <row r="2921" spans="1:9" x14ac:dyDescent="0.25">
      <c r="E2921" s="7"/>
      <c r="F2921" t="s">
        <v>20</v>
      </c>
      <c r="G2921" s="10" t="s">
        <v>21</v>
      </c>
      <c r="H2921" t="str">
        <f>"VOE202104078605"</f>
        <v>VOE202104078605</v>
      </c>
      <c r="I2921" t="str">
        <f>"EMPLOYEE LIFE"</f>
        <v>EMPLOYEE LIFE</v>
      </c>
    </row>
    <row r="2922" spans="1:9" x14ac:dyDescent="0.25">
      <c r="E2922" s="7"/>
      <c r="F2922" t="s">
        <v>20</v>
      </c>
      <c r="G2922" s="10" t="s">
        <v>21</v>
      </c>
      <c r="H2922" t="str">
        <f>"VOE202104208606"</f>
        <v>VOE202104208606</v>
      </c>
      <c r="I2922" t="str">
        <f>"EMPLOYEE LIFE"</f>
        <v>EMPLOYEE LIFE</v>
      </c>
    </row>
    <row r="2923" spans="1:9" x14ac:dyDescent="0.25">
      <c r="E2923" s="7"/>
      <c r="F2923" t="s">
        <v>20</v>
      </c>
      <c r="G2923" s="10" t="s">
        <v>21</v>
      </c>
      <c r="H2923" t="str">
        <f>"VOL202104078605"</f>
        <v>VOL202104078605</v>
      </c>
      <c r="I2923" t="str">
        <f>"LIFE"</f>
        <v>LIFE</v>
      </c>
    </row>
    <row r="2924" spans="1:9" x14ac:dyDescent="0.25">
      <c r="E2924" s="7"/>
      <c r="F2924" t="s">
        <v>20</v>
      </c>
      <c r="G2924" s="10" t="s">
        <v>21</v>
      </c>
      <c r="H2924" t="str">
        <f>"VOL202104208606"</f>
        <v>VOL202104208606</v>
      </c>
      <c r="I2924" t="str">
        <f>"LIFE"</f>
        <v>LIFE</v>
      </c>
    </row>
    <row r="2925" spans="1:9" x14ac:dyDescent="0.25">
      <c r="A2925" s="6">
        <v>44322</v>
      </c>
      <c r="B2925" t="s">
        <v>26</v>
      </c>
      <c r="C2925">
        <v>66689</v>
      </c>
      <c r="D2925" t="s">
        <v>637</v>
      </c>
      <c r="E2925" s="7">
        <v>75</v>
      </c>
      <c r="F2925" t="s">
        <v>20</v>
      </c>
      <c r="G2925" s="10" t="s">
        <v>21</v>
      </c>
      <c r="H2925" t="str">
        <f t="shared" ref="H2925:H2930" si="65">"COU 2021-COUNCIL"</f>
        <v>COU 2021-COUNCIL</v>
      </c>
      <c r="I2925" t="str">
        <f>""</f>
        <v/>
      </c>
    </row>
    <row r="2926" spans="1:9" x14ac:dyDescent="0.25">
      <c r="A2926" s="6">
        <v>44322</v>
      </c>
      <c r="B2926" t="s">
        <v>26</v>
      </c>
      <c r="C2926">
        <v>66690</v>
      </c>
      <c r="D2926" t="s">
        <v>36</v>
      </c>
      <c r="E2926" s="7">
        <v>75</v>
      </c>
      <c r="F2926" t="s">
        <v>20</v>
      </c>
      <c r="G2926" s="10" t="s">
        <v>21</v>
      </c>
      <c r="H2926" t="str">
        <f t="shared" si="65"/>
        <v>COU 2021-COUNCIL</v>
      </c>
      <c r="I2926" t="str">
        <f>""</f>
        <v/>
      </c>
    </row>
    <row r="2927" spans="1:9" x14ac:dyDescent="0.25">
      <c r="A2927" s="6">
        <v>44322</v>
      </c>
      <c r="B2927" t="s">
        <v>26</v>
      </c>
      <c r="C2927">
        <v>66691</v>
      </c>
      <c r="D2927" t="s">
        <v>38</v>
      </c>
      <c r="E2927" s="7">
        <v>100</v>
      </c>
      <c r="F2927" t="s">
        <v>20</v>
      </c>
      <c r="G2927" s="10" t="s">
        <v>21</v>
      </c>
      <c r="H2927" t="str">
        <f t="shared" si="65"/>
        <v>COU 2021-COUNCIL</v>
      </c>
      <c r="I2927" t="str">
        <f>""</f>
        <v/>
      </c>
    </row>
    <row r="2928" spans="1:9" x14ac:dyDescent="0.25">
      <c r="A2928" s="6">
        <v>44322</v>
      </c>
      <c r="B2928" t="s">
        <v>26</v>
      </c>
      <c r="C2928">
        <v>66692</v>
      </c>
      <c r="D2928" t="s">
        <v>558</v>
      </c>
      <c r="E2928" s="7">
        <v>75</v>
      </c>
      <c r="F2928" t="s">
        <v>20</v>
      </c>
      <c r="G2928" s="10" t="s">
        <v>21</v>
      </c>
      <c r="H2928" t="str">
        <f t="shared" si="65"/>
        <v>COU 2021-COUNCIL</v>
      </c>
      <c r="I2928" t="str">
        <f>"MONTHLY COUNCIL CHECKS"</f>
        <v>MONTHLY COUNCIL CHECKS</v>
      </c>
    </row>
    <row r="2929" spans="1:9" x14ac:dyDescent="0.25">
      <c r="A2929" s="6">
        <v>44322</v>
      </c>
      <c r="B2929" t="s">
        <v>26</v>
      </c>
      <c r="C2929">
        <v>66693</v>
      </c>
      <c r="D2929" t="s">
        <v>889</v>
      </c>
      <c r="E2929" s="7">
        <v>75</v>
      </c>
      <c r="F2929" t="s">
        <v>20</v>
      </c>
      <c r="G2929" s="10" t="s">
        <v>21</v>
      </c>
      <c r="H2929" t="str">
        <f t="shared" si="65"/>
        <v>COU 2021-COUNCIL</v>
      </c>
      <c r="I2929" t="str">
        <f>""</f>
        <v/>
      </c>
    </row>
    <row r="2930" spans="1:9" x14ac:dyDescent="0.25">
      <c r="A2930" s="6">
        <v>44322</v>
      </c>
      <c r="B2930" t="s">
        <v>26</v>
      </c>
      <c r="C2930">
        <v>66694</v>
      </c>
      <c r="D2930" t="s">
        <v>1011</v>
      </c>
      <c r="E2930" s="7">
        <v>75</v>
      </c>
      <c r="F2930" t="s">
        <v>20</v>
      </c>
      <c r="G2930" s="10" t="s">
        <v>21</v>
      </c>
      <c r="H2930" t="str">
        <f t="shared" si="65"/>
        <v>COU 2021-COUNCIL</v>
      </c>
      <c r="I2930" t="str">
        <f>""</f>
        <v/>
      </c>
    </row>
    <row r="2931" spans="1:9" x14ac:dyDescent="0.25">
      <c r="A2931" s="6">
        <v>44328</v>
      </c>
      <c r="B2931" t="s">
        <v>26</v>
      </c>
      <c r="C2931">
        <v>66695</v>
      </c>
      <c r="D2931" t="s">
        <v>483</v>
      </c>
      <c r="E2931" s="7">
        <v>99.7</v>
      </c>
      <c r="F2931" t="s">
        <v>20</v>
      </c>
      <c r="G2931" s="10" t="s">
        <v>21</v>
      </c>
      <c r="H2931" t="str">
        <f>"5457303"</f>
        <v>5457303</v>
      </c>
      <c r="I2931" t="str">
        <f>"3  BRASS GATE VALVE"</f>
        <v>3  BRASS GATE VALVE</v>
      </c>
    </row>
    <row r="2932" spans="1:9" x14ac:dyDescent="0.25">
      <c r="A2932" s="6">
        <v>44328</v>
      </c>
      <c r="B2932" t="s">
        <v>26</v>
      </c>
      <c r="C2932">
        <v>66696</v>
      </c>
      <c r="D2932" t="s">
        <v>1049</v>
      </c>
      <c r="E2932" s="7">
        <v>23000</v>
      </c>
      <c r="F2932" t="s">
        <v>20</v>
      </c>
      <c r="G2932" s="10" t="s">
        <v>21</v>
      </c>
      <c r="H2932" t="str">
        <f>"000092"</f>
        <v>000092</v>
      </c>
      <c r="I2932" t="str">
        <f>"SEALCOAT"</f>
        <v>SEALCOAT</v>
      </c>
    </row>
    <row r="2933" spans="1:9" x14ac:dyDescent="0.25">
      <c r="A2933" s="6">
        <v>44328</v>
      </c>
      <c r="B2933" t="s">
        <v>26</v>
      </c>
      <c r="C2933">
        <v>66697</v>
      </c>
      <c r="D2933" t="s">
        <v>139</v>
      </c>
      <c r="E2933" s="7">
        <v>65</v>
      </c>
      <c r="F2933" t="s">
        <v>20</v>
      </c>
      <c r="G2933" s="10" t="s">
        <v>21</v>
      </c>
      <c r="H2933" t="str">
        <f>"32144"</f>
        <v>32144</v>
      </c>
      <c r="I2933" t="str">
        <f>"ANGEL FIRE &amp; SAFETY"</f>
        <v>ANGEL FIRE &amp; SAFETY</v>
      </c>
    </row>
    <row r="2934" spans="1:9" x14ac:dyDescent="0.25">
      <c r="A2934" s="6">
        <v>44328</v>
      </c>
      <c r="B2934" t="s">
        <v>26</v>
      </c>
      <c r="C2934">
        <v>66698</v>
      </c>
      <c r="D2934" t="s">
        <v>821</v>
      </c>
      <c r="E2934" s="7">
        <v>14083.79</v>
      </c>
      <c r="F2934" t="s">
        <v>20</v>
      </c>
      <c r="G2934" s="10" t="s">
        <v>21</v>
      </c>
      <c r="H2934" t="str">
        <f>"FRI8824"</f>
        <v>FRI8824</v>
      </c>
      <c r="I2934" t="str">
        <f>"INSTALL FAN UNIT ON ROOF"</f>
        <v>INSTALL FAN UNIT ON ROOF</v>
      </c>
    </row>
    <row r="2935" spans="1:9" x14ac:dyDescent="0.25">
      <c r="A2935" s="6">
        <v>44328</v>
      </c>
      <c r="B2935" t="s">
        <v>26</v>
      </c>
      <c r="C2935">
        <v>66699</v>
      </c>
      <c r="D2935" t="s">
        <v>115</v>
      </c>
      <c r="E2935" s="7">
        <v>72.239999999999995</v>
      </c>
      <c r="F2935" t="s">
        <v>20</v>
      </c>
      <c r="G2935" s="10" t="s">
        <v>21</v>
      </c>
      <c r="H2935" t="str">
        <f>"3547898499"</f>
        <v>3547898499</v>
      </c>
      <c r="I2935" t="str">
        <f>"DURAPATCH SWITCH"</f>
        <v>DURAPATCH SWITCH</v>
      </c>
    </row>
    <row r="2936" spans="1:9" x14ac:dyDescent="0.25">
      <c r="E2936" s="7"/>
      <c r="F2936" t="s">
        <v>20</v>
      </c>
      <c r="G2936" s="10" t="s">
        <v>21</v>
      </c>
      <c r="H2936" t="str">
        <f>"3547903099"</f>
        <v>3547903099</v>
      </c>
      <c r="I2936" t="str">
        <f>"PD VEHICLE MAINTENANCE"</f>
        <v>PD VEHICLE MAINTENANCE</v>
      </c>
    </row>
    <row r="2937" spans="1:9" x14ac:dyDescent="0.25">
      <c r="A2937" s="6">
        <v>44328</v>
      </c>
      <c r="B2937" t="s">
        <v>26</v>
      </c>
      <c r="C2937">
        <v>66700</v>
      </c>
      <c r="D2937" t="s">
        <v>836</v>
      </c>
      <c r="E2937" s="7">
        <v>929</v>
      </c>
      <c r="F2937" t="s">
        <v>20</v>
      </c>
      <c r="G2937" s="10" t="s">
        <v>21</v>
      </c>
      <c r="H2937" t="str">
        <f>"74980"</f>
        <v>74980</v>
      </c>
      <c r="I2937" t="str">
        <f>"BARCOM TECHNOLOGY SOLUTIONS  I"</f>
        <v>BARCOM TECHNOLOGY SOLUTIONS  I</v>
      </c>
    </row>
    <row r="2938" spans="1:9" x14ac:dyDescent="0.25">
      <c r="E2938" s="7"/>
      <c r="F2938" t="s">
        <v>20</v>
      </c>
      <c r="G2938" s="10" t="s">
        <v>21</v>
      </c>
      <c r="H2938" t="str">
        <f>"74995"</f>
        <v>74995</v>
      </c>
      <c r="I2938" t="str">
        <f>"BARCOM TECHNOLOGY SOLUTIONS  I"</f>
        <v>BARCOM TECHNOLOGY SOLUTIONS  I</v>
      </c>
    </row>
    <row r="2939" spans="1:9" x14ac:dyDescent="0.25">
      <c r="A2939" s="6">
        <v>44328</v>
      </c>
      <c r="B2939" t="s">
        <v>26</v>
      </c>
      <c r="C2939">
        <v>66701</v>
      </c>
      <c r="D2939" t="s">
        <v>118</v>
      </c>
      <c r="E2939" s="7">
        <v>846</v>
      </c>
      <c r="F2939" t="s">
        <v>20</v>
      </c>
      <c r="G2939" s="10" t="s">
        <v>21</v>
      </c>
      <c r="H2939" t="str">
        <f>"12307"</f>
        <v>12307</v>
      </c>
      <c r="I2939" t="str">
        <f>"BRYAN AIR CONDITIONING &amp; HEATI"</f>
        <v>BRYAN AIR CONDITIONING &amp; HEATI</v>
      </c>
    </row>
    <row r="2940" spans="1:9" x14ac:dyDescent="0.25">
      <c r="E2940" s="7"/>
      <c r="F2940" t="s">
        <v>20</v>
      </c>
      <c r="G2940" s="10" t="s">
        <v>21</v>
      </c>
      <c r="H2940" t="str">
        <f>"12308"</f>
        <v>12308</v>
      </c>
      <c r="I2940" t="str">
        <f>"BRYAN AIR CONDITIONING &amp; HEATI"</f>
        <v>BRYAN AIR CONDITIONING &amp; HEATI</v>
      </c>
    </row>
    <row r="2941" spans="1:9" x14ac:dyDescent="0.25">
      <c r="A2941" s="6">
        <v>44328</v>
      </c>
      <c r="B2941" t="s">
        <v>26</v>
      </c>
      <c r="C2941">
        <v>66702</v>
      </c>
      <c r="D2941" t="s">
        <v>71</v>
      </c>
      <c r="E2941" s="7">
        <v>2338.16</v>
      </c>
      <c r="F2941" t="s">
        <v>20</v>
      </c>
      <c r="G2941" s="10" t="s">
        <v>21</v>
      </c>
      <c r="H2941" t="str">
        <f>"4051874190*"</f>
        <v>4051874190*</v>
      </c>
      <c r="I2941" t="str">
        <f t="shared" ref="I2941:I2954" si="66">"CINTAS CORPORATION #087"</f>
        <v>CINTAS CORPORATION #087</v>
      </c>
    </row>
    <row r="2942" spans="1:9" x14ac:dyDescent="0.25">
      <c r="E2942" s="7"/>
      <c r="F2942" t="s">
        <v>20</v>
      </c>
      <c r="G2942" s="10" t="s">
        <v>21</v>
      </c>
      <c r="H2942" t="str">
        <f>"4076733135*"</f>
        <v>4076733135*</v>
      </c>
      <c r="I2942" t="str">
        <f t="shared" si="66"/>
        <v>CINTAS CORPORATION #087</v>
      </c>
    </row>
    <row r="2943" spans="1:9" x14ac:dyDescent="0.25">
      <c r="E2943" s="7"/>
      <c r="F2943" t="s">
        <v>20</v>
      </c>
      <c r="G2943" s="10" t="s">
        <v>21</v>
      </c>
      <c r="H2943" t="str">
        <f>"4083113551"</f>
        <v>4083113551</v>
      </c>
      <c r="I2943" t="str">
        <f t="shared" si="66"/>
        <v>CINTAS CORPORATION #087</v>
      </c>
    </row>
    <row r="2944" spans="1:9" x14ac:dyDescent="0.25">
      <c r="E2944" s="7"/>
      <c r="F2944" t="s">
        <v>20</v>
      </c>
      <c r="G2944" s="10" t="s">
        <v>21</v>
      </c>
      <c r="H2944" t="str">
        <f>"4083113633"</f>
        <v>4083113633</v>
      </c>
      <c r="I2944" t="str">
        <f t="shared" si="66"/>
        <v>CINTAS CORPORATION #087</v>
      </c>
    </row>
    <row r="2945" spans="1:9" x14ac:dyDescent="0.25">
      <c r="E2945" s="7"/>
      <c r="F2945" t="s">
        <v>20</v>
      </c>
      <c r="G2945" s="10" t="s">
        <v>21</v>
      </c>
      <c r="H2945" t="str">
        <f>"4083113649"</f>
        <v>4083113649</v>
      </c>
      <c r="I2945" t="str">
        <f t="shared" si="66"/>
        <v>CINTAS CORPORATION #087</v>
      </c>
    </row>
    <row r="2946" spans="1:9" x14ac:dyDescent="0.25">
      <c r="E2946" s="7"/>
      <c r="F2946" t="s">
        <v>20</v>
      </c>
      <c r="G2946" s="10" t="s">
        <v>21</v>
      </c>
      <c r="H2946" t="str">
        <f>"4083113674"</f>
        <v>4083113674</v>
      </c>
      <c r="I2946" t="str">
        <f t="shared" si="66"/>
        <v>CINTAS CORPORATION #087</v>
      </c>
    </row>
    <row r="2947" spans="1:9" x14ac:dyDescent="0.25">
      <c r="E2947" s="7"/>
      <c r="F2947" t="s">
        <v>20</v>
      </c>
      <c r="G2947" s="10" t="s">
        <v>21</v>
      </c>
      <c r="H2947" t="str">
        <f>"4083113712"</f>
        <v>4083113712</v>
      </c>
      <c r="I2947" t="str">
        <f t="shared" si="66"/>
        <v>CINTAS CORPORATION #087</v>
      </c>
    </row>
    <row r="2948" spans="1:9" x14ac:dyDescent="0.25">
      <c r="E2948" s="7"/>
      <c r="F2948" t="s">
        <v>20</v>
      </c>
      <c r="G2948" s="10" t="s">
        <v>21</v>
      </c>
      <c r="H2948" t="str">
        <f>"4083113716"</f>
        <v>4083113716</v>
      </c>
      <c r="I2948" t="str">
        <f t="shared" si="66"/>
        <v>CINTAS CORPORATION #087</v>
      </c>
    </row>
    <row r="2949" spans="1:9" x14ac:dyDescent="0.25">
      <c r="E2949" s="7"/>
      <c r="F2949" t="s">
        <v>20</v>
      </c>
      <c r="G2949" s="10" t="s">
        <v>21</v>
      </c>
      <c r="H2949" t="str">
        <f>"4083827715"</f>
        <v>4083827715</v>
      </c>
      <c r="I2949" t="str">
        <f t="shared" si="66"/>
        <v>CINTAS CORPORATION #087</v>
      </c>
    </row>
    <row r="2950" spans="1:9" x14ac:dyDescent="0.25">
      <c r="E2950" s="7"/>
      <c r="F2950" t="s">
        <v>20</v>
      </c>
      <c r="G2950" s="10" t="s">
        <v>21</v>
      </c>
      <c r="H2950" t="str">
        <f>"4083827738"</f>
        <v>4083827738</v>
      </c>
      <c r="I2950" t="str">
        <f t="shared" si="66"/>
        <v>CINTAS CORPORATION #087</v>
      </c>
    </row>
    <row r="2951" spans="1:9" x14ac:dyDescent="0.25">
      <c r="E2951" s="7"/>
      <c r="F2951" t="s">
        <v>20</v>
      </c>
      <c r="G2951" s="10" t="s">
        <v>21</v>
      </c>
      <c r="H2951" t="str">
        <f>"4083827752"</f>
        <v>4083827752</v>
      </c>
      <c r="I2951" t="str">
        <f t="shared" si="66"/>
        <v>CINTAS CORPORATION #087</v>
      </c>
    </row>
    <row r="2952" spans="1:9" x14ac:dyDescent="0.25">
      <c r="E2952" s="7"/>
      <c r="F2952" t="s">
        <v>20</v>
      </c>
      <c r="G2952" s="10" t="s">
        <v>21</v>
      </c>
      <c r="H2952" t="str">
        <f>"4083827757"</f>
        <v>4083827757</v>
      </c>
      <c r="I2952" t="str">
        <f t="shared" si="66"/>
        <v>CINTAS CORPORATION #087</v>
      </c>
    </row>
    <row r="2953" spans="1:9" x14ac:dyDescent="0.25">
      <c r="E2953" s="7"/>
      <c r="F2953" t="s">
        <v>20</v>
      </c>
      <c r="G2953" s="10" t="s">
        <v>21</v>
      </c>
      <c r="H2953" t="str">
        <f>"4083827766"</f>
        <v>4083827766</v>
      </c>
      <c r="I2953" t="str">
        <f t="shared" si="66"/>
        <v>CINTAS CORPORATION #087</v>
      </c>
    </row>
    <row r="2954" spans="1:9" x14ac:dyDescent="0.25">
      <c r="E2954" s="7"/>
      <c r="F2954" t="s">
        <v>20</v>
      </c>
      <c r="G2954" s="10" t="s">
        <v>21</v>
      </c>
      <c r="H2954" t="str">
        <f>"4083827819"</f>
        <v>4083827819</v>
      </c>
      <c r="I2954" t="str">
        <f t="shared" si="66"/>
        <v>CINTAS CORPORATION #087</v>
      </c>
    </row>
    <row r="2955" spans="1:9" x14ac:dyDescent="0.25">
      <c r="A2955" s="6">
        <v>44328</v>
      </c>
      <c r="B2955" t="s">
        <v>26</v>
      </c>
      <c r="C2955">
        <v>66705</v>
      </c>
      <c r="D2955" t="s">
        <v>661</v>
      </c>
      <c r="E2955" s="7">
        <v>117.3</v>
      </c>
      <c r="F2955" t="s">
        <v>20</v>
      </c>
      <c r="G2955" s="10" t="s">
        <v>21</v>
      </c>
      <c r="H2955" t="str">
        <f>"8405115993"</f>
        <v>8405115993</v>
      </c>
      <c r="I2955" t="str">
        <f>"CINTAS FAS LOCKBOX 631025"</f>
        <v>CINTAS FAS LOCKBOX 631025</v>
      </c>
    </row>
    <row r="2956" spans="1:9" x14ac:dyDescent="0.25">
      <c r="A2956" s="6">
        <v>44328</v>
      </c>
      <c r="B2956" t="s">
        <v>26</v>
      </c>
      <c r="C2956">
        <v>66706</v>
      </c>
      <c r="D2956" t="s">
        <v>1050</v>
      </c>
      <c r="E2956" s="7">
        <v>50</v>
      </c>
      <c r="F2956" t="s">
        <v>20</v>
      </c>
      <c r="G2956" s="10" t="s">
        <v>21</v>
      </c>
      <c r="H2956" t="str">
        <f>"DPT RFND 5/1/2021"</f>
        <v>DPT RFND 5/1/2021</v>
      </c>
      <c r="I2956" t="str">
        <f>"REFUND"</f>
        <v>REFUND</v>
      </c>
    </row>
    <row r="2957" spans="1:9" x14ac:dyDescent="0.25">
      <c r="A2957" s="6">
        <v>44328</v>
      </c>
      <c r="B2957" t="s">
        <v>26</v>
      </c>
      <c r="C2957">
        <v>66707</v>
      </c>
      <c r="D2957" t="s">
        <v>884</v>
      </c>
      <c r="E2957" s="7">
        <v>156.26</v>
      </c>
      <c r="F2957" t="s">
        <v>20</v>
      </c>
      <c r="G2957" s="10" t="s">
        <v>21</v>
      </c>
      <c r="H2957" t="str">
        <f>"TEEX BASIC WW 5/18"</f>
        <v>TEEX BASIC WW 5/18</v>
      </c>
      <c r="I2957" t="str">
        <f>"TRAVEL REQUEST MILES/MEAL"</f>
        <v>TRAVEL REQUEST MILES/MEAL</v>
      </c>
    </row>
    <row r="2958" spans="1:9" x14ac:dyDescent="0.25">
      <c r="A2958" s="6">
        <v>44328</v>
      </c>
      <c r="B2958" t="s">
        <v>26</v>
      </c>
      <c r="C2958">
        <v>66708</v>
      </c>
      <c r="D2958" t="s">
        <v>325</v>
      </c>
      <c r="E2958" s="7">
        <v>131.02000000000001</v>
      </c>
      <c r="F2958" t="s">
        <v>20</v>
      </c>
      <c r="G2958" s="10" t="s">
        <v>21</v>
      </c>
      <c r="H2958" t="str">
        <f>"PWS#2470001 5/4/21"</f>
        <v>PWS#2470001 5/4/21</v>
      </c>
      <c r="I2958" t="str">
        <f>"DSHS CENTRAL LAB MC2004"</f>
        <v>DSHS CENTRAL LAB MC2004</v>
      </c>
    </row>
    <row r="2959" spans="1:9" x14ac:dyDescent="0.25">
      <c r="A2959" s="6">
        <v>44328</v>
      </c>
      <c r="B2959" t="s">
        <v>26</v>
      </c>
      <c r="C2959">
        <v>66709</v>
      </c>
      <c r="D2959" t="s">
        <v>143</v>
      </c>
      <c r="E2959" s="7">
        <v>220.65</v>
      </c>
      <c r="F2959" t="s">
        <v>20</v>
      </c>
      <c r="G2959" s="10" t="s">
        <v>21</v>
      </c>
      <c r="H2959" t="str">
        <f>"9402460554"</f>
        <v>9402460554</v>
      </c>
      <c r="I2959" t="str">
        <f>"200 GAL - OIL"</f>
        <v>200 GAL - OIL</v>
      </c>
    </row>
    <row r="2960" spans="1:9" x14ac:dyDescent="0.25">
      <c r="A2960" s="6">
        <v>44328</v>
      </c>
      <c r="B2960" t="s">
        <v>26</v>
      </c>
      <c r="C2960">
        <v>66710</v>
      </c>
      <c r="D2960" t="s">
        <v>69</v>
      </c>
      <c r="E2960" s="7">
        <v>448.6</v>
      </c>
      <c r="F2960" t="s">
        <v>20</v>
      </c>
      <c r="G2960" s="10" t="s">
        <v>21</v>
      </c>
      <c r="H2960" t="str">
        <f>"3C07040"</f>
        <v>3C07040</v>
      </c>
      <c r="I2960" t="str">
        <f>"SHREDDER FOR PARKS DEPT"</f>
        <v>SHREDDER FOR PARKS DEPT</v>
      </c>
    </row>
    <row r="2961" spans="1:9" x14ac:dyDescent="0.25">
      <c r="A2961" s="6">
        <v>44328</v>
      </c>
      <c r="B2961" t="s">
        <v>26</v>
      </c>
      <c r="C2961">
        <v>66711</v>
      </c>
      <c r="D2961" t="s">
        <v>59</v>
      </c>
      <c r="E2961" s="7">
        <v>3766.52</v>
      </c>
      <c r="F2961" t="s">
        <v>20</v>
      </c>
      <c r="G2961" s="10" t="s">
        <v>21</v>
      </c>
      <c r="H2961" t="str">
        <f>"1115846"</f>
        <v>1115846</v>
      </c>
      <c r="I2961" t="str">
        <f>"MISC STOCK"</f>
        <v>MISC STOCK</v>
      </c>
    </row>
    <row r="2962" spans="1:9" x14ac:dyDescent="0.25">
      <c r="A2962" s="6">
        <v>44328</v>
      </c>
      <c r="B2962" t="s">
        <v>26</v>
      </c>
      <c r="C2962">
        <v>66712</v>
      </c>
      <c r="D2962" t="s">
        <v>739</v>
      </c>
      <c r="E2962" s="7">
        <v>1531.39</v>
      </c>
      <c r="F2962" t="s">
        <v>20</v>
      </c>
      <c r="G2962" s="10" t="s">
        <v>21</v>
      </c>
      <c r="H2962" t="str">
        <f>"5286X04272021"</f>
        <v>5286X04272021</v>
      </c>
      <c r="I2962" t="str">
        <f>"FIRSTNET/AT&amp;T MOBILITY LLC"</f>
        <v>FIRSTNET/AT&amp;T MOBILITY LLC</v>
      </c>
    </row>
    <row r="2963" spans="1:9" x14ac:dyDescent="0.25">
      <c r="A2963" s="6">
        <v>44328</v>
      </c>
      <c r="B2963" t="s">
        <v>26</v>
      </c>
      <c r="C2963">
        <v>66713</v>
      </c>
      <c r="D2963" t="s">
        <v>85</v>
      </c>
      <c r="E2963" s="7">
        <v>679.06</v>
      </c>
      <c r="F2963" t="s">
        <v>20</v>
      </c>
      <c r="G2963" s="10" t="s">
        <v>21</v>
      </c>
      <c r="H2963" t="str">
        <f>"3930579 MAY 2021"</f>
        <v>3930579 MAY 2021</v>
      </c>
      <c r="I2963" t="str">
        <f>"FRONTIER"</f>
        <v>FRONTIER</v>
      </c>
    </row>
    <row r="2964" spans="1:9" x14ac:dyDescent="0.25">
      <c r="E2964" s="7"/>
      <c r="F2964" t="s">
        <v>20</v>
      </c>
      <c r="G2964" s="10" t="s">
        <v>21</v>
      </c>
      <c r="H2964" t="str">
        <f>"3933180 MAY 2021"</f>
        <v>3933180 MAY 2021</v>
      </c>
      <c r="I2964" t="str">
        <f>"FRONTIER"</f>
        <v>FRONTIER</v>
      </c>
    </row>
    <row r="2965" spans="1:9" x14ac:dyDescent="0.25">
      <c r="E2965" s="7"/>
      <c r="F2965" t="s">
        <v>20</v>
      </c>
      <c r="G2965" s="10" t="s">
        <v>21</v>
      </c>
      <c r="H2965" t="str">
        <f>"3937070 APR.2021"</f>
        <v>3937070 APR.2021</v>
      </c>
      <c r="I2965" t="str">
        <f>"FRONTIER"</f>
        <v>FRONTIER</v>
      </c>
    </row>
    <row r="2966" spans="1:9" x14ac:dyDescent="0.25">
      <c r="E2966" s="7"/>
      <c r="F2966" t="s">
        <v>20</v>
      </c>
      <c r="G2966" s="10" t="s">
        <v>21</v>
      </c>
      <c r="H2966" t="str">
        <f>"3939791 MAY 2021"</f>
        <v>3939791 MAY 2021</v>
      </c>
      <c r="I2966" t="str">
        <f>"FRONTIER"</f>
        <v>FRONTIER</v>
      </c>
    </row>
    <row r="2967" spans="1:9" x14ac:dyDescent="0.25">
      <c r="A2967" s="6">
        <v>44328</v>
      </c>
      <c r="B2967" t="s">
        <v>26</v>
      </c>
      <c r="C2967">
        <v>66714</v>
      </c>
      <c r="D2967" t="s">
        <v>194</v>
      </c>
      <c r="E2967" s="7">
        <v>509.85</v>
      </c>
      <c r="F2967" t="s">
        <v>20</v>
      </c>
      <c r="G2967" s="10" t="s">
        <v>21</v>
      </c>
      <c r="H2967" t="str">
        <f>"018245383"</f>
        <v>018245383</v>
      </c>
      <c r="I2967" t="str">
        <f>"GALLS  LLC-D.B.A. STERLING'S U"</f>
        <v>GALLS  LLC-D.B.A. STERLING'S U</v>
      </c>
    </row>
    <row r="2968" spans="1:9" x14ac:dyDescent="0.25">
      <c r="A2968" s="6">
        <v>44328</v>
      </c>
      <c r="B2968" t="s">
        <v>26</v>
      </c>
      <c r="C2968">
        <v>66715</v>
      </c>
      <c r="D2968" t="s">
        <v>398</v>
      </c>
      <c r="E2968" s="7">
        <v>56.5</v>
      </c>
      <c r="F2968" t="s">
        <v>20</v>
      </c>
      <c r="G2968" s="10" t="s">
        <v>21</v>
      </c>
      <c r="H2968" t="str">
        <f>"20210504"</f>
        <v>20210504</v>
      </c>
      <c r="I2968" t="str">
        <f>"INTERCEPTOR TECHNOLOGY GROUP L"</f>
        <v>INTERCEPTOR TECHNOLOGY GROUP L</v>
      </c>
    </row>
    <row r="2969" spans="1:9" x14ac:dyDescent="0.25">
      <c r="A2969" s="6">
        <v>44328</v>
      </c>
      <c r="B2969" t="s">
        <v>26</v>
      </c>
      <c r="C2969">
        <v>66716</v>
      </c>
      <c r="D2969" t="s">
        <v>125</v>
      </c>
      <c r="E2969" s="7">
        <v>910</v>
      </c>
      <c r="F2969" t="s">
        <v>20</v>
      </c>
      <c r="G2969" s="10" t="s">
        <v>21</v>
      </c>
      <c r="H2969" t="str">
        <f>"21-0020 APRIL 2021"</f>
        <v>21-0020 APRIL 2021</v>
      </c>
      <c r="I2969" t="str">
        <f>"INTREPID SURVEYING CORPORATION"</f>
        <v>INTREPID SURVEYING CORPORATION</v>
      </c>
    </row>
    <row r="2970" spans="1:9" x14ac:dyDescent="0.25">
      <c r="E2970" s="7"/>
      <c r="F2970" t="s">
        <v>20</v>
      </c>
      <c r="G2970" s="10" t="s">
        <v>21</v>
      </c>
      <c r="H2970" t="str">
        <f>"21-0230 APRIL 2021"</f>
        <v>21-0230 APRIL 2021</v>
      </c>
      <c r="I2970" t="str">
        <f>"INTREPID SURVEYING CORPORATION"</f>
        <v>INTREPID SURVEYING CORPORATION</v>
      </c>
    </row>
    <row r="2971" spans="1:9" x14ac:dyDescent="0.25">
      <c r="A2971" s="6">
        <v>44328</v>
      </c>
      <c r="B2971" t="s">
        <v>26</v>
      </c>
      <c r="C2971">
        <v>66717</v>
      </c>
      <c r="D2971" t="s">
        <v>1032</v>
      </c>
      <c r="E2971" s="7">
        <v>41433</v>
      </c>
      <c r="F2971" t="s">
        <v>20</v>
      </c>
      <c r="G2971" s="10" t="s">
        <v>21</v>
      </c>
      <c r="H2971" t="str">
        <f>"4-21-17615 5/4/21"</f>
        <v>4-21-17615 5/4/21</v>
      </c>
      <c r="I2971" t="str">
        <f>"LEAL &amp; CARTER  P.C."</f>
        <v>LEAL &amp; CARTER  P.C.</v>
      </c>
    </row>
    <row r="2972" spans="1:9" x14ac:dyDescent="0.25">
      <c r="A2972" s="6">
        <v>44328</v>
      </c>
      <c r="B2972" t="s">
        <v>26</v>
      </c>
      <c r="C2972">
        <v>66718</v>
      </c>
      <c r="D2972" t="s">
        <v>66</v>
      </c>
      <c r="E2972" s="7">
        <v>50</v>
      </c>
      <c r="F2972" t="s">
        <v>20</v>
      </c>
      <c r="G2972" s="10" t="s">
        <v>21</v>
      </c>
      <c r="H2972" t="str">
        <f>"60519"</f>
        <v>60519</v>
      </c>
      <c r="I2972" t="str">
        <f>"LOPEZ EXTERMINATING SERVICE  I"</f>
        <v>LOPEZ EXTERMINATING SERVICE  I</v>
      </c>
    </row>
    <row r="2973" spans="1:9" x14ac:dyDescent="0.25">
      <c r="A2973" s="6">
        <v>44328</v>
      </c>
      <c r="B2973" t="s">
        <v>26</v>
      </c>
      <c r="C2973">
        <v>66719</v>
      </c>
      <c r="D2973" t="s">
        <v>124</v>
      </c>
      <c r="E2973" s="7">
        <v>50.02</v>
      </c>
      <c r="F2973" t="s">
        <v>20</v>
      </c>
      <c r="G2973" s="10" t="s">
        <v>21</v>
      </c>
      <c r="H2973" t="str">
        <f>"11104601"</f>
        <v>11104601</v>
      </c>
      <c r="I2973" t="str">
        <f>"SIDEWALK SUPPLIES"</f>
        <v>SIDEWALK SUPPLIES</v>
      </c>
    </row>
    <row r="2974" spans="1:9" x14ac:dyDescent="0.25">
      <c r="A2974" s="6">
        <v>44328</v>
      </c>
      <c r="B2974" t="s">
        <v>26</v>
      </c>
      <c r="C2974">
        <v>66720</v>
      </c>
      <c r="D2974" t="s">
        <v>345</v>
      </c>
      <c r="E2974" s="7">
        <v>308</v>
      </c>
      <c r="F2974" t="s">
        <v>20</v>
      </c>
      <c r="G2974" s="10" t="s">
        <v>21</v>
      </c>
      <c r="H2974" t="str">
        <f>"05/10/2021"</f>
        <v>05/10/2021</v>
      </c>
      <c r="I2974" t="str">
        <f>"MICHAEL ISAAC MARTINEZ"</f>
        <v>MICHAEL ISAAC MARTINEZ</v>
      </c>
    </row>
    <row r="2975" spans="1:9" x14ac:dyDescent="0.25">
      <c r="A2975" s="6">
        <v>44328</v>
      </c>
      <c r="B2975" t="s">
        <v>26</v>
      </c>
      <c r="C2975">
        <v>66721</v>
      </c>
      <c r="D2975" t="s">
        <v>1041</v>
      </c>
      <c r="E2975" s="7">
        <v>375</v>
      </c>
      <c r="F2975" t="s">
        <v>20</v>
      </c>
      <c r="G2975" s="10" t="s">
        <v>21</v>
      </c>
      <c r="H2975" t="str">
        <f>"606655"</f>
        <v>606655</v>
      </c>
      <c r="I2975" t="str">
        <f>"MONARCH TROPHY STUDIO"</f>
        <v>MONARCH TROPHY STUDIO</v>
      </c>
    </row>
    <row r="2976" spans="1:9" x14ac:dyDescent="0.25">
      <c r="A2976" s="6">
        <v>44328</v>
      </c>
      <c r="B2976" t="s">
        <v>26</v>
      </c>
      <c r="C2976">
        <v>66722</v>
      </c>
      <c r="D2976" t="s">
        <v>123</v>
      </c>
      <c r="E2976" s="7">
        <v>136.13999999999999</v>
      </c>
      <c r="F2976" t="s">
        <v>20</v>
      </c>
      <c r="G2976" s="10" t="s">
        <v>21</v>
      </c>
      <c r="H2976" t="str">
        <f>"167495601001"</f>
        <v>167495601001</v>
      </c>
      <c r="I2976" t="str">
        <f>"OFFICE SUPPLIES"</f>
        <v>OFFICE SUPPLIES</v>
      </c>
    </row>
    <row r="2977" spans="1:9" x14ac:dyDescent="0.25">
      <c r="E2977" s="7"/>
      <c r="F2977" t="s">
        <v>20</v>
      </c>
      <c r="G2977" s="10" t="s">
        <v>21</v>
      </c>
      <c r="H2977" t="str">
        <f>"170112820001"</f>
        <v>170112820001</v>
      </c>
      <c r="I2977" t="str">
        <f>"HR OFFICE SUPPLIES"</f>
        <v>HR OFFICE SUPPLIES</v>
      </c>
    </row>
    <row r="2978" spans="1:9" x14ac:dyDescent="0.25">
      <c r="A2978" s="6">
        <v>44328</v>
      </c>
      <c r="B2978" t="s">
        <v>26</v>
      </c>
      <c r="C2978">
        <v>66723</v>
      </c>
      <c r="D2978" t="s">
        <v>166</v>
      </c>
      <c r="E2978" s="7">
        <v>220.65</v>
      </c>
      <c r="F2978" t="s">
        <v>20</v>
      </c>
      <c r="G2978" s="10" t="s">
        <v>21</v>
      </c>
      <c r="H2978" t="str">
        <f>"9567   5/30/2021"</f>
        <v>9567   5/30/2021</v>
      </c>
      <c r="I2978" t="str">
        <f>"PITNEY BOWES PURCHASE POWER"</f>
        <v>PITNEY BOWES PURCHASE POWER</v>
      </c>
    </row>
    <row r="2979" spans="1:9" x14ac:dyDescent="0.25">
      <c r="A2979" s="6">
        <v>44328</v>
      </c>
      <c r="B2979" t="s">
        <v>26</v>
      </c>
      <c r="C2979">
        <v>66724</v>
      </c>
      <c r="D2979" t="s">
        <v>62</v>
      </c>
      <c r="E2979" s="7">
        <v>225.25</v>
      </c>
      <c r="F2979" t="s">
        <v>20</v>
      </c>
      <c r="G2979" s="10" t="s">
        <v>21</v>
      </c>
      <c r="H2979" t="str">
        <f>"73385"</f>
        <v>73385</v>
      </c>
      <c r="I2979" t="str">
        <f>"PROFICIENT BENEFIT SOLUTIONS"</f>
        <v>PROFICIENT BENEFIT SOLUTIONS</v>
      </c>
    </row>
    <row r="2980" spans="1:9" x14ac:dyDescent="0.25">
      <c r="A2980" s="6">
        <v>44328</v>
      </c>
      <c r="B2980" t="s">
        <v>26</v>
      </c>
      <c r="C2980">
        <v>66725</v>
      </c>
      <c r="D2980" t="s">
        <v>339</v>
      </c>
      <c r="E2980" s="7">
        <v>360</v>
      </c>
      <c r="F2980" t="s">
        <v>20</v>
      </c>
      <c r="G2980" s="10" t="s">
        <v>21</v>
      </c>
      <c r="H2980" t="str">
        <f>"827707"</f>
        <v>827707</v>
      </c>
      <c r="I2980" t="str">
        <f>"RADAR REPAIR FOR PD"</f>
        <v>RADAR REPAIR FOR PD</v>
      </c>
    </row>
    <row r="2981" spans="1:9" x14ac:dyDescent="0.25">
      <c r="A2981" s="6">
        <v>44328</v>
      </c>
      <c r="B2981" t="s">
        <v>26</v>
      </c>
      <c r="C2981">
        <v>66726</v>
      </c>
      <c r="D2981" t="s">
        <v>568</v>
      </c>
      <c r="E2981" s="7">
        <v>516.02</v>
      </c>
      <c r="F2981" t="s">
        <v>20</v>
      </c>
      <c r="G2981" s="10" t="s">
        <v>21</v>
      </c>
      <c r="H2981" t="str">
        <f>"20253537"</f>
        <v>20253537</v>
      </c>
      <c r="I2981" t="str">
        <f>"TIRES FOR UNIT 333"</f>
        <v>TIRES FOR UNIT 333</v>
      </c>
    </row>
    <row r="2982" spans="1:9" x14ac:dyDescent="0.25">
      <c r="E2982" s="7"/>
      <c r="F2982" t="s">
        <v>20</v>
      </c>
      <c r="G2982" s="10" t="s">
        <v>21</v>
      </c>
      <c r="H2982" t="str">
        <f>"20253546"</f>
        <v>20253546</v>
      </c>
      <c r="I2982" t="str">
        <f>"TIRES FOR UNIT #317"</f>
        <v>TIRES FOR UNIT #317</v>
      </c>
    </row>
    <row r="2983" spans="1:9" x14ac:dyDescent="0.25">
      <c r="A2983" s="6">
        <v>44328</v>
      </c>
      <c r="B2983" t="s">
        <v>26</v>
      </c>
      <c r="C2983">
        <v>66727</v>
      </c>
      <c r="D2983" t="s">
        <v>1030</v>
      </c>
      <c r="E2983" s="7">
        <v>291092.82</v>
      </c>
      <c r="F2983" t="s">
        <v>20</v>
      </c>
      <c r="G2983" s="10" t="s">
        <v>21</v>
      </c>
      <c r="H2983" t="str">
        <f>"PAY APP#4"</f>
        <v>PAY APP#4</v>
      </c>
      <c r="I2983" t="str">
        <f>"TRIUN  LLC"</f>
        <v>TRIUN  LLC</v>
      </c>
    </row>
    <row r="2984" spans="1:9" x14ac:dyDescent="0.25">
      <c r="A2984" s="6">
        <v>44328</v>
      </c>
      <c r="B2984" t="s">
        <v>26</v>
      </c>
      <c r="C2984">
        <v>66728</v>
      </c>
      <c r="D2984" t="s">
        <v>61</v>
      </c>
      <c r="E2984" s="7">
        <v>188</v>
      </c>
      <c r="F2984" t="s">
        <v>20</v>
      </c>
      <c r="G2984" s="10" t="s">
        <v>21</v>
      </c>
      <c r="H2984" t="str">
        <f>"025-332377"</f>
        <v>025-332377</v>
      </c>
      <c r="I2984" t="str">
        <f>"TYLER TECHNOLOGIES  INC."</f>
        <v>TYLER TECHNOLOGIES  INC.</v>
      </c>
    </row>
    <row r="2985" spans="1:9" x14ac:dyDescent="0.25">
      <c r="A2985" s="6">
        <v>44328</v>
      </c>
      <c r="B2985" t="s">
        <v>26</v>
      </c>
      <c r="C2985">
        <v>66729</v>
      </c>
      <c r="D2985" t="s">
        <v>644</v>
      </c>
      <c r="E2985" s="7">
        <v>519.47</v>
      </c>
      <c r="F2985" t="s">
        <v>20</v>
      </c>
      <c r="G2985" s="10" t="s">
        <v>21</v>
      </c>
      <c r="H2985" t="str">
        <f>"8213591575"</f>
        <v>8213591575</v>
      </c>
      <c r="I2985" t="str">
        <f t="shared" ref="I2985:I2991" si="67">"UNIFIRST CORPORATION"</f>
        <v>UNIFIRST CORPORATION</v>
      </c>
    </row>
    <row r="2986" spans="1:9" x14ac:dyDescent="0.25">
      <c r="E2986" s="7"/>
      <c r="F2986" t="s">
        <v>20</v>
      </c>
      <c r="G2986" s="10" t="s">
        <v>21</v>
      </c>
      <c r="H2986" t="str">
        <f>"8213591576"</f>
        <v>8213591576</v>
      </c>
      <c r="I2986" t="str">
        <f t="shared" si="67"/>
        <v>UNIFIRST CORPORATION</v>
      </c>
    </row>
    <row r="2987" spans="1:9" x14ac:dyDescent="0.25">
      <c r="E2987" s="7"/>
      <c r="F2987" t="s">
        <v>20</v>
      </c>
      <c r="G2987" s="10" t="s">
        <v>21</v>
      </c>
      <c r="H2987" t="str">
        <f>"8213591577"</f>
        <v>8213591577</v>
      </c>
      <c r="I2987" t="str">
        <f t="shared" si="67"/>
        <v>UNIFIRST CORPORATION</v>
      </c>
    </row>
    <row r="2988" spans="1:9" x14ac:dyDescent="0.25">
      <c r="E2988" s="7"/>
      <c r="F2988" t="s">
        <v>20</v>
      </c>
      <c r="G2988" s="10" t="s">
        <v>21</v>
      </c>
      <c r="H2988" t="str">
        <f>"8213591578"</f>
        <v>8213591578</v>
      </c>
      <c r="I2988" t="str">
        <f t="shared" si="67"/>
        <v>UNIFIRST CORPORATION</v>
      </c>
    </row>
    <row r="2989" spans="1:9" x14ac:dyDescent="0.25">
      <c r="E2989" s="7"/>
      <c r="F2989" t="s">
        <v>20</v>
      </c>
      <c r="G2989" s="10" t="s">
        <v>21</v>
      </c>
      <c r="H2989" t="str">
        <f>"8213591579"</f>
        <v>8213591579</v>
      </c>
      <c r="I2989" t="str">
        <f t="shared" si="67"/>
        <v>UNIFIRST CORPORATION</v>
      </c>
    </row>
    <row r="2990" spans="1:9" x14ac:dyDescent="0.25">
      <c r="E2990" s="7"/>
      <c r="F2990" t="s">
        <v>20</v>
      </c>
      <c r="G2990" s="10" t="s">
        <v>21</v>
      </c>
      <c r="H2990" t="str">
        <f>"8213591580"</f>
        <v>8213591580</v>
      </c>
      <c r="I2990" t="str">
        <f t="shared" si="67"/>
        <v>UNIFIRST CORPORATION</v>
      </c>
    </row>
    <row r="2991" spans="1:9" x14ac:dyDescent="0.25">
      <c r="E2991" s="7"/>
      <c r="F2991" t="s">
        <v>20</v>
      </c>
      <c r="G2991" s="10" t="s">
        <v>21</v>
      </c>
      <c r="H2991" t="str">
        <f>"8213591581"</f>
        <v>8213591581</v>
      </c>
      <c r="I2991" t="str">
        <f t="shared" si="67"/>
        <v>UNIFIRST CORPORATION</v>
      </c>
    </row>
    <row r="2992" spans="1:9" x14ac:dyDescent="0.25">
      <c r="A2992" s="6">
        <v>44328</v>
      </c>
      <c r="B2992" t="s">
        <v>26</v>
      </c>
      <c r="C2992">
        <v>66731</v>
      </c>
      <c r="D2992" t="s">
        <v>122</v>
      </c>
      <c r="E2992" s="7">
        <v>70</v>
      </c>
      <c r="F2992" t="s">
        <v>20</v>
      </c>
      <c r="G2992" s="10" t="s">
        <v>21</v>
      </c>
      <c r="H2992" t="str">
        <f>"142745"</f>
        <v>142745</v>
      </c>
      <c r="I2992" t="str">
        <f>"VILLA TIRES"</f>
        <v>VILLA TIRES</v>
      </c>
    </row>
    <row r="2993" spans="1:9" x14ac:dyDescent="0.25">
      <c r="E2993" s="7"/>
      <c r="F2993" t="s">
        <v>20</v>
      </c>
      <c r="G2993" s="10" t="s">
        <v>21</v>
      </c>
      <c r="H2993" t="str">
        <f>"142750"</f>
        <v>142750</v>
      </c>
      <c r="I2993" t="str">
        <f>"VILLA TIRES"</f>
        <v>VILLA TIRES</v>
      </c>
    </row>
    <row r="2994" spans="1:9" x14ac:dyDescent="0.25">
      <c r="E2994" s="7"/>
      <c r="F2994" t="s">
        <v>20</v>
      </c>
      <c r="G2994" s="10" t="s">
        <v>21</v>
      </c>
      <c r="H2994" t="str">
        <f>"891754"</f>
        <v>891754</v>
      </c>
      <c r="I2994" t="str">
        <f>"VILLA TIRES"</f>
        <v>VILLA TIRES</v>
      </c>
    </row>
    <row r="2995" spans="1:9" x14ac:dyDescent="0.25">
      <c r="E2995" s="7"/>
      <c r="F2995" t="s">
        <v>20</v>
      </c>
      <c r="G2995" s="10" t="s">
        <v>21</v>
      </c>
      <c r="H2995" t="str">
        <f>"891757"</f>
        <v>891757</v>
      </c>
      <c r="I2995" t="str">
        <f>"VILLA TIRES"</f>
        <v>VILLA TIRES</v>
      </c>
    </row>
    <row r="2996" spans="1:9" x14ac:dyDescent="0.25">
      <c r="A2996" s="6">
        <v>44328</v>
      </c>
      <c r="B2996" t="s">
        <v>26</v>
      </c>
      <c r="C2996">
        <v>66732</v>
      </c>
      <c r="D2996" t="s">
        <v>202</v>
      </c>
      <c r="E2996" s="7">
        <v>3093.83</v>
      </c>
      <c r="F2996" t="s">
        <v>20</v>
      </c>
      <c r="G2996" s="10" t="s">
        <v>21</v>
      </c>
      <c r="H2996" t="str">
        <f>"62285911"</f>
        <v>62285911</v>
      </c>
      <c r="I2996" t="str">
        <f>"LRA PREMIX TYPE D COLD MI"</f>
        <v>LRA PREMIX TYPE D COLD MI</v>
      </c>
    </row>
    <row r="2997" spans="1:9" x14ac:dyDescent="0.25">
      <c r="A2997" s="6">
        <v>44328</v>
      </c>
      <c r="B2997" t="s">
        <v>26</v>
      </c>
      <c r="C2997">
        <v>66733</v>
      </c>
      <c r="D2997" t="s">
        <v>1047</v>
      </c>
      <c r="E2997" s="7">
        <v>138</v>
      </c>
      <c r="F2997" t="s">
        <v>20</v>
      </c>
      <c r="G2997" s="10" t="s">
        <v>21</v>
      </c>
      <c r="H2997" t="str">
        <f>"2358"</f>
        <v>2358</v>
      </c>
      <c r="I2997" t="str">
        <f>"WESTONS TRUCKS UNLIMITED LLC"</f>
        <v>WESTONS TRUCKS UNLIMITED LLC</v>
      </c>
    </row>
    <row r="2998" spans="1:9" x14ac:dyDescent="0.25">
      <c r="A2998" s="6">
        <v>44328</v>
      </c>
      <c r="B2998" t="s">
        <v>26</v>
      </c>
      <c r="C2998">
        <v>66734</v>
      </c>
      <c r="D2998" t="s">
        <v>104</v>
      </c>
      <c r="E2998" s="7">
        <v>288.8</v>
      </c>
      <c r="F2998" t="s">
        <v>20</v>
      </c>
      <c r="G2998" s="10" t="s">
        <v>21</v>
      </c>
      <c r="H2998" t="str">
        <f>"13983"</f>
        <v>13983</v>
      </c>
      <c r="I2998" t="str">
        <f>"WILSON COUNTY NEWS"</f>
        <v>WILSON COUNTY NEWS</v>
      </c>
    </row>
    <row r="2999" spans="1:9" x14ac:dyDescent="0.25">
      <c r="E2999" s="7"/>
      <c r="F2999" t="s">
        <v>20</v>
      </c>
      <c r="G2999" s="10" t="s">
        <v>21</v>
      </c>
      <c r="H2999" t="str">
        <f>"13988"</f>
        <v>13988</v>
      </c>
      <c r="I2999" t="str">
        <f>"WILSON COUNTY NEWS"</f>
        <v>WILSON COUNTY NEWS</v>
      </c>
    </row>
    <row r="3000" spans="1:9" x14ac:dyDescent="0.25">
      <c r="A3000" s="6">
        <v>44328</v>
      </c>
      <c r="B3000" t="s">
        <v>26</v>
      </c>
      <c r="C3000">
        <v>66735</v>
      </c>
      <c r="D3000" t="s">
        <v>92</v>
      </c>
      <c r="E3000" s="7">
        <v>32952.97</v>
      </c>
      <c r="F3000" t="s">
        <v>20</v>
      </c>
      <c r="G3000" s="10" t="s">
        <v>21</v>
      </c>
      <c r="H3000" t="str">
        <f>"RET202104078605"</f>
        <v>RET202104078605</v>
      </c>
      <c r="I3000" t="str">
        <f>"TMRS CITY OF FLORESVILLE"</f>
        <v>TMRS CITY OF FLORESVILLE</v>
      </c>
    </row>
    <row r="3001" spans="1:9" x14ac:dyDescent="0.25">
      <c r="E3001" s="7"/>
      <c r="F3001" t="s">
        <v>20</v>
      </c>
      <c r="G3001" s="10" t="s">
        <v>21</v>
      </c>
      <c r="H3001" t="str">
        <f>"RET202104208606"</f>
        <v>RET202104208606</v>
      </c>
      <c r="I3001" t="str">
        <f>"TMRS CITY OF FLORESVILLE"</f>
        <v>TMRS CITY OF FLORESVILLE</v>
      </c>
    </row>
    <row r="3002" spans="1:9" x14ac:dyDescent="0.25">
      <c r="A3002" s="6">
        <v>44329</v>
      </c>
      <c r="B3002" t="s">
        <v>26</v>
      </c>
      <c r="C3002">
        <v>66739</v>
      </c>
      <c r="D3002" t="s">
        <v>74</v>
      </c>
      <c r="E3002" s="7">
        <v>1886.84</v>
      </c>
      <c r="F3002" t="s">
        <v>20</v>
      </c>
      <c r="G3002" s="10" t="s">
        <v>21</v>
      </c>
      <c r="H3002" t="str">
        <f>"9878339515"</f>
        <v>9878339515</v>
      </c>
      <c r="I3002" t="str">
        <f>"VERIZON WIRELESS"</f>
        <v>VERIZON WIRELESS</v>
      </c>
    </row>
    <row r="3003" spans="1:9" x14ac:dyDescent="0.25">
      <c r="A3003" s="6">
        <v>44334</v>
      </c>
      <c r="B3003" t="s">
        <v>26</v>
      </c>
      <c r="C3003">
        <v>66746</v>
      </c>
      <c r="D3003" t="s">
        <v>51</v>
      </c>
      <c r="E3003" s="7">
        <v>346.31</v>
      </c>
      <c r="F3003" t="s">
        <v>20</v>
      </c>
      <c r="G3003" s="10" t="s">
        <v>21</v>
      </c>
      <c r="H3003" t="str">
        <f>"CLE202105188608"</f>
        <v>CLE202105188608</v>
      </c>
      <c r="I3003" t="str">
        <f>"CLEAT ONLY DUES"</f>
        <v>CLEAT ONLY DUES</v>
      </c>
    </row>
    <row r="3004" spans="1:9" x14ac:dyDescent="0.25">
      <c r="E3004" s="7"/>
      <c r="F3004" t="s">
        <v>20</v>
      </c>
      <c r="G3004" s="10" t="s">
        <v>21</v>
      </c>
      <c r="H3004" t="str">
        <f>"PDD202105188608"</f>
        <v>PDD202105188608</v>
      </c>
      <c r="I3004" t="str">
        <f>"POLICE OFFICERS ASSOC DUES"</f>
        <v>POLICE OFFICERS ASSOC DUES</v>
      </c>
    </row>
    <row r="3005" spans="1:9" x14ac:dyDescent="0.25">
      <c r="A3005" s="6">
        <v>44334</v>
      </c>
      <c r="B3005" t="s">
        <v>26</v>
      </c>
      <c r="C3005">
        <v>66747</v>
      </c>
      <c r="D3005" t="s">
        <v>52</v>
      </c>
      <c r="E3005" s="7">
        <v>926.54</v>
      </c>
      <c r="F3005" t="s">
        <v>20</v>
      </c>
      <c r="G3005" s="10" t="s">
        <v>21</v>
      </c>
      <c r="H3005" t="str">
        <f>"CA1202105188608"</f>
        <v>CA1202105188608</v>
      </c>
      <c r="I3005" t="str">
        <f>"K RAMIREZ 001200229510060343CV"</f>
        <v>K RAMIREZ 001200229510060343CV</v>
      </c>
    </row>
    <row r="3006" spans="1:9" x14ac:dyDescent="0.25">
      <c r="E3006" s="7"/>
      <c r="F3006" t="s">
        <v>20</v>
      </c>
      <c r="G3006" s="10" t="s">
        <v>21</v>
      </c>
      <c r="H3006" t="str">
        <f>"CA2202105188608"</f>
        <v>CA2202105188608</v>
      </c>
      <c r="I3006" t="str">
        <f>"L HERNANDEZ 001016025203080354"</f>
        <v>L HERNANDEZ 001016025203080354</v>
      </c>
    </row>
    <row r="3007" spans="1:9" x14ac:dyDescent="0.25">
      <c r="E3007" s="7"/>
      <c r="F3007" t="s">
        <v>20</v>
      </c>
      <c r="G3007" s="10" t="s">
        <v>21</v>
      </c>
      <c r="H3007" t="str">
        <f>"CA3202105188608"</f>
        <v>CA3202105188608</v>
      </c>
      <c r="I3007" t="str">
        <f>"00120788612011EM5023JOLENEGARC"</f>
        <v>00120788612011EM5023JOLENEGARC</v>
      </c>
    </row>
    <row r="3008" spans="1:9" x14ac:dyDescent="0.25">
      <c r="E3008" s="7"/>
      <c r="F3008" t="s">
        <v>20</v>
      </c>
      <c r="G3008" s="10" t="s">
        <v>21</v>
      </c>
      <c r="H3008" t="str">
        <f>"CSA202105188608"</f>
        <v>CSA202105188608</v>
      </c>
      <c r="I3008" t="str">
        <f>"S RODRIGUEZ 001281730413050336"</f>
        <v>S RODRIGUEZ 001281730413050336</v>
      </c>
    </row>
    <row r="3009" spans="1:9" x14ac:dyDescent="0.25">
      <c r="E3009" s="7"/>
      <c r="F3009" t="s">
        <v>20</v>
      </c>
      <c r="G3009" s="10" t="s">
        <v>21</v>
      </c>
      <c r="H3009" t="str">
        <f>"CSI202105188608"</f>
        <v>CSI202105188608</v>
      </c>
      <c r="I3009" t="str">
        <f>"KTRINIDAD0014071774CVW2000777"</f>
        <v>KTRINIDAD0014071774CVW2000777</v>
      </c>
    </row>
    <row r="3010" spans="1:9" x14ac:dyDescent="0.25">
      <c r="A3010" s="6">
        <v>44334</v>
      </c>
      <c r="B3010" t="s">
        <v>26</v>
      </c>
      <c r="C3010">
        <v>66748</v>
      </c>
      <c r="D3010" t="s">
        <v>54</v>
      </c>
      <c r="E3010" s="7">
        <v>1164.93</v>
      </c>
      <c r="F3010" t="s">
        <v>20</v>
      </c>
      <c r="G3010" s="10" t="s">
        <v>21</v>
      </c>
      <c r="H3010" t="str">
        <f>"BRE202105188608"</f>
        <v>BRE202105188608</v>
      </c>
      <c r="I3010" t="str">
        <f>"CASE #180-60751 457B DEDUCT"</f>
        <v>CASE #180-60751 457B DEDUCT</v>
      </c>
    </row>
    <row r="3011" spans="1:9" x14ac:dyDescent="0.25">
      <c r="A3011" s="6">
        <v>44335</v>
      </c>
      <c r="B3011" t="s">
        <v>26</v>
      </c>
      <c r="C3011">
        <v>66749</v>
      </c>
      <c r="D3011" t="s">
        <v>1024</v>
      </c>
      <c r="E3011" s="7">
        <v>1600</v>
      </c>
      <c r="F3011" t="s">
        <v>20</v>
      </c>
      <c r="G3011" s="10" t="s">
        <v>21</v>
      </c>
      <c r="H3011" t="str">
        <f>"042920211049"</f>
        <v>042920211049</v>
      </c>
      <c r="I3011" t="str">
        <f>"78X10 GATED UTILITY TRAIL"</f>
        <v>78X10 GATED UTILITY TRAIL</v>
      </c>
    </row>
    <row r="3012" spans="1:9" x14ac:dyDescent="0.25">
      <c r="A3012" s="6">
        <v>44335</v>
      </c>
      <c r="B3012" t="s">
        <v>91</v>
      </c>
      <c r="C3012">
        <v>66750</v>
      </c>
      <c r="D3012" t="s">
        <v>38</v>
      </c>
      <c r="E3012" s="7">
        <v>100</v>
      </c>
      <c r="F3012" t="s">
        <v>20</v>
      </c>
      <c r="G3012" s="10" t="s">
        <v>21</v>
      </c>
      <c r="H3012" t="str">
        <f>"05/06/21-COUNCIL"</f>
        <v>05/06/21-COUNCIL</v>
      </c>
      <c r="I3012" t="str">
        <f>""</f>
        <v/>
      </c>
    </row>
    <row r="3013" spans="1:9" x14ac:dyDescent="0.25">
      <c r="A3013" s="6">
        <v>44335</v>
      </c>
      <c r="B3013" t="s">
        <v>91</v>
      </c>
      <c r="C3013">
        <v>66750</v>
      </c>
      <c r="D3013" t="s">
        <v>38</v>
      </c>
      <c r="E3013" s="7">
        <v>100</v>
      </c>
      <c r="F3013" t="s">
        <v>20</v>
      </c>
      <c r="G3013" s="10" t="s">
        <v>93</v>
      </c>
      <c r="H3013" t="str">
        <f>"CHECK"</f>
        <v>CHECK</v>
      </c>
      <c r="I3013" t="str">
        <f>""</f>
        <v/>
      </c>
    </row>
    <row r="3014" spans="1:9" x14ac:dyDescent="0.25">
      <c r="A3014" s="6">
        <v>44335</v>
      </c>
      <c r="B3014" t="s">
        <v>26</v>
      </c>
      <c r="C3014">
        <v>66751</v>
      </c>
      <c r="D3014" t="s">
        <v>102</v>
      </c>
      <c r="E3014" s="7">
        <v>102.93</v>
      </c>
      <c r="F3014" t="s">
        <v>20</v>
      </c>
      <c r="G3014" s="10" t="s">
        <v>21</v>
      </c>
      <c r="H3014" t="str">
        <f>"1120 D.ST APR.2021"</f>
        <v>1120 D.ST APR.2021</v>
      </c>
      <c r="I3014" t="str">
        <f>"CENTERPOINT ENERGY ENTEX"</f>
        <v>CENTERPOINT ENERGY ENTEX</v>
      </c>
    </row>
    <row r="3015" spans="1:9" x14ac:dyDescent="0.25">
      <c r="E3015" s="7"/>
      <c r="F3015" t="s">
        <v>20</v>
      </c>
      <c r="G3015" s="10" t="s">
        <v>21</v>
      </c>
      <c r="H3015" t="str">
        <f>"1200 1ST ST APR.21"</f>
        <v>1200 1ST ST APR.21</v>
      </c>
      <c r="I3015" t="str">
        <f>"CENTERPOINT ENERGY ENTEX"</f>
        <v>CENTERPOINT ENERGY ENTEX</v>
      </c>
    </row>
    <row r="3016" spans="1:9" x14ac:dyDescent="0.25">
      <c r="E3016" s="7"/>
      <c r="F3016" t="s">
        <v>20</v>
      </c>
      <c r="G3016" s="10" t="s">
        <v>21</v>
      </c>
      <c r="H3016" t="str">
        <f>"920 C. ST APR2021"</f>
        <v>920 C. ST APR2021</v>
      </c>
      <c r="I3016" t="str">
        <f>"CENTERPOINT ENERGY ENTEX"</f>
        <v>CENTERPOINT ENERGY ENTEX</v>
      </c>
    </row>
    <row r="3017" spans="1:9" x14ac:dyDescent="0.25">
      <c r="A3017" s="6">
        <v>44335</v>
      </c>
      <c r="B3017" t="s">
        <v>26</v>
      </c>
      <c r="C3017">
        <v>66752</v>
      </c>
      <c r="D3017" t="s">
        <v>63</v>
      </c>
      <c r="E3017" s="7">
        <v>708.56</v>
      </c>
      <c r="F3017" t="s">
        <v>20</v>
      </c>
      <c r="G3017" s="10" t="s">
        <v>21</v>
      </c>
      <c r="H3017" t="str">
        <f>"8405129394"</f>
        <v>8405129394</v>
      </c>
      <c r="I3017" t="str">
        <f>"CINTAS CORPORATION"</f>
        <v>CINTAS CORPORATION</v>
      </c>
    </row>
    <row r="3018" spans="1:9" x14ac:dyDescent="0.25">
      <c r="A3018" s="6">
        <v>44335</v>
      </c>
      <c r="B3018" t="s">
        <v>26</v>
      </c>
      <c r="C3018">
        <v>66753</v>
      </c>
      <c r="D3018" t="s">
        <v>81</v>
      </c>
      <c r="E3018" s="7">
        <v>107.13</v>
      </c>
      <c r="F3018" t="s">
        <v>20</v>
      </c>
      <c r="G3018" s="10" t="s">
        <v>21</v>
      </c>
      <c r="H3018" t="str">
        <f>"A.MARTINEZ 5/17/21"</f>
        <v>A.MARTINEZ 5/17/21</v>
      </c>
      <c r="I3018" t="str">
        <f>"CITY OF FLORESVILLE -PETTY CAS"</f>
        <v>CITY OF FLORESVILLE -PETTY CAS</v>
      </c>
    </row>
    <row r="3019" spans="1:9" x14ac:dyDescent="0.25">
      <c r="A3019" s="6">
        <v>44335</v>
      </c>
      <c r="B3019" t="s">
        <v>26</v>
      </c>
      <c r="C3019">
        <v>66754</v>
      </c>
      <c r="D3019" t="s">
        <v>629</v>
      </c>
      <c r="E3019" s="7">
        <v>1116.25</v>
      </c>
      <c r="F3019" t="s">
        <v>20</v>
      </c>
      <c r="G3019" s="10" t="s">
        <v>21</v>
      </c>
      <c r="H3019" t="str">
        <f>"41445"</f>
        <v>41445</v>
      </c>
      <c r="I3019" t="str">
        <f>"STOP HIP FACES"</f>
        <v>STOP HIP FACES</v>
      </c>
    </row>
    <row r="3020" spans="1:9" x14ac:dyDescent="0.25">
      <c r="E3020" s="7"/>
      <c r="F3020" t="s">
        <v>20</v>
      </c>
      <c r="G3020" s="10" t="s">
        <v>21</v>
      </c>
      <c r="H3020" t="str">
        <f>"41570"</f>
        <v>41570</v>
      </c>
      <c r="I3020" t="str">
        <f>"STOP HIP FACES"</f>
        <v>STOP HIP FACES</v>
      </c>
    </row>
    <row r="3021" spans="1:9" x14ac:dyDescent="0.25">
      <c r="A3021" s="6">
        <v>44335</v>
      </c>
      <c r="B3021" t="s">
        <v>26</v>
      </c>
      <c r="C3021">
        <v>66755</v>
      </c>
      <c r="D3021" t="s">
        <v>77</v>
      </c>
      <c r="E3021" s="7">
        <v>320</v>
      </c>
      <c r="F3021" t="s">
        <v>20</v>
      </c>
      <c r="G3021" s="10" t="s">
        <v>21</v>
      </c>
      <c r="H3021" t="str">
        <f>"DE85000970-21"</f>
        <v>DE85000970-21</v>
      </c>
      <c r="I3021" t="str">
        <f>"DPC INDUSTRIES  INC."</f>
        <v>DPC INDUSTRIES  INC.</v>
      </c>
    </row>
    <row r="3022" spans="1:9" x14ac:dyDescent="0.25">
      <c r="A3022" s="6">
        <v>44335</v>
      </c>
      <c r="B3022" t="s">
        <v>91</v>
      </c>
      <c r="C3022">
        <v>66756</v>
      </c>
      <c r="D3022" t="s">
        <v>1011</v>
      </c>
      <c r="E3022" s="7">
        <v>75</v>
      </c>
      <c r="F3022" t="s">
        <v>20</v>
      </c>
      <c r="G3022" s="10" t="s">
        <v>21</v>
      </c>
      <c r="H3022" t="str">
        <f>"05/06/21-COUNCIL"</f>
        <v>05/06/21-COUNCIL</v>
      </c>
      <c r="I3022" t="str">
        <f>""</f>
        <v/>
      </c>
    </row>
    <row r="3023" spans="1:9" x14ac:dyDescent="0.25">
      <c r="A3023" s="6">
        <v>44335</v>
      </c>
      <c r="B3023" t="s">
        <v>91</v>
      </c>
      <c r="C3023">
        <v>66756</v>
      </c>
      <c r="D3023" t="s">
        <v>1011</v>
      </c>
      <c r="E3023" s="7">
        <v>75</v>
      </c>
      <c r="F3023" t="s">
        <v>20</v>
      </c>
      <c r="G3023" s="10" t="s">
        <v>93</v>
      </c>
      <c r="H3023" t="str">
        <f>"CHECK"</f>
        <v>CHECK</v>
      </c>
      <c r="I3023" t="str">
        <f>""</f>
        <v/>
      </c>
    </row>
    <row r="3024" spans="1:9" x14ac:dyDescent="0.25">
      <c r="A3024" s="6">
        <v>44335</v>
      </c>
      <c r="B3024" t="s">
        <v>26</v>
      </c>
      <c r="C3024">
        <v>66757</v>
      </c>
      <c r="D3024" t="s">
        <v>103</v>
      </c>
      <c r="E3024" s="7">
        <v>98383.19</v>
      </c>
      <c r="F3024" t="s">
        <v>20</v>
      </c>
      <c r="G3024" s="10" t="s">
        <v>21</v>
      </c>
      <c r="H3024" t="str">
        <f>"MAY 2021 SALES TAX"</f>
        <v>MAY 2021 SALES TAX</v>
      </c>
      <c r="I3024" t="str">
        <f>"F. E. D. C."</f>
        <v>F. E. D. C.</v>
      </c>
    </row>
    <row r="3025" spans="1:9" x14ac:dyDescent="0.25">
      <c r="A3025" s="6">
        <v>44335</v>
      </c>
      <c r="B3025" t="s">
        <v>26</v>
      </c>
      <c r="C3025">
        <v>66758</v>
      </c>
      <c r="D3025" t="s">
        <v>57</v>
      </c>
      <c r="E3025" s="7">
        <v>5574.84</v>
      </c>
      <c r="F3025" t="s">
        <v>20</v>
      </c>
      <c r="G3025" s="10" t="s">
        <v>21</v>
      </c>
      <c r="H3025" t="str">
        <f>"33062 3/29-4/28/21"</f>
        <v>33062 3/29-4/28/21</v>
      </c>
      <c r="I3025" t="str">
        <f>"F.E.L.P.S."</f>
        <v>F.E.L.P.S.</v>
      </c>
    </row>
    <row r="3026" spans="1:9" x14ac:dyDescent="0.25">
      <c r="A3026" s="6">
        <v>44335</v>
      </c>
      <c r="B3026" t="s">
        <v>26</v>
      </c>
      <c r="C3026">
        <v>66759</v>
      </c>
      <c r="D3026" t="s">
        <v>85</v>
      </c>
      <c r="E3026" s="7">
        <v>324.64999999999998</v>
      </c>
      <c r="F3026" t="s">
        <v>20</v>
      </c>
      <c r="G3026" s="10" t="s">
        <v>21</v>
      </c>
      <c r="H3026" t="str">
        <f>"2162733 MAY 2021"</f>
        <v>2162733 MAY 2021</v>
      </c>
      <c r="I3026" t="str">
        <f>"FRONTIER"</f>
        <v>FRONTIER</v>
      </c>
    </row>
    <row r="3027" spans="1:9" x14ac:dyDescent="0.25">
      <c r="E3027" s="7"/>
      <c r="F3027" t="s">
        <v>20</v>
      </c>
      <c r="G3027" s="10" t="s">
        <v>21</v>
      </c>
      <c r="H3027" t="str">
        <f>"2162755 MAY 2021"</f>
        <v>2162755 MAY 2021</v>
      </c>
      <c r="I3027" t="str">
        <f>"FRONTIER"</f>
        <v>FRONTIER</v>
      </c>
    </row>
    <row r="3028" spans="1:9" x14ac:dyDescent="0.25">
      <c r="E3028" s="7"/>
      <c r="F3028" t="s">
        <v>20</v>
      </c>
      <c r="G3028" s="10" t="s">
        <v>21</v>
      </c>
      <c r="H3028" t="str">
        <f>"3932804 MAY 2021"</f>
        <v>3932804 MAY 2021</v>
      </c>
      <c r="I3028" t="str">
        <f>"FRONTIER"</f>
        <v>FRONTIER</v>
      </c>
    </row>
    <row r="3029" spans="1:9" x14ac:dyDescent="0.25">
      <c r="E3029" s="7"/>
      <c r="F3029" t="s">
        <v>20</v>
      </c>
      <c r="G3029" s="10" t="s">
        <v>21</v>
      </c>
      <c r="H3029" t="str">
        <f>"3936794 MAY 2021"</f>
        <v>3936794 MAY 2021</v>
      </c>
      <c r="I3029" t="str">
        <f>"FRONTIER"</f>
        <v>FRONTIER</v>
      </c>
    </row>
    <row r="3030" spans="1:9" x14ac:dyDescent="0.25">
      <c r="E3030" s="7"/>
      <c r="F3030" t="s">
        <v>20</v>
      </c>
      <c r="G3030" s="10" t="s">
        <v>21</v>
      </c>
      <c r="H3030" t="str">
        <f>"3938193 MAY 2021"</f>
        <v>3938193 MAY 2021</v>
      </c>
      <c r="I3030" t="str">
        <f>"FRONTIER"</f>
        <v>FRONTIER</v>
      </c>
    </row>
    <row r="3031" spans="1:9" x14ac:dyDescent="0.25">
      <c r="A3031" s="6">
        <v>44335</v>
      </c>
      <c r="B3031" t="s">
        <v>26</v>
      </c>
      <c r="C3031">
        <v>66760</v>
      </c>
      <c r="D3031" t="s">
        <v>430</v>
      </c>
      <c r="E3031" s="7">
        <v>128</v>
      </c>
      <c r="F3031" t="s">
        <v>20</v>
      </c>
      <c r="G3031" s="10" t="s">
        <v>21</v>
      </c>
      <c r="H3031" t="str">
        <f>"MCI COURSE 5/19-21"</f>
        <v>MCI COURSE 5/19-21</v>
      </c>
      <c r="I3031" t="str">
        <f>"TRAVEL REQUEST"</f>
        <v>TRAVEL REQUEST</v>
      </c>
    </row>
    <row r="3032" spans="1:9" x14ac:dyDescent="0.25">
      <c r="A3032" s="6">
        <v>44335</v>
      </c>
      <c r="B3032" t="s">
        <v>91</v>
      </c>
      <c r="C3032">
        <v>66761</v>
      </c>
      <c r="D3032" t="s">
        <v>36</v>
      </c>
      <c r="E3032" s="7">
        <v>75</v>
      </c>
      <c r="F3032" t="s">
        <v>20</v>
      </c>
      <c r="G3032" s="10" t="s">
        <v>21</v>
      </c>
      <c r="H3032" t="str">
        <f>"05/06/21-COUNCIL"</f>
        <v>05/06/21-COUNCIL</v>
      </c>
      <c r="I3032" t="str">
        <f>""</f>
        <v/>
      </c>
    </row>
    <row r="3033" spans="1:9" x14ac:dyDescent="0.25">
      <c r="A3033" s="6">
        <v>44335</v>
      </c>
      <c r="B3033" t="s">
        <v>91</v>
      </c>
      <c r="C3033">
        <v>66761</v>
      </c>
      <c r="D3033" t="s">
        <v>36</v>
      </c>
      <c r="E3033" s="7">
        <v>75</v>
      </c>
      <c r="F3033" t="s">
        <v>20</v>
      </c>
      <c r="G3033" s="10" t="s">
        <v>93</v>
      </c>
      <c r="H3033" t="str">
        <f>"CHECK"</f>
        <v>CHECK</v>
      </c>
      <c r="I3033" t="str">
        <f>""</f>
        <v/>
      </c>
    </row>
    <row r="3034" spans="1:9" x14ac:dyDescent="0.25">
      <c r="A3034" s="6">
        <v>44335</v>
      </c>
      <c r="B3034" t="s">
        <v>91</v>
      </c>
      <c r="C3034">
        <v>66762</v>
      </c>
      <c r="D3034" t="s">
        <v>637</v>
      </c>
      <c r="E3034" s="7">
        <v>75</v>
      </c>
      <c r="F3034" t="s">
        <v>20</v>
      </c>
      <c r="G3034" s="10" t="s">
        <v>21</v>
      </c>
      <c r="H3034" t="str">
        <f>"05/06/21-COUNCIL"</f>
        <v>05/06/21-COUNCIL</v>
      </c>
      <c r="I3034" t="str">
        <f>""</f>
        <v/>
      </c>
    </row>
    <row r="3035" spans="1:9" x14ac:dyDescent="0.25">
      <c r="A3035" s="6">
        <v>44335</v>
      </c>
      <c r="B3035" t="s">
        <v>91</v>
      </c>
      <c r="C3035">
        <v>66762</v>
      </c>
      <c r="D3035" t="s">
        <v>637</v>
      </c>
      <c r="E3035" s="7">
        <v>75</v>
      </c>
      <c r="F3035" t="s">
        <v>20</v>
      </c>
      <c r="G3035" s="10" t="s">
        <v>93</v>
      </c>
      <c r="H3035" t="str">
        <f>"CHECK"</f>
        <v>CHECK</v>
      </c>
      <c r="I3035" t="str">
        <f>""</f>
        <v/>
      </c>
    </row>
    <row r="3036" spans="1:9" x14ac:dyDescent="0.25">
      <c r="A3036" s="6">
        <v>44335</v>
      </c>
      <c r="B3036" t="s">
        <v>26</v>
      </c>
      <c r="C3036">
        <v>66763</v>
      </c>
      <c r="D3036" t="s">
        <v>446</v>
      </c>
      <c r="E3036" s="7">
        <v>140</v>
      </c>
      <c r="F3036" t="s">
        <v>20</v>
      </c>
      <c r="G3036" s="10" t="s">
        <v>21</v>
      </c>
      <c r="H3036" t="str">
        <f>"FISD PROM 2021"</f>
        <v>FISD PROM 2021</v>
      </c>
      <c r="I3036" t="str">
        <f>"FISD PROM PATROL"</f>
        <v>FISD PROM PATROL</v>
      </c>
    </row>
    <row r="3037" spans="1:9" x14ac:dyDescent="0.25">
      <c r="A3037" s="6">
        <v>44335</v>
      </c>
      <c r="B3037" t="s">
        <v>91</v>
      </c>
      <c r="C3037">
        <v>66764</v>
      </c>
      <c r="D3037" t="s">
        <v>889</v>
      </c>
      <c r="E3037" s="7">
        <v>75</v>
      </c>
      <c r="F3037" t="s">
        <v>20</v>
      </c>
      <c r="G3037" s="10" t="s">
        <v>21</v>
      </c>
      <c r="H3037" t="str">
        <f>"05/06/21-COUNCIL"</f>
        <v>05/06/21-COUNCIL</v>
      </c>
      <c r="I3037" t="str">
        <f>""</f>
        <v/>
      </c>
    </row>
    <row r="3038" spans="1:9" x14ac:dyDescent="0.25">
      <c r="A3038" s="6">
        <v>44335</v>
      </c>
      <c r="B3038" t="s">
        <v>91</v>
      </c>
      <c r="C3038">
        <v>66764</v>
      </c>
      <c r="D3038" t="s">
        <v>889</v>
      </c>
      <c r="E3038" s="7">
        <v>75</v>
      </c>
      <c r="F3038" t="s">
        <v>20</v>
      </c>
      <c r="G3038" s="10" t="s">
        <v>93</v>
      </c>
      <c r="H3038" t="str">
        <f>"CHECK"</f>
        <v>CHECK</v>
      </c>
      <c r="I3038" t="str">
        <f>""</f>
        <v/>
      </c>
    </row>
    <row r="3039" spans="1:9" x14ac:dyDescent="0.25">
      <c r="A3039" s="6">
        <v>44335</v>
      </c>
      <c r="B3039" t="s">
        <v>26</v>
      </c>
      <c r="C3039">
        <v>66765</v>
      </c>
      <c r="D3039" t="s">
        <v>986</v>
      </c>
      <c r="E3039" s="7">
        <v>1271</v>
      </c>
      <c r="F3039" t="s">
        <v>20</v>
      </c>
      <c r="G3039" s="10" t="s">
        <v>21</v>
      </c>
      <c r="H3039" t="str">
        <f>"5/3-5/14/2021"</f>
        <v>5/3-5/14/2021</v>
      </c>
      <c r="I3039" t="str">
        <f>"KERRY L. ESQUIVEL"</f>
        <v>KERRY L. ESQUIVEL</v>
      </c>
    </row>
    <row r="3040" spans="1:9" x14ac:dyDescent="0.25">
      <c r="A3040" s="6">
        <v>44335</v>
      </c>
      <c r="B3040" t="s">
        <v>26</v>
      </c>
      <c r="C3040">
        <v>66766</v>
      </c>
      <c r="D3040" t="s">
        <v>117</v>
      </c>
      <c r="E3040" s="7">
        <v>1008.45</v>
      </c>
      <c r="F3040" t="s">
        <v>20</v>
      </c>
      <c r="G3040" s="10" t="s">
        <v>21</v>
      </c>
      <c r="H3040" t="str">
        <f>"APRIL 2021"</f>
        <v>APRIL 2021</v>
      </c>
      <c r="I3040" t="str">
        <f>"LINEBARGER GOGGAN BLAIR &amp; SAMP"</f>
        <v>LINEBARGER GOGGAN BLAIR &amp; SAMP</v>
      </c>
    </row>
    <row r="3041" spans="1:9" x14ac:dyDescent="0.25">
      <c r="A3041" s="6">
        <v>44335</v>
      </c>
      <c r="B3041" t="s">
        <v>91</v>
      </c>
      <c r="C3041">
        <v>66767</v>
      </c>
      <c r="D3041" t="s">
        <v>558</v>
      </c>
      <c r="E3041" s="7">
        <v>75</v>
      </c>
      <c r="F3041" t="s">
        <v>20</v>
      </c>
      <c r="G3041" s="10" t="s">
        <v>21</v>
      </c>
      <c r="H3041" t="str">
        <f>"05/06/21-COUNCIL"</f>
        <v>05/06/21-COUNCIL</v>
      </c>
      <c r="I3041" t="str">
        <f>"MONTHLY COUNCIL CHECKS"</f>
        <v>MONTHLY COUNCIL CHECKS</v>
      </c>
    </row>
    <row r="3042" spans="1:9" x14ac:dyDescent="0.25">
      <c r="A3042" s="6">
        <v>44335</v>
      </c>
      <c r="B3042" t="s">
        <v>91</v>
      </c>
      <c r="C3042">
        <v>66767</v>
      </c>
      <c r="D3042" t="s">
        <v>558</v>
      </c>
      <c r="E3042" s="7">
        <v>75</v>
      </c>
      <c r="F3042" t="s">
        <v>20</v>
      </c>
      <c r="G3042" s="10" t="s">
        <v>93</v>
      </c>
      <c r="H3042" t="str">
        <f>"CHECK"</f>
        <v>CHECK</v>
      </c>
      <c r="I3042" t="str">
        <f>""</f>
        <v/>
      </c>
    </row>
    <row r="3043" spans="1:9" x14ac:dyDescent="0.25">
      <c r="A3043" s="6">
        <v>44335</v>
      </c>
      <c r="B3043" t="s">
        <v>26</v>
      </c>
      <c r="C3043">
        <v>66768</v>
      </c>
      <c r="D3043" t="s">
        <v>62</v>
      </c>
      <c r="E3043" s="7">
        <v>2000</v>
      </c>
      <c r="F3043" t="s">
        <v>20</v>
      </c>
      <c r="G3043" s="10" t="s">
        <v>21</v>
      </c>
      <c r="H3043" t="str">
        <f>"D.MARTINEZ 5/17/21"</f>
        <v>D.MARTINEZ 5/17/21</v>
      </c>
      <c r="I3043" t="str">
        <f>"PROFICIENT BENEFIT SOLUTIONS"</f>
        <v>PROFICIENT BENEFIT SOLUTIONS</v>
      </c>
    </row>
    <row r="3044" spans="1:9" x14ac:dyDescent="0.25">
      <c r="A3044" s="6">
        <v>44335</v>
      </c>
      <c r="B3044" t="s">
        <v>91</v>
      </c>
      <c r="C3044">
        <v>66769</v>
      </c>
      <c r="D3044" t="s">
        <v>126</v>
      </c>
      <c r="E3044" s="7">
        <v>244.28</v>
      </c>
      <c r="F3044" t="s">
        <v>20</v>
      </c>
      <c r="G3044" s="10" t="s">
        <v>21</v>
      </c>
      <c r="H3044" t="str">
        <f>"0859-002819773"</f>
        <v>0859-002819773</v>
      </c>
      <c r="I3044" t="str">
        <f>"REPUBLIC SERVICES #859"</f>
        <v>REPUBLIC SERVICES #859</v>
      </c>
    </row>
    <row r="3045" spans="1:9" x14ac:dyDescent="0.25">
      <c r="A3045" s="6">
        <v>44335</v>
      </c>
      <c r="B3045" t="s">
        <v>91</v>
      </c>
      <c r="C3045">
        <v>66769</v>
      </c>
      <c r="D3045" t="s">
        <v>126</v>
      </c>
      <c r="E3045" s="7">
        <v>244.28</v>
      </c>
      <c r="F3045" t="s">
        <v>20</v>
      </c>
      <c r="G3045" s="10" t="s">
        <v>93</v>
      </c>
      <c r="H3045" t="str">
        <f>"CHECK"</f>
        <v>CHECK</v>
      </c>
      <c r="I3045" t="str">
        <f>""</f>
        <v/>
      </c>
    </row>
    <row r="3046" spans="1:9" x14ac:dyDescent="0.25">
      <c r="A3046" s="6">
        <v>44335</v>
      </c>
      <c r="B3046" t="s">
        <v>26</v>
      </c>
      <c r="C3046">
        <v>66770</v>
      </c>
      <c r="D3046" t="s">
        <v>346</v>
      </c>
      <c r="E3046" s="7">
        <v>13750</v>
      </c>
      <c r="F3046" t="s">
        <v>20</v>
      </c>
      <c r="G3046" s="10" t="s">
        <v>21</v>
      </c>
      <c r="H3046" t="str">
        <f>"4/11-5/11/2021"</f>
        <v>4/11-5/11/2021</v>
      </c>
      <c r="I3046" t="str">
        <f>"SYLVIA RODRIGUEZ"</f>
        <v>SYLVIA RODRIGUEZ</v>
      </c>
    </row>
    <row r="3047" spans="1:9" x14ac:dyDescent="0.25">
      <c r="A3047" s="6">
        <v>44335</v>
      </c>
      <c r="B3047" t="s">
        <v>26</v>
      </c>
      <c r="C3047">
        <v>66771</v>
      </c>
      <c r="D3047" t="s">
        <v>1033</v>
      </c>
      <c r="E3047" s="7">
        <v>2535.11</v>
      </c>
      <c r="F3047" t="s">
        <v>20</v>
      </c>
      <c r="G3047" s="10" t="s">
        <v>21</v>
      </c>
      <c r="H3047" t="str">
        <f>"1160"</f>
        <v>1160</v>
      </c>
      <c r="I3047" t="str">
        <f>"TEN/28 COLLISION REPAIR AND RE"</f>
        <v>TEN/28 COLLISION REPAIR AND RE</v>
      </c>
    </row>
    <row r="3048" spans="1:9" x14ac:dyDescent="0.25">
      <c r="A3048" s="6">
        <v>44335</v>
      </c>
      <c r="B3048" t="s">
        <v>26</v>
      </c>
      <c r="C3048">
        <v>66772</v>
      </c>
      <c r="D3048" t="s">
        <v>698</v>
      </c>
      <c r="E3048" s="7">
        <v>85</v>
      </c>
      <c r="F3048" t="s">
        <v>20</v>
      </c>
      <c r="G3048" s="10" t="s">
        <v>21</v>
      </c>
      <c r="H3048" t="str">
        <f>"5/16/2021"</f>
        <v>5/16/2021</v>
      </c>
      <c r="I3048" t="str">
        <f>"TRACY ORTIZ"</f>
        <v>TRACY ORTIZ</v>
      </c>
    </row>
    <row r="3049" spans="1:9" x14ac:dyDescent="0.25">
      <c r="A3049" s="6">
        <v>44335</v>
      </c>
      <c r="B3049" t="s">
        <v>26</v>
      </c>
      <c r="C3049">
        <v>66773</v>
      </c>
      <c r="D3049" t="s">
        <v>126</v>
      </c>
      <c r="E3049" s="7">
        <v>88974.69</v>
      </c>
      <c r="F3049" t="s">
        <v>20</v>
      </c>
      <c r="G3049" s="10" t="s">
        <v>21</v>
      </c>
      <c r="H3049" t="str">
        <f>"0859-002819773*"</f>
        <v>0859-002819773*</v>
      </c>
      <c r="I3049" t="str">
        <f>"REPUBLIC SERVICES #859"</f>
        <v>REPUBLIC SERVICES #859</v>
      </c>
    </row>
    <row r="3050" spans="1:9" x14ac:dyDescent="0.25">
      <c r="A3050" s="6">
        <v>44335</v>
      </c>
      <c r="B3050" t="s">
        <v>26</v>
      </c>
      <c r="C3050">
        <v>66774</v>
      </c>
      <c r="D3050" t="s">
        <v>609</v>
      </c>
      <c r="E3050" s="7">
        <v>106.39</v>
      </c>
      <c r="F3050" t="s">
        <v>20</v>
      </c>
      <c r="G3050" s="10" t="s">
        <v>21</v>
      </c>
      <c r="H3050" t="str">
        <f>"32256419-1"</f>
        <v>32256419-1</v>
      </c>
      <c r="I3050" t="str">
        <f>"GOLDEN WEST OIL COMPANY"</f>
        <v>GOLDEN WEST OIL COMPANY</v>
      </c>
    </row>
    <row r="3051" spans="1:9" x14ac:dyDescent="0.25">
      <c r="A3051" s="6">
        <v>44335</v>
      </c>
      <c r="B3051" t="s">
        <v>26</v>
      </c>
      <c r="C3051">
        <v>66775</v>
      </c>
      <c r="D3051" t="s">
        <v>345</v>
      </c>
      <c r="E3051" s="7">
        <v>308</v>
      </c>
      <c r="F3051" t="s">
        <v>20</v>
      </c>
      <c r="G3051" s="10" t="s">
        <v>21</v>
      </c>
      <c r="H3051" t="str">
        <f>"5/17/2021"</f>
        <v>5/17/2021</v>
      </c>
      <c r="I3051" t="str">
        <f>"MICHAEL ISAAC MARTINEZ"</f>
        <v>MICHAEL ISAAC MARTINEZ</v>
      </c>
    </row>
    <row r="3052" spans="1:9" x14ac:dyDescent="0.25">
      <c r="A3052" s="6">
        <v>44336</v>
      </c>
      <c r="B3052" t="s">
        <v>26</v>
      </c>
      <c r="C3052">
        <v>66776</v>
      </c>
      <c r="D3052" t="s">
        <v>157</v>
      </c>
      <c r="E3052" s="7">
        <v>594</v>
      </c>
      <c r="F3052" t="s">
        <v>20</v>
      </c>
      <c r="G3052" s="10" t="s">
        <v>21</v>
      </c>
      <c r="H3052" t="str">
        <f>"WEEKEND EVENT 5/21"</f>
        <v>WEEKEND EVENT 5/21</v>
      </c>
      <c r="I3052" t="str">
        <f>"GLAZIERS"</f>
        <v>GLAZIERS</v>
      </c>
    </row>
    <row r="3053" spans="1:9" x14ac:dyDescent="0.25">
      <c r="A3053" s="6">
        <v>44337</v>
      </c>
      <c r="B3053" t="s">
        <v>26</v>
      </c>
      <c r="C3053">
        <v>66778</v>
      </c>
      <c r="D3053" t="s">
        <v>205</v>
      </c>
      <c r="E3053" s="7">
        <v>810.5</v>
      </c>
      <c r="F3053" t="s">
        <v>20</v>
      </c>
      <c r="G3053" s="10" t="s">
        <v>21</v>
      </c>
      <c r="H3053" t="str">
        <f>"5/21/2021 WKN EVNT"</f>
        <v>5/21/2021 WKN EVNT</v>
      </c>
      <c r="I3053" t="str">
        <f>"SILVER EAGLE DISTRIBUTORS"</f>
        <v>SILVER EAGLE DISTRIBUTORS</v>
      </c>
    </row>
    <row r="3054" spans="1:9" x14ac:dyDescent="0.25">
      <c r="A3054" s="6">
        <v>44342</v>
      </c>
      <c r="B3054" t="s">
        <v>26</v>
      </c>
      <c r="C3054">
        <v>66779</v>
      </c>
      <c r="D3054" t="s">
        <v>115</v>
      </c>
      <c r="E3054" s="7">
        <v>42.25</v>
      </c>
      <c r="F3054" t="s">
        <v>20</v>
      </c>
      <c r="G3054" s="10" t="s">
        <v>21</v>
      </c>
      <c r="H3054" t="str">
        <f>"3547910520"</f>
        <v>3547910520</v>
      </c>
      <c r="I3054" t="str">
        <f>"WATER DEPT SUPPLIES"</f>
        <v>WATER DEPT SUPPLIES</v>
      </c>
    </row>
    <row r="3055" spans="1:9" x14ac:dyDescent="0.25">
      <c r="A3055" s="6">
        <v>44342</v>
      </c>
      <c r="B3055" t="s">
        <v>26</v>
      </c>
      <c r="C3055">
        <v>66780</v>
      </c>
      <c r="D3055" t="s">
        <v>170</v>
      </c>
      <c r="E3055" s="7">
        <v>16676.900000000001</v>
      </c>
      <c r="F3055" t="s">
        <v>20</v>
      </c>
      <c r="G3055" s="10" t="s">
        <v>21</v>
      </c>
      <c r="H3055" t="str">
        <f>"0000033843"</f>
        <v>0000033843</v>
      </c>
      <c r="I3055" t="str">
        <f>"A/C REPAIR RTU#11"</f>
        <v>A/C REPAIR RTU#11</v>
      </c>
    </row>
    <row r="3056" spans="1:9" x14ac:dyDescent="0.25">
      <c r="E3056" s="7"/>
      <c r="F3056" t="s">
        <v>20</v>
      </c>
      <c r="G3056" s="10" t="s">
        <v>21</v>
      </c>
      <c r="H3056" t="str">
        <f>"0000033851"</f>
        <v>0000033851</v>
      </c>
      <c r="I3056" t="str">
        <f>"BARRETT &amp; SONS  INC."</f>
        <v>BARRETT &amp; SONS  INC.</v>
      </c>
    </row>
    <row r="3057" spans="1:9" x14ac:dyDescent="0.25">
      <c r="E3057" s="7"/>
      <c r="F3057" t="s">
        <v>20</v>
      </c>
      <c r="G3057" s="10" t="s">
        <v>21</v>
      </c>
      <c r="H3057" t="str">
        <f>"0000033903"</f>
        <v>0000033903</v>
      </c>
      <c r="I3057" t="str">
        <f>"RTU 17- A/C REPAIR"</f>
        <v>RTU 17- A/C REPAIR</v>
      </c>
    </row>
    <row r="3058" spans="1:9" x14ac:dyDescent="0.25">
      <c r="E3058" s="7"/>
      <c r="F3058" t="s">
        <v>20</v>
      </c>
      <c r="G3058" s="10" t="s">
        <v>21</v>
      </c>
      <c r="H3058" t="str">
        <f>"0000033905"</f>
        <v>0000033905</v>
      </c>
      <c r="I3058" t="str">
        <f>"RTU 17B - A/C REPAIR"</f>
        <v>RTU 17B - A/C REPAIR</v>
      </c>
    </row>
    <row r="3059" spans="1:9" x14ac:dyDescent="0.25">
      <c r="E3059" s="7"/>
      <c r="F3059" t="s">
        <v>20</v>
      </c>
      <c r="G3059" s="10" t="s">
        <v>21</v>
      </c>
      <c r="H3059" t="str">
        <f>"0000033906"</f>
        <v>0000033906</v>
      </c>
      <c r="I3059" t="str">
        <f>"RTU 16B &amp; 19 A/C REPAIR"</f>
        <v>RTU 16B &amp; 19 A/C REPAIR</v>
      </c>
    </row>
    <row r="3060" spans="1:9" x14ac:dyDescent="0.25">
      <c r="A3060" s="6">
        <v>44342</v>
      </c>
      <c r="B3060" t="s">
        <v>26</v>
      </c>
      <c r="C3060">
        <v>66781</v>
      </c>
      <c r="D3060" t="s">
        <v>63</v>
      </c>
      <c r="E3060" s="7">
        <v>338.52</v>
      </c>
      <c r="F3060" t="s">
        <v>20</v>
      </c>
      <c r="G3060" s="10" t="s">
        <v>21</v>
      </c>
      <c r="H3060" t="str">
        <f>"8405139443"</f>
        <v>8405139443</v>
      </c>
      <c r="I3060" t="str">
        <f>"CINTAS CORPORATION"</f>
        <v>CINTAS CORPORATION</v>
      </c>
    </row>
    <row r="3061" spans="1:9" x14ac:dyDescent="0.25">
      <c r="A3061" s="6">
        <v>44342</v>
      </c>
      <c r="B3061" t="s">
        <v>26</v>
      </c>
      <c r="C3061">
        <v>66782</v>
      </c>
      <c r="D3061" t="s">
        <v>71</v>
      </c>
      <c r="E3061" s="7">
        <v>1420.08</v>
      </c>
      <c r="F3061" t="s">
        <v>20</v>
      </c>
      <c r="G3061" s="10" t="s">
        <v>21</v>
      </c>
      <c r="H3061" t="str">
        <f>"1901414772"</f>
        <v>1901414772</v>
      </c>
      <c r="I3061" t="str">
        <f t="shared" ref="I3061:I3072" si="68">"CINTAS CORPORATION #087"</f>
        <v>CINTAS CORPORATION #087</v>
      </c>
    </row>
    <row r="3062" spans="1:9" x14ac:dyDescent="0.25">
      <c r="E3062" s="7"/>
      <c r="F3062" t="s">
        <v>20</v>
      </c>
      <c r="G3062" s="10" t="s">
        <v>21</v>
      </c>
      <c r="H3062" t="str">
        <f>"4054376178"</f>
        <v>4054376178</v>
      </c>
      <c r="I3062" t="str">
        <f t="shared" si="68"/>
        <v>CINTAS CORPORATION #087</v>
      </c>
    </row>
    <row r="3063" spans="1:9" x14ac:dyDescent="0.25">
      <c r="E3063" s="7"/>
      <c r="F3063" t="s">
        <v>20</v>
      </c>
      <c r="G3063" s="10" t="s">
        <v>21</v>
      </c>
      <c r="H3063" t="str">
        <f>"4054990635"</f>
        <v>4054990635</v>
      </c>
      <c r="I3063" t="str">
        <f t="shared" si="68"/>
        <v>CINTAS CORPORATION #087</v>
      </c>
    </row>
    <row r="3064" spans="1:9" x14ac:dyDescent="0.25">
      <c r="E3064" s="7"/>
      <c r="F3064" t="s">
        <v>20</v>
      </c>
      <c r="G3064" s="10" t="s">
        <v>21</v>
      </c>
      <c r="H3064" t="str">
        <f>"4055634015"</f>
        <v>4055634015</v>
      </c>
      <c r="I3064" t="str">
        <f t="shared" si="68"/>
        <v>CINTAS CORPORATION #087</v>
      </c>
    </row>
    <row r="3065" spans="1:9" x14ac:dyDescent="0.25">
      <c r="E3065" s="7"/>
      <c r="F3065" t="s">
        <v>20</v>
      </c>
      <c r="G3065" s="10" t="s">
        <v>21</v>
      </c>
      <c r="H3065" t="str">
        <f>"4073925026"</f>
        <v>4073925026</v>
      </c>
      <c r="I3065" t="str">
        <f t="shared" si="68"/>
        <v>CINTAS CORPORATION #087</v>
      </c>
    </row>
    <row r="3066" spans="1:9" x14ac:dyDescent="0.25">
      <c r="E3066" s="7"/>
      <c r="F3066" t="s">
        <v>20</v>
      </c>
      <c r="G3066" s="10" t="s">
        <v>21</v>
      </c>
      <c r="H3066" t="str">
        <f>"40844222666"</f>
        <v>40844222666</v>
      </c>
      <c r="I3066" t="str">
        <f t="shared" si="68"/>
        <v>CINTAS CORPORATION #087</v>
      </c>
    </row>
    <row r="3067" spans="1:9" x14ac:dyDescent="0.25">
      <c r="E3067" s="7"/>
      <c r="F3067" t="s">
        <v>20</v>
      </c>
      <c r="G3067" s="10" t="s">
        <v>21</v>
      </c>
      <c r="H3067" t="str">
        <f>"4084422630"</f>
        <v>4084422630</v>
      </c>
      <c r="I3067" t="str">
        <f t="shared" si="68"/>
        <v>CINTAS CORPORATION #087</v>
      </c>
    </row>
    <row r="3068" spans="1:9" x14ac:dyDescent="0.25">
      <c r="E3068" s="7"/>
      <c r="F3068" t="s">
        <v>20</v>
      </c>
      <c r="G3068" s="10" t="s">
        <v>21</v>
      </c>
      <c r="H3068" t="str">
        <f>"4084422660"</f>
        <v>4084422660</v>
      </c>
      <c r="I3068" t="str">
        <f t="shared" si="68"/>
        <v>CINTAS CORPORATION #087</v>
      </c>
    </row>
    <row r="3069" spans="1:9" x14ac:dyDescent="0.25">
      <c r="E3069" s="7"/>
      <c r="F3069" t="s">
        <v>20</v>
      </c>
      <c r="G3069" s="10" t="s">
        <v>21</v>
      </c>
      <c r="H3069" t="str">
        <f>"4084422697"</f>
        <v>4084422697</v>
      </c>
      <c r="I3069" t="str">
        <f t="shared" si="68"/>
        <v>CINTAS CORPORATION #087</v>
      </c>
    </row>
    <row r="3070" spans="1:9" x14ac:dyDescent="0.25">
      <c r="E3070" s="7"/>
      <c r="F3070" t="s">
        <v>20</v>
      </c>
      <c r="G3070" s="10" t="s">
        <v>21</v>
      </c>
      <c r="H3070" t="str">
        <f>"4084422707"</f>
        <v>4084422707</v>
      </c>
      <c r="I3070" t="str">
        <f t="shared" si="68"/>
        <v>CINTAS CORPORATION #087</v>
      </c>
    </row>
    <row r="3071" spans="1:9" x14ac:dyDescent="0.25">
      <c r="E3071" s="7"/>
      <c r="F3071" t="s">
        <v>20</v>
      </c>
      <c r="G3071" s="10" t="s">
        <v>21</v>
      </c>
      <c r="H3071" t="str">
        <f>"4084422752"</f>
        <v>4084422752</v>
      </c>
      <c r="I3071" t="str">
        <f t="shared" si="68"/>
        <v>CINTAS CORPORATION #087</v>
      </c>
    </row>
    <row r="3072" spans="1:9" x14ac:dyDescent="0.25">
      <c r="E3072" s="7"/>
      <c r="F3072" t="s">
        <v>20</v>
      </c>
      <c r="G3072" s="10" t="s">
        <v>21</v>
      </c>
      <c r="H3072" t="str">
        <f>"4084429376"</f>
        <v>4084429376</v>
      </c>
      <c r="I3072" t="str">
        <f t="shared" si="68"/>
        <v>CINTAS CORPORATION #087</v>
      </c>
    </row>
    <row r="3073" spans="1:9" x14ac:dyDescent="0.25">
      <c r="A3073" s="6">
        <v>44342</v>
      </c>
      <c r="B3073" t="s">
        <v>26</v>
      </c>
      <c r="C3073">
        <v>66785</v>
      </c>
      <c r="D3073" t="s">
        <v>647</v>
      </c>
      <c r="E3073" s="7">
        <v>3516.51</v>
      </c>
      <c r="F3073" t="s">
        <v>20</v>
      </c>
      <c r="G3073" s="10" t="s">
        <v>21</v>
      </c>
      <c r="H3073" t="str">
        <f>"29289382"</f>
        <v>29289382</v>
      </c>
      <c r="I3073" t="str">
        <f>"DOCUMATION  INC."</f>
        <v>DOCUMATION  INC.</v>
      </c>
    </row>
    <row r="3074" spans="1:9" x14ac:dyDescent="0.25">
      <c r="A3074" s="6">
        <v>44342</v>
      </c>
      <c r="B3074" t="s">
        <v>26</v>
      </c>
      <c r="C3074">
        <v>66786</v>
      </c>
      <c r="D3074" t="s">
        <v>69</v>
      </c>
      <c r="E3074" s="7">
        <v>85.22</v>
      </c>
      <c r="F3074" t="s">
        <v>20</v>
      </c>
      <c r="G3074" s="10" t="s">
        <v>21</v>
      </c>
      <c r="H3074" t="str">
        <f>"3C07501"</f>
        <v>3C07501</v>
      </c>
      <c r="I3074" t="str">
        <f>"EVENT CENTER SUPPLIES"</f>
        <v>EVENT CENTER SUPPLIES</v>
      </c>
    </row>
    <row r="3075" spans="1:9" x14ac:dyDescent="0.25">
      <c r="A3075" s="6">
        <v>44342</v>
      </c>
      <c r="B3075" t="s">
        <v>26</v>
      </c>
      <c r="C3075">
        <v>66787</v>
      </c>
      <c r="D3075" t="s">
        <v>79</v>
      </c>
      <c r="E3075" s="7">
        <v>59.83</v>
      </c>
      <c r="F3075" t="s">
        <v>20</v>
      </c>
      <c r="G3075" s="10" t="s">
        <v>21</v>
      </c>
      <c r="H3075" t="str">
        <f>"7-370-06388"</f>
        <v>7-370-06388</v>
      </c>
      <c r="I3075" t="str">
        <f>"FEDEX"</f>
        <v>FEDEX</v>
      </c>
    </row>
    <row r="3076" spans="1:9" x14ac:dyDescent="0.25">
      <c r="A3076" s="6">
        <v>44342</v>
      </c>
      <c r="B3076" t="s">
        <v>26</v>
      </c>
      <c r="C3076">
        <v>66788</v>
      </c>
      <c r="D3076" t="s">
        <v>302</v>
      </c>
      <c r="E3076" s="7">
        <v>178.68</v>
      </c>
      <c r="F3076" t="s">
        <v>20</v>
      </c>
      <c r="G3076" s="10" t="s">
        <v>21</v>
      </c>
      <c r="H3076" t="str">
        <f>"9892645657"</f>
        <v>9892645657</v>
      </c>
      <c r="I3076" t="str">
        <f>"VALVE FOR WWTP"</f>
        <v>VALVE FOR WWTP</v>
      </c>
    </row>
    <row r="3077" spans="1:9" x14ac:dyDescent="0.25">
      <c r="A3077" s="6">
        <v>44342</v>
      </c>
      <c r="B3077" t="s">
        <v>26</v>
      </c>
      <c r="C3077">
        <v>66789</v>
      </c>
      <c r="D3077" t="s">
        <v>1051</v>
      </c>
      <c r="E3077" s="7">
        <v>330.16</v>
      </c>
      <c r="F3077" t="s">
        <v>20</v>
      </c>
      <c r="G3077" s="10" t="s">
        <v>21</v>
      </c>
      <c r="H3077" t="str">
        <f>"1088"</f>
        <v>1088</v>
      </c>
      <c r="I3077" t="str">
        <f>"REFUND"</f>
        <v>REFUND</v>
      </c>
    </row>
    <row r="3078" spans="1:9" x14ac:dyDescent="0.25">
      <c r="A3078" s="6">
        <v>44342</v>
      </c>
      <c r="B3078" t="s">
        <v>26</v>
      </c>
      <c r="C3078">
        <v>66790</v>
      </c>
      <c r="D3078" t="s">
        <v>29</v>
      </c>
      <c r="E3078" s="7">
        <v>2515</v>
      </c>
      <c r="F3078" t="s">
        <v>20</v>
      </c>
      <c r="G3078" s="10" t="s">
        <v>21</v>
      </c>
      <c r="H3078" t="str">
        <f>"50851"</f>
        <v>50851</v>
      </c>
      <c r="I3078" t="str">
        <f>"M &amp; S ENGINEERING  LLC"</f>
        <v>M &amp; S ENGINEERING  LLC</v>
      </c>
    </row>
    <row r="3079" spans="1:9" x14ac:dyDescent="0.25">
      <c r="E3079" s="7"/>
      <c r="F3079" t="s">
        <v>20</v>
      </c>
      <c r="G3079" s="10" t="s">
        <v>21</v>
      </c>
      <c r="H3079" t="str">
        <f>"51212"</f>
        <v>51212</v>
      </c>
      <c r="I3079" t="str">
        <f>"M &amp; S ENGINEERING  LLC"</f>
        <v>M &amp; S ENGINEERING  LLC</v>
      </c>
    </row>
    <row r="3080" spans="1:9" x14ac:dyDescent="0.25">
      <c r="A3080" s="6">
        <v>44342</v>
      </c>
      <c r="B3080" t="s">
        <v>26</v>
      </c>
      <c r="C3080">
        <v>66791</v>
      </c>
      <c r="D3080" t="s">
        <v>326</v>
      </c>
      <c r="E3080" s="7">
        <v>41</v>
      </c>
      <c r="F3080" t="s">
        <v>20</v>
      </c>
      <c r="G3080" s="10" t="s">
        <v>21</v>
      </c>
      <c r="H3080" t="str">
        <f>"0023494872"</f>
        <v>0023494872</v>
      </c>
      <c r="I3080" t="str">
        <f>"MATHESON TRI-GAS INC"</f>
        <v>MATHESON TRI-GAS INC</v>
      </c>
    </row>
    <row r="3081" spans="1:9" x14ac:dyDescent="0.25">
      <c r="A3081" s="6">
        <v>44342</v>
      </c>
      <c r="B3081" t="s">
        <v>26</v>
      </c>
      <c r="C3081">
        <v>66792</v>
      </c>
      <c r="D3081" t="s">
        <v>124</v>
      </c>
      <c r="E3081" s="7">
        <v>50.17</v>
      </c>
      <c r="F3081" t="s">
        <v>20</v>
      </c>
      <c r="G3081" s="10" t="s">
        <v>21</v>
      </c>
      <c r="H3081" t="str">
        <f>"11105152"</f>
        <v>11105152</v>
      </c>
      <c r="I3081" t="str">
        <f>"PEANUT FESTIVAL"</f>
        <v>PEANUT FESTIVAL</v>
      </c>
    </row>
    <row r="3082" spans="1:9" x14ac:dyDescent="0.25">
      <c r="A3082" s="6">
        <v>44342</v>
      </c>
      <c r="B3082" t="s">
        <v>26</v>
      </c>
      <c r="C3082">
        <v>66793</v>
      </c>
      <c r="D3082" t="s">
        <v>345</v>
      </c>
      <c r="E3082" s="7">
        <v>308</v>
      </c>
      <c r="F3082" t="s">
        <v>20</v>
      </c>
      <c r="G3082" s="10" t="s">
        <v>21</v>
      </c>
      <c r="H3082" t="str">
        <f>"5/26/2021"</f>
        <v>5/26/2021</v>
      </c>
      <c r="I3082" t="str">
        <f>"MICHAEL ISAAC MARTINEZ"</f>
        <v>MICHAEL ISAAC MARTINEZ</v>
      </c>
    </row>
    <row r="3083" spans="1:9" x14ac:dyDescent="0.25">
      <c r="A3083" s="6">
        <v>44342</v>
      </c>
      <c r="B3083" t="s">
        <v>26</v>
      </c>
      <c r="C3083">
        <v>66794</v>
      </c>
      <c r="D3083" t="s">
        <v>240</v>
      </c>
      <c r="E3083" s="7">
        <v>27.95</v>
      </c>
      <c r="F3083" t="s">
        <v>20</v>
      </c>
      <c r="G3083" s="10" t="s">
        <v>21</v>
      </c>
      <c r="H3083" t="str">
        <f>"0209021-IN"</f>
        <v>0209021-IN</v>
      </c>
      <c r="I3083" t="str">
        <f>"UNIFORMS FOR R.SUNIGA"</f>
        <v>UNIFORMS FOR R.SUNIGA</v>
      </c>
    </row>
    <row r="3084" spans="1:9" x14ac:dyDescent="0.25">
      <c r="A3084" s="6">
        <v>44342</v>
      </c>
      <c r="B3084" t="s">
        <v>26</v>
      </c>
      <c r="C3084">
        <v>66795</v>
      </c>
      <c r="D3084" t="s">
        <v>215</v>
      </c>
      <c r="E3084" s="7">
        <v>1803</v>
      </c>
      <c r="F3084" t="s">
        <v>20</v>
      </c>
      <c r="G3084" s="10" t="s">
        <v>21</v>
      </c>
      <c r="H3084" t="str">
        <f>"659932"</f>
        <v>659932</v>
      </c>
      <c r="I3084" t="str">
        <f>"ODESSA PUMPS &amp; EQUIPMENT"</f>
        <v>ODESSA PUMPS &amp; EQUIPMENT</v>
      </c>
    </row>
    <row r="3085" spans="1:9" x14ac:dyDescent="0.25">
      <c r="A3085" s="6">
        <v>44342</v>
      </c>
      <c r="B3085" t="s">
        <v>26</v>
      </c>
      <c r="C3085">
        <v>66796</v>
      </c>
      <c r="D3085" t="s">
        <v>123</v>
      </c>
      <c r="E3085" s="7">
        <v>1157.73</v>
      </c>
      <c r="F3085" t="s">
        <v>20</v>
      </c>
      <c r="G3085" s="10" t="s">
        <v>21</v>
      </c>
      <c r="H3085" t="str">
        <f>"169479555001"</f>
        <v>169479555001</v>
      </c>
      <c r="I3085" t="str">
        <f>"OFFICE SUPPLIES"</f>
        <v>OFFICE SUPPLIES</v>
      </c>
    </row>
    <row r="3086" spans="1:9" x14ac:dyDescent="0.25">
      <c r="E3086" s="7"/>
      <c r="F3086" t="s">
        <v>20</v>
      </c>
      <c r="G3086" s="10" t="s">
        <v>21</v>
      </c>
      <c r="H3086" t="str">
        <f>"169861519001"</f>
        <v>169861519001</v>
      </c>
      <c r="I3086" t="str">
        <f>"OFFICE SUPPLIES"</f>
        <v>OFFICE SUPPLIES</v>
      </c>
    </row>
    <row r="3087" spans="1:9" x14ac:dyDescent="0.25">
      <c r="E3087" s="7"/>
      <c r="F3087" t="s">
        <v>20</v>
      </c>
      <c r="G3087" s="10" t="s">
        <v>21</v>
      </c>
      <c r="H3087" t="str">
        <f>"169869563001"</f>
        <v>169869563001</v>
      </c>
      <c r="I3087" t="str">
        <f>"OFFICE SUPPLIES"</f>
        <v>OFFICE SUPPLIES</v>
      </c>
    </row>
    <row r="3088" spans="1:9" x14ac:dyDescent="0.25">
      <c r="E3088" s="7"/>
      <c r="F3088" t="s">
        <v>20</v>
      </c>
      <c r="G3088" s="10" t="s">
        <v>21</v>
      </c>
      <c r="H3088" t="str">
        <f>"170114269001"</f>
        <v>170114269001</v>
      </c>
      <c r="I3088" t="str">
        <f>"HR OFFICE SUPPLIES"</f>
        <v>HR OFFICE SUPPLIES</v>
      </c>
    </row>
    <row r="3089" spans="1:9" x14ac:dyDescent="0.25">
      <c r="E3089" s="7"/>
      <c r="F3089" t="s">
        <v>20</v>
      </c>
      <c r="G3089" s="10" t="s">
        <v>21</v>
      </c>
      <c r="H3089" t="str">
        <f>"171823060001"</f>
        <v>171823060001</v>
      </c>
      <c r="I3089" t="str">
        <f>"CLEANING SUPPLIES"</f>
        <v>CLEANING SUPPLIES</v>
      </c>
    </row>
    <row r="3090" spans="1:9" x14ac:dyDescent="0.25">
      <c r="E3090" s="7"/>
      <c r="F3090" t="s">
        <v>20</v>
      </c>
      <c r="G3090" s="10" t="s">
        <v>21</v>
      </c>
      <c r="H3090" t="str">
        <f>"171823614001"</f>
        <v>171823614001</v>
      </c>
      <c r="I3090" t="str">
        <f>"CLEANING SUPPLIES"</f>
        <v>CLEANING SUPPLIES</v>
      </c>
    </row>
    <row r="3091" spans="1:9" x14ac:dyDescent="0.25">
      <c r="E3091" s="7"/>
      <c r="F3091" t="s">
        <v>20</v>
      </c>
      <c r="G3091" s="10" t="s">
        <v>21</v>
      </c>
      <c r="H3091" t="str">
        <f>"172210660001"</f>
        <v>172210660001</v>
      </c>
      <c r="I3091" t="str">
        <f>"OFFICE SUPPLIES"</f>
        <v>OFFICE SUPPLIES</v>
      </c>
    </row>
    <row r="3092" spans="1:9" x14ac:dyDescent="0.25">
      <c r="E3092" s="7"/>
      <c r="F3092" t="s">
        <v>20</v>
      </c>
      <c r="G3092" s="10" t="s">
        <v>21</v>
      </c>
      <c r="H3092" t="str">
        <f>"172210661001"</f>
        <v>172210661001</v>
      </c>
      <c r="I3092" t="str">
        <f>"OFFICE SUPPLIES"</f>
        <v>OFFICE SUPPLIES</v>
      </c>
    </row>
    <row r="3093" spans="1:9" x14ac:dyDescent="0.25">
      <c r="E3093" s="7"/>
      <c r="F3093" t="s">
        <v>20</v>
      </c>
      <c r="G3093" s="10" t="s">
        <v>21</v>
      </c>
      <c r="H3093" t="str">
        <f>"172210662001"</f>
        <v>172210662001</v>
      </c>
      <c r="I3093" t="str">
        <f>"OFFICE SUPPLIES"</f>
        <v>OFFICE SUPPLIES</v>
      </c>
    </row>
    <row r="3094" spans="1:9" x14ac:dyDescent="0.25">
      <c r="E3094" s="7"/>
      <c r="F3094" t="s">
        <v>20</v>
      </c>
      <c r="G3094" s="10" t="s">
        <v>21</v>
      </c>
      <c r="H3094" t="str">
        <f>"172754638001"</f>
        <v>172754638001</v>
      </c>
      <c r="I3094" t="str">
        <f>"OFFICE SUPPLIES"</f>
        <v>OFFICE SUPPLIES</v>
      </c>
    </row>
    <row r="3095" spans="1:9" x14ac:dyDescent="0.25">
      <c r="A3095" s="6">
        <v>44342</v>
      </c>
      <c r="B3095" t="s">
        <v>26</v>
      </c>
      <c r="C3095">
        <v>66800</v>
      </c>
      <c r="D3095" t="s">
        <v>137</v>
      </c>
      <c r="E3095" s="7">
        <v>51.95</v>
      </c>
      <c r="F3095" t="s">
        <v>20</v>
      </c>
      <c r="G3095" s="10" t="s">
        <v>21</v>
      </c>
      <c r="H3095" t="str">
        <f>"24723"</f>
        <v>24723</v>
      </c>
      <c r="I3095" t="str">
        <f>"OMNIBUS-M  INC.D.B.A."</f>
        <v>OMNIBUS-M  INC.D.B.A.</v>
      </c>
    </row>
    <row r="3096" spans="1:9" x14ac:dyDescent="0.25">
      <c r="A3096" s="6">
        <v>44342</v>
      </c>
      <c r="B3096" t="s">
        <v>26</v>
      </c>
      <c r="C3096">
        <v>66801</v>
      </c>
      <c r="D3096" t="s">
        <v>323</v>
      </c>
      <c r="E3096" s="7">
        <v>630</v>
      </c>
      <c r="F3096" t="s">
        <v>20</v>
      </c>
      <c r="G3096" s="10" t="s">
        <v>21</v>
      </c>
      <c r="H3096" t="str">
        <f>"UNIT 183 JUNE 2021"</f>
        <v>UNIT 183 JUNE 2021</v>
      </c>
      <c r="I3096" t="str">
        <f>"POLLOK SELF STORAGE LLC"</f>
        <v>POLLOK SELF STORAGE LLC</v>
      </c>
    </row>
    <row r="3097" spans="1:9" x14ac:dyDescent="0.25">
      <c r="E3097" s="7"/>
      <c r="F3097" t="s">
        <v>20</v>
      </c>
      <c r="G3097" s="10" t="s">
        <v>21</v>
      </c>
      <c r="H3097" t="str">
        <f>"UNIT 185 JUNE 2021"</f>
        <v>UNIT 185 JUNE 2021</v>
      </c>
      <c r="I3097" t="str">
        <f>"POLLOK SELF STORAGE LLC"</f>
        <v>POLLOK SELF STORAGE LLC</v>
      </c>
    </row>
    <row r="3098" spans="1:9" x14ac:dyDescent="0.25">
      <c r="E3098" s="7"/>
      <c r="F3098" t="s">
        <v>20</v>
      </c>
      <c r="G3098" s="10" t="s">
        <v>21</v>
      </c>
      <c r="H3098" t="str">
        <f>"UNIT 186 JUNE 2021"</f>
        <v>UNIT 186 JUNE 2021</v>
      </c>
      <c r="I3098" t="str">
        <f>"POLLOK SELF STORAGE LLC"</f>
        <v>POLLOK SELF STORAGE LLC</v>
      </c>
    </row>
    <row r="3099" spans="1:9" x14ac:dyDescent="0.25">
      <c r="E3099" s="7"/>
      <c r="F3099" t="s">
        <v>20</v>
      </c>
      <c r="G3099" s="10" t="s">
        <v>21</v>
      </c>
      <c r="H3099" t="str">
        <f>"UNIT 187 JUNE 2021"</f>
        <v>UNIT 187 JUNE 2021</v>
      </c>
      <c r="I3099" t="str">
        <f>"POLLOK SELF STORAGE LLC"</f>
        <v>POLLOK SELF STORAGE LLC</v>
      </c>
    </row>
    <row r="3100" spans="1:9" x14ac:dyDescent="0.25">
      <c r="A3100" s="6">
        <v>44342</v>
      </c>
      <c r="B3100" t="s">
        <v>26</v>
      </c>
      <c r="C3100">
        <v>66802</v>
      </c>
      <c r="D3100" t="s">
        <v>184</v>
      </c>
      <c r="E3100" s="7">
        <v>992</v>
      </c>
      <c r="F3100" t="s">
        <v>20</v>
      </c>
      <c r="G3100" s="10" t="s">
        <v>21</v>
      </c>
      <c r="H3100" t="str">
        <f>"1063-065"</f>
        <v>1063-065</v>
      </c>
      <c r="I3100" t="str">
        <f>"POLLUTION CONTROL SERVICES"</f>
        <v>POLLUTION CONTROL SERVICES</v>
      </c>
    </row>
    <row r="3101" spans="1:9" x14ac:dyDescent="0.25">
      <c r="E3101" s="7"/>
      <c r="F3101" t="s">
        <v>20</v>
      </c>
      <c r="G3101" s="10" t="s">
        <v>21</v>
      </c>
      <c r="H3101" t="str">
        <f>"1063-066"</f>
        <v>1063-066</v>
      </c>
      <c r="I3101" t="str">
        <f>"POLLUTION CONTROL SERVICES"</f>
        <v>POLLUTION CONTROL SERVICES</v>
      </c>
    </row>
    <row r="3102" spans="1:9" x14ac:dyDescent="0.25">
      <c r="A3102" s="6">
        <v>44342</v>
      </c>
      <c r="B3102" t="s">
        <v>26</v>
      </c>
      <c r="C3102">
        <v>66803</v>
      </c>
      <c r="D3102" t="s">
        <v>528</v>
      </c>
      <c r="E3102" s="7">
        <v>183.31</v>
      </c>
      <c r="F3102" t="s">
        <v>20</v>
      </c>
      <c r="G3102" s="10" t="s">
        <v>21</v>
      </c>
      <c r="H3102" t="str">
        <f>"10574766"</f>
        <v>10574766</v>
      </c>
      <c r="I3102" t="str">
        <f>"PROSTAR SERVICES INC"</f>
        <v>PROSTAR SERVICES INC</v>
      </c>
    </row>
    <row r="3103" spans="1:9" x14ac:dyDescent="0.25">
      <c r="A3103" s="6">
        <v>44342</v>
      </c>
      <c r="B3103" t="s">
        <v>26</v>
      </c>
      <c r="C3103">
        <v>66804</v>
      </c>
      <c r="D3103" t="s">
        <v>273</v>
      </c>
      <c r="E3103" s="7">
        <v>9895.91</v>
      </c>
      <c r="F3103" t="s">
        <v>20</v>
      </c>
      <c r="G3103" s="10" t="s">
        <v>21</v>
      </c>
      <c r="H3103" t="str">
        <f>"5119-000097073"</f>
        <v>5119-000097073</v>
      </c>
      <c r="I3103" t="str">
        <f>"REPUBLIC SERVICES TESSMAN ROAD"</f>
        <v>REPUBLIC SERVICES TESSMAN ROAD</v>
      </c>
    </row>
    <row r="3104" spans="1:9" x14ac:dyDescent="0.25">
      <c r="E3104" s="7"/>
      <c r="F3104" t="s">
        <v>20</v>
      </c>
      <c r="G3104" s="10" t="s">
        <v>21</v>
      </c>
      <c r="H3104" t="str">
        <f>"5119-000097241"</f>
        <v>5119-000097241</v>
      </c>
      <c r="I3104" t="str">
        <f>"REPUBLIC SERVICES TESSMAN ROAD"</f>
        <v>REPUBLIC SERVICES TESSMAN ROAD</v>
      </c>
    </row>
    <row r="3105" spans="1:9" x14ac:dyDescent="0.25">
      <c r="E3105" s="7"/>
      <c r="F3105" t="s">
        <v>20</v>
      </c>
      <c r="G3105" s="10" t="s">
        <v>21</v>
      </c>
      <c r="H3105" t="str">
        <f>"5119-000097423"</f>
        <v>5119-000097423</v>
      </c>
      <c r="I3105" t="str">
        <f>"REPUBLIC SERVICES TESSMAN ROAD"</f>
        <v>REPUBLIC SERVICES TESSMAN ROAD</v>
      </c>
    </row>
    <row r="3106" spans="1:9" x14ac:dyDescent="0.25">
      <c r="A3106" s="6">
        <v>44342</v>
      </c>
      <c r="B3106" t="s">
        <v>26</v>
      </c>
      <c r="C3106">
        <v>66805</v>
      </c>
      <c r="D3106" t="s">
        <v>926</v>
      </c>
      <c r="E3106" s="7">
        <v>35447.919999999998</v>
      </c>
      <c r="F3106" t="s">
        <v>20</v>
      </c>
      <c r="G3106" s="10" t="s">
        <v>21</v>
      </c>
      <c r="H3106" t="str">
        <f>"PAY APP #3.1"</f>
        <v>PAY APP #3.1</v>
      </c>
      <c r="I3106" t="str">
        <f>"SLP CONSTRUCTORS INC"</f>
        <v>SLP CONSTRUCTORS INC</v>
      </c>
    </row>
    <row r="3107" spans="1:9" x14ac:dyDescent="0.25">
      <c r="A3107" s="6">
        <v>44342</v>
      </c>
      <c r="B3107" t="s">
        <v>26</v>
      </c>
      <c r="C3107">
        <v>66806</v>
      </c>
      <c r="D3107" t="s">
        <v>644</v>
      </c>
      <c r="E3107" s="7">
        <v>1419.18</v>
      </c>
      <c r="F3107" t="s">
        <v>20</v>
      </c>
      <c r="G3107" s="10" t="s">
        <v>21</v>
      </c>
      <c r="H3107" t="str">
        <f>"8213594162"</f>
        <v>8213594162</v>
      </c>
      <c r="I3107" t="str">
        <f t="shared" ref="I3107:I3127" si="69">"UNIFIRST CORPORATION"</f>
        <v>UNIFIRST CORPORATION</v>
      </c>
    </row>
    <row r="3108" spans="1:9" x14ac:dyDescent="0.25">
      <c r="E3108" s="7"/>
      <c r="F3108" t="s">
        <v>20</v>
      </c>
      <c r="G3108" s="10" t="s">
        <v>21</v>
      </c>
      <c r="H3108" t="str">
        <f>"8213594163"</f>
        <v>8213594163</v>
      </c>
      <c r="I3108" t="str">
        <f t="shared" si="69"/>
        <v>UNIFIRST CORPORATION</v>
      </c>
    </row>
    <row r="3109" spans="1:9" x14ac:dyDescent="0.25">
      <c r="E3109" s="7"/>
      <c r="F3109" t="s">
        <v>20</v>
      </c>
      <c r="G3109" s="10" t="s">
        <v>21</v>
      </c>
      <c r="H3109" t="str">
        <f>"8213594164"</f>
        <v>8213594164</v>
      </c>
      <c r="I3109" t="str">
        <f t="shared" si="69"/>
        <v>UNIFIRST CORPORATION</v>
      </c>
    </row>
    <row r="3110" spans="1:9" x14ac:dyDescent="0.25">
      <c r="E3110" s="7"/>
      <c r="F3110" t="s">
        <v>20</v>
      </c>
      <c r="G3110" s="10" t="s">
        <v>21</v>
      </c>
      <c r="H3110" t="str">
        <f>"8213594165"</f>
        <v>8213594165</v>
      </c>
      <c r="I3110" t="str">
        <f t="shared" si="69"/>
        <v>UNIFIRST CORPORATION</v>
      </c>
    </row>
    <row r="3111" spans="1:9" x14ac:dyDescent="0.25">
      <c r="E3111" s="7"/>
      <c r="F3111" t="s">
        <v>20</v>
      </c>
      <c r="G3111" s="10" t="s">
        <v>21</v>
      </c>
      <c r="H3111" t="str">
        <f>"8213594166"</f>
        <v>8213594166</v>
      </c>
      <c r="I3111" t="str">
        <f t="shared" si="69"/>
        <v>UNIFIRST CORPORATION</v>
      </c>
    </row>
    <row r="3112" spans="1:9" x14ac:dyDescent="0.25">
      <c r="E3112" s="7"/>
      <c r="F3112" t="s">
        <v>20</v>
      </c>
      <c r="G3112" s="10" t="s">
        <v>21</v>
      </c>
      <c r="H3112" t="str">
        <f>"8213594167"</f>
        <v>8213594167</v>
      </c>
      <c r="I3112" t="str">
        <f t="shared" si="69"/>
        <v>UNIFIRST CORPORATION</v>
      </c>
    </row>
    <row r="3113" spans="1:9" x14ac:dyDescent="0.25">
      <c r="E3113" s="7"/>
      <c r="F3113" t="s">
        <v>20</v>
      </c>
      <c r="G3113" s="10" t="s">
        <v>21</v>
      </c>
      <c r="H3113" t="str">
        <f>"8213594168"</f>
        <v>8213594168</v>
      </c>
      <c r="I3113" t="str">
        <f t="shared" si="69"/>
        <v>UNIFIRST CORPORATION</v>
      </c>
    </row>
    <row r="3114" spans="1:9" x14ac:dyDescent="0.25">
      <c r="E3114" s="7"/>
      <c r="F3114" t="s">
        <v>20</v>
      </c>
      <c r="G3114" s="10" t="s">
        <v>21</v>
      </c>
      <c r="H3114" t="str">
        <f>"8213596697"</f>
        <v>8213596697</v>
      </c>
      <c r="I3114" t="str">
        <f t="shared" si="69"/>
        <v>UNIFIRST CORPORATION</v>
      </c>
    </row>
    <row r="3115" spans="1:9" x14ac:dyDescent="0.25">
      <c r="E3115" s="7"/>
      <c r="F3115" t="s">
        <v>20</v>
      </c>
      <c r="G3115" s="10" t="s">
        <v>21</v>
      </c>
      <c r="H3115" t="str">
        <f>"8213596698"</f>
        <v>8213596698</v>
      </c>
      <c r="I3115" t="str">
        <f t="shared" si="69"/>
        <v>UNIFIRST CORPORATION</v>
      </c>
    </row>
    <row r="3116" spans="1:9" x14ac:dyDescent="0.25">
      <c r="E3116" s="7"/>
      <c r="F3116" t="s">
        <v>20</v>
      </c>
      <c r="G3116" s="10" t="s">
        <v>21</v>
      </c>
      <c r="H3116" t="str">
        <f>"8213596699"</f>
        <v>8213596699</v>
      </c>
      <c r="I3116" t="str">
        <f t="shared" si="69"/>
        <v>UNIFIRST CORPORATION</v>
      </c>
    </row>
    <row r="3117" spans="1:9" x14ac:dyDescent="0.25">
      <c r="E3117" s="7"/>
      <c r="F3117" t="s">
        <v>20</v>
      </c>
      <c r="G3117" s="10" t="s">
        <v>21</v>
      </c>
      <c r="H3117" t="str">
        <f>"8213596700"</f>
        <v>8213596700</v>
      </c>
      <c r="I3117" t="str">
        <f t="shared" si="69"/>
        <v>UNIFIRST CORPORATION</v>
      </c>
    </row>
    <row r="3118" spans="1:9" x14ac:dyDescent="0.25">
      <c r="E3118" s="7"/>
      <c r="F3118" t="s">
        <v>20</v>
      </c>
      <c r="G3118" s="10" t="s">
        <v>21</v>
      </c>
      <c r="H3118" t="str">
        <f>"8213596701"</f>
        <v>8213596701</v>
      </c>
      <c r="I3118" t="str">
        <f t="shared" si="69"/>
        <v>UNIFIRST CORPORATION</v>
      </c>
    </row>
    <row r="3119" spans="1:9" x14ac:dyDescent="0.25">
      <c r="E3119" s="7"/>
      <c r="F3119" t="s">
        <v>20</v>
      </c>
      <c r="G3119" s="10" t="s">
        <v>21</v>
      </c>
      <c r="H3119" t="str">
        <f>"8213596702"</f>
        <v>8213596702</v>
      </c>
      <c r="I3119" t="str">
        <f t="shared" si="69"/>
        <v>UNIFIRST CORPORATION</v>
      </c>
    </row>
    <row r="3120" spans="1:9" x14ac:dyDescent="0.25">
      <c r="E3120" s="7"/>
      <c r="F3120" t="s">
        <v>20</v>
      </c>
      <c r="G3120" s="10" t="s">
        <v>21</v>
      </c>
      <c r="H3120" t="str">
        <f>"8213596703"</f>
        <v>8213596703</v>
      </c>
      <c r="I3120" t="str">
        <f t="shared" si="69"/>
        <v>UNIFIRST CORPORATION</v>
      </c>
    </row>
    <row r="3121" spans="1:9" x14ac:dyDescent="0.25">
      <c r="E3121" s="7"/>
      <c r="F3121" t="s">
        <v>20</v>
      </c>
      <c r="G3121" s="10" t="s">
        <v>21</v>
      </c>
      <c r="H3121" t="str">
        <f>"8213599216"</f>
        <v>8213599216</v>
      </c>
      <c r="I3121" t="str">
        <f t="shared" si="69"/>
        <v>UNIFIRST CORPORATION</v>
      </c>
    </row>
    <row r="3122" spans="1:9" x14ac:dyDescent="0.25">
      <c r="E3122" s="7"/>
      <c r="F3122" t="s">
        <v>20</v>
      </c>
      <c r="G3122" s="10" t="s">
        <v>21</v>
      </c>
      <c r="H3122" t="str">
        <f>"8213599217"</f>
        <v>8213599217</v>
      </c>
      <c r="I3122" t="str">
        <f t="shared" si="69"/>
        <v>UNIFIRST CORPORATION</v>
      </c>
    </row>
    <row r="3123" spans="1:9" x14ac:dyDescent="0.25">
      <c r="E3123" s="7"/>
      <c r="F3123" t="s">
        <v>20</v>
      </c>
      <c r="G3123" s="10" t="s">
        <v>21</v>
      </c>
      <c r="H3123" t="str">
        <f>"8213599218"</f>
        <v>8213599218</v>
      </c>
      <c r="I3123" t="str">
        <f t="shared" si="69"/>
        <v>UNIFIRST CORPORATION</v>
      </c>
    </row>
    <row r="3124" spans="1:9" x14ac:dyDescent="0.25">
      <c r="E3124" s="7"/>
      <c r="F3124" t="s">
        <v>20</v>
      </c>
      <c r="G3124" s="10" t="s">
        <v>21</v>
      </c>
      <c r="H3124" t="str">
        <f>"8213599219"</f>
        <v>8213599219</v>
      </c>
      <c r="I3124" t="str">
        <f t="shared" si="69"/>
        <v>UNIFIRST CORPORATION</v>
      </c>
    </row>
    <row r="3125" spans="1:9" x14ac:dyDescent="0.25">
      <c r="E3125" s="7"/>
      <c r="F3125" t="s">
        <v>20</v>
      </c>
      <c r="G3125" s="10" t="s">
        <v>21</v>
      </c>
      <c r="H3125" t="str">
        <f>"8213599220"</f>
        <v>8213599220</v>
      </c>
      <c r="I3125" t="str">
        <f t="shared" si="69"/>
        <v>UNIFIRST CORPORATION</v>
      </c>
    </row>
    <row r="3126" spans="1:9" x14ac:dyDescent="0.25">
      <c r="E3126" s="7"/>
      <c r="F3126" t="s">
        <v>20</v>
      </c>
      <c r="G3126" s="10" t="s">
        <v>21</v>
      </c>
      <c r="H3126" t="str">
        <f>"8213599221"</f>
        <v>8213599221</v>
      </c>
      <c r="I3126" t="str">
        <f t="shared" si="69"/>
        <v>UNIFIRST CORPORATION</v>
      </c>
    </row>
    <row r="3127" spans="1:9" x14ac:dyDescent="0.25">
      <c r="E3127" s="7"/>
      <c r="F3127" t="s">
        <v>20</v>
      </c>
      <c r="G3127" s="10" t="s">
        <v>21</v>
      </c>
      <c r="H3127" t="str">
        <f>"8213599222"</f>
        <v>8213599222</v>
      </c>
      <c r="I3127" t="str">
        <f t="shared" si="69"/>
        <v>UNIFIRST CORPORATION</v>
      </c>
    </row>
    <row r="3128" spans="1:9" x14ac:dyDescent="0.25">
      <c r="A3128" s="6">
        <v>44342</v>
      </c>
      <c r="B3128" t="s">
        <v>26</v>
      </c>
      <c r="C3128">
        <v>66810</v>
      </c>
      <c r="D3128" t="s">
        <v>203</v>
      </c>
      <c r="E3128" s="7">
        <v>257.97000000000003</v>
      </c>
      <c r="F3128" t="s">
        <v>20</v>
      </c>
      <c r="G3128" s="10" t="s">
        <v>21</v>
      </c>
      <c r="H3128" t="str">
        <f>"603716"</f>
        <v>603716</v>
      </c>
      <c r="I3128" t="str">
        <f>"WWTP SUPPLIES"</f>
        <v>WWTP SUPPLIES</v>
      </c>
    </row>
    <row r="3129" spans="1:9" x14ac:dyDescent="0.25">
      <c r="A3129" s="6">
        <v>44342</v>
      </c>
      <c r="B3129" t="s">
        <v>26</v>
      </c>
      <c r="C3129">
        <v>66811</v>
      </c>
      <c r="D3129" t="s">
        <v>186</v>
      </c>
      <c r="E3129" s="7">
        <v>7703.94</v>
      </c>
      <c r="F3129" t="s">
        <v>20</v>
      </c>
      <c r="G3129" s="10" t="s">
        <v>21</v>
      </c>
      <c r="H3129" t="str">
        <f>"3RD QRT7/1-9/30/21"</f>
        <v>3RD QRT7/1-9/30/21</v>
      </c>
      <c r="I3129" t="str">
        <f>"WILSON COUNTY APPRAISAL DISTRI"</f>
        <v>WILSON COUNTY APPRAISAL DISTRI</v>
      </c>
    </row>
    <row r="3130" spans="1:9" x14ac:dyDescent="0.25">
      <c r="A3130" s="6">
        <v>44342</v>
      </c>
      <c r="B3130" t="s">
        <v>26</v>
      </c>
      <c r="C3130">
        <v>66812</v>
      </c>
      <c r="D3130" t="s">
        <v>1051</v>
      </c>
      <c r="E3130" s="7">
        <v>750</v>
      </c>
      <c r="F3130" t="s">
        <v>20</v>
      </c>
      <c r="G3130" s="10" t="s">
        <v>21</v>
      </c>
      <c r="H3130" t="str">
        <f>"FRFND GRAD 6/19/21"</f>
        <v>FRFND GRAD 6/19/21</v>
      </c>
      <c r="I3130" t="str">
        <f>"REFUND"</f>
        <v>REFUND</v>
      </c>
    </row>
    <row r="3131" spans="1:9" x14ac:dyDescent="0.25">
      <c r="A3131" s="6">
        <v>44342</v>
      </c>
      <c r="B3131" t="s">
        <v>26</v>
      </c>
      <c r="C3131">
        <v>66813</v>
      </c>
      <c r="D3131" t="s">
        <v>926</v>
      </c>
      <c r="E3131" s="7">
        <v>29909.34</v>
      </c>
      <c r="F3131" t="s">
        <v>20</v>
      </c>
      <c r="G3131" s="10" t="s">
        <v>21</v>
      </c>
      <c r="H3131" t="str">
        <f>"PAY APP#4RETAINAGE"</f>
        <v>PAY APP#4RETAINAGE</v>
      </c>
      <c r="I3131" t="str">
        <f>"SLP CONSTRUCTORS INC"</f>
        <v>SLP CONSTRUCTORS INC</v>
      </c>
    </row>
    <row r="3132" spans="1:9" x14ac:dyDescent="0.25">
      <c r="A3132" s="6">
        <v>44342</v>
      </c>
      <c r="B3132" t="s">
        <v>26</v>
      </c>
      <c r="C3132">
        <v>66814</v>
      </c>
      <c r="D3132" t="s">
        <v>90</v>
      </c>
      <c r="E3132" s="7">
        <v>1636.56</v>
      </c>
      <c r="F3132" t="s">
        <v>20</v>
      </c>
      <c r="G3132" s="10" t="s">
        <v>21</v>
      </c>
      <c r="H3132" t="str">
        <f>"ACA202105048607"</f>
        <v>ACA202105048607</v>
      </c>
      <c r="I3132" t="str">
        <f>"AFLAC INSURANCE"</f>
        <v>AFLAC INSURANCE</v>
      </c>
    </row>
    <row r="3133" spans="1:9" x14ac:dyDescent="0.25">
      <c r="E3133" s="7"/>
      <c r="F3133" t="s">
        <v>20</v>
      </c>
      <c r="G3133" s="10" t="s">
        <v>21</v>
      </c>
      <c r="H3133" t="str">
        <f>"ACA202105188608"</f>
        <v>ACA202105188608</v>
      </c>
      <c r="I3133" t="str">
        <f>"AFLAC INSURANCE"</f>
        <v>AFLAC INSURANCE</v>
      </c>
    </row>
    <row r="3134" spans="1:9" x14ac:dyDescent="0.25">
      <c r="E3134" s="7"/>
      <c r="F3134" t="s">
        <v>20</v>
      </c>
      <c r="G3134" s="10" t="s">
        <v>21</v>
      </c>
      <c r="H3134" t="str">
        <f>"ADR202105048607"</f>
        <v>ADR202105048607</v>
      </c>
      <c r="I3134" t="str">
        <f>"INSURANCE"</f>
        <v>INSURANCE</v>
      </c>
    </row>
    <row r="3135" spans="1:9" x14ac:dyDescent="0.25">
      <c r="E3135" s="7"/>
      <c r="F3135" t="s">
        <v>20</v>
      </c>
      <c r="G3135" s="10" t="s">
        <v>21</v>
      </c>
      <c r="H3135" t="str">
        <f>"ADR202105188608"</f>
        <v>ADR202105188608</v>
      </c>
      <c r="I3135" t="str">
        <f>"INSURANCE"</f>
        <v>INSURANCE</v>
      </c>
    </row>
    <row r="3136" spans="1:9" x14ac:dyDescent="0.25">
      <c r="E3136" s="7"/>
      <c r="F3136" t="s">
        <v>20</v>
      </c>
      <c r="G3136" s="10" t="s">
        <v>21</v>
      </c>
      <c r="H3136" t="str">
        <f>"AF1202105048607"</f>
        <v>AF1202105048607</v>
      </c>
      <c r="I3136" t="str">
        <f>"AFLAC INSURANCE"</f>
        <v>AFLAC INSURANCE</v>
      </c>
    </row>
    <row r="3137" spans="1:9" x14ac:dyDescent="0.25">
      <c r="E3137" s="7"/>
      <c r="F3137" t="s">
        <v>20</v>
      </c>
      <c r="G3137" s="10" t="s">
        <v>21</v>
      </c>
      <c r="H3137" t="str">
        <f>"AF1202105188608"</f>
        <v>AF1202105188608</v>
      </c>
      <c r="I3137" t="str">
        <f>"AFLAC INSURANCE"</f>
        <v>AFLAC INSURANCE</v>
      </c>
    </row>
    <row r="3138" spans="1:9" x14ac:dyDescent="0.25">
      <c r="E3138" s="7"/>
      <c r="F3138" t="s">
        <v>20</v>
      </c>
      <c r="G3138" s="10" t="s">
        <v>21</v>
      </c>
      <c r="H3138" t="str">
        <f>"AFS202105048607"</f>
        <v>AFS202105048607</v>
      </c>
      <c r="I3138" t="str">
        <f>"AFLAC STD"</f>
        <v>AFLAC STD</v>
      </c>
    </row>
    <row r="3139" spans="1:9" x14ac:dyDescent="0.25">
      <c r="E3139" s="7"/>
      <c r="F3139" t="s">
        <v>20</v>
      </c>
      <c r="G3139" s="10" t="s">
        <v>21</v>
      </c>
      <c r="H3139" t="str">
        <f>"AFS202105188608"</f>
        <v>AFS202105188608</v>
      </c>
      <c r="I3139" t="str">
        <f>"AFLAC STD"</f>
        <v>AFLAC STD</v>
      </c>
    </row>
    <row r="3140" spans="1:9" x14ac:dyDescent="0.25">
      <c r="E3140" s="7"/>
      <c r="F3140" t="s">
        <v>20</v>
      </c>
      <c r="G3140" s="10" t="s">
        <v>21</v>
      </c>
      <c r="H3140" t="str">
        <f>"ASP202105048607"</f>
        <v>ASP202105048607</v>
      </c>
      <c r="I3140" t="str">
        <f>"AFLAC INSURANCE"</f>
        <v>AFLAC INSURANCE</v>
      </c>
    </row>
    <row r="3141" spans="1:9" x14ac:dyDescent="0.25">
      <c r="E3141" s="7"/>
      <c r="F3141" t="s">
        <v>20</v>
      </c>
      <c r="G3141" s="10" t="s">
        <v>21</v>
      </c>
      <c r="H3141" t="str">
        <f>"ASP202105188608"</f>
        <v>ASP202105188608</v>
      </c>
      <c r="I3141" t="str">
        <f>"AFLAC INSURANCE"</f>
        <v>AFLAC INSURANCE</v>
      </c>
    </row>
    <row r="3142" spans="1:9" x14ac:dyDescent="0.25">
      <c r="E3142" s="7"/>
      <c r="F3142" t="s">
        <v>20</v>
      </c>
      <c r="G3142" s="10" t="s">
        <v>21</v>
      </c>
      <c r="H3142" t="str">
        <f>"HCO202105048607"</f>
        <v>HCO202105048607</v>
      </c>
      <c r="I3142" t="str">
        <f>"AFLAC INSURANCE"</f>
        <v>AFLAC INSURANCE</v>
      </c>
    </row>
    <row r="3143" spans="1:9" x14ac:dyDescent="0.25">
      <c r="E3143" s="7"/>
      <c r="F3143" t="s">
        <v>20</v>
      </c>
      <c r="G3143" s="10" t="s">
        <v>21</v>
      </c>
      <c r="H3143" t="str">
        <f>"HCO202105188608"</f>
        <v>HCO202105188608</v>
      </c>
      <c r="I3143" t="str">
        <f>"AFLAC INSURANCE"</f>
        <v>AFLAC INSURANCE</v>
      </c>
    </row>
    <row r="3144" spans="1:9" x14ac:dyDescent="0.25">
      <c r="A3144" s="6">
        <v>44342</v>
      </c>
      <c r="B3144" t="s">
        <v>26</v>
      </c>
      <c r="C3144">
        <v>66819</v>
      </c>
      <c r="D3144" t="s">
        <v>95</v>
      </c>
      <c r="E3144" s="7">
        <v>25.32</v>
      </c>
      <c r="F3144" t="s">
        <v>20</v>
      </c>
      <c r="G3144" s="10" t="s">
        <v>21</v>
      </c>
      <c r="H3144" t="str">
        <f>"LEA202105048607"</f>
        <v>LEA202105048607</v>
      </c>
      <c r="I3144" t="str">
        <f>"INSURANCE"</f>
        <v>INSURANCE</v>
      </c>
    </row>
    <row r="3145" spans="1:9" x14ac:dyDescent="0.25">
      <c r="E3145" s="7"/>
      <c r="F3145" t="s">
        <v>20</v>
      </c>
      <c r="G3145" s="10" t="s">
        <v>21</v>
      </c>
      <c r="H3145" t="str">
        <f>"LEA202105188608"</f>
        <v>LEA202105188608</v>
      </c>
      <c r="I3145" t="str">
        <f>"INSURANCE"</f>
        <v>INSURANCE</v>
      </c>
    </row>
    <row r="3146" spans="1:9" x14ac:dyDescent="0.25">
      <c r="A3146" s="6">
        <v>44342</v>
      </c>
      <c r="B3146" t="s">
        <v>26</v>
      </c>
      <c r="C3146">
        <v>66820</v>
      </c>
      <c r="D3146" t="s">
        <v>96</v>
      </c>
      <c r="E3146" s="7">
        <v>225.2</v>
      </c>
      <c r="F3146" t="s">
        <v>20</v>
      </c>
      <c r="G3146" s="10" t="s">
        <v>24</v>
      </c>
      <c r="H3146" t="str">
        <f>"JUNE 2021"</f>
        <v>JUNE 2021</v>
      </c>
      <c r="I3146" t="str">
        <f>"LEGALSHIELD"</f>
        <v>LEGALSHIELD</v>
      </c>
    </row>
    <row r="3147" spans="1:9" x14ac:dyDescent="0.25">
      <c r="E3147" s="7"/>
      <c r="F3147" t="s">
        <v>20</v>
      </c>
      <c r="G3147" s="10" t="s">
        <v>21</v>
      </c>
      <c r="H3147" t="str">
        <f>"PPL202105048607"</f>
        <v>PPL202105048607</v>
      </c>
      <c r="I3147" t="str">
        <f>"INSURANCE"</f>
        <v>INSURANCE</v>
      </c>
    </row>
    <row r="3148" spans="1:9" x14ac:dyDescent="0.25">
      <c r="E3148" s="7"/>
      <c r="F3148" t="s">
        <v>20</v>
      </c>
      <c r="G3148" s="10" t="s">
        <v>21</v>
      </c>
      <c r="H3148" t="str">
        <f>"PPL202105188608"</f>
        <v>PPL202105188608</v>
      </c>
      <c r="I3148" t="str">
        <f>"INSURANCE"</f>
        <v>INSURANCE</v>
      </c>
    </row>
    <row r="3149" spans="1:9" x14ac:dyDescent="0.25">
      <c r="A3149" s="6">
        <v>44342</v>
      </c>
      <c r="B3149" t="s">
        <v>26</v>
      </c>
      <c r="C3149">
        <v>66822</v>
      </c>
      <c r="D3149" t="s">
        <v>97</v>
      </c>
      <c r="E3149" s="7">
        <v>40632.78</v>
      </c>
      <c r="F3149" t="s">
        <v>20</v>
      </c>
      <c r="G3149" s="10" t="s">
        <v>24</v>
      </c>
      <c r="H3149" t="str">
        <f>"JUNE 2021"</f>
        <v>JUNE 2021</v>
      </c>
      <c r="I3149" t="str">
        <f>"HEALTH CARE SERVICE CORPORATIO"</f>
        <v>HEALTH CARE SERVICE CORPORATIO</v>
      </c>
    </row>
    <row r="3150" spans="1:9" x14ac:dyDescent="0.25">
      <c r="E3150" s="7"/>
      <c r="F3150" t="s">
        <v>20</v>
      </c>
      <c r="G3150" s="10" t="s">
        <v>21</v>
      </c>
      <c r="H3150" t="str">
        <f>"DEN202105048607"</f>
        <v>DEN202105048607</v>
      </c>
      <c r="I3150" t="str">
        <f>"DENTAL INSURANCE"</f>
        <v>DENTAL INSURANCE</v>
      </c>
    </row>
    <row r="3151" spans="1:9" x14ac:dyDescent="0.25">
      <c r="E3151" s="7"/>
      <c r="F3151" t="s">
        <v>20</v>
      </c>
      <c r="G3151" s="10" t="s">
        <v>21</v>
      </c>
      <c r="H3151" t="str">
        <f>"DEN202105188608"</f>
        <v>DEN202105188608</v>
      </c>
      <c r="I3151" t="str">
        <f>"DENTAL INSURANCE"</f>
        <v>DENTAL INSURANCE</v>
      </c>
    </row>
    <row r="3152" spans="1:9" x14ac:dyDescent="0.25">
      <c r="E3152" s="7"/>
      <c r="F3152" t="s">
        <v>20</v>
      </c>
      <c r="G3152" s="10" t="s">
        <v>21</v>
      </c>
      <c r="H3152" t="str">
        <f>"JUNE 2021"</f>
        <v>JUNE 2021</v>
      </c>
      <c r="I3152" t="str">
        <f>"HEALTH CARE SERVICE CORPORATIO"</f>
        <v>HEALTH CARE SERVICE CORPORATIO</v>
      </c>
    </row>
    <row r="3153" spans="1:9" x14ac:dyDescent="0.25">
      <c r="E3153" s="7"/>
      <c r="F3153" t="s">
        <v>20</v>
      </c>
      <c r="G3153" s="10" t="s">
        <v>21</v>
      </c>
      <c r="H3153" t="str">
        <f>"MED202105048607"</f>
        <v>MED202105048607</v>
      </c>
      <c r="I3153" t="str">
        <f>"HEALTH &amp; DENTAL INSURANCE"</f>
        <v>HEALTH &amp; DENTAL INSURANCE</v>
      </c>
    </row>
    <row r="3154" spans="1:9" x14ac:dyDescent="0.25">
      <c r="E3154" s="7"/>
      <c r="F3154" t="s">
        <v>20</v>
      </c>
      <c r="G3154" s="10" t="s">
        <v>21</v>
      </c>
      <c r="H3154" t="str">
        <f>"MED202105188608"</f>
        <v>MED202105188608</v>
      </c>
      <c r="I3154" t="str">
        <f>"HEALTH &amp; DENTAL INSURANCE"</f>
        <v>HEALTH &amp; DENTAL INSURANCE</v>
      </c>
    </row>
    <row r="3155" spans="1:9" x14ac:dyDescent="0.25">
      <c r="A3155" s="6">
        <v>44342</v>
      </c>
      <c r="B3155" t="s">
        <v>26</v>
      </c>
      <c r="C3155">
        <v>66827</v>
      </c>
      <c r="D3155" t="s">
        <v>98</v>
      </c>
      <c r="E3155" s="7">
        <v>3601.11</v>
      </c>
      <c r="F3155" t="s">
        <v>20</v>
      </c>
      <c r="G3155" s="10" t="s">
        <v>329</v>
      </c>
      <c r="H3155" t="str">
        <f>"JUNE 2021"</f>
        <v>JUNE 2021</v>
      </c>
      <c r="I3155" t="str">
        <f>"DEARBORN LIFE INSURANCE COMPAN"</f>
        <v>DEARBORN LIFE INSURANCE COMPAN</v>
      </c>
    </row>
    <row r="3156" spans="1:9" x14ac:dyDescent="0.25">
      <c r="E3156" s="7"/>
      <c r="F3156" t="s">
        <v>20</v>
      </c>
      <c r="G3156" s="10" t="s">
        <v>21</v>
      </c>
      <c r="H3156" t="str">
        <f>"JUNE 2021 HT"</f>
        <v>JUNE 2021 HT</v>
      </c>
      <c r="I3156" t="str">
        <f>"DEARBORN LIFE INSURANCE COMPAN"</f>
        <v>DEARBORN LIFE INSURANCE COMPAN</v>
      </c>
    </row>
    <row r="3157" spans="1:9" x14ac:dyDescent="0.25">
      <c r="E3157" s="7"/>
      <c r="F3157" t="s">
        <v>20</v>
      </c>
      <c r="G3157" s="10" t="s">
        <v>21</v>
      </c>
      <c r="H3157" t="str">
        <f>"STD202105048607"</f>
        <v>STD202105048607</v>
      </c>
      <c r="I3157" t="str">
        <f>"SHORT TERM DISABILITY"</f>
        <v>SHORT TERM DISABILITY</v>
      </c>
    </row>
    <row r="3158" spans="1:9" x14ac:dyDescent="0.25">
      <c r="E3158" s="7"/>
      <c r="F3158" t="s">
        <v>20</v>
      </c>
      <c r="G3158" s="10" t="s">
        <v>21</v>
      </c>
      <c r="H3158" t="str">
        <f>"STD202105188608"</f>
        <v>STD202105188608</v>
      </c>
      <c r="I3158" t="str">
        <f>"SHORT TERM DISABILITY"</f>
        <v>SHORT TERM DISABILITY</v>
      </c>
    </row>
    <row r="3159" spans="1:9" x14ac:dyDescent="0.25">
      <c r="E3159" s="7"/>
      <c r="F3159" t="s">
        <v>20</v>
      </c>
      <c r="G3159" s="10" t="s">
        <v>21</v>
      </c>
      <c r="H3159" t="str">
        <f>"VIS202105048607"</f>
        <v>VIS202105048607</v>
      </c>
      <c r="I3159" t="str">
        <f>"VISION INSURANCE"</f>
        <v>VISION INSURANCE</v>
      </c>
    </row>
    <row r="3160" spans="1:9" x14ac:dyDescent="0.25">
      <c r="E3160" s="7"/>
      <c r="F3160" t="s">
        <v>20</v>
      </c>
      <c r="G3160" s="10" t="s">
        <v>21</v>
      </c>
      <c r="H3160" t="str">
        <f>"VIS202105188608"</f>
        <v>VIS202105188608</v>
      </c>
      <c r="I3160" t="str">
        <f>"VISION INSURANCE"</f>
        <v>VISION INSURANCE</v>
      </c>
    </row>
    <row r="3161" spans="1:9" x14ac:dyDescent="0.25">
      <c r="E3161" s="7"/>
      <c r="F3161" t="s">
        <v>20</v>
      </c>
      <c r="G3161" s="10" t="s">
        <v>21</v>
      </c>
      <c r="H3161" t="str">
        <f>"VLC202105048607"</f>
        <v>VLC202105048607</v>
      </c>
      <c r="I3161" t="str">
        <f>"CHILD LIFE INSURANCE"</f>
        <v>CHILD LIFE INSURANCE</v>
      </c>
    </row>
    <row r="3162" spans="1:9" x14ac:dyDescent="0.25">
      <c r="E3162" s="7"/>
      <c r="F3162" t="s">
        <v>20</v>
      </c>
      <c r="G3162" s="10" t="s">
        <v>21</v>
      </c>
      <c r="H3162" t="str">
        <f>"VLC202105188608"</f>
        <v>VLC202105188608</v>
      </c>
      <c r="I3162" t="str">
        <f>"CHILD LIFE INSURANCE"</f>
        <v>CHILD LIFE INSURANCE</v>
      </c>
    </row>
    <row r="3163" spans="1:9" x14ac:dyDescent="0.25">
      <c r="E3163" s="7"/>
      <c r="F3163" t="s">
        <v>20</v>
      </c>
      <c r="G3163" s="10" t="s">
        <v>21</v>
      </c>
      <c r="H3163" t="str">
        <f>"VLS202105048607"</f>
        <v>VLS202105048607</v>
      </c>
      <c r="I3163" t="str">
        <f>"SPOUSE LIFE"</f>
        <v>SPOUSE LIFE</v>
      </c>
    </row>
    <row r="3164" spans="1:9" x14ac:dyDescent="0.25">
      <c r="E3164" s="7"/>
      <c r="F3164" t="s">
        <v>20</v>
      </c>
      <c r="G3164" s="10" t="s">
        <v>21</v>
      </c>
      <c r="H3164" t="str">
        <f>"VLS202105188608"</f>
        <v>VLS202105188608</v>
      </c>
      <c r="I3164" t="str">
        <f>"SPOUSE LIFE"</f>
        <v>SPOUSE LIFE</v>
      </c>
    </row>
    <row r="3165" spans="1:9" x14ac:dyDescent="0.25">
      <c r="E3165" s="7"/>
      <c r="F3165" t="s">
        <v>20</v>
      </c>
      <c r="G3165" s="10" t="s">
        <v>21</v>
      </c>
      <c r="H3165" t="str">
        <f>"VOE202105048607"</f>
        <v>VOE202105048607</v>
      </c>
      <c r="I3165" t="str">
        <f>"EMPLOYEE LIFE"</f>
        <v>EMPLOYEE LIFE</v>
      </c>
    </row>
    <row r="3166" spans="1:9" x14ac:dyDescent="0.25">
      <c r="E3166" s="7"/>
      <c r="F3166" t="s">
        <v>20</v>
      </c>
      <c r="G3166" s="10" t="s">
        <v>21</v>
      </c>
      <c r="H3166" t="str">
        <f>"VOE202105188608"</f>
        <v>VOE202105188608</v>
      </c>
      <c r="I3166" t="str">
        <f>"EMPLOYEE LIFE"</f>
        <v>EMPLOYEE LIFE</v>
      </c>
    </row>
    <row r="3167" spans="1:9" x14ac:dyDescent="0.25">
      <c r="E3167" s="7"/>
      <c r="F3167" t="s">
        <v>20</v>
      </c>
      <c r="G3167" s="10" t="s">
        <v>21</v>
      </c>
      <c r="H3167" t="str">
        <f>"VOL202105048607"</f>
        <v>VOL202105048607</v>
      </c>
      <c r="I3167" t="str">
        <f>"LIFE"</f>
        <v>LIFE</v>
      </c>
    </row>
    <row r="3168" spans="1:9" x14ac:dyDescent="0.25">
      <c r="E3168" s="7"/>
      <c r="F3168" t="s">
        <v>20</v>
      </c>
      <c r="G3168" s="10" t="s">
        <v>21</v>
      </c>
      <c r="H3168" t="str">
        <f>"VOL202105188608"</f>
        <v>VOL202105188608</v>
      </c>
      <c r="I3168" t="str">
        <f>"LIFE"</f>
        <v>LIFE</v>
      </c>
    </row>
    <row r="3169" spans="1:9" x14ac:dyDescent="0.25">
      <c r="A3169" s="6">
        <v>44343</v>
      </c>
      <c r="B3169" t="s">
        <v>26</v>
      </c>
      <c r="C3169">
        <v>66838</v>
      </c>
      <c r="D3169" t="s">
        <v>51</v>
      </c>
      <c r="E3169" s="7">
        <v>18.47</v>
      </c>
      <c r="F3169" t="s">
        <v>20</v>
      </c>
      <c r="G3169" s="10" t="s">
        <v>21</v>
      </c>
      <c r="H3169" t="str">
        <f>"PDD202105278610"</f>
        <v>PDD202105278610</v>
      </c>
      <c r="I3169" t="str">
        <f>"POLICE OFFICERS ASSOC DUES"</f>
        <v>POLICE OFFICERS ASSOC DUES</v>
      </c>
    </row>
    <row r="3170" spans="1:9" x14ac:dyDescent="0.25">
      <c r="A3170" s="6">
        <v>44348</v>
      </c>
      <c r="B3170" t="s">
        <v>26</v>
      </c>
      <c r="C3170">
        <v>66845</v>
      </c>
      <c r="D3170" t="s">
        <v>51</v>
      </c>
      <c r="E3170" s="7">
        <v>327.84</v>
      </c>
      <c r="F3170" t="s">
        <v>20</v>
      </c>
      <c r="G3170" s="10" t="s">
        <v>21</v>
      </c>
      <c r="H3170" t="str">
        <f>"CLE202106018612"</f>
        <v>CLE202106018612</v>
      </c>
      <c r="I3170" t="str">
        <f>"CLEAT ONLY DUES"</f>
        <v>CLEAT ONLY DUES</v>
      </c>
    </row>
    <row r="3171" spans="1:9" x14ac:dyDescent="0.25">
      <c r="E3171" s="7"/>
      <c r="F3171" t="s">
        <v>20</v>
      </c>
      <c r="G3171" s="10" t="s">
        <v>21</v>
      </c>
      <c r="H3171" t="str">
        <f>"PDD202106018612"</f>
        <v>PDD202106018612</v>
      </c>
      <c r="I3171" t="str">
        <f>"POLICE OFFICERS ASSOC DUES"</f>
        <v>POLICE OFFICERS ASSOC DUES</v>
      </c>
    </row>
    <row r="3172" spans="1:9" x14ac:dyDescent="0.25">
      <c r="A3172" s="6">
        <v>44348</v>
      </c>
      <c r="B3172" t="s">
        <v>26</v>
      </c>
      <c r="C3172">
        <v>66846</v>
      </c>
      <c r="D3172" t="s">
        <v>52</v>
      </c>
      <c r="E3172" s="7">
        <v>926.54</v>
      </c>
      <c r="F3172" t="s">
        <v>20</v>
      </c>
      <c r="G3172" s="10" t="s">
        <v>21</v>
      </c>
      <c r="H3172" t="str">
        <f>"CA1202106018612"</f>
        <v>CA1202106018612</v>
      </c>
      <c r="I3172" t="str">
        <f>"K RAMIREZ 001200229510060343CV"</f>
        <v>K RAMIREZ 001200229510060343CV</v>
      </c>
    </row>
    <row r="3173" spans="1:9" x14ac:dyDescent="0.25">
      <c r="E3173" s="7"/>
      <c r="F3173" t="s">
        <v>20</v>
      </c>
      <c r="G3173" s="10" t="s">
        <v>21</v>
      </c>
      <c r="H3173" t="str">
        <f>"CA2202106018612"</f>
        <v>CA2202106018612</v>
      </c>
      <c r="I3173" t="str">
        <f>"L HERNANDEZ 001016025203080354"</f>
        <v>L HERNANDEZ 001016025203080354</v>
      </c>
    </row>
    <row r="3174" spans="1:9" x14ac:dyDescent="0.25">
      <c r="E3174" s="7"/>
      <c r="F3174" t="s">
        <v>20</v>
      </c>
      <c r="G3174" s="10" t="s">
        <v>21</v>
      </c>
      <c r="H3174" t="str">
        <f>"CA3202106018612"</f>
        <v>CA3202106018612</v>
      </c>
      <c r="I3174" t="str">
        <f>"00120788612011EM5023JOLENEGARC"</f>
        <v>00120788612011EM5023JOLENEGARC</v>
      </c>
    </row>
    <row r="3175" spans="1:9" x14ac:dyDescent="0.25">
      <c r="E3175" s="7"/>
      <c r="F3175" t="s">
        <v>20</v>
      </c>
      <c r="G3175" s="10" t="s">
        <v>21</v>
      </c>
      <c r="H3175" t="str">
        <f>"CSA202106018612"</f>
        <v>CSA202106018612</v>
      </c>
      <c r="I3175" t="str">
        <f>"S RODRIGUEZ 001281730413050336"</f>
        <v>S RODRIGUEZ 001281730413050336</v>
      </c>
    </row>
    <row r="3176" spans="1:9" x14ac:dyDescent="0.25">
      <c r="E3176" s="7"/>
      <c r="F3176" t="s">
        <v>20</v>
      </c>
      <c r="G3176" s="10" t="s">
        <v>21</v>
      </c>
      <c r="H3176" t="str">
        <f>"CSI202106018612"</f>
        <v>CSI202106018612</v>
      </c>
      <c r="I3176" t="str">
        <f>"KTRINIDAD0014071774CVW2000777"</f>
        <v>KTRINIDAD0014071774CVW2000777</v>
      </c>
    </row>
    <row r="3177" spans="1:9" x14ac:dyDescent="0.25">
      <c r="A3177" s="6">
        <v>44348</v>
      </c>
      <c r="B3177" t="s">
        <v>26</v>
      </c>
      <c r="C3177">
        <v>66847</v>
      </c>
      <c r="D3177" t="s">
        <v>54</v>
      </c>
      <c r="E3177" s="7">
        <v>1164.93</v>
      </c>
      <c r="F3177" t="s">
        <v>20</v>
      </c>
      <c r="G3177" s="10" t="s">
        <v>21</v>
      </c>
      <c r="H3177" t="str">
        <f>"BRE202106018612"</f>
        <v>BRE202106018612</v>
      </c>
      <c r="I3177" t="str">
        <f>"CASE #180-60751 457B DEDUCT"</f>
        <v>CASE #180-60751 457B DEDUCT</v>
      </c>
    </row>
    <row r="3178" spans="1:9" x14ac:dyDescent="0.25">
      <c r="A3178" s="6">
        <v>44349</v>
      </c>
      <c r="B3178" t="s">
        <v>26</v>
      </c>
      <c r="C3178">
        <v>66849</v>
      </c>
      <c r="D3178" t="s">
        <v>1029</v>
      </c>
      <c r="E3178" s="7">
        <v>532.64</v>
      </c>
      <c r="F3178" t="s">
        <v>20</v>
      </c>
      <c r="G3178" s="10" t="s">
        <v>21</v>
      </c>
      <c r="H3178" t="str">
        <f>"CM TRNG /9-6/13/21"</f>
        <v>CM TRNG /9-6/13/21</v>
      </c>
      <c r="I3178" t="str">
        <f>"ANDY JOSLIN"</f>
        <v>ANDY JOSLIN</v>
      </c>
    </row>
    <row r="3179" spans="1:9" x14ac:dyDescent="0.25">
      <c r="A3179" s="6">
        <v>44349</v>
      </c>
      <c r="B3179" t="s">
        <v>26</v>
      </c>
      <c r="C3179">
        <v>66850</v>
      </c>
      <c r="D3179" t="s">
        <v>1052</v>
      </c>
      <c r="E3179" s="7">
        <v>135</v>
      </c>
      <c r="F3179" t="s">
        <v>20</v>
      </c>
      <c r="G3179" s="10" t="s">
        <v>21</v>
      </c>
      <c r="H3179" t="str">
        <f>"5/29-30/2021"</f>
        <v>5/29-30/2021</v>
      </c>
      <c r="I3179" t="str">
        <f>"ASHTYN SVEBODA"</f>
        <v>ASHTYN SVEBODA</v>
      </c>
    </row>
    <row r="3180" spans="1:9" x14ac:dyDescent="0.25">
      <c r="A3180" s="6">
        <v>44349</v>
      </c>
      <c r="B3180" t="s">
        <v>26</v>
      </c>
      <c r="C3180">
        <v>66851</v>
      </c>
      <c r="D3180" t="s">
        <v>1053</v>
      </c>
      <c r="E3180" s="7">
        <v>126294</v>
      </c>
      <c r="F3180" t="s">
        <v>20</v>
      </c>
      <c r="G3180" s="10" t="s">
        <v>21</v>
      </c>
      <c r="H3180" t="str">
        <f>"MD642-2022"</f>
        <v>MD642-2022</v>
      </c>
      <c r="I3180" t="str">
        <f>"BRUCKNER'S TRUCK &amp; EQUIPMENT"</f>
        <v>BRUCKNER'S TRUCK &amp; EQUIPMENT</v>
      </c>
    </row>
    <row r="3181" spans="1:9" x14ac:dyDescent="0.25">
      <c r="A3181" s="6">
        <v>44349</v>
      </c>
      <c r="B3181" t="s">
        <v>26</v>
      </c>
      <c r="C3181">
        <v>66852</v>
      </c>
      <c r="D3181" t="s">
        <v>1054</v>
      </c>
      <c r="E3181" s="7">
        <v>595</v>
      </c>
      <c r="F3181" t="s">
        <v>20</v>
      </c>
      <c r="G3181" s="10" t="s">
        <v>21</v>
      </c>
      <c r="H3181" t="str">
        <f>"INV0014"</f>
        <v>INV0014</v>
      </c>
      <c r="I3181" t="str">
        <f>"DAVID TRAVIESO"</f>
        <v>DAVID TRAVIESO</v>
      </c>
    </row>
    <row r="3182" spans="1:9" x14ac:dyDescent="0.25">
      <c r="A3182" s="6">
        <v>44349</v>
      </c>
      <c r="B3182" t="s">
        <v>26</v>
      </c>
      <c r="C3182">
        <v>66853</v>
      </c>
      <c r="D3182" t="s">
        <v>1055</v>
      </c>
      <c r="E3182" s="7">
        <v>125</v>
      </c>
      <c r="F3182" t="s">
        <v>20</v>
      </c>
      <c r="G3182" s="10" t="s">
        <v>21</v>
      </c>
      <c r="H3182" t="str">
        <f>"REFUND 5/23/2021"</f>
        <v>REFUND 5/23/2021</v>
      </c>
      <c r="I3182" t="str">
        <f>"REFUND"</f>
        <v>REFUND</v>
      </c>
    </row>
    <row r="3183" spans="1:9" x14ac:dyDescent="0.25">
      <c r="A3183" s="6">
        <v>44349</v>
      </c>
      <c r="B3183" t="s">
        <v>26</v>
      </c>
      <c r="C3183">
        <v>66854</v>
      </c>
      <c r="D3183" t="s">
        <v>872</v>
      </c>
      <c r="E3183" s="7">
        <v>130</v>
      </c>
      <c r="F3183" t="s">
        <v>20</v>
      </c>
      <c r="G3183" s="10" t="s">
        <v>21</v>
      </c>
      <c r="H3183" t="str">
        <f>"5/22/21   5/30/202"</f>
        <v>5/22/21   5/30/202</v>
      </c>
      <c r="I3183" t="str">
        <f>"DEVIN  DELAINE BENAVIDES"</f>
        <v>DEVIN  DELAINE BENAVIDES</v>
      </c>
    </row>
    <row r="3184" spans="1:9" x14ac:dyDescent="0.25">
      <c r="A3184" s="6">
        <v>44349</v>
      </c>
      <c r="B3184" t="s">
        <v>26</v>
      </c>
      <c r="C3184">
        <v>66855</v>
      </c>
      <c r="D3184" t="s">
        <v>85</v>
      </c>
      <c r="E3184" s="7">
        <v>885.57</v>
      </c>
      <c r="F3184" t="s">
        <v>20</v>
      </c>
      <c r="G3184" s="10" t="s">
        <v>21</v>
      </c>
      <c r="H3184" t="str">
        <f>"3932056 MAY2021"</f>
        <v>3932056 MAY2021</v>
      </c>
      <c r="I3184" t="str">
        <f>"FRONTIER"</f>
        <v>FRONTIER</v>
      </c>
    </row>
    <row r="3185" spans="1:9" x14ac:dyDescent="0.25">
      <c r="E3185" s="7"/>
      <c r="F3185" t="s">
        <v>20</v>
      </c>
      <c r="G3185" s="10" t="s">
        <v>21</v>
      </c>
      <c r="H3185" t="str">
        <f>"3933105 MAY 2021"</f>
        <v>3933105 MAY 2021</v>
      </c>
      <c r="I3185" t="str">
        <f>"FRONTIER"</f>
        <v>FRONTIER</v>
      </c>
    </row>
    <row r="3186" spans="1:9" x14ac:dyDescent="0.25">
      <c r="E3186" s="7"/>
      <c r="F3186" t="s">
        <v>20</v>
      </c>
      <c r="G3186" s="10" t="s">
        <v>21</v>
      </c>
      <c r="H3186" t="str">
        <f>"3933186 APR.2021"</f>
        <v>3933186 APR.2021</v>
      </c>
      <c r="I3186" t="str">
        <f>"FRONTIER"</f>
        <v>FRONTIER</v>
      </c>
    </row>
    <row r="3187" spans="1:9" x14ac:dyDescent="0.25">
      <c r="E3187" s="7"/>
      <c r="F3187" t="s">
        <v>20</v>
      </c>
      <c r="G3187" s="10" t="s">
        <v>21</v>
      </c>
      <c r="H3187" t="str">
        <f>"3936616 MAY2021"</f>
        <v>3936616 MAY2021</v>
      </c>
      <c r="I3187" t="str">
        <f>"FRONTIER"</f>
        <v>FRONTIER</v>
      </c>
    </row>
    <row r="3188" spans="1:9" x14ac:dyDescent="0.25">
      <c r="E3188" s="7"/>
      <c r="F3188" t="s">
        <v>20</v>
      </c>
      <c r="G3188" s="10" t="s">
        <v>21</v>
      </c>
      <c r="H3188" t="str">
        <f>"3939456 MAY2021"</f>
        <v>3939456 MAY2021</v>
      </c>
      <c r="I3188" t="str">
        <f>"FRONTIER"</f>
        <v>FRONTIER</v>
      </c>
    </row>
    <row r="3189" spans="1:9" x14ac:dyDescent="0.25">
      <c r="A3189" s="6">
        <v>44349</v>
      </c>
      <c r="B3189" t="s">
        <v>26</v>
      </c>
      <c r="C3189">
        <v>66857</v>
      </c>
      <c r="D3189" t="s">
        <v>956</v>
      </c>
      <c r="E3189" s="7">
        <v>1666.87</v>
      </c>
      <c r="F3189" t="s">
        <v>20</v>
      </c>
      <c r="G3189" s="10" t="s">
        <v>21</v>
      </c>
      <c r="H3189" t="str">
        <f>"868"</f>
        <v>868</v>
      </c>
      <c r="I3189" t="str">
        <f>"IMS OF TEXAS  LLC"</f>
        <v>IMS OF TEXAS  LLC</v>
      </c>
    </row>
    <row r="3190" spans="1:9" x14ac:dyDescent="0.25">
      <c r="A3190" s="6">
        <v>44349</v>
      </c>
      <c r="B3190" t="s">
        <v>26</v>
      </c>
      <c r="C3190">
        <v>66858</v>
      </c>
      <c r="D3190" t="s">
        <v>345</v>
      </c>
      <c r="E3190" s="7">
        <v>308</v>
      </c>
      <c r="F3190" t="s">
        <v>20</v>
      </c>
      <c r="G3190" s="10" t="s">
        <v>21</v>
      </c>
      <c r="H3190" t="str">
        <f>"6/1/2021"</f>
        <v>6/1/2021</v>
      </c>
      <c r="I3190" t="str">
        <f>"MICHAEL ISAAC MARTINEZ"</f>
        <v>MICHAEL ISAAC MARTINEZ</v>
      </c>
    </row>
    <row r="3191" spans="1:9" x14ac:dyDescent="0.25">
      <c r="A3191" s="6">
        <v>44349</v>
      </c>
      <c r="B3191" t="s">
        <v>26</v>
      </c>
      <c r="C3191">
        <v>66859</v>
      </c>
      <c r="D3191" t="s">
        <v>68</v>
      </c>
      <c r="E3191" s="7">
        <v>499</v>
      </c>
      <c r="F3191" t="s">
        <v>20</v>
      </c>
      <c r="G3191" s="10" t="s">
        <v>21</v>
      </c>
      <c r="H3191" t="str">
        <f>"0816299-IN"</f>
        <v>0816299-IN</v>
      </c>
      <c r="I3191" t="str">
        <f>"SOUTHWASTE DISPOSAL  LLP"</f>
        <v>SOUTHWASTE DISPOSAL  LLP</v>
      </c>
    </row>
    <row r="3192" spans="1:9" x14ac:dyDescent="0.25">
      <c r="A3192" s="6">
        <v>44349</v>
      </c>
      <c r="B3192" t="s">
        <v>26</v>
      </c>
      <c r="C3192">
        <v>66860</v>
      </c>
      <c r="D3192" t="s">
        <v>698</v>
      </c>
      <c r="E3192" s="7">
        <v>185</v>
      </c>
      <c r="F3192" t="s">
        <v>20</v>
      </c>
      <c r="G3192" s="10" t="s">
        <v>21</v>
      </c>
      <c r="H3192" t="str">
        <f>"5/22/2021"</f>
        <v>5/22/2021</v>
      </c>
      <c r="I3192" t="str">
        <f>"TRACY ORTIZ"</f>
        <v>TRACY ORTIZ</v>
      </c>
    </row>
    <row r="3193" spans="1:9" x14ac:dyDescent="0.25">
      <c r="A3193" s="6">
        <v>44349</v>
      </c>
      <c r="B3193" t="s">
        <v>26</v>
      </c>
      <c r="C3193">
        <v>66861</v>
      </c>
      <c r="D3193" t="s">
        <v>1056</v>
      </c>
      <c r="E3193" s="7">
        <v>125</v>
      </c>
      <c r="F3193" t="s">
        <v>20</v>
      </c>
      <c r="G3193" s="10" t="s">
        <v>21</v>
      </c>
      <c r="H3193" t="str">
        <f>"REFUND 5/23/21"</f>
        <v>REFUND 5/23/21</v>
      </c>
      <c r="I3193" t="str">
        <f>"REFUND"</f>
        <v>REFUND</v>
      </c>
    </row>
    <row r="3194" spans="1:9" x14ac:dyDescent="0.25">
      <c r="A3194" s="6">
        <v>44349</v>
      </c>
      <c r="B3194" t="s">
        <v>26</v>
      </c>
      <c r="C3194">
        <v>66862</v>
      </c>
      <c r="D3194" t="s">
        <v>80</v>
      </c>
      <c r="E3194" s="7">
        <v>1500</v>
      </c>
      <c r="F3194" t="s">
        <v>20</v>
      </c>
      <c r="G3194" s="10" t="s">
        <v>329</v>
      </c>
      <c r="H3194" t="str">
        <f>"2313-20210601-1*"</f>
        <v>2313-20210601-1*</v>
      </c>
      <c r="I3194" t="str">
        <f>"LVWIFI.COM"</f>
        <v>LVWIFI.COM</v>
      </c>
    </row>
    <row r="3195" spans="1:9" x14ac:dyDescent="0.25">
      <c r="E3195" s="7"/>
      <c r="F3195" t="s">
        <v>20</v>
      </c>
      <c r="G3195" s="10" t="s">
        <v>21</v>
      </c>
      <c r="H3195" t="str">
        <f>"1648-20210601-1"</f>
        <v>1648-20210601-1</v>
      </c>
      <c r="I3195" t="str">
        <f>"LVWIFI.COM"</f>
        <v>LVWIFI.COM</v>
      </c>
    </row>
    <row r="3196" spans="1:9" x14ac:dyDescent="0.25">
      <c r="E3196" s="7"/>
      <c r="F3196" t="s">
        <v>20</v>
      </c>
      <c r="G3196" s="10" t="s">
        <v>21</v>
      </c>
      <c r="H3196" t="str">
        <f>"2313-20210601-1"</f>
        <v>2313-20210601-1</v>
      </c>
      <c r="I3196" t="str">
        <f>"LVWIFI.COM"</f>
        <v>LVWIFI.COM</v>
      </c>
    </row>
    <row r="3197" spans="1:9" x14ac:dyDescent="0.25">
      <c r="A3197" s="6">
        <v>44349</v>
      </c>
      <c r="B3197" t="s">
        <v>26</v>
      </c>
      <c r="C3197">
        <v>66863</v>
      </c>
      <c r="D3197" t="s">
        <v>1053</v>
      </c>
      <c r="E3197" s="7">
        <v>126294</v>
      </c>
      <c r="F3197" t="s">
        <v>20</v>
      </c>
      <c r="G3197" s="10" t="s">
        <v>21</v>
      </c>
      <c r="H3197" t="str">
        <f>"PB330-2021"</f>
        <v>PB330-2021</v>
      </c>
      <c r="I3197" t="str">
        <f>"BRUCKNER'S TRUCK &amp; EQUIPMENT"</f>
        <v>BRUCKNER'S TRUCK &amp; EQUIPMENT</v>
      </c>
    </row>
    <row r="3198" spans="1:9" x14ac:dyDescent="0.25">
      <c r="A3198" s="6">
        <v>44349</v>
      </c>
      <c r="B3198" t="s">
        <v>26</v>
      </c>
      <c r="C3198">
        <v>66864</v>
      </c>
      <c r="D3198" t="s">
        <v>0</v>
      </c>
      <c r="E3198" s="7">
        <v>3437.02</v>
      </c>
      <c r="F3198" t="s">
        <v>20</v>
      </c>
      <c r="G3198" s="10" t="s">
        <v>21</v>
      </c>
      <c r="H3198" t="str">
        <f>"04/10-05/10/2021"</f>
        <v>04/10-05/10/2021</v>
      </c>
      <c r="I3198" t="str">
        <f>"CITY OF FLORESVILLE"</f>
        <v>CITY OF FLORESVILLE</v>
      </c>
    </row>
    <row r="3199" spans="1:9" x14ac:dyDescent="0.25">
      <c r="A3199" s="6">
        <v>44349</v>
      </c>
      <c r="B3199" t="s">
        <v>26</v>
      </c>
      <c r="C3199">
        <v>66865</v>
      </c>
      <c r="D3199" t="s">
        <v>1018</v>
      </c>
      <c r="E3199" s="7">
        <v>3200</v>
      </c>
      <c r="F3199" t="s">
        <v>20</v>
      </c>
      <c r="G3199" s="10" t="s">
        <v>21</v>
      </c>
      <c r="H3199" t="str">
        <f>"5/1-5/31/2021"</f>
        <v>5/1-5/31/2021</v>
      </c>
      <c r="I3199" t="str">
        <f>"LAW OFFICE OF JOSE GARZA"</f>
        <v>LAW OFFICE OF JOSE GARZA</v>
      </c>
    </row>
    <row r="3200" spans="1:9" x14ac:dyDescent="0.25">
      <c r="A3200" s="6">
        <v>44350</v>
      </c>
      <c r="B3200" t="s">
        <v>26</v>
      </c>
      <c r="C3200">
        <v>66866</v>
      </c>
      <c r="D3200" t="s">
        <v>637</v>
      </c>
      <c r="E3200" s="7">
        <v>75</v>
      </c>
      <c r="F3200" t="s">
        <v>20</v>
      </c>
      <c r="G3200" s="10" t="s">
        <v>21</v>
      </c>
      <c r="H3200" t="str">
        <f t="shared" ref="H3200:H3205" si="70">"06032021-COUNCIL"</f>
        <v>06032021-COUNCIL</v>
      </c>
      <c r="I3200" t="str">
        <f>""</f>
        <v/>
      </c>
    </row>
    <row r="3201" spans="1:9" x14ac:dyDescent="0.25">
      <c r="A3201" s="6">
        <v>44350</v>
      </c>
      <c r="B3201" t="s">
        <v>26</v>
      </c>
      <c r="C3201">
        <v>66867</v>
      </c>
      <c r="D3201" t="s">
        <v>36</v>
      </c>
      <c r="E3201" s="7">
        <v>75</v>
      </c>
      <c r="F3201" t="s">
        <v>20</v>
      </c>
      <c r="G3201" s="10" t="s">
        <v>21</v>
      </c>
      <c r="H3201" t="str">
        <f t="shared" si="70"/>
        <v>06032021-COUNCIL</v>
      </c>
      <c r="I3201" t="str">
        <f>""</f>
        <v/>
      </c>
    </row>
    <row r="3202" spans="1:9" x14ac:dyDescent="0.25">
      <c r="A3202" s="6">
        <v>44350</v>
      </c>
      <c r="B3202" t="s">
        <v>26</v>
      </c>
      <c r="C3202">
        <v>66868</v>
      </c>
      <c r="D3202" t="s">
        <v>38</v>
      </c>
      <c r="E3202" s="7">
        <v>100</v>
      </c>
      <c r="F3202" t="s">
        <v>20</v>
      </c>
      <c r="G3202" s="10" t="s">
        <v>21</v>
      </c>
      <c r="H3202" t="str">
        <f t="shared" si="70"/>
        <v>06032021-COUNCIL</v>
      </c>
      <c r="I3202" t="str">
        <f>""</f>
        <v/>
      </c>
    </row>
    <row r="3203" spans="1:9" x14ac:dyDescent="0.25">
      <c r="A3203" s="6">
        <v>44350</v>
      </c>
      <c r="B3203" t="s">
        <v>26</v>
      </c>
      <c r="C3203">
        <v>66869</v>
      </c>
      <c r="D3203" t="s">
        <v>558</v>
      </c>
      <c r="E3203" s="7">
        <v>75</v>
      </c>
      <c r="F3203" t="s">
        <v>20</v>
      </c>
      <c r="G3203" s="10" t="s">
        <v>21</v>
      </c>
      <c r="H3203" t="str">
        <f t="shared" si="70"/>
        <v>06032021-COUNCIL</v>
      </c>
      <c r="I3203" t="str">
        <f>"MONTHLY COUNCIL CHECKS"</f>
        <v>MONTHLY COUNCIL CHECKS</v>
      </c>
    </row>
    <row r="3204" spans="1:9" x14ac:dyDescent="0.25">
      <c r="A3204" s="6">
        <v>44350</v>
      </c>
      <c r="B3204" t="s">
        <v>26</v>
      </c>
      <c r="C3204">
        <v>66870</v>
      </c>
      <c r="D3204" t="s">
        <v>889</v>
      </c>
      <c r="E3204" s="7">
        <v>75</v>
      </c>
      <c r="F3204" t="s">
        <v>20</v>
      </c>
      <c r="G3204" s="10" t="s">
        <v>21</v>
      </c>
      <c r="H3204" t="str">
        <f t="shared" si="70"/>
        <v>06032021-COUNCIL</v>
      </c>
      <c r="I3204" t="str">
        <f>""</f>
        <v/>
      </c>
    </row>
    <row r="3205" spans="1:9" x14ac:dyDescent="0.25">
      <c r="A3205" s="6">
        <v>44350</v>
      </c>
      <c r="B3205" t="s">
        <v>26</v>
      </c>
      <c r="C3205">
        <v>66871</v>
      </c>
      <c r="D3205" t="s">
        <v>1011</v>
      </c>
      <c r="E3205" s="7">
        <v>75</v>
      </c>
      <c r="F3205" t="s">
        <v>20</v>
      </c>
      <c r="G3205" s="10" t="s">
        <v>21</v>
      </c>
      <c r="H3205" t="str">
        <f t="shared" si="70"/>
        <v>06032021-COUNCIL</v>
      </c>
      <c r="I3205" t="str">
        <f>""</f>
        <v/>
      </c>
    </row>
    <row r="3206" spans="1:9" x14ac:dyDescent="0.25">
      <c r="A3206" s="6">
        <v>44355</v>
      </c>
      <c r="B3206" t="s">
        <v>26</v>
      </c>
      <c r="C3206">
        <v>66872</v>
      </c>
      <c r="D3206" t="s">
        <v>1057</v>
      </c>
      <c r="E3206" s="7">
        <v>125</v>
      </c>
      <c r="F3206" t="s">
        <v>20</v>
      </c>
      <c r="G3206" s="10" t="s">
        <v>21</v>
      </c>
      <c r="H3206" t="str">
        <f>"POOL REFND 6/6/21"</f>
        <v>POOL REFND 6/6/21</v>
      </c>
      <c r="I3206" t="str">
        <f>"REFUND"</f>
        <v>REFUND</v>
      </c>
    </row>
    <row r="3207" spans="1:9" x14ac:dyDescent="0.25">
      <c r="A3207" s="6">
        <v>44355</v>
      </c>
      <c r="B3207" t="s">
        <v>26</v>
      </c>
      <c r="C3207">
        <v>66873</v>
      </c>
      <c r="D3207" t="s">
        <v>139</v>
      </c>
      <c r="E3207" s="7">
        <v>65</v>
      </c>
      <c r="F3207" t="s">
        <v>20</v>
      </c>
      <c r="G3207" s="10" t="s">
        <v>21</v>
      </c>
      <c r="H3207" t="str">
        <f>"32352"</f>
        <v>32352</v>
      </c>
      <c r="I3207" t="str">
        <f>"ANGEL FIRE &amp; SAFETY"</f>
        <v>ANGEL FIRE &amp; SAFETY</v>
      </c>
    </row>
    <row r="3208" spans="1:9" x14ac:dyDescent="0.25">
      <c r="A3208" s="6">
        <v>44355</v>
      </c>
      <c r="B3208" t="s">
        <v>26</v>
      </c>
      <c r="C3208">
        <v>66874</v>
      </c>
      <c r="D3208" t="s">
        <v>83</v>
      </c>
      <c r="E3208" s="7">
        <v>1080</v>
      </c>
      <c r="F3208" t="s">
        <v>20</v>
      </c>
      <c r="G3208" s="10" t="s">
        <v>21</v>
      </c>
      <c r="H3208" t="str">
        <f>"1598029"</f>
        <v>1598029</v>
      </c>
      <c r="I3208" t="str">
        <f>"APPRIVER"</f>
        <v>APPRIVER</v>
      </c>
    </row>
    <row r="3209" spans="1:9" x14ac:dyDescent="0.25">
      <c r="A3209" s="6">
        <v>44355</v>
      </c>
      <c r="B3209" t="s">
        <v>26</v>
      </c>
      <c r="C3209">
        <v>66875</v>
      </c>
      <c r="D3209" t="s">
        <v>781</v>
      </c>
      <c r="E3209" s="7">
        <v>65</v>
      </c>
      <c r="F3209" t="s">
        <v>20</v>
      </c>
      <c r="G3209" s="10" t="s">
        <v>21</v>
      </c>
      <c r="H3209" t="str">
        <f>"6/6/2021"</f>
        <v>6/6/2021</v>
      </c>
      <c r="I3209" t="str">
        <f>"ASHLEY MARTINEZ"</f>
        <v>ASHLEY MARTINEZ</v>
      </c>
    </row>
    <row r="3210" spans="1:9" x14ac:dyDescent="0.25">
      <c r="A3210" s="6">
        <v>44355</v>
      </c>
      <c r="B3210" t="s">
        <v>26</v>
      </c>
      <c r="C3210">
        <v>66876</v>
      </c>
      <c r="D3210" t="s">
        <v>821</v>
      </c>
      <c r="E3210" s="7">
        <v>4570.92</v>
      </c>
      <c r="F3210" t="s">
        <v>20</v>
      </c>
      <c r="G3210" s="10" t="s">
        <v>21</v>
      </c>
      <c r="H3210" t="str">
        <f>"NSI12321"</f>
        <v>NSI12321</v>
      </c>
      <c r="I3210" t="str">
        <f>"AUSTIN ARMATURE WORKS  LP"</f>
        <v>AUSTIN ARMATURE WORKS  LP</v>
      </c>
    </row>
    <row r="3211" spans="1:9" x14ac:dyDescent="0.25">
      <c r="A3211" s="6">
        <v>44355</v>
      </c>
      <c r="B3211" t="s">
        <v>26</v>
      </c>
      <c r="C3211">
        <v>66877</v>
      </c>
      <c r="D3211" t="s">
        <v>949</v>
      </c>
      <c r="E3211" s="7">
        <v>750</v>
      </c>
      <c r="F3211" t="s">
        <v>20</v>
      </c>
      <c r="G3211" s="10" t="s">
        <v>21</v>
      </c>
      <c r="H3211" t="str">
        <f>"17716"</f>
        <v>17716</v>
      </c>
      <c r="I3211" t="str">
        <f>"CAPS"</f>
        <v>CAPS</v>
      </c>
    </row>
    <row r="3212" spans="1:9" x14ac:dyDescent="0.25">
      <c r="A3212" s="6">
        <v>44355</v>
      </c>
      <c r="B3212" t="s">
        <v>26</v>
      </c>
      <c r="C3212">
        <v>66878</v>
      </c>
      <c r="D3212" t="s">
        <v>115</v>
      </c>
      <c r="E3212" s="7">
        <v>35.99</v>
      </c>
      <c r="F3212" t="s">
        <v>20</v>
      </c>
      <c r="G3212" s="10" t="s">
        <v>21</v>
      </c>
      <c r="H3212" t="str">
        <f>"3547920974"</f>
        <v>3547920974</v>
      </c>
      <c r="I3212" t="str">
        <f>"BATTERY FOR PD UNIT 327"</f>
        <v>BATTERY FOR PD UNIT 327</v>
      </c>
    </row>
    <row r="3213" spans="1:9" x14ac:dyDescent="0.25">
      <c r="A3213" s="6">
        <v>44355</v>
      </c>
      <c r="B3213" t="s">
        <v>26</v>
      </c>
      <c r="C3213">
        <v>66879</v>
      </c>
      <c r="D3213" t="s">
        <v>836</v>
      </c>
      <c r="E3213" s="7">
        <v>5472.56</v>
      </c>
      <c r="F3213" t="s">
        <v>20</v>
      </c>
      <c r="G3213" s="10" t="s">
        <v>21</v>
      </c>
      <c r="H3213" t="str">
        <f>"75433"</f>
        <v>75433</v>
      </c>
      <c r="I3213" t="str">
        <f>"BARCOM TECHNOLOGY SOLUTIONS  I"</f>
        <v>BARCOM TECHNOLOGY SOLUTIONS  I</v>
      </c>
    </row>
    <row r="3214" spans="1:9" x14ac:dyDescent="0.25">
      <c r="E3214" s="7"/>
      <c r="F3214" t="s">
        <v>20</v>
      </c>
      <c r="G3214" s="10" t="s">
        <v>21</v>
      </c>
      <c r="H3214" t="str">
        <f>"75434"</f>
        <v>75434</v>
      </c>
      <c r="I3214" t="str">
        <f>"BARCOM TECHNOLOGY SOLUTIONS  I"</f>
        <v>BARCOM TECHNOLOGY SOLUTIONS  I</v>
      </c>
    </row>
    <row r="3215" spans="1:9" x14ac:dyDescent="0.25">
      <c r="A3215" s="6">
        <v>44355</v>
      </c>
      <c r="B3215" t="s">
        <v>26</v>
      </c>
      <c r="C3215">
        <v>66880</v>
      </c>
      <c r="D3215" t="s">
        <v>867</v>
      </c>
      <c r="E3215" s="7">
        <v>488.6</v>
      </c>
      <c r="F3215" t="s">
        <v>20</v>
      </c>
      <c r="G3215" s="10" t="s">
        <v>21</v>
      </c>
      <c r="H3215" t="str">
        <f>"13-29917"</f>
        <v>13-29917</v>
      </c>
      <c r="I3215" t="str">
        <f>"SAFETY SUPPLIES"</f>
        <v>SAFETY SUPPLIES</v>
      </c>
    </row>
    <row r="3216" spans="1:9" x14ac:dyDescent="0.25">
      <c r="E3216" s="7"/>
      <c r="F3216" t="s">
        <v>20</v>
      </c>
      <c r="G3216" s="10" t="s">
        <v>21</v>
      </c>
      <c r="H3216" t="str">
        <f>"13-29918"</f>
        <v>13-29918</v>
      </c>
      <c r="I3216" t="str">
        <f>"SAFETY SUPPLIES"</f>
        <v>SAFETY SUPPLIES</v>
      </c>
    </row>
    <row r="3217" spans="1:9" x14ac:dyDescent="0.25">
      <c r="A3217" s="6">
        <v>44355</v>
      </c>
      <c r="B3217" t="s">
        <v>26</v>
      </c>
      <c r="C3217">
        <v>66881</v>
      </c>
      <c r="D3217" t="s">
        <v>63</v>
      </c>
      <c r="E3217" s="7">
        <v>415.52</v>
      </c>
      <c r="F3217" t="s">
        <v>20</v>
      </c>
      <c r="G3217" s="10" t="s">
        <v>21</v>
      </c>
      <c r="H3217" t="str">
        <f>"8405148009"</f>
        <v>8405148009</v>
      </c>
      <c r="I3217" t="str">
        <f>"CINTAS CORPORATION"</f>
        <v>CINTAS CORPORATION</v>
      </c>
    </row>
    <row r="3218" spans="1:9" x14ac:dyDescent="0.25">
      <c r="A3218" s="6">
        <v>44355</v>
      </c>
      <c r="B3218" t="s">
        <v>26</v>
      </c>
      <c r="C3218">
        <v>66882</v>
      </c>
      <c r="D3218" t="s">
        <v>71</v>
      </c>
      <c r="E3218" s="7">
        <v>3461.09</v>
      </c>
      <c r="F3218" t="s">
        <v>20</v>
      </c>
      <c r="G3218" s="10" t="s">
        <v>21</v>
      </c>
      <c r="H3218" t="str">
        <f>"40851622695"</f>
        <v>40851622695</v>
      </c>
      <c r="I3218" t="str">
        <f t="shared" ref="I3218:I3235" si="71">"CINTAS CORPORATION #087"</f>
        <v>CINTAS CORPORATION #087</v>
      </c>
    </row>
    <row r="3219" spans="1:9" x14ac:dyDescent="0.25">
      <c r="E3219" s="7"/>
      <c r="F3219" t="s">
        <v>20</v>
      </c>
      <c r="G3219" s="10" t="s">
        <v>21</v>
      </c>
      <c r="H3219" t="str">
        <f>"4085162698"</f>
        <v>4085162698</v>
      </c>
      <c r="I3219" t="str">
        <f t="shared" si="71"/>
        <v>CINTAS CORPORATION #087</v>
      </c>
    </row>
    <row r="3220" spans="1:9" x14ac:dyDescent="0.25">
      <c r="E3220" s="7"/>
      <c r="F3220" t="s">
        <v>20</v>
      </c>
      <c r="G3220" s="10" t="s">
        <v>21</v>
      </c>
      <c r="H3220" t="str">
        <f>"4085162701"</f>
        <v>4085162701</v>
      </c>
      <c r="I3220" t="str">
        <f t="shared" si="71"/>
        <v>CINTAS CORPORATION #087</v>
      </c>
    </row>
    <row r="3221" spans="1:9" x14ac:dyDescent="0.25">
      <c r="E3221" s="7"/>
      <c r="F3221" t="s">
        <v>20</v>
      </c>
      <c r="G3221" s="10" t="s">
        <v>21</v>
      </c>
      <c r="H3221" t="str">
        <f>"4085162714"</f>
        <v>4085162714</v>
      </c>
      <c r="I3221" t="str">
        <f t="shared" si="71"/>
        <v>CINTAS CORPORATION #087</v>
      </c>
    </row>
    <row r="3222" spans="1:9" x14ac:dyDescent="0.25">
      <c r="E3222" s="7"/>
      <c r="F3222" t="s">
        <v>20</v>
      </c>
      <c r="G3222" s="10" t="s">
        <v>21</v>
      </c>
      <c r="H3222" t="str">
        <f>"4085162717"</f>
        <v>4085162717</v>
      </c>
      <c r="I3222" t="str">
        <f t="shared" si="71"/>
        <v>CINTAS CORPORATION #087</v>
      </c>
    </row>
    <row r="3223" spans="1:9" x14ac:dyDescent="0.25">
      <c r="E3223" s="7"/>
      <c r="F3223" t="s">
        <v>20</v>
      </c>
      <c r="G3223" s="10" t="s">
        <v>21</v>
      </c>
      <c r="H3223" t="str">
        <f>"4085162772"</f>
        <v>4085162772</v>
      </c>
      <c r="I3223" t="str">
        <f t="shared" si="71"/>
        <v>CINTAS CORPORATION #087</v>
      </c>
    </row>
    <row r="3224" spans="1:9" x14ac:dyDescent="0.25">
      <c r="E3224" s="7"/>
      <c r="F3224" t="s">
        <v>20</v>
      </c>
      <c r="G3224" s="10" t="s">
        <v>21</v>
      </c>
      <c r="H3224" t="str">
        <f>"4085907590"</f>
        <v>4085907590</v>
      </c>
      <c r="I3224" t="str">
        <f t="shared" si="71"/>
        <v>CINTAS CORPORATION #087</v>
      </c>
    </row>
    <row r="3225" spans="1:9" x14ac:dyDescent="0.25">
      <c r="E3225" s="7"/>
      <c r="F3225" t="s">
        <v>20</v>
      </c>
      <c r="G3225" s="10" t="s">
        <v>21</v>
      </c>
      <c r="H3225" t="str">
        <f>"4085907598"</f>
        <v>4085907598</v>
      </c>
      <c r="I3225" t="str">
        <f t="shared" si="71"/>
        <v>CINTAS CORPORATION #087</v>
      </c>
    </row>
    <row r="3226" spans="1:9" x14ac:dyDescent="0.25">
      <c r="E3226" s="7"/>
      <c r="F3226" t="s">
        <v>20</v>
      </c>
      <c r="G3226" s="10" t="s">
        <v>21</v>
      </c>
      <c r="H3226" t="str">
        <f>"4085907604"</f>
        <v>4085907604</v>
      </c>
      <c r="I3226" t="str">
        <f t="shared" si="71"/>
        <v>CINTAS CORPORATION #087</v>
      </c>
    </row>
    <row r="3227" spans="1:9" x14ac:dyDescent="0.25">
      <c r="E3227" s="7"/>
      <c r="F3227" t="s">
        <v>20</v>
      </c>
      <c r="G3227" s="10" t="s">
        <v>21</v>
      </c>
      <c r="H3227" t="str">
        <f>"4085907610"</f>
        <v>4085907610</v>
      </c>
      <c r="I3227" t="str">
        <f t="shared" si="71"/>
        <v>CINTAS CORPORATION #087</v>
      </c>
    </row>
    <row r="3228" spans="1:9" x14ac:dyDescent="0.25">
      <c r="E3228" s="7"/>
      <c r="F3228" t="s">
        <v>20</v>
      </c>
      <c r="G3228" s="10" t="s">
        <v>21</v>
      </c>
      <c r="H3228" t="str">
        <f>"4085907637"</f>
        <v>4085907637</v>
      </c>
      <c r="I3228" t="str">
        <f t="shared" si="71"/>
        <v>CINTAS CORPORATION #087</v>
      </c>
    </row>
    <row r="3229" spans="1:9" x14ac:dyDescent="0.25">
      <c r="E3229" s="7"/>
      <c r="F3229" t="s">
        <v>20</v>
      </c>
      <c r="G3229" s="10" t="s">
        <v>21</v>
      </c>
      <c r="H3229" t="str">
        <f>"4085907682"</f>
        <v>4085907682</v>
      </c>
      <c r="I3229" t="str">
        <f t="shared" si="71"/>
        <v>CINTAS CORPORATION #087</v>
      </c>
    </row>
    <row r="3230" spans="1:9" x14ac:dyDescent="0.25">
      <c r="E3230" s="7"/>
      <c r="F3230" t="s">
        <v>20</v>
      </c>
      <c r="G3230" s="10" t="s">
        <v>21</v>
      </c>
      <c r="H3230" t="str">
        <f>"4086462375"</f>
        <v>4086462375</v>
      </c>
      <c r="I3230" t="str">
        <f t="shared" si="71"/>
        <v>CINTAS CORPORATION #087</v>
      </c>
    </row>
    <row r="3231" spans="1:9" x14ac:dyDescent="0.25">
      <c r="E3231" s="7"/>
      <c r="F3231" t="s">
        <v>20</v>
      </c>
      <c r="G3231" s="10" t="s">
        <v>21</v>
      </c>
      <c r="H3231" t="str">
        <f>"4086462388"</f>
        <v>4086462388</v>
      </c>
      <c r="I3231" t="str">
        <f t="shared" si="71"/>
        <v>CINTAS CORPORATION #087</v>
      </c>
    </row>
    <row r="3232" spans="1:9" x14ac:dyDescent="0.25">
      <c r="E3232" s="7"/>
      <c r="F3232" t="s">
        <v>20</v>
      </c>
      <c r="G3232" s="10" t="s">
        <v>21</v>
      </c>
      <c r="H3232" t="str">
        <f>"4086462401"</f>
        <v>4086462401</v>
      </c>
      <c r="I3232" t="str">
        <f t="shared" si="71"/>
        <v>CINTAS CORPORATION #087</v>
      </c>
    </row>
    <row r="3233" spans="1:9" x14ac:dyDescent="0.25">
      <c r="E3233" s="7"/>
      <c r="F3233" t="s">
        <v>20</v>
      </c>
      <c r="G3233" s="10" t="s">
        <v>21</v>
      </c>
      <c r="H3233" t="str">
        <f>"4086462449"</f>
        <v>4086462449</v>
      </c>
      <c r="I3233" t="str">
        <f t="shared" si="71"/>
        <v>CINTAS CORPORATION #087</v>
      </c>
    </row>
    <row r="3234" spans="1:9" x14ac:dyDescent="0.25">
      <c r="E3234" s="7"/>
      <c r="F3234" t="s">
        <v>20</v>
      </c>
      <c r="G3234" s="10" t="s">
        <v>21</v>
      </c>
      <c r="H3234" t="str">
        <f>"4086462474"</f>
        <v>4086462474</v>
      </c>
      <c r="I3234" t="str">
        <f t="shared" si="71"/>
        <v>CINTAS CORPORATION #087</v>
      </c>
    </row>
    <row r="3235" spans="1:9" x14ac:dyDescent="0.25">
      <c r="E3235" s="7"/>
      <c r="F3235" t="s">
        <v>20</v>
      </c>
      <c r="G3235" s="10" t="s">
        <v>21</v>
      </c>
      <c r="H3235" t="str">
        <f>"4086462486"</f>
        <v>4086462486</v>
      </c>
      <c r="I3235" t="str">
        <f t="shared" si="71"/>
        <v>CINTAS CORPORATION #087</v>
      </c>
    </row>
    <row r="3236" spans="1:9" x14ac:dyDescent="0.25">
      <c r="A3236" s="6">
        <v>44355</v>
      </c>
      <c r="B3236" t="s">
        <v>26</v>
      </c>
      <c r="C3236">
        <v>66886</v>
      </c>
      <c r="D3236" t="s">
        <v>661</v>
      </c>
      <c r="E3236" s="7">
        <v>99</v>
      </c>
      <c r="F3236" t="s">
        <v>20</v>
      </c>
      <c r="G3236" s="10" t="s">
        <v>21</v>
      </c>
      <c r="H3236" t="str">
        <f>"8405163040"</f>
        <v>8405163040</v>
      </c>
      <c r="I3236" t="str">
        <f>"CINTAS FAS LOCKBOX 631025"</f>
        <v>CINTAS FAS LOCKBOX 631025</v>
      </c>
    </row>
    <row r="3237" spans="1:9" x14ac:dyDescent="0.25">
      <c r="A3237" s="6">
        <v>44355</v>
      </c>
      <c r="B3237" t="s">
        <v>26</v>
      </c>
      <c r="C3237">
        <v>66887</v>
      </c>
      <c r="D3237" t="s">
        <v>180</v>
      </c>
      <c r="E3237" s="7">
        <v>197.51</v>
      </c>
      <c r="F3237" t="s">
        <v>20</v>
      </c>
      <c r="G3237" s="10" t="s">
        <v>21</v>
      </c>
      <c r="H3237" t="str">
        <f>"2105-079326"</f>
        <v>2105-079326</v>
      </c>
      <c r="I3237" t="str">
        <f>"PAINT SUPPLIES"</f>
        <v>PAINT SUPPLIES</v>
      </c>
    </row>
    <row r="3238" spans="1:9" x14ac:dyDescent="0.25">
      <c r="E3238" s="7"/>
      <c r="F3238" t="s">
        <v>20</v>
      </c>
      <c r="G3238" s="10" t="s">
        <v>21</v>
      </c>
      <c r="H3238" t="str">
        <f>"2105-081565"</f>
        <v>2105-081565</v>
      </c>
      <c r="I3238" t="str">
        <f>"MOSQUITO SPRAY"</f>
        <v>MOSQUITO SPRAY</v>
      </c>
    </row>
    <row r="3239" spans="1:9" x14ac:dyDescent="0.25">
      <c r="A3239" s="6">
        <v>44355</v>
      </c>
      <c r="B3239" t="s">
        <v>26</v>
      </c>
      <c r="C3239">
        <v>66888</v>
      </c>
      <c r="D3239" t="s">
        <v>77</v>
      </c>
      <c r="E3239" s="7">
        <v>2396.6</v>
      </c>
      <c r="F3239" t="s">
        <v>20</v>
      </c>
      <c r="G3239" s="10" t="s">
        <v>21</v>
      </c>
      <c r="H3239" t="str">
        <f>"857001047-21"</f>
        <v>857001047-21</v>
      </c>
      <c r="I3239" t="str">
        <f>"DPC INDUSTRIES  INC."</f>
        <v>DPC INDUSTRIES  INC.</v>
      </c>
    </row>
    <row r="3240" spans="1:9" x14ac:dyDescent="0.25">
      <c r="E3240" s="7"/>
      <c r="F3240" t="s">
        <v>20</v>
      </c>
      <c r="G3240" s="10" t="s">
        <v>21</v>
      </c>
      <c r="H3240" t="str">
        <f>"857001080-21"</f>
        <v>857001080-21</v>
      </c>
      <c r="I3240" t="str">
        <f>"CHLORINE"</f>
        <v>CHLORINE</v>
      </c>
    </row>
    <row r="3241" spans="1:9" x14ac:dyDescent="0.25">
      <c r="E3241" s="7"/>
      <c r="F3241" t="s">
        <v>20</v>
      </c>
      <c r="G3241" s="10" t="s">
        <v>21</v>
      </c>
      <c r="H3241" t="str">
        <f>"857001089-21"</f>
        <v>857001089-21</v>
      </c>
      <c r="I3241" t="str">
        <f>"CHLORINE"</f>
        <v>CHLORINE</v>
      </c>
    </row>
    <row r="3242" spans="1:9" x14ac:dyDescent="0.25">
      <c r="E3242" s="7"/>
      <c r="F3242" t="s">
        <v>20</v>
      </c>
      <c r="G3242" s="10" t="s">
        <v>21</v>
      </c>
      <c r="H3242" t="str">
        <f>"857001090-21"</f>
        <v>857001090-21</v>
      </c>
      <c r="I3242" t="str">
        <f>"CHLORINE"</f>
        <v>CHLORINE</v>
      </c>
    </row>
    <row r="3243" spans="1:9" x14ac:dyDescent="0.25">
      <c r="A3243" s="6">
        <v>44355</v>
      </c>
      <c r="B3243" t="s">
        <v>26</v>
      </c>
      <c r="C3243">
        <v>66890</v>
      </c>
      <c r="D3243" t="s">
        <v>64</v>
      </c>
      <c r="E3243" s="7">
        <v>3852</v>
      </c>
      <c r="F3243" t="s">
        <v>20</v>
      </c>
      <c r="G3243" s="10" t="s">
        <v>21</v>
      </c>
      <c r="H3243" t="str">
        <f>"8497"</f>
        <v>8497</v>
      </c>
      <c r="I3243" t="str">
        <f>"DREWA DESIGNS  INC."</f>
        <v>DREWA DESIGNS  INC.</v>
      </c>
    </row>
    <row r="3244" spans="1:9" x14ac:dyDescent="0.25">
      <c r="A3244" s="6">
        <v>44355</v>
      </c>
      <c r="B3244" t="s">
        <v>26</v>
      </c>
      <c r="C3244">
        <v>66891</v>
      </c>
      <c r="D3244" t="s">
        <v>69</v>
      </c>
      <c r="E3244" s="7">
        <v>123.67</v>
      </c>
      <c r="F3244" t="s">
        <v>20</v>
      </c>
      <c r="G3244" s="10" t="s">
        <v>21</v>
      </c>
      <c r="H3244" t="str">
        <f>"3C07917"</f>
        <v>3C07917</v>
      </c>
      <c r="I3244" t="str">
        <f>"BATTERY TRACTOR"</f>
        <v>BATTERY TRACTOR</v>
      </c>
    </row>
    <row r="3245" spans="1:9" x14ac:dyDescent="0.25">
      <c r="A3245" s="6">
        <v>44355</v>
      </c>
      <c r="B3245" t="s">
        <v>26</v>
      </c>
      <c r="C3245">
        <v>66892</v>
      </c>
      <c r="D3245" t="s">
        <v>79</v>
      </c>
      <c r="E3245" s="7">
        <v>66.73</v>
      </c>
      <c r="F3245" t="s">
        <v>20</v>
      </c>
      <c r="G3245" s="10" t="s">
        <v>21</v>
      </c>
      <c r="H3245" t="str">
        <f>"7-384-94972"</f>
        <v>7-384-94972</v>
      </c>
      <c r="I3245" t="str">
        <f>"FEDEX"</f>
        <v>FEDEX</v>
      </c>
    </row>
    <row r="3246" spans="1:9" x14ac:dyDescent="0.25">
      <c r="A3246" s="6">
        <v>44355</v>
      </c>
      <c r="B3246" t="s">
        <v>26</v>
      </c>
      <c r="C3246">
        <v>66893</v>
      </c>
      <c r="D3246" t="s">
        <v>59</v>
      </c>
      <c r="E3246" s="7">
        <v>4012.46</v>
      </c>
      <c r="F3246" t="s">
        <v>20</v>
      </c>
      <c r="G3246" s="10" t="s">
        <v>21</v>
      </c>
      <c r="H3246" t="str">
        <f>"1115846-1"</f>
        <v>1115846-1</v>
      </c>
      <c r="I3246" t="str">
        <f>"FERGUSON WATERWORKS - MUNICIPA"</f>
        <v>FERGUSON WATERWORKS - MUNICIPA</v>
      </c>
    </row>
    <row r="3247" spans="1:9" x14ac:dyDescent="0.25">
      <c r="E3247" s="7"/>
      <c r="F3247" t="s">
        <v>20</v>
      </c>
      <c r="G3247" s="10" t="s">
        <v>21</v>
      </c>
      <c r="H3247" t="str">
        <f>"1119419"</f>
        <v>1119419</v>
      </c>
      <c r="I3247" t="str">
        <f>"TEST BALLS/HOSE"</f>
        <v>TEST BALLS/HOSE</v>
      </c>
    </row>
    <row r="3248" spans="1:9" x14ac:dyDescent="0.25">
      <c r="E3248" s="7"/>
      <c r="F3248" t="s">
        <v>20</v>
      </c>
      <c r="G3248" s="10" t="s">
        <v>21</v>
      </c>
      <c r="H3248" t="str">
        <f>"1119597"</f>
        <v>1119597</v>
      </c>
      <c r="I3248" t="str">
        <f>"TOOLS/SUPPLIES"</f>
        <v>TOOLS/SUPPLIES</v>
      </c>
    </row>
    <row r="3249" spans="1:9" x14ac:dyDescent="0.25">
      <c r="E3249" s="7"/>
      <c r="F3249" t="s">
        <v>20</v>
      </c>
      <c r="G3249" s="10" t="s">
        <v>21</v>
      </c>
      <c r="H3249" t="str">
        <f>"1119597/1119597-1"</f>
        <v>1119597/1119597-1</v>
      </c>
      <c r="I3249" t="str">
        <f>"TOOLS/SUPPLIES"</f>
        <v>TOOLS/SUPPLIES</v>
      </c>
    </row>
    <row r="3250" spans="1:9" x14ac:dyDescent="0.25">
      <c r="A3250" s="6">
        <v>44355</v>
      </c>
      <c r="B3250" t="s">
        <v>26</v>
      </c>
      <c r="C3250">
        <v>66894</v>
      </c>
      <c r="D3250" t="s">
        <v>739</v>
      </c>
      <c r="E3250" s="7">
        <v>1531.58</v>
      </c>
      <c r="F3250" t="s">
        <v>20</v>
      </c>
      <c r="G3250" s="10" t="s">
        <v>21</v>
      </c>
      <c r="H3250" t="str">
        <f>"5286XX05272021"</f>
        <v>5286XX05272021</v>
      </c>
      <c r="I3250" t="str">
        <f>"FIRSTNET/AT&amp;T MOBILITY LLC"</f>
        <v>FIRSTNET/AT&amp;T MOBILITY LLC</v>
      </c>
    </row>
    <row r="3251" spans="1:9" x14ac:dyDescent="0.25">
      <c r="A3251" s="6">
        <v>44355</v>
      </c>
      <c r="B3251" t="s">
        <v>26</v>
      </c>
      <c r="C3251">
        <v>66895</v>
      </c>
      <c r="D3251" t="s">
        <v>85</v>
      </c>
      <c r="E3251" s="7">
        <v>3251.86</v>
      </c>
      <c r="F3251" t="s">
        <v>20</v>
      </c>
      <c r="G3251" s="10" t="s">
        <v>21</v>
      </c>
      <c r="H3251" t="str">
        <f>"3934055 MAY 2021"</f>
        <v>3934055 MAY 2021</v>
      </c>
      <c r="I3251" t="str">
        <f>"FRONTIER"</f>
        <v>FRONTIER</v>
      </c>
    </row>
    <row r="3252" spans="1:9" x14ac:dyDescent="0.25">
      <c r="E3252" s="7"/>
      <c r="F3252" t="s">
        <v>20</v>
      </c>
      <c r="G3252" s="10" t="s">
        <v>21</v>
      </c>
      <c r="H3252" t="str">
        <f>"3937070 MAY 2021"</f>
        <v>3937070 MAY 2021</v>
      </c>
      <c r="I3252" t="str">
        <f>"FRONTIER"</f>
        <v>FRONTIER</v>
      </c>
    </row>
    <row r="3253" spans="1:9" x14ac:dyDescent="0.25">
      <c r="E3253" s="7"/>
      <c r="F3253" t="s">
        <v>20</v>
      </c>
      <c r="G3253" s="10" t="s">
        <v>21</v>
      </c>
      <c r="H3253" t="str">
        <f>"8301970025 MAY2021"</f>
        <v>8301970025 MAY2021</v>
      </c>
      <c r="I3253" t="str">
        <f>"FRONTIER"</f>
        <v>FRONTIER</v>
      </c>
    </row>
    <row r="3254" spans="1:9" x14ac:dyDescent="0.25">
      <c r="E3254" s="7"/>
      <c r="F3254" t="s">
        <v>20</v>
      </c>
      <c r="G3254" s="10" t="s">
        <v>21</v>
      </c>
      <c r="H3254" t="str">
        <f>"8301970046 4/2021"</f>
        <v>8301970046 4/2021</v>
      </c>
      <c r="I3254" t="str">
        <f>"FRONTIER"</f>
        <v>FRONTIER</v>
      </c>
    </row>
    <row r="3255" spans="1:9" x14ac:dyDescent="0.25">
      <c r="A3255" s="6">
        <v>44355</v>
      </c>
      <c r="B3255" t="s">
        <v>26</v>
      </c>
      <c r="C3255">
        <v>66897</v>
      </c>
      <c r="D3255" t="s">
        <v>56</v>
      </c>
      <c r="E3255" s="7">
        <v>43.95</v>
      </c>
      <c r="F3255" t="s">
        <v>20</v>
      </c>
      <c r="G3255" s="10" t="s">
        <v>21</v>
      </c>
      <c r="H3255" t="str">
        <f>"193242"</f>
        <v>193242</v>
      </c>
      <c r="I3255" t="str">
        <f>"GERALD LUBIANSKI ENTERPRISES"</f>
        <v>GERALD LUBIANSKI ENTERPRISES</v>
      </c>
    </row>
    <row r="3256" spans="1:9" x14ac:dyDescent="0.25">
      <c r="E3256" s="7"/>
      <c r="F3256" t="s">
        <v>20</v>
      </c>
      <c r="G3256" s="10" t="s">
        <v>21</v>
      </c>
      <c r="H3256" t="str">
        <f>"193443"</f>
        <v>193443</v>
      </c>
      <c r="I3256" t="str">
        <f>"GERALD LUBIANSKI ENTERPRISES"</f>
        <v>GERALD LUBIANSKI ENTERPRISES</v>
      </c>
    </row>
    <row r="3257" spans="1:9" x14ac:dyDescent="0.25">
      <c r="E3257" s="7"/>
      <c r="F3257" t="s">
        <v>20</v>
      </c>
      <c r="G3257" s="10" t="s">
        <v>21</v>
      </c>
      <c r="H3257" t="str">
        <f>"193603"</f>
        <v>193603</v>
      </c>
      <c r="I3257" t="str">
        <f>"DOG FOOD"</f>
        <v>DOG FOOD</v>
      </c>
    </row>
    <row r="3258" spans="1:9" x14ac:dyDescent="0.25">
      <c r="A3258" s="6">
        <v>44355</v>
      </c>
      <c r="B3258" t="s">
        <v>26</v>
      </c>
      <c r="C3258">
        <v>66898</v>
      </c>
      <c r="D3258" t="s">
        <v>426</v>
      </c>
      <c r="E3258" s="7">
        <v>99.99</v>
      </c>
      <c r="F3258" t="s">
        <v>20</v>
      </c>
      <c r="G3258" s="10" t="s">
        <v>21</v>
      </c>
      <c r="H3258" t="str">
        <f>"INV0843614"</f>
        <v>INV0843614</v>
      </c>
      <c r="I3258" t="str">
        <f>"GT DISTRIBUTORS  INC."</f>
        <v>GT DISTRIBUTORS  INC.</v>
      </c>
    </row>
    <row r="3259" spans="1:9" x14ac:dyDescent="0.25">
      <c r="A3259" s="6">
        <v>44355</v>
      </c>
      <c r="B3259" t="s">
        <v>26</v>
      </c>
      <c r="C3259">
        <v>66899</v>
      </c>
      <c r="D3259" t="s">
        <v>398</v>
      </c>
      <c r="E3259" s="7">
        <v>56.5</v>
      </c>
      <c r="F3259" t="s">
        <v>20</v>
      </c>
      <c r="G3259" s="10" t="s">
        <v>21</v>
      </c>
      <c r="H3259" t="str">
        <f>"20210602"</f>
        <v>20210602</v>
      </c>
      <c r="I3259" t="str">
        <f>"INTERCEPTOR TECHNOLOGY GROUP L"</f>
        <v>INTERCEPTOR TECHNOLOGY GROUP L</v>
      </c>
    </row>
    <row r="3260" spans="1:9" x14ac:dyDescent="0.25">
      <c r="A3260" s="6">
        <v>44355</v>
      </c>
      <c r="B3260" t="s">
        <v>26</v>
      </c>
      <c r="C3260">
        <v>66900</v>
      </c>
      <c r="D3260" t="s">
        <v>125</v>
      </c>
      <c r="E3260" s="7">
        <v>1995</v>
      </c>
      <c r="F3260" t="s">
        <v>20</v>
      </c>
      <c r="G3260" s="10" t="s">
        <v>21</v>
      </c>
      <c r="H3260" t="str">
        <f>"21-0020 MAY 2021"</f>
        <v>21-0020 MAY 2021</v>
      </c>
      <c r="I3260" t="str">
        <f>"INTREPID SURVEYING CORPORATION"</f>
        <v>INTREPID SURVEYING CORPORATION</v>
      </c>
    </row>
    <row r="3261" spans="1:9" x14ac:dyDescent="0.25">
      <c r="A3261" s="6">
        <v>44355</v>
      </c>
      <c r="B3261" t="s">
        <v>26</v>
      </c>
      <c r="C3261">
        <v>66901</v>
      </c>
      <c r="D3261" t="s">
        <v>107</v>
      </c>
      <c r="E3261" s="7">
        <v>44.18</v>
      </c>
      <c r="F3261" t="s">
        <v>20</v>
      </c>
      <c r="G3261" s="10" t="s">
        <v>21</v>
      </c>
      <c r="H3261" t="str">
        <f>"1166960-20210430"</f>
        <v>1166960-20210430</v>
      </c>
      <c r="I3261" t="str">
        <f>"LEXISNEXIS RISK SOLUTIONS"</f>
        <v>LEXISNEXIS RISK SOLUTIONS</v>
      </c>
    </row>
    <row r="3262" spans="1:9" x14ac:dyDescent="0.25">
      <c r="A3262" s="6">
        <v>44355</v>
      </c>
      <c r="B3262" t="s">
        <v>26</v>
      </c>
      <c r="C3262">
        <v>66902</v>
      </c>
      <c r="D3262" t="s">
        <v>124</v>
      </c>
      <c r="E3262" s="7">
        <v>252.19</v>
      </c>
      <c r="F3262" t="s">
        <v>20</v>
      </c>
      <c r="G3262" s="10" t="s">
        <v>21</v>
      </c>
      <c r="H3262" t="str">
        <f>"11106207"</f>
        <v>11106207</v>
      </c>
      <c r="I3262" t="str">
        <f>"MATERIALS FOR STEPS"</f>
        <v>MATERIALS FOR STEPS</v>
      </c>
    </row>
    <row r="3263" spans="1:9" x14ac:dyDescent="0.25">
      <c r="A3263" s="6">
        <v>44355</v>
      </c>
      <c r="B3263" t="s">
        <v>26</v>
      </c>
      <c r="C3263">
        <v>66903</v>
      </c>
      <c r="D3263" t="s">
        <v>240</v>
      </c>
      <c r="E3263" s="7">
        <v>115.7</v>
      </c>
      <c r="F3263" t="s">
        <v>20</v>
      </c>
      <c r="G3263" s="10" t="s">
        <v>21</v>
      </c>
      <c r="H3263" t="str">
        <f>"0209774-IN"</f>
        <v>0209774-IN</v>
      </c>
      <c r="I3263" t="str">
        <f>"NARDIS PUBLIC SAFETY"</f>
        <v>NARDIS PUBLIC SAFETY</v>
      </c>
    </row>
    <row r="3264" spans="1:9" x14ac:dyDescent="0.25">
      <c r="A3264" s="6">
        <v>44355</v>
      </c>
      <c r="B3264" t="s">
        <v>26</v>
      </c>
      <c r="C3264">
        <v>66904</v>
      </c>
      <c r="D3264" t="s">
        <v>215</v>
      </c>
      <c r="E3264" s="7">
        <v>4117.5600000000004</v>
      </c>
      <c r="F3264" t="s">
        <v>20</v>
      </c>
      <c r="G3264" s="10" t="s">
        <v>21</v>
      </c>
      <c r="H3264" t="str">
        <f>"660469"</f>
        <v>660469</v>
      </c>
      <c r="I3264" t="str">
        <f>"PAJARITO LIFT STATION"</f>
        <v>PAJARITO LIFT STATION</v>
      </c>
    </row>
    <row r="3265" spans="1:9" x14ac:dyDescent="0.25">
      <c r="E3265" s="7"/>
      <c r="F3265" t="s">
        <v>20</v>
      </c>
      <c r="G3265" s="10" t="s">
        <v>21</v>
      </c>
      <c r="H3265" t="str">
        <f>"660471"</f>
        <v>660471</v>
      </c>
      <c r="I3265" t="str">
        <f>"HYDROMATIC PUMP"</f>
        <v>HYDROMATIC PUMP</v>
      </c>
    </row>
    <row r="3266" spans="1:9" x14ac:dyDescent="0.25">
      <c r="A3266" s="6">
        <v>44355</v>
      </c>
      <c r="B3266" t="s">
        <v>26</v>
      </c>
      <c r="C3266">
        <v>66905</v>
      </c>
      <c r="D3266" t="s">
        <v>137</v>
      </c>
      <c r="E3266" s="7">
        <v>69.95</v>
      </c>
      <c r="F3266" t="s">
        <v>20</v>
      </c>
      <c r="G3266" s="10" t="s">
        <v>21</v>
      </c>
      <c r="H3266" t="str">
        <f>"24724"</f>
        <v>24724</v>
      </c>
      <c r="I3266" t="str">
        <f>"OMNIBUS-M  INC.D.B.A."</f>
        <v>OMNIBUS-M  INC.D.B.A.</v>
      </c>
    </row>
    <row r="3267" spans="1:9" x14ac:dyDescent="0.25">
      <c r="A3267" s="6">
        <v>44355</v>
      </c>
      <c r="B3267" t="s">
        <v>26</v>
      </c>
      <c r="C3267">
        <v>66906</v>
      </c>
      <c r="D3267" t="s">
        <v>62</v>
      </c>
      <c r="E3267" s="7">
        <v>225.25</v>
      </c>
      <c r="F3267" t="s">
        <v>20</v>
      </c>
      <c r="G3267" s="10" t="s">
        <v>21</v>
      </c>
      <c r="H3267" t="str">
        <f>"73855"</f>
        <v>73855</v>
      </c>
      <c r="I3267" t="str">
        <f>"PROFICIENT BENEFIT SOLUTIONS"</f>
        <v>PROFICIENT BENEFIT SOLUTIONS</v>
      </c>
    </row>
    <row r="3268" spans="1:9" x14ac:dyDescent="0.25">
      <c r="A3268" s="6">
        <v>44355</v>
      </c>
      <c r="B3268" t="s">
        <v>26</v>
      </c>
      <c r="C3268">
        <v>66907</v>
      </c>
      <c r="D3268" t="s">
        <v>273</v>
      </c>
      <c r="E3268" s="7">
        <v>1161.1300000000001</v>
      </c>
      <c r="F3268" t="s">
        <v>20</v>
      </c>
      <c r="G3268" s="10" t="s">
        <v>21</v>
      </c>
      <c r="H3268" t="str">
        <f>"5119-000097577"</f>
        <v>5119-000097577</v>
      </c>
      <c r="I3268" t="str">
        <f>"REPUBLIC SERVICES TESSMAN ROAD"</f>
        <v>REPUBLIC SERVICES TESSMAN ROAD</v>
      </c>
    </row>
    <row r="3269" spans="1:9" x14ac:dyDescent="0.25">
      <c r="A3269" s="6">
        <v>44355</v>
      </c>
      <c r="B3269" t="s">
        <v>26</v>
      </c>
      <c r="C3269">
        <v>66908</v>
      </c>
      <c r="D3269" t="s">
        <v>524</v>
      </c>
      <c r="E3269" s="7">
        <v>5000</v>
      </c>
      <c r="F3269" t="s">
        <v>20</v>
      </c>
      <c r="G3269" s="10" t="s">
        <v>21</v>
      </c>
      <c r="H3269" t="str">
        <f>"00010127"</f>
        <v>00010127</v>
      </c>
      <c r="I3269" t="str">
        <f>"CITY PARK REPAIR"</f>
        <v>CITY PARK REPAIR</v>
      </c>
    </row>
    <row r="3270" spans="1:9" x14ac:dyDescent="0.25">
      <c r="A3270" s="6">
        <v>44355</v>
      </c>
      <c r="B3270" t="s">
        <v>26</v>
      </c>
      <c r="C3270">
        <v>66909</v>
      </c>
      <c r="D3270" t="s">
        <v>68</v>
      </c>
      <c r="E3270" s="7">
        <v>903</v>
      </c>
      <c r="F3270" t="s">
        <v>20</v>
      </c>
      <c r="G3270" s="10" t="s">
        <v>21</v>
      </c>
      <c r="H3270" t="str">
        <f>"0817714-IN"</f>
        <v>0817714-IN</v>
      </c>
      <c r="I3270" t="str">
        <f>"SOUTHWASTE DISPOSAL  LLP"</f>
        <v>SOUTHWASTE DISPOSAL  LLP</v>
      </c>
    </row>
    <row r="3271" spans="1:9" x14ac:dyDescent="0.25">
      <c r="E3271" s="7"/>
      <c r="F3271" t="s">
        <v>20</v>
      </c>
      <c r="G3271" s="10" t="s">
        <v>21</v>
      </c>
      <c r="H3271" t="str">
        <f>"0817941-IN"</f>
        <v>0817941-IN</v>
      </c>
      <c r="I3271" t="str">
        <f>"SOUTHWASTE DISPOSAL  LLP"</f>
        <v>SOUTHWASTE DISPOSAL  LLP</v>
      </c>
    </row>
    <row r="3272" spans="1:9" x14ac:dyDescent="0.25">
      <c r="A3272" s="6">
        <v>44355</v>
      </c>
      <c r="B3272" t="s">
        <v>26</v>
      </c>
      <c r="C3272">
        <v>66910</v>
      </c>
      <c r="D3272" t="s">
        <v>132</v>
      </c>
      <c r="E3272" s="7">
        <v>39.5</v>
      </c>
      <c r="F3272" t="s">
        <v>20</v>
      </c>
      <c r="G3272" s="10" t="s">
        <v>21</v>
      </c>
      <c r="H3272" t="str">
        <f>"16992887 052021"</f>
        <v>16992887 052021</v>
      </c>
      <c r="I3272" t="str">
        <f>"SPARKLETTS &amp; SIERRA SPRINGS"</f>
        <v>SPARKLETTS &amp; SIERRA SPRINGS</v>
      </c>
    </row>
    <row r="3273" spans="1:9" x14ac:dyDescent="0.25">
      <c r="A3273" s="6">
        <v>44355</v>
      </c>
      <c r="B3273" t="s">
        <v>26</v>
      </c>
      <c r="C3273">
        <v>66911</v>
      </c>
      <c r="D3273" t="s">
        <v>975</v>
      </c>
      <c r="E3273" s="7">
        <v>43.39</v>
      </c>
      <c r="F3273" t="s">
        <v>20</v>
      </c>
      <c r="G3273" s="10" t="s">
        <v>21</v>
      </c>
      <c r="H3273" t="str">
        <f>"P82259"</f>
        <v>P82259</v>
      </c>
      <c r="I3273" t="str">
        <f>"MOWER BLADES"</f>
        <v>MOWER BLADES</v>
      </c>
    </row>
    <row r="3274" spans="1:9" x14ac:dyDescent="0.25">
      <c r="A3274" s="6">
        <v>44355</v>
      </c>
      <c r="B3274" t="s">
        <v>26</v>
      </c>
      <c r="C3274">
        <v>66912</v>
      </c>
      <c r="D3274" t="s">
        <v>554</v>
      </c>
      <c r="E3274" s="7">
        <v>74.95</v>
      </c>
      <c r="F3274" t="s">
        <v>20</v>
      </c>
      <c r="G3274" s="10" t="s">
        <v>21</v>
      </c>
      <c r="H3274" t="str">
        <f>"AB34882"</f>
        <v>AB34882</v>
      </c>
      <c r="I3274" t="str">
        <f>"TEXAS WIRED MUSIC"</f>
        <v>TEXAS WIRED MUSIC</v>
      </c>
    </row>
    <row r="3275" spans="1:9" x14ac:dyDescent="0.25">
      <c r="A3275" s="6">
        <v>44355</v>
      </c>
      <c r="B3275" t="s">
        <v>26</v>
      </c>
      <c r="C3275">
        <v>66913</v>
      </c>
      <c r="D3275" t="s">
        <v>698</v>
      </c>
      <c r="E3275" s="7">
        <v>65</v>
      </c>
      <c r="F3275" t="s">
        <v>20</v>
      </c>
      <c r="G3275" s="10" t="s">
        <v>21</v>
      </c>
      <c r="H3275" t="str">
        <f>"6/6/2021"</f>
        <v>6/6/2021</v>
      </c>
      <c r="I3275" t="str">
        <f>"TRACY ORTIZ"</f>
        <v>TRACY ORTIZ</v>
      </c>
    </row>
    <row r="3276" spans="1:9" x14ac:dyDescent="0.25">
      <c r="A3276" s="6">
        <v>44355</v>
      </c>
      <c r="B3276" t="s">
        <v>26</v>
      </c>
      <c r="C3276">
        <v>66914</v>
      </c>
      <c r="D3276" t="s">
        <v>122</v>
      </c>
      <c r="E3276" s="7">
        <v>20</v>
      </c>
      <c r="F3276" t="s">
        <v>20</v>
      </c>
      <c r="G3276" s="10" t="s">
        <v>21</v>
      </c>
      <c r="H3276" t="str">
        <f>"891764"</f>
        <v>891764</v>
      </c>
      <c r="I3276" t="str">
        <f>"VILLA TIRES"</f>
        <v>VILLA TIRES</v>
      </c>
    </row>
    <row r="3277" spans="1:9" x14ac:dyDescent="0.25">
      <c r="E3277" s="7"/>
      <c r="F3277" t="s">
        <v>20</v>
      </c>
      <c r="G3277" s="10" t="s">
        <v>21</v>
      </c>
      <c r="H3277" t="str">
        <f>"891787"</f>
        <v>891787</v>
      </c>
      <c r="I3277" t="str">
        <f>"VILLA TIRES"</f>
        <v>VILLA TIRES</v>
      </c>
    </row>
    <row r="3278" spans="1:9" x14ac:dyDescent="0.25">
      <c r="A3278" s="6">
        <v>44355</v>
      </c>
      <c r="B3278" t="s">
        <v>26</v>
      </c>
      <c r="C3278">
        <v>66915</v>
      </c>
      <c r="D3278" t="s">
        <v>202</v>
      </c>
      <c r="E3278" s="7">
        <v>944.05</v>
      </c>
      <c r="F3278" t="s">
        <v>20</v>
      </c>
      <c r="G3278" s="10" t="s">
        <v>21</v>
      </c>
      <c r="H3278" t="str">
        <f>"62300449"</f>
        <v>62300449</v>
      </c>
      <c r="I3278" t="str">
        <f>"A-2 BASE"</f>
        <v>A-2 BASE</v>
      </c>
    </row>
    <row r="3279" spans="1:9" x14ac:dyDescent="0.25">
      <c r="A3279" s="6">
        <v>44355</v>
      </c>
      <c r="B3279" t="s">
        <v>26</v>
      </c>
      <c r="C3279">
        <v>66916</v>
      </c>
      <c r="D3279" t="s">
        <v>197</v>
      </c>
      <c r="E3279" s="7">
        <v>2988</v>
      </c>
      <c r="F3279" t="s">
        <v>20</v>
      </c>
      <c r="G3279" s="10" t="s">
        <v>21</v>
      </c>
      <c r="H3279" t="str">
        <f>"212011"</f>
        <v>212011</v>
      </c>
      <c r="I3279" t="str">
        <f>"POLYMER"</f>
        <v>POLYMER</v>
      </c>
    </row>
    <row r="3280" spans="1:9" x14ac:dyDescent="0.25">
      <c r="A3280" s="6">
        <v>44355</v>
      </c>
      <c r="B3280" t="s">
        <v>26</v>
      </c>
      <c r="C3280">
        <v>66917</v>
      </c>
      <c r="D3280" t="s">
        <v>76</v>
      </c>
      <c r="E3280" s="7">
        <v>3012.15</v>
      </c>
      <c r="F3280" t="s">
        <v>20</v>
      </c>
      <c r="G3280" s="10" t="s">
        <v>21</v>
      </c>
      <c r="H3280" t="str">
        <f>"1182 3RD QRT"</f>
        <v>1182 3RD QRT</v>
      </c>
      <c r="I3280" t="str">
        <f>"WILSON COUNTY TAX COLLECTOR"</f>
        <v>WILSON COUNTY TAX COLLECTOR</v>
      </c>
    </row>
    <row r="3281" spans="1:9" x14ac:dyDescent="0.25">
      <c r="A3281" s="6">
        <v>44356</v>
      </c>
      <c r="B3281" t="s">
        <v>26</v>
      </c>
      <c r="C3281">
        <v>66918</v>
      </c>
      <c r="D3281" t="s">
        <v>104</v>
      </c>
      <c r="E3281" s="7">
        <v>3994.56</v>
      </c>
      <c r="F3281" t="s">
        <v>20</v>
      </c>
      <c r="G3281" s="10" t="s">
        <v>21</v>
      </c>
      <c r="H3281" t="str">
        <f>"14329"</f>
        <v>14329</v>
      </c>
      <c r="I3281" t="str">
        <f>"WILSON COUNTY NEWS"</f>
        <v>WILSON COUNTY NEWS</v>
      </c>
    </row>
    <row r="3282" spans="1:9" x14ac:dyDescent="0.25">
      <c r="E3282" s="7"/>
      <c r="F3282" t="s">
        <v>20</v>
      </c>
      <c r="G3282" s="10" t="s">
        <v>21</v>
      </c>
      <c r="H3282" t="str">
        <f>"15950"</f>
        <v>15950</v>
      </c>
      <c r="I3282" t="str">
        <f>"WILSON COUNTY NEWS"</f>
        <v>WILSON COUNTY NEWS</v>
      </c>
    </row>
    <row r="3283" spans="1:9" x14ac:dyDescent="0.25">
      <c r="E3283" s="7"/>
      <c r="F3283" t="s">
        <v>20</v>
      </c>
      <c r="G3283" s="10" t="s">
        <v>21</v>
      </c>
      <c r="H3283" t="str">
        <f>"16101"</f>
        <v>16101</v>
      </c>
      <c r="I3283" t="str">
        <f>"WILSON COUNTY NEWS"</f>
        <v>WILSON COUNTY NEWS</v>
      </c>
    </row>
    <row r="3284" spans="1:9" x14ac:dyDescent="0.25">
      <c r="E3284" s="7"/>
      <c r="F3284" t="s">
        <v>20</v>
      </c>
      <c r="G3284" s="10" t="s">
        <v>21</v>
      </c>
      <c r="H3284" t="str">
        <f>"16365"</f>
        <v>16365</v>
      </c>
      <c r="I3284" t="str">
        <f>"WILSON COUNTY NEWS"</f>
        <v>WILSON COUNTY NEWS</v>
      </c>
    </row>
    <row r="3285" spans="1:9" x14ac:dyDescent="0.25">
      <c r="A3285" s="6">
        <v>44356</v>
      </c>
      <c r="B3285" t="s">
        <v>26</v>
      </c>
      <c r="C3285">
        <v>66919</v>
      </c>
      <c r="D3285" t="s">
        <v>81</v>
      </c>
      <c r="E3285" s="7">
        <v>232.2</v>
      </c>
      <c r="F3285" t="s">
        <v>20</v>
      </c>
      <c r="G3285" s="10" t="s">
        <v>21</v>
      </c>
      <c r="H3285" t="str">
        <f>"A.MONTOYA 6/9/21"</f>
        <v>A.MONTOYA 6/9/21</v>
      </c>
      <c r="I3285" t="str">
        <f>"CITY OF FLORESVILLE -PETTY CAS"</f>
        <v>CITY OF FLORESVILLE -PETTY CAS</v>
      </c>
    </row>
    <row r="3286" spans="1:9" x14ac:dyDescent="0.25">
      <c r="A3286" s="6">
        <v>44356</v>
      </c>
      <c r="B3286" t="s">
        <v>26</v>
      </c>
      <c r="C3286">
        <v>66920</v>
      </c>
      <c r="D3286" t="s">
        <v>848</v>
      </c>
      <c r="E3286" s="7">
        <v>450</v>
      </c>
      <c r="F3286" t="s">
        <v>20</v>
      </c>
      <c r="G3286" s="10" t="s">
        <v>21</v>
      </c>
      <c r="H3286" t="str">
        <f>"HOTWELLS MTG"</f>
        <v>HOTWELLS MTG</v>
      </c>
      <c r="I3286" t="str">
        <f>"FLUFF'S WHITE HOUSE CAFE"</f>
        <v>FLUFF'S WHITE HOUSE CAFE</v>
      </c>
    </row>
    <row r="3287" spans="1:9" x14ac:dyDescent="0.25">
      <c r="A3287" s="6">
        <v>44357</v>
      </c>
      <c r="B3287" t="s">
        <v>26</v>
      </c>
      <c r="C3287">
        <v>66921</v>
      </c>
      <c r="D3287" t="s">
        <v>74</v>
      </c>
      <c r="E3287" s="7">
        <v>2129.59</v>
      </c>
      <c r="F3287" t="s">
        <v>20</v>
      </c>
      <c r="G3287" s="10" t="s">
        <v>21</v>
      </c>
      <c r="H3287" t="str">
        <f>"9880484601"</f>
        <v>9880484601</v>
      </c>
      <c r="I3287" t="str">
        <f>"VERIZON WIRELESS"</f>
        <v>VERIZON WIRELESS</v>
      </c>
    </row>
    <row r="3288" spans="1:9" x14ac:dyDescent="0.25">
      <c r="A3288" s="6">
        <v>44357</v>
      </c>
      <c r="B3288" t="s">
        <v>26</v>
      </c>
      <c r="C3288">
        <v>66922</v>
      </c>
      <c r="D3288" t="s">
        <v>387</v>
      </c>
      <c r="E3288" s="7">
        <v>195</v>
      </c>
      <c r="F3288" t="s">
        <v>20</v>
      </c>
      <c r="G3288" s="10" t="s">
        <v>21</v>
      </c>
      <c r="H3288" t="str">
        <f>"F0441-SA"</f>
        <v>F0441-SA</v>
      </c>
      <c r="I3288" t="str">
        <f>"BATTERY"</f>
        <v>BATTERY</v>
      </c>
    </row>
    <row r="3289" spans="1:9" x14ac:dyDescent="0.25">
      <c r="A3289" s="6">
        <v>44357</v>
      </c>
      <c r="B3289" t="s">
        <v>26</v>
      </c>
      <c r="C3289">
        <v>66923</v>
      </c>
      <c r="D3289" t="s">
        <v>345</v>
      </c>
      <c r="E3289" s="7">
        <v>264</v>
      </c>
      <c r="F3289" t="s">
        <v>20</v>
      </c>
      <c r="G3289" s="10" t="s">
        <v>21</v>
      </c>
      <c r="H3289" t="str">
        <f>"6/7/2021"</f>
        <v>6/7/2021</v>
      </c>
      <c r="I3289" t="str">
        <f>"MICHAEL ISAAC MARTINEZ"</f>
        <v>MICHAEL ISAAC MARTINEZ</v>
      </c>
    </row>
    <row r="3290" spans="1:9" x14ac:dyDescent="0.25">
      <c r="A3290" s="6">
        <v>44361</v>
      </c>
      <c r="B3290" t="s">
        <v>26</v>
      </c>
      <c r="C3290">
        <v>66924</v>
      </c>
      <c r="D3290" t="s">
        <v>92</v>
      </c>
      <c r="E3290" s="7">
        <v>33464.74</v>
      </c>
      <c r="F3290" t="s">
        <v>20</v>
      </c>
      <c r="G3290" s="10" t="s">
        <v>21</v>
      </c>
      <c r="H3290" t="str">
        <f>"RET202105048607"</f>
        <v>RET202105048607</v>
      </c>
      <c r="I3290" t="str">
        <f>"TMRS CITY OF FLORESVILLE"</f>
        <v>TMRS CITY OF FLORESVILLE</v>
      </c>
    </row>
    <row r="3291" spans="1:9" x14ac:dyDescent="0.25">
      <c r="E3291" s="7"/>
      <c r="F3291" t="s">
        <v>20</v>
      </c>
      <c r="G3291" s="10" t="s">
        <v>21</v>
      </c>
      <c r="H3291" t="str">
        <f>"RET202105188608"</f>
        <v>RET202105188608</v>
      </c>
      <c r="I3291" t="str">
        <f>"TMRS CITY OF FLORESVILLE"</f>
        <v>TMRS CITY OF FLORESVILLE</v>
      </c>
    </row>
    <row r="3292" spans="1:9" x14ac:dyDescent="0.25">
      <c r="A3292" s="6">
        <v>44362</v>
      </c>
      <c r="B3292" t="s">
        <v>26</v>
      </c>
      <c r="C3292">
        <v>66928</v>
      </c>
      <c r="D3292" t="s">
        <v>102</v>
      </c>
      <c r="E3292" s="7">
        <v>102.78</v>
      </c>
      <c r="F3292" t="s">
        <v>20</v>
      </c>
      <c r="G3292" s="10" t="s">
        <v>21</v>
      </c>
      <c r="H3292" t="str">
        <f>"1120 D. ST MAY2021"</f>
        <v>1120 D. ST MAY2021</v>
      </c>
      <c r="I3292" t="str">
        <f>"CENTERPOINT ENERGY ENTEX"</f>
        <v>CENTERPOINT ENERGY ENTEX</v>
      </c>
    </row>
    <row r="3293" spans="1:9" x14ac:dyDescent="0.25">
      <c r="E3293" s="7"/>
      <c r="F3293" t="s">
        <v>20</v>
      </c>
      <c r="G3293" s="10" t="s">
        <v>21</v>
      </c>
      <c r="H3293" t="str">
        <f>"1200 1ST MAY 2021"</f>
        <v>1200 1ST MAY 2021</v>
      </c>
      <c r="I3293" t="str">
        <f>"CENTERPOINT ENERGY ENTEX"</f>
        <v>CENTERPOINT ENERGY ENTEX</v>
      </c>
    </row>
    <row r="3294" spans="1:9" x14ac:dyDescent="0.25">
      <c r="E3294" s="7"/>
      <c r="F3294" t="s">
        <v>20</v>
      </c>
      <c r="G3294" s="10" t="s">
        <v>21</v>
      </c>
      <c r="H3294" t="str">
        <f>"920 C.ST MAY 2021"</f>
        <v>920 C.ST MAY 2021</v>
      </c>
      <c r="I3294" t="str">
        <f>"CENTERPOINT ENERGY ENTEX"</f>
        <v>CENTERPOINT ENERGY ENTEX</v>
      </c>
    </row>
    <row r="3295" spans="1:9" x14ac:dyDescent="0.25">
      <c r="A3295" s="6">
        <v>44362</v>
      </c>
      <c r="B3295" t="s">
        <v>26</v>
      </c>
      <c r="C3295">
        <v>66929</v>
      </c>
      <c r="D3295" t="s">
        <v>1050</v>
      </c>
      <c r="E3295" s="7">
        <v>100</v>
      </c>
      <c r="F3295" t="s">
        <v>20</v>
      </c>
      <c r="G3295" s="10" t="s">
        <v>21</v>
      </c>
      <c r="H3295" t="str">
        <f>"5/1/21&amp;5/29/21RFND"</f>
        <v>5/1/21&amp;5/29/21RFND</v>
      </c>
      <c r="I3295" t="str">
        <f>"REFUND"</f>
        <v>REFUND</v>
      </c>
    </row>
    <row r="3296" spans="1:9" x14ac:dyDescent="0.25">
      <c r="A3296" s="6">
        <v>44362</v>
      </c>
      <c r="B3296" t="s">
        <v>26</v>
      </c>
      <c r="C3296">
        <v>66930</v>
      </c>
      <c r="D3296" t="s">
        <v>1054</v>
      </c>
      <c r="E3296" s="7">
        <v>809</v>
      </c>
      <c r="F3296" t="s">
        <v>20</v>
      </c>
      <c r="G3296" s="10" t="s">
        <v>21</v>
      </c>
      <c r="H3296" t="str">
        <f>"INV0015"</f>
        <v>INV0015</v>
      </c>
      <c r="I3296" t="str">
        <f>"B STREET WELL REPAIR"</f>
        <v>B STREET WELL REPAIR</v>
      </c>
    </row>
    <row r="3297" spans="1:9" x14ac:dyDescent="0.25">
      <c r="E3297" s="7"/>
      <c r="F3297" t="s">
        <v>20</v>
      </c>
      <c r="G3297" s="10" t="s">
        <v>21</v>
      </c>
      <c r="H3297" t="str">
        <f>"INV0016"</f>
        <v>INV0016</v>
      </c>
      <c r="I3297" t="str">
        <f>"ROAD MAINTENANCE"</f>
        <v>ROAD MAINTENANCE</v>
      </c>
    </row>
    <row r="3298" spans="1:9" x14ac:dyDescent="0.25">
      <c r="A3298" s="6">
        <v>44362</v>
      </c>
      <c r="B3298" t="s">
        <v>26</v>
      </c>
      <c r="C3298">
        <v>66931</v>
      </c>
      <c r="D3298" t="s">
        <v>162</v>
      </c>
      <c r="E3298" s="7">
        <v>100</v>
      </c>
      <c r="F3298" t="s">
        <v>20</v>
      </c>
      <c r="G3298" s="10" t="s">
        <v>21</v>
      </c>
      <c r="H3298" t="str">
        <f>"RFND 5/10-11/2021"</f>
        <v>RFND 5/10-11/2021</v>
      </c>
      <c r="I3298" t="str">
        <f>"FLORESVILLE ATHLETIC BOOSTER C"</f>
        <v>FLORESVILLE ATHLETIC BOOSTER C</v>
      </c>
    </row>
    <row r="3299" spans="1:9" x14ac:dyDescent="0.25">
      <c r="A3299" s="6">
        <v>44362</v>
      </c>
      <c r="B3299" t="s">
        <v>26</v>
      </c>
      <c r="C3299">
        <v>66932</v>
      </c>
      <c r="D3299" t="s">
        <v>85</v>
      </c>
      <c r="E3299" s="7">
        <v>245.04</v>
      </c>
      <c r="F3299" t="s">
        <v>20</v>
      </c>
      <c r="G3299" s="10" t="s">
        <v>21</v>
      </c>
      <c r="H3299" t="str">
        <f>"3930579 JUNE 2021"</f>
        <v>3930579 JUNE 2021</v>
      </c>
      <c r="I3299" t="str">
        <f>"FRONTIER"</f>
        <v>FRONTIER</v>
      </c>
    </row>
    <row r="3300" spans="1:9" x14ac:dyDescent="0.25">
      <c r="E3300" s="7"/>
      <c r="F3300" t="s">
        <v>20</v>
      </c>
      <c r="G3300" s="10" t="s">
        <v>21</v>
      </c>
      <c r="H3300" t="str">
        <f>"3933108 JUNE 2021"</f>
        <v>3933108 JUNE 2021</v>
      </c>
      <c r="I3300" t="str">
        <f>"FRONTIER"</f>
        <v>FRONTIER</v>
      </c>
    </row>
    <row r="3301" spans="1:9" x14ac:dyDescent="0.25">
      <c r="E3301" s="7"/>
      <c r="F3301" t="s">
        <v>20</v>
      </c>
      <c r="G3301" s="10" t="s">
        <v>21</v>
      </c>
      <c r="H3301" t="str">
        <f>"3939791 JUNE2021"</f>
        <v>3939791 JUNE2021</v>
      </c>
      <c r="I3301" t="str">
        <f>"FRONTIER"</f>
        <v>FRONTIER</v>
      </c>
    </row>
    <row r="3302" spans="1:9" x14ac:dyDescent="0.25">
      <c r="A3302" s="6">
        <v>44362</v>
      </c>
      <c r="B3302" t="s">
        <v>26</v>
      </c>
      <c r="C3302">
        <v>66933</v>
      </c>
      <c r="D3302" t="s">
        <v>419</v>
      </c>
      <c r="E3302" s="7">
        <v>344.96</v>
      </c>
      <c r="F3302" t="s">
        <v>20</v>
      </c>
      <c r="G3302" s="10" t="s">
        <v>21</v>
      </c>
      <c r="H3302" t="str">
        <f>"HOTEL COST 6/18/21"</f>
        <v>HOTEL COST 6/18/21</v>
      </c>
      <c r="I3302" t="str">
        <f>"GEORGE ORTIZ"</f>
        <v>GEORGE ORTIZ</v>
      </c>
    </row>
    <row r="3303" spans="1:9" x14ac:dyDescent="0.25">
      <c r="E3303" s="7"/>
      <c r="F3303" t="s">
        <v>20</v>
      </c>
      <c r="G3303" s="10" t="s">
        <v>21</v>
      </c>
      <c r="H3303" t="str">
        <f>"NEW SUPR.COURSE"</f>
        <v>NEW SUPR.COURSE</v>
      </c>
      <c r="I3303" t="str">
        <f>"TRAVEL REQUEST FOR ORTIZ"</f>
        <v>TRAVEL REQUEST FOR ORTIZ</v>
      </c>
    </row>
    <row r="3304" spans="1:9" x14ac:dyDescent="0.25">
      <c r="A3304" s="6">
        <v>44362</v>
      </c>
      <c r="B3304" t="s">
        <v>26</v>
      </c>
      <c r="C3304">
        <v>66934</v>
      </c>
      <c r="D3304" t="s">
        <v>430</v>
      </c>
      <c r="E3304" s="7">
        <v>174</v>
      </c>
      <c r="F3304" t="s">
        <v>20</v>
      </c>
      <c r="G3304" s="10" t="s">
        <v>21</v>
      </c>
      <c r="H3304" t="str">
        <f>"NEW SUP. COURSE"</f>
        <v>NEW SUP. COURSE</v>
      </c>
      <c r="I3304" t="str">
        <f>"TRAVEL REQUEST FOR RODRIG"</f>
        <v>TRAVEL REQUEST FOR RODRIG</v>
      </c>
    </row>
    <row r="3305" spans="1:9" x14ac:dyDescent="0.25">
      <c r="A3305" s="6">
        <v>44362</v>
      </c>
      <c r="B3305" t="s">
        <v>26</v>
      </c>
      <c r="C3305">
        <v>66935</v>
      </c>
      <c r="D3305" t="s">
        <v>646</v>
      </c>
      <c r="E3305" s="7">
        <v>5269</v>
      </c>
      <c r="F3305" t="s">
        <v>20</v>
      </c>
      <c r="G3305" s="10" t="s">
        <v>21</v>
      </c>
      <c r="H3305" t="str">
        <f>"0121827"</f>
        <v>0121827</v>
      </c>
      <c r="I3305" t="str">
        <f>"8'X8' CONCRETE SLAB"</f>
        <v>8'X8' CONCRETE SLAB</v>
      </c>
    </row>
    <row r="3306" spans="1:9" x14ac:dyDescent="0.25">
      <c r="E3306" s="7"/>
      <c r="F3306" t="s">
        <v>20</v>
      </c>
      <c r="G3306" s="10" t="s">
        <v>21</v>
      </c>
      <c r="H3306" t="str">
        <f>"0121828"</f>
        <v>0121828</v>
      </c>
      <c r="I3306" t="str">
        <f>"STEEL CHUTE LEAKS"</f>
        <v>STEEL CHUTE LEAKS</v>
      </c>
    </row>
    <row r="3307" spans="1:9" x14ac:dyDescent="0.25">
      <c r="A3307" s="6">
        <v>44362</v>
      </c>
      <c r="B3307" t="s">
        <v>26</v>
      </c>
      <c r="C3307">
        <v>66936</v>
      </c>
      <c r="D3307" t="s">
        <v>1032</v>
      </c>
      <c r="E3307" s="7">
        <v>20000</v>
      </c>
      <c r="F3307" t="s">
        <v>20</v>
      </c>
      <c r="G3307" s="10" t="s">
        <v>21</v>
      </c>
      <c r="H3307" t="str">
        <f>"5-21-17626 5/2021"</f>
        <v>5-21-17626 5/2021</v>
      </c>
      <c r="I3307" t="str">
        <f>"LEAL &amp; CARTER  P.C."</f>
        <v>LEAL &amp; CARTER  P.C.</v>
      </c>
    </row>
    <row r="3308" spans="1:9" x14ac:dyDescent="0.25">
      <c r="A3308" s="6">
        <v>44362</v>
      </c>
      <c r="B3308" t="s">
        <v>26</v>
      </c>
      <c r="C3308">
        <v>66937</v>
      </c>
      <c r="D3308" t="s">
        <v>1058</v>
      </c>
      <c r="E3308" s="7">
        <v>133</v>
      </c>
      <c r="F3308" t="s">
        <v>20</v>
      </c>
      <c r="G3308" s="10" t="s">
        <v>21</v>
      </c>
      <c r="H3308" t="str">
        <f>"1272"</f>
        <v>1272</v>
      </c>
      <c r="I3308" t="str">
        <f>"M-R PLG CO."</f>
        <v>M-R PLG CO.</v>
      </c>
    </row>
    <row r="3309" spans="1:9" x14ac:dyDescent="0.25">
      <c r="A3309" s="6">
        <v>44362</v>
      </c>
      <c r="B3309" t="s">
        <v>26</v>
      </c>
      <c r="C3309">
        <v>66938</v>
      </c>
      <c r="D3309" t="s">
        <v>126</v>
      </c>
      <c r="E3309" s="7">
        <v>90557.68</v>
      </c>
      <c r="F3309" t="s">
        <v>20</v>
      </c>
      <c r="G3309" s="10" t="s">
        <v>21</v>
      </c>
      <c r="H3309" t="str">
        <f>"0859-002839942"</f>
        <v>0859-002839942</v>
      </c>
      <c r="I3309" t="str">
        <f>"REPUBLIC SERVICES #859"</f>
        <v>REPUBLIC SERVICES #859</v>
      </c>
    </row>
    <row r="3310" spans="1:9" x14ac:dyDescent="0.25">
      <c r="E3310" s="7"/>
      <c r="F3310" t="s">
        <v>20</v>
      </c>
      <c r="G3310" s="10" t="s">
        <v>21</v>
      </c>
      <c r="H3310" t="str">
        <f>"0859-002844173"</f>
        <v>0859-002844173</v>
      </c>
      <c r="I3310" t="str">
        <f>"REPUBLIC SERVICES #859"</f>
        <v>REPUBLIC SERVICES #859</v>
      </c>
    </row>
    <row r="3311" spans="1:9" x14ac:dyDescent="0.25">
      <c r="A3311" s="6">
        <v>44362</v>
      </c>
      <c r="B3311" t="s">
        <v>26</v>
      </c>
      <c r="C3311">
        <v>66939</v>
      </c>
      <c r="D3311" t="s">
        <v>75</v>
      </c>
      <c r="E3311" s="7">
        <v>332.42</v>
      </c>
      <c r="F3311" t="s">
        <v>20</v>
      </c>
      <c r="G3311" s="10" t="s">
        <v>21</v>
      </c>
      <c r="H3311" t="str">
        <f>"8184 06/24/2021"</f>
        <v>8184 06/24/2021</v>
      </c>
      <c r="I3311" t="str">
        <f>"EVENT CENTER SUPPLIES"</f>
        <v>EVENT CENTER SUPPLIES</v>
      </c>
    </row>
    <row r="3312" spans="1:9" x14ac:dyDescent="0.25">
      <c r="E3312" s="7"/>
      <c r="F3312" t="s">
        <v>20</v>
      </c>
      <c r="G3312" s="10" t="s">
        <v>21</v>
      </c>
      <c r="H3312" t="str">
        <f>"8184 6/24/2021"</f>
        <v>8184 6/24/2021</v>
      </c>
      <c r="I3312" t="str">
        <f>"TRAILER HITCH"</f>
        <v>TRAILER HITCH</v>
      </c>
    </row>
    <row r="3313" spans="1:9" x14ac:dyDescent="0.25">
      <c r="A3313" s="6">
        <v>44362</v>
      </c>
      <c r="B3313" t="s">
        <v>26</v>
      </c>
      <c r="C3313">
        <v>66940</v>
      </c>
      <c r="D3313" t="s">
        <v>1030</v>
      </c>
      <c r="E3313" s="7">
        <v>155631.79999999999</v>
      </c>
      <c r="F3313" t="s">
        <v>20</v>
      </c>
      <c r="G3313" s="10" t="s">
        <v>21</v>
      </c>
      <c r="H3313" t="str">
        <f>"PAY APP#5"</f>
        <v>PAY APP#5</v>
      </c>
      <c r="I3313" t="str">
        <f>"TRIUN  LLC"</f>
        <v>TRIUN  LLC</v>
      </c>
    </row>
    <row r="3314" spans="1:9" x14ac:dyDescent="0.25">
      <c r="A3314" s="6">
        <v>44362</v>
      </c>
      <c r="B3314" t="s">
        <v>26</v>
      </c>
      <c r="C3314">
        <v>66941</v>
      </c>
      <c r="D3314" t="s">
        <v>1059</v>
      </c>
      <c r="E3314" s="7">
        <v>1600</v>
      </c>
      <c r="F3314" t="s">
        <v>20</v>
      </c>
      <c r="G3314" s="10" t="s">
        <v>21</v>
      </c>
      <c r="H3314" t="str">
        <f>"JOANN GARAY RENTAL"</f>
        <v>JOANN GARAY RENTAL</v>
      </c>
      <c r="I3314" t="str">
        <f>"WILSON COUNTY"</f>
        <v>WILSON COUNTY</v>
      </c>
    </row>
    <row r="3315" spans="1:9" x14ac:dyDescent="0.25">
      <c r="A3315" s="6">
        <v>44362</v>
      </c>
      <c r="B3315" t="s">
        <v>26</v>
      </c>
      <c r="C3315">
        <v>66942</v>
      </c>
      <c r="D3315" t="s">
        <v>1060</v>
      </c>
      <c r="E3315" s="7">
        <v>50</v>
      </c>
      <c r="F3315" t="s">
        <v>20</v>
      </c>
      <c r="G3315" s="10" t="s">
        <v>21</v>
      </c>
      <c r="H3315" t="str">
        <f>"5/22/21 DPS RFND"</f>
        <v>5/22/21 DPS RFND</v>
      </c>
      <c r="I3315" t="str">
        <f>"REFUND"</f>
        <v>REFUND</v>
      </c>
    </row>
    <row r="3316" spans="1:9" x14ac:dyDescent="0.25">
      <c r="A3316" s="6">
        <v>44362</v>
      </c>
      <c r="B3316" t="s">
        <v>26</v>
      </c>
      <c r="C3316">
        <v>66943</v>
      </c>
      <c r="D3316" t="s">
        <v>103</v>
      </c>
      <c r="E3316" s="7">
        <v>90666.63</v>
      </c>
      <c r="F3316" t="s">
        <v>20</v>
      </c>
      <c r="G3316" s="10" t="s">
        <v>21</v>
      </c>
      <c r="H3316" t="str">
        <f>"JUNE2021 SALES TAX"</f>
        <v>JUNE2021 SALES TAX</v>
      </c>
      <c r="I3316" t="str">
        <f>"F. E. D. C."</f>
        <v>F. E. D. C.</v>
      </c>
    </row>
    <row r="3317" spans="1:9" x14ac:dyDescent="0.25">
      <c r="A3317" s="6">
        <v>44362</v>
      </c>
      <c r="B3317" t="s">
        <v>26</v>
      </c>
      <c r="C3317">
        <v>66950</v>
      </c>
      <c r="D3317" t="s">
        <v>51</v>
      </c>
      <c r="E3317" s="7">
        <v>309.37</v>
      </c>
      <c r="F3317" t="s">
        <v>20</v>
      </c>
      <c r="G3317" s="10" t="s">
        <v>21</v>
      </c>
      <c r="H3317" t="str">
        <f>"CLE202106158614"</f>
        <v>CLE202106158614</v>
      </c>
      <c r="I3317" t="str">
        <f>"CLEAT ONLY DUES"</f>
        <v>CLEAT ONLY DUES</v>
      </c>
    </row>
    <row r="3318" spans="1:9" x14ac:dyDescent="0.25">
      <c r="E3318" s="7"/>
      <c r="F3318" t="s">
        <v>20</v>
      </c>
      <c r="G3318" s="10" t="s">
        <v>21</v>
      </c>
      <c r="H3318" t="str">
        <f>"PDD202106158614"</f>
        <v>PDD202106158614</v>
      </c>
      <c r="I3318" t="str">
        <f>"POLICE OFFICERS ASSOC DUES"</f>
        <v>POLICE OFFICERS ASSOC DUES</v>
      </c>
    </row>
    <row r="3319" spans="1:9" x14ac:dyDescent="0.25">
      <c r="A3319" s="6">
        <v>44362</v>
      </c>
      <c r="B3319" t="s">
        <v>26</v>
      </c>
      <c r="C3319">
        <v>66951</v>
      </c>
      <c r="D3319" t="s">
        <v>52</v>
      </c>
      <c r="E3319" s="7">
        <v>926.54</v>
      </c>
      <c r="F3319" t="s">
        <v>20</v>
      </c>
      <c r="G3319" s="10" t="s">
        <v>21</v>
      </c>
      <c r="H3319" t="str">
        <f>"CA1202106158614"</f>
        <v>CA1202106158614</v>
      </c>
      <c r="I3319" t="str">
        <f>"K RAMIREZ 001200229510060343CV"</f>
        <v>K RAMIREZ 001200229510060343CV</v>
      </c>
    </row>
    <row r="3320" spans="1:9" x14ac:dyDescent="0.25">
      <c r="E3320" s="7"/>
      <c r="F3320" t="s">
        <v>20</v>
      </c>
      <c r="G3320" s="10" t="s">
        <v>21</v>
      </c>
      <c r="H3320" t="str">
        <f>"CA2202106158614"</f>
        <v>CA2202106158614</v>
      </c>
      <c r="I3320" t="str">
        <f>"L HERNANDEZ 001016025203080354"</f>
        <v>L HERNANDEZ 001016025203080354</v>
      </c>
    </row>
    <row r="3321" spans="1:9" x14ac:dyDescent="0.25">
      <c r="E3321" s="7"/>
      <c r="F3321" t="s">
        <v>20</v>
      </c>
      <c r="G3321" s="10" t="s">
        <v>21</v>
      </c>
      <c r="H3321" t="str">
        <f>"CA3202106158614"</f>
        <v>CA3202106158614</v>
      </c>
      <c r="I3321" t="str">
        <f>"00120788612011EM5023JOLENEGARC"</f>
        <v>00120788612011EM5023JOLENEGARC</v>
      </c>
    </row>
    <row r="3322" spans="1:9" x14ac:dyDescent="0.25">
      <c r="E3322" s="7"/>
      <c r="F3322" t="s">
        <v>20</v>
      </c>
      <c r="G3322" s="10" t="s">
        <v>21</v>
      </c>
      <c r="H3322" t="str">
        <f>"CSA202106158614"</f>
        <v>CSA202106158614</v>
      </c>
      <c r="I3322" t="str">
        <f>"S RODRIGUEZ 001281730413050336"</f>
        <v>S RODRIGUEZ 001281730413050336</v>
      </c>
    </row>
    <row r="3323" spans="1:9" x14ac:dyDescent="0.25">
      <c r="E3323" s="7"/>
      <c r="F3323" t="s">
        <v>20</v>
      </c>
      <c r="G3323" s="10" t="s">
        <v>21</v>
      </c>
      <c r="H3323" t="str">
        <f>"CSI202106158614"</f>
        <v>CSI202106158614</v>
      </c>
      <c r="I3323" t="str">
        <f>"KTRINIDAD0014071774CVW2000777"</f>
        <v>KTRINIDAD0014071774CVW2000777</v>
      </c>
    </row>
    <row r="3324" spans="1:9" x14ac:dyDescent="0.25">
      <c r="A3324" s="6">
        <v>44362</v>
      </c>
      <c r="B3324" t="s">
        <v>26</v>
      </c>
      <c r="C3324">
        <v>66952</v>
      </c>
      <c r="D3324" t="s">
        <v>54</v>
      </c>
      <c r="E3324" s="7">
        <v>1083.6500000000001</v>
      </c>
      <c r="F3324" t="s">
        <v>20</v>
      </c>
      <c r="G3324" s="10" t="s">
        <v>21</v>
      </c>
      <c r="H3324" t="str">
        <f>"BRE202106158614"</f>
        <v>BRE202106158614</v>
      </c>
      <c r="I3324" t="str">
        <f>"CASE #180-60751 457B DEDUCT"</f>
        <v>CASE #180-60751 457B DEDUCT</v>
      </c>
    </row>
    <row r="3325" spans="1:9" x14ac:dyDescent="0.25">
      <c r="A3325" s="6">
        <v>44363</v>
      </c>
      <c r="B3325" t="s">
        <v>26</v>
      </c>
      <c r="C3325">
        <v>66953</v>
      </c>
      <c r="D3325" t="s">
        <v>345</v>
      </c>
      <c r="E3325" s="7">
        <v>308</v>
      </c>
      <c r="F3325" t="s">
        <v>20</v>
      </c>
      <c r="G3325" s="10" t="s">
        <v>21</v>
      </c>
      <c r="H3325" t="str">
        <f>"06/14/2021"</f>
        <v>06/14/2021</v>
      </c>
      <c r="I3325" t="str">
        <f>"MICHAEL ISAAC MARTINEZ"</f>
        <v>MICHAEL ISAAC MARTINEZ</v>
      </c>
    </row>
    <row r="3326" spans="1:9" x14ac:dyDescent="0.25">
      <c r="A3326" s="6">
        <v>44364</v>
      </c>
      <c r="B3326" t="s">
        <v>26</v>
      </c>
      <c r="C3326">
        <v>66954</v>
      </c>
      <c r="D3326" t="s">
        <v>205</v>
      </c>
      <c r="E3326" s="7">
        <v>393.75</v>
      </c>
      <c r="F3326" t="s">
        <v>20</v>
      </c>
      <c r="G3326" s="10" t="s">
        <v>21</v>
      </c>
      <c r="H3326" t="str">
        <f>"6/17/2021"</f>
        <v>6/17/2021</v>
      </c>
      <c r="I3326" t="str">
        <f>"SILVER EAGLE DISTRIBUTORS"</f>
        <v>SILVER EAGLE DISTRIBUTORS</v>
      </c>
    </row>
    <row r="3327" spans="1:9" x14ac:dyDescent="0.25">
      <c r="A3327" s="6">
        <v>44369</v>
      </c>
      <c r="B3327" t="s">
        <v>26</v>
      </c>
      <c r="C3327">
        <v>66955</v>
      </c>
      <c r="D3327" t="s">
        <v>1061</v>
      </c>
      <c r="E3327" s="7">
        <v>140</v>
      </c>
      <c r="F3327" t="s">
        <v>20</v>
      </c>
      <c r="G3327" s="10" t="s">
        <v>21</v>
      </c>
      <c r="H3327" t="str">
        <f>"SHOWBARN SECURITY"</f>
        <v>SHOWBARN SECURITY</v>
      </c>
      <c r="I3327" t="str">
        <f>"CHRISTOPHER PEREZ"</f>
        <v>CHRISTOPHER PEREZ</v>
      </c>
    </row>
    <row r="3328" spans="1:9" x14ac:dyDescent="0.25">
      <c r="A3328" s="6">
        <v>44369</v>
      </c>
      <c r="B3328" t="s">
        <v>26</v>
      </c>
      <c r="C3328">
        <v>66956</v>
      </c>
      <c r="D3328" t="s">
        <v>1062</v>
      </c>
      <c r="E3328" s="7">
        <v>50</v>
      </c>
      <c r="F3328" t="s">
        <v>20</v>
      </c>
      <c r="G3328" s="10" t="s">
        <v>21</v>
      </c>
      <c r="H3328" t="str">
        <f>"DEP. REFND 6/19/21"</f>
        <v>DEP. REFND 6/19/21</v>
      </c>
      <c r="I3328" t="str">
        <f>"REFUND"</f>
        <v>REFUND</v>
      </c>
    </row>
    <row r="3329" spans="1:9" x14ac:dyDescent="0.25">
      <c r="A3329" s="6">
        <v>44369</v>
      </c>
      <c r="B3329" t="s">
        <v>26</v>
      </c>
      <c r="C3329">
        <v>66957</v>
      </c>
      <c r="D3329" t="s">
        <v>878</v>
      </c>
      <c r="E3329" s="7">
        <v>146</v>
      </c>
      <c r="F3329" t="s">
        <v>20</v>
      </c>
      <c r="G3329" s="10" t="s">
        <v>21</v>
      </c>
      <c r="H3329" t="str">
        <f>"93161"</f>
        <v>93161</v>
      </c>
      <c r="I3329" t="str">
        <f>"ANIMAL CONTROL SUPPLIES"</f>
        <v>ANIMAL CONTROL SUPPLIES</v>
      </c>
    </row>
    <row r="3330" spans="1:9" x14ac:dyDescent="0.25">
      <c r="A3330" s="6">
        <v>44369</v>
      </c>
      <c r="B3330" t="s">
        <v>26</v>
      </c>
      <c r="C3330">
        <v>66958</v>
      </c>
      <c r="D3330" t="s">
        <v>195</v>
      </c>
      <c r="E3330" s="7">
        <v>1238.56</v>
      </c>
      <c r="F3330" t="s">
        <v>20</v>
      </c>
      <c r="G3330" s="10" t="s">
        <v>21</v>
      </c>
      <c r="H3330" t="str">
        <f>"INV-AIS-0002929"</f>
        <v>INV-AIS-0002929</v>
      </c>
      <c r="I3330" t="str">
        <f>"ARISTA INFORMATION SYSTEMS  IN"</f>
        <v>ARISTA INFORMATION SYSTEMS  IN</v>
      </c>
    </row>
    <row r="3331" spans="1:9" x14ac:dyDescent="0.25">
      <c r="A3331" s="6">
        <v>44369</v>
      </c>
      <c r="B3331" t="s">
        <v>26</v>
      </c>
      <c r="C3331">
        <v>66959</v>
      </c>
      <c r="D3331" t="s">
        <v>115</v>
      </c>
      <c r="E3331" s="7">
        <v>354.14</v>
      </c>
      <c r="F3331" t="s">
        <v>20</v>
      </c>
      <c r="G3331" s="10" t="s">
        <v>21</v>
      </c>
      <c r="H3331" t="str">
        <f>"3547896236"</f>
        <v>3547896236</v>
      </c>
      <c r="I3331" t="str">
        <f>"AUTOZONE"</f>
        <v>AUTOZONE</v>
      </c>
    </row>
    <row r="3332" spans="1:9" x14ac:dyDescent="0.25">
      <c r="E3332" s="7"/>
      <c r="F3332" t="s">
        <v>20</v>
      </c>
      <c r="G3332" s="10" t="s">
        <v>21</v>
      </c>
      <c r="H3332" t="str">
        <f>"3547924644"</f>
        <v>3547924644</v>
      </c>
      <c r="I3332" t="str">
        <f>"AUTOZONE"</f>
        <v>AUTOZONE</v>
      </c>
    </row>
    <row r="3333" spans="1:9" x14ac:dyDescent="0.25">
      <c r="E3333" s="7"/>
      <c r="F3333" t="s">
        <v>20</v>
      </c>
      <c r="G3333" s="10" t="s">
        <v>21</v>
      </c>
      <c r="H3333" t="str">
        <f>"3547926567"</f>
        <v>3547926567</v>
      </c>
      <c r="I3333" t="str">
        <f>"PD UNIT 329"</f>
        <v>PD UNIT 329</v>
      </c>
    </row>
    <row r="3334" spans="1:9" x14ac:dyDescent="0.25">
      <c r="E3334" s="7"/>
      <c r="F3334" t="s">
        <v>20</v>
      </c>
      <c r="G3334" s="10" t="s">
        <v>21</v>
      </c>
      <c r="H3334" t="str">
        <f>"3547929951"</f>
        <v>3547929951</v>
      </c>
      <c r="I3334" t="str">
        <f>"LAWNMOWER REPAIR-PARKS"</f>
        <v>LAWNMOWER REPAIR-PARKS</v>
      </c>
    </row>
    <row r="3335" spans="1:9" x14ac:dyDescent="0.25">
      <c r="A3335" s="6">
        <v>44369</v>
      </c>
      <c r="B3335" t="s">
        <v>26</v>
      </c>
      <c r="C3335">
        <v>66960</v>
      </c>
      <c r="D3335" t="s">
        <v>288</v>
      </c>
      <c r="E3335" s="7">
        <v>1945.2</v>
      </c>
      <c r="F3335" t="s">
        <v>20</v>
      </c>
      <c r="G3335" s="10" t="s">
        <v>21</v>
      </c>
      <c r="H3335" t="str">
        <f>"SI-1740442"</f>
        <v>SI-1740442</v>
      </c>
      <c r="I3335" t="str">
        <f>"AXON ENTERPRISES INC"</f>
        <v>AXON ENTERPRISES INC</v>
      </c>
    </row>
    <row r="3336" spans="1:9" x14ac:dyDescent="0.25">
      <c r="E3336" s="7"/>
      <c r="F3336" t="s">
        <v>20</v>
      </c>
      <c r="G3336" s="10" t="s">
        <v>21</v>
      </c>
      <c r="H3336" t="str">
        <f>"SI-1744095"</f>
        <v>SI-1744095</v>
      </c>
      <c r="I3336" t="str">
        <f>"TASERS"</f>
        <v>TASERS</v>
      </c>
    </row>
    <row r="3337" spans="1:9" x14ac:dyDescent="0.25">
      <c r="A3337" s="6">
        <v>44369</v>
      </c>
      <c r="B3337" t="s">
        <v>26</v>
      </c>
      <c r="C3337">
        <v>66961</v>
      </c>
      <c r="D3337" t="s">
        <v>168</v>
      </c>
      <c r="E3337" s="7">
        <v>1298</v>
      </c>
      <c r="F3337" t="s">
        <v>20</v>
      </c>
      <c r="G3337" s="10" t="s">
        <v>21</v>
      </c>
      <c r="H3337" t="str">
        <f>"LI-7635"</f>
        <v>LI-7635</v>
      </c>
      <c r="I3337" t="str">
        <f t="shared" ref="I3337:I3345" si="72">"BEXAR COUNTY AUDITOR/ATTN:CRIM"</f>
        <v>BEXAR COUNTY AUDITOR/ATTN:CRIM</v>
      </c>
    </row>
    <row r="3338" spans="1:9" x14ac:dyDescent="0.25">
      <c r="E3338" s="7"/>
      <c r="F3338" t="s">
        <v>20</v>
      </c>
      <c r="G3338" s="10" t="s">
        <v>21</v>
      </c>
      <c r="H3338" t="str">
        <f>"LI-7636"</f>
        <v>LI-7636</v>
      </c>
      <c r="I3338" t="str">
        <f t="shared" si="72"/>
        <v>BEXAR COUNTY AUDITOR/ATTN:CRIM</v>
      </c>
    </row>
    <row r="3339" spans="1:9" x14ac:dyDescent="0.25">
      <c r="E3339" s="7"/>
      <c r="F3339" t="s">
        <v>20</v>
      </c>
      <c r="G3339" s="10" t="s">
        <v>21</v>
      </c>
      <c r="H3339" t="str">
        <f>"LI-7637"</f>
        <v>LI-7637</v>
      </c>
      <c r="I3339" t="str">
        <f t="shared" si="72"/>
        <v>BEXAR COUNTY AUDITOR/ATTN:CRIM</v>
      </c>
    </row>
    <row r="3340" spans="1:9" x14ac:dyDescent="0.25">
      <c r="E3340" s="7"/>
      <c r="F3340" t="s">
        <v>20</v>
      </c>
      <c r="G3340" s="10" t="s">
        <v>21</v>
      </c>
      <c r="H3340" t="str">
        <f>"LI-7638"</f>
        <v>LI-7638</v>
      </c>
      <c r="I3340" t="str">
        <f t="shared" si="72"/>
        <v>BEXAR COUNTY AUDITOR/ATTN:CRIM</v>
      </c>
    </row>
    <row r="3341" spans="1:9" x14ac:dyDescent="0.25">
      <c r="E3341" s="7"/>
      <c r="F3341" t="s">
        <v>20</v>
      </c>
      <c r="G3341" s="10" t="s">
        <v>21</v>
      </c>
      <c r="H3341" t="str">
        <f>"LI-7639"</f>
        <v>LI-7639</v>
      </c>
      <c r="I3341" t="str">
        <f t="shared" si="72"/>
        <v>BEXAR COUNTY AUDITOR/ATTN:CRIM</v>
      </c>
    </row>
    <row r="3342" spans="1:9" x14ac:dyDescent="0.25">
      <c r="E3342" s="7"/>
      <c r="F3342" t="s">
        <v>20</v>
      </c>
      <c r="G3342" s="10" t="s">
        <v>21</v>
      </c>
      <c r="H3342" t="str">
        <f>"LI-7640"</f>
        <v>LI-7640</v>
      </c>
      <c r="I3342" t="str">
        <f t="shared" si="72"/>
        <v>BEXAR COUNTY AUDITOR/ATTN:CRIM</v>
      </c>
    </row>
    <row r="3343" spans="1:9" x14ac:dyDescent="0.25">
      <c r="E3343" s="7"/>
      <c r="F3343" t="s">
        <v>20</v>
      </c>
      <c r="G3343" s="10" t="s">
        <v>21</v>
      </c>
      <c r="H3343" t="str">
        <f>"LI-7641"</f>
        <v>LI-7641</v>
      </c>
      <c r="I3343" t="str">
        <f t="shared" si="72"/>
        <v>BEXAR COUNTY AUDITOR/ATTN:CRIM</v>
      </c>
    </row>
    <row r="3344" spans="1:9" x14ac:dyDescent="0.25">
      <c r="E3344" s="7"/>
      <c r="F3344" t="s">
        <v>20</v>
      </c>
      <c r="G3344" s="10" t="s">
        <v>21</v>
      </c>
      <c r="H3344" t="str">
        <f>"LI-7642"</f>
        <v>LI-7642</v>
      </c>
      <c r="I3344" t="str">
        <f t="shared" si="72"/>
        <v>BEXAR COUNTY AUDITOR/ATTN:CRIM</v>
      </c>
    </row>
    <row r="3345" spans="1:9" x14ac:dyDescent="0.25">
      <c r="E3345" s="7"/>
      <c r="F3345" t="s">
        <v>20</v>
      </c>
      <c r="G3345" s="10" t="s">
        <v>21</v>
      </c>
      <c r="H3345" t="str">
        <f>"LI-7643"</f>
        <v>LI-7643</v>
      </c>
      <c r="I3345" t="str">
        <f t="shared" si="72"/>
        <v>BEXAR COUNTY AUDITOR/ATTN:CRIM</v>
      </c>
    </row>
    <row r="3346" spans="1:9" x14ac:dyDescent="0.25">
      <c r="A3346" s="6">
        <v>44369</v>
      </c>
      <c r="B3346" t="s">
        <v>26</v>
      </c>
      <c r="C3346">
        <v>66963</v>
      </c>
      <c r="D3346" t="s">
        <v>1063</v>
      </c>
      <c r="E3346" s="7">
        <v>837</v>
      </c>
      <c r="F3346" t="s">
        <v>20</v>
      </c>
      <c r="G3346" s="10" t="s">
        <v>21</v>
      </c>
      <c r="H3346" t="str">
        <f>"18022568"</f>
        <v>18022568</v>
      </c>
      <c r="I3346" t="str">
        <f>"RA-50 ASPHALT  50LB BAG"</f>
        <v>RA-50 ASPHALT  50LB BAG</v>
      </c>
    </row>
    <row r="3347" spans="1:9" x14ac:dyDescent="0.25">
      <c r="A3347" s="6">
        <v>44369</v>
      </c>
      <c r="B3347" t="s">
        <v>26</v>
      </c>
      <c r="C3347">
        <v>66964</v>
      </c>
      <c r="D3347" t="s">
        <v>110</v>
      </c>
      <c r="E3347" s="7">
        <v>6639.03</v>
      </c>
      <c r="F3347" t="s">
        <v>20</v>
      </c>
      <c r="G3347" s="10" t="s">
        <v>21</v>
      </c>
      <c r="H3347" t="str">
        <f>"1583985"</f>
        <v>1583985</v>
      </c>
      <c r="I3347" t="str">
        <f t="shared" ref="I3347:I3358" si="73">"BUREAU VERITAS NORTH AMERICA"</f>
        <v>BUREAU VERITAS NORTH AMERICA</v>
      </c>
    </row>
    <row r="3348" spans="1:9" x14ac:dyDescent="0.25">
      <c r="E3348" s="7"/>
      <c r="F3348" t="s">
        <v>20</v>
      </c>
      <c r="G3348" s="10" t="s">
        <v>21</v>
      </c>
      <c r="H3348" t="str">
        <f>"1583986"</f>
        <v>1583986</v>
      </c>
      <c r="I3348" t="str">
        <f t="shared" si="73"/>
        <v>BUREAU VERITAS NORTH AMERICA</v>
      </c>
    </row>
    <row r="3349" spans="1:9" x14ac:dyDescent="0.25">
      <c r="E3349" s="7"/>
      <c r="F3349" t="s">
        <v>20</v>
      </c>
      <c r="G3349" s="10" t="s">
        <v>21</v>
      </c>
      <c r="H3349" t="str">
        <f>"1583987"</f>
        <v>1583987</v>
      </c>
      <c r="I3349" t="str">
        <f t="shared" si="73"/>
        <v>BUREAU VERITAS NORTH AMERICA</v>
      </c>
    </row>
    <row r="3350" spans="1:9" x14ac:dyDescent="0.25">
      <c r="E3350" s="7"/>
      <c r="F3350" t="s">
        <v>20</v>
      </c>
      <c r="G3350" s="10" t="s">
        <v>21</v>
      </c>
      <c r="H3350" t="str">
        <f>"1583988"</f>
        <v>1583988</v>
      </c>
      <c r="I3350" t="str">
        <f t="shared" si="73"/>
        <v>BUREAU VERITAS NORTH AMERICA</v>
      </c>
    </row>
    <row r="3351" spans="1:9" x14ac:dyDescent="0.25">
      <c r="E3351" s="7"/>
      <c r="F3351" t="s">
        <v>20</v>
      </c>
      <c r="G3351" s="10" t="s">
        <v>21</v>
      </c>
      <c r="H3351" t="str">
        <f>"1583989"</f>
        <v>1583989</v>
      </c>
      <c r="I3351" t="str">
        <f t="shared" si="73"/>
        <v>BUREAU VERITAS NORTH AMERICA</v>
      </c>
    </row>
    <row r="3352" spans="1:9" x14ac:dyDescent="0.25">
      <c r="E3352" s="7"/>
      <c r="F3352" t="s">
        <v>20</v>
      </c>
      <c r="G3352" s="10" t="s">
        <v>21</v>
      </c>
      <c r="H3352" t="str">
        <f>"1583990"</f>
        <v>1583990</v>
      </c>
      <c r="I3352" t="str">
        <f t="shared" si="73"/>
        <v>BUREAU VERITAS NORTH AMERICA</v>
      </c>
    </row>
    <row r="3353" spans="1:9" x14ac:dyDescent="0.25">
      <c r="E3353" s="7"/>
      <c r="F3353" t="s">
        <v>20</v>
      </c>
      <c r="G3353" s="10" t="s">
        <v>21</v>
      </c>
      <c r="H3353" t="str">
        <f>"1583991"</f>
        <v>1583991</v>
      </c>
      <c r="I3353" t="str">
        <f t="shared" si="73"/>
        <v>BUREAU VERITAS NORTH AMERICA</v>
      </c>
    </row>
    <row r="3354" spans="1:9" x14ac:dyDescent="0.25">
      <c r="E3354" s="7"/>
      <c r="F3354" t="s">
        <v>20</v>
      </c>
      <c r="G3354" s="10" t="s">
        <v>21</v>
      </c>
      <c r="H3354" t="str">
        <f>"1583992"</f>
        <v>1583992</v>
      </c>
      <c r="I3354" t="str">
        <f t="shared" si="73"/>
        <v>BUREAU VERITAS NORTH AMERICA</v>
      </c>
    </row>
    <row r="3355" spans="1:9" x14ac:dyDescent="0.25">
      <c r="E3355" s="7"/>
      <c r="F3355" t="s">
        <v>20</v>
      </c>
      <c r="G3355" s="10" t="s">
        <v>21</v>
      </c>
      <c r="H3355" t="str">
        <f>"1583993"</f>
        <v>1583993</v>
      </c>
      <c r="I3355" t="str">
        <f t="shared" si="73"/>
        <v>BUREAU VERITAS NORTH AMERICA</v>
      </c>
    </row>
    <row r="3356" spans="1:9" x14ac:dyDescent="0.25">
      <c r="E3356" s="7"/>
      <c r="F3356" t="s">
        <v>20</v>
      </c>
      <c r="G3356" s="10" t="s">
        <v>21</v>
      </c>
      <c r="H3356" t="str">
        <f>"1583994"</f>
        <v>1583994</v>
      </c>
      <c r="I3356" t="str">
        <f t="shared" si="73"/>
        <v>BUREAU VERITAS NORTH AMERICA</v>
      </c>
    </row>
    <row r="3357" spans="1:9" x14ac:dyDescent="0.25">
      <c r="E3357" s="7"/>
      <c r="F3357" t="s">
        <v>20</v>
      </c>
      <c r="G3357" s="10" t="s">
        <v>21</v>
      </c>
      <c r="H3357" t="str">
        <f>"1583995"</f>
        <v>1583995</v>
      </c>
      <c r="I3357" t="str">
        <f t="shared" si="73"/>
        <v>BUREAU VERITAS NORTH AMERICA</v>
      </c>
    </row>
    <row r="3358" spans="1:9" x14ac:dyDescent="0.25">
      <c r="E3358" s="7"/>
      <c r="F3358" t="s">
        <v>20</v>
      </c>
      <c r="G3358" s="10" t="s">
        <v>21</v>
      </c>
      <c r="H3358" t="str">
        <f>"1583996"</f>
        <v>1583996</v>
      </c>
      <c r="I3358" t="str">
        <f t="shared" si="73"/>
        <v>BUREAU VERITAS NORTH AMERICA</v>
      </c>
    </row>
    <row r="3359" spans="1:9" x14ac:dyDescent="0.25">
      <c r="A3359" s="6">
        <v>44369</v>
      </c>
      <c r="B3359" t="s">
        <v>26</v>
      </c>
      <c r="C3359">
        <v>66966</v>
      </c>
      <c r="D3359" t="s">
        <v>63</v>
      </c>
      <c r="E3359" s="7">
        <v>1657.53</v>
      </c>
      <c r="F3359" t="s">
        <v>20</v>
      </c>
      <c r="G3359" s="10" t="s">
        <v>21</v>
      </c>
      <c r="H3359" t="str">
        <f>"8405173538"</f>
        <v>8405173538</v>
      </c>
      <c r="I3359" t="str">
        <f>"CINTAS CORPORATION"</f>
        <v>CINTAS CORPORATION</v>
      </c>
    </row>
    <row r="3360" spans="1:9" x14ac:dyDescent="0.25">
      <c r="E3360" s="7"/>
      <c r="F3360" t="s">
        <v>20</v>
      </c>
      <c r="G3360" s="10" t="s">
        <v>21</v>
      </c>
      <c r="H3360" t="str">
        <f>"8405182490"</f>
        <v>8405182490</v>
      </c>
      <c r="I3360" t="str">
        <f>"CINTAS CORPORATION"</f>
        <v>CINTAS CORPORATION</v>
      </c>
    </row>
    <row r="3361" spans="1:9" x14ac:dyDescent="0.25">
      <c r="A3361" s="6">
        <v>44369</v>
      </c>
      <c r="B3361" t="s">
        <v>26</v>
      </c>
      <c r="C3361">
        <v>66967</v>
      </c>
      <c r="D3361" t="s">
        <v>71</v>
      </c>
      <c r="E3361" s="7">
        <v>1134.52</v>
      </c>
      <c r="F3361" t="s">
        <v>20</v>
      </c>
      <c r="G3361" s="10" t="s">
        <v>21</v>
      </c>
      <c r="H3361" t="str">
        <f>"4087107215"</f>
        <v>4087107215</v>
      </c>
      <c r="I3361" t="str">
        <f t="shared" ref="I3361:I3368" si="74">"CINTAS CORPORATION #087"</f>
        <v>CINTAS CORPORATION #087</v>
      </c>
    </row>
    <row r="3362" spans="1:9" x14ac:dyDescent="0.25">
      <c r="E3362" s="7"/>
      <c r="F3362" t="s">
        <v>20</v>
      </c>
      <c r="G3362" s="10" t="s">
        <v>21</v>
      </c>
      <c r="H3362" t="str">
        <f>"4087107220"</f>
        <v>4087107220</v>
      </c>
      <c r="I3362" t="str">
        <f t="shared" si="74"/>
        <v>CINTAS CORPORATION #087</v>
      </c>
    </row>
    <row r="3363" spans="1:9" x14ac:dyDescent="0.25">
      <c r="E3363" s="7"/>
      <c r="F3363" t="s">
        <v>20</v>
      </c>
      <c r="G3363" s="10" t="s">
        <v>21</v>
      </c>
      <c r="H3363" t="str">
        <f>"4087107304"</f>
        <v>4087107304</v>
      </c>
      <c r="I3363" t="str">
        <f t="shared" si="74"/>
        <v>CINTAS CORPORATION #087</v>
      </c>
    </row>
    <row r="3364" spans="1:9" x14ac:dyDescent="0.25">
      <c r="E3364" s="7"/>
      <c r="F3364" t="s">
        <v>20</v>
      </c>
      <c r="G3364" s="10" t="s">
        <v>21</v>
      </c>
      <c r="H3364" t="str">
        <f>"4087107337"</f>
        <v>4087107337</v>
      </c>
      <c r="I3364" t="str">
        <f t="shared" si="74"/>
        <v>CINTAS CORPORATION #087</v>
      </c>
    </row>
    <row r="3365" spans="1:9" x14ac:dyDescent="0.25">
      <c r="E3365" s="7"/>
      <c r="F3365" t="s">
        <v>20</v>
      </c>
      <c r="G3365" s="10" t="s">
        <v>21</v>
      </c>
      <c r="H3365" t="str">
        <f>"4087107355"</f>
        <v>4087107355</v>
      </c>
      <c r="I3365" t="str">
        <f t="shared" si="74"/>
        <v>CINTAS CORPORATION #087</v>
      </c>
    </row>
    <row r="3366" spans="1:9" x14ac:dyDescent="0.25">
      <c r="E3366" s="7"/>
      <c r="F3366" t="s">
        <v>20</v>
      </c>
      <c r="G3366" s="10" t="s">
        <v>21</v>
      </c>
      <c r="H3366" t="str">
        <f>"4087107395"</f>
        <v>4087107395</v>
      </c>
      <c r="I3366" t="str">
        <f t="shared" si="74"/>
        <v>CINTAS CORPORATION #087</v>
      </c>
    </row>
    <row r="3367" spans="1:9" x14ac:dyDescent="0.25">
      <c r="E3367" s="7"/>
      <c r="F3367" t="s">
        <v>20</v>
      </c>
      <c r="G3367" s="10" t="s">
        <v>21</v>
      </c>
      <c r="H3367" t="str">
        <f>"4087113177"</f>
        <v>4087113177</v>
      </c>
      <c r="I3367" t="str">
        <f t="shared" si="74"/>
        <v>CINTAS CORPORATION #087</v>
      </c>
    </row>
    <row r="3368" spans="1:9" x14ac:dyDescent="0.25">
      <c r="E3368" s="7"/>
      <c r="F3368" t="s">
        <v>20</v>
      </c>
      <c r="G3368" s="10" t="s">
        <v>21</v>
      </c>
      <c r="H3368" t="str">
        <f>"4087113224"</f>
        <v>4087113224</v>
      </c>
      <c r="I3368" t="str">
        <f t="shared" si="74"/>
        <v>CINTAS CORPORATION #087</v>
      </c>
    </row>
    <row r="3369" spans="1:9" x14ac:dyDescent="0.25">
      <c r="A3369" s="6">
        <v>44369</v>
      </c>
      <c r="B3369" t="s">
        <v>26</v>
      </c>
      <c r="C3369">
        <v>66969</v>
      </c>
      <c r="D3369" t="s">
        <v>81</v>
      </c>
      <c r="E3369" s="7">
        <v>161.91999999999999</v>
      </c>
      <c r="F3369" t="s">
        <v>20</v>
      </c>
      <c r="G3369" s="10" t="s">
        <v>21</v>
      </c>
      <c r="H3369" t="str">
        <f>"A.MARTINEZ 6/2021"</f>
        <v>A.MARTINEZ 6/2021</v>
      </c>
      <c r="I3369" t="str">
        <f>"CITY OF FLORESVILLE -PETTY CAS"</f>
        <v>CITY OF FLORESVILLE -PETTY CAS</v>
      </c>
    </row>
    <row r="3370" spans="1:9" x14ac:dyDescent="0.25">
      <c r="A3370" s="6">
        <v>44369</v>
      </c>
      <c r="B3370" t="s">
        <v>26</v>
      </c>
      <c r="C3370">
        <v>66970</v>
      </c>
      <c r="D3370" t="s">
        <v>180</v>
      </c>
      <c r="E3370" s="7">
        <v>407.75</v>
      </c>
      <c r="F3370" t="s">
        <v>20</v>
      </c>
      <c r="G3370" s="10" t="s">
        <v>21</v>
      </c>
      <c r="H3370" t="str">
        <f>"2104-067542"</f>
        <v>2104-067542</v>
      </c>
      <c r="I3370" t="str">
        <f>"KNOBS AND KEYS"</f>
        <v>KNOBS AND KEYS</v>
      </c>
    </row>
    <row r="3371" spans="1:9" x14ac:dyDescent="0.25">
      <c r="E3371" s="7"/>
      <c r="F3371" t="s">
        <v>20</v>
      </c>
      <c r="G3371" s="10" t="s">
        <v>21</v>
      </c>
      <c r="H3371" t="str">
        <f>"2104-072422"</f>
        <v>2104-072422</v>
      </c>
      <c r="I3371" t="str">
        <f>"MASTER LOCKS FOR METERS"</f>
        <v>MASTER LOCKS FOR METERS</v>
      </c>
    </row>
    <row r="3372" spans="1:9" x14ac:dyDescent="0.25">
      <c r="A3372" s="6">
        <v>44369</v>
      </c>
      <c r="B3372" t="s">
        <v>26</v>
      </c>
      <c r="C3372">
        <v>66971</v>
      </c>
      <c r="D3372" t="s">
        <v>647</v>
      </c>
      <c r="E3372" s="7">
        <v>3483.98</v>
      </c>
      <c r="F3372" t="s">
        <v>20</v>
      </c>
      <c r="G3372" s="10" t="s">
        <v>21</v>
      </c>
      <c r="H3372" t="str">
        <f>"29480382"</f>
        <v>29480382</v>
      </c>
      <c r="I3372" t="str">
        <f>"DOCUMATION  INC."</f>
        <v>DOCUMATION  INC.</v>
      </c>
    </row>
    <row r="3373" spans="1:9" x14ac:dyDescent="0.25">
      <c r="A3373" s="6">
        <v>44369</v>
      </c>
      <c r="B3373" t="s">
        <v>26</v>
      </c>
      <c r="C3373">
        <v>66972</v>
      </c>
      <c r="D3373" t="s">
        <v>77</v>
      </c>
      <c r="E3373" s="7">
        <v>2354.36</v>
      </c>
      <c r="F3373" t="s">
        <v>20</v>
      </c>
      <c r="G3373" s="10" t="s">
        <v>21</v>
      </c>
      <c r="H3373" t="str">
        <f>"857001210-21"</f>
        <v>857001210-21</v>
      </c>
      <c r="I3373" t="str">
        <f>"CHLORINE- HOSPITAL WELL"</f>
        <v>CHLORINE- HOSPITAL WELL</v>
      </c>
    </row>
    <row r="3374" spans="1:9" x14ac:dyDescent="0.25">
      <c r="E3374" s="7"/>
      <c r="F3374" t="s">
        <v>20</v>
      </c>
      <c r="G3374" s="10" t="s">
        <v>21</v>
      </c>
      <c r="H3374" t="str">
        <f>"857001211-21"</f>
        <v>857001211-21</v>
      </c>
      <c r="I3374" t="str">
        <f>"WWTP CHLORINE"</f>
        <v>WWTP CHLORINE</v>
      </c>
    </row>
    <row r="3375" spans="1:9" x14ac:dyDescent="0.25">
      <c r="E3375" s="7"/>
      <c r="F3375" t="s">
        <v>20</v>
      </c>
      <c r="G3375" s="10" t="s">
        <v>21</v>
      </c>
      <c r="H3375" t="str">
        <f>"857001212-21"</f>
        <v>857001212-21</v>
      </c>
      <c r="I3375" t="str">
        <f>"CHLORINE B-STREET WELL"</f>
        <v>CHLORINE B-STREET WELL</v>
      </c>
    </row>
    <row r="3376" spans="1:9" x14ac:dyDescent="0.25">
      <c r="E3376" s="7"/>
      <c r="F3376" t="s">
        <v>20</v>
      </c>
      <c r="G3376" s="10" t="s">
        <v>21</v>
      </c>
      <c r="H3376" t="str">
        <f>"DE85001222-21"</f>
        <v>DE85001222-21</v>
      </c>
      <c r="I3376" t="str">
        <f>"DPC INDUSTRIES  INC."</f>
        <v>DPC INDUSTRIES  INC.</v>
      </c>
    </row>
    <row r="3377" spans="1:9" x14ac:dyDescent="0.25">
      <c r="A3377" s="6">
        <v>44369</v>
      </c>
      <c r="B3377" t="s">
        <v>26</v>
      </c>
      <c r="C3377">
        <v>66974</v>
      </c>
      <c r="D3377" t="s">
        <v>325</v>
      </c>
      <c r="E3377" s="7">
        <v>423.14</v>
      </c>
      <c r="F3377" t="s">
        <v>20</v>
      </c>
      <c r="G3377" s="10" t="s">
        <v>21</v>
      </c>
      <c r="H3377" t="str">
        <f>"247001- 052021"</f>
        <v>247001- 052021</v>
      </c>
      <c r="I3377" t="str">
        <f>"DSHS CENTRAL LAB MC2004"</f>
        <v>DSHS CENTRAL LAB MC2004</v>
      </c>
    </row>
    <row r="3378" spans="1:9" x14ac:dyDescent="0.25">
      <c r="A3378" s="6">
        <v>44369</v>
      </c>
      <c r="B3378" t="s">
        <v>26</v>
      </c>
      <c r="C3378">
        <v>66975</v>
      </c>
      <c r="D3378" t="s">
        <v>69</v>
      </c>
      <c r="E3378" s="7">
        <v>3261.31</v>
      </c>
      <c r="F3378" t="s">
        <v>20</v>
      </c>
      <c r="G3378" s="10" t="s">
        <v>21</v>
      </c>
      <c r="H3378" t="str">
        <f>"3C07449"</f>
        <v>3C07449</v>
      </c>
      <c r="I3378" t="str">
        <f>"BLADES"</f>
        <v>BLADES</v>
      </c>
    </row>
    <row r="3379" spans="1:9" x14ac:dyDescent="0.25">
      <c r="E3379" s="7"/>
      <c r="F3379" t="s">
        <v>20</v>
      </c>
      <c r="G3379" s="10" t="s">
        <v>21</v>
      </c>
      <c r="H3379" t="str">
        <f>"3C08244"</f>
        <v>3C08244</v>
      </c>
      <c r="I3379" t="str">
        <f>"MINOR REPAIR- SERVICE"</f>
        <v>MINOR REPAIR- SERVICE</v>
      </c>
    </row>
    <row r="3380" spans="1:9" x14ac:dyDescent="0.25">
      <c r="E3380" s="7"/>
      <c r="F3380" t="s">
        <v>20</v>
      </c>
      <c r="G3380" s="10" t="s">
        <v>21</v>
      </c>
      <c r="H3380" t="str">
        <f>"3C08511"</f>
        <v>3C08511</v>
      </c>
      <c r="I3380" t="str">
        <f>"EQUIPMENT"</f>
        <v>EQUIPMENT</v>
      </c>
    </row>
    <row r="3381" spans="1:9" x14ac:dyDescent="0.25">
      <c r="E3381" s="7"/>
      <c r="F3381" t="s">
        <v>20</v>
      </c>
      <c r="G3381" s="10" t="s">
        <v>21</v>
      </c>
      <c r="H3381" t="str">
        <f>"3C08648"</f>
        <v>3C08648</v>
      </c>
      <c r="I3381" t="str">
        <f>"PARKS DEPT"</f>
        <v>PARKS DEPT</v>
      </c>
    </row>
    <row r="3382" spans="1:9" x14ac:dyDescent="0.25">
      <c r="A3382" s="6">
        <v>44369</v>
      </c>
      <c r="B3382" t="s">
        <v>26</v>
      </c>
      <c r="C3382">
        <v>66977</v>
      </c>
      <c r="D3382" t="s">
        <v>79</v>
      </c>
      <c r="E3382" s="7">
        <v>13.65</v>
      </c>
      <c r="F3382" t="s">
        <v>20</v>
      </c>
      <c r="G3382" s="10" t="s">
        <v>21</v>
      </c>
      <c r="H3382" t="str">
        <f>"7-399-72551"</f>
        <v>7-399-72551</v>
      </c>
      <c r="I3382" t="str">
        <f>"FEDEX"</f>
        <v>FEDEX</v>
      </c>
    </row>
    <row r="3383" spans="1:9" x14ac:dyDescent="0.25">
      <c r="A3383" s="6">
        <v>44369</v>
      </c>
      <c r="B3383" t="s">
        <v>26</v>
      </c>
      <c r="C3383">
        <v>66978</v>
      </c>
      <c r="D3383" t="s">
        <v>85</v>
      </c>
      <c r="E3383" s="7">
        <v>2984.71</v>
      </c>
      <c r="F3383" t="s">
        <v>20</v>
      </c>
      <c r="G3383" s="10" t="s">
        <v>21</v>
      </c>
      <c r="H3383" t="str">
        <f>"2162733 JUNE 2021"</f>
        <v>2162733 JUNE 2021</v>
      </c>
      <c r="I3383" t="str">
        <f t="shared" ref="I3383:I3390" si="75">"FRONTIER"</f>
        <v>FRONTIER</v>
      </c>
    </row>
    <row r="3384" spans="1:9" x14ac:dyDescent="0.25">
      <c r="E3384" s="7"/>
      <c r="F3384" t="s">
        <v>20</v>
      </c>
      <c r="G3384" s="10" t="s">
        <v>21</v>
      </c>
      <c r="H3384" t="str">
        <f>"2162755 JUNE 2021"</f>
        <v>2162755 JUNE 2021</v>
      </c>
      <c r="I3384" t="str">
        <f t="shared" si="75"/>
        <v>FRONTIER</v>
      </c>
    </row>
    <row r="3385" spans="1:9" x14ac:dyDescent="0.25">
      <c r="E3385" s="7"/>
      <c r="F3385" t="s">
        <v>20</v>
      </c>
      <c r="G3385" s="10" t="s">
        <v>21</v>
      </c>
      <c r="H3385" t="str">
        <f>"2162755 JUNE2021"</f>
        <v>2162755 JUNE2021</v>
      </c>
      <c r="I3385" t="str">
        <f t="shared" si="75"/>
        <v>FRONTIER</v>
      </c>
    </row>
    <row r="3386" spans="1:9" x14ac:dyDescent="0.25">
      <c r="E3386" s="7"/>
      <c r="F3386" t="s">
        <v>20</v>
      </c>
      <c r="G3386" s="10" t="s">
        <v>21</v>
      </c>
      <c r="H3386" t="str">
        <f>"3932804 JUNE 2021"</f>
        <v>3932804 JUNE 2021</v>
      </c>
      <c r="I3386" t="str">
        <f t="shared" si="75"/>
        <v>FRONTIER</v>
      </c>
    </row>
    <row r="3387" spans="1:9" x14ac:dyDescent="0.25">
      <c r="E3387" s="7"/>
      <c r="F3387" t="s">
        <v>20</v>
      </c>
      <c r="G3387" s="10" t="s">
        <v>21</v>
      </c>
      <c r="H3387" t="str">
        <f>"3934055 JUNE 2021"</f>
        <v>3934055 JUNE 2021</v>
      </c>
      <c r="I3387" t="str">
        <f t="shared" si="75"/>
        <v>FRONTIER</v>
      </c>
    </row>
    <row r="3388" spans="1:9" x14ac:dyDescent="0.25">
      <c r="E3388" s="7"/>
      <c r="F3388" t="s">
        <v>20</v>
      </c>
      <c r="G3388" s="10" t="s">
        <v>21</v>
      </c>
      <c r="H3388" t="str">
        <f>"3936794 JUNE2021"</f>
        <v>3936794 JUNE2021</v>
      </c>
      <c r="I3388" t="str">
        <f t="shared" si="75"/>
        <v>FRONTIER</v>
      </c>
    </row>
    <row r="3389" spans="1:9" x14ac:dyDescent="0.25">
      <c r="E3389" s="7"/>
      <c r="F3389" t="s">
        <v>20</v>
      </c>
      <c r="G3389" s="10" t="s">
        <v>21</v>
      </c>
      <c r="H3389" t="str">
        <f>"3938193 JUNE 2021"</f>
        <v>3938193 JUNE 2021</v>
      </c>
      <c r="I3389" t="str">
        <f t="shared" si="75"/>
        <v>FRONTIER</v>
      </c>
    </row>
    <row r="3390" spans="1:9" x14ac:dyDescent="0.25">
      <c r="E3390" s="7"/>
      <c r="F3390" t="s">
        <v>20</v>
      </c>
      <c r="G3390" s="10" t="s">
        <v>21</v>
      </c>
      <c r="H3390" t="str">
        <f>"8301970025 JUNE21"</f>
        <v>8301970025 JUNE21</v>
      </c>
      <c r="I3390" t="str">
        <f t="shared" si="75"/>
        <v>FRONTIER</v>
      </c>
    </row>
    <row r="3391" spans="1:9" x14ac:dyDescent="0.25">
      <c r="A3391" s="6">
        <v>44369</v>
      </c>
      <c r="B3391" t="s">
        <v>26</v>
      </c>
      <c r="C3391">
        <v>66980</v>
      </c>
      <c r="D3391" t="s">
        <v>1034</v>
      </c>
      <c r="E3391" s="7">
        <v>129422</v>
      </c>
      <c r="F3391" t="s">
        <v>20</v>
      </c>
      <c r="G3391" s="10" t="s">
        <v>21</v>
      </c>
      <c r="H3391" t="str">
        <f>"48757"</f>
        <v>48757</v>
      </c>
      <c r="I3391" t="str">
        <f>"181 SEWER REPAIR"</f>
        <v>181 SEWER REPAIR</v>
      </c>
    </row>
    <row r="3392" spans="1:9" x14ac:dyDescent="0.25">
      <c r="A3392" s="6">
        <v>44369</v>
      </c>
      <c r="B3392" t="s">
        <v>26</v>
      </c>
      <c r="C3392">
        <v>66981</v>
      </c>
      <c r="D3392" t="s">
        <v>194</v>
      </c>
      <c r="E3392" s="7">
        <v>138.4</v>
      </c>
      <c r="F3392" t="s">
        <v>20</v>
      </c>
      <c r="G3392" s="10" t="s">
        <v>21</v>
      </c>
      <c r="H3392" t="str">
        <f>"018384045"</f>
        <v>018384045</v>
      </c>
      <c r="I3392" t="str">
        <f>"GALLS  LLC-D.B.A. STERLING'S U"</f>
        <v>GALLS  LLC-D.B.A. STERLING'S U</v>
      </c>
    </row>
    <row r="3393" spans="1:9" x14ac:dyDescent="0.25">
      <c r="E3393" s="7"/>
      <c r="F3393" t="s">
        <v>20</v>
      </c>
      <c r="G3393" s="10" t="s">
        <v>21</v>
      </c>
      <c r="H3393" t="str">
        <f>"018384048"</f>
        <v>018384048</v>
      </c>
      <c r="I3393" t="str">
        <f>"GALLS  LLC-D.B.A. STERLING'S U"</f>
        <v>GALLS  LLC-D.B.A. STERLING'S U</v>
      </c>
    </row>
    <row r="3394" spans="1:9" x14ac:dyDescent="0.25">
      <c r="E3394" s="7"/>
      <c r="F3394" t="s">
        <v>20</v>
      </c>
      <c r="G3394" s="10" t="s">
        <v>21</v>
      </c>
      <c r="H3394" t="str">
        <f>"018396037"</f>
        <v>018396037</v>
      </c>
      <c r="I3394" t="str">
        <f>"GALLS  LLC-D.B.A. STERLING'S U"</f>
        <v>GALLS  LLC-D.B.A. STERLING'S U</v>
      </c>
    </row>
    <row r="3395" spans="1:9" x14ac:dyDescent="0.25">
      <c r="A3395" s="6">
        <v>44369</v>
      </c>
      <c r="B3395" t="s">
        <v>26</v>
      </c>
      <c r="C3395">
        <v>66982</v>
      </c>
      <c r="D3395" t="s">
        <v>302</v>
      </c>
      <c r="E3395" s="7">
        <v>34.17</v>
      </c>
      <c r="F3395" t="s">
        <v>20</v>
      </c>
      <c r="G3395" s="10" t="s">
        <v>21</v>
      </c>
      <c r="H3395" t="str">
        <f>"9929266543"</f>
        <v>9929266543</v>
      </c>
      <c r="I3395" t="str">
        <f>"TOOL/SUPPLIES"</f>
        <v>TOOL/SUPPLIES</v>
      </c>
    </row>
    <row r="3396" spans="1:9" x14ac:dyDescent="0.25">
      <c r="A3396" s="6">
        <v>44369</v>
      </c>
      <c r="B3396" t="s">
        <v>26</v>
      </c>
      <c r="C3396">
        <v>66983</v>
      </c>
      <c r="D3396" t="s">
        <v>116</v>
      </c>
      <c r="E3396" s="7">
        <v>617.38</v>
      </c>
      <c r="F3396" t="s">
        <v>20</v>
      </c>
      <c r="G3396" s="10" t="s">
        <v>21</v>
      </c>
      <c r="H3396" t="str">
        <f>"INV001074229"</f>
        <v>INV001074229</v>
      </c>
      <c r="I3396" t="str">
        <f>"POOL SUPPLIES"</f>
        <v>POOL SUPPLIES</v>
      </c>
    </row>
    <row r="3397" spans="1:9" x14ac:dyDescent="0.25">
      <c r="A3397" s="6">
        <v>44369</v>
      </c>
      <c r="B3397" t="s">
        <v>26</v>
      </c>
      <c r="C3397">
        <v>66984</v>
      </c>
      <c r="D3397" t="s">
        <v>328</v>
      </c>
      <c r="E3397" s="7">
        <v>2500</v>
      </c>
      <c r="F3397" t="s">
        <v>20</v>
      </c>
      <c r="G3397" s="10" t="s">
        <v>21</v>
      </c>
      <c r="H3397" t="str">
        <f>"7020621"</f>
        <v>7020621</v>
      </c>
      <c r="I3397" t="str">
        <f>"KOLOGIK"</f>
        <v>KOLOGIK</v>
      </c>
    </row>
    <row r="3398" spans="1:9" x14ac:dyDescent="0.25">
      <c r="E3398" s="7"/>
      <c r="F3398" t="s">
        <v>20</v>
      </c>
      <c r="G3398" s="10" t="s">
        <v>21</v>
      </c>
      <c r="H3398" t="str">
        <f>"7020622"</f>
        <v>7020622</v>
      </c>
      <c r="I3398" t="str">
        <f>"KOLOGIK"</f>
        <v>KOLOGIK</v>
      </c>
    </row>
    <row r="3399" spans="1:9" x14ac:dyDescent="0.25">
      <c r="A3399" s="6">
        <v>44369</v>
      </c>
      <c r="B3399" t="s">
        <v>26</v>
      </c>
      <c r="C3399">
        <v>66985</v>
      </c>
      <c r="D3399" t="s">
        <v>66</v>
      </c>
      <c r="E3399" s="7">
        <v>340</v>
      </c>
      <c r="F3399" t="s">
        <v>20</v>
      </c>
      <c r="G3399" s="10" t="s">
        <v>21</v>
      </c>
      <c r="H3399" t="str">
        <f>"60743"</f>
        <v>60743</v>
      </c>
      <c r="I3399" t="str">
        <f>"LOPEZ EXTERMINATING SERVICE  I"</f>
        <v>LOPEZ EXTERMINATING SERVICE  I</v>
      </c>
    </row>
    <row r="3400" spans="1:9" x14ac:dyDescent="0.25">
      <c r="A3400" s="6">
        <v>44369</v>
      </c>
      <c r="B3400" t="s">
        <v>26</v>
      </c>
      <c r="C3400">
        <v>66986</v>
      </c>
      <c r="D3400" t="s">
        <v>326</v>
      </c>
      <c r="E3400" s="7">
        <v>41</v>
      </c>
      <c r="F3400" t="s">
        <v>20</v>
      </c>
      <c r="G3400" s="10" t="s">
        <v>21</v>
      </c>
      <c r="H3400" t="str">
        <f>"0023644557"</f>
        <v>0023644557</v>
      </c>
      <c r="I3400" t="str">
        <f>"MATHESON TRI-GAS INC"</f>
        <v>MATHESON TRI-GAS INC</v>
      </c>
    </row>
    <row r="3401" spans="1:9" x14ac:dyDescent="0.25">
      <c r="A3401" s="6">
        <v>44369</v>
      </c>
      <c r="B3401" t="s">
        <v>26</v>
      </c>
      <c r="C3401">
        <v>66987</v>
      </c>
      <c r="D3401" t="s">
        <v>124</v>
      </c>
      <c r="E3401" s="7">
        <v>48.96</v>
      </c>
      <c r="F3401" t="s">
        <v>20</v>
      </c>
      <c r="G3401" s="10" t="s">
        <v>21</v>
      </c>
      <c r="H3401" t="str">
        <f>"11106592"</f>
        <v>11106592</v>
      </c>
      <c r="I3401" t="str">
        <f>"SPORTS COMPLEX"</f>
        <v>SPORTS COMPLEX</v>
      </c>
    </row>
    <row r="3402" spans="1:9" x14ac:dyDescent="0.25">
      <c r="A3402" s="6">
        <v>44369</v>
      </c>
      <c r="B3402" t="s">
        <v>26</v>
      </c>
      <c r="C3402">
        <v>66988</v>
      </c>
      <c r="D3402" t="s">
        <v>345</v>
      </c>
      <c r="E3402" s="7">
        <v>313.5</v>
      </c>
      <c r="F3402" t="s">
        <v>20</v>
      </c>
      <c r="G3402" s="10" t="s">
        <v>21</v>
      </c>
      <c r="H3402" t="str">
        <f>"6/21/2021"</f>
        <v>6/21/2021</v>
      </c>
      <c r="I3402" t="str">
        <f>"MICHAEL ISAAC MARTINEZ"</f>
        <v>MICHAEL ISAAC MARTINEZ</v>
      </c>
    </row>
    <row r="3403" spans="1:9" x14ac:dyDescent="0.25">
      <c r="A3403" s="6">
        <v>44369</v>
      </c>
      <c r="B3403" t="s">
        <v>26</v>
      </c>
      <c r="C3403">
        <v>66989</v>
      </c>
      <c r="D3403" t="s">
        <v>689</v>
      </c>
      <c r="E3403" s="7">
        <v>35.630000000000003</v>
      </c>
      <c r="F3403" t="s">
        <v>20</v>
      </c>
      <c r="G3403" s="10" t="s">
        <v>21</v>
      </c>
      <c r="H3403" t="str">
        <f>"3889"</f>
        <v>3889</v>
      </c>
      <c r="I3403" t="str">
        <f>"PACKING"</f>
        <v>PACKING</v>
      </c>
    </row>
    <row r="3404" spans="1:9" x14ac:dyDescent="0.25">
      <c r="A3404" s="6">
        <v>44369</v>
      </c>
      <c r="B3404" t="s">
        <v>26</v>
      </c>
      <c r="C3404">
        <v>66990</v>
      </c>
      <c r="D3404" t="s">
        <v>240</v>
      </c>
      <c r="E3404" s="7">
        <v>355.5</v>
      </c>
      <c r="F3404" t="s">
        <v>20</v>
      </c>
      <c r="G3404" s="10" t="s">
        <v>21</v>
      </c>
      <c r="H3404" t="str">
        <f>"0210523-IN"</f>
        <v>0210523-IN</v>
      </c>
      <c r="I3404" t="str">
        <f>"NARDIS PUBLIC SAFETY"</f>
        <v>NARDIS PUBLIC SAFETY</v>
      </c>
    </row>
    <row r="3405" spans="1:9" x14ac:dyDescent="0.25">
      <c r="A3405" s="6">
        <v>44369</v>
      </c>
      <c r="B3405" t="s">
        <v>26</v>
      </c>
      <c r="C3405">
        <v>66991</v>
      </c>
      <c r="D3405" t="s">
        <v>123</v>
      </c>
      <c r="E3405" s="7">
        <v>808.53</v>
      </c>
      <c r="F3405" t="s">
        <v>20</v>
      </c>
      <c r="G3405" s="10" t="s">
        <v>21</v>
      </c>
      <c r="H3405" t="str">
        <f>"156160598001*"</f>
        <v>156160598001*</v>
      </c>
      <c r="I3405" t="str">
        <f t="shared" ref="I3405:I3412" si="76">"OFFICE SUPPLIES"</f>
        <v>OFFICE SUPPLIES</v>
      </c>
    </row>
    <row r="3406" spans="1:9" x14ac:dyDescent="0.25">
      <c r="E3406" s="7"/>
      <c r="F3406" t="s">
        <v>20</v>
      </c>
      <c r="G3406" s="10" t="s">
        <v>21</v>
      </c>
      <c r="H3406" t="str">
        <f>"173459839001"</f>
        <v>173459839001</v>
      </c>
      <c r="I3406" t="str">
        <f t="shared" si="76"/>
        <v>OFFICE SUPPLIES</v>
      </c>
    </row>
    <row r="3407" spans="1:9" x14ac:dyDescent="0.25">
      <c r="E3407" s="7"/>
      <c r="F3407" t="s">
        <v>20</v>
      </c>
      <c r="G3407" s="10" t="s">
        <v>21</v>
      </c>
      <c r="H3407" t="str">
        <f>"173469860001"</f>
        <v>173469860001</v>
      </c>
      <c r="I3407" t="str">
        <f t="shared" si="76"/>
        <v>OFFICE SUPPLIES</v>
      </c>
    </row>
    <row r="3408" spans="1:9" x14ac:dyDescent="0.25">
      <c r="E3408" s="7"/>
      <c r="F3408" t="s">
        <v>20</v>
      </c>
      <c r="G3408" s="10" t="s">
        <v>21</v>
      </c>
      <c r="H3408" t="str">
        <f>"173469880001"</f>
        <v>173469880001</v>
      </c>
      <c r="I3408" t="str">
        <f t="shared" si="76"/>
        <v>OFFICE SUPPLIES</v>
      </c>
    </row>
    <row r="3409" spans="1:9" x14ac:dyDescent="0.25">
      <c r="E3409" s="7"/>
      <c r="F3409" t="s">
        <v>20</v>
      </c>
      <c r="G3409" s="10" t="s">
        <v>21</v>
      </c>
      <c r="H3409" t="str">
        <f>"173528572001"</f>
        <v>173528572001</v>
      </c>
      <c r="I3409" t="str">
        <f t="shared" si="76"/>
        <v>OFFICE SUPPLIES</v>
      </c>
    </row>
    <row r="3410" spans="1:9" x14ac:dyDescent="0.25">
      <c r="E3410" s="7"/>
      <c r="F3410" t="s">
        <v>20</v>
      </c>
      <c r="G3410" s="10" t="s">
        <v>21</v>
      </c>
      <c r="H3410" t="str">
        <f>"173528572002"</f>
        <v>173528572002</v>
      </c>
      <c r="I3410" t="str">
        <f t="shared" si="76"/>
        <v>OFFICE SUPPLIES</v>
      </c>
    </row>
    <row r="3411" spans="1:9" x14ac:dyDescent="0.25">
      <c r="E3411" s="7"/>
      <c r="F3411" t="s">
        <v>20</v>
      </c>
      <c r="G3411" s="10" t="s">
        <v>21</v>
      </c>
      <c r="H3411" t="str">
        <f>"173528572003"</f>
        <v>173528572003</v>
      </c>
      <c r="I3411" t="str">
        <f t="shared" si="76"/>
        <v>OFFICE SUPPLIES</v>
      </c>
    </row>
    <row r="3412" spans="1:9" x14ac:dyDescent="0.25">
      <c r="E3412" s="7"/>
      <c r="F3412" t="s">
        <v>20</v>
      </c>
      <c r="G3412" s="10" t="s">
        <v>21</v>
      </c>
      <c r="H3412" t="str">
        <f>"174038282001"</f>
        <v>174038282001</v>
      </c>
      <c r="I3412" t="str">
        <f t="shared" si="76"/>
        <v>OFFICE SUPPLIES</v>
      </c>
    </row>
    <row r="3413" spans="1:9" x14ac:dyDescent="0.25">
      <c r="E3413" s="7"/>
      <c r="F3413" t="s">
        <v>20</v>
      </c>
      <c r="G3413" s="10" t="s">
        <v>21</v>
      </c>
      <c r="H3413" t="str">
        <f>"174150134001"</f>
        <v>174150134001</v>
      </c>
      <c r="I3413" t="str">
        <f>"LAPTOP CASE"</f>
        <v>LAPTOP CASE</v>
      </c>
    </row>
    <row r="3414" spans="1:9" x14ac:dyDescent="0.25">
      <c r="E3414" s="7"/>
      <c r="F3414" t="s">
        <v>20</v>
      </c>
      <c r="G3414" s="10" t="s">
        <v>21</v>
      </c>
      <c r="H3414" t="str">
        <f>"175729993001"</f>
        <v>175729993001</v>
      </c>
      <c r="I3414" t="str">
        <f>"OFFICE SUPPLIES"</f>
        <v>OFFICE SUPPLIES</v>
      </c>
    </row>
    <row r="3415" spans="1:9" x14ac:dyDescent="0.25">
      <c r="E3415" s="7"/>
      <c r="F3415" t="s">
        <v>20</v>
      </c>
      <c r="G3415" s="10" t="s">
        <v>21</v>
      </c>
      <c r="H3415" t="str">
        <f>"175732346001"</f>
        <v>175732346001</v>
      </c>
      <c r="I3415" t="str">
        <f>"OFFICE SUPPLIES"</f>
        <v>OFFICE SUPPLIES</v>
      </c>
    </row>
    <row r="3416" spans="1:9" x14ac:dyDescent="0.25">
      <c r="E3416" s="7"/>
      <c r="F3416" t="s">
        <v>20</v>
      </c>
      <c r="G3416" s="10" t="s">
        <v>21</v>
      </c>
      <c r="H3416" t="str">
        <f>"175929548001"</f>
        <v>175929548001</v>
      </c>
      <c r="I3416" t="str">
        <f>"CLEANING SUPPLIES"</f>
        <v>CLEANING SUPPLIES</v>
      </c>
    </row>
    <row r="3417" spans="1:9" x14ac:dyDescent="0.25">
      <c r="E3417" s="7"/>
      <c r="F3417" t="s">
        <v>20</v>
      </c>
      <c r="G3417" s="10" t="s">
        <v>21</v>
      </c>
      <c r="H3417" t="str">
        <f>"175934678001"</f>
        <v>175934678001</v>
      </c>
      <c r="I3417" t="str">
        <f>"CLEANING SUPPLIES"</f>
        <v>CLEANING SUPPLIES</v>
      </c>
    </row>
    <row r="3418" spans="1:9" x14ac:dyDescent="0.25">
      <c r="A3418" s="6">
        <v>44369</v>
      </c>
      <c r="B3418" t="s">
        <v>26</v>
      </c>
      <c r="C3418">
        <v>66995</v>
      </c>
      <c r="D3418" t="s">
        <v>137</v>
      </c>
      <c r="E3418" s="7">
        <v>121.9</v>
      </c>
      <c r="F3418" t="s">
        <v>20</v>
      </c>
      <c r="G3418" s="10" t="s">
        <v>21</v>
      </c>
      <c r="H3418" t="str">
        <f>"25728"</f>
        <v>25728</v>
      </c>
      <c r="I3418" t="str">
        <f>"OMNIBUS-M  INC.D.B.A."</f>
        <v>OMNIBUS-M  INC.D.B.A.</v>
      </c>
    </row>
    <row r="3419" spans="1:9" x14ac:dyDescent="0.25">
      <c r="E3419" s="7"/>
      <c r="F3419" t="s">
        <v>20</v>
      </c>
      <c r="G3419" s="10" t="s">
        <v>21</v>
      </c>
      <c r="H3419" t="str">
        <f>"25729"</f>
        <v>25729</v>
      </c>
      <c r="I3419" t="str">
        <f>"OMNIBUS-M  INC.D.B.A."</f>
        <v>OMNIBUS-M  INC.D.B.A.</v>
      </c>
    </row>
    <row r="3420" spans="1:9" x14ac:dyDescent="0.25">
      <c r="A3420" s="6">
        <v>44369</v>
      </c>
      <c r="B3420" t="s">
        <v>26</v>
      </c>
      <c r="C3420">
        <v>66996</v>
      </c>
      <c r="D3420" t="s">
        <v>248</v>
      </c>
      <c r="E3420" s="7">
        <v>180</v>
      </c>
      <c r="F3420" t="s">
        <v>20</v>
      </c>
      <c r="G3420" s="10" t="s">
        <v>21</v>
      </c>
      <c r="H3420" t="str">
        <f>"1018311555"</f>
        <v>1018311555</v>
      </c>
      <c r="I3420" t="str">
        <f>"PITNEY BOWES"</f>
        <v>PITNEY BOWES</v>
      </c>
    </row>
    <row r="3421" spans="1:9" x14ac:dyDescent="0.25">
      <c r="A3421" s="6">
        <v>44369</v>
      </c>
      <c r="B3421" t="s">
        <v>26</v>
      </c>
      <c r="C3421">
        <v>66997</v>
      </c>
      <c r="D3421" t="s">
        <v>166</v>
      </c>
      <c r="E3421" s="7">
        <v>338.79</v>
      </c>
      <c r="F3421" t="s">
        <v>20</v>
      </c>
      <c r="G3421" s="10" t="s">
        <v>21</v>
      </c>
      <c r="H3421" t="str">
        <f>"1056-9567  6/30/21"</f>
        <v>1056-9567  6/30/21</v>
      </c>
      <c r="I3421" t="str">
        <f>"PITNEY BOWES PURCHASE POWER"</f>
        <v>PITNEY BOWES PURCHASE POWER</v>
      </c>
    </row>
    <row r="3422" spans="1:9" x14ac:dyDescent="0.25">
      <c r="A3422" s="6">
        <v>44369</v>
      </c>
      <c r="B3422" t="s">
        <v>26</v>
      </c>
      <c r="C3422">
        <v>66998</v>
      </c>
      <c r="D3422" t="s">
        <v>323</v>
      </c>
      <c r="E3422" s="7">
        <v>630</v>
      </c>
      <c r="F3422" t="s">
        <v>20</v>
      </c>
      <c r="G3422" s="10" t="s">
        <v>21</v>
      </c>
      <c r="H3422" t="str">
        <f>"8545"</f>
        <v>8545</v>
      </c>
      <c r="I3422" t="str">
        <f>"POLLOK SELF STORAGE LLC"</f>
        <v>POLLOK SELF STORAGE LLC</v>
      </c>
    </row>
    <row r="3423" spans="1:9" x14ac:dyDescent="0.25">
      <c r="A3423" s="6">
        <v>44369</v>
      </c>
      <c r="B3423" t="s">
        <v>26</v>
      </c>
      <c r="C3423">
        <v>66999</v>
      </c>
      <c r="D3423" t="s">
        <v>528</v>
      </c>
      <c r="E3423" s="7">
        <v>147.32</v>
      </c>
      <c r="F3423" t="s">
        <v>20</v>
      </c>
      <c r="G3423" s="10" t="s">
        <v>21</v>
      </c>
      <c r="H3423" t="str">
        <f>"10593916"</f>
        <v>10593916</v>
      </c>
      <c r="I3423" t="str">
        <f>"PROSTAR SERVICES INC"</f>
        <v>PROSTAR SERVICES INC</v>
      </c>
    </row>
    <row r="3424" spans="1:9" x14ac:dyDescent="0.25">
      <c r="A3424" s="6">
        <v>44369</v>
      </c>
      <c r="B3424" t="s">
        <v>26</v>
      </c>
      <c r="C3424">
        <v>67000</v>
      </c>
      <c r="D3424" t="s">
        <v>218</v>
      </c>
      <c r="E3424" s="7">
        <v>125</v>
      </c>
      <c r="F3424" t="s">
        <v>20</v>
      </c>
      <c r="G3424" s="10" t="s">
        <v>21</v>
      </c>
      <c r="H3424" t="str">
        <f>"7498"</f>
        <v>7498</v>
      </c>
      <c r="I3424" t="str">
        <f>"RICK'S TOWING SERVICE"</f>
        <v>RICK'S TOWING SERVICE</v>
      </c>
    </row>
    <row r="3425" spans="1:9" x14ac:dyDescent="0.25">
      <c r="A3425" s="6">
        <v>44369</v>
      </c>
      <c r="B3425" t="s">
        <v>26</v>
      </c>
      <c r="C3425">
        <v>67001</v>
      </c>
      <c r="D3425" t="s">
        <v>495</v>
      </c>
      <c r="E3425" s="7">
        <v>25.27</v>
      </c>
      <c r="F3425" t="s">
        <v>20</v>
      </c>
      <c r="G3425" s="10" t="s">
        <v>21</v>
      </c>
      <c r="H3425" t="str">
        <f>"0500747-IN"</f>
        <v>0500747-IN</v>
      </c>
      <c r="I3425" t="str">
        <f>"SIRCHIE"</f>
        <v>SIRCHIE</v>
      </c>
    </row>
    <row r="3426" spans="1:9" x14ac:dyDescent="0.25">
      <c r="A3426" s="6">
        <v>44369</v>
      </c>
      <c r="B3426" t="s">
        <v>26</v>
      </c>
      <c r="C3426">
        <v>67002</v>
      </c>
      <c r="D3426" t="s">
        <v>425</v>
      </c>
      <c r="E3426" s="7">
        <v>108.75</v>
      </c>
      <c r="F3426" t="s">
        <v>20</v>
      </c>
      <c r="G3426" s="10" t="s">
        <v>21</v>
      </c>
      <c r="H3426" t="str">
        <f>"405708"</f>
        <v>405708</v>
      </c>
      <c r="I3426" t="str">
        <f>"ORTIZ BADGES"</f>
        <v>ORTIZ BADGES</v>
      </c>
    </row>
    <row r="3427" spans="1:9" x14ac:dyDescent="0.25">
      <c r="A3427" s="6">
        <v>44369</v>
      </c>
      <c r="B3427" t="s">
        <v>26</v>
      </c>
      <c r="C3427">
        <v>67003</v>
      </c>
      <c r="D3427" t="s">
        <v>975</v>
      </c>
      <c r="E3427" s="7">
        <v>175.57</v>
      </c>
      <c r="F3427" t="s">
        <v>20</v>
      </c>
      <c r="G3427" s="10" t="s">
        <v>21</v>
      </c>
      <c r="H3427" t="str">
        <f>"P82798"</f>
        <v>P82798</v>
      </c>
      <c r="I3427" t="str">
        <f>"TELLUS EQUIPMENT SOLUTIONS  LL"</f>
        <v>TELLUS EQUIPMENT SOLUTIONS  LL</v>
      </c>
    </row>
    <row r="3428" spans="1:9" x14ac:dyDescent="0.25">
      <c r="E3428" s="7"/>
      <c r="F3428" t="s">
        <v>20</v>
      </c>
      <c r="G3428" s="10" t="s">
        <v>21</v>
      </c>
      <c r="H3428" t="str">
        <f>"P83146"</f>
        <v>P83146</v>
      </c>
      <c r="I3428" t="str">
        <f>"TELLUS EQUIPMENT SOLUTIONS  LL"</f>
        <v>TELLUS EQUIPMENT SOLUTIONS  LL</v>
      </c>
    </row>
    <row r="3429" spans="1:9" x14ac:dyDescent="0.25">
      <c r="A3429" s="6">
        <v>44369</v>
      </c>
      <c r="B3429" t="s">
        <v>26</v>
      </c>
      <c r="C3429">
        <v>67004</v>
      </c>
      <c r="D3429" t="s">
        <v>896</v>
      </c>
      <c r="E3429" s="7">
        <v>150</v>
      </c>
      <c r="F3429" t="s">
        <v>20</v>
      </c>
      <c r="G3429" s="10" t="s">
        <v>21</v>
      </c>
      <c r="H3429" t="str">
        <f>"NS-11-2021"</f>
        <v>NS-11-2021</v>
      </c>
      <c r="I3429" t="str">
        <f>"NEW SUPERVISORS COURSE"</f>
        <v>NEW SUPERVISORS COURSE</v>
      </c>
    </row>
    <row r="3430" spans="1:9" x14ac:dyDescent="0.25">
      <c r="A3430" s="6">
        <v>44369</v>
      </c>
      <c r="B3430" t="s">
        <v>26</v>
      </c>
      <c r="C3430">
        <v>67005</v>
      </c>
      <c r="D3430" t="s">
        <v>698</v>
      </c>
      <c r="E3430" s="7">
        <v>60</v>
      </c>
      <c r="F3430" t="s">
        <v>20</v>
      </c>
      <c r="G3430" s="10" t="s">
        <v>21</v>
      </c>
      <c r="H3430" t="str">
        <f>"6/21/2021"</f>
        <v>6/21/2021</v>
      </c>
      <c r="I3430" t="str">
        <f>"TRACY ORTIZ"</f>
        <v>TRACY ORTIZ</v>
      </c>
    </row>
    <row r="3431" spans="1:9" x14ac:dyDescent="0.25">
      <c r="A3431" s="6">
        <v>44369</v>
      </c>
      <c r="B3431" t="s">
        <v>26</v>
      </c>
      <c r="C3431">
        <v>67006</v>
      </c>
      <c r="D3431" t="s">
        <v>61</v>
      </c>
      <c r="E3431" s="7">
        <v>3680.88</v>
      </c>
      <c r="F3431" t="s">
        <v>20</v>
      </c>
      <c r="G3431" s="10" t="s">
        <v>21</v>
      </c>
      <c r="H3431" t="str">
        <f>"025-335304"</f>
        <v>025-335304</v>
      </c>
      <c r="I3431" t="str">
        <f>"TYLER TECHNOLOGIES  INC."</f>
        <v>TYLER TECHNOLOGIES  INC.</v>
      </c>
    </row>
    <row r="3432" spans="1:9" x14ac:dyDescent="0.25">
      <c r="A3432" s="6">
        <v>44369</v>
      </c>
      <c r="B3432" t="s">
        <v>26</v>
      </c>
      <c r="C3432">
        <v>67007</v>
      </c>
      <c r="D3432" t="s">
        <v>644</v>
      </c>
      <c r="E3432" s="7">
        <v>1245.82</v>
      </c>
      <c r="F3432" t="s">
        <v>20</v>
      </c>
      <c r="G3432" s="10" t="s">
        <v>21</v>
      </c>
      <c r="H3432" t="str">
        <f>"8213601752"</f>
        <v>8213601752</v>
      </c>
      <c r="I3432" t="str">
        <f t="shared" ref="I3432:I3449" si="77">"UNIFIRST CORPORATION"</f>
        <v>UNIFIRST CORPORATION</v>
      </c>
    </row>
    <row r="3433" spans="1:9" x14ac:dyDescent="0.25">
      <c r="E3433" s="7"/>
      <c r="F3433" t="s">
        <v>20</v>
      </c>
      <c r="G3433" s="10" t="s">
        <v>21</v>
      </c>
      <c r="H3433" t="str">
        <f>"8213601753"</f>
        <v>8213601753</v>
      </c>
      <c r="I3433" t="str">
        <f t="shared" si="77"/>
        <v>UNIFIRST CORPORATION</v>
      </c>
    </row>
    <row r="3434" spans="1:9" x14ac:dyDescent="0.25">
      <c r="E3434" s="7"/>
      <c r="F3434" t="s">
        <v>20</v>
      </c>
      <c r="G3434" s="10" t="s">
        <v>21</v>
      </c>
      <c r="H3434" t="str">
        <f>"8213601754"</f>
        <v>8213601754</v>
      </c>
      <c r="I3434" t="str">
        <f t="shared" si="77"/>
        <v>UNIFIRST CORPORATION</v>
      </c>
    </row>
    <row r="3435" spans="1:9" x14ac:dyDescent="0.25">
      <c r="E3435" s="7"/>
      <c r="F3435" t="s">
        <v>20</v>
      </c>
      <c r="G3435" s="10" t="s">
        <v>21</v>
      </c>
      <c r="H3435" t="str">
        <f>"8213601755"</f>
        <v>8213601755</v>
      </c>
      <c r="I3435" t="str">
        <f t="shared" si="77"/>
        <v>UNIFIRST CORPORATION</v>
      </c>
    </row>
    <row r="3436" spans="1:9" x14ac:dyDescent="0.25">
      <c r="E3436" s="7"/>
      <c r="F3436" t="s">
        <v>20</v>
      </c>
      <c r="G3436" s="10" t="s">
        <v>21</v>
      </c>
      <c r="H3436" t="str">
        <f>"8213601756"</f>
        <v>8213601756</v>
      </c>
      <c r="I3436" t="str">
        <f t="shared" si="77"/>
        <v>UNIFIRST CORPORATION</v>
      </c>
    </row>
    <row r="3437" spans="1:9" x14ac:dyDescent="0.25">
      <c r="E3437" s="7"/>
      <c r="F3437" t="s">
        <v>20</v>
      </c>
      <c r="G3437" s="10" t="s">
        <v>21</v>
      </c>
      <c r="H3437" t="str">
        <f>"8213601757"</f>
        <v>8213601757</v>
      </c>
      <c r="I3437" t="str">
        <f t="shared" si="77"/>
        <v>UNIFIRST CORPORATION</v>
      </c>
    </row>
    <row r="3438" spans="1:9" x14ac:dyDescent="0.25">
      <c r="E3438" s="7"/>
      <c r="F3438" t="s">
        <v>20</v>
      </c>
      <c r="G3438" s="10" t="s">
        <v>21</v>
      </c>
      <c r="H3438" t="str">
        <f>"8213604295"</f>
        <v>8213604295</v>
      </c>
      <c r="I3438" t="str">
        <f t="shared" si="77"/>
        <v>UNIFIRST CORPORATION</v>
      </c>
    </row>
    <row r="3439" spans="1:9" x14ac:dyDescent="0.25">
      <c r="E3439" s="7"/>
      <c r="F3439" t="s">
        <v>20</v>
      </c>
      <c r="G3439" s="10" t="s">
        <v>21</v>
      </c>
      <c r="H3439" t="str">
        <f>"8213604296"</f>
        <v>8213604296</v>
      </c>
      <c r="I3439" t="str">
        <f t="shared" si="77"/>
        <v>UNIFIRST CORPORATION</v>
      </c>
    </row>
    <row r="3440" spans="1:9" x14ac:dyDescent="0.25">
      <c r="E3440" s="7"/>
      <c r="F3440" t="s">
        <v>20</v>
      </c>
      <c r="G3440" s="10" t="s">
        <v>21</v>
      </c>
      <c r="H3440" t="str">
        <f>"8213604297"</f>
        <v>8213604297</v>
      </c>
      <c r="I3440" t="str">
        <f t="shared" si="77"/>
        <v>UNIFIRST CORPORATION</v>
      </c>
    </row>
    <row r="3441" spans="1:9" x14ac:dyDescent="0.25">
      <c r="E3441" s="7"/>
      <c r="F3441" t="s">
        <v>20</v>
      </c>
      <c r="G3441" s="10" t="s">
        <v>21</v>
      </c>
      <c r="H3441" t="str">
        <f>"8213604298"</f>
        <v>8213604298</v>
      </c>
      <c r="I3441" t="str">
        <f t="shared" si="77"/>
        <v>UNIFIRST CORPORATION</v>
      </c>
    </row>
    <row r="3442" spans="1:9" x14ac:dyDescent="0.25">
      <c r="E3442" s="7"/>
      <c r="F3442" t="s">
        <v>20</v>
      </c>
      <c r="G3442" s="10" t="s">
        <v>21</v>
      </c>
      <c r="H3442" t="str">
        <f>"8213604300"</f>
        <v>8213604300</v>
      </c>
      <c r="I3442" t="str">
        <f t="shared" si="77"/>
        <v>UNIFIRST CORPORATION</v>
      </c>
    </row>
    <row r="3443" spans="1:9" x14ac:dyDescent="0.25">
      <c r="E3443" s="7"/>
      <c r="F3443" t="s">
        <v>20</v>
      </c>
      <c r="G3443" s="10" t="s">
        <v>21</v>
      </c>
      <c r="H3443" t="str">
        <f>"8213604301"</f>
        <v>8213604301</v>
      </c>
      <c r="I3443" t="str">
        <f t="shared" si="77"/>
        <v>UNIFIRST CORPORATION</v>
      </c>
    </row>
    <row r="3444" spans="1:9" x14ac:dyDescent="0.25">
      <c r="E3444" s="7"/>
      <c r="F3444" t="s">
        <v>20</v>
      </c>
      <c r="G3444" s="10" t="s">
        <v>21</v>
      </c>
      <c r="H3444" t="str">
        <f>"8213606796"</f>
        <v>8213606796</v>
      </c>
      <c r="I3444" t="str">
        <f t="shared" si="77"/>
        <v>UNIFIRST CORPORATION</v>
      </c>
    </row>
    <row r="3445" spans="1:9" x14ac:dyDescent="0.25">
      <c r="E3445" s="7"/>
      <c r="F3445" t="s">
        <v>20</v>
      </c>
      <c r="G3445" s="10" t="s">
        <v>21</v>
      </c>
      <c r="H3445" t="str">
        <f>"8213606797"</f>
        <v>8213606797</v>
      </c>
      <c r="I3445" t="str">
        <f t="shared" si="77"/>
        <v>UNIFIRST CORPORATION</v>
      </c>
    </row>
    <row r="3446" spans="1:9" x14ac:dyDescent="0.25">
      <c r="E3446" s="7"/>
      <c r="F3446" t="s">
        <v>20</v>
      </c>
      <c r="G3446" s="10" t="s">
        <v>21</v>
      </c>
      <c r="H3446" t="str">
        <f>"8213606798"</f>
        <v>8213606798</v>
      </c>
      <c r="I3446" t="str">
        <f t="shared" si="77"/>
        <v>UNIFIRST CORPORATION</v>
      </c>
    </row>
    <row r="3447" spans="1:9" x14ac:dyDescent="0.25">
      <c r="E3447" s="7"/>
      <c r="F3447" t="s">
        <v>20</v>
      </c>
      <c r="G3447" s="10" t="s">
        <v>21</v>
      </c>
      <c r="H3447" t="str">
        <f>"8213606799"</f>
        <v>8213606799</v>
      </c>
      <c r="I3447" t="str">
        <f t="shared" si="77"/>
        <v>UNIFIRST CORPORATION</v>
      </c>
    </row>
    <row r="3448" spans="1:9" x14ac:dyDescent="0.25">
      <c r="E3448" s="7"/>
      <c r="F3448" t="s">
        <v>20</v>
      </c>
      <c r="G3448" s="10" t="s">
        <v>21</v>
      </c>
      <c r="H3448" t="str">
        <f>"8213606801"</f>
        <v>8213606801</v>
      </c>
      <c r="I3448" t="str">
        <f t="shared" si="77"/>
        <v>UNIFIRST CORPORATION</v>
      </c>
    </row>
    <row r="3449" spans="1:9" x14ac:dyDescent="0.25">
      <c r="E3449" s="7"/>
      <c r="F3449" t="s">
        <v>20</v>
      </c>
      <c r="G3449" s="10" t="s">
        <v>21</v>
      </c>
      <c r="H3449" t="str">
        <f>"8213606802"</f>
        <v>8213606802</v>
      </c>
      <c r="I3449" t="str">
        <f t="shared" si="77"/>
        <v>UNIFIRST CORPORATION</v>
      </c>
    </row>
    <row r="3450" spans="1:9" x14ac:dyDescent="0.25">
      <c r="A3450" s="6">
        <v>44369</v>
      </c>
      <c r="B3450" t="s">
        <v>26</v>
      </c>
      <c r="C3450">
        <v>67011</v>
      </c>
      <c r="D3450" t="s">
        <v>203</v>
      </c>
      <c r="E3450" s="7">
        <v>374.95</v>
      </c>
      <c r="F3450" t="s">
        <v>20</v>
      </c>
      <c r="G3450" s="10" t="s">
        <v>21</v>
      </c>
      <c r="H3450" t="str">
        <f>"617405"</f>
        <v>617405</v>
      </c>
      <c r="I3450" t="str">
        <f>"SENSAPHONE"</f>
        <v>SENSAPHONE</v>
      </c>
    </row>
    <row r="3451" spans="1:9" x14ac:dyDescent="0.25">
      <c r="A3451" s="6">
        <v>44369</v>
      </c>
      <c r="B3451" t="s">
        <v>26</v>
      </c>
      <c r="C3451">
        <v>67012</v>
      </c>
      <c r="D3451" t="s">
        <v>1064</v>
      </c>
      <c r="E3451" s="7">
        <v>50</v>
      </c>
      <c r="F3451" t="s">
        <v>20</v>
      </c>
      <c r="G3451" s="10" t="s">
        <v>21</v>
      </c>
      <c r="H3451" t="str">
        <f>"DEP. RFND 6/19/21"</f>
        <v>DEP. RFND 6/19/21</v>
      </c>
      <c r="I3451" t="str">
        <f>"REFUND"</f>
        <v>REFUND</v>
      </c>
    </row>
    <row r="3452" spans="1:9" x14ac:dyDescent="0.25">
      <c r="A3452" s="6">
        <v>44369</v>
      </c>
      <c r="B3452" t="s">
        <v>26</v>
      </c>
      <c r="C3452">
        <v>67013</v>
      </c>
      <c r="D3452" t="s">
        <v>469</v>
      </c>
      <c r="E3452" s="7">
        <v>200</v>
      </c>
      <c r="F3452" t="s">
        <v>20</v>
      </c>
      <c r="G3452" s="10" t="s">
        <v>21</v>
      </c>
      <c r="H3452" t="str">
        <f>"REFUND 10/09/2021"</f>
        <v>REFUND 10/09/2021</v>
      </c>
      <c r="I3452" t="str">
        <f>"REFUND"</f>
        <v>REFUND</v>
      </c>
    </row>
    <row r="3453" spans="1:9" x14ac:dyDescent="0.25">
      <c r="A3453" s="6">
        <v>44369</v>
      </c>
      <c r="B3453" t="s">
        <v>26</v>
      </c>
      <c r="C3453">
        <v>67014</v>
      </c>
      <c r="D3453" t="s">
        <v>346</v>
      </c>
      <c r="E3453" s="7">
        <v>13750</v>
      </c>
      <c r="F3453" t="s">
        <v>20</v>
      </c>
      <c r="G3453" s="10" t="s">
        <v>21</v>
      </c>
      <c r="H3453" t="str">
        <f>"5/11-6/11/2021"</f>
        <v>5/11-6/11/2021</v>
      </c>
      <c r="I3453" t="str">
        <f>"SYLVIA RODRIGUEZ"</f>
        <v>SYLVIA RODRIGUEZ</v>
      </c>
    </row>
    <row r="3454" spans="1:9" x14ac:dyDescent="0.25">
      <c r="A3454" s="6">
        <v>44370</v>
      </c>
      <c r="B3454" t="s">
        <v>26</v>
      </c>
      <c r="C3454">
        <v>67015</v>
      </c>
      <c r="D3454" t="s">
        <v>1065</v>
      </c>
      <c r="E3454" s="7">
        <v>60</v>
      </c>
      <c r="F3454" t="s">
        <v>20</v>
      </c>
      <c r="G3454" s="10" t="s">
        <v>21</v>
      </c>
      <c r="H3454" t="str">
        <f>"9GC11CA72E8"</f>
        <v>9GC11CA72E8</v>
      </c>
      <c r="I3454" t="str">
        <f>"NOVA MEDICAL CENTERS"</f>
        <v>NOVA MEDICAL CENTERS</v>
      </c>
    </row>
    <row r="3455" spans="1:9" x14ac:dyDescent="0.25">
      <c r="A3455" s="6">
        <v>44370</v>
      </c>
      <c r="B3455" t="s">
        <v>26</v>
      </c>
      <c r="C3455">
        <v>67016</v>
      </c>
      <c r="D3455" t="s">
        <v>123</v>
      </c>
      <c r="E3455" s="7">
        <v>82.75</v>
      </c>
      <c r="F3455" t="s">
        <v>20</v>
      </c>
      <c r="G3455" s="10" t="s">
        <v>21</v>
      </c>
      <c r="H3455" t="str">
        <f>"143964077001"</f>
        <v>143964077001</v>
      </c>
      <c r="I3455" t="str">
        <f>"OFFICE DEPOT  INC."</f>
        <v>OFFICE DEPOT  INC.</v>
      </c>
    </row>
    <row r="3456" spans="1:9" x14ac:dyDescent="0.25">
      <c r="E3456" s="7"/>
      <c r="F3456" t="s">
        <v>20</v>
      </c>
      <c r="G3456" s="10" t="s">
        <v>21</v>
      </c>
      <c r="H3456" t="str">
        <f>"174721555001"</f>
        <v>174721555001</v>
      </c>
      <c r="I3456" t="str">
        <f>"OFFICE DEPOT  INC."</f>
        <v>OFFICE DEPOT  INC.</v>
      </c>
    </row>
    <row r="3457" spans="1:9" x14ac:dyDescent="0.25">
      <c r="A3457" s="6">
        <v>44376</v>
      </c>
      <c r="B3457" t="s">
        <v>26</v>
      </c>
      <c r="C3457">
        <v>67023</v>
      </c>
      <c r="D3457" t="s">
        <v>51</v>
      </c>
      <c r="E3457" s="7">
        <v>309.37</v>
      </c>
      <c r="F3457" t="s">
        <v>20</v>
      </c>
      <c r="G3457" s="10" t="s">
        <v>21</v>
      </c>
      <c r="H3457" t="str">
        <f>"CLE202106298615"</f>
        <v>CLE202106298615</v>
      </c>
      <c r="I3457" t="str">
        <f>"CLEAT ONLY DUES"</f>
        <v>CLEAT ONLY DUES</v>
      </c>
    </row>
    <row r="3458" spans="1:9" x14ac:dyDescent="0.25">
      <c r="E3458" s="7"/>
      <c r="F3458" t="s">
        <v>20</v>
      </c>
      <c r="G3458" s="10" t="s">
        <v>21</v>
      </c>
      <c r="H3458" t="str">
        <f>"PDD202106298615"</f>
        <v>PDD202106298615</v>
      </c>
      <c r="I3458" t="str">
        <f>"POLICE OFFICERS ASSOC DUES"</f>
        <v>POLICE OFFICERS ASSOC DUES</v>
      </c>
    </row>
    <row r="3459" spans="1:9" x14ac:dyDescent="0.25">
      <c r="A3459" s="6">
        <v>44376</v>
      </c>
      <c r="B3459" t="s">
        <v>26</v>
      </c>
      <c r="C3459">
        <v>67024</v>
      </c>
      <c r="D3459" t="s">
        <v>52</v>
      </c>
      <c r="E3459" s="7">
        <v>926.54</v>
      </c>
      <c r="F3459" t="s">
        <v>20</v>
      </c>
      <c r="G3459" s="10" t="s">
        <v>21</v>
      </c>
      <c r="H3459" t="str">
        <f>"CA1202106298615"</f>
        <v>CA1202106298615</v>
      </c>
      <c r="I3459" t="str">
        <f>"K RAMIREZ 001200229510060343CV"</f>
        <v>K RAMIREZ 001200229510060343CV</v>
      </c>
    </row>
    <row r="3460" spans="1:9" x14ac:dyDescent="0.25">
      <c r="E3460" s="7"/>
      <c r="F3460" t="s">
        <v>20</v>
      </c>
      <c r="G3460" s="10" t="s">
        <v>21</v>
      </c>
      <c r="H3460" t="str">
        <f>"CA2202106298615"</f>
        <v>CA2202106298615</v>
      </c>
      <c r="I3460" t="str">
        <f>"L HERNANDEZ 001016025203080354"</f>
        <v>L HERNANDEZ 001016025203080354</v>
      </c>
    </row>
    <row r="3461" spans="1:9" x14ac:dyDescent="0.25">
      <c r="E3461" s="7"/>
      <c r="F3461" t="s">
        <v>20</v>
      </c>
      <c r="G3461" s="10" t="s">
        <v>21</v>
      </c>
      <c r="H3461" t="str">
        <f>"CA3202106298615"</f>
        <v>CA3202106298615</v>
      </c>
      <c r="I3461" t="str">
        <f>"00120788612011EM5023JOLENEGARC"</f>
        <v>00120788612011EM5023JOLENEGARC</v>
      </c>
    </row>
    <row r="3462" spans="1:9" x14ac:dyDescent="0.25">
      <c r="E3462" s="7"/>
      <c r="F3462" t="s">
        <v>20</v>
      </c>
      <c r="G3462" s="10" t="s">
        <v>21</v>
      </c>
      <c r="H3462" t="str">
        <f>"CSA202106298615"</f>
        <v>CSA202106298615</v>
      </c>
      <c r="I3462" t="str">
        <f>"S RODRIGUEZ 001281730413050336"</f>
        <v>S RODRIGUEZ 001281730413050336</v>
      </c>
    </row>
    <row r="3463" spans="1:9" x14ac:dyDescent="0.25">
      <c r="E3463" s="7"/>
      <c r="F3463" t="s">
        <v>20</v>
      </c>
      <c r="G3463" s="10" t="s">
        <v>21</v>
      </c>
      <c r="H3463" t="str">
        <f>"CSI202106298615"</f>
        <v>CSI202106298615</v>
      </c>
      <c r="I3463" t="str">
        <f>"KTRINIDAD0014071774CVW2000777"</f>
        <v>KTRINIDAD0014071774CVW2000777</v>
      </c>
    </row>
    <row r="3464" spans="1:9" x14ac:dyDescent="0.25">
      <c r="A3464" s="6">
        <v>44376</v>
      </c>
      <c r="B3464" t="s">
        <v>26</v>
      </c>
      <c r="C3464">
        <v>67025</v>
      </c>
      <c r="D3464" t="s">
        <v>54</v>
      </c>
      <c r="E3464" s="7">
        <v>1083.6500000000001</v>
      </c>
      <c r="F3464" t="s">
        <v>20</v>
      </c>
      <c r="G3464" s="10" t="s">
        <v>21</v>
      </c>
      <c r="H3464" t="str">
        <f>"BRE202106298615"</f>
        <v>BRE202106298615</v>
      </c>
      <c r="I3464" t="str">
        <f>"CASE #180-60751 457B DEDUCT"</f>
        <v>CASE #180-60751 457B DEDUCT</v>
      </c>
    </row>
    <row r="3465" spans="1:9" x14ac:dyDescent="0.25">
      <c r="A3465" s="6">
        <v>44377</v>
      </c>
      <c r="B3465" t="s">
        <v>26</v>
      </c>
      <c r="C3465">
        <v>67026</v>
      </c>
      <c r="D3465" t="s">
        <v>117</v>
      </c>
      <c r="E3465" s="7">
        <v>739.21</v>
      </c>
      <c r="F3465" t="s">
        <v>20</v>
      </c>
      <c r="G3465" s="10" t="s">
        <v>21</v>
      </c>
      <c r="H3465" t="str">
        <f>"MAY 2021"</f>
        <v>MAY 2021</v>
      </c>
      <c r="I3465" t="str">
        <f>"LINEBARGER GOGGAN BLAIR &amp; SAMP"</f>
        <v>LINEBARGER GOGGAN BLAIR &amp; SAMP</v>
      </c>
    </row>
    <row r="3466" spans="1:9" x14ac:dyDescent="0.25">
      <c r="A3466" s="6">
        <v>44377</v>
      </c>
      <c r="B3466" t="s">
        <v>26</v>
      </c>
      <c r="C3466">
        <v>67027</v>
      </c>
      <c r="D3466" t="s">
        <v>123</v>
      </c>
      <c r="E3466" s="7">
        <v>107.72</v>
      </c>
      <c r="F3466" t="s">
        <v>20</v>
      </c>
      <c r="G3466" s="10" t="s">
        <v>21</v>
      </c>
      <c r="H3466" t="str">
        <f>"156973129002"</f>
        <v>156973129002</v>
      </c>
      <c r="I3466" t="str">
        <f>"OFFICE DEPOT  INC."</f>
        <v>OFFICE DEPOT  INC.</v>
      </c>
    </row>
    <row r="3467" spans="1:9" x14ac:dyDescent="0.25">
      <c r="A3467" s="6">
        <v>44377</v>
      </c>
      <c r="B3467" t="s">
        <v>26</v>
      </c>
      <c r="C3467">
        <v>67028</v>
      </c>
      <c r="D3467" t="s">
        <v>85</v>
      </c>
      <c r="E3467" s="7">
        <v>892.64</v>
      </c>
      <c r="F3467" t="s">
        <v>20</v>
      </c>
      <c r="G3467" s="10" t="s">
        <v>21</v>
      </c>
      <c r="H3467" t="str">
        <f>"3932056 JUNE 2021"</f>
        <v>3932056 JUNE 2021</v>
      </c>
      <c r="I3467" t="str">
        <f>"FRONTIER"</f>
        <v>FRONTIER</v>
      </c>
    </row>
    <row r="3468" spans="1:9" x14ac:dyDescent="0.25">
      <c r="E3468" s="7"/>
      <c r="F3468" t="s">
        <v>20</v>
      </c>
      <c r="G3468" s="10" t="s">
        <v>21</v>
      </c>
      <c r="H3468" t="str">
        <f>"3933105 JUNE2021"</f>
        <v>3933105 JUNE2021</v>
      </c>
      <c r="I3468" t="str">
        <f>"FRONTIER"</f>
        <v>FRONTIER</v>
      </c>
    </row>
    <row r="3469" spans="1:9" x14ac:dyDescent="0.25">
      <c r="E3469" s="7"/>
      <c r="F3469" t="s">
        <v>20</v>
      </c>
      <c r="G3469" s="10" t="s">
        <v>21</v>
      </c>
      <c r="H3469" t="str">
        <f>"3933186 JUNE 2021"</f>
        <v>3933186 JUNE 2021</v>
      </c>
      <c r="I3469" t="str">
        <f>"FRONTIER"</f>
        <v>FRONTIER</v>
      </c>
    </row>
    <row r="3470" spans="1:9" x14ac:dyDescent="0.25">
      <c r="E3470" s="7"/>
      <c r="F3470" t="s">
        <v>20</v>
      </c>
      <c r="G3470" s="10" t="s">
        <v>21</v>
      </c>
      <c r="H3470" t="str">
        <f>"3936616 JUNE 2021"</f>
        <v>3936616 JUNE 2021</v>
      </c>
      <c r="I3470" t="str">
        <f>"FRONTIER"</f>
        <v>FRONTIER</v>
      </c>
    </row>
    <row r="3471" spans="1:9" x14ac:dyDescent="0.25">
      <c r="E3471" s="7"/>
      <c r="F3471" t="s">
        <v>20</v>
      </c>
      <c r="G3471" s="10" t="s">
        <v>21</v>
      </c>
      <c r="H3471" t="str">
        <f>"3939456 JUNE 2021"</f>
        <v>3939456 JUNE 2021</v>
      </c>
      <c r="I3471" t="str">
        <f>"FRONTIER"</f>
        <v>FRONTIER</v>
      </c>
    </row>
    <row r="3472" spans="1:9" x14ac:dyDescent="0.25">
      <c r="A3472" s="6">
        <v>44377</v>
      </c>
      <c r="B3472" t="s">
        <v>26</v>
      </c>
      <c r="C3472">
        <v>67030</v>
      </c>
      <c r="D3472" t="s">
        <v>345</v>
      </c>
      <c r="E3472" s="7">
        <v>258.5</v>
      </c>
      <c r="F3472" t="s">
        <v>20</v>
      </c>
      <c r="G3472" s="10" t="s">
        <v>21</v>
      </c>
      <c r="H3472" t="str">
        <f>"06/27/2021"</f>
        <v>06/27/2021</v>
      </c>
      <c r="I3472" t="str">
        <f>"MICHAEL ISAAC MARTINEZ"</f>
        <v>MICHAEL ISAAC MARTINEZ</v>
      </c>
    </row>
    <row r="3473" spans="1:9" x14ac:dyDescent="0.25">
      <c r="A3473" s="6">
        <v>44377</v>
      </c>
      <c r="B3473" t="s">
        <v>26</v>
      </c>
      <c r="C3473">
        <v>67031</v>
      </c>
      <c r="D3473" t="s">
        <v>871</v>
      </c>
      <c r="E3473" s="7">
        <v>250</v>
      </c>
      <c r="F3473" t="s">
        <v>20</v>
      </c>
      <c r="G3473" s="10" t="s">
        <v>21</v>
      </c>
      <c r="H3473" t="str">
        <f>"E&amp;R SEMINAR8/26/21"</f>
        <v>E&amp;R SEMINAR8/26/21</v>
      </c>
      <c r="I3473" t="str">
        <f>"PRI MANAGEMENT GROUP"</f>
        <v>PRI MANAGEMENT GROUP</v>
      </c>
    </row>
    <row r="3474" spans="1:9" x14ac:dyDescent="0.25">
      <c r="A3474" s="6">
        <v>44377</v>
      </c>
      <c r="B3474" t="s">
        <v>26</v>
      </c>
      <c r="C3474">
        <v>67032</v>
      </c>
      <c r="D3474" t="s">
        <v>987</v>
      </c>
      <c r="E3474" s="7">
        <v>3874</v>
      </c>
      <c r="F3474" t="s">
        <v>20</v>
      </c>
      <c r="G3474" s="10" t="s">
        <v>21</v>
      </c>
      <c r="H3474" t="str">
        <f>"INV776823"</f>
        <v>INV776823</v>
      </c>
      <c r="I3474" t="str">
        <f>"SPORTS COMPLEX SUPPLIES"</f>
        <v>SPORTS COMPLEX SUPPLIES</v>
      </c>
    </row>
    <row r="3475" spans="1:9" x14ac:dyDescent="0.25">
      <c r="E3475" s="7"/>
      <c r="F3475" t="s">
        <v>20</v>
      </c>
      <c r="G3475" s="10" t="s">
        <v>21</v>
      </c>
      <c r="H3475" t="str">
        <f>"INV778539"</f>
        <v>INV778539</v>
      </c>
      <c r="I3475" t="str">
        <f>"SPORTS COMPLEX SUPPLIES"</f>
        <v>SPORTS COMPLEX SUPPLIES</v>
      </c>
    </row>
    <row r="3476" spans="1:9" x14ac:dyDescent="0.25">
      <c r="E3476" s="7"/>
      <c r="F3476" t="s">
        <v>20</v>
      </c>
      <c r="G3476" s="10" t="s">
        <v>21</v>
      </c>
      <c r="H3476" t="str">
        <f>"INV784136"</f>
        <v>INV784136</v>
      </c>
      <c r="I3476" t="str">
        <f>"SPORTS COMPLEX SUPPLIES"</f>
        <v>SPORTS COMPLEX SUPPLIES</v>
      </c>
    </row>
    <row r="3477" spans="1:9" x14ac:dyDescent="0.25">
      <c r="A3477" s="6">
        <v>44377</v>
      </c>
      <c r="B3477" t="s">
        <v>26</v>
      </c>
      <c r="C3477">
        <v>67033</v>
      </c>
      <c r="D3477" t="s">
        <v>1066</v>
      </c>
      <c r="E3477" s="7">
        <v>1666.87</v>
      </c>
      <c r="F3477" t="s">
        <v>20</v>
      </c>
      <c r="G3477" s="10" t="s">
        <v>21</v>
      </c>
      <c r="H3477" t="str">
        <f>"868"</f>
        <v>868</v>
      </c>
      <c r="I3477" t="str">
        <f>"INDUSTRIAL MAINTENANCE GROUP"</f>
        <v>INDUSTRIAL MAINTENANCE GROUP</v>
      </c>
    </row>
    <row r="3478" spans="1:9" x14ac:dyDescent="0.25">
      <c r="A3478" s="6">
        <v>44377</v>
      </c>
      <c r="B3478" t="s">
        <v>26</v>
      </c>
      <c r="C3478">
        <v>67034</v>
      </c>
      <c r="D3478" t="s">
        <v>1067</v>
      </c>
      <c r="E3478" s="7">
        <v>535</v>
      </c>
      <c r="F3478" t="s">
        <v>20</v>
      </c>
      <c r="G3478" s="10" t="s">
        <v>21</v>
      </c>
      <c r="H3478" t="str">
        <f>"998304"</f>
        <v>998304</v>
      </c>
      <c r="I3478" t="str">
        <f>"SAMUEL D. TREVINO"</f>
        <v>SAMUEL D. TREVINO</v>
      </c>
    </row>
    <row r="3479" spans="1:9" x14ac:dyDescent="0.25">
      <c r="E3479" s="7"/>
      <c r="F3479" t="s">
        <v>20</v>
      </c>
      <c r="G3479" s="10" t="s">
        <v>21</v>
      </c>
      <c r="H3479" t="str">
        <f>"998305"</f>
        <v>998305</v>
      </c>
      <c r="I3479" t="str">
        <f>"SAMUEL D. TREVINO"</f>
        <v>SAMUEL D. TREVINO</v>
      </c>
    </row>
    <row r="3480" spans="1:9" x14ac:dyDescent="0.25">
      <c r="A3480" s="6">
        <v>44377</v>
      </c>
      <c r="B3480" t="s">
        <v>26</v>
      </c>
      <c r="C3480">
        <v>67035</v>
      </c>
      <c r="D3480" t="s">
        <v>698</v>
      </c>
      <c r="E3480" s="7">
        <v>75</v>
      </c>
      <c r="F3480" t="s">
        <v>20</v>
      </c>
      <c r="G3480" s="10" t="s">
        <v>21</v>
      </c>
      <c r="H3480" t="str">
        <f>"6/26/2021"</f>
        <v>6/26/2021</v>
      </c>
      <c r="I3480" t="str">
        <f>"TRACY ORTIZ"</f>
        <v>TRACY ORTIZ</v>
      </c>
    </row>
    <row r="3481" spans="1:9" x14ac:dyDescent="0.25">
      <c r="A3481" s="6">
        <v>44377</v>
      </c>
      <c r="B3481" t="s">
        <v>26</v>
      </c>
      <c r="C3481">
        <v>67036</v>
      </c>
      <c r="D3481" t="s">
        <v>781</v>
      </c>
      <c r="E3481" s="7">
        <v>65</v>
      </c>
      <c r="F3481" t="s">
        <v>20</v>
      </c>
      <c r="G3481" s="10" t="s">
        <v>21</v>
      </c>
      <c r="H3481" t="str">
        <f>"6/26/2021"</f>
        <v>6/26/2021</v>
      </c>
      <c r="I3481" t="str">
        <f>"ASHLEY MARTINEZ"</f>
        <v>ASHLEY MARTINEZ</v>
      </c>
    </row>
    <row r="3482" spans="1:9" x14ac:dyDescent="0.25">
      <c r="A3482" s="6">
        <v>44377</v>
      </c>
      <c r="B3482" t="s">
        <v>26</v>
      </c>
      <c r="C3482">
        <v>67037</v>
      </c>
      <c r="D3482" t="s">
        <v>1052</v>
      </c>
      <c r="E3482" s="7">
        <v>60</v>
      </c>
      <c r="F3482" t="s">
        <v>20</v>
      </c>
      <c r="G3482" s="10" t="s">
        <v>21</v>
      </c>
      <c r="H3482" t="str">
        <f>"6/26/2021"</f>
        <v>6/26/2021</v>
      </c>
      <c r="I3482" t="str">
        <f>"ASHTYN SVOBODA"</f>
        <v>ASHTYN SVOBODA</v>
      </c>
    </row>
    <row r="3483" spans="1:9" x14ac:dyDescent="0.25">
      <c r="A3483" s="6">
        <v>44378</v>
      </c>
      <c r="B3483" t="s">
        <v>26</v>
      </c>
      <c r="C3483">
        <v>67038</v>
      </c>
      <c r="D3483" t="s">
        <v>90</v>
      </c>
      <c r="E3483" s="7">
        <v>1636.56</v>
      </c>
      <c r="F3483" t="s">
        <v>20</v>
      </c>
      <c r="G3483" s="10" t="s">
        <v>21</v>
      </c>
      <c r="H3483" t="str">
        <f>"ACA202106018612"</f>
        <v>ACA202106018612</v>
      </c>
      <c r="I3483" t="str">
        <f>"AFLAC INSURANCE"</f>
        <v>AFLAC INSURANCE</v>
      </c>
    </row>
    <row r="3484" spans="1:9" x14ac:dyDescent="0.25">
      <c r="E3484" s="7"/>
      <c r="F3484" t="s">
        <v>20</v>
      </c>
      <c r="G3484" s="10" t="s">
        <v>21</v>
      </c>
      <c r="H3484" t="str">
        <f>"ACA202106158614"</f>
        <v>ACA202106158614</v>
      </c>
      <c r="I3484" t="str">
        <f>"AFLAC INSURANCE"</f>
        <v>AFLAC INSURANCE</v>
      </c>
    </row>
    <row r="3485" spans="1:9" x14ac:dyDescent="0.25">
      <c r="E3485" s="7"/>
      <c r="F3485" t="s">
        <v>20</v>
      </c>
      <c r="G3485" s="10" t="s">
        <v>21</v>
      </c>
      <c r="H3485" t="str">
        <f>"ADR202106018612"</f>
        <v>ADR202106018612</v>
      </c>
      <c r="I3485" t="str">
        <f>"INSURANCE"</f>
        <v>INSURANCE</v>
      </c>
    </row>
    <row r="3486" spans="1:9" x14ac:dyDescent="0.25">
      <c r="E3486" s="7"/>
      <c r="F3486" t="s">
        <v>20</v>
      </c>
      <c r="G3486" s="10" t="s">
        <v>21</v>
      </c>
      <c r="H3486" t="str">
        <f>"ADR202106158614"</f>
        <v>ADR202106158614</v>
      </c>
      <c r="I3486" t="str">
        <f>"INSURANCE"</f>
        <v>INSURANCE</v>
      </c>
    </row>
    <row r="3487" spans="1:9" x14ac:dyDescent="0.25">
      <c r="E3487" s="7"/>
      <c r="F3487" t="s">
        <v>20</v>
      </c>
      <c r="G3487" s="10" t="s">
        <v>21</v>
      </c>
      <c r="H3487" t="str">
        <f>"AF1202106018612"</f>
        <v>AF1202106018612</v>
      </c>
      <c r="I3487" t="str">
        <f>"AFLAC INSURANCE"</f>
        <v>AFLAC INSURANCE</v>
      </c>
    </row>
    <row r="3488" spans="1:9" x14ac:dyDescent="0.25">
      <c r="E3488" s="7"/>
      <c r="F3488" t="s">
        <v>20</v>
      </c>
      <c r="G3488" s="10" t="s">
        <v>21</v>
      </c>
      <c r="H3488" t="str">
        <f>"AF1202106158614"</f>
        <v>AF1202106158614</v>
      </c>
      <c r="I3488" t="str">
        <f>"AFLAC INSURANCE"</f>
        <v>AFLAC INSURANCE</v>
      </c>
    </row>
    <row r="3489" spans="1:9" x14ac:dyDescent="0.25">
      <c r="E3489" s="7"/>
      <c r="F3489" t="s">
        <v>20</v>
      </c>
      <c r="G3489" s="10" t="s">
        <v>21</v>
      </c>
      <c r="H3489" t="str">
        <f>"AFS202106018612"</f>
        <v>AFS202106018612</v>
      </c>
      <c r="I3489" t="str">
        <f>"AFLAC STD"</f>
        <v>AFLAC STD</v>
      </c>
    </row>
    <row r="3490" spans="1:9" x14ac:dyDescent="0.25">
      <c r="E3490" s="7"/>
      <c r="F3490" t="s">
        <v>20</v>
      </c>
      <c r="G3490" s="10" t="s">
        <v>21</v>
      </c>
      <c r="H3490" t="str">
        <f>"AFS202106158614"</f>
        <v>AFS202106158614</v>
      </c>
      <c r="I3490" t="str">
        <f>"AFLAC STD"</f>
        <v>AFLAC STD</v>
      </c>
    </row>
    <row r="3491" spans="1:9" x14ac:dyDescent="0.25">
      <c r="E3491" s="7"/>
      <c r="F3491" t="s">
        <v>20</v>
      </c>
      <c r="G3491" s="10" t="s">
        <v>21</v>
      </c>
      <c r="H3491" t="str">
        <f>"ASP202106018612"</f>
        <v>ASP202106018612</v>
      </c>
      <c r="I3491" t="str">
        <f>"AFLAC INSURANCE"</f>
        <v>AFLAC INSURANCE</v>
      </c>
    </row>
    <row r="3492" spans="1:9" x14ac:dyDescent="0.25">
      <c r="E3492" s="7"/>
      <c r="F3492" t="s">
        <v>20</v>
      </c>
      <c r="G3492" s="10" t="s">
        <v>21</v>
      </c>
      <c r="H3492" t="str">
        <f>"ASP202106158614"</f>
        <v>ASP202106158614</v>
      </c>
      <c r="I3492" t="str">
        <f>"AFLAC INSURANCE"</f>
        <v>AFLAC INSURANCE</v>
      </c>
    </row>
    <row r="3493" spans="1:9" x14ac:dyDescent="0.25">
      <c r="E3493" s="7"/>
      <c r="F3493" t="s">
        <v>20</v>
      </c>
      <c r="G3493" s="10" t="s">
        <v>21</v>
      </c>
      <c r="H3493" t="str">
        <f>"HCO202106018612"</f>
        <v>HCO202106018612</v>
      </c>
      <c r="I3493" t="str">
        <f>"AFLAC INSURANCE"</f>
        <v>AFLAC INSURANCE</v>
      </c>
    </row>
    <row r="3494" spans="1:9" x14ac:dyDescent="0.25">
      <c r="E3494" s="7"/>
      <c r="F3494" t="s">
        <v>20</v>
      </c>
      <c r="G3494" s="10" t="s">
        <v>21</v>
      </c>
      <c r="H3494" t="str">
        <f>"HCO202106158614"</f>
        <v>HCO202106158614</v>
      </c>
      <c r="I3494" t="str">
        <f>"AFLAC INSURANCE"</f>
        <v>AFLAC INSURANCE</v>
      </c>
    </row>
    <row r="3495" spans="1:9" x14ac:dyDescent="0.25">
      <c r="A3495" s="6">
        <v>44378</v>
      </c>
      <c r="B3495" t="s">
        <v>26</v>
      </c>
      <c r="C3495">
        <v>67043</v>
      </c>
      <c r="D3495" t="s">
        <v>98</v>
      </c>
      <c r="E3495" s="7">
        <v>3766.99</v>
      </c>
      <c r="F3495" t="s">
        <v>20</v>
      </c>
      <c r="G3495" s="10" t="s">
        <v>329</v>
      </c>
      <c r="H3495" t="str">
        <f>"JULY 2021"</f>
        <v>JULY 2021</v>
      </c>
      <c r="I3495" t="str">
        <f>"DEARBORN LIFE INSURANCE COMPAN"</f>
        <v>DEARBORN LIFE INSURANCE COMPAN</v>
      </c>
    </row>
    <row r="3496" spans="1:9" x14ac:dyDescent="0.25">
      <c r="E3496" s="7"/>
      <c r="F3496" t="s">
        <v>20</v>
      </c>
      <c r="G3496" s="10" t="s">
        <v>21</v>
      </c>
      <c r="H3496" t="str">
        <f>"ADD202106018612"</f>
        <v>ADD202106018612</v>
      </c>
      <c r="I3496" t="str">
        <f>"AD&amp;D"</f>
        <v>AD&amp;D</v>
      </c>
    </row>
    <row r="3497" spans="1:9" x14ac:dyDescent="0.25">
      <c r="E3497" s="7"/>
      <c r="F3497" t="s">
        <v>20</v>
      </c>
      <c r="G3497" s="10" t="s">
        <v>21</v>
      </c>
      <c r="H3497" t="str">
        <f>"ADD202106158614"</f>
        <v>ADD202106158614</v>
      </c>
      <c r="I3497" t="str">
        <f>"AD&amp;D"</f>
        <v>AD&amp;D</v>
      </c>
    </row>
    <row r="3498" spans="1:9" x14ac:dyDescent="0.25">
      <c r="E3498" s="7"/>
      <c r="F3498" t="s">
        <v>20</v>
      </c>
      <c r="G3498" s="10" t="s">
        <v>21</v>
      </c>
      <c r="H3498" t="str">
        <f>"STD202105278610"</f>
        <v>STD202105278610</v>
      </c>
      <c r="I3498" t="str">
        <f>"SHORT TERM DISABILITY"</f>
        <v>SHORT TERM DISABILITY</v>
      </c>
    </row>
    <row r="3499" spans="1:9" x14ac:dyDescent="0.25">
      <c r="E3499" s="7"/>
      <c r="F3499" t="s">
        <v>20</v>
      </c>
      <c r="G3499" s="10" t="s">
        <v>21</v>
      </c>
      <c r="H3499" t="str">
        <f>"STD202106018612"</f>
        <v>STD202106018612</v>
      </c>
      <c r="I3499" t="str">
        <f>"SHORT TERM DISABILITY"</f>
        <v>SHORT TERM DISABILITY</v>
      </c>
    </row>
    <row r="3500" spans="1:9" x14ac:dyDescent="0.25">
      <c r="E3500" s="7"/>
      <c r="F3500" t="s">
        <v>20</v>
      </c>
      <c r="G3500" s="10" t="s">
        <v>21</v>
      </c>
      <c r="H3500" t="str">
        <f>"STD202106158614"</f>
        <v>STD202106158614</v>
      </c>
      <c r="I3500" t="str">
        <f>"SHORT TERM DISABILITY"</f>
        <v>SHORT TERM DISABILITY</v>
      </c>
    </row>
    <row r="3501" spans="1:9" x14ac:dyDescent="0.25">
      <c r="E3501" s="7"/>
      <c r="F3501" t="s">
        <v>20</v>
      </c>
      <c r="G3501" s="10" t="s">
        <v>21</v>
      </c>
      <c r="H3501" t="str">
        <f>"VIS202105278610"</f>
        <v>VIS202105278610</v>
      </c>
      <c r="I3501" t="str">
        <f>"VISION INSURANCE"</f>
        <v>VISION INSURANCE</v>
      </c>
    </row>
    <row r="3502" spans="1:9" x14ac:dyDescent="0.25">
      <c r="E3502" s="7"/>
      <c r="F3502" t="s">
        <v>20</v>
      </c>
      <c r="G3502" s="10" t="s">
        <v>21</v>
      </c>
      <c r="H3502" t="str">
        <f>"VIS202106018612"</f>
        <v>VIS202106018612</v>
      </c>
      <c r="I3502" t="str">
        <f>"VISION INSURANCE"</f>
        <v>VISION INSURANCE</v>
      </c>
    </row>
    <row r="3503" spans="1:9" x14ac:dyDescent="0.25">
      <c r="E3503" s="7"/>
      <c r="F3503" t="s">
        <v>20</v>
      </c>
      <c r="G3503" s="10" t="s">
        <v>21</v>
      </c>
      <c r="H3503" t="str">
        <f>"VIS202106158614"</f>
        <v>VIS202106158614</v>
      </c>
      <c r="I3503" t="str">
        <f>"VISION INSURANCE"</f>
        <v>VISION INSURANCE</v>
      </c>
    </row>
    <row r="3504" spans="1:9" x14ac:dyDescent="0.25">
      <c r="E3504" s="7"/>
      <c r="F3504" t="s">
        <v>20</v>
      </c>
      <c r="G3504" s="10" t="s">
        <v>21</v>
      </c>
      <c r="H3504" t="str">
        <f>"VLC202106018612"</f>
        <v>VLC202106018612</v>
      </c>
      <c r="I3504" t="str">
        <f>"CHILD LIFE INSURANCE"</f>
        <v>CHILD LIFE INSURANCE</v>
      </c>
    </row>
    <row r="3505" spans="1:9" x14ac:dyDescent="0.25">
      <c r="E3505" s="7"/>
      <c r="F3505" t="s">
        <v>20</v>
      </c>
      <c r="G3505" s="10" t="s">
        <v>21</v>
      </c>
      <c r="H3505" t="str">
        <f>"VLC202106158614"</f>
        <v>VLC202106158614</v>
      </c>
      <c r="I3505" t="str">
        <f>"CHILD LIFE INSURANCE"</f>
        <v>CHILD LIFE INSURANCE</v>
      </c>
    </row>
    <row r="3506" spans="1:9" x14ac:dyDescent="0.25">
      <c r="E3506" s="7"/>
      <c r="F3506" t="s">
        <v>20</v>
      </c>
      <c r="G3506" s="10" t="s">
        <v>21</v>
      </c>
      <c r="H3506" t="str">
        <f>"VLS202106018612"</f>
        <v>VLS202106018612</v>
      </c>
      <c r="I3506" t="str">
        <f>"SPOUSE LIFE"</f>
        <v>SPOUSE LIFE</v>
      </c>
    </row>
    <row r="3507" spans="1:9" x14ac:dyDescent="0.25">
      <c r="E3507" s="7"/>
      <c r="F3507" t="s">
        <v>20</v>
      </c>
      <c r="G3507" s="10" t="s">
        <v>21</v>
      </c>
      <c r="H3507" t="str">
        <f>"VLS202106158614"</f>
        <v>VLS202106158614</v>
      </c>
      <c r="I3507" t="str">
        <f>"SPOUSE LIFE"</f>
        <v>SPOUSE LIFE</v>
      </c>
    </row>
    <row r="3508" spans="1:9" x14ac:dyDescent="0.25">
      <c r="E3508" s="7"/>
      <c r="F3508" t="s">
        <v>20</v>
      </c>
      <c r="G3508" s="10" t="s">
        <v>21</v>
      </c>
      <c r="H3508" t="str">
        <f>"VOE202105278610"</f>
        <v>VOE202105278610</v>
      </c>
      <c r="I3508" t="str">
        <f>"EMPLOYEE LIFE"</f>
        <v>EMPLOYEE LIFE</v>
      </c>
    </row>
    <row r="3509" spans="1:9" x14ac:dyDescent="0.25">
      <c r="E3509" s="7"/>
      <c r="F3509" t="s">
        <v>20</v>
      </c>
      <c r="G3509" s="10" t="s">
        <v>21</v>
      </c>
      <c r="H3509" t="str">
        <f>"VOE202106018612"</f>
        <v>VOE202106018612</v>
      </c>
      <c r="I3509" t="str">
        <f>"EMPLOYEE LIFE"</f>
        <v>EMPLOYEE LIFE</v>
      </c>
    </row>
    <row r="3510" spans="1:9" x14ac:dyDescent="0.25">
      <c r="E3510" s="7"/>
      <c r="F3510" t="s">
        <v>20</v>
      </c>
      <c r="G3510" s="10" t="s">
        <v>21</v>
      </c>
      <c r="H3510" t="str">
        <f>"VOE202106158614"</f>
        <v>VOE202106158614</v>
      </c>
      <c r="I3510" t="str">
        <f>"EMPLOYEE LIFE"</f>
        <v>EMPLOYEE LIFE</v>
      </c>
    </row>
    <row r="3511" spans="1:9" x14ac:dyDescent="0.25">
      <c r="E3511" s="7"/>
      <c r="F3511" t="s">
        <v>20</v>
      </c>
      <c r="G3511" s="10" t="s">
        <v>21</v>
      </c>
      <c r="H3511" t="str">
        <f>"VOL202105278610"</f>
        <v>VOL202105278610</v>
      </c>
      <c r="I3511" t="str">
        <f>"LIFE"</f>
        <v>LIFE</v>
      </c>
    </row>
    <row r="3512" spans="1:9" x14ac:dyDescent="0.25">
      <c r="E3512" s="7"/>
      <c r="F3512" t="s">
        <v>20</v>
      </c>
      <c r="G3512" s="10" t="s">
        <v>21</v>
      </c>
      <c r="H3512" t="str">
        <f>"VOL202106018612"</f>
        <v>VOL202106018612</v>
      </c>
      <c r="I3512" t="str">
        <f>"LIFE"</f>
        <v>LIFE</v>
      </c>
    </row>
    <row r="3513" spans="1:9" x14ac:dyDescent="0.25">
      <c r="E3513" s="7"/>
      <c r="F3513" t="s">
        <v>20</v>
      </c>
      <c r="G3513" s="10" t="s">
        <v>21</v>
      </c>
      <c r="H3513" t="str">
        <f>"VOL202106158614"</f>
        <v>VOL202106158614</v>
      </c>
      <c r="I3513" t="str">
        <f>"LIFE"</f>
        <v>LIFE</v>
      </c>
    </row>
    <row r="3514" spans="1:9" x14ac:dyDescent="0.25">
      <c r="A3514" s="6">
        <v>44378</v>
      </c>
      <c r="B3514" t="s">
        <v>26</v>
      </c>
      <c r="C3514">
        <v>67053</v>
      </c>
      <c r="D3514" t="s">
        <v>95</v>
      </c>
      <c r="E3514" s="7">
        <v>25.32</v>
      </c>
      <c r="F3514" t="s">
        <v>20</v>
      </c>
      <c r="G3514" s="10" t="s">
        <v>21</v>
      </c>
      <c r="H3514" t="str">
        <f>"LEA202106018612"</f>
        <v>LEA202106018612</v>
      </c>
      <c r="I3514" t="str">
        <f>"INSURANCE"</f>
        <v>INSURANCE</v>
      </c>
    </row>
    <row r="3515" spans="1:9" x14ac:dyDescent="0.25">
      <c r="E3515" s="7"/>
      <c r="F3515" t="s">
        <v>20</v>
      </c>
      <c r="G3515" s="10" t="s">
        <v>21</v>
      </c>
      <c r="H3515" t="str">
        <f>"LEA202106158614"</f>
        <v>LEA202106158614</v>
      </c>
      <c r="I3515" t="str">
        <f>"INSURANCE"</f>
        <v>INSURANCE</v>
      </c>
    </row>
    <row r="3516" spans="1:9" x14ac:dyDescent="0.25">
      <c r="A3516" s="6">
        <v>44378</v>
      </c>
      <c r="B3516" t="s">
        <v>26</v>
      </c>
      <c r="C3516">
        <v>67054</v>
      </c>
      <c r="D3516" t="s">
        <v>96</v>
      </c>
      <c r="E3516" s="7">
        <v>225.24</v>
      </c>
      <c r="F3516" t="s">
        <v>20</v>
      </c>
      <c r="G3516" s="10" t="s">
        <v>21</v>
      </c>
      <c r="H3516" t="str">
        <f>"PPL202106018612"</f>
        <v>PPL202106018612</v>
      </c>
      <c r="I3516" t="str">
        <f>"INSURANCE"</f>
        <v>INSURANCE</v>
      </c>
    </row>
    <row r="3517" spans="1:9" x14ac:dyDescent="0.25">
      <c r="E3517" s="7"/>
      <c r="F3517" t="s">
        <v>20</v>
      </c>
      <c r="G3517" s="10" t="s">
        <v>21</v>
      </c>
      <c r="H3517" t="str">
        <f>"PPL202106158614"</f>
        <v>PPL202106158614</v>
      </c>
      <c r="I3517" t="str">
        <f>"INSURANCE"</f>
        <v>INSURANCE</v>
      </c>
    </row>
    <row r="3518" spans="1:9" x14ac:dyDescent="0.25">
      <c r="A3518" s="6">
        <v>44384</v>
      </c>
      <c r="B3518" t="s">
        <v>26</v>
      </c>
      <c r="C3518">
        <v>67055</v>
      </c>
      <c r="D3518" t="s">
        <v>405</v>
      </c>
      <c r="E3518" s="7">
        <v>748.66</v>
      </c>
      <c r="F3518" t="s">
        <v>20</v>
      </c>
      <c r="G3518" s="10" t="s">
        <v>21</v>
      </c>
      <c r="H3518" t="str">
        <f>"FELPS SUM PRO 2021"</f>
        <v>FELPS SUM PRO 2021</v>
      </c>
      <c r="I3518" t="str">
        <f>"ALL CITY YOUTH PROGRAMS"</f>
        <v>ALL CITY YOUTH PROGRAMS</v>
      </c>
    </row>
    <row r="3519" spans="1:9" x14ac:dyDescent="0.25">
      <c r="A3519" s="6">
        <v>44384</v>
      </c>
      <c r="B3519" t="s">
        <v>26</v>
      </c>
      <c r="C3519">
        <v>67056</v>
      </c>
      <c r="D3519" t="s">
        <v>179</v>
      </c>
      <c r="E3519" s="7">
        <v>53.98</v>
      </c>
      <c r="F3519" t="s">
        <v>20</v>
      </c>
      <c r="G3519" s="10" t="s">
        <v>21</v>
      </c>
      <c r="H3519" t="str">
        <f>"63378"</f>
        <v>63378</v>
      </c>
      <c r="I3519" t="str">
        <f>"PARKS DEPT"</f>
        <v>PARKS DEPT</v>
      </c>
    </row>
    <row r="3520" spans="1:9" x14ac:dyDescent="0.25">
      <c r="A3520" s="6">
        <v>44384</v>
      </c>
      <c r="B3520" t="s">
        <v>26</v>
      </c>
      <c r="C3520">
        <v>67057</v>
      </c>
      <c r="D3520" t="s">
        <v>83</v>
      </c>
      <c r="E3520" s="7">
        <v>1080</v>
      </c>
      <c r="F3520" t="s">
        <v>20</v>
      </c>
      <c r="G3520" s="10" t="s">
        <v>21</v>
      </c>
      <c r="H3520" t="str">
        <f>"1634227"</f>
        <v>1634227</v>
      </c>
      <c r="I3520" t="str">
        <f>"APPRIVER"</f>
        <v>APPRIVER</v>
      </c>
    </row>
    <row r="3521" spans="1:9" x14ac:dyDescent="0.25">
      <c r="A3521" s="6">
        <v>44384</v>
      </c>
      <c r="B3521" t="s">
        <v>26</v>
      </c>
      <c r="C3521">
        <v>67058</v>
      </c>
      <c r="D3521" t="s">
        <v>403</v>
      </c>
      <c r="E3521" s="7">
        <v>748.66</v>
      </c>
      <c r="F3521" t="s">
        <v>20</v>
      </c>
      <c r="G3521" s="10" t="s">
        <v>21</v>
      </c>
      <c r="H3521" t="str">
        <f>"FELPS SUM PRO 2021"</f>
        <v>FELPS SUM PRO 2021</v>
      </c>
      <c r="I3521" t="str">
        <f>"ARCADIA MOVIES LLC"</f>
        <v>ARCADIA MOVIES LLC</v>
      </c>
    </row>
    <row r="3522" spans="1:9" x14ac:dyDescent="0.25">
      <c r="A3522" s="6">
        <v>44384</v>
      </c>
      <c r="B3522" t="s">
        <v>26</v>
      </c>
      <c r="C3522">
        <v>67059</v>
      </c>
      <c r="D3522" t="s">
        <v>821</v>
      </c>
      <c r="E3522" s="7">
        <v>1827.46</v>
      </c>
      <c r="F3522" t="s">
        <v>20</v>
      </c>
      <c r="G3522" s="10" t="s">
        <v>21</v>
      </c>
      <c r="H3522" t="str">
        <f>"FR9376"</f>
        <v>FR9376</v>
      </c>
      <c r="I3522" t="str">
        <f>"WATER TOWER PUMP #2"</f>
        <v>WATER TOWER PUMP #2</v>
      </c>
    </row>
    <row r="3523" spans="1:9" x14ac:dyDescent="0.25">
      <c r="A3523" s="6">
        <v>44384</v>
      </c>
      <c r="B3523" t="s">
        <v>26</v>
      </c>
      <c r="C3523">
        <v>67060</v>
      </c>
      <c r="D3523" t="s">
        <v>836</v>
      </c>
      <c r="E3523" s="7">
        <v>5479</v>
      </c>
      <c r="F3523" t="s">
        <v>20</v>
      </c>
      <c r="G3523" s="10" t="s">
        <v>21</v>
      </c>
      <c r="H3523" t="str">
        <f>"76191"</f>
        <v>76191</v>
      </c>
      <c r="I3523" t="str">
        <f>"BARCOM TECHNOLOGY SOLUTIONS  I"</f>
        <v>BARCOM TECHNOLOGY SOLUTIONS  I</v>
      </c>
    </row>
    <row r="3524" spans="1:9" x14ac:dyDescent="0.25">
      <c r="E3524" s="7"/>
      <c r="F3524" t="s">
        <v>20</v>
      </c>
      <c r="G3524" s="10" t="s">
        <v>21</v>
      </c>
      <c r="H3524" t="str">
        <f>"76192"</f>
        <v>76192</v>
      </c>
      <c r="I3524" t="str">
        <f>"BARCOM TECHNOLOGY SOLUTIONS  I"</f>
        <v>BARCOM TECHNOLOGY SOLUTIONS  I</v>
      </c>
    </row>
    <row r="3525" spans="1:9" x14ac:dyDescent="0.25">
      <c r="A3525" s="6">
        <v>44384</v>
      </c>
      <c r="B3525" t="s">
        <v>26</v>
      </c>
      <c r="C3525">
        <v>67061</v>
      </c>
      <c r="D3525" t="s">
        <v>0</v>
      </c>
      <c r="E3525" s="7">
        <v>2684.44</v>
      </c>
      <c r="F3525" t="s">
        <v>20</v>
      </c>
      <c r="G3525" s="10" t="s">
        <v>21</v>
      </c>
      <c r="H3525" t="str">
        <f>"5/10-6/10/2021"</f>
        <v>5/10-6/10/2021</v>
      </c>
      <c r="I3525" t="str">
        <f>"CITY OF FLORESVILLE"</f>
        <v>CITY OF FLORESVILLE</v>
      </c>
    </row>
    <row r="3526" spans="1:9" x14ac:dyDescent="0.25">
      <c r="A3526" s="6">
        <v>44384</v>
      </c>
      <c r="B3526" t="s">
        <v>26</v>
      </c>
      <c r="C3526">
        <v>67062</v>
      </c>
      <c r="D3526" t="s">
        <v>81</v>
      </c>
      <c r="E3526" s="7">
        <v>231.13</v>
      </c>
      <c r="F3526" t="s">
        <v>20</v>
      </c>
      <c r="G3526" s="10" t="s">
        <v>21</v>
      </c>
      <c r="H3526" t="str">
        <f>"A.MONTOYA 7/7/21"</f>
        <v>A.MONTOYA 7/7/21</v>
      </c>
      <c r="I3526" t="str">
        <f>"CITY OF FLORESVILLE -PETTY CAS"</f>
        <v>CITY OF FLORESVILLE -PETTY CAS</v>
      </c>
    </row>
    <row r="3527" spans="1:9" x14ac:dyDescent="0.25">
      <c r="A3527" s="6">
        <v>44384</v>
      </c>
      <c r="B3527" t="s">
        <v>26</v>
      </c>
      <c r="C3527">
        <v>67064</v>
      </c>
      <c r="D3527" t="s">
        <v>1054</v>
      </c>
      <c r="E3527" s="7">
        <v>1917.85</v>
      </c>
      <c r="F3527" t="s">
        <v>20</v>
      </c>
      <c r="G3527" s="10" t="s">
        <v>21</v>
      </c>
      <c r="H3527" t="str">
        <f>"INV0017"</f>
        <v>INV0017</v>
      </c>
      <c r="I3527" t="str">
        <f>"B STREET WELL"</f>
        <v>B STREET WELL</v>
      </c>
    </row>
    <row r="3528" spans="1:9" x14ac:dyDescent="0.25">
      <c r="E3528" s="7"/>
      <c r="F3528" t="s">
        <v>20</v>
      </c>
      <c r="G3528" s="10" t="s">
        <v>21</v>
      </c>
      <c r="H3528" t="str">
        <f>"INV0018"</f>
        <v>INV0018</v>
      </c>
      <c r="I3528" t="str">
        <f>"B STREET WELL"</f>
        <v>B STREET WELL</v>
      </c>
    </row>
    <row r="3529" spans="1:9" x14ac:dyDescent="0.25">
      <c r="A3529" s="6">
        <v>44384</v>
      </c>
      <c r="B3529" t="s">
        <v>26</v>
      </c>
      <c r="C3529">
        <v>67065</v>
      </c>
      <c r="D3529" t="s">
        <v>629</v>
      </c>
      <c r="E3529" s="7">
        <v>2015.5</v>
      </c>
      <c r="F3529" t="s">
        <v>20</v>
      </c>
      <c r="G3529" s="10" t="s">
        <v>21</v>
      </c>
      <c r="H3529" t="str">
        <f>"41805"</f>
        <v>41805</v>
      </c>
      <c r="I3529" t="str">
        <f>"STREET SIGNS"</f>
        <v>STREET SIGNS</v>
      </c>
    </row>
    <row r="3530" spans="1:9" x14ac:dyDescent="0.25">
      <c r="E3530" s="7"/>
      <c r="F3530" t="s">
        <v>20</v>
      </c>
      <c r="G3530" s="10" t="s">
        <v>21</v>
      </c>
      <c r="H3530" t="str">
        <f>"41807"</f>
        <v>41807</v>
      </c>
      <c r="I3530" t="str">
        <f>"STREET SIGNS"</f>
        <v>STREET SIGNS</v>
      </c>
    </row>
    <row r="3531" spans="1:9" x14ac:dyDescent="0.25">
      <c r="A3531" s="6">
        <v>44384</v>
      </c>
      <c r="B3531" t="s">
        <v>26</v>
      </c>
      <c r="C3531">
        <v>67066</v>
      </c>
      <c r="D3531" t="s">
        <v>64</v>
      </c>
      <c r="E3531" s="7">
        <v>3146</v>
      </c>
      <c r="F3531" t="s">
        <v>20</v>
      </c>
      <c r="G3531" s="10" t="s">
        <v>21</v>
      </c>
      <c r="H3531" t="str">
        <f>"8525"</f>
        <v>8525</v>
      </c>
      <c r="I3531" t="str">
        <f>"DREWA DESIGNS  INC."</f>
        <v>DREWA DESIGNS  INC.</v>
      </c>
    </row>
    <row r="3532" spans="1:9" x14ac:dyDescent="0.25">
      <c r="A3532" s="6">
        <v>44384</v>
      </c>
      <c r="B3532" t="s">
        <v>26</v>
      </c>
      <c r="C3532">
        <v>67067</v>
      </c>
      <c r="D3532" t="s">
        <v>910</v>
      </c>
      <c r="E3532" s="7">
        <v>187.88</v>
      </c>
      <c r="F3532" t="s">
        <v>20</v>
      </c>
      <c r="G3532" s="10" t="s">
        <v>21</v>
      </c>
      <c r="H3532" t="str">
        <f>"F14212"</f>
        <v>F14212</v>
      </c>
      <c r="I3532" t="str">
        <f>"BACK WINDOW REPAIR"</f>
        <v>BACK WINDOW REPAIR</v>
      </c>
    </row>
    <row r="3533" spans="1:9" x14ac:dyDescent="0.25">
      <c r="A3533" s="6">
        <v>44384</v>
      </c>
      <c r="B3533" t="s">
        <v>26</v>
      </c>
      <c r="C3533">
        <v>67068</v>
      </c>
      <c r="D3533" t="s">
        <v>69</v>
      </c>
      <c r="E3533" s="7">
        <v>118.65</v>
      </c>
      <c r="F3533" t="s">
        <v>20</v>
      </c>
      <c r="G3533" s="10" t="s">
        <v>21</v>
      </c>
      <c r="H3533" t="str">
        <f>"3C07932"</f>
        <v>3C07932</v>
      </c>
      <c r="I3533" t="str">
        <f>"TRACTOR BELT"</f>
        <v>TRACTOR BELT</v>
      </c>
    </row>
    <row r="3534" spans="1:9" x14ac:dyDescent="0.25">
      <c r="E3534" s="7"/>
      <c r="F3534" t="s">
        <v>20</v>
      </c>
      <c r="G3534" s="10" t="s">
        <v>21</v>
      </c>
      <c r="H3534" t="str">
        <f>"3C08789"</f>
        <v>3C08789</v>
      </c>
      <c r="I3534" t="str">
        <f>"EWALD KUBOTA  INC."</f>
        <v>EWALD KUBOTA  INC.</v>
      </c>
    </row>
    <row r="3535" spans="1:9" x14ac:dyDescent="0.25">
      <c r="E3535" s="7"/>
      <c r="F3535" t="s">
        <v>20</v>
      </c>
      <c r="G3535" s="10" t="s">
        <v>21</v>
      </c>
      <c r="H3535" t="str">
        <f>"3C09361"</f>
        <v>3C09361</v>
      </c>
      <c r="I3535" t="str">
        <f>"FILTER CAB"</f>
        <v>FILTER CAB</v>
      </c>
    </row>
    <row r="3536" spans="1:9" x14ac:dyDescent="0.25">
      <c r="A3536" s="6">
        <v>44384</v>
      </c>
      <c r="B3536" t="s">
        <v>26</v>
      </c>
      <c r="C3536">
        <v>67069</v>
      </c>
      <c r="D3536" t="s">
        <v>79</v>
      </c>
      <c r="E3536" s="7">
        <v>13.5</v>
      </c>
      <c r="F3536" t="s">
        <v>20</v>
      </c>
      <c r="G3536" s="10" t="s">
        <v>21</v>
      </c>
      <c r="H3536" t="str">
        <f>"7-414-90553"</f>
        <v>7-414-90553</v>
      </c>
      <c r="I3536" t="str">
        <f>"FEDEX"</f>
        <v>FEDEX</v>
      </c>
    </row>
    <row r="3537" spans="1:9" x14ac:dyDescent="0.25">
      <c r="A3537" s="6">
        <v>44384</v>
      </c>
      <c r="B3537" t="s">
        <v>26</v>
      </c>
      <c r="C3537">
        <v>67070</v>
      </c>
      <c r="D3537" t="s">
        <v>1068</v>
      </c>
      <c r="E3537" s="7">
        <v>748.66</v>
      </c>
      <c r="F3537" t="s">
        <v>20</v>
      </c>
      <c r="G3537" s="10" t="s">
        <v>21</v>
      </c>
      <c r="H3537" t="str">
        <f>"FELPS SUM PRO 2021"</f>
        <v>FELPS SUM PRO 2021</v>
      </c>
      <c r="I3537" t="str">
        <f>"FLO TOWN KICKS"</f>
        <v>FLO TOWN KICKS</v>
      </c>
    </row>
    <row r="3538" spans="1:9" x14ac:dyDescent="0.25">
      <c r="A3538" s="6">
        <v>44384</v>
      </c>
      <c r="B3538" t="s">
        <v>26</v>
      </c>
      <c r="C3538">
        <v>67071</v>
      </c>
      <c r="D3538" t="s">
        <v>725</v>
      </c>
      <c r="E3538" s="7">
        <v>748.66</v>
      </c>
      <c r="F3538" t="s">
        <v>20</v>
      </c>
      <c r="G3538" s="10" t="s">
        <v>21</v>
      </c>
      <c r="H3538" t="str">
        <f>"FELPS SUM PRO 2021"</f>
        <v>FELPS SUM PRO 2021</v>
      </c>
      <c r="I3538" t="str">
        <f>"FLORESVILLE WILDCATS"</f>
        <v>FLORESVILLE WILDCATS</v>
      </c>
    </row>
    <row r="3539" spans="1:9" x14ac:dyDescent="0.25">
      <c r="A3539" s="6">
        <v>44384</v>
      </c>
      <c r="B3539" t="s">
        <v>26</v>
      </c>
      <c r="C3539">
        <v>67072</v>
      </c>
      <c r="D3539" t="s">
        <v>724</v>
      </c>
      <c r="E3539" s="7">
        <v>748.66</v>
      </c>
      <c r="F3539" t="s">
        <v>20</v>
      </c>
      <c r="G3539" s="10" t="s">
        <v>21</v>
      </c>
      <c r="H3539" t="str">
        <f>"FELPS SUM PRO 2021"</f>
        <v>FELPS SUM PRO 2021</v>
      </c>
      <c r="I3539" t="str">
        <f>"FLORESVILLE YOUTH BASKETBALL L"</f>
        <v>FLORESVILLE YOUTH BASKETBALL L</v>
      </c>
    </row>
    <row r="3540" spans="1:9" x14ac:dyDescent="0.25">
      <c r="A3540" s="6">
        <v>44384</v>
      </c>
      <c r="B3540" t="s">
        <v>26</v>
      </c>
      <c r="C3540">
        <v>67073</v>
      </c>
      <c r="D3540" t="s">
        <v>85</v>
      </c>
      <c r="E3540" s="7">
        <v>513.99</v>
      </c>
      <c r="F3540" t="s">
        <v>20</v>
      </c>
      <c r="G3540" s="10" t="s">
        <v>21</v>
      </c>
      <c r="H3540" t="str">
        <f>"3933718 6/2021"</f>
        <v>3933718 6/2021</v>
      </c>
      <c r="I3540" t="str">
        <f>"FRONTIER"</f>
        <v>FRONTIER</v>
      </c>
    </row>
    <row r="3541" spans="1:9" x14ac:dyDescent="0.25">
      <c r="E3541" s="7"/>
      <c r="F3541" t="s">
        <v>20</v>
      </c>
      <c r="G3541" s="10" t="s">
        <v>21</v>
      </c>
      <c r="H3541" t="str">
        <f>"8301970046 6/2021"</f>
        <v>8301970046 6/2021</v>
      </c>
      <c r="I3541" t="str">
        <f>"FRONTIER"</f>
        <v>FRONTIER</v>
      </c>
    </row>
    <row r="3542" spans="1:9" x14ac:dyDescent="0.25">
      <c r="A3542" s="6">
        <v>44384</v>
      </c>
      <c r="B3542" t="s">
        <v>26</v>
      </c>
      <c r="C3542">
        <v>67074</v>
      </c>
      <c r="D3542" t="s">
        <v>56</v>
      </c>
      <c r="E3542" s="7">
        <v>138.25</v>
      </c>
      <c r="F3542" t="s">
        <v>20</v>
      </c>
      <c r="G3542" s="10" t="s">
        <v>21</v>
      </c>
      <c r="H3542" t="str">
        <f>"193736"</f>
        <v>193736</v>
      </c>
      <c r="I3542" t="str">
        <f>"GLYPHOSATE 41%"</f>
        <v>GLYPHOSATE 41%</v>
      </c>
    </row>
    <row r="3543" spans="1:9" x14ac:dyDescent="0.25">
      <c r="A3543" s="6">
        <v>44384</v>
      </c>
      <c r="B3543" t="s">
        <v>26</v>
      </c>
      <c r="C3543">
        <v>67075</v>
      </c>
      <c r="D3543" t="s">
        <v>398</v>
      </c>
      <c r="E3543" s="7">
        <v>266.5</v>
      </c>
      <c r="F3543" t="s">
        <v>20</v>
      </c>
      <c r="G3543" s="10" t="s">
        <v>21</v>
      </c>
      <c r="H3543" t="str">
        <f>"20210708"</f>
        <v>20210708</v>
      </c>
      <c r="I3543" t="str">
        <f>"INTERCEPTOR TECHNOLOGY GROUP L"</f>
        <v>INTERCEPTOR TECHNOLOGY GROUP L</v>
      </c>
    </row>
    <row r="3544" spans="1:9" x14ac:dyDescent="0.25">
      <c r="E3544" s="7"/>
      <c r="F3544" t="s">
        <v>20</v>
      </c>
      <c r="G3544" s="10" t="s">
        <v>21</v>
      </c>
      <c r="H3544" t="str">
        <f>"2098"</f>
        <v>2098</v>
      </c>
      <c r="I3544" t="str">
        <f>"INTERCEPTOR TECHNOLOGY GROUP L"</f>
        <v>INTERCEPTOR TECHNOLOGY GROUP L</v>
      </c>
    </row>
    <row r="3545" spans="1:9" x14ac:dyDescent="0.25">
      <c r="A3545" s="6">
        <v>44384</v>
      </c>
      <c r="B3545" t="s">
        <v>26</v>
      </c>
      <c r="C3545">
        <v>67076</v>
      </c>
      <c r="D3545" t="s">
        <v>1018</v>
      </c>
      <c r="E3545" s="7">
        <v>9725</v>
      </c>
      <c r="F3545" t="s">
        <v>20</v>
      </c>
      <c r="G3545" s="10" t="s">
        <v>21</v>
      </c>
      <c r="H3545" t="str">
        <f>"6/1-6/30/2021"</f>
        <v>6/1-6/30/2021</v>
      </c>
      <c r="I3545" t="str">
        <f>"LAW OFFICE OF JOSE GARZA"</f>
        <v>LAW OFFICE OF JOSE GARZA</v>
      </c>
    </row>
    <row r="3546" spans="1:9" x14ac:dyDescent="0.25">
      <c r="A3546" s="6">
        <v>44384</v>
      </c>
      <c r="B3546" t="s">
        <v>26</v>
      </c>
      <c r="C3546">
        <v>67077</v>
      </c>
      <c r="D3546" t="s">
        <v>1032</v>
      </c>
      <c r="E3546" s="7">
        <v>8900</v>
      </c>
      <c r="F3546" t="s">
        <v>20</v>
      </c>
      <c r="G3546" s="10" t="s">
        <v>21</v>
      </c>
      <c r="H3546" t="str">
        <f>"6-21-17651  6/2021"</f>
        <v>6-21-17651  6/2021</v>
      </c>
      <c r="I3546" t="str">
        <f>"LEAL &amp; CARTER  P.C."</f>
        <v>LEAL &amp; CARTER  P.C.</v>
      </c>
    </row>
    <row r="3547" spans="1:9" x14ac:dyDescent="0.25">
      <c r="A3547" s="6">
        <v>44384</v>
      </c>
      <c r="B3547" t="s">
        <v>26</v>
      </c>
      <c r="C3547">
        <v>67078</v>
      </c>
      <c r="D3547" t="s">
        <v>107</v>
      </c>
      <c r="E3547" s="7">
        <v>37.89</v>
      </c>
      <c r="F3547" t="s">
        <v>20</v>
      </c>
      <c r="G3547" s="10" t="s">
        <v>21</v>
      </c>
      <c r="H3547" t="str">
        <f>"1166960-20210531"</f>
        <v>1166960-20210531</v>
      </c>
      <c r="I3547" t="str">
        <f>"LEXISNEXIS RISK SOLUTIONS"</f>
        <v>LEXISNEXIS RISK SOLUTIONS</v>
      </c>
    </row>
    <row r="3548" spans="1:9" x14ac:dyDescent="0.25">
      <c r="A3548" s="6">
        <v>44384</v>
      </c>
      <c r="B3548" t="s">
        <v>26</v>
      </c>
      <c r="C3548">
        <v>67079</v>
      </c>
      <c r="D3548" t="s">
        <v>80</v>
      </c>
      <c r="E3548" s="7">
        <v>1500</v>
      </c>
      <c r="F3548" t="s">
        <v>20</v>
      </c>
      <c r="G3548" s="10" t="s">
        <v>21</v>
      </c>
      <c r="H3548" t="str">
        <f>"1648-20210701-1"</f>
        <v>1648-20210701-1</v>
      </c>
      <c r="I3548" t="str">
        <f>"LVWIFI.COM"</f>
        <v>LVWIFI.COM</v>
      </c>
    </row>
    <row r="3549" spans="1:9" x14ac:dyDescent="0.25">
      <c r="E3549" s="7"/>
      <c r="F3549" t="s">
        <v>20</v>
      </c>
      <c r="G3549" s="10" t="s">
        <v>21</v>
      </c>
      <c r="H3549" t="str">
        <f>"2313-20210701-1"</f>
        <v>2313-20210701-1</v>
      </c>
      <c r="I3549" t="str">
        <f>"LVWIFI.COM"</f>
        <v>LVWIFI.COM</v>
      </c>
    </row>
    <row r="3550" spans="1:9" x14ac:dyDescent="0.25">
      <c r="A3550" s="6">
        <v>44384</v>
      </c>
      <c r="B3550" t="s">
        <v>26</v>
      </c>
      <c r="C3550">
        <v>67080</v>
      </c>
      <c r="D3550" t="s">
        <v>124</v>
      </c>
      <c r="E3550" s="7">
        <v>205.54</v>
      </c>
      <c r="F3550" t="s">
        <v>20</v>
      </c>
      <c r="G3550" s="10" t="s">
        <v>21</v>
      </c>
      <c r="H3550" t="str">
        <f>"11107140"</f>
        <v>11107140</v>
      </c>
      <c r="I3550" t="str">
        <f>"WWTP SUPPLIES"</f>
        <v>WWTP SUPPLIES</v>
      </c>
    </row>
    <row r="3551" spans="1:9" x14ac:dyDescent="0.25">
      <c r="A3551" s="6">
        <v>44384</v>
      </c>
      <c r="B3551" t="s">
        <v>26</v>
      </c>
      <c r="C3551">
        <v>67081</v>
      </c>
      <c r="D3551" t="s">
        <v>345</v>
      </c>
      <c r="E3551" s="7">
        <v>247.5</v>
      </c>
      <c r="F3551" t="s">
        <v>20</v>
      </c>
      <c r="G3551" s="10" t="s">
        <v>21</v>
      </c>
      <c r="H3551" t="str">
        <f>"07/05/2021"</f>
        <v>07/05/2021</v>
      </c>
      <c r="I3551" t="str">
        <f>"MICHAEL ISAAC MARTINEZ"</f>
        <v>MICHAEL ISAAC MARTINEZ</v>
      </c>
    </row>
    <row r="3552" spans="1:9" x14ac:dyDescent="0.25">
      <c r="A3552" s="6">
        <v>44384</v>
      </c>
      <c r="B3552" t="s">
        <v>26</v>
      </c>
      <c r="C3552">
        <v>67082</v>
      </c>
      <c r="D3552" t="s">
        <v>333</v>
      </c>
      <c r="E3552" s="7">
        <v>10000</v>
      </c>
      <c r="F3552" t="s">
        <v>20</v>
      </c>
      <c r="G3552" s="10" t="s">
        <v>21</v>
      </c>
      <c r="H3552" t="str">
        <f>"06-30-2021"</f>
        <v>06-30-2021</v>
      </c>
      <c r="I3552" t="str">
        <f>"EVENT CENTER FLOORS"</f>
        <v>EVENT CENTER FLOORS</v>
      </c>
    </row>
    <row r="3553" spans="1:9" x14ac:dyDescent="0.25">
      <c r="A3553" s="6">
        <v>44384</v>
      </c>
      <c r="B3553" t="s">
        <v>26</v>
      </c>
      <c r="C3553">
        <v>67083</v>
      </c>
      <c r="D3553" t="s">
        <v>240</v>
      </c>
      <c r="E3553" s="7">
        <v>1075</v>
      </c>
      <c r="F3553" t="s">
        <v>20</v>
      </c>
      <c r="G3553" s="10" t="s">
        <v>21</v>
      </c>
      <c r="H3553" t="str">
        <f>"0210873-IN"</f>
        <v>0210873-IN</v>
      </c>
      <c r="I3553" t="str">
        <f>"NARDIS PUBLIC SAFETY"</f>
        <v>NARDIS PUBLIC SAFETY</v>
      </c>
    </row>
    <row r="3554" spans="1:9" x14ac:dyDescent="0.25">
      <c r="E3554" s="7"/>
      <c r="F3554" t="s">
        <v>20</v>
      </c>
      <c r="G3554" s="10" t="s">
        <v>21</v>
      </c>
      <c r="H3554" t="str">
        <f>"0211255-IN"</f>
        <v>0211255-IN</v>
      </c>
      <c r="I3554" t="str">
        <f>"VEST FOR RALPH"</f>
        <v>VEST FOR RALPH</v>
      </c>
    </row>
    <row r="3555" spans="1:9" x14ac:dyDescent="0.25">
      <c r="A3555" s="6">
        <v>44384</v>
      </c>
      <c r="B3555" t="s">
        <v>26</v>
      </c>
      <c r="C3555">
        <v>67084</v>
      </c>
      <c r="D3555" t="s">
        <v>215</v>
      </c>
      <c r="E3555" s="7">
        <v>2589.5700000000002</v>
      </c>
      <c r="F3555" t="s">
        <v>20</v>
      </c>
      <c r="G3555" s="10" t="s">
        <v>21</v>
      </c>
      <c r="H3555" t="str">
        <f>"664020"</f>
        <v>664020</v>
      </c>
      <c r="I3555" t="str">
        <f>"PUMP"</f>
        <v>PUMP</v>
      </c>
    </row>
    <row r="3556" spans="1:9" x14ac:dyDescent="0.25">
      <c r="A3556" s="6">
        <v>44384</v>
      </c>
      <c r="B3556" t="s">
        <v>26</v>
      </c>
      <c r="C3556">
        <v>67085</v>
      </c>
      <c r="D3556" t="s">
        <v>123</v>
      </c>
      <c r="E3556" s="7">
        <v>997.25</v>
      </c>
      <c r="F3556" t="s">
        <v>20</v>
      </c>
      <c r="G3556" s="10" t="s">
        <v>21</v>
      </c>
      <c r="H3556" t="str">
        <f>"178204253001"</f>
        <v>178204253001</v>
      </c>
      <c r="I3556" t="str">
        <f>"OFFICE SUPPLIES"</f>
        <v>OFFICE SUPPLIES</v>
      </c>
    </row>
    <row r="3557" spans="1:9" x14ac:dyDescent="0.25">
      <c r="E3557" s="7"/>
      <c r="F3557" t="s">
        <v>20</v>
      </c>
      <c r="G3557" s="10" t="s">
        <v>21</v>
      </c>
      <c r="H3557" t="str">
        <f>"178204253011"</f>
        <v>178204253011</v>
      </c>
      <c r="I3557" t="str">
        <f>"OFFICE SUPPLIES"</f>
        <v>OFFICE SUPPLIES</v>
      </c>
    </row>
    <row r="3558" spans="1:9" x14ac:dyDescent="0.25">
      <c r="E3558" s="7"/>
      <c r="F3558" t="s">
        <v>20</v>
      </c>
      <c r="G3558" s="10" t="s">
        <v>21</v>
      </c>
      <c r="H3558" t="str">
        <f>"178206431001"</f>
        <v>178206431001</v>
      </c>
      <c r="I3558" t="str">
        <f>"OFFICE SUPPLIES"</f>
        <v>OFFICE SUPPLIES</v>
      </c>
    </row>
    <row r="3559" spans="1:9" x14ac:dyDescent="0.25">
      <c r="E3559" s="7"/>
      <c r="F3559" t="s">
        <v>20</v>
      </c>
      <c r="G3559" s="10" t="s">
        <v>21</v>
      </c>
      <c r="H3559" t="str">
        <f>"178206433001"</f>
        <v>178206433001</v>
      </c>
      <c r="I3559" t="str">
        <f>"OFFICE SUPPLIES"</f>
        <v>OFFICE SUPPLIES</v>
      </c>
    </row>
    <row r="3560" spans="1:9" x14ac:dyDescent="0.25">
      <c r="A3560" s="6">
        <v>44384</v>
      </c>
      <c r="B3560" t="s">
        <v>26</v>
      </c>
      <c r="C3560">
        <v>67088</v>
      </c>
      <c r="D3560" t="s">
        <v>248</v>
      </c>
      <c r="E3560" s="7">
        <v>203.46</v>
      </c>
      <c r="F3560" t="s">
        <v>20</v>
      </c>
      <c r="G3560" s="10" t="s">
        <v>21</v>
      </c>
      <c r="H3560" t="str">
        <f>"1018356667"</f>
        <v>1018356667</v>
      </c>
      <c r="I3560" t="str">
        <f>"PBI POSTAL INK FOR DM300C"</f>
        <v>PBI POSTAL INK FOR DM300C</v>
      </c>
    </row>
    <row r="3561" spans="1:9" x14ac:dyDescent="0.25">
      <c r="A3561" s="6">
        <v>44384</v>
      </c>
      <c r="B3561" t="s">
        <v>26</v>
      </c>
      <c r="C3561">
        <v>67089</v>
      </c>
      <c r="D3561" t="s">
        <v>131</v>
      </c>
      <c r="E3561" s="7">
        <v>120.96</v>
      </c>
      <c r="F3561" t="s">
        <v>20</v>
      </c>
      <c r="G3561" s="10" t="s">
        <v>21</v>
      </c>
      <c r="H3561" t="str">
        <f>"060209"</f>
        <v>060209</v>
      </c>
      <c r="I3561" t="str">
        <f>"POOL MAINTENANCE"</f>
        <v>POOL MAINTENANCE</v>
      </c>
    </row>
    <row r="3562" spans="1:9" x14ac:dyDescent="0.25">
      <c r="E3562" s="7"/>
      <c r="F3562" t="s">
        <v>20</v>
      </c>
      <c r="G3562" s="10" t="s">
        <v>21</v>
      </c>
      <c r="H3562" t="str">
        <f>"060489"</f>
        <v>060489</v>
      </c>
      <c r="I3562" t="str">
        <f>"EVENT CENTER"</f>
        <v>EVENT CENTER</v>
      </c>
    </row>
    <row r="3563" spans="1:9" x14ac:dyDescent="0.25">
      <c r="A3563" s="6">
        <v>44384</v>
      </c>
      <c r="B3563" t="s">
        <v>26</v>
      </c>
      <c r="C3563">
        <v>67090</v>
      </c>
      <c r="D3563" t="s">
        <v>126</v>
      </c>
      <c r="E3563" s="7">
        <v>90341.99</v>
      </c>
      <c r="F3563" t="s">
        <v>20</v>
      </c>
      <c r="G3563" s="10" t="s">
        <v>21</v>
      </c>
      <c r="H3563" t="str">
        <f>"0859-002872371"</f>
        <v>0859-002872371</v>
      </c>
      <c r="I3563" t="str">
        <f>"REPUBLIC SERVICES #859"</f>
        <v>REPUBLIC SERVICES #859</v>
      </c>
    </row>
    <row r="3564" spans="1:9" x14ac:dyDescent="0.25">
      <c r="A3564" s="6">
        <v>44384</v>
      </c>
      <c r="B3564" t="s">
        <v>26</v>
      </c>
      <c r="C3564">
        <v>67091</v>
      </c>
      <c r="D3564" t="s">
        <v>178</v>
      </c>
      <c r="E3564" s="7">
        <v>29.75</v>
      </c>
      <c r="F3564" t="s">
        <v>20</v>
      </c>
      <c r="G3564" s="10" t="s">
        <v>21</v>
      </c>
      <c r="H3564" t="str">
        <f>"5014432"</f>
        <v>5014432</v>
      </c>
      <c r="I3564" t="str">
        <f>"2011 CHEVY TAHOE"</f>
        <v>2011 CHEVY TAHOE</v>
      </c>
    </row>
    <row r="3565" spans="1:9" x14ac:dyDescent="0.25">
      <c r="A3565" s="6">
        <v>44384</v>
      </c>
      <c r="B3565" t="s">
        <v>26</v>
      </c>
      <c r="C3565">
        <v>67092</v>
      </c>
      <c r="D3565" t="s">
        <v>945</v>
      </c>
      <c r="E3565" s="7">
        <v>124.4</v>
      </c>
      <c r="F3565" t="s">
        <v>20</v>
      </c>
      <c r="G3565" s="10" t="s">
        <v>21</v>
      </c>
      <c r="H3565" t="str">
        <f>"4710113077"</f>
        <v>4710113077</v>
      </c>
      <c r="I3565" t="str">
        <f>"TIRE FOR PD VEHICLE"</f>
        <v>TIRE FOR PD VEHICLE</v>
      </c>
    </row>
    <row r="3566" spans="1:9" x14ac:dyDescent="0.25">
      <c r="A3566" s="6">
        <v>44384</v>
      </c>
      <c r="B3566" t="s">
        <v>26</v>
      </c>
      <c r="C3566">
        <v>67093</v>
      </c>
      <c r="D3566" t="s">
        <v>132</v>
      </c>
      <c r="E3566" s="7">
        <v>77.81</v>
      </c>
      <c r="F3566" t="s">
        <v>20</v>
      </c>
      <c r="G3566" s="10" t="s">
        <v>21</v>
      </c>
      <c r="H3566" t="str">
        <f>"16992887 061721"</f>
        <v>16992887 061721</v>
      </c>
      <c r="I3566" t="str">
        <f>"SPARKLETTS &amp; SIERRA SPRINGS"</f>
        <v>SPARKLETTS &amp; SIERRA SPRINGS</v>
      </c>
    </row>
    <row r="3567" spans="1:9" x14ac:dyDescent="0.25">
      <c r="A3567" s="6">
        <v>44384</v>
      </c>
      <c r="B3567" t="s">
        <v>26</v>
      </c>
      <c r="C3567">
        <v>67094</v>
      </c>
      <c r="D3567" t="s">
        <v>1069</v>
      </c>
      <c r="E3567" s="7">
        <v>50</v>
      </c>
      <c r="F3567" t="s">
        <v>20</v>
      </c>
      <c r="G3567" s="10" t="s">
        <v>21</v>
      </c>
      <c r="H3567" t="str">
        <f>"DEP. REFND 6/3/21"</f>
        <v>DEP. REFND 6/3/21</v>
      </c>
      <c r="I3567" t="str">
        <f>"REFUND"</f>
        <v>REFUND</v>
      </c>
    </row>
    <row r="3568" spans="1:9" x14ac:dyDescent="0.25">
      <c r="A3568" s="6">
        <v>44384</v>
      </c>
      <c r="B3568" t="s">
        <v>26</v>
      </c>
      <c r="C3568">
        <v>67095</v>
      </c>
      <c r="D3568" t="s">
        <v>975</v>
      </c>
      <c r="E3568" s="7">
        <v>106.97</v>
      </c>
      <c r="F3568" t="s">
        <v>20</v>
      </c>
      <c r="G3568" s="10" t="s">
        <v>21</v>
      </c>
      <c r="H3568" t="str">
        <f>"P84712"</f>
        <v>P84712</v>
      </c>
      <c r="I3568" t="str">
        <f>"PARKS DEPT"</f>
        <v>PARKS DEPT</v>
      </c>
    </row>
    <row r="3569" spans="1:9" x14ac:dyDescent="0.25">
      <c r="A3569" s="6">
        <v>44384</v>
      </c>
      <c r="B3569" t="s">
        <v>26</v>
      </c>
      <c r="C3569">
        <v>67096</v>
      </c>
      <c r="D3569" t="s">
        <v>554</v>
      </c>
      <c r="E3569" s="7">
        <v>74.95</v>
      </c>
      <c r="F3569" t="s">
        <v>20</v>
      </c>
      <c r="G3569" s="10" t="s">
        <v>21</v>
      </c>
      <c r="H3569" t="str">
        <f>"AB39008"</f>
        <v>AB39008</v>
      </c>
      <c r="I3569" t="str">
        <f>"TEXAS WIRED MUSIC"</f>
        <v>TEXAS WIRED MUSIC</v>
      </c>
    </row>
    <row r="3570" spans="1:9" x14ac:dyDescent="0.25">
      <c r="A3570" s="6">
        <v>44384</v>
      </c>
      <c r="B3570" t="s">
        <v>26</v>
      </c>
      <c r="C3570">
        <v>67097</v>
      </c>
      <c r="D3570" t="s">
        <v>1070</v>
      </c>
      <c r="E3570" s="7">
        <v>748.66</v>
      </c>
      <c r="F3570" t="s">
        <v>20</v>
      </c>
      <c r="G3570" s="10" t="s">
        <v>21</v>
      </c>
      <c r="H3570" t="str">
        <f>"FELPS SUM PRO 2021"</f>
        <v>FELPS SUM PRO 2021</v>
      </c>
      <c r="I3570" t="str">
        <f>"THE WILSON BALLET"</f>
        <v>THE WILSON BALLET</v>
      </c>
    </row>
    <row r="3571" spans="1:9" x14ac:dyDescent="0.25">
      <c r="A3571" s="6">
        <v>44384</v>
      </c>
      <c r="B3571" t="s">
        <v>26</v>
      </c>
      <c r="C3571">
        <v>67098</v>
      </c>
      <c r="D3571" t="s">
        <v>952</v>
      </c>
      <c r="E3571" s="7">
        <v>748.66</v>
      </c>
      <c r="F3571" t="s">
        <v>20</v>
      </c>
      <c r="G3571" s="10" t="s">
        <v>21</v>
      </c>
      <c r="H3571" t="str">
        <f>"FELPS SUM PRO 2021"</f>
        <v>FELPS SUM PRO 2021</v>
      </c>
      <c r="I3571" t="str">
        <f>"TNT SA SPORTS LLC"</f>
        <v>TNT SA SPORTS LLC</v>
      </c>
    </row>
    <row r="3572" spans="1:9" x14ac:dyDescent="0.25">
      <c r="A3572" s="6">
        <v>44384</v>
      </c>
      <c r="B3572" t="s">
        <v>26</v>
      </c>
      <c r="C3572">
        <v>67099</v>
      </c>
      <c r="D3572" t="s">
        <v>644</v>
      </c>
      <c r="E3572" s="7">
        <v>885.72</v>
      </c>
      <c r="F3572" t="s">
        <v>20</v>
      </c>
      <c r="G3572" s="10" t="s">
        <v>21</v>
      </c>
      <c r="H3572" t="str">
        <f>"8213609281"</f>
        <v>8213609281</v>
      </c>
      <c r="I3572" t="str">
        <f t="shared" ref="I3572:I3583" si="78">"UNIFIRST CORPORATION"</f>
        <v>UNIFIRST CORPORATION</v>
      </c>
    </row>
    <row r="3573" spans="1:9" x14ac:dyDescent="0.25">
      <c r="E3573" s="7"/>
      <c r="F3573" t="s">
        <v>20</v>
      </c>
      <c r="G3573" s="10" t="s">
        <v>21</v>
      </c>
      <c r="H3573" t="str">
        <f>"8213609282"</f>
        <v>8213609282</v>
      </c>
      <c r="I3573" t="str">
        <f t="shared" si="78"/>
        <v>UNIFIRST CORPORATION</v>
      </c>
    </row>
    <row r="3574" spans="1:9" x14ac:dyDescent="0.25">
      <c r="E3574" s="7"/>
      <c r="F3574" t="s">
        <v>20</v>
      </c>
      <c r="G3574" s="10" t="s">
        <v>21</v>
      </c>
      <c r="H3574" t="str">
        <f>"8213609283"</f>
        <v>8213609283</v>
      </c>
      <c r="I3574" t="str">
        <f t="shared" si="78"/>
        <v>UNIFIRST CORPORATION</v>
      </c>
    </row>
    <row r="3575" spans="1:9" x14ac:dyDescent="0.25">
      <c r="E3575" s="7"/>
      <c r="F3575" t="s">
        <v>20</v>
      </c>
      <c r="G3575" s="10" t="s">
        <v>21</v>
      </c>
      <c r="H3575" t="str">
        <f>"8213609284"</f>
        <v>8213609284</v>
      </c>
      <c r="I3575" t="str">
        <f t="shared" si="78"/>
        <v>UNIFIRST CORPORATION</v>
      </c>
    </row>
    <row r="3576" spans="1:9" x14ac:dyDescent="0.25">
      <c r="E3576" s="7"/>
      <c r="F3576" t="s">
        <v>20</v>
      </c>
      <c r="G3576" s="10" t="s">
        <v>21</v>
      </c>
      <c r="H3576" t="str">
        <f>"8213609286"</f>
        <v>8213609286</v>
      </c>
      <c r="I3576" t="str">
        <f t="shared" si="78"/>
        <v>UNIFIRST CORPORATION</v>
      </c>
    </row>
    <row r="3577" spans="1:9" x14ac:dyDescent="0.25">
      <c r="E3577" s="7"/>
      <c r="F3577" t="s">
        <v>20</v>
      </c>
      <c r="G3577" s="10" t="s">
        <v>21</v>
      </c>
      <c r="H3577" t="str">
        <f>"8213609287"</f>
        <v>8213609287</v>
      </c>
      <c r="I3577" t="str">
        <f t="shared" si="78"/>
        <v>UNIFIRST CORPORATION</v>
      </c>
    </row>
    <row r="3578" spans="1:9" x14ac:dyDescent="0.25">
      <c r="E3578" s="7"/>
      <c r="F3578" t="s">
        <v>20</v>
      </c>
      <c r="G3578" s="10" t="s">
        <v>21</v>
      </c>
      <c r="H3578" t="str">
        <f>"8213611798"</f>
        <v>8213611798</v>
      </c>
      <c r="I3578" t="str">
        <f t="shared" si="78"/>
        <v>UNIFIRST CORPORATION</v>
      </c>
    </row>
    <row r="3579" spans="1:9" x14ac:dyDescent="0.25">
      <c r="E3579" s="7"/>
      <c r="F3579" t="s">
        <v>20</v>
      </c>
      <c r="G3579" s="10" t="s">
        <v>21</v>
      </c>
      <c r="H3579" t="str">
        <f>"8213611799"</f>
        <v>8213611799</v>
      </c>
      <c r="I3579" t="str">
        <f t="shared" si="78"/>
        <v>UNIFIRST CORPORATION</v>
      </c>
    </row>
    <row r="3580" spans="1:9" x14ac:dyDescent="0.25">
      <c r="E3580" s="7"/>
      <c r="F3580" t="s">
        <v>20</v>
      </c>
      <c r="G3580" s="10" t="s">
        <v>21</v>
      </c>
      <c r="H3580" t="str">
        <f>"8213611800"</f>
        <v>8213611800</v>
      </c>
      <c r="I3580" t="str">
        <f t="shared" si="78"/>
        <v>UNIFIRST CORPORATION</v>
      </c>
    </row>
    <row r="3581" spans="1:9" x14ac:dyDescent="0.25">
      <c r="E3581" s="7"/>
      <c r="F3581" t="s">
        <v>20</v>
      </c>
      <c r="G3581" s="10" t="s">
        <v>21</v>
      </c>
      <c r="H3581" t="str">
        <f>"8213611801"</f>
        <v>8213611801</v>
      </c>
      <c r="I3581" t="str">
        <f t="shared" si="78"/>
        <v>UNIFIRST CORPORATION</v>
      </c>
    </row>
    <row r="3582" spans="1:9" x14ac:dyDescent="0.25">
      <c r="E3582" s="7"/>
      <c r="F3582" t="s">
        <v>20</v>
      </c>
      <c r="G3582" s="10" t="s">
        <v>21</v>
      </c>
      <c r="H3582" t="str">
        <f>"8213611803"</f>
        <v>8213611803</v>
      </c>
      <c r="I3582" t="str">
        <f t="shared" si="78"/>
        <v>UNIFIRST CORPORATION</v>
      </c>
    </row>
    <row r="3583" spans="1:9" x14ac:dyDescent="0.25">
      <c r="E3583" s="7"/>
      <c r="F3583" t="s">
        <v>20</v>
      </c>
      <c r="G3583" s="10" t="s">
        <v>21</v>
      </c>
      <c r="H3583" t="str">
        <f>"8213611804"</f>
        <v>8213611804</v>
      </c>
      <c r="I3583" t="str">
        <f t="shared" si="78"/>
        <v>UNIFIRST CORPORATION</v>
      </c>
    </row>
    <row r="3584" spans="1:9" x14ac:dyDescent="0.25">
      <c r="A3584" s="6">
        <v>44384</v>
      </c>
      <c r="B3584" t="s">
        <v>26</v>
      </c>
      <c r="C3584">
        <v>67102</v>
      </c>
      <c r="D3584" t="s">
        <v>122</v>
      </c>
      <c r="E3584" s="7">
        <v>50</v>
      </c>
      <c r="F3584" t="s">
        <v>20</v>
      </c>
      <c r="G3584" s="10" t="s">
        <v>21</v>
      </c>
      <c r="H3584" t="str">
        <f>"891799"</f>
        <v>891799</v>
      </c>
      <c r="I3584" t="str">
        <f>"VILLA TIRES"</f>
        <v>VILLA TIRES</v>
      </c>
    </row>
    <row r="3585" spans="1:9" x14ac:dyDescent="0.25">
      <c r="E3585" s="7"/>
      <c r="F3585" t="s">
        <v>20</v>
      </c>
      <c r="G3585" s="10" t="s">
        <v>21</v>
      </c>
      <c r="H3585" t="str">
        <f>"923458"</f>
        <v>923458</v>
      </c>
      <c r="I3585" t="str">
        <f>"VILLA TIRES"</f>
        <v>VILLA TIRES</v>
      </c>
    </row>
    <row r="3586" spans="1:9" x14ac:dyDescent="0.25">
      <c r="A3586" s="6">
        <v>44384</v>
      </c>
      <c r="B3586" t="s">
        <v>26</v>
      </c>
      <c r="C3586">
        <v>67103</v>
      </c>
      <c r="D3586" t="s">
        <v>404</v>
      </c>
      <c r="E3586" s="7">
        <v>748.66</v>
      </c>
      <c r="F3586" t="s">
        <v>20</v>
      </c>
      <c r="G3586" s="10" t="s">
        <v>21</v>
      </c>
      <c r="H3586" t="str">
        <f>"FELPS SUM PRO 2021"</f>
        <v>FELPS SUM PRO 2021</v>
      </c>
      <c r="I3586" t="str">
        <f>"WILSON COUNTY ELITE BALLERZ"</f>
        <v>WILSON COUNTY ELITE BALLERZ</v>
      </c>
    </row>
    <row r="3587" spans="1:9" x14ac:dyDescent="0.25">
      <c r="A3587" s="6">
        <v>44384</v>
      </c>
      <c r="B3587" t="s">
        <v>26</v>
      </c>
      <c r="C3587">
        <v>67104</v>
      </c>
      <c r="D3587" t="s">
        <v>401</v>
      </c>
      <c r="E3587" s="7">
        <v>748.72</v>
      </c>
      <c r="F3587" t="s">
        <v>20</v>
      </c>
      <c r="G3587" s="10" t="s">
        <v>21</v>
      </c>
      <c r="H3587" t="str">
        <f>"FELPS SUM PRO 2021"</f>
        <v>FELPS SUM PRO 2021</v>
      </c>
      <c r="I3587" t="str">
        <f>"WILSON COUNTY PUBLIC LIBRARY"</f>
        <v>WILSON COUNTY PUBLIC LIBRARY</v>
      </c>
    </row>
    <row r="3588" spans="1:9" x14ac:dyDescent="0.25">
      <c r="A3588" s="6">
        <v>44385</v>
      </c>
      <c r="B3588" t="s">
        <v>26</v>
      </c>
      <c r="C3588">
        <v>67105</v>
      </c>
      <c r="D3588" t="s">
        <v>97</v>
      </c>
      <c r="E3588" s="7">
        <v>42786.18</v>
      </c>
      <c r="F3588" t="s">
        <v>20</v>
      </c>
      <c r="G3588" s="10" t="s">
        <v>329</v>
      </c>
      <c r="H3588" t="str">
        <f>"JULY 2021"</f>
        <v>JULY 2021</v>
      </c>
      <c r="I3588" t="str">
        <f>"HEALTH CARE SERVICE CORPORATIO"</f>
        <v>HEALTH CARE SERVICE CORPORATIO</v>
      </c>
    </row>
    <row r="3589" spans="1:9" x14ac:dyDescent="0.25">
      <c r="E3589" s="7"/>
      <c r="F3589" t="s">
        <v>20</v>
      </c>
      <c r="G3589" s="10" t="s">
        <v>21</v>
      </c>
      <c r="H3589" t="str">
        <f>"DEN202105278610"</f>
        <v>DEN202105278610</v>
      </c>
      <c r="I3589" t="str">
        <f>"DENTAL INSURANCE"</f>
        <v>DENTAL INSURANCE</v>
      </c>
    </row>
    <row r="3590" spans="1:9" x14ac:dyDescent="0.25">
      <c r="E3590" s="7"/>
      <c r="F3590" t="s">
        <v>20</v>
      </c>
      <c r="G3590" s="10" t="s">
        <v>21</v>
      </c>
      <c r="H3590" t="str">
        <f>"DEN202106018612"</f>
        <v>DEN202106018612</v>
      </c>
      <c r="I3590" t="str">
        <f>"DENTAL INSURANCE"</f>
        <v>DENTAL INSURANCE</v>
      </c>
    </row>
    <row r="3591" spans="1:9" x14ac:dyDescent="0.25">
      <c r="E3591" s="7"/>
      <c r="F3591" t="s">
        <v>20</v>
      </c>
      <c r="G3591" s="10" t="s">
        <v>21</v>
      </c>
      <c r="H3591" t="str">
        <f>"DEN202106158614"</f>
        <v>DEN202106158614</v>
      </c>
      <c r="I3591" t="str">
        <f>"DENTAL INSURANCE"</f>
        <v>DENTAL INSURANCE</v>
      </c>
    </row>
    <row r="3592" spans="1:9" x14ac:dyDescent="0.25">
      <c r="E3592" s="7"/>
      <c r="F3592" t="s">
        <v>20</v>
      </c>
      <c r="G3592" s="10" t="s">
        <v>21</v>
      </c>
      <c r="H3592" t="str">
        <f>"MED202105278610"</f>
        <v>MED202105278610</v>
      </c>
      <c r="I3592" t="str">
        <f>"HEALTH &amp; DENTAL INSURANCE"</f>
        <v>HEALTH &amp; DENTAL INSURANCE</v>
      </c>
    </row>
    <row r="3593" spans="1:9" x14ac:dyDescent="0.25">
      <c r="E3593" s="7"/>
      <c r="F3593" t="s">
        <v>20</v>
      </c>
      <c r="G3593" s="10" t="s">
        <v>21</v>
      </c>
      <c r="H3593" t="str">
        <f>"MED202106018612"</f>
        <v>MED202106018612</v>
      </c>
      <c r="I3593" t="str">
        <f>"HEALTH &amp; DENTAL INSURANCE"</f>
        <v>HEALTH &amp; DENTAL INSURANCE</v>
      </c>
    </row>
    <row r="3594" spans="1:9" x14ac:dyDescent="0.25">
      <c r="E3594" s="7"/>
      <c r="F3594" t="s">
        <v>20</v>
      </c>
      <c r="G3594" s="10" t="s">
        <v>21</v>
      </c>
      <c r="H3594" t="str">
        <f>"MED202106158614"</f>
        <v>MED202106158614</v>
      </c>
      <c r="I3594" t="str">
        <f>"HEALTH &amp; DENTAL INSURANCE"</f>
        <v>HEALTH &amp; DENTAL INSURANCE</v>
      </c>
    </row>
    <row r="3595" spans="1:9" x14ac:dyDescent="0.25">
      <c r="A3595" s="6">
        <v>44385</v>
      </c>
      <c r="B3595" t="s">
        <v>26</v>
      </c>
      <c r="C3595">
        <v>67111</v>
      </c>
      <c r="D3595" t="s">
        <v>1071</v>
      </c>
      <c r="E3595" s="7">
        <v>50</v>
      </c>
      <c r="F3595" t="s">
        <v>20</v>
      </c>
      <c r="G3595" s="10" t="s">
        <v>21</v>
      </c>
      <c r="H3595" t="str">
        <f>"DEP.REFND 6/26/21"</f>
        <v>DEP.REFND 6/26/21</v>
      </c>
      <c r="I3595" t="str">
        <f>"REFUND"</f>
        <v>REFUND</v>
      </c>
    </row>
    <row r="3596" spans="1:9" x14ac:dyDescent="0.25">
      <c r="A3596" s="6">
        <v>44385</v>
      </c>
      <c r="B3596" t="s">
        <v>26</v>
      </c>
      <c r="C3596">
        <v>67112</v>
      </c>
      <c r="D3596" t="s">
        <v>1072</v>
      </c>
      <c r="E3596" s="7">
        <v>500</v>
      </c>
      <c r="F3596" t="s">
        <v>20</v>
      </c>
      <c r="G3596" s="10" t="s">
        <v>21</v>
      </c>
      <c r="H3596" t="str">
        <f>"REFND FOR 6/26/21"</f>
        <v>REFND FOR 6/26/21</v>
      </c>
      <c r="I3596" t="str">
        <f>"REFUND"</f>
        <v>REFUND</v>
      </c>
    </row>
    <row r="3597" spans="1:9" x14ac:dyDescent="0.25">
      <c r="A3597" s="6">
        <v>44385</v>
      </c>
      <c r="B3597" t="s">
        <v>26</v>
      </c>
      <c r="C3597">
        <v>67113</v>
      </c>
      <c r="D3597" t="s">
        <v>1073</v>
      </c>
      <c r="E3597" s="7">
        <v>1400</v>
      </c>
      <c r="F3597" t="s">
        <v>20</v>
      </c>
      <c r="G3597" s="10" t="s">
        <v>21</v>
      </c>
      <c r="H3597" t="str">
        <f>"84580"</f>
        <v>84580</v>
      </c>
      <c r="I3597" t="str">
        <f>"REMOVE/REPLACE ELECTRICAL"</f>
        <v>REMOVE/REPLACE ELECTRICAL</v>
      </c>
    </row>
    <row r="3598" spans="1:9" x14ac:dyDescent="0.25">
      <c r="A3598" s="6">
        <v>44385</v>
      </c>
      <c r="B3598" t="s">
        <v>26</v>
      </c>
      <c r="C3598">
        <v>67114</v>
      </c>
      <c r="D3598" t="s">
        <v>724</v>
      </c>
      <c r="E3598" s="7">
        <v>675</v>
      </c>
      <c r="F3598" t="s">
        <v>20</v>
      </c>
      <c r="G3598" s="10" t="s">
        <v>21</v>
      </c>
      <c r="H3598" t="str">
        <f>"REISSUE FELPS 2020"</f>
        <v>REISSUE FELPS 2020</v>
      </c>
      <c r="I3598" t="str">
        <f>"FLORESVILLE YOUTH BASKETBALL L"</f>
        <v>FLORESVILLE YOUTH BASKETBALL L</v>
      </c>
    </row>
    <row r="3599" spans="1:9" x14ac:dyDescent="0.25">
      <c r="A3599" s="6">
        <v>44385</v>
      </c>
      <c r="B3599" t="s">
        <v>26</v>
      </c>
      <c r="C3599">
        <v>67115</v>
      </c>
      <c r="D3599" t="s">
        <v>725</v>
      </c>
      <c r="E3599" s="7">
        <v>675</v>
      </c>
      <c r="F3599" t="s">
        <v>20</v>
      </c>
      <c r="G3599" s="10" t="s">
        <v>21</v>
      </c>
      <c r="H3599" t="str">
        <f>"FELPS REISSUE 2020"</f>
        <v>FELPS REISSUE 2020</v>
      </c>
      <c r="I3599" t="str">
        <f>"FLORESVILLE WILDCATS"</f>
        <v>FLORESVILLE WILDCATS</v>
      </c>
    </row>
    <row r="3600" spans="1:9" x14ac:dyDescent="0.25">
      <c r="A3600" s="6">
        <v>44385</v>
      </c>
      <c r="B3600" t="s">
        <v>26</v>
      </c>
      <c r="C3600">
        <v>67116</v>
      </c>
      <c r="D3600" t="s">
        <v>911</v>
      </c>
      <c r="E3600" s="7">
        <v>500</v>
      </c>
      <c r="F3600" t="s">
        <v>20</v>
      </c>
      <c r="G3600" s="10" t="s">
        <v>21</v>
      </c>
      <c r="H3600" t="str">
        <f>"ROW AGRMT REISSUE"</f>
        <v>ROW AGRMT REISSUE</v>
      </c>
      <c r="I3600" t="str">
        <f>"DALE PAUL KOTZUR"</f>
        <v>DALE PAUL KOTZUR</v>
      </c>
    </row>
    <row r="3601" spans="1:9" x14ac:dyDescent="0.25">
      <c r="A3601" s="6">
        <v>44385</v>
      </c>
      <c r="B3601" t="s">
        <v>26</v>
      </c>
      <c r="C3601">
        <v>67117</v>
      </c>
      <c r="D3601" t="s">
        <v>739</v>
      </c>
      <c r="E3601" s="7">
        <v>1531.58</v>
      </c>
      <c r="F3601" t="s">
        <v>20</v>
      </c>
      <c r="G3601" s="10" t="s">
        <v>21</v>
      </c>
      <c r="H3601" t="str">
        <f>"5286X06272021"</f>
        <v>5286X06272021</v>
      </c>
      <c r="I3601" t="str">
        <f>"FIRSTNET/AT&amp;T MOBILITY LLC"</f>
        <v>FIRSTNET/AT&amp;T MOBILITY LLC</v>
      </c>
    </row>
    <row r="3602" spans="1:9" x14ac:dyDescent="0.25">
      <c r="A3602" s="6">
        <v>44385</v>
      </c>
      <c r="B3602" t="s">
        <v>26</v>
      </c>
      <c r="C3602">
        <v>67118</v>
      </c>
      <c r="D3602" t="s">
        <v>637</v>
      </c>
      <c r="E3602" s="7">
        <v>75</v>
      </c>
      <c r="F3602" t="s">
        <v>20</v>
      </c>
      <c r="G3602" s="10" t="s">
        <v>21</v>
      </c>
      <c r="H3602" t="str">
        <f t="shared" ref="H3602:H3607" si="79">"07/08/20-COUNCIL"</f>
        <v>07/08/20-COUNCIL</v>
      </c>
      <c r="I3602" t="str">
        <f>""</f>
        <v/>
      </c>
    </row>
    <row r="3603" spans="1:9" x14ac:dyDescent="0.25">
      <c r="A3603" s="6">
        <v>44385</v>
      </c>
      <c r="B3603" t="s">
        <v>26</v>
      </c>
      <c r="C3603">
        <v>67119</v>
      </c>
      <c r="D3603" t="s">
        <v>36</v>
      </c>
      <c r="E3603" s="7">
        <v>75</v>
      </c>
      <c r="F3603" t="s">
        <v>20</v>
      </c>
      <c r="G3603" s="10" t="s">
        <v>21</v>
      </c>
      <c r="H3603" t="str">
        <f t="shared" si="79"/>
        <v>07/08/20-COUNCIL</v>
      </c>
      <c r="I3603" t="str">
        <f>""</f>
        <v/>
      </c>
    </row>
    <row r="3604" spans="1:9" x14ac:dyDescent="0.25">
      <c r="A3604" s="6">
        <v>44385</v>
      </c>
      <c r="B3604" t="s">
        <v>26</v>
      </c>
      <c r="C3604">
        <v>67120</v>
      </c>
      <c r="D3604" t="s">
        <v>38</v>
      </c>
      <c r="E3604" s="7">
        <v>100</v>
      </c>
      <c r="F3604" t="s">
        <v>20</v>
      </c>
      <c r="G3604" s="10" t="s">
        <v>21</v>
      </c>
      <c r="H3604" t="str">
        <f t="shared" si="79"/>
        <v>07/08/20-COUNCIL</v>
      </c>
      <c r="I3604" t="str">
        <f>""</f>
        <v/>
      </c>
    </row>
    <row r="3605" spans="1:9" x14ac:dyDescent="0.25">
      <c r="A3605" s="6">
        <v>44385</v>
      </c>
      <c r="B3605" t="s">
        <v>26</v>
      </c>
      <c r="C3605">
        <v>67121</v>
      </c>
      <c r="D3605" t="s">
        <v>558</v>
      </c>
      <c r="E3605" s="7">
        <v>75</v>
      </c>
      <c r="F3605" t="s">
        <v>20</v>
      </c>
      <c r="G3605" s="10" t="s">
        <v>21</v>
      </c>
      <c r="H3605" t="str">
        <f t="shared" si="79"/>
        <v>07/08/20-COUNCIL</v>
      </c>
      <c r="I3605" t="str">
        <f>"MONTHLY COUNCIL CHECKS"</f>
        <v>MONTHLY COUNCIL CHECKS</v>
      </c>
    </row>
    <row r="3606" spans="1:9" x14ac:dyDescent="0.25">
      <c r="A3606" s="6">
        <v>44385</v>
      </c>
      <c r="B3606" t="s">
        <v>26</v>
      </c>
      <c r="C3606">
        <v>67122</v>
      </c>
      <c r="D3606" t="s">
        <v>889</v>
      </c>
      <c r="E3606" s="7">
        <v>75</v>
      </c>
      <c r="F3606" t="s">
        <v>20</v>
      </c>
      <c r="G3606" s="10" t="s">
        <v>21</v>
      </c>
      <c r="H3606" t="str">
        <f t="shared" si="79"/>
        <v>07/08/20-COUNCIL</v>
      </c>
      <c r="I3606" t="str">
        <f>""</f>
        <v/>
      </c>
    </row>
    <row r="3607" spans="1:9" x14ac:dyDescent="0.25">
      <c r="A3607" s="6">
        <v>44385</v>
      </c>
      <c r="B3607" t="s">
        <v>26</v>
      </c>
      <c r="C3607">
        <v>67123</v>
      </c>
      <c r="D3607" t="s">
        <v>1011</v>
      </c>
      <c r="E3607" s="7">
        <v>75</v>
      </c>
      <c r="F3607" t="s">
        <v>20</v>
      </c>
      <c r="G3607" s="10" t="s">
        <v>21</v>
      </c>
      <c r="H3607" t="str">
        <f t="shared" si="79"/>
        <v>07/08/20-COUNCIL</v>
      </c>
      <c r="I3607" t="str">
        <f>""</f>
        <v/>
      </c>
    </row>
    <row r="3608" spans="1:9" x14ac:dyDescent="0.25">
      <c r="A3608" s="6">
        <v>44389</v>
      </c>
      <c r="B3608" t="s">
        <v>26</v>
      </c>
      <c r="C3608">
        <v>67124</v>
      </c>
      <c r="D3608" t="s">
        <v>56</v>
      </c>
      <c r="E3608" s="7">
        <v>23.95</v>
      </c>
      <c r="F3608" t="s">
        <v>20</v>
      </c>
      <c r="G3608" s="10" t="s">
        <v>21</v>
      </c>
      <c r="H3608" t="str">
        <f>"194281"</f>
        <v>194281</v>
      </c>
      <c r="I3608" t="str">
        <f>"DOG FOOD"</f>
        <v>DOG FOOD</v>
      </c>
    </row>
    <row r="3609" spans="1:9" x14ac:dyDescent="0.25">
      <c r="A3609" s="6">
        <v>44389</v>
      </c>
      <c r="B3609" t="s">
        <v>26</v>
      </c>
      <c r="C3609">
        <v>67125</v>
      </c>
      <c r="D3609" t="s">
        <v>57</v>
      </c>
      <c r="E3609" s="7">
        <v>80</v>
      </c>
      <c r="F3609" t="s">
        <v>20</v>
      </c>
      <c r="G3609" s="10" t="s">
        <v>21</v>
      </c>
      <c r="H3609" t="str">
        <f>"11617-022 LODI"</f>
        <v>11617-022 LODI</v>
      </c>
      <c r="I3609" t="str">
        <f>"F.E.L.P.S."</f>
        <v>F.E.L.P.S.</v>
      </c>
    </row>
    <row r="3610" spans="1:9" x14ac:dyDescent="0.25">
      <c r="A3610" s="6">
        <v>44389</v>
      </c>
      <c r="B3610" t="s">
        <v>26</v>
      </c>
      <c r="C3610">
        <v>67126</v>
      </c>
      <c r="D3610" t="s">
        <v>103</v>
      </c>
      <c r="E3610" s="7">
        <v>90970.46</v>
      </c>
      <c r="F3610" t="s">
        <v>20</v>
      </c>
      <c r="G3610" s="10" t="s">
        <v>21</v>
      </c>
      <c r="H3610" t="str">
        <f>"FEDC SLS TAX 7/21"</f>
        <v>FEDC SLS TAX 7/21</v>
      </c>
      <c r="I3610" t="str">
        <f>"F. E. D. C."</f>
        <v>F. E. D. C.</v>
      </c>
    </row>
    <row r="3611" spans="1:9" x14ac:dyDescent="0.25">
      <c r="A3611" s="6">
        <v>44389</v>
      </c>
      <c r="B3611" t="s">
        <v>26</v>
      </c>
      <c r="C3611">
        <v>67127</v>
      </c>
      <c r="D3611" t="s">
        <v>58</v>
      </c>
      <c r="E3611" s="7">
        <v>33</v>
      </c>
      <c r="F3611" t="s">
        <v>20</v>
      </c>
      <c r="G3611" s="10" t="s">
        <v>21</v>
      </c>
      <c r="H3611" t="str">
        <f>"641512"</f>
        <v>641512</v>
      </c>
      <c r="I3611" t="str">
        <f>"DEASON ANIMAL HOSPITAL"</f>
        <v>DEASON ANIMAL HOSPITAL</v>
      </c>
    </row>
    <row r="3612" spans="1:9" x14ac:dyDescent="0.25">
      <c r="A3612" s="6">
        <v>44389</v>
      </c>
      <c r="B3612" t="s">
        <v>26</v>
      </c>
      <c r="C3612">
        <v>67128</v>
      </c>
      <c r="D3612" t="s">
        <v>114</v>
      </c>
      <c r="E3612" s="7">
        <v>5304.89</v>
      </c>
      <c r="F3612" t="s">
        <v>20</v>
      </c>
      <c r="G3612" s="10" t="s">
        <v>21</v>
      </c>
      <c r="H3612" t="str">
        <f>"QRT END 06/30/2021"</f>
        <v>QRT END 06/30/2021</v>
      </c>
      <c r="I3612" t="str">
        <f>"STATE COMPTROLLER"</f>
        <v>STATE COMPTROLLER</v>
      </c>
    </row>
    <row r="3613" spans="1:9" x14ac:dyDescent="0.25">
      <c r="A3613" s="6">
        <v>44389</v>
      </c>
      <c r="B3613" t="s">
        <v>26</v>
      </c>
      <c r="C3613">
        <v>67129</v>
      </c>
      <c r="D3613" t="s">
        <v>213</v>
      </c>
      <c r="E3613" s="7">
        <v>3894.37</v>
      </c>
      <c r="F3613" t="s">
        <v>20</v>
      </c>
      <c r="G3613" s="10" t="s">
        <v>21</v>
      </c>
      <c r="H3613" t="str">
        <f>"APRIL/MAY 2021"</f>
        <v>APRIL/MAY 2021</v>
      </c>
      <c r="I3613" t="str">
        <f>"RIVER BEND COMMUNITY DEVELOPME"</f>
        <v>RIVER BEND COMMUNITY DEVELOPME</v>
      </c>
    </row>
    <row r="3614" spans="1:9" x14ac:dyDescent="0.25">
      <c r="A3614" s="6">
        <v>44389</v>
      </c>
      <c r="B3614" t="s">
        <v>26</v>
      </c>
      <c r="C3614">
        <v>67130</v>
      </c>
      <c r="D3614" t="s">
        <v>71</v>
      </c>
      <c r="E3614" s="7">
        <v>2465.85</v>
      </c>
      <c r="F3614" t="s">
        <v>20</v>
      </c>
      <c r="G3614" s="10" t="s">
        <v>21</v>
      </c>
      <c r="H3614" t="str">
        <f>"4087699677"</f>
        <v>4087699677</v>
      </c>
      <c r="I3614" t="str">
        <f t="shared" ref="I3614:I3625" si="80">"CINTAS CORPORATION #087"</f>
        <v>CINTAS CORPORATION #087</v>
      </c>
    </row>
    <row r="3615" spans="1:9" x14ac:dyDescent="0.25">
      <c r="E3615" s="7"/>
      <c r="F3615" t="s">
        <v>20</v>
      </c>
      <c r="G3615" s="10" t="s">
        <v>21</v>
      </c>
      <c r="H3615" t="str">
        <f>"4087699716"</f>
        <v>4087699716</v>
      </c>
      <c r="I3615" t="str">
        <f t="shared" si="80"/>
        <v>CINTAS CORPORATION #087</v>
      </c>
    </row>
    <row r="3616" spans="1:9" x14ac:dyDescent="0.25">
      <c r="E3616" s="7"/>
      <c r="F3616" t="s">
        <v>20</v>
      </c>
      <c r="G3616" s="10" t="s">
        <v>21</v>
      </c>
      <c r="H3616" t="str">
        <f>"4087699736"</f>
        <v>4087699736</v>
      </c>
      <c r="I3616" t="str">
        <f t="shared" si="80"/>
        <v>CINTAS CORPORATION #087</v>
      </c>
    </row>
    <row r="3617" spans="1:9" x14ac:dyDescent="0.25">
      <c r="E3617" s="7"/>
      <c r="F3617" t="s">
        <v>20</v>
      </c>
      <c r="G3617" s="10" t="s">
        <v>21</v>
      </c>
      <c r="H3617" t="str">
        <f>"4087699737"</f>
        <v>4087699737</v>
      </c>
      <c r="I3617" t="str">
        <f t="shared" si="80"/>
        <v>CINTAS CORPORATION #087</v>
      </c>
    </row>
    <row r="3618" spans="1:9" x14ac:dyDescent="0.25">
      <c r="E3618" s="7"/>
      <c r="F3618" t="s">
        <v>20</v>
      </c>
      <c r="G3618" s="10" t="s">
        <v>21</v>
      </c>
      <c r="H3618" t="str">
        <f>"4087699792"</f>
        <v>4087699792</v>
      </c>
      <c r="I3618" t="str">
        <f t="shared" si="80"/>
        <v>CINTAS CORPORATION #087</v>
      </c>
    </row>
    <row r="3619" spans="1:9" x14ac:dyDescent="0.25">
      <c r="E3619" s="7"/>
      <c r="F3619" t="s">
        <v>20</v>
      </c>
      <c r="G3619" s="10" t="s">
        <v>21</v>
      </c>
      <c r="H3619" t="str">
        <f>"4087699846"</f>
        <v>4087699846</v>
      </c>
      <c r="I3619" t="str">
        <f t="shared" si="80"/>
        <v>CINTAS CORPORATION #087</v>
      </c>
    </row>
    <row r="3620" spans="1:9" x14ac:dyDescent="0.25">
      <c r="E3620" s="7"/>
      <c r="F3620" t="s">
        <v>20</v>
      </c>
      <c r="G3620" s="10" t="s">
        <v>21</v>
      </c>
      <c r="H3620" t="str">
        <f>"4088439811"</f>
        <v>4088439811</v>
      </c>
      <c r="I3620" t="str">
        <f t="shared" si="80"/>
        <v>CINTAS CORPORATION #087</v>
      </c>
    </row>
    <row r="3621" spans="1:9" x14ac:dyDescent="0.25">
      <c r="E3621" s="7"/>
      <c r="F3621" t="s">
        <v>20</v>
      </c>
      <c r="G3621" s="10" t="s">
        <v>21</v>
      </c>
      <c r="H3621" t="str">
        <f>"4088439827"</f>
        <v>4088439827</v>
      </c>
      <c r="I3621" t="str">
        <f t="shared" si="80"/>
        <v>CINTAS CORPORATION #087</v>
      </c>
    </row>
    <row r="3622" spans="1:9" x14ac:dyDescent="0.25">
      <c r="E3622" s="7"/>
      <c r="F3622" t="s">
        <v>20</v>
      </c>
      <c r="G3622" s="10" t="s">
        <v>21</v>
      </c>
      <c r="H3622" t="str">
        <f>"4088439854"</f>
        <v>4088439854</v>
      </c>
      <c r="I3622" t="str">
        <f t="shared" si="80"/>
        <v>CINTAS CORPORATION #087</v>
      </c>
    </row>
    <row r="3623" spans="1:9" x14ac:dyDescent="0.25">
      <c r="E3623" s="7"/>
      <c r="F3623" t="s">
        <v>20</v>
      </c>
      <c r="G3623" s="10" t="s">
        <v>21</v>
      </c>
      <c r="H3623" t="str">
        <f>"4088439858"</f>
        <v>4088439858</v>
      </c>
      <c r="I3623" t="str">
        <f t="shared" si="80"/>
        <v>CINTAS CORPORATION #087</v>
      </c>
    </row>
    <row r="3624" spans="1:9" x14ac:dyDescent="0.25">
      <c r="E3624" s="7"/>
      <c r="F3624" t="s">
        <v>20</v>
      </c>
      <c r="G3624" s="10" t="s">
        <v>21</v>
      </c>
      <c r="H3624" t="str">
        <f>"4088439863"</f>
        <v>4088439863</v>
      </c>
      <c r="I3624" t="str">
        <f t="shared" si="80"/>
        <v>CINTAS CORPORATION #087</v>
      </c>
    </row>
    <row r="3625" spans="1:9" x14ac:dyDescent="0.25">
      <c r="E3625" s="7"/>
      <c r="F3625" t="s">
        <v>20</v>
      </c>
      <c r="G3625" s="10" t="s">
        <v>21</v>
      </c>
      <c r="H3625" t="str">
        <f>"4088439872"</f>
        <v>4088439872</v>
      </c>
      <c r="I3625" t="str">
        <f t="shared" si="80"/>
        <v>CINTAS CORPORATION #087</v>
      </c>
    </row>
    <row r="3626" spans="1:9" x14ac:dyDescent="0.25">
      <c r="A3626" s="6">
        <v>44389</v>
      </c>
      <c r="B3626" t="s">
        <v>26</v>
      </c>
      <c r="C3626">
        <v>67133</v>
      </c>
      <c r="D3626" t="s">
        <v>73</v>
      </c>
      <c r="E3626" s="7">
        <v>40823</v>
      </c>
      <c r="F3626" t="s">
        <v>20</v>
      </c>
      <c r="G3626" s="10" t="s">
        <v>21</v>
      </c>
      <c r="H3626" t="str">
        <f>"8027  7/1/2021"</f>
        <v>8027  7/1/2021</v>
      </c>
      <c r="I3626" t="str">
        <f>"TML INTERGOVERNMENTAL RISK POO"</f>
        <v>TML INTERGOVERNMENTAL RISK POO</v>
      </c>
    </row>
    <row r="3627" spans="1:9" x14ac:dyDescent="0.25">
      <c r="A3627" s="6">
        <v>44389</v>
      </c>
      <c r="B3627" t="s">
        <v>26</v>
      </c>
      <c r="C3627">
        <v>67134</v>
      </c>
      <c r="D3627" t="s">
        <v>74</v>
      </c>
      <c r="E3627" s="7">
        <v>2079.67</v>
      </c>
      <c r="F3627" t="s">
        <v>20</v>
      </c>
      <c r="G3627" s="10" t="s">
        <v>21</v>
      </c>
      <c r="H3627" t="str">
        <f>"9882634780"</f>
        <v>9882634780</v>
      </c>
      <c r="I3627" t="str">
        <f>"VERIZON WIRELESS"</f>
        <v>VERIZON WIRELESS</v>
      </c>
    </row>
    <row r="3628" spans="1:9" x14ac:dyDescent="0.25">
      <c r="A3628" s="6">
        <v>44389</v>
      </c>
      <c r="B3628" t="s">
        <v>26</v>
      </c>
      <c r="C3628">
        <v>67135</v>
      </c>
      <c r="D3628" t="s">
        <v>661</v>
      </c>
      <c r="E3628" s="7">
        <v>475</v>
      </c>
      <c r="F3628" t="s">
        <v>20</v>
      </c>
      <c r="G3628" s="10" t="s">
        <v>21</v>
      </c>
      <c r="H3628" t="str">
        <f>"8405005069"</f>
        <v>8405005069</v>
      </c>
      <c r="I3628" t="str">
        <f>"CINTAS FAS LOCKBOX 631025"</f>
        <v>CINTAS FAS LOCKBOX 631025</v>
      </c>
    </row>
    <row r="3629" spans="1:9" x14ac:dyDescent="0.25">
      <c r="A3629" s="6">
        <v>44389</v>
      </c>
      <c r="B3629" t="s">
        <v>26</v>
      </c>
      <c r="C3629">
        <v>67136</v>
      </c>
      <c r="D3629" t="s">
        <v>126</v>
      </c>
      <c r="E3629" s="7">
        <v>461.01</v>
      </c>
      <c r="F3629" t="s">
        <v>20</v>
      </c>
      <c r="G3629" s="10" t="s">
        <v>21</v>
      </c>
      <c r="H3629" t="str">
        <f>"0859-002867970"</f>
        <v>0859-002867970</v>
      </c>
      <c r="I3629" t="str">
        <f>"REPUBLIC SERVICES #859"</f>
        <v>REPUBLIC SERVICES #859</v>
      </c>
    </row>
    <row r="3630" spans="1:9" x14ac:dyDescent="0.25">
      <c r="A3630" s="6">
        <v>44389</v>
      </c>
      <c r="B3630" t="s">
        <v>26</v>
      </c>
      <c r="C3630">
        <v>67137</v>
      </c>
      <c r="D3630" t="s">
        <v>139</v>
      </c>
      <c r="E3630" s="7">
        <v>1360</v>
      </c>
      <c r="F3630" t="s">
        <v>20</v>
      </c>
      <c r="G3630" s="10" t="s">
        <v>21</v>
      </c>
      <c r="H3630" t="str">
        <f>"32059"</f>
        <v>32059</v>
      </c>
      <c r="I3630" t="str">
        <f>"ANGEL FIRE &amp; SAFETY"</f>
        <v>ANGEL FIRE &amp; SAFETY</v>
      </c>
    </row>
    <row r="3631" spans="1:9" x14ac:dyDescent="0.25">
      <c r="A3631" s="6">
        <v>44389</v>
      </c>
      <c r="B3631" t="s">
        <v>26</v>
      </c>
      <c r="C3631">
        <v>67138</v>
      </c>
      <c r="D3631" t="s">
        <v>85</v>
      </c>
      <c r="E3631" s="7">
        <v>347.69</v>
      </c>
      <c r="F3631" t="s">
        <v>20</v>
      </c>
      <c r="G3631" s="10" t="s">
        <v>21</v>
      </c>
      <c r="H3631" t="str">
        <f>"3930579 JULY 2021"</f>
        <v>3930579 JULY 2021</v>
      </c>
      <c r="I3631" t="str">
        <f>"FRONTIER"</f>
        <v>FRONTIER</v>
      </c>
    </row>
    <row r="3632" spans="1:9" x14ac:dyDescent="0.25">
      <c r="E3632" s="7"/>
      <c r="F3632" t="s">
        <v>20</v>
      </c>
      <c r="G3632" s="10" t="s">
        <v>21</v>
      </c>
      <c r="H3632" t="str">
        <f>"3933108 JULY 2021"</f>
        <v>3933108 JULY 2021</v>
      </c>
      <c r="I3632" t="str">
        <f>"FRONTIER"</f>
        <v>FRONTIER</v>
      </c>
    </row>
    <row r="3633" spans="1:9" x14ac:dyDescent="0.25">
      <c r="E3633" s="7"/>
      <c r="F3633" t="s">
        <v>20</v>
      </c>
      <c r="G3633" s="10" t="s">
        <v>21</v>
      </c>
      <c r="H3633" t="str">
        <f>"3939791 JULY 2021"</f>
        <v>3939791 JULY 2021</v>
      </c>
      <c r="I3633" t="str">
        <f>"FRONTIER"</f>
        <v>FRONTIER</v>
      </c>
    </row>
    <row r="3634" spans="1:9" x14ac:dyDescent="0.25">
      <c r="A3634" s="6">
        <v>44389</v>
      </c>
      <c r="B3634" t="s">
        <v>26</v>
      </c>
      <c r="C3634">
        <v>67139</v>
      </c>
      <c r="D3634" t="s">
        <v>1074</v>
      </c>
      <c r="E3634" s="7">
        <v>973.75</v>
      </c>
      <c r="F3634" t="s">
        <v>20</v>
      </c>
      <c r="G3634" s="10" t="s">
        <v>21</v>
      </c>
      <c r="H3634" t="str">
        <f>"13D4-4Q9R-K3NW"</f>
        <v>13D4-4Q9R-K3NW</v>
      </c>
      <c r="I3634" t="str">
        <f>"KEY TAGS"</f>
        <v>KEY TAGS</v>
      </c>
    </row>
    <row r="3635" spans="1:9" x14ac:dyDescent="0.25">
      <c r="E3635" s="7"/>
      <c r="F3635" t="s">
        <v>20</v>
      </c>
      <c r="G3635" s="10" t="s">
        <v>21</v>
      </c>
      <c r="H3635" t="str">
        <f>"1JC-6-7613-PGNG"</f>
        <v>1JC-6-7613-PGNG</v>
      </c>
      <c r="I3635" t="str">
        <f>"USB C CHARGERS-IPHONES"</f>
        <v>USB C CHARGERS-IPHONES</v>
      </c>
    </row>
    <row r="3636" spans="1:9" x14ac:dyDescent="0.25">
      <c r="E3636" s="7"/>
      <c r="F3636" t="s">
        <v>20</v>
      </c>
      <c r="G3636" s="10" t="s">
        <v>21</v>
      </c>
      <c r="H3636" t="str">
        <f>"1RC6-643M-L7VN"</f>
        <v>1RC6-643M-L7VN</v>
      </c>
      <c r="I3636" t="str">
        <f>"OFFICE SUPPLIES"</f>
        <v>OFFICE SUPPLIES</v>
      </c>
    </row>
    <row r="3637" spans="1:9" x14ac:dyDescent="0.25">
      <c r="E3637" s="7"/>
      <c r="F3637" t="s">
        <v>20</v>
      </c>
      <c r="G3637" s="10" t="s">
        <v>21</v>
      </c>
      <c r="H3637" t="str">
        <f>"1RNL-364J-L1RX"</f>
        <v>1RNL-364J-L1RX</v>
      </c>
      <c r="I3637" t="str">
        <f>"PHONE CASES WITH CLIP"</f>
        <v>PHONE CASES WITH CLIP</v>
      </c>
    </row>
    <row r="3638" spans="1:9" x14ac:dyDescent="0.25">
      <c r="E3638" s="7"/>
      <c r="F3638" t="s">
        <v>20</v>
      </c>
      <c r="G3638" s="10" t="s">
        <v>21</v>
      </c>
      <c r="H3638" t="str">
        <f>"1V7J-D7D6-KKRV"</f>
        <v>1V7J-D7D6-KKRV</v>
      </c>
      <c r="I3638" t="str">
        <f>"BOOKCASE SHELF"</f>
        <v>BOOKCASE SHELF</v>
      </c>
    </row>
    <row r="3639" spans="1:9" x14ac:dyDescent="0.25">
      <c r="E3639" s="7"/>
      <c r="F3639" t="s">
        <v>20</v>
      </c>
      <c r="G3639" s="10" t="s">
        <v>21</v>
      </c>
      <c r="H3639" t="str">
        <f>"1W3J-PP7L-M6FP"</f>
        <v>1W3J-PP7L-M6FP</v>
      </c>
      <c r="I3639" t="str">
        <f>"PHONE CASES"</f>
        <v>PHONE CASES</v>
      </c>
    </row>
    <row r="3640" spans="1:9" x14ac:dyDescent="0.25">
      <c r="A3640" s="6">
        <v>44389</v>
      </c>
      <c r="B3640" t="s">
        <v>26</v>
      </c>
      <c r="C3640">
        <v>67141</v>
      </c>
      <c r="D3640" t="s">
        <v>1054</v>
      </c>
      <c r="E3640" s="7">
        <v>240</v>
      </c>
      <c r="F3640" t="s">
        <v>20</v>
      </c>
      <c r="G3640" s="10" t="s">
        <v>21</v>
      </c>
      <c r="H3640" t="str">
        <f>"INV0019"</f>
        <v>INV0019</v>
      </c>
      <c r="I3640" t="str">
        <f>"DAVID TRAVIESO"</f>
        <v>DAVID TRAVIESO</v>
      </c>
    </row>
    <row r="3641" spans="1:9" x14ac:dyDescent="0.25">
      <c r="A3641" s="6">
        <v>44389</v>
      </c>
      <c r="B3641" t="s">
        <v>91</v>
      </c>
      <c r="C3641">
        <v>67142</v>
      </c>
      <c r="D3641" t="s">
        <v>103</v>
      </c>
      <c r="E3641" s="7">
        <v>90970.46</v>
      </c>
      <c r="F3641" t="s">
        <v>20</v>
      </c>
      <c r="G3641" s="10" t="s">
        <v>21</v>
      </c>
      <c r="H3641" t="str">
        <f>"JULY 2021 SALES TX"</f>
        <v>JULY 2021 SALES TX</v>
      </c>
      <c r="I3641" t="str">
        <f>"F. E. D. C."</f>
        <v>F. E. D. C.</v>
      </c>
    </row>
    <row r="3642" spans="1:9" x14ac:dyDescent="0.25">
      <c r="A3642" s="6">
        <v>44389</v>
      </c>
      <c r="B3642" t="s">
        <v>91</v>
      </c>
      <c r="C3642">
        <v>67142</v>
      </c>
      <c r="D3642" t="s">
        <v>103</v>
      </c>
      <c r="E3642" s="7">
        <v>90970.46</v>
      </c>
      <c r="F3642" t="s">
        <v>20</v>
      </c>
      <c r="G3642" s="10" t="s">
        <v>93</v>
      </c>
      <c r="H3642" t="str">
        <f>"CHECK"</f>
        <v>CHECK</v>
      </c>
      <c r="I3642" t="str">
        <f>""</f>
        <v/>
      </c>
    </row>
    <row r="3643" spans="1:9" x14ac:dyDescent="0.25">
      <c r="A3643" s="6">
        <v>44389</v>
      </c>
      <c r="B3643" t="s">
        <v>91</v>
      </c>
      <c r="C3643">
        <v>67143</v>
      </c>
      <c r="D3643" t="s">
        <v>637</v>
      </c>
      <c r="E3643" s="7">
        <v>75</v>
      </c>
      <c r="F3643" t="s">
        <v>20</v>
      </c>
      <c r="G3643" s="10" t="s">
        <v>21</v>
      </c>
      <c r="H3643" t="str">
        <f>"07/2021-COUNCIL"</f>
        <v>07/2021-COUNCIL</v>
      </c>
      <c r="I3643" t="str">
        <f>""</f>
        <v/>
      </c>
    </row>
    <row r="3644" spans="1:9" x14ac:dyDescent="0.25">
      <c r="A3644" s="6">
        <v>44389</v>
      </c>
      <c r="B3644" t="s">
        <v>91</v>
      </c>
      <c r="C3644">
        <v>67143</v>
      </c>
      <c r="D3644" t="s">
        <v>637</v>
      </c>
      <c r="E3644" s="7">
        <v>75</v>
      </c>
      <c r="F3644" t="s">
        <v>20</v>
      </c>
      <c r="G3644" s="10" t="s">
        <v>93</v>
      </c>
      <c r="H3644" t="str">
        <f>"CHECK"</f>
        <v>CHECK</v>
      </c>
      <c r="I3644" t="str">
        <f>""</f>
        <v/>
      </c>
    </row>
    <row r="3645" spans="1:9" x14ac:dyDescent="0.25">
      <c r="A3645" s="6">
        <v>44389</v>
      </c>
      <c r="B3645" t="s">
        <v>91</v>
      </c>
      <c r="C3645">
        <v>67144</v>
      </c>
      <c r="D3645" t="s">
        <v>36</v>
      </c>
      <c r="E3645" s="7">
        <v>75</v>
      </c>
      <c r="F3645" t="s">
        <v>20</v>
      </c>
      <c r="G3645" s="10" t="s">
        <v>21</v>
      </c>
      <c r="H3645" t="str">
        <f>"07/2021-COUNCIL"</f>
        <v>07/2021-COUNCIL</v>
      </c>
      <c r="I3645" t="str">
        <f>""</f>
        <v/>
      </c>
    </row>
    <row r="3646" spans="1:9" x14ac:dyDescent="0.25">
      <c r="A3646" s="6">
        <v>44389</v>
      </c>
      <c r="B3646" t="s">
        <v>91</v>
      </c>
      <c r="C3646">
        <v>67144</v>
      </c>
      <c r="D3646" t="s">
        <v>36</v>
      </c>
      <c r="E3646" s="7">
        <v>75</v>
      </c>
      <c r="F3646" t="s">
        <v>20</v>
      </c>
      <c r="G3646" s="10" t="s">
        <v>93</v>
      </c>
      <c r="H3646" t="str">
        <f>"CHECK"</f>
        <v>CHECK</v>
      </c>
      <c r="I3646" t="str">
        <f>""</f>
        <v/>
      </c>
    </row>
    <row r="3647" spans="1:9" x14ac:dyDescent="0.25">
      <c r="A3647" s="6">
        <v>44389</v>
      </c>
      <c r="B3647" t="s">
        <v>91</v>
      </c>
      <c r="C3647">
        <v>67145</v>
      </c>
      <c r="D3647" t="s">
        <v>38</v>
      </c>
      <c r="E3647" s="7">
        <v>100</v>
      </c>
      <c r="F3647" t="s">
        <v>20</v>
      </c>
      <c r="G3647" s="10" t="s">
        <v>21</v>
      </c>
      <c r="H3647" t="str">
        <f>"07/2021-COUNCIL"</f>
        <v>07/2021-COUNCIL</v>
      </c>
      <c r="I3647" t="str">
        <f>""</f>
        <v/>
      </c>
    </row>
    <row r="3648" spans="1:9" x14ac:dyDescent="0.25">
      <c r="A3648" s="6">
        <v>44389</v>
      </c>
      <c r="B3648" t="s">
        <v>91</v>
      </c>
      <c r="C3648">
        <v>67145</v>
      </c>
      <c r="D3648" t="s">
        <v>38</v>
      </c>
      <c r="E3648" s="7">
        <v>100</v>
      </c>
      <c r="F3648" t="s">
        <v>20</v>
      </c>
      <c r="G3648" s="10" t="s">
        <v>93</v>
      </c>
      <c r="H3648" t="str">
        <f>"CHECK"</f>
        <v>CHECK</v>
      </c>
      <c r="I3648" t="str">
        <f>""</f>
        <v/>
      </c>
    </row>
    <row r="3649" spans="1:9" x14ac:dyDescent="0.25">
      <c r="A3649" s="6">
        <v>44389</v>
      </c>
      <c r="B3649" t="s">
        <v>91</v>
      </c>
      <c r="C3649">
        <v>67146</v>
      </c>
      <c r="D3649" t="s">
        <v>558</v>
      </c>
      <c r="E3649" s="7">
        <v>75</v>
      </c>
      <c r="F3649" t="s">
        <v>20</v>
      </c>
      <c r="G3649" s="10" t="s">
        <v>21</v>
      </c>
      <c r="H3649" t="str">
        <f>"07/2021-COUNCIL"</f>
        <v>07/2021-COUNCIL</v>
      </c>
      <c r="I3649" t="str">
        <f>"MONTHLY COUNCIL CHECKS"</f>
        <v>MONTHLY COUNCIL CHECKS</v>
      </c>
    </row>
    <row r="3650" spans="1:9" x14ac:dyDescent="0.25">
      <c r="A3650" s="6">
        <v>44389</v>
      </c>
      <c r="B3650" t="s">
        <v>91</v>
      </c>
      <c r="C3650">
        <v>67146</v>
      </c>
      <c r="D3650" t="s">
        <v>558</v>
      </c>
      <c r="E3650" s="7">
        <v>75</v>
      </c>
      <c r="F3650" t="s">
        <v>20</v>
      </c>
      <c r="G3650" s="10" t="s">
        <v>93</v>
      </c>
      <c r="H3650" t="str">
        <f>"CHECK"</f>
        <v>CHECK</v>
      </c>
      <c r="I3650" t="str">
        <f>""</f>
        <v/>
      </c>
    </row>
    <row r="3651" spans="1:9" x14ac:dyDescent="0.25">
      <c r="A3651" s="6">
        <v>44389</v>
      </c>
      <c r="B3651" t="s">
        <v>91</v>
      </c>
      <c r="C3651">
        <v>67147</v>
      </c>
      <c r="D3651" t="s">
        <v>889</v>
      </c>
      <c r="E3651" s="7">
        <v>75</v>
      </c>
      <c r="F3651" t="s">
        <v>20</v>
      </c>
      <c r="G3651" s="10" t="s">
        <v>21</v>
      </c>
      <c r="H3651" t="str">
        <f>"07/2021-COUNCIL"</f>
        <v>07/2021-COUNCIL</v>
      </c>
      <c r="I3651" t="str">
        <f>""</f>
        <v/>
      </c>
    </row>
    <row r="3652" spans="1:9" x14ac:dyDescent="0.25">
      <c r="A3652" s="6">
        <v>44389</v>
      </c>
      <c r="B3652" t="s">
        <v>91</v>
      </c>
      <c r="C3652">
        <v>67147</v>
      </c>
      <c r="D3652" t="s">
        <v>889</v>
      </c>
      <c r="E3652" s="7">
        <v>75</v>
      </c>
      <c r="F3652" t="s">
        <v>20</v>
      </c>
      <c r="G3652" s="10" t="s">
        <v>93</v>
      </c>
      <c r="H3652" t="str">
        <f>"CHECK"</f>
        <v>CHECK</v>
      </c>
      <c r="I3652" t="str">
        <f>""</f>
        <v/>
      </c>
    </row>
    <row r="3653" spans="1:9" x14ac:dyDescent="0.25">
      <c r="A3653" s="6">
        <v>44389</v>
      </c>
      <c r="B3653" t="s">
        <v>26</v>
      </c>
      <c r="C3653">
        <v>67148</v>
      </c>
      <c r="D3653" t="s">
        <v>1074</v>
      </c>
      <c r="E3653" s="7">
        <v>258.95999999999998</v>
      </c>
      <c r="F3653" t="s">
        <v>20</v>
      </c>
      <c r="G3653" s="10" t="s">
        <v>21</v>
      </c>
      <c r="H3653" t="str">
        <f>"1JC-6-7613-PGNG*"</f>
        <v>1JC-6-7613-PGNG*</v>
      </c>
      <c r="I3653" t="str">
        <f>"AMAZON CAPITAL SERVICES"</f>
        <v>AMAZON CAPITAL SERVICES</v>
      </c>
    </row>
    <row r="3654" spans="1:9" x14ac:dyDescent="0.25">
      <c r="A3654" s="6">
        <v>44389</v>
      </c>
      <c r="B3654" t="s">
        <v>91</v>
      </c>
      <c r="C3654">
        <v>67149</v>
      </c>
      <c r="D3654" t="s">
        <v>1011</v>
      </c>
      <c r="E3654" s="7">
        <v>75</v>
      </c>
      <c r="F3654" t="s">
        <v>20</v>
      </c>
      <c r="G3654" s="10" t="s">
        <v>21</v>
      </c>
      <c r="H3654" t="str">
        <f>"07/2021-COUNCIL"</f>
        <v>07/2021-COUNCIL</v>
      </c>
      <c r="I3654" t="str">
        <f>""</f>
        <v/>
      </c>
    </row>
    <row r="3655" spans="1:9" x14ac:dyDescent="0.25">
      <c r="A3655" s="6">
        <v>44389</v>
      </c>
      <c r="B3655" t="s">
        <v>91</v>
      </c>
      <c r="C3655">
        <v>67149</v>
      </c>
      <c r="D3655" t="s">
        <v>1011</v>
      </c>
      <c r="E3655" s="7">
        <v>75</v>
      </c>
      <c r="F3655" t="s">
        <v>20</v>
      </c>
      <c r="G3655" s="10" t="s">
        <v>93</v>
      </c>
      <c r="H3655" t="str">
        <f>"CHECK"</f>
        <v>CHECK</v>
      </c>
      <c r="I3655" t="str">
        <f>""</f>
        <v/>
      </c>
    </row>
    <row r="3656" spans="1:9" x14ac:dyDescent="0.25">
      <c r="A3656" s="6">
        <v>44390</v>
      </c>
      <c r="B3656" t="s">
        <v>26</v>
      </c>
      <c r="C3656">
        <v>67156</v>
      </c>
      <c r="D3656" t="s">
        <v>51</v>
      </c>
      <c r="E3656" s="7">
        <v>309.37</v>
      </c>
      <c r="F3656" t="s">
        <v>20</v>
      </c>
      <c r="G3656" s="10" t="s">
        <v>21</v>
      </c>
      <c r="H3656" t="str">
        <f>"CLE202107138616"</f>
        <v>CLE202107138616</v>
      </c>
      <c r="I3656" t="str">
        <f>"CLEAT ONLY DUES"</f>
        <v>CLEAT ONLY DUES</v>
      </c>
    </row>
    <row r="3657" spans="1:9" x14ac:dyDescent="0.25">
      <c r="E3657" s="7"/>
      <c r="F3657" t="s">
        <v>20</v>
      </c>
      <c r="G3657" s="10" t="s">
        <v>21</v>
      </c>
      <c r="H3657" t="str">
        <f>"PDD202107138616"</f>
        <v>PDD202107138616</v>
      </c>
      <c r="I3657" t="str">
        <f>"POLICE OFFICERS ASSOC DUES"</f>
        <v>POLICE OFFICERS ASSOC DUES</v>
      </c>
    </row>
    <row r="3658" spans="1:9" x14ac:dyDescent="0.25">
      <c r="A3658" s="6">
        <v>44390</v>
      </c>
      <c r="B3658" t="s">
        <v>26</v>
      </c>
      <c r="C3658">
        <v>67157</v>
      </c>
      <c r="D3658" t="s">
        <v>52</v>
      </c>
      <c r="E3658" s="7">
        <v>926.54</v>
      </c>
      <c r="F3658" t="s">
        <v>20</v>
      </c>
      <c r="G3658" s="10" t="s">
        <v>21</v>
      </c>
      <c r="H3658" t="str">
        <f>"CA1202107138616"</f>
        <v>CA1202107138616</v>
      </c>
      <c r="I3658" t="str">
        <f>"K RAMIREZ 001200229510060343CV"</f>
        <v>K RAMIREZ 001200229510060343CV</v>
      </c>
    </row>
    <row r="3659" spans="1:9" x14ac:dyDescent="0.25">
      <c r="E3659" s="7"/>
      <c r="F3659" t="s">
        <v>20</v>
      </c>
      <c r="G3659" s="10" t="s">
        <v>21</v>
      </c>
      <c r="H3659" t="str">
        <f>"CA2202107138616"</f>
        <v>CA2202107138616</v>
      </c>
      <c r="I3659" t="str">
        <f>"L HERNANDEZ 001016025203080354"</f>
        <v>L HERNANDEZ 001016025203080354</v>
      </c>
    </row>
    <row r="3660" spans="1:9" x14ac:dyDescent="0.25">
      <c r="E3660" s="7"/>
      <c r="F3660" t="s">
        <v>20</v>
      </c>
      <c r="G3660" s="10" t="s">
        <v>21</v>
      </c>
      <c r="H3660" t="str">
        <f>"CA3202107138616"</f>
        <v>CA3202107138616</v>
      </c>
      <c r="I3660" t="str">
        <f>"00120788612011EM5023JOLENEGARC"</f>
        <v>00120788612011EM5023JOLENEGARC</v>
      </c>
    </row>
    <row r="3661" spans="1:9" x14ac:dyDescent="0.25">
      <c r="E3661" s="7"/>
      <c r="F3661" t="s">
        <v>20</v>
      </c>
      <c r="G3661" s="10" t="s">
        <v>21</v>
      </c>
      <c r="H3661" t="str">
        <f>"CSA202107138616"</f>
        <v>CSA202107138616</v>
      </c>
      <c r="I3661" t="str">
        <f>"S RODRIGUEZ 001281730413050336"</f>
        <v>S RODRIGUEZ 001281730413050336</v>
      </c>
    </row>
    <row r="3662" spans="1:9" x14ac:dyDescent="0.25">
      <c r="E3662" s="7"/>
      <c r="F3662" t="s">
        <v>20</v>
      </c>
      <c r="G3662" s="10" t="s">
        <v>21</v>
      </c>
      <c r="H3662" t="str">
        <f>"CSI202107138616"</f>
        <v>CSI202107138616</v>
      </c>
      <c r="I3662" t="str">
        <f>"KTRINIDAD0014071774CVW2000777"</f>
        <v>KTRINIDAD0014071774CVW2000777</v>
      </c>
    </row>
    <row r="3663" spans="1:9" x14ac:dyDescent="0.25">
      <c r="A3663" s="6">
        <v>44390</v>
      </c>
      <c r="B3663" t="s">
        <v>26</v>
      </c>
      <c r="C3663">
        <v>67158</v>
      </c>
      <c r="D3663" t="s">
        <v>54</v>
      </c>
      <c r="E3663" s="7">
        <v>1083.6500000000001</v>
      </c>
      <c r="F3663" t="s">
        <v>20</v>
      </c>
      <c r="G3663" s="10" t="s">
        <v>21</v>
      </c>
      <c r="H3663" t="str">
        <f>"BRE202107138616"</f>
        <v>BRE202107138616</v>
      </c>
      <c r="I3663" t="str">
        <f>"CASE #180-60751 457B DEDUCT"</f>
        <v>CASE #180-60751 457B DEDUCT</v>
      </c>
    </row>
    <row r="3664" spans="1:9" x14ac:dyDescent="0.25">
      <c r="A3664" s="6">
        <v>44391</v>
      </c>
      <c r="B3664" t="s">
        <v>26</v>
      </c>
      <c r="C3664">
        <v>67159</v>
      </c>
      <c r="D3664" t="s">
        <v>345</v>
      </c>
      <c r="E3664" s="7">
        <v>187</v>
      </c>
      <c r="F3664" t="s">
        <v>20</v>
      </c>
      <c r="G3664" s="10" t="s">
        <v>21</v>
      </c>
      <c r="H3664" t="str">
        <f>"7/12/2021"</f>
        <v>7/12/2021</v>
      </c>
      <c r="I3664" t="str">
        <f>"MICHAEL ISAAC MARTINEZ"</f>
        <v>MICHAEL ISAAC MARTINEZ</v>
      </c>
    </row>
    <row r="3665" spans="1:9" x14ac:dyDescent="0.25">
      <c r="A3665" s="6">
        <v>44391</v>
      </c>
      <c r="B3665" t="s">
        <v>26</v>
      </c>
      <c r="C3665">
        <v>67160</v>
      </c>
      <c r="D3665" t="s">
        <v>92</v>
      </c>
      <c r="E3665" s="7">
        <v>34337.839999999997</v>
      </c>
      <c r="F3665" t="s">
        <v>20</v>
      </c>
      <c r="G3665" s="10" t="s">
        <v>21</v>
      </c>
      <c r="H3665" t="str">
        <f>"RET202106018612"</f>
        <v>RET202106018612</v>
      </c>
      <c r="I3665" t="str">
        <f>"TMRS CITY OF FLORESVILLE"</f>
        <v>TMRS CITY OF FLORESVILLE</v>
      </c>
    </row>
    <row r="3666" spans="1:9" x14ac:dyDescent="0.25">
      <c r="E3666" s="7"/>
      <c r="F3666" t="s">
        <v>20</v>
      </c>
      <c r="G3666" s="10" t="s">
        <v>21</v>
      </c>
      <c r="H3666" t="str">
        <f>"RET202106158614"</f>
        <v>RET202106158614</v>
      </c>
      <c r="I3666" t="str">
        <f>"TMRS CITY OF FLORESVILLE"</f>
        <v>TMRS CITY OF FLORESVILLE</v>
      </c>
    </row>
    <row r="3667" spans="1:9" x14ac:dyDescent="0.25">
      <c r="A3667" s="6">
        <v>44397</v>
      </c>
      <c r="B3667" t="s">
        <v>26</v>
      </c>
      <c r="C3667">
        <v>67164</v>
      </c>
      <c r="D3667" t="s">
        <v>870</v>
      </c>
      <c r="E3667" s="7">
        <v>80</v>
      </c>
      <c r="F3667" t="s">
        <v>20</v>
      </c>
      <c r="G3667" s="10" t="s">
        <v>21</v>
      </c>
      <c r="H3667" t="str">
        <f>"7/107/2021"</f>
        <v>7/107/2021</v>
      </c>
      <c r="I3667" t="str">
        <f>"ALEXIS GOGGANS"</f>
        <v>ALEXIS GOGGANS</v>
      </c>
    </row>
    <row r="3668" spans="1:9" x14ac:dyDescent="0.25">
      <c r="A3668" s="6">
        <v>44397</v>
      </c>
      <c r="B3668" t="s">
        <v>26</v>
      </c>
      <c r="C3668">
        <v>67165</v>
      </c>
      <c r="D3668" t="s">
        <v>179</v>
      </c>
      <c r="E3668" s="7">
        <v>83.58</v>
      </c>
      <c r="F3668" t="s">
        <v>20</v>
      </c>
      <c r="G3668" s="10" t="s">
        <v>21</v>
      </c>
      <c r="H3668" t="str">
        <f>"63435"</f>
        <v>63435</v>
      </c>
      <c r="I3668" t="str">
        <f>"AC HOSE"</f>
        <v>AC HOSE</v>
      </c>
    </row>
    <row r="3669" spans="1:9" x14ac:dyDescent="0.25">
      <c r="A3669" s="6">
        <v>44397</v>
      </c>
      <c r="B3669" t="s">
        <v>26</v>
      </c>
      <c r="C3669">
        <v>67166</v>
      </c>
      <c r="D3669" t="s">
        <v>195</v>
      </c>
      <c r="E3669" s="7">
        <v>1301.26</v>
      </c>
      <c r="F3669" t="s">
        <v>20</v>
      </c>
      <c r="G3669" s="10" t="s">
        <v>21</v>
      </c>
      <c r="H3669" t="str">
        <f>"32617"</f>
        <v>32617</v>
      </c>
      <c r="I3669" t="str">
        <f>"ARISTA INFORMATION SYSTEMS  IN"</f>
        <v>ARISTA INFORMATION SYSTEMS  IN</v>
      </c>
    </row>
    <row r="3670" spans="1:9" x14ac:dyDescent="0.25">
      <c r="E3670" s="7"/>
      <c r="F3670" t="s">
        <v>20</v>
      </c>
      <c r="G3670" s="10" t="s">
        <v>21</v>
      </c>
      <c r="H3670" t="str">
        <f>"INV-AIS-0003125"</f>
        <v>INV-AIS-0003125</v>
      </c>
      <c r="I3670" t="str">
        <f>"ARISTA INFORMATION SYSTEMS  IN"</f>
        <v>ARISTA INFORMATION SYSTEMS  IN</v>
      </c>
    </row>
    <row r="3671" spans="1:9" x14ac:dyDescent="0.25">
      <c r="A3671" s="6">
        <v>44397</v>
      </c>
      <c r="B3671" t="s">
        <v>26</v>
      </c>
      <c r="C3671">
        <v>67167</v>
      </c>
      <c r="D3671" t="s">
        <v>115</v>
      </c>
      <c r="E3671" s="7">
        <v>192.09</v>
      </c>
      <c r="F3671" t="s">
        <v>20</v>
      </c>
      <c r="G3671" s="10" t="s">
        <v>21</v>
      </c>
      <c r="H3671" t="str">
        <f>"3547949469"</f>
        <v>3547949469</v>
      </c>
      <c r="I3671" t="str">
        <f>"BATTERY"</f>
        <v>BATTERY</v>
      </c>
    </row>
    <row r="3672" spans="1:9" x14ac:dyDescent="0.25">
      <c r="E3672" s="7"/>
      <c r="F3672" t="s">
        <v>20</v>
      </c>
      <c r="G3672" s="10" t="s">
        <v>21</v>
      </c>
      <c r="H3672" t="str">
        <f>"3547949655"</f>
        <v>3547949655</v>
      </c>
      <c r="I3672" t="str">
        <f>"BATTERY- FOR CHIEF'S VEHI"</f>
        <v>BATTERY- FOR CHIEF'S VEHI</v>
      </c>
    </row>
    <row r="3673" spans="1:9" x14ac:dyDescent="0.25">
      <c r="A3673" s="6">
        <v>44397</v>
      </c>
      <c r="B3673" t="s">
        <v>26</v>
      </c>
      <c r="C3673">
        <v>67168</v>
      </c>
      <c r="D3673" t="s">
        <v>836</v>
      </c>
      <c r="E3673" s="7">
        <v>526.20000000000005</v>
      </c>
      <c r="F3673" t="s">
        <v>20</v>
      </c>
      <c r="G3673" s="10" t="s">
        <v>21</v>
      </c>
      <c r="H3673" t="str">
        <f>"76830"</f>
        <v>76830</v>
      </c>
      <c r="I3673" t="str">
        <f>"BARCOM TECHNOLOGY SOLUTIONS  I"</f>
        <v>BARCOM TECHNOLOGY SOLUTIONS  I</v>
      </c>
    </row>
    <row r="3674" spans="1:9" x14ac:dyDescent="0.25">
      <c r="A3674" s="6">
        <v>44397</v>
      </c>
      <c r="B3674" t="s">
        <v>26</v>
      </c>
      <c r="C3674">
        <v>67169</v>
      </c>
      <c r="D3674" t="s">
        <v>1063</v>
      </c>
      <c r="E3674" s="7">
        <v>837</v>
      </c>
      <c r="F3674" t="s">
        <v>20</v>
      </c>
      <c r="G3674" s="10" t="s">
        <v>21</v>
      </c>
      <c r="H3674" t="str">
        <f>"18023220"</f>
        <v>18023220</v>
      </c>
      <c r="I3674" t="str">
        <f>"RA-50 ASPHALT  50LB BAG"</f>
        <v>RA-50 ASPHALT  50LB BAG</v>
      </c>
    </row>
    <row r="3675" spans="1:9" x14ac:dyDescent="0.25">
      <c r="A3675" s="6">
        <v>44397</v>
      </c>
      <c r="B3675" t="s">
        <v>26</v>
      </c>
      <c r="C3675">
        <v>67170</v>
      </c>
      <c r="D3675" t="s">
        <v>647</v>
      </c>
      <c r="E3675" s="7">
        <v>3483.98</v>
      </c>
      <c r="F3675" t="s">
        <v>20</v>
      </c>
      <c r="G3675" s="10" t="s">
        <v>21</v>
      </c>
      <c r="H3675" t="str">
        <f>"29670927"</f>
        <v>29670927</v>
      </c>
      <c r="I3675" t="str">
        <f>"DOCUMATION  INC."</f>
        <v>DOCUMATION  INC.</v>
      </c>
    </row>
    <row r="3676" spans="1:9" x14ac:dyDescent="0.25">
      <c r="A3676" s="6">
        <v>44397</v>
      </c>
      <c r="B3676" t="s">
        <v>26</v>
      </c>
      <c r="C3676">
        <v>67171</v>
      </c>
      <c r="D3676" t="s">
        <v>77</v>
      </c>
      <c r="E3676" s="7">
        <v>320</v>
      </c>
      <c r="F3676" t="s">
        <v>20</v>
      </c>
      <c r="G3676" s="10" t="s">
        <v>21</v>
      </c>
      <c r="H3676" t="str">
        <f>"DE85001472-21"</f>
        <v>DE85001472-21</v>
      </c>
      <c r="I3676" t="str">
        <f>"DPC INDUSTRIES  INC."</f>
        <v>DPC INDUSTRIES  INC.</v>
      </c>
    </row>
    <row r="3677" spans="1:9" x14ac:dyDescent="0.25">
      <c r="A3677" s="6">
        <v>44397</v>
      </c>
      <c r="B3677" t="s">
        <v>26</v>
      </c>
      <c r="C3677">
        <v>67172</v>
      </c>
      <c r="D3677" t="s">
        <v>325</v>
      </c>
      <c r="E3677" s="7">
        <v>51.63</v>
      </c>
      <c r="F3677" t="s">
        <v>20</v>
      </c>
      <c r="G3677" s="10" t="s">
        <v>21</v>
      </c>
      <c r="H3677" t="str">
        <f>"2470001 7/2/2021"</f>
        <v>2470001 7/2/2021</v>
      </c>
      <c r="I3677" t="str">
        <f>"DSHS CENTRAL LAB MC2004"</f>
        <v>DSHS CENTRAL LAB MC2004</v>
      </c>
    </row>
    <row r="3678" spans="1:9" x14ac:dyDescent="0.25">
      <c r="A3678" s="6">
        <v>44397</v>
      </c>
      <c r="B3678" t="s">
        <v>26</v>
      </c>
      <c r="C3678">
        <v>67173</v>
      </c>
      <c r="D3678" t="s">
        <v>910</v>
      </c>
      <c r="E3678" s="7">
        <v>239.14</v>
      </c>
      <c r="F3678" t="s">
        <v>20</v>
      </c>
      <c r="G3678" s="10" t="s">
        <v>21</v>
      </c>
      <c r="H3678" t="str">
        <f>"F14244"</f>
        <v>F14244</v>
      </c>
      <c r="I3678" t="str">
        <f>"LOADER WINDSHIELD"</f>
        <v>LOADER WINDSHIELD</v>
      </c>
    </row>
    <row r="3679" spans="1:9" x14ac:dyDescent="0.25">
      <c r="A3679" s="6">
        <v>44397</v>
      </c>
      <c r="B3679" t="s">
        <v>26</v>
      </c>
      <c r="C3679">
        <v>67174</v>
      </c>
      <c r="D3679" t="s">
        <v>103</v>
      </c>
      <c r="E3679" s="7">
        <v>10139.34</v>
      </c>
      <c r="F3679" t="s">
        <v>20</v>
      </c>
      <c r="G3679" s="10" t="s">
        <v>21</v>
      </c>
      <c r="H3679" t="str">
        <f>"T.BAKER TX REFND"</f>
        <v>T.BAKER TX REFND</v>
      </c>
      <c r="I3679" t="str">
        <f>"F. E. D. C."</f>
        <v>F. E. D. C.</v>
      </c>
    </row>
    <row r="3680" spans="1:9" x14ac:dyDescent="0.25">
      <c r="A3680" s="6">
        <v>44397</v>
      </c>
      <c r="B3680" t="s">
        <v>26</v>
      </c>
      <c r="C3680">
        <v>67175</v>
      </c>
      <c r="D3680" t="s">
        <v>79</v>
      </c>
      <c r="E3680" s="7">
        <v>23.75</v>
      </c>
      <c r="F3680" t="s">
        <v>20</v>
      </c>
      <c r="G3680" s="10" t="s">
        <v>21</v>
      </c>
      <c r="H3680" t="str">
        <f>"7-429-33505"</f>
        <v>7-429-33505</v>
      </c>
      <c r="I3680" t="str">
        <f>"FEDEX"</f>
        <v>FEDEX</v>
      </c>
    </row>
    <row r="3681" spans="1:9" x14ac:dyDescent="0.25">
      <c r="A3681" s="6">
        <v>44397</v>
      </c>
      <c r="B3681" t="s">
        <v>26</v>
      </c>
      <c r="C3681">
        <v>67176</v>
      </c>
      <c r="D3681" t="s">
        <v>85</v>
      </c>
      <c r="E3681" s="7">
        <v>2403.2399999999998</v>
      </c>
      <c r="F3681" t="s">
        <v>20</v>
      </c>
      <c r="G3681" s="10" t="s">
        <v>21</v>
      </c>
      <c r="H3681" t="str">
        <f>"3934055 JULY 2021"</f>
        <v>3934055 JULY 2021</v>
      </c>
      <c r="I3681" t="str">
        <f>"FRONTIER"</f>
        <v>FRONTIER</v>
      </c>
    </row>
    <row r="3682" spans="1:9" x14ac:dyDescent="0.25">
      <c r="E3682" s="7"/>
      <c r="F3682" t="s">
        <v>20</v>
      </c>
      <c r="G3682" s="10" t="s">
        <v>21</v>
      </c>
      <c r="H3682" t="str">
        <f>"3938193 JULY 2021"</f>
        <v>3938193 JULY 2021</v>
      </c>
      <c r="I3682" t="str">
        <f>"FRONTIER"</f>
        <v>FRONTIER</v>
      </c>
    </row>
    <row r="3683" spans="1:9" x14ac:dyDescent="0.25">
      <c r="E3683" s="7"/>
      <c r="F3683" t="s">
        <v>20</v>
      </c>
      <c r="G3683" s="10" t="s">
        <v>21</v>
      </c>
      <c r="H3683" t="str">
        <f>"8301970025 7/2021"</f>
        <v>8301970025 7/2021</v>
      </c>
      <c r="I3683" t="str">
        <f>"FRONTIER"</f>
        <v>FRONTIER</v>
      </c>
    </row>
    <row r="3684" spans="1:9" x14ac:dyDescent="0.25">
      <c r="A3684" s="6">
        <v>44397</v>
      </c>
      <c r="B3684" t="s">
        <v>26</v>
      </c>
      <c r="C3684">
        <v>67177</v>
      </c>
      <c r="D3684" t="s">
        <v>194</v>
      </c>
      <c r="E3684" s="7">
        <v>135.96</v>
      </c>
      <c r="F3684" t="s">
        <v>20</v>
      </c>
      <c r="G3684" s="10" t="s">
        <v>21</v>
      </c>
      <c r="H3684" t="str">
        <f>"018637474"</f>
        <v>018637474</v>
      </c>
      <c r="I3684" t="str">
        <f>"GALLS  LLC-D.B.A. STERLING'S U"</f>
        <v>GALLS  LLC-D.B.A. STERLING'S U</v>
      </c>
    </row>
    <row r="3685" spans="1:9" x14ac:dyDescent="0.25">
      <c r="A3685" s="6">
        <v>44397</v>
      </c>
      <c r="B3685" t="s">
        <v>26</v>
      </c>
      <c r="C3685">
        <v>67178</v>
      </c>
      <c r="D3685" t="s">
        <v>596</v>
      </c>
      <c r="E3685" s="7">
        <v>80</v>
      </c>
      <c r="F3685" t="s">
        <v>20</v>
      </c>
      <c r="G3685" s="10" t="s">
        <v>21</v>
      </c>
      <c r="H3685" t="str">
        <f>"07/17/2021"</f>
        <v>07/17/2021</v>
      </c>
      <c r="I3685" t="str">
        <f>"GRACE PIERCE"</f>
        <v>GRACE PIERCE</v>
      </c>
    </row>
    <row r="3686" spans="1:9" x14ac:dyDescent="0.25">
      <c r="A3686" s="6">
        <v>44397</v>
      </c>
      <c r="B3686" t="s">
        <v>26</v>
      </c>
      <c r="C3686">
        <v>67179</v>
      </c>
      <c r="D3686" t="s">
        <v>302</v>
      </c>
      <c r="E3686" s="7">
        <v>381.95</v>
      </c>
      <c r="F3686" t="s">
        <v>20</v>
      </c>
      <c r="G3686" s="10" t="s">
        <v>21</v>
      </c>
      <c r="H3686" t="str">
        <f>"9953590545"</f>
        <v>9953590545</v>
      </c>
      <c r="I3686" t="str">
        <f>"WWTP"</f>
        <v>WWTP</v>
      </c>
    </row>
    <row r="3687" spans="1:9" x14ac:dyDescent="0.25">
      <c r="A3687" s="6">
        <v>44397</v>
      </c>
      <c r="B3687" t="s">
        <v>26</v>
      </c>
      <c r="C3687">
        <v>67180</v>
      </c>
      <c r="D3687" t="s">
        <v>125</v>
      </c>
      <c r="E3687" s="7">
        <v>630</v>
      </c>
      <c r="F3687" t="s">
        <v>20</v>
      </c>
      <c r="G3687" s="10" t="s">
        <v>21</v>
      </c>
      <c r="H3687" t="str">
        <f>"20-0711 JUNE2021"</f>
        <v>20-0711 JUNE2021</v>
      </c>
      <c r="I3687" t="str">
        <f>"INTREPID SURVEYING CORPORATION"</f>
        <v>INTREPID SURVEYING CORPORATION</v>
      </c>
    </row>
    <row r="3688" spans="1:9" x14ac:dyDescent="0.25">
      <c r="E3688" s="7"/>
      <c r="F3688" t="s">
        <v>20</v>
      </c>
      <c r="G3688" s="10" t="s">
        <v>21</v>
      </c>
      <c r="H3688" t="str">
        <f>"21-0571 JUNE"</f>
        <v>21-0571 JUNE</v>
      </c>
      <c r="I3688" t="str">
        <f>"INTREPID SURVEYING CORPORATION"</f>
        <v>INTREPID SURVEYING CORPORATION</v>
      </c>
    </row>
    <row r="3689" spans="1:9" x14ac:dyDescent="0.25">
      <c r="A3689" s="6">
        <v>44397</v>
      </c>
      <c r="B3689" t="s">
        <v>26</v>
      </c>
      <c r="C3689">
        <v>67181</v>
      </c>
      <c r="D3689" t="s">
        <v>282</v>
      </c>
      <c r="E3689" s="7">
        <v>2500</v>
      </c>
      <c r="F3689" t="s">
        <v>20</v>
      </c>
      <c r="G3689" s="10" t="s">
        <v>21</v>
      </c>
      <c r="H3689" t="str">
        <f>"4339"</f>
        <v>4339</v>
      </c>
      <c r="I3689" t="str">
        <f>"LANGFORD COMMUNITY MANAGEMENT"</f>
        <v>LANGFORD COMMUNITY MANAGEMENT</v>
      </c>
    </row>
    <row r="3690" spans="1:9" x14ac:dyDescent="0.25">
      <c r="A3690" s="6">
        <v>44397</v>
      </c>
      <c r="B3690" t="s">
        <v>26</v>
      </c>
      <c r="C3690">
        <v>67182</v>
      </c>
      <c r="D3690" t="s">
        <v>105</v>
      </c>
      <c r="E3690" s="7">
        <v>28</v>
      </c>
      <c r="F3690" t="s">
        <v>20</v>
      </c>
      <c r="G3690" s="10" t="s">
        <v>21</v>
      </c>
      <c r="H3690" t="str">
        <f>"391555"</f>
        <v>391555</v>
      </c>
      <c r="I3690" t="str">
        <f>"STATE INSPECTION"</f>
        <v>STATE INSPECTION</v>
      </c>
    </row>
    <row r="3691" spans="1:9" x14ac:dyDescent="0.25">
      <c r="E3691" s="7"/>
      <c r="F3691" t="s">
        <v>20</v>
      </c>
      <c r="G3691" s="10" t="s">
        <v>21</v>
      </c>
      <c r="H3691" t="str">
        <f>"391561"</f>
        <v>391561</v>
      </c>
      <c r="I3691" t="str">
        <f>"STATE INSPECTION"</f>
        <v>STATE INSPECTION</v>
      </c>
    </row>
    <row r="3692" spans="1:9" x14ac:dyDescent="0.25">
      <c r="E3692" s="7"/>
      <c r="F3692" t="s">
        <v>20</v>
      </c>
      <c r="G3692" s="10" t="s">
        <v>21</v>
      </c>
      <c r="H3692" t="str">
        <f>"392279"</f>
        <v>392279</v>
      </c>
      <c r="I3692" t="str">
        <f>"STATE INSPECTION"</f>
        <v>STATE INSPECTION</v>
      </c>
    </row>
    <row r="3693" spans="1:9" x14ac:dyDescent="0.25">
      <c r="E3693" s="7"/>
      <c r="F3693" t="s">
        <v>20</v>
      </c>
      <c r="G3693" s="10" t="s">
        <v>21</v>
      </c>
      <c r="H3693" t="str">
        <f>"392283"</f>
        <v>392283</v>
      </c>
      <c r="I3693" t="str">
        <f>"STATE INSPECTIONS"</f>
        <v>STATE INSPECTIONS</v>
      </c>
    </row>
    <row r="3694" spans="1:9" x14ac:dyDescent="0.25">
      <c r="A3694" s="6">
        <v>44397</v>
      </c>
      <c r="B3694" t="s">
        <v>26</v>
      </c>
      <c r="C3694">
        <v>67183</v>
      </c>
      <c r="D3694" t="s">
        <v>326</v>
      </c>
      <c r="E3694" s="7">
        <v>44</v>
      </c>
      <c r="F3694" t="s">
        <v>20</v>
      </c>
      <c r="G3694" s="10" t="s">
        <v>21</v>
      </c>
      <c r="H3694" t="str">
        <f>"0023803797"</f>
        <v>0023803797</v>
      </c>
      <c r="I3694" t="str">
        <f>"MATHESON TRI-GAS INC"</f>
        <v>MATHESON TRI-GAS INC</v>
      </c>
    </row>
    <row r="3695" spans="1:9" x14ac:dyDescent="0.25">
      <c r="A3695" s="6">
        <v>44397</v>
      </c>
      <c r="B3695" t="s">
        <v>26</v>
      </c>
      <c r="C3695">
        <v>67184</v>
      </c>
      <c r="D3695" t="s">
        <v>124</v>
      </c>
      <c r="E3695" s="7">
        <v>93.33</v>
      </c>
      <c r="F3695" t="s">
        <v>20</v>
      </c>
      <c r="G3695" s="10" t="s">
        <v>21</v>
      </c>
      <c r="H3695" t="str">
        <f>"11106719"</f>
        <v>11106719</v>
      </c>
      <c r="I3695" t="str">
        <f>"TOOLS/SUPPLIES"</f>
        <v>TOOLS/SUPPLIES</v>
      </c>
    </row>
    <row r="3696" spans="1:9" x14ac:dyDescent="0.25">
      <c r="E3696" s="7"/>
      <c r="F3696" t="s">
        <v>20</v>
      </c>
      <c r="G3696" s="10" t="s">
        <v>21</v>
      </c>
      <c r="H3696" t="str">
        <f>"11107805"</f>
        <v>11107805</v>
      </c>
      <c r="I3696" t="str">
        <f>"ROOF REPAIR"</f>
        <v>ROOF REPAIR</v>
      </c>
    </row>
    <row r="3697" spans="1:9" x14ac:dyDescent="0.25">
      <c r="E3697" s="7"/>
      <c r="F3697" t="s">
        <v>20</v>
      </c>
      <c r="G3697" s="10" t="s">
        <v>21</v>
      </c>
      <c r="H3697" t="str">
        <f>"11108113"</f>
        <v>11108113</v>
      </c>
      <c r="I3697" t="str">
        <f>"TIMER FOR PECAN PARK"</f>
        <v>TIMER FOR PECAN PARK</v>
      </c>
    </row>
    <row r="3698" spans="1:9" x14ac:dyDescent="0.25">
      <c r="A3698" s="6">
        <v>44397</v>
      </c>
      <c r="B3698" t="s">
        <v>26</v>
      </c>
      <c r="C3698">
        <v>67185</v>
      </c>
      <c r="D3698" t="s">
        <v>345</v>
      </c>
      <c r="E3698" s="7">
        <v>264</v>
      </c>
      <c r="F3698" t="s">
        <v>20</v>
      </c>
      <c r="G3698" s="10" t="s">
        <v>21</v>
      </c>
      <c r="H3698" t="str">
        <f>"07/19/2021"</f>
        <v>07/19/2021</v>
      </c>
      <c r="I3698" t="str">
        <f>"MICHAEL ISAAC MARTINEZ"</f>
        <v>MICHAEL ISAAC MARTINEZ</v>
      </c>
    </row>
    <row r="3699" spans="1:9" x14ac:dyDescent="0.25">
      <c r="A3699" s="6">
        <v>44397</v>
      </c>
      <c r="B3699" t="s">
        <v>26</v>
      </c>
      <c r="C3699">
        <v>67186</v>
      </c>
      <c r="D3699" t="s">
        <v>1075</v>
      </c>
      <c r="E3699" s="7">
        <v>125</v>
      </c>
      <c r="F3699" t="s">
        <v>20</v>
      </c>
      <c r="G3699" s="10" t="s">
        <v>21</v>
      </c>
      <c r="H3699" t="str">
        <f>"POOL REFND 7/2021"</f>
        <v>POOL REFND 7/2021</v>
      </c>
      <c r="I3699" t="str">
        <f>"REFUND"</f>
        <v>REFUND</v>
      </c>
    </row>
    <row r="3700" spans="1:9" x14ac:dyDescent="0.25">
      <c r="A3700" s="6">
        <v>44397</v>
      </c>
      <c r="B3700" t="s">
        <v>26</v>
      </c>
      <c r="C3700">
        <v>67187</v>
      </c>
      <c r="D3700" t="s">
        <v>240</v>
      </c>
      <c r="E3700" s="7">
        <v>809.74</v>
      </c>
      <c r="F3700" t="s">
        <v>20</v>
      </c>
      <c r="G3700" s="10" t="s">
        <v>21</v>
      </c>
      <c r="H3700" t="str">
        <f>"0211656-IN"</f>
        <v>0211656-IN</v>
      </c>
      <c r="I3700" t="str">
        <f>"NARDIS PUBLIC SAFETY"</f>
        <v>NARDIS PUBLIC SAFETY</v>
      </c>
    </row>
    <row r="3701" spans="1:9" x14ac:dyDescent="0.25">
      <c r="E3701" s="7"/>
      <c r="F3701" t="s">
        <v>20</v>
      </c>
      <c r="G3701" s="10" t="s">
        <v>21</v>
      </c>
      <c r="H3701" t="str">
        <f>"0211659-IN"</f>
        <v>0211659-IN</v>
      </c>
      <c r="I3701" t="str">
        <f>"NARDIS PUBLIC SAFETY"</f>
        <v>NARDIS PUBLIC SAFETY</v>
      </c>
    </row>
    <row r="3702" spans="1:9" x14ac:dyDescent="0.25">
      <c r="E3702" s="7"/>
      <c r="F3702" t="s">
        <v>20</v>
      </c>
      <c r="G3702" s="10" t="s">
        <v>21</v>
      </c>
      <c r="H3702" t="str">
        <f>"0211670-IN"</f>
        <v>0211670-IN</v>
      </c>
      <c r="I3702" t="str">
        <f>"NARDIS PUBLIC SAFETY"</f>
        <v>NARDIS PUBLIC SAFETY</v>
      </c>
    </row>
    <row r="3703" spans="1:9" x14ac:dyDescent="0.25">
      <c r="E3703" s="7"/>
      <c r="F3703" t="s">
        <v>20</v>
      </c>
      <c r="G3703" s="10" t="s">
        <v>21</v>
      </c>
      <c r="H3703" t="str">
        <f>"0211700-IN"</f>
        <v>0211700-IN</v>
      </c>
      <c r="I3703" t="str">
        <f>"NARDIS PUBLIC SAFETY"</f>
        <v>NARDIS PUBLIC SAFETY</v>
      </c>
    </row>
    <row r="3704" spans="1:9" x14ac:dyDescent="0.25">
      <c r="A3704" s="6">
        <v>44397</v>
      </c>
      <c r="B3704" t="s">
        <v>26</v>
      </c>
      <c r="C3704">
        <v>67188</v>
      </c>
      <c r="D3704" t="s">
        <v>123</v>
      </c>
      <c r="E3704" s="7">
        <v>796.4</v>
      </c>
      <c r="F3704" t="s">
        <v>20</v>
      </c>
      <c r="G3704" s="10" t="s">
        <v>21</v>
      </c>
      <c r="H3704" t="str">
        <f>"177594935001"</f>
        <v>177594935001</v>
      </c>
      <c r="I3704" t="str">
        <f>"BUSINESS CARDS"</f>
        <v>BUSINESS CARDS</v>
      </c>
    </row>
    <row r="3705" spans="1:9" x14ac:dyDescent="0.25">
      <c r="E3705" s="7"/>
      <c r="F3705" t="s">
        <v>20</v>
      </c>
      <c r="G3705" s="10" t="s">
        <v>21</v>
      </c>
      <c r="H3705" t="str">
        <f>"177625260001"</f>
        <v>177625260001</v>
      </c>
      <c r="I3705" t="str">
        <f>"OFFICE SUPPLIES"</f>
        <v>OFFICE SUPPLIES</v>
      </c>
    </row>
    <row r="3706" spans="1:9" x14ac:dyDescent="0.25">
      <c r="E3706" s="7"/>
      <c r="F3706" t="s">
        <v>20</v>
      </c>
      <c r="G3706" s="10" t="s">
        <v>21</v>
      </c>
      <c r="H3706" t="str">
        <f>"181097022001"</f>
        <v>181097022001</v>
      </c>
      <c r="I3706" t="str">
        <f>"OFFICE SUPPLIES"</f>
        <v>OFFICE SUPPLIES</v>
      </c>
    </row>
    <row r="3707" spans="1:9" x14ac:dyDescent="0.25">
      <c r="E3707" s="7"/>
      <c r="F3707" t="s">
        <v>20</v>
      </c>
      <c r="G3707" s="10" t="s">
        <v>21</v>
      </c>
      <c r="H3707" t="str">
        <f>"181386105001"</f>
        <v>181386105001</v>
      </c>
      <c r="I3707" t="str">
        <f>"INK"</f>
        <v>INK</v>
      </c>
    </row>
    <row r="3708" spans="1:9" x14ac:dyDescent="0.25">
      <c r="E3708" s="7"/>
      <c r="F3708" t="s">
        <v>20</v>
      </c>
      <c r="G3708" s="10" t="s">
        <v>21</v>
      </c>
      <c r="H3708" t="str">
        <f>"182667415001"</f>
        <v>182667415001</v>
      </c>
      <c r="I3708" t="str">
        <f>"OFFICE SUPPLIES"</f>
        <v>OFFICE SUPPLIES</v>
      </c>
    </row>
    <row r="3709" spans="1:9" x14ac:dyDescent="0.25">
      <c r="E3709" s="7"/>
      <c r="F3709" t="s">
        <v>20</v>
      </c>
      <c r="G3709" s="10" t="s">
        <v>21</v>
      </c>
      <c r="H3709" t="str">
        <f>"182667905001"</f>
        <v>182667905001</v>
      </c>
      <c r="I3709" t="str">
        <f>"OFFICE SUPPLIES"</f>
        <v>OFFICE SUPPLIES</v>
      </c>
    </row>
    <row r="3710" spans="1:9" x14ac:dyDescent="0.25">
      <c r="E3710" s="7"/>
      <c r="F3710" t="s">
        <v>20</v>
      </c>
      <c r="G3710" s="10" t="s">
        <v>21</v>
      </c>
      <c r="H3710" t="str">
        <f>"182667906001"</f>
        <v>182667906001</v>
      </c>
      <c r="I3710" t="str">
        <f>"OFFICE SUPPLIES"</f>
        <v>OFFICE SUPPLIES</v>
      </c>
    </row>
    <row r="3711" spans="1:9" x14ac:dyDescent="0.25">
      <c r="E3711" s="7"/>
      <c r="F3711" t="s">
        <v>20</v>
      </c>
      <c r="G3711" s="10" t="s">
        <v>21</v>
      </c>
      <c r="H3711" t="str">
        <f>"182667908001"</f>
        <v>182667908001</v>
      </c>
      <c r="I3711" t="str">
        <f>"OFFICE SUPPLIES"</f>
        <v>OFFICE SUPPLIES</v>
      </c>
    </row>
    <row r="3712" spans="1:9" x14ac:dyDescent="0.25">
      <c r="A3712" s="6">
        <v>44397</v>
      </c>
      <c r="B3712" t="s">
        <v>26</v>
      </c>
      <c r="C3712">
        <v>67191</v>
      </c>
      <c r="D3712" t="s">
        <v>106</v>
      </c>
      <c r="E3712" s="7">
        <v>146.6</v>
      </c>
      <c r="F3712" t="s">
        <v>20</v>
      </c>
      <c r="G3712" s="10" t="s">
        <v>21</v>
      </c>
      <c r="H3712" t="str">
        <f>"2ND QRT APR-JUNE21"</f>
        <v>2ND QRT APR-JUNE21</v>
      </c>
      <c r="I3712" t="str">
        <f>"OMNIBASE SERVICES OF TEXAS"</f>
        <v>OMNIBASE SERVICES OF TEXAS</v>
      </c>
    </row>
    <row r="3713" spans="1:9" x14ac:dyDescent="0.25">
      <c r="A3713" s="6">
        <v>44397</v>
      </c>
      <c r="B3713" t="s">
        <v>26</v>
      </c>
      <c r="C3713">
        <v>67192</v>
      </c>
      <c r="D3713" t="s">
        <v>166</v>
      </c>
      <c r="E3713" s="7">
        <v>637.33000000000004</v>
      </c>
      <c r="F3713" t="s">
        <v>20</v>
      </c>
      <c r="G3713" s="10" t="s">
        <v>21</v>
      </c>
      <c r="H3713" t="str">
        <f>"9567  AUG.2021"</f>
        <v>9567  AUG.2021</v>
      </c>
      <c r="I3713" t="str">
        <f>"PITNEY BOWES PURCHASE POWER"</f>
        <v>PITNEY BOWES PURCHASE POWER</v>
      </c>
    </row>
    <row r="3714" spans="1:9" x14ac:dyDescent="0.25">
      <c r="A3714" s="6">
        <v>44397</v>
      </c>
      <c r="B3714" t="s">
        <v>26</v>
      </c>
      <c r="C3714">
        <v>67193</v>
      </c>
      <c r="D3714" t="s">
        <v>169</v>
      </c>
      <c r="E3714" s="7">
        <v>32.5</v>
      </c>
      <c r="F3714" t="s">
        <v>20</v>
      </c>
      <c r="G3714" s="10" t="s">
        <v>21</v>
      </c>
      <c r="H3714" t="str">
        <f>"149964"</f>
        <v>149964</v>
      </c>
      <c r="I3714" t="str">
        <f>"THE POLICE AND SHERIFFS PRESS"</f>
        <v>THE POLICE AND SHERIFFS PRESS</v>
      </c>
    </row>
    <row r="3715" spans="1:9" x14ac:dyDescent="0.25">
      <c r="A3715" s="6">
        <v>44397</v>
      </c>
      <c r="B3715" t="s">
        <v>26</v>
      </c>
      <c r="C3715">
        <v>67194</v>
      </c>
      <c r="D3715" t="s">
        <v>323</v>
      </c>
      <c r="E3715" s="7">
        <v>630</v>
      </c>
      <c r="F3715" t="s">
        <v>20</v>
      </c>
      <c r="G3715" s="10" t="s">
        <v>21</v>
      </c>
      <c r="H3715" t="str">
        <f>"8762"</f>
        <v>8762</v>
      </c>
      <c r="I3715" t="str">
        <f>"POLLOK SELF STORAGE LLC"</f>
        <v>POLLOK SELF STORAGE LLC</v>
      </c>
    </row>
    <row r="3716" spans="1:9" x14ac:dyDescent="0.25">
      <c r="A3716" s="6">
        <v>44397</v>
      </c>
      <c r="B3716" t="s">
        <v>26</v>
      </c>
      <c r="C3716">
        <v>67195</v>
      </c>
      <c r="D3716" t="s">
        <v>184</v>
      </c>
      <c r="E3716" s="7">
        <v>2242</v>
      </c>
      <c r="F3716" t="s">
        <v>20</v>
      </c>
      <c r="G3716" s="10" t="s">
        <v>21</v>
      </c>
      <c r="H3716" t="str">
        <f>"1063-779"</f>
        <v>1063-779</v>
      </c>
      <c r="I3716" t="str">
        <f>"POLLUTION CONTROL SERVICES"</f>
        <v>POLLUTION CONTROL SERVICES</v>
      </c>
    </row>
    <row r="3717" spans="1:9" x14ac:dyDescent="0.25">
      <c r="E3717" s="7"/>
      <c r="F3717" t="s">
        <v>20</v>
      </c>
      <c r="G3717" s="10" t="s">
        <v>21</v>
      </c>
      <c r="H3717" t="str">
        <f>"1063-780"</f>
        <v>1063-780</v>
      </c>
      <c r="I3717" t="str">
        <f>"POLLUTION CONTROL SERVICES"</f>
        <v>POLLUTION CONTROL SERVICES</v>
      </c>
    </row>
    <row r="3718" spans="1:9" x14ac:dyDescent="0.25">
      <c r="A3718" s="6">
        <v>44397</v>
      </c>
      <c r="B3718" t="s">
        <v>26</v>
      </c>
      <c r="C3718">
        <v>67196</v>
      </c>
      <c r="D3718" t="s">
        <v>510</v>
      </c>
      <c r="E3718" s="7">
        <v>541.82000000000005</v>
      </c>
      <c r="F3718" t="s">
        <v>20</v>
      </c>
      <c r="G3718" s="10" t="s">
        <v>21</v>
      </c>
      <c r="H3718" t="str">
        <f>"06772771"</f>
        <v>06772771</v>
      </c>
      <c r="I3718" t="str">
        <f>"NATIONAL NIGHT OUT"</f>
        <v>NATIONAL NIGHT OUT</v>
      </c>
    </row>
    <row r="3719" spans="1:9" x14ac:dyDescent="0.25">
      <c r="A3719" s="6">
        <v>44397</v>
      </c>
      <c r="B3719" t="s">
        <v>26</v>
      </c>
      <c r="C3719">
        <v>67197</v>
      </c>
      <c r="D3719" t="s">
        <v>528</v>
      </c>
      <c r="E3719" s="7">
        <v>499.42</v>
      </c>
      <c r="F3719" t="s">
        <v>20</v>
      </c>
      <c r="G3719" s="10" t="s">
        <v>21</v>
      </c>
      <c r="H3719" t="str">
        <f>"10616960"</f>
        <v>10616960</v>
      </c>
      <c r="I3719" t="str">
        <f>"PROSTAR SERVICES INC"</f>
        <v>PROSTAR SERVICES INC</v>
      </c>
    </row>
    <row r="3720" spans="1:9" x14ac:dyDescent="0.25">
      <c r="A3720" s="6">
        <v>44397</v>
      </c>
      <c r="B3720" t="s">
        <v>26</v>
      </c>
      <c r="C3720">
        <v>67198</v>
      </c>
      <c r="D3720" t="s">
        <v>975</v>
      </c>
      <c r="E3720" s="7">
        <v>341.58</v>
      </c>
      <c r="F3720" t="s">
        <v>20</v>
      </c>
      <c r="G3720" s="10" t="s">
        <v>21</v>
      </c>
      <c r="H3720" t="str">
        <f>"P85285"</f>
        <v>P85285</v>
      </c>
      <c r="I3720" t="str">
        <f>"LAWN MOWER - PARKS"</f>
        <v>LAWN MOWER - PARKS</v>
      </c>
    </row>
    <row r="3721" spans="1:9" x14ac:dyDescent="0.25">
      <c r="E3721" s="7"/>
      <c r="F3721" t="s">
        <v>20</v>
      </c>
      <c r="G3721" s="10" t="s">
        <v>21</v>
      </c>
      <c r="H3721" t="str">
        <f>"P85312"</f>
        <v>P85312</v>
      </c>
      <c r="I3721" t="str">
        <f>"SPINDLE"</f>
        <v>SPINDLE</v>
      </c>
    </row>
    <row r="3722" spans="1:9" x14ac:dyDescent="0.25">
      <c r="E3722" s="7"/>
      <c r="F3722" t="s">
        <v>20</v>
      </c>
      <c r="G3722" s="10" t="s">
        <v>21</v>
      </c>
      <c r="H3722" t="str">
        <f>"P85389"</f>
        <v>P85389</v>
      </c>
      <c r="I3722" t="str">
        <f>"BLADES"</f>
        <v>BLADES</v>
      </c>
    </row>
    <row r="3723" spans="1:9" x14ac:dyDescent="0.25">
      <c r="A3723" s="6">
        <v>44397</v>
      </c>
      <c r="B3723" t="s">
        <v>26</v>
      </c>
      <c r="C3723">
        <v>67199</v>
      </c>
      <c r="D3723" t="s">
        <v>31</v>
      </c>
      <c r="E3723" s="7">
        <v>4040</v>
      </c>
      <c r="F3723" t="s">
        <v>20</v>
      </c>
      <c r="G3723" s="10" t="s">
        <v>21</v>
      </c>
      <c r="H3723" t="str">
        <f>"2021269"</f>
        <v>2021269</v>
      </c>
      <c r="I3723" t="str">
        <f>"THE LAW OFFICE OF TOM CALDWELL"</f>
        <v>THE LAW OFFICE OF TOM CALDWELL</v>
      </c>
    </row>
    <row r="3724" spans="1:9" x14ac:dyDescent="0.25">
      <c r="A3724" s="6">
        <v>44397</v>
      </c>
      <c r="B3724" t="s">
        <v>26</v>
      </c>
      <c r="C3724">
        <v>67200</v>
      </c>
      <c r="D3724" t="s">
        <v>568</v>
      </c>
      <c r="E3724" s="7">
        <v>540.08000000000004</v>
      </c>
      <c r="F3724" t="s">
        <v>20</v>
      </c>
      <c r="G3724" s="10" t="s">
        <v>21</v>
      </c>
      <c r="H3724" t="str">
        <f>"21334382"</f>
        <v>21334382</v>
      </c>
      <c r="I3724" t="str">
        <f>"TIRES FOR UNIT 329"</f>
        <v>TIRES FOR UNIT 329</v>
      </c>
    </row>
    <row r="3725" spans="1:9" x14ac:dyDescent="0.25">
      <c r="A3725" s="6">
        <v>44397</v>
      </c>
      <c r="B3725" t="s">
        <v>26</v>
      </c>
      <c r="C3725">
        <v>67201</v>
      </c>
      <c r="D3725" t="s">
        <v>61</v>
      </c>
      <c r="E3725" s="7">
        <v>1107.8</v>
      </c>
      <c r="F3725" t="s">
        <v>20</v>
      </c>
      <c r="G3725" s="10" t="s">
        <v>21</v>
      </c>
      <c r="H3725" t="str">
        <f>"025-339856"</f>
        <v>025-339856</v>
      </c>
      <c r="I3725" t="str">
        <f>"TYLER TECHNOLOGIES  INC."</f>
        <v>TYLER TECHNOLOGIES  INC.</v>
      </c>
    </row>
    <row r="3726" spans="1:9" x14ac:dyDescent="0.25">
      <c r="E3726" s="7"/>
      <c r="F3726" t="s">
        <v>20</v>
      </c>
      <c r="G3726" s="10" t="s">
        <v>21</v>
      </c>
      <c r="H3726" t="str">
        <f>"025-340416"</f>
        <v>025-340416</v>
      </c>
      <c r="I3726" t="str">
        <f>"TYLER TECHNOLOGIES  INC."</f>
        <v>TYLER TECHNOLOGIES  INC.</v>
      </c>
    </row>
    <row r="3727" spans="1:9" x14ac:dyDescent="0.25">
      <c r="A3727" s="6">
        <v>44397</v>
      </c>
      <c r="B3727" t="s">
        <v>26</v>
      </c>
      <c r="C3727">
        <v>67202</v>
      </c>
      <c r="D3727" t="s">
        <v>644</v>
      </c>
      <c r="E3727" s="7">
        <v>923.25</v>
      </c>
      <c r="F3727" t="s">
        <v>20</v>
      </c>
      <c r="G3727" s="10" t="s">
        <v>21</v>
      </c>
      <c r="H3727" t="str">
        <f>"8213614322"</f>
        <v>8213614322</v>
      </c>
      <c r="I3727" t="str">
        <f t="shared" ref="I3727:I3738" si="81">"UNIFIRST CORPORATION"</f>
        <v>UNIFIRST CORPORATION</v>
      </c>
    </row>
    <row r="3728" spans="1:9" x14ac:dyDescent="0.25">
      <c r="E3728" s="7"/>
      <c r="F3728" t="s">
        <v>20</v>
      </c>
      <c r="G3728" s="10" t="s">
        <v>21</v>
      </c>
      <c r="H3728" t="str">
        <f>"8213614323"</f>
        <v>8213614323</v>
      </c>
      <c r="I3728" t="str">
        <f t="shared" si="81"/>
        <v>UNIFIRST CORPORATION</v>
      </c>
    </row>
    <row r="3729" spans="1:9" x14ac:dyDescent="0.25">
      <c r="E3729" s="7"/>
      <c r="F3729" t="s">
        <v>20</v>
      </c>
      <c r="G3729" s="10" t="s">
        <v>21</v>
      </c>
      <c r="H3729" t="str">
        <f>"8213614324"</f>
        <v>8213614324</v>
      </c>
      <c r="I3729" t="str">
        <f t="shared" si="81"/>
        <v>UNIFIRST CORPORATION</v>
      </c>
    </row>
    <row r="3730" spans="1:9" x14ac:dyDescent="0.25">
      <c r="E3730" s="7"/>
      <c r="F3730" t="s">
        <v>20</v>
      </c>
      <c r="G3730" s="10" t="s">
        <v>21</v>
      </c>
      <c r="H3730" t="str">
        <f>"8213614325"</f>
        <v>8213614325</v>
      </c>
      <c r="I3730" t="str">
        <f t="shared" si="81"/>
        <v>UNIFIRST CORPORATION</v>
      </c>
    </row>
    <row r="3731" spans="1:9" x14ac:dyDescent="0.25">
      <c r="E3731" s="7"/>
      <c r="F3731" t="s">
        <v>20</v>
      </c>
      <c r="G3731" s="10" t="s">
        <v>21</v>
      </c>
      <c r="H3731" t="str">
        <f>"8213614327"</f>
        <v>8213614327</v>
      </c>
      <c r="I3731" t="str">
        <f t="shared" si="81"/>
        <v>UNIFIRST CORPORATION</v>
      </c>
    </row>
    <row r="3732" spans="1:9" x14ac:dyDescent="0.25">
      <c r="E3732" s="7"/>
      <c r="F3732" t="s">
        <v>20</v>
      </c>
      <c r="G3732" s="10" t="s">
        <v>21</v>
      </c>
      <c r="H3732" t="str">
        <f>"8213614328"</f>
        <v>8213614328</v>
      </c>
      <c r="I3732" t="str">
        <f t="shared" si="81"/>
        <v>UNIFIRST CORPORATION</v>
      </c>
    </row>
    <row r="3733" spans="1:9" x14ac:dyDescent="0.25">
      <c r="E3733" s="7"/>
      <c r="F3733" t="s">
        <v>20</v>
      </c>
      <c r="G3733" s="10" t="s">
        <v>21</v>
      </c>
      <c r="H3733" t="str">
        <f>"8213616815"</f>
        <v>8213616815</v>
      </c>
      <c r="I3733" t="str">
        <f t="shared" si="81"/>
        <v>UNIFIRST CORPORATION</v>
      </c>
    </row>
    <row r="3734" spans="1:9" x14ac:dyDescent="0.25">
      <c r="E3734" s="7"/>
      <c r="F3734" t="s">
        <v>20</v>
      </c>
      <c r="G3734" s="10" t="s">
        <v>21</v>
      </c>
      <c r="H3734" t="str">
        <f>"8213616816"</f>
        <v>8213616816</v>
      </c>
      <c r="I3734" t="str">
        <f t="shared" si="81"/>
        <v>UNIFIRST CORPORATION</v>
      </c>
    </row>
    <row r="3735" spans="1:9" x14ac:dyDescent="0.25">
      <c r="E3735" s="7"/>
      <c r="F3735" t="s">
        <v>20</v>
      </c>
      <c r="G3735" s="10" t="s">
        <v>21</v>
      </c>
      <c r="H3735" t="str">
        <f>"8213616817"</f>
        <v>8213616817</v>
      </c>
      <c r="I3735" t="str">
        <f t="shared" si="81"/>
        <v>UNIFIRST CORPORATION</v>
      </c>
    </row>
    <row r="3736" spans="1:9" x14ac:dyDescent="0.25">
      <c r="E3736" s="7"/>
      <c r="F3736" t="s">
        <v>20</v>
      </c>
      <c r="G3736" s="10" t="s">
        <v>21</v>
      </c>
      <c r="H3736" t="str">
        <f>"8213616818"</f>
        <v>8213616818</v>
      </c>
      <c r="I3736" t="str">
        <f t="shared" si="81"/>
        <v>UNIFIRST CORPORATION</v>
      </c>
    </row>
    <row r="3737" spans="1:9" x14ac:dyDescent="0.25">
      <c r="E3737" s="7"/>
      <c r="F3737" t="s">
        <v>20</v>
      </c>
      <c r="G3737" s="10" t="s">
        <v>21</v>
      </c>
      <c r="H3737" t="str">
        <f>"8213616820"</f>
        <v>8213616820</v>
      </c>
      <c r="I3737" t="str">
        <f t="shared" si="81"/>
        <v>UNIFIRST CORPORATION</v>
      </c>
    </row>
    <row r="3738" spans="1:9" x14ac:dyDescent="0.25">
      <c r="E3738" s="7"/>
      <c r="F3738" t="s">
        <v>20</v>
      </c>
      <c r="G3738" s="10" t="s">
        <v>21</v>
      </c>
      <c r="H3738" t="str">
        <f>"8213616821"</f>
        <v>8213616821</v>
      </c>
      <c r="I3738" t="str">
        <f t="shared" si="81"/>
        <v>UNIFIRST CORPORATION</v>
      </c>
    </row>
    <row r="3739" spans="1:9" x14ac:dyDescent="0.25">
      <c r="A3739" s="6">
        <v>44397</v>
      </c>
      <c r="B3739" t="s">
        <v>26</v>
      </c>
      <c r="C3739">
        <v>67205</v>
      </c>
      <c r="D3739" t="s">
        <v>729</v>
      </c>
      <c r="E3739" s="7">
        <v>54.95</v>
      </c>
      <c r="F3739" t="s">
        <v>20</v>
      </c>
      <c r="G3739" s="10" t="s">
        <v>21</v>
      </c>
      <c r="H3739" t="str">
        <f>"P41146"</f>
        <v>P41146</v>
      </c>
      <c r="I3739" t="str">
        <f>"VERMEER EQUIPMENT OF TEXAS"</f>
        <v>VERMEER EQUIPMENT OF TEXAS</v>
      </c>
    </row>
    <row r="3740" spans="1:9" x14ac:dyDescent="0.25">
      <c r="A3740" s="6">
        <v>44397</v>
      </c>
      <c r="B3740" t="s">
        <v>26</v>
      </c>
      <c r="C3740">
        <v>67206</v>
      </c>
      <c r="D3740" t="s">
        <v>122</v>
      </c>
      <c r="E3740" s="7">
        <v>85</v>
      </c>
      <c r="F3740" t="s">
        <v>20</v>
      </c>
      <c r="G3740" s="10" t="s">
        <v>21</v>
      </c>
      <c r="H3740" t="str">
        <f>"923468"</f>
        <v>923468</v>
      </c>
      <c r="I3740" t="str">
        <f>"VILLA TIRES"</f>
        <v>VILLA TIRES</v>
      </c>
    </row>
    <row r="3741" spans="1:9" x14ac:dyDescent="0.25">
      <c r="E3741" s="7"/>
      <c r="F3741" t="s">
        <v>20</v>
      </c>
      <c r="G3741" s="10" t="s">
        <v>21</v>
      </c>
      <c r="H3741" t="str">
        <f>"923473"</f>
        <v>923473</v>
      </c>
      <c r="I3741" t="str">
        <f>"VILLA TIRES"</f>
        <v>VILLA TIRES</v>
      </c>
    </row>
    <row r="3742" spans="1:9" x14ac:dyDescent="0.25">
      <c r="A3742" s="6">
        <v>44397</v>
      </c>
      <c r="B3742" t="s">
        <v>26</v>
      </c>
      <c r="C3742">
        <v>67207</v>
      </c>
      <c r="D3742" t="s">
        <v>202</v>
      </c>
      <c r="E3742" s="7">
        <v>469.58</v>
      </c>
      <c r="F3742" t="s">
        <v>20</v>
      </c>
      <c r="G3742" s="10" t="s">
        <v>21</v>
      </c>
      <c r="H3742" t="str">
        <f>"62319654"</f>
        <v>62319654</v>
      </c>
      <c r="I3742" t="str">
        <f>"A-2 BASE AND COLD MIX"</f>
        <v>A-2 BASE AND COLD MIX</v>
      </c>
    </row>
    <row r="3743" spans="1:9" x14ac:dyDescent="0.25">
      <c r="A3743" s="6">
        <v>44397</v>
      </c>
      <c r="B3743" t="s">
        <v>26</v>
      </c>
      <c r="C3743">
        <v>67208</v>
      </c>
      <c r="D3743" t="s">
        <v>104</v>
      </c>
      <c r="E3743" s="7">
        <v>495</v>
      </c>
      <c r="F3743" t="s">
        <v>20</v>
      </c>
      <c r="G3743" s="10" t="s">
        <v>21</v>
      </c>
      <c r="H3743" t="str">
        <f>"15970"</f>
        <v>15970</v>
      </c>
      <c r="I3743" t="str">
        <f>"WILSON COUNTY NEWS"</f>
        <v>WILSON COUNTY NEWS</v>
      </c>
    </row>
    <row r="3744" spans="1:9" x14ac:dyDescent="0.25">
      <c r="E3744" s="7"/>
      <c r="F3744" t="s">
        <v>20</v>
      </c>
      <c r="G3744" s="10" t="s">
        <v>21</v>
      </c>
      <c r="H3744" t="str">
        <f>"17739"</f>
        <v>17739</v>
      </c>
      <c r="I3744" t="str">
        <f>"WILSON COUNTY NEWS"</f>
        <v>WILSON COUNTY NEWS</v>
      </c>
    </row>
    <row r="3745" spans="1:9" x14ac:dyDescent="0.25">
      <c r="A3745" s="6">
        <v>44397</v>
      </c>
      <c r="B3745" t="s">
        <v>26</v>
      </c>
      <c r="C3745">
        <v>67209</v>
      </c>
      <c r="D3745" t="s">
        <v>1076</v>
      </c>
      <c r="E3745" s="7">
        <v>125</v>
      </c>
      <c r="F3745" t="s">
        <v>20</v>
      </c>
      <c r="G3745" s="10" t="s">
        <v>21</v>
      </c>
      <c r="H3745" t="str">
        <f>"POOL RFND 7/2021"</f>
        <v>POOL RFND 7/2021</v>
      </c>
      <c r="I3745" t="str">
        <f>"REFUND"</f>
        <v>REFUND</v>
      </c>
    </row>
    <row r="3746" spans="1:9" x14ac:dyDescent="0.25">
      <c r="A3746" s="6">
        <v>44397</v>
      </c>
      <c r="B3746" t="s">
        <v>26</v>
      </c>
      <c r="C3746">
        <v>67210</v>
      </c>
      <c r="D3746" t="s">
        <v>84</v>
      </c>
      <c r="E3746" s="7">
        <v>8308</v>
      </c>
      <c r="F3746" t="s">
        <v>20</v>
      </c>
      <c r="G3746" s="10" t="s">
        <v>21</v>
      </c>
      <c r="H3746" t="str">
        <f>"1805793"</f>
        <v>1805793</v>
      </c>
      <c r="I3746" t="str">
        <f>"STANTEC CONSULTING SERVICES IN"</f>
        <v>STANTEC CONSULTING SERVICES IN</v>
      </c>
    </row>
    <row r="3747" spans="1:9" x14ac:dyDescent="0.25">
      <c r="E3747" s="7"/>
      <c r="F3747" t="s">
        <v>20</v>
      </c>
      <c r="G3747" s="10" t="s">
        <v>21</v>
      </c>
      <c r="H3747" t="str">
        <f>"1805794"</f>
        <v>1805794</v>
      </c>
      <c r="I3747" t="str">
        <f>"STANTEC CONSULTING SERVICES IN"</f>
        <v>STANTEC CONSULTING SERVICES IN</v>
      </c>
    </row>
    <row r="3748" spans="1:9" x14ac:dyDescent="0.25">
      <c r="E3748" s="7"/>
      <c r="F3748" t="s">
        <v>20</v>
      </c>
      <c r="G3748" s="10" t="s">
        <v>21</v>
      </c>
      <c r="H3748" t="str">
        <f>"1805795"</f>
        <v>1805795</v>
      </c>
      <c r="I3748" t="str">
        <f>"STANTEC CONSULTING SERVICES IN"</f>
        <v>STANTEC CONSULTING SERVICES IN</v>
      </c>
    </row>
    <row r="3749" spans="1:9" x14ac:dyDescent="0.25">
      <c r="E3749" s="7"/>
      <c r="F3749" t="s">
        <v>20</v>
      </c>
      <c r="G3749" s="10" t="s">
        <v>21</v>
      </c>
      <c r="H3749" t="str">
        <f>"1805796"</f>
        <v>1805796</v>
      </c>
      <c r="I3749" t="str">
        <f>"STANTEC CONSULTING SERVICES IN"</f>
        <v>STANTEC CONSULTING SERVICES IN</v>
      </c>
    </row>
    <row r="3750" spans="1:9" x14ac:dyDescent="0.25">
      <c r="A3750" s="6">
        <v>44397</v>
      </c>
      <c r="B3750" t="s">
        <v>26</v>
      </c>
      <c r="C3750">
        <v>67211</v>
      </c>
      <c r="D3750" t="s">
        <v>102</v>
      </c>
      <c r="E3750" s="7">
        <v>118.73</v>
      </c>
      <c r="F3750" t="s">
        <v>20</v>
      </c>
      <c r="G3750" s="10" t="s">
        <v>21</v>
      </c>
      <c r="H3750" t="str">
        <f>"1120 D.ST JUNE2021"</f>
        <v>1120 D.ST JUNE2021</v>
      </c>
      <c r="I3750" t="str">
        <f>"CENTERPOINT ENERGY ENTEX"</f>
        <v>CENTERPOINT ENERGY ENTEX</v>
      </c>
    </row>
    <row r="3751" spans="1:9" x14ac:dyDescent="0.25">
      <c r="E3751" s="7"/>
      <c r="F3751" t="s">
        <v>20</v>
      </c>
      <c r="G3751" s="10" t="s">
        <v>21</v>
      </c>
      <c r="H3751" t="str">
        <f>"1200 1ST JUNE2021"</f>
        <v>1200 1ST JUNE2021</v>
      </c>
      <c r="I3751" t="str">
        <f>"CENTERPOINT ENERGY ENTEX"</f>
        <v>CENTERPOINT ENERGY ENTEX</v>
      </c>
    </row>
    <row r="3752" spans="1:9" x14ac:dyDescent="0.25">
      <c r="E3752" s="7"/>
      <c r="F3752" t="s">
        <v>20</v>
      </c>
      <c r="G3752" s="10" t="s">
        <v>21</v>
      </c>
      <c r="H3752" t="str">
        <f>"920 C ST JUNE2021"</f>
        <v>920 C ST JUNE2021</v>
      </c>
      <c r="I3752" t="str">
        <f>"CENTERPOINT ENERGY ENTEX"</f>
        <v>CENTERPOINT ENERGY ENTEX</v>
      </c>
    </row>
    <row r="3753" spans="1:9" x14ac:dyDescent="0.25">
      <c r="A3753" s="6">
        <v>44397</v>
      </c>
      <c r="B3753" t="s">
        <v>26</v>
      </c>
      <c r="C3753">
        <v>67212</v>
      </c>
      <c r="D3753" t="s">
        <v>63</v>
      </c>
      <c r="E3753" s="7">
        <v>911.17</v>
      </c>
      <c r="F3753" t="s">
        <v>20</v>
      </c>
      <c r="G3753" s="10" t="s">
        <v>21</v>
      </c>
      <c r="H3753" t="str">
        <f>"8405214804"</f>
        <v>8405214804</v>
      </c>
      <c r="I3753" t="str">
        <f>"CINTAS CORPORATION"</f>
        <v>CINTAS CORPORATION</v>
      </c>
    </row>
    <row r="3754" spans="1:9" x14ac:dyDescent="0.25">
      <c r="E3754" s="7"/>
      <c r="F3754" t="s">
        <v>20</v>
      </c>
      <c r="G3754" s="10" t="s">
        <v>21</v>
      </c>
      <c r="H3754" t="str">
        <f>"8405224658"</f>
        <v>8405224658</v>
      </c>
      <c r="I3754" t="str">
        <f>"CINTAS CORPORATION"</f>
        <v>CINTAS CORPORATION</v>
      </c>
    </row>
    <row r="3755" spans="1:9" x14ac:dyDescent="0.25">
      <c r="A3755" s="6">
        <v>44397</v>
      </c>
      <c r="B3755" t="s">
        <v>26</v>
      </c>
      <c r="C3755">
        <v>67213</v>
      </c>
      <c r="D3755" t="s">
        <v>71</v>
      </c>
      <c r="E3755" s="7">
        <v>3135.88</v>
      </c>
      <c r="F3755" t="s">
        <v>20</v>
      </c>
      <c r="G3755" s="10" t="s">
        <v>21</v>
      </c>
      <c r="H3755" t="str">
        <f>"4089140330"</f>
        <v>4089140330</v>
      </c>
      <c r="I3755" t="str">
        <f t="shared" ref="I3755:I3769" si="82">"CINTAS CORPORATION #087"</f>
        <v>CINTAS CORPORATION #087</v>
      </c>
    </row>
    <row r="3756" spans="1:9" x14ac:dyDescent="0.25">
      <c r="E3756" s="7"/>
      <c r="F3756" t="s">
        <v>20</v>
      </c>
      <c r="G3756" s="10" t="s">
        <v>21</v>
      </c>
      <c r="H3756" t="str">
        <f>"4089140331"</f>
        <v>4089140331</v>
      </c>
      <c r="I3756" t="str">
        <f t="shared" si="82"/>
        <v>CINTAS CORPORATION #087</v>
      </c>
    </row>
    <row r="3757" spans="1:9" x14ac:dyDescent="0.25">
      <c r="E3757" s="7"/>
      <c r="F3757" t="s">
        <v>20</v>
      </c>
      <c r="G3757" s="10" t="s">
        <v>21</v>
      </c>
      <c r="H3757" t="str">
        <f>"4089140349"</f>
        <v>4089140349</v>
      </c>
      <c r="I3757" t="str">
        <f t="shared" si="82"/>
        <v>CINTAS CORPORATION #087</v>
      </c>
    </row>
    <row r="3758" spans="1:9" x14ac:dyDescent="0.25">
      <c r="E3758" s="7"/>
      <c r="F3758" t="s">
        <v>20</v>
      </c>
      <c r="G3758" s="10" t="s">
        <v>21</v>
      </c>
      <c r="H3758" t="str">
        <f>"4089140380"</f>
        <v>4089140380</v>
      </c>
      <c r="I3758" t="str">
        <f t="shared" si="82"/>
        <v>CINTAS CORPORATION #087</v>
      </c>
    </row>
    <row r="3759" spans="1:9" x14ac:dyDescent="0.25">
      <c r="E3759" s="7"/>
      <c r="F3759" t="s">
        <v>20</v>
      </c>
      <c r="G3759" s="10" t="s">
        <v>21</v>
      </c>
      <c r="H3759" t="str">
        <f>"4089140423"</f>
        <v>4089140423</v>
      </c>
      <c r="I3759" t="str">
        <f t="shared" si="82"/>
        <v>CINTAS CORPORATION #087</v>
      </c>
    </row>
    <row r="3760" spans="1:9" x14ac:dyDescent="0.25">
      <c r="E3760" s="7"/>
      <c r="F3760" t="s">
        <v>20</v>
      </c>
      <c r="G3760" s="10" t="s">
        <v>21</v>
      </c>
      <c r="H3760" t="str">
        <f>"4089140426"</f>
        <v>4089140426</v>
      </c>
      <c r="I3760" t="str">
        <f t="shared" si="82"/>
        <v>CINTAS CORPORATION #087</v>
      </c>
    </row>
    <row r="3761" spans="1:9" x14ac:dyDescent="0.25">
      <c r="E3761" s="7"/>
      <c r="F3761" t="s">
        <v>20</v>
      </c>
      <c r="G3761" s="10" t="s">
        <v>21</v>
      </c>
      <c r="H3761" t="str">
        <f>"4089751511"</f>
        <v>4089751511</v>
      </c>
      <c r="I3761" t="str">
        <f t="shared" si="82"/>
        <v>CINTAS CORPORATION #087</v>
      </c>
    </row>
    <row r="3762" spans="1:9" x14ac:dyDescent="0.25">
      <c r="E3762" s="7"/>
      <c r="F3762" t="s">
        <v>20</v>
      </c>
      <c r="G3762" s="10" t="s">
        <v>21</v>
      </c>
      <c r="H3762" t="str">
        <f>"4089751527"</f>
        <v>4089751527</v>
      </c>
      <c r="I3762" t="str">
        <f t="shared" si="82"/>
        <v>CINTAS CORPORATION #087</v>
      </c>
    </row>
    <row r="3763" spans="1:9" x14ac:dyDescent="0.25">
      <c r="E3763" s="7"/>
      <c r="F3763" t="s">
        <v>20</v>
      </c>
      <c r="G3763" s="10" t="s">
        <v>21</v>
      </c>
      <c r="H3763" t="str">
        <f>"4089751534"</f>
        <v>4089751534</v>
      </c>
      <c r="I3763" t="str">
        <f t="shared" si="82"/>
        <v>CINTAS CORPORATION #087</v>
      </c>
    </row>
    <row r="3764" spans="1:9" x14ac:dyDescent="0.25">
      <c r="E3764" s="7"/>
      <c r="F3764" t="s">
        <v>20</v>
      </c>
      <c r="G3764" s="10" t="s">
        <v>21</v>
      </c>
      <c r="H3764" t="str">
        <f>"4089751535"</f>
        <v>4089751535</v>
      </c>
      <c r="I3764" t="str">
        <f t="shared" si="82"/>
        <v>CINTAS CORPORATION #087</v>
      </c>
    </row>
    <row r="3765" spans="1:9" x14ac:dyDescent="0.25">
      <c r="E3765" s="7"/>
      <c r="F3765" t="s">
        <v>20</v>
      </c>
      <c r="G3765" s="10" t="s">
        <v>21</v>
      </c>
      <c r="H3765" t="str">
        <f>"4089751544"</f>
        <v>4089751544</v>
      </c>
      <c r="I3765" t="str">
        <f t="shared" si="82"/>
        <v>CINTAS CORPORATION #087</v>
      </c>
    </row>
    <row r="3766" spans="1:9" x14ac:dyDescent="0.25">
      <c r="E3766" s="7"/>
      <c r="F3766" t="s">
        <v>20</v>
      </c>
      <c r="G3766" s="10" t="s">
        <v>21</v>
      </c>
      <c r="H3766" t="str">
        <f>"4089751582"</f>
        <v>4089751582</v>
      </c>
      <c r="I3766" t="str">
        <f t="shared" si="82"/>
        <v>CINTAS CORPORATION #087</v>
      </c>
    </row>
    <row r="3767" spans="1:9" x14ac:dyDescent="0.25">
      <c r="E3767" s="7"/>
      <c r="F3767" t="s">
        <v>20</v>
      </c>
      <c r="G3767" s="10" t="s">
        <v>21</v>
      </c>
      <c r="H3767" t="str">
        <f>"4089752219"</f>
        <v>4089752219</v>
      </c>
      <c r="I3767" t="str">
        <f t="shared" si="82"/>
        <v>CINTAS CORPORATION #087</v>
      </c>
    </row>
    <row r="3768" spans="1:9" x14ac:dyDescent="0.25">
      <c r="E3768" s="7"/>
      <c r="F3768" t="s">
        <v>20</v>
      </c>
      <c r="G3768" s="10" t="s">
        <v>21</v>
      </c>
      <c r="H3768" t="str">
        <f>"4089752287"</f>
        <v>4089752287</v>
      </c>
      <c r="I3768" t="str">
        <f t="shared" si="82"/>
        <v>CINTAS CORPORATION #087</v>
      </c>
    </row>
    <row r="3769" spans="1:9" x14ac:dyDescent="0.25">
      <c r="E3769" s="7"/>
      <c r="F3769" t="s">
        <v>20</v>
      </c>
      <c r="G3769" s="10" t="s">
        <v>21</v>
      </c>
      <c r="H3769" t="str">
        <f>"4089752356"</f>
        <v>4089752356</v>
      </c>
      <c r="I3769" t="str">
        <f t="shared" si="82"/>
        <v>CINTAS CORPORATION #087</v>
      </c>
    </row>
    <row r="3770" spans="1:9" x14ac:dyDescent="0.25">
      <c r="A3770" s="6">
        <v>44397</v>
      </c>
      <c r="B3770" t="s">
        <v>26</v>
      </c>
      <c r="C3770">
        <v>67217</v>
      </c>
      <c r="D3770" t="s">
        <v>139</v>
      </c>
      <c r="E3770" s="7">
        <v>65</v>
      </c>
      <c r="F3770" t="s">
        <v>20</v>
      </c>
      <c r="G3770" s="10" t="s">
        <v>21</v>
      </c>
      <c r="H3770" t="str">
        <f>"32617"</f>
        <v>32617</v>
      </c>
      <c r="I3770" t="str">
        <f>"ANGEL FIRE &amp; SAFETY"</f>
        <v>ANGEL FIRE &amp; SAFETY</v>
      </c>
    </row>
    <row r="3771" spans="1:9" x14ac:dyDescent="0.25">
      <c r="A3771" s="6">
        <v>44398</v>
      </c>
      <c r="B3771" t="s">
        <v>26</v>
      </c>
      <c r="C3771">
        <v>67218</v>
      </c>
      <c r="D3771" t="s">
        <v>569</v>
      </c>
      <c r="E3771" s="7">
        <v>1858.89</v>
      </c>
      <c r="F3771" t="s">
        <v>20</v>
      </c>
      <c r="G3771" s="10" t="s">
        <v>21</v>
      </c>
      <c r="H3771" t="str">
        <f>"WS21050"</f>
        <v>WS21050</v>
      </c>
      <c r="I3771" t="str">
        <f>"DURAPATCHER REPAIR"</f>
        <v>DURAPATCHER REPAIR</v>
      </c>
    </row>
    <row r="3772" spans="1:9" x14ac:dyDescent="0.25">
      <c r="A3772" s="6">
        <v>44398</v>
      </c>
      <c r="B3772" t="s">
        <v>91</v>
      </c>
      <c r="C3772">
        <v>67219</v>
      </c>
      <c r="D3772" t="s">
        <v>480</v>
      </c>
      <c r="E3772" s="7">
        <v>216.96</v>
      </c>
      <c r="F3772" t="s">
        <v>20</v>
      </c>
      <c r="G3772" s="10" t="s">
        <v>21</v>
      </c>
      <c r="H3772" t="str">
        <f>"REMINSTMT 6/25/21"</f>
        <v>REMINSTMT 6/25/21</v>
      </c>
      <c r="I3772" t="str">
        <f>"JESSE EVINS"</f>
        <v>JESSE EVINS</v>
      </c>
    </row>
    <row r="3773" spans="1:9" x14ac:dyDescent="0.25">
      <c r="A3773" s="6">
        <v>44398</v>
      </c>
      <c r="B3773" t="s">
        <v>91</v>
      </c>
      <c r="C3773">
        <v>67219</v>
      </c>
      <c r="D3773" t="s">
        <v>480</v>
      </c>
      <c r="E3773" s="7">
        <v>216.96</v>
      </c>
      <c r="F3773" t="s">
        <v>20</v>
      </c>
      <c r="G3773" s="10" t="s">
        <v>93</v>
      </c>
      <c r="H3773" t="str">
        <f>"CHECK"</f>
        <v>CHECK</v>
      </c>
      <c r="I3773" t="str">
        <f>""</f>
        <v/>
      </c>
    </row>
    <row r="3774" spans="1:9" x14ac:dyDescent="0.25">
      <c r="A3774" s="6">
        <v>44398</v>
      </c>
      <c r="B3774" t="s">
        <v>26</v>
      </c>
      <c r="C3774">
        <v>67220</v>
      </c>
      <c r="D3774" t="s">
        <v>254</v>
      </c>
      <c r="E3774" s="7">
        <v>1880.03</v>
      </c>
      <c r="F3774" t="s">
        <v>20</v>
      </c>
      <c r="G3774" s="10" t="s">
        <v>21</v>
      </c>
      <c r="H3774" t="str">
        <f>"QRT END 3/31/2021"</f>
        <v>QRT END 3/31/2021</v>
      </c>
      <c r="I3774" t="str">
        <f>"TEXAS WORKFORCE COMMISSION"</f>
        <v>TEXAS WORKFORCE COMMISSION</v>
      </c>
    </row>
    <row r="3775" spans="1:9" x14ac:dyDescent="0.25">
      <c r="A3775" s="6">
        <v>44398</v>
      </c>
      <c r="B3775" t="s">
        <v>26</v>
      </c>
      <c r="C3775">
        <v>67221</v>
      </c>
      <c r="D3775" t="s">
        <v>1077</v>
      </c>
      <c r="E3775" s="7">
        <v>80</v>
      </c>
      <c r="F3775" t="s">
        <v>20</v>
      </c>
      <c r="G3775" s="10" t="s">
        <v>21</v>
      </c>
      <c r="H3775" t="str">
        <f>"07/17/2021"</f>
        <v>07/17/2021</v>
      </c>
      <c r="I3775" t="str">
        <f>"JENNA WESTON"</f>
        <v>JENNA WESTON</v>
      </c>
    </row>
    <row r="3776" spans="1:9" x14ac:dyDescent="0.25">
      <c r="A3776" s="6">
        <v>44399</v>
      </c>
      <c r="B3776" t="s">
        <v>91</v>
      </c>
      <c r="C3776">
        <v>67222</v>
      </c>
      <c r="D3776" t="s">
        <v>1078</v>
      </c>
      <c r="E3776" s="7">
        <v>7500</v>
      </c>
      <c r="F3776" t="s">
        <v>20</v>
      </c>
      <c r="G3776" s="10" t="s">
        <v>21</v>
      </c>
      <c r="H3776" t="str">
        <f>"FACADE GRNT 7/2021"</f>
        <v>FACADE GRNT 7/2021</v>
      </c>
      <c r="I3776" t="str">
        <f>"MATA'S CAFE"</f>
        <v>MATA'S CAFE</v>
      </c>
    </row>
    <row r="3777" spans="1:9" x14ac:dyDescent="0.25">
      <c r="A3777" s="6">
        <v>44399</v>
      </c>
      <c r="B3777" t="s">
        <v>91</v>
      </c>
      <c r="C3777">
        <v>67222</v>
      </c>
      <c r="D3777" t="s">
        <v>1078</v>
      </c>
      <c r="E3777" s="7">
        <v>7500</v>
      </c>
      <c r="F3777" t="s">
        <v>20</v>
      </c>
      <c r="G3777" s="10" t="s">
        <v>93</v>
      </c>
      <c r="H3777" t="str">
        <f>"CHECK"</f>
        <v>CHECK</v>
      </c>
      <c r="I3777" t="str">
        <f>""</f>
        <v/>
      </c>
    </row>
    <row r="3778" spans="1:9" x14ac:dyDescent="0.25">
      <c r="A3778" s="6">
        <v>44399</v>
      </c>
      <c r="B3778" t="s">
        <v>26</v>
      </c>
      <c r="C3778">
        <v>67223</v>
      </c>
      <c r="D3778" t="s">
        <v>346</v>
      </c>
      <c r="E3778" s="7">
        <v>13750</v>
      </c>
      <c r="F3778" t="s">
        <v>20</v>
      </c>
      <c r="G3778" s="10" t="s">
        <v>21</v>
      </c>
      <c r="H3778" t="str">
        <f>"6/11-7/11/2021"</f>
        <v>6/11-7/11/2021</v>
      </c>
      <c r="I3778" t="str">
        <f>"SYLVIA RODRIGUEZ"</f>
        <v>SYLVIA RODRIGUEZ</v>
      </c>
    </row>
    <row r="3779" spans="1:9" x14ac:dyDescent="0.25">
      <c r="A3779" s="6">
        <v>44399</v>
      </c>
      <c r="B3779" t="s">
        <v>91</v>
      </c>
      <c r="C3779">
        <v>67224</v>
      </c>
      <c r="D3779" t="s">
        <v>647</v>
      </c>
      <c r="E3779" s="7">
        <v>350</v>
      </c>
      <c r="F3779" t="s">
        <v>20</v>
      </c>
      <c r="G3779" s="10" t="s">
        <v>21</v>
      </c>
      <c r="H3779" t="str">
        <f>"29694985*"</f>
        <v>29694985*</v>
      </c>
      <c r="I3779" t="str">
        <f>"DOCUMATION  INC."</f>
        <v>DOCUMATION  INC.</v>
      </c>
    </row>
    <row r="3780" spans="1:9" x14ac:dyDescent="0.25">
      <c r="A3780" s="6">
        <v>44399</v>
      </c>
      <c r="B3780" t="s">
        <v>91</v>
      </c>
      <c r="C3780">
        <v>67224</v>
      </c>
      <c r="D3780" t="s">
        <v>647</v>
      </c>
      <c r="E3780" s="7">
        <v>350</v>
      </c>
      <c r="F3780" t="s">
        <v>20</v>
      </c>
      <c r="G3780" s="10" t="s">
        <v>93</v>
      </c>
      <c r="H3780" t="str">
        <f>"CHECK"</f>
        <v>CHECK</v>
      </c>
      <c r="I3780" t="str">
        <f>""</f>
        <v/>
      </c>
    </row>
    <row r="3781" spans="1:9" x14ac:dyDescent="0.25">
      <c r="A3781" s="6">
        <v>44399</v>
      </c>
      <c r="B3781" t="s">
        <v>26</v>
      </c>
      <c r="C3781">
        <v>67225</v>
      </c>
      <c r="D3781" t="s">
        <v>1030</v>
      </c>
      <c r="E3781" s="7">
        <v>40280.800000000003</v>
      </c>
      <c r="F3781" t="s">
        <v>20</v>
      </c>
      <c r="G3781" s="10" t="s">
        <v>21</v>
      </c>
      <c r="H3781" t="str">
        <f>"PAY APP #6"</f>
        <v>PAY APP #6</v>
      </c>
      <c r="I3781" t="str">
        <f>"TRIUN  LLC"</f>
        <v>TRIUN  LLC</v>
      </c>
    </row>
    <row r="3782" spans="1:9" x14ac:dyDescent="0.25">
      <c r="A3782" s="6">
        <v>44403</v>
      </c>
      <c r="B3782" t="s">
        <v>26</v>
      </c>
      <c r="C3782">
        <v>67226</v>
      </c>
      <c r="D3782" t="s">
        <v>188</v>
      </c>
      <c r="E3782" s="7">
        <v>555.34</v>
      </c>
      <c r="F3782" t="s">
        <v>20</v>
      </c>
      <c r="G3782" s="10" t="s">
        <v>21</v>
      </c>
      <c r="H3782" t="str">
        <f>"99071"</f>
        <v>99071</v>
      </c>
      <c r="I3782" t="str">
        <f>"HOSE"</f>
        <v>HOSE</v>
      </c>
    </row>
    <row r="3783" spans="1:9" x14ac:dyDescent="0.25">
      <c r="A3783" s="6">
        <v>44403</v>
      </c>
      <c r="B3783" t="s">
        <v>26</v>
      </c>
      <c r="C3783">
        <v>67227</v>
      </c>
      <c r="D3783" t="s">
        <v>179</v>
      </c>
      <c r="E3783" s="7">
        <v>28.36</v>
      </c>
      <c r="F3783" t="s">
        <v>20</v>
      </c>
      <c r="G3783" s="10" t="s">
        <v>21</v>
      </c>
      <c r="H3783" t="str">
        <f>"63556"</f>
        <v>63556</v>
      </c>
      <c r="I3783" t="str">
        <f>"UNIT 331 -"</f>
        <v>UNIT 331 -</v>
      </c>
    </row>
    <row r="3784" spans="1:9" x14ac:dyDescent="0.25">
      <c r="A3784" s="6">
        <v>44403</v>
      </c>
      <c r="B3784" t="s">
        <v>26</v>
      </c>
      <c r="C3784">
        <v>67228</v>
      </c>
      <c r="D3784" t="s">
        <v>878</v>
      </c>
      <c r="E3784" s="7">
        <v>1009</v>
      </c>
      <c r="F3784" t="s">
        <v>20</v>
      </c>
      <c r="G3784" s="10" t="s">
        <v>21</v>
      </c>
      <c r="H3784" t="str">
        <f>"94087"</f>
        <v>94087</v>
      </c>
      <c r="I3784" t="str">
        <f>"ANIMAL CONTROL SUPPLIES"</f>
        <v>ANIMAL CONTROL SUPPLIES</v>
      </c>
    </row>
    <row r="3785" spans="1:9" x14ac:dyDescent="0.25">
      <c r="A3785" s="6">
        <v>44403</v>
      </c>
      <c r="B3785" t="s">
        <v>26</v>
      </c>
      <c r="C3785">
        <v>67229</v>
      </c>
      <c r="D3785" t="s">
        <v>115</v>
      </c>
      <c r="E3785" s="7">
        <v>109.71</v>
      </c>
      <c r="F3785" t="s">
        <v>20</v>
      </c>
      <c r="G3785" s="10" t="s">
        <v>21</v>
      </c>
      <c r="H3785" t="str">
        <f>"3547954612"</f>
        <v>3547954612</v>
      </c>
      <c r="I3785" t="str">
        <f>"SHOP TOOLS"</f>
        <v>SHOP TOOLS</v>
      </c>
    </row>
    <row r="3786" spans="1:9" x14ac:dyDescent="0.25">
      <c r="A3786" s="6">
        <v>44403</v>
      </c>
      <c r="B3786" t="s">
        <v>26</v>
      </c>
      <c r="C3786">
        <v>67230</v>
      </c>
      <c r="D3786" t="s">
        <v>182</v>
      </c>
      <c r="E3786" s="7">
        <v>260.44</v>
      </c>
      <c r="F3786" t="s">
        <v>20</v>
      </c>
      <c r="G3786" s="10" t="s">
        <v>21</v>
      </c>
      <c r="H3786" t="str">
        <f>"TEEX WW TECH CSE"</f>
        <v>TEEX WW TECH CSE</v>
      </c>
      <c r="I3786" t="str">
        <f>"DAVID INOUYE"</f>
        <v>DAVID INOUYE</v>
      </c>
    </row>
    <row r="3787" spans="1:9" x14ac:dyDescent="0.25">
      <c r="A3787" s="6">
        <v>44403</v>
      </c>
      <c r="B3787" t="s">
        <v>26</v>
      </c>
      <c r="C3787">
        <v>67231</v>
      </c>
      <c r="D3787" t="s">
        <v>214</v>
      </c>
      <c r="E3787" s="7">
        <v>70.42</v>
      </c>
      <c r="F3787" t="s">
        <v>20</v>
      </c>
      <c r="G3787" s="10" t="s">
        <v>21</v>
      </c>
      <c r="H3787" t="str">
        <f>"0040018-IN"</f>
        <v>0040018-IN</v>
      </c>
      <c r="I3787" t="str">
        <f>"U.S FLAG 4X6"</f>
        <v>U.S FLAG 4X6</v>
      </c>
    </row>
    <row r="3788" spans="1:9" x14ac:dyDescent="0.25">
      <c r="A3788" s="6">
        <v>44403</v>
      </c>
      <c r="B3788" t="s">
        <v>26</v>
      </c>
      <c r="C3788">
        <v>67232</v>
      </c>
      <c r="D3788" t="s">
        <v>77</v>
      </c>
      <c r="E3788" s="7">
        <v>1292.57</v>
      </c>
      <c r="F3788" t="s">
        <v>20</v>
      </c>
      <c r="G3788" s="10" t="s">
        <v>21</v>
      </c>
      <c r="H3788" t="str">
        <f>"857001500-21"</f>
        <v>857001500-21</v>
      </c>
      <c r="I3788" t="str">
        <f>"DPC INDUSTRIES  INC."</f>
        <v>DPC INDUSTRIES  INC.</v>
      </c>
    </row>
    <row r="3789" spans="1:9" x14ac:dyDescent="0.25">
      <c r="E3789" s="7"/>
      <c r="F3789" t="s">
        <v>20</v>
      </c>
      <c r="G3789" s="10" t="s">
        <v>21</v>
      </c>
      <c r="H3789" t="str">
        <f>"857001501-21"</f>
        <v>857001501-21</v>
      </c>
      <c r="I3789" t="str">
        <f>"DPC INDUSTRIES  INC."</f>
        <v>DPC INDUSTRIES  INC.</v>
      </c>
    </row>
    <row r="3790" spans="1:9" x14ac:dyDescent="0.25">
      <c r="A3790" s="6">
        <v>44403</v>
      </c>
      <c r="B3790" t="s">
        <v>26</v>
      </c>
      <c r="C3790">
        <v>67233</v>
      </c>
      <c r="D3790" t="s">
        <v>910</v>
      </c>
      <c r="E3790" s="7">
        <v>511.29</v>
      </c>
      <c r="F3790" t="s">
        <v>20</v>
      </c>
      <c r="G3790" s="10" t="s">
        <v>21</v>
      </c>
      <c r="H3790" t="str">
        <f>"F14049"</f>
        <v>F14049</v>
      </c>
      <c r="I3790" t="str">
        <f>"EAST END GLASS COMPANY  INC."</f>
        <v>EAST END GLASS COMPANY  INC.</v>
      </c>
    </row>
    <row r="3791" spans="1:9" x14ac:dyDescent="0.25">
      <c r="A3791" s="6">
        <v>44403</v>
      </c>
      <c r="B3791" t="s">
        <v>26</v>
      </c>
      <c r="C3791">
        <v>67234</v>
      </c>
      <c r="D3791" t="s">
        <v>69</v>
      </c>
      <c r="E3791" s="7">
        <v>938.87</v>
      </c>
      <c r="F3791" t="s">
        <v>20</v>
      </c>
      <c r="G3791" s="10" t="s">
        <v>21</v>
      </c>
      <c r="H3791" t="str">
        <f>"3C10320"</f>
        <v>3C10320</v>
      </c>
      <c r="I3791" t="str">
        <f>"LAWN MOWER SUPPLIES"</f>
        <v>LAWN MOWER SUPPLIES</v>
      </c>
    </row>
    <row r="3792" spans="1:9" x14ac:dyDescent="0.25">
      <c r="E3792" s="7"/>
      <c r="F3792" t="s">
        <v>20</v>
      </c>
      <c r="G3792" s="10" t="s">
        <v>21</v>
      </c>
      <c r="H3792" t="str">
        <f>"3C10400"</f>
        <v>3C10400</v>
      </c>
      <c r="I3792" t="str">
        <f>"BLADES"</f>
        <v>BLADES</v>
      </c>
    </row>
    <row r="3793" spans="1:9" x14ac:dyDescent="0.25">
      <c r="E3793" s="7"/>
      <c r="F3793" t="s">
        <v>20</v>
      </c>
      <c r="G3793" s="10" t="s">
        <v>21</v>
      </c>
      <c r="H3793" t="str">
        <f>"3C10433"</f>
        <v>3C10433</v>
      </c>
      <c r="I3793" t="str">
        <f>"MIRROR HEAD"</f>
        <v>MIRROR HEAD</v>
      </c>
    </row>
    <row r="3794" spans="1:9" x14ac:dyDescent="0.25">
      <c r="E3794" s="7"/>
      <c r="F3794" t="s">
        <v>20</v>
      </c>
      <c r="G3794" s="10" t="s">
        <v>21</v>
      </c>
      <c r="H3794" t="str">
        <f>"3C10462"</f>
        <v>3C10462</v>
      </c>
      <c r="I3794" t="str">
        <f>"LAWN MOWER MAINTENANCE"</f>
        <v>LAWN MOWER MAINTENANCE</v>
      </c>
    </row>
    <row r="3795" spans="1:9" x14ac:dyDescent="0.25">
      <c r="E3795" s="7"/>
      <c r="F3795" t="s">
        <v>20</v>
      </c>
      <c r="G3795" s="10" t="s">
        <v>21</v>
      </c>
      <c r="H3795" t="str">
        <f>"4C02580"</f>
        <v>4C02580</v>
      </c>
      <c r="I3795" t="str">
        <f>"LAWN MOWER REPAIR"</f>
        <v>LAWN MOWER REPAIR</v>
      </c>
    </row>
    <row r="3796" spans="1:9" x14ac:dyDescent="0.25">
      <c r="A3796" s="6">
        <v>44403</v>
      </c>
      <c r="B3796" t="s">
        <v>26</v>
      </c>
      <c r="C3796">
        <v>67236</v>
      </c>
      <c r="D3796" t="s">
        <v>85</v>
      </c>
      <c r="E3796" s="7">
        <v>685.19</v>
      </c>
      <c r="F3796" t="s">
        <v>20</v>
      </c>
      <c r="G3796" s="10" t="s">
        <v>21</v>
      </c>
      <c r="H3796" t="str">
        <f>"3933105 JULY 2021"</f>
        <v>3933105 JULY 2021</v>
      </c>
      <c r="I3796" t="str">
        <f>"FRONTIER"</f>
        <v>FRONTIER</v>
      </c>
    </row>
    <row r="3797" spans="1:9" x14ac:dyDescent="0.25">
      <c r="A3797" s="6">
        <v>44403</v>
      </c>
      <c r="B3797" t="s">
        <v>26</v>
      </c>
      <c r="C3797">
        <v>67237</v>
      </c>
      <c r="D3797" t="s">
        <v>596</v>
      </c>
      <c r="E3797" s="7">
        <v>75</v>
      </c>
      <c r="F3797" t="s">
        <v>20</v>
      </c>
      <c r="G3797" s="10" t="s">
        <v>21</v>
      </c>
      <c r="H3797" t="str">
        <f>"07/24/2021"</f>
        <v>07/24/2021</v>
      </c>
      <c r="I3797" t="str">
        <f>"GRACE PIERCE"</f>
        <v>GRACE PIERCE</v>
      </c>
    </row>
    <row r="3798" spans="1:9" x14ac:dyDescent="0.25">
      <c r="A3798" s="6">
        <v>44403</v>
      </c>
      <c r="B3798" t="s">
        <v>26</v>
      </c>
      <c r="C3798">
        <v>67238</v>
      </c>
      <c r="D3798" t="s">
        <v>302</v>
      </c>
      <c r="E3798" s="7">
        <v>39.69</v>
      </c>
      <c r="F3798" t="s">
        <v>20</v>
      </c>
      <c r="G3798" s="10" t="s">
        <v>21</v>
      </c>
      <c r="H3798" t="str">
        <f>"9957749485"</f>
        <v>9957749485</v>
      </c>
      <c r="I3798" t="str">
        <f>"WWTP"</f>
        <v>WWTP</v>
      </c>
    </row>
    <row r="3799" spans="1:9" x14ac:dyDescent="0.25">
      <c r="A3799" s="6">
        <v>44403</v>
      </c>
      <c r="B3799" t="s">
        <v>26</v>
      </c>
      <c r="C3799">
        <v>67239</v>
      </c>
      <c r="D3799" t="s">
        <v>1077</v>
      </c>
      <c r="E3799" s="7">
        <v>75</v>
      </c>
      <c r="F3799" t="s">
        <v>20</v>
      </c>
      <c r="G3799" s="10" t="s">
        <v>21</v>
      </c>
      <c r="H3799" t="str">
        <f>"07/24/2021"</f>
        <v>07/24/2021</v>
      </c>
      <c r="I3799" t="str">
        <f>"JENNA WESTON"</f>
        <v>JENNA WESTON</v>
      </c>
    </row>
    <row r="3800" spans="1:9" x14ac:dyDescent="0.25">
      <c r="A3800" s="6">
        <v>44403</v>
      </c>
      <c r="B3800" t="s">
        <v>26</v>
      </c>
      <c r="C3800">
        <v>67240</v>
      </c>
      <c r="D3800" t="s">
        <v>117</v>
      </c>
      <c r="E3800" s="7">
        <v>2414.5100000000002</v>
      </c>
      <c r="F3800" t="s">
        <v>20</v>
      </c>
      <c r="G3800" s="10" t="s">
        <v>21</v>
      </c>
      <c r="H3800" t="str">
        <f>"JUNE 2021"</f>
        <v>JUNE 2021</v>
      </c>
      <c r="I3800" t="str">
        <f>"LINEBARGER GOGGAN BLAIR &amp; SAMP"</f>
        <v>LINEBARGER GOGGAN BLAIR &amp; SAMP</v>
      </c>
    </row>
    <row r="3801" spans="1:9" x14ac:dyDescent="0.25">
      <c r="A3801" s="6">
        <v>44403</v>
      </c>
      <c r="B3801" t="s">
        <v>26</v>
      </c>
      <c r="C3801">
        <v>67241</v>
      </c>
      <c r="D3801" t="s">
        <v>124</v>
      </c>
      <c r="E3801" s="7">
        <v>352.65</v>
      </c>
      <c r="F3801" t="s">
        <v>20</v>
      </c>
      <c r="G3801" s="10" t="s">
        <v>21</v>
      </c>
      <c r="H3801" t="str">
        <f>"11107666"</f>
        <v>11107666</v>
      </c>
      <c r="I3801" t="str">
        <f>"WWTP"</f>
        <v>WWTP</v>
      </c>
    </row>
    <row r="3802" spans="1:9" x14ac:dyDescent="0.25">
      <c r="E3802" s="7"/>
      <c r="F3802" t="s">
        <v>20</v>
      </c>
      <c r="G3802" s="10" t="s">
        <v>21</v>
      </c>
      <c r="H3802" t="str">
        <f>"11107723"</f>
        <v>11107723</v>
      </c>
      <c r="I3802" t="str">
        <f>"WWTP SUPPLIES"</f>
        <v>WWTP SUPPLIES</v>
      </c>
    </row>
    <row r="3803" spans="1:9" x14ac:dyDescent="0.25">
      <c r="A3803" s="6">
        <v>44403</v>
      </c>
      <c r="B3803" t="s">
        <v>26</v>
      </c>
      <c r="C3803">
        <v>67242</v>
      </c>
      <c r="D3803" t="s">
        <v>345</v>
      </c>
      <c r="E3803" s="7">
        <v>269.5</v>
      </c>
      <c r="F3803" t="s">
        <v>20</v>
      </c>
      <c r="G3803" s="10" t="s">
        <v>21</v>
      </c>
      <c r="H3803" t="str">
        <f>"07/26/2021"</f>
        <v>07/26/2021</v>
      </c>
      <c r="I3803" t="str">
        <f>"MICHAEL ISAAC MARTINEZ"</f>
        <v>MICHAEL ISAAC MARTINEZ</v>
      </c>
    </row>
    <row r="3804" spans="1:9" x14ac:dyDescent="0.25">
      <c r="A3804" s="6">
        <v>44403</v>
      </c>
      <c r="B3804" t="s">
        <v>26</v>
      </c>
      <c r="C3804">
        <v>67243</v>
      </c>
      <c r="D3804" t="s">
        <v>123</v>
      </c>
      <c r="E3804" s="7">
        <v>48.24</v>
      </c>
      <c r="F3804" t="s">
        <v>20</v>
      </c>
      <c r="G3804" s="10" t="s">
        <v>21</v>
      </c>
      <c r="H3804" t="str">
        <f>"177625260001*"</f>
        <v>177625260001*</v>
      </c>
      <c r="I3804" t="str">
        <f>"OFFICE DEPOT  INC."</f>
        <v>OFFICE DEPOT  INC.</v>
      </c>
    </row>
    <row r="3805" spans="1:9" x14ac:dyDescent="0.25">
      <c r="E3805" s="7"/>
      <c r="F3805" t="s">
        <v>20</v>
      </c>
      <c r="G3805" s="10" t="s">
        <v>21</v>
      </c>
      <c r="H3805" t="str">
        <f>"181262742001"</f>
        <v>181262742001</v>
      </c>
      <c r="I3805" t="str">
        <f>"OFFICE SUPPLIES"</f>
        <v>OFFICE SUPPLIES</v>
      </c>
    </row>
    <row r="3806" spans="1:9" x14ac:dyDescent="0.25">
      <c r="A3806" s="6">
        <v>44403</v>
      </c>
      <c r="B3806" t="s">
        <v>26</v>
      </c>
      <c r="C3806">
        <v>67244</v>
      </c>
      <c r="D3806" t="s">
        <v>61</v>
      </c>
      <c r="E3806" s="7">
        <v>13059.55</v>
      </c>
      <c r="F3806" t="s">
        <v>20</v>
      </c>
      <c r="G3806" s="10" t="s">
        <v>21</v>
      </c>
      <c r="H3806" t="str">
        <f>"025-341787"</f>
        <v>025-341787</v>
      </c>
      <c r="I3806" t="str">
        <f>"TYLER TECHNOLOGIES  INC."</f>
        <v>TYLER TECHNOLOGIES  INC.</v>
      </c>
    </row>
    <row r="3807" spans="1:9" x14ac:dyDescent="0.25">
      <c r="E3807" s="7"/>
      <c r="F3807" t="s">
        <v>20</v>
      </c>
      <c r="G3807" s="10" t="s">
        <v>21</v>
      </c>
      <c r="H3807" t="str">
        <f>"025-341788"</f>
        <v>025-341788</v>
      </c>
      <c r="I3807" t="str">
        <f>"TYLER TECHNOLOGIES  INC."</f>
        <v>TYLER TECHNOLOGIES  INC.</v>
      </c>
    </row>
    <row r="3808" spans="1:9" x14ac:dyDescent="0.25">
      <c r="E3808" s="7"/>
      <c r="F3808" t="s">
        <v>20</v>
      </c>
      <c r="G3808" s="10" t="s">
        <v>21</v>
      </c>
      <c r="H3808" t="str">
        <f>"025-342363"</f>
        <v>025-342363</v>
      </c>
      <c r="I3808" t="str">
        <f>"TYLER TECHNOLOGIES  INC."</f>
        <v>TYLER TECHNOLOGIES  INC.</v>
      </c>
    </row>
    <row r="3809" spans="1:9" x14ac:dyDescent="0.25">
      <c r="A3809" s="6">
        <v>44403</v>
      </c>
      <c r="B3809" t="s">
        <v>26</v>
      </c>
      <c r="C3809">
        <v>67245</v>
      </c>
      <c r="D3809" t="s">
        <v>1047</v>
      </c>
      <c r="E3809" s="7">
        <v>1598</v>
      </c>
      <c r="F3809" t="s">
        <v>20</v>
      </c>
      <c r="G3809" s="10" t="s">
        <v>21</v>
      </c>
      <c r="H3809" t="str">
        <f>"2904"</f>
        <v>2904</v>
      </c>
      <c r="I3809" t="str">
        <f>"SIDE BOXES FOR TRUCKS"</f>
        <v>SIDE BOXES FOR TRUCKS</v>
      </c>
    </row>
    <row r="3810" spans="1:9" x14ac:dyDescent="0.25">
      <c r="A3810" s="6">
        <v>44404</v>
      </c>
      <c r="B3810" t="s">
        <v>91</v>
      </c>
      <c r="C3810">
        <v>67246</v>
      </c>
      <c r="D3810" t="s">
        <v>532</v>
      </c>
      <c r="E3810" s="7">
        <v>170</v>
      </c>
      <c r="F3810" t="s">
        <v>20</v>
      </c>
      <c r="G3810" s="10" t="s">
        <v>21</v>
      </c>
      <c r="H3810" t="str">
        <f>"C.STURM 7/27/2021"</f>
        <v>C.STURM 7/27/2021</v>
      </c>
      <c r="I3810" t="str">
        <f>"GOVERNMENT FINANCE OFFICERS AS"</f>
        <v>GOVERNMENT FINANCE OFFICERS AS</v>
      </c>
    </row>
    <row r="3811" spans="1:9" x14ac:dyDescent="0.25">
      <c r="A3811" s="6">
        <v>44404</v>
      </c>
      <c r="B3811" t="s">
        <v>91</v>
      </c>
      <c r="C3811">
        <v>67246</v>
      </c>
      <c r="D3811" t="s">
        <v>532</v>
      </c>
      <c r="E3811" s="7">
        <v>170</v>
      </c>
      <c r="F3811" t="s">
        <v>20</v>
      </c>
      <c r="G3811" s="10" t="s">
        <v>93</v>
      </c>
      <c r="H3811" t="str">
        <f>"CHECK"</f>
        <v>CHECK</v>
      </c>
      <c r="I3811" t="str">
        <f>""</f>
        <v/>
      </c>
    </row>
    <row r="3812" spans="1:9" x14ac:dyDescent="0.25">
      <c r="A3812" s="6">
        <v>44404</v>
      </c>
      <c r="B3812" t="s">
        <v>26</v>
      </c>
      <c r="C3812">
        <v>67247</v>
      </c>
      <c r="D3812" t="s">
        <v>81</v>
      </c>
      <c r="E3812" s="7">
        <v>153.94999999999999</v>
      </c>
      <c r="F3812" t="s">
        <v>20</v>
      </c>
      <c r="G3812" s="10" t="s">
        <v>21</v>
      </c>
      <c r="H3812" t="str">
        <f>"A.MARTINEZ 7/27/21"</f>
        <v>A.MARTINEZ 7/27/21</v>
      </c>
      <c r="I3812" t="str">
        <f>"CITY OF FLORESVILLE -PETTY CAS"</f>
        <v>CITY OF FLORESVILLE -PETTY CAS</v>
      </c>
    </row>
    <row r="3813" spans="1:9" x14ac:dyDescent="0.25">
      <c r="A3813" s="6">
        <v>44404</v>
      </c>
      <c r="B3813" t="s">
        <v>26</v>
      </c>
      <c r="C3813">
        <v>67248</v>
      </c>
      <c r="D3813" t="s">
        <v>85</v>
      </c>
      <c r="E3813" s="7">
        <v>194.79</v>
      </c>
      <c r="F3813" t="s">
        <v>20</v>
      </c>
      <c r="G3813" s="10" t="s">
        <v>21</v>
      </c>
      <c r="H3813" t="str">
        <f>"3932056 JULY2021"</f>
        <v>3932056 JULY2021</v>
      </c>
      <c r="I3813" t="str">
        <f>"FRONTIER"</f>
        <v>FRONTIER</v>
      </c>
    </row>
    <row r="3814" spans="1:9" x14ac:dyDescent="0.25">
      <c r="E3814" s="7"/>
      <c r="F3814" t="s">
        <v>20</v>
      </c>
      <c r="G3814" s="10" t="s">
        <v>21</v>
      </c>
      <c r="H3814" t="str">
        <f>"3933186 JULY2021"</f>
        <v>3933186 JULY2021</v>
      </c>
      <c r="I3814" t="str">
        <f>"FRONTIER"</f>
        <v>FRONTIER</v>
      </c>
    </row>
    <row r="3815" spans="1:9" x14ac:dyDescent="0.25">
      <c r="E3815" s="7"/>
      <c r="F3815" t="s">
        <v>20</v>
      </c>
      <c r="G3815" s="10" t="s">
        <v>21</v>
      </c>
      <c r="H3815" t="str">
        <f>"3936616 JULY 2021"</f>
        <v>3936616 JULY 2021</v>
      </c>
      <c r="I3815" t="str">
        <f>"FRONTIER"</f>
        <v>FRONTIER</v>
      </c>
    </row>
    <row r="3816" spans="1:9" x14ac:dyDescent="0.25">
      <c r="E3816" s="7"/>
      <c r="F3816" t="s">
        <v>20</v>
      </c>
      <c r="G3816" s="10" t="s">
        <v>21</v>
      </c>
      <c r="H3816" t="str">
        <f>"3939456 JULY 2021"</f>
        <v>3939456 JULY 2021</v>
      </c>
      <c r="I3816" t="str">
        <f>"FRONTIER"</f>
        <v>FRONTIER</v>
      </c>
    </row>
    <row r="3817" spans="1:9" x14ac:dyDescent="0.25">
      <c r="A3817" s="6">
        <v>44404</v>
      </c>
      <c r="B3817" t="s">
        <v>26</v>
      </c>
      <c r="C3817">
        <v>67255</v>
      </c>
      <c r="D3817" t="s">
        <v>54</v>
      </c>
      <c r="E3817" s="7">
        <v>1083.6500000000001</v>
      </c>
      <c r="F3817" t="s">
        <v>20</v>
      </c>
      <c r="G3817" s="10" t="s">
        <v>21</v>
      </c>
      <c r="H3817" t="str">
        <f>"BRE202107278617"</f>
        <v>BRE202107278617</v>
      </c>
      <c r="I3817" t="str">
        <f>"CASE #180-60751 457B DEDUCT"</f>
        <v>CASE #180-60751 457B DEDUCT</v>
      </c>
    </row>
    <row r="3818" spans="1:9" x14ac:dyDescent="0.25">
      <c r="A3818" s="6">
        <v>44412</v>
      </c>
      <c r="B3818" t="s">
        <v>26</v>
      </c>
      <c r="C3818">
        <v>67256</v>
      </c>
      <c r="D3818" t="s">
        <v>1074</v>
      </c>
      <c r="E3818" s="7">
        <v>613.97</v>
      </c>
      <c r="F3818" t="s">
        <v>20</v>
      </c>
      <c r="G3818" s="10" t="s">
        <v>24</v>
      </c>
      <c r="H3818" t="str">
        <f>"3LGH-3MFK-QR9V"</f>
        <v>3LGH-3MFK-QR9V</v>
      </c>
      <c r="I3818" t="str">
        <f>"AMAZON CAPITAL SERVICES"</f>
        <v>AMAZON CAPITAL SERVICES</v>
      </c>
    </row>
    <row r="3819" spans="1:9" x14ac:dyDescent="0.25">
      <c r="E3819" s="7"/>
      <c r="F3819" t="s">
        <v>20</v>
      </c>
      <c r="G3819" s="10" t="s">
        <v>21</v>
      </c>
      <c r="H3819" t="str">
        <f>"11HD-YTGG-RM1W"</f>
        <v>11HD-YTGG-RM1W</v>
      </c>
      <c r="I3819" t="str">
        <f>"ANIMAL CONTROL SUPPLIES"</f>
        <v>ANIMAL CONTROL SUPPLIES</v>
      </c>
    </row>
    <row r="3820" spans="1:9" x14ac:dyDescent="0.25">
      <c r="E3820" s="7"/>
      <c r="F3820" t="s">
        <v>20</v>
      </c>
      <c r="G3820" s="10" t="s">
        <v>21</v>
      </c>
      <c r="H3820" t="str">
        <f>"1L63-XVH6-RLCX"</f>
        <v>1L63-XVH6-RLCX</v>
      </c>
      <c r="I3820" t="str">
        <f>"MONITOR STAND RISERS"</f>
        <v>MONITOR STAND RISERS</v>
      </c>
    </row>
    <row r="3821" spans="1:9" x14ac:dyDescent="0.25">
      <c r="E3821" s="7"/>
      <c r="F3821" t="s">
        <v>20</v>
      </c>
      <c r="G3821" s="10" t="s">
        <v>21</v>
      </c>
      <c r="H3821" t="str">
        <f>"1LGH-3MFK-QTFX"</f>
        <v>1LGH-3MFK-QTFX</v>
      </c>
      <c r="I3821" t="str">
        <f>"DEHUMIDIFIER"</f>
        <v>DEHUMIDIFIER</v>
      </c>
    </row>
    <row r="3822" spans="1:9" x14ac:dyDescent="0.25">
      <c r="E3822" s="7"/>
      <c r="F3822" t="s">
        <v>20</v>
      </c>
      <c r="G3822" s="10" t="s">
        <v>21</v>
      </c>
      <c r="H3822" t="str">
        <f>"1VVR-KXGK-QMDW"</f>
        <v>1VVR-KXGK-QMDW</v>
      </c>
      <c r="I3822" t="str">
        <f>"AMAZON CAPITAL SERVICES"</f>
        <v>AMAZON CAPITAL SERVICES</v>
      </c>
    </row>
    <row r="3823" spans="1:9" x14ac:dyDescent="0.25">
      <c r="E3823" s="7"/>
      <c r="F3823" t="s">
        <v>20</v>
      </c>
      <c r="G3823" s="10" t="s">
        <v>21</v>
      </c>
      <c r="H3823" t="str">
        <f>"3LGH-3MFK-QR9V"</f>
        <v>3LGH-3MFK-QR9V</v>
      </c>
      <c r="I3823" t="str">
        <f>"AMAZON CAPITAL SERVICES"</f>
        <v>AMAZON CAPITAL SERVICES</v>
      </c>
    </row>
    <row r="3824" spans="1:9" x14ac:dyDescent="0.25">
      <c r="A3824" s="6">
        <v>44412</v>
      </c>
      <c r="B3824" t="s">
        <v>26</v>
      </c>
      <c r="C3824">
        <v>67258</v>
      </c>
      <c r="D3824" t="s">
        <v>83</v>
      </c>
      <c r="E3824" s="7">
        <v>1080</v>
      </c>
      <c r="F3824" t="s">
        <v>20</v>
      </c>
      <c r="G3824" s="10" t="s">
        <v>21</v>
      </c>
      <c r="H3824" t="str">
        <f>"1671795"</f>
        <v>1671795</v>
      </c>
      <c r="I3824" t="str">
        <f>"APPRIVER"</f>
        <v>APPRIVER</v>
      </c>
    </row>
    <row r="3825" spans="1:9" x14ac:dyDescent="0.25">
      <c r="A3825" s="6">
        <v>44412</v>
      </c>
      <c r="B3825" t="s">
        <v>26</v>
      </c>
      <c r="C3825">
        <v>67259</v>
      </c>
      <c r="D3825" t="s">
        <v>115</v>
      </c>
      <c r="E3825" s="7">
        <v>86.43</v>
      </c>
      <c r="F3825" t="s">
        <v>20</v>
      </c>
      <c r="G3825" s="10" t="s">
        <v>21</v>
      </c>
      <c r="H3825" t="str">
        <f>"3547956950"</f>
        <v>3547956950</v>
      </c>
      <c r="I3825" t="str">
        <f>"LAWN MOWER OIL FILTERS"</f>
        <v>LAWN MOWER OIL FILTERS</v>
      </c>
    </row>
    <row r="3826" spans="1:9" x14ac:dyDescent="0.25">
      <c r="E3826" s="7"/>
      <c r="F3826" t="s">
        <v>20</v>
      </c>
      <c r="G3826" s="10" t="s">
        <v>21</v>
      </c>
      <c r="H3826" t="str">
        <f>"3547959808"</f>
        <v>3547959808</v>
      </c>
      <c r="I3826" t="str">
        <f>"SARA TRUCK"</f>
        <v>SARA TRUCK</v>
      </c>
    </row>
    <row r="3827" spans="1:9" x14ac:dyDescent="0.25">
      <c r="A3827" s="6">
        <v>44412</v>
      </c>
      <c r="B3827" t="s">
        <v>26</v>
      </c>
      <c r="C3827">
        <v>67260</v>
      </c>
      <c r="D3827" t="s">
        <v>316</v>
      </c>
      <c r="E3827" s="7">
        <v>236851.75</v>
      </c>
      <c r="F3827" t="s">
        <v>20</v>
      </c>
      <c r="G3827" s="10" t="s">
        <v>21</v>
      </c>
      <c r="H3827" t="str">
        <f>"0EWEWXNPP2"</f>
        <v>0EWEWXNPP2</v>
      </c>
      <c r="I3827" t="s">
        <v>498</v>
      </c>
    </row>
    <row r="3828" spans="1:9" x14ac:dyDescent="0.25">
      <c r="A3828" s="6">
        <v>44412</v>
      </c>
      <c r="B3828" t="s">
        <v>26</v>
      </c>
      <c r="C3828">
        <v>67261</v>
      </c>
      <c r="D3828" t="s">
        <v>836</v>
      </c>
      <c r="E3828" s="7">
        <v>1668.41</v>
      </c>
      <c r="F3828" t="s">
        <v>20</v>
      </c>
      <c r="G3828" s="10" t="s">
        <v>21</v>
      </c>
      <c r="H3828" t="str">
        <f>"66080"</f>
        <v>66080</v>
      </c>
      <c r="I3828" t="str">
        <f>"BARCOM TECHNOLOGY SOLUTIONS  I"</f>
        <v>BARCOM TECHNOLOGY SOLUTIONS  I</v>
      </c>
    </row>
    <row r="3829" spans="1:9" x14ac:dyDescent="0.25">
      <c r="E3829" s="7"/>
      <c r="F3829" t="s">
        <v>20</v>
      </c>
      <c r="G3829" s="10" t="s">
        <v>21</v>
      </c>
      <c r="H3829" t="str">
        <f>"76978"</f>
        <v>76978</v>
      </c>
      <c r="I3829" t="str">
        <f>"BARCOM TECHNOLOGY SOLUTIONS  I"</f>
        <v>BARCOM TECHNOLOGY SOLUTIONS  I</v>
      </c>
    </row>
    <row r="3830" spans="1:9" x14ac:dyDescent="0.25">
      <c r="A3830" s="6">
        <v>44412</v>
      </c>
      <c r="B3830" t="s">
        <v>26</v>
      </c>
      <c r="C3830">
        <v>67262</v>
      </c>
      <c r="D3830" t="s">
        <v>1079</v>
      </c>
      <c r="E3830" s="7">
        <v>200</v>
      </c>
      <c r="F3830" t="s">
        <v>20</v>
      </c>
      <c r="G3830" s="10" t="s">
        <v>21</v>
      </c>
      <c r="H3830" t="str">
        <f>"POOL REFUND 8/21"</f>
        <v>POOL REFUND 8/21</v>
      </c>
      <c r="I3830" t="str">
        <f>"REFUND"</f>
        <v>REFUND</v>
      </c>
    </row>
    <row r="3831" spans="1:9" x14ac:dyDescent="0.25">
      <c r="A3831" s="6">
        <v>44412</v>
      </c>
      <c r="B3831" t="s">
        <v>26</v>
      </c>
      <c r="C3831">
        <v>67263</v>
      </c>
      <c r="D3831" t="s">
        <v>71</v>
      </c>
      <c r="E3831" s="7">
        <v>3332.82</v>
      </c>
      <c r="F3831" t="s">
        <v>20</v>
      </c>
      <c r="G3831" s="10" t="s">
        <v>21</v>
      </c>
      <c r="H3831" t="str">
        <f>"4090350920"</f>
        <v>4090350920</v>
      </c>
      <c r="I3831" t="str">
        <f t="shared" ref="I3831:I3842" si="83">"CINTAS CORPORATION #087"</f>
        <v>CINTAS CORPORATION #087</v>
      </c>
    </row>
    <row r="3832" spans="1:9" x14ac:dyDescent="0.25">
      <c r="E3832" s="7"/>
      <c r="F3832" t="s">
        <v>20</v>
      </c>
      <c r="G3832" s="10" t="s">
        <v>21</v>
      </c>
      <c r="H3832" t="str">
        <f>"4090350946"</f>
        <v>4090350946</v>
      </c>
      <c r="I3832" t="str">
        <f t="shared" si="83"/>
        <v>CINTAS CORPORATION #087</v>
      </c>
    </row>
    <row r="3833" spans="1:9" x14ac:dyDescent="0.25">
      <c r="E3833" s="7"/>
      <c r="F3833" t="s">
        <v>20</v>
      </c>
      <c r="G3833" s="10" t="s">
        <v>21</v>
      </c>
      <c r="H3833" t="str">
        <f>"4090350968"</f>
        <v>4090350968</v>
      </c>
      <c r="I3833" t="str">
        <f t="shared" si="83"/>
        <v>CINTAS CORPORATION #087</v>
      </c>
    </row>
    <row r="3834" spans="1:9" x14ac:dyDescent="0.25">
      <c r="E3834" s="7"/>
      <c r="F3834" t="s">
        <v>20</v>
      </c>
      <c r="G3834" s="10" t="s">
        <v>21</v>
      </c>
      <c r="H3834" t="str">
        <f>"4090350993"</f>
        <v>4090350993</v>
      </c>
      <c r="I3834" t="str">
        <f t="shared" si="83"/>
        <v>CINTAS CORPORATION #087</v>
      </c>
    </row>
    <row r="3835" spans="1:9" x14ac:dyDescent="0.25">
      <c r="E3835" s="7"/>
      <c r="F3835" t="s">
        <v>20</v>
      </c>
      <c r="G3835" s="10" t="s">
        <v>21</v>
      </c>
      <c r="H3835" t="str">
        <f>"4090350994"</f>
        <v>4090350994</v>
      </c>
      <c r="I3835" t="str">
        <f t="shared" si="83"/>
        <v>CINTAS CORPORATION #087</v>
      </c>
    </row>
    <row r="3836" spans="1:9" x14ac:dyDescent="0.25">
      <c r="E3836" s="7"/>
      <c r="F3836" t="s">
        <v>20</v>
      </c>
      <c r="G3836" s="10" t="s">
        <v>21</v>
      </c>
      <c r="H3836" t="str">
        <f>"4090351205"</f>
        <v>4090351205</v>
      </c>
      <c r="I3836" t="str">
        <f t="shared" si="83"/>
        <v>CINTAS CORPORATION #087</v>
      </c>
    </row>
    <row r="3837" spans="1:9" x14ac:dyDescent="0.25">
      <c r="E3837" s="7"/>
      <c r="F3837" t="s">
        <v>20</v>
      </c>
      <c r="G3837" s="10" t="s">
        <v>21</v>
      </c>
      <c r="H3837" t="str">
        <f>"4091008358"</f>
        <v>4091008358</v>
      </c>
      <c r="I3837" t="str">
        <f t="shared" si="83"/>
        <v>CINTAS CORPORATION #087</v>
      </c>
    </row>
    <row r="3838" spans="1:9" x14ac:dyDescent="0.25">
      <c r="E3838" s="7"/>
      <c r="F3838" t="s">
        <v>20</v>
      </c>
      <c r="G3838" s="10" t="s">
        <v>21</v>
      </c>
      <c r="H3838" t="str">
        <f>"4091008361"</f>
        <v>4091008361</v>
      </c>
      <c r="I3838" t="str">
        <f t="shared" si="83"/>
        <v>CINTAS CORPORATION #087</v>
      </c>
    </row>
    <row r="3839" spans="1:9" x14ac:dyDescent="0.25">
      <c r="E3839" s="7"/>
      <c r="F3839" t="s">
        <v>20</v>
      </c>
      <c r="G3839" s="10" t="s">
        <v>21</v>
      </c>
      <c r="H3839" t="str">
        <f>"4091008459"</f>
        <v>4091008459</v>
      </c>
      <c r="I3839" t="str">
        <f t="shared" si="83"/>
        <v>CINTAS CORPORATION #087</v>
      </c>
    </row>
    <row r="3840" spans="1:9" x14ac:dyDescent="0.25">
      <c r="E3840" s="7"/>
      <c r="F3840" t="s">
        <v>20</v>
      </c>
      <c r="G3840" s="10" t="s">
        <v>21</v>
      </c>
      <c r="H3840" t="str">
        <f>"4091008504"</f>
        <v>4091008504</v>
      </c>
      <c r="I3840" t="str">
        <f t="shared" si="83"/>
        <v>CINTAS CORPORATION #087</v>
      </c>
    </row>
    <row r="3841" spans="1:9" x14ac:dyDescent="0.25">
      <c r="E3841" s="7"/>
      <c r="F3841" t="s">
        <v>20</v>
      </c>
      <c r="G3841" s="10" t="s">
        <v>21</v>
      </c>
      <c r="H3841" t="str">
        <f>"4091008513"</f>
        <v>4091008513</v>
      </c>
      <c r="I3841" t="str">
        <f t="shared" si="83"/>
        <v>CINTAS CORPORATION #087</v>
      </c>
    </row>
    <row r="3842" spans="1:9" x14ac:dyDescent="0.25">
      <c r="E3842" s="7"/>
      <c r="F3842" t="s">
        <v>20</v>
      </c>
      <c r="G3842" s="10" t="s">
        <v>21</v>
      </c>
      <c r="H3842" t="str">
        <f>"44090350994"</f>
        <v>44090350994</v>
      </c>
      <c r="I3842" t="str">
        <f t="shared" si="83"/>
        <v>CINTAS CORPORATION #087</v>
      </c>
    </row>
    <row r="3843" spans="1:9" x14ac:dyDescent="0.25">
      <c r="A3843" s="6">
        <v>44412</v>
      </c>
      <c r="B3843" t="s">
        <v>26</v>
      </c>
      <c r="C3843">
        <v>67266</v>
      </c>
      <c r="D3843" t="s">
        <v>0</v>
      </c>
      <c r="E3843" s="7">
        <v>4196.34</v>
      </c>
      <c r="F3843" t="s">
        <v>20</v>
      </c>
      <c r="G3843" s="10" t="s">
        <v>21</v>
      </c>
      <c r="H3843" t="str">
        <f>"6/10-7/10/2021"</f>
        <v>6/10-7/10/2021</v>
      </c>
      <c r="I3843" t="str">
        <f>"CITY OF FLORESVILLE"</f>
        <v>CITY OF FLORESVILLE</v>
      </c>
    </row>
    <row r="3844" spans="1:9" x14ac:dyDescent="0.25">
      <c r="A3844" s="6">
        <v>44412</v>
      </c>
      <c r="B3844" t="s">
        <v>26</v>
      </c>
      <c r="C3844">
        <v>67267</v>
      </c>
      <c r="D3844" t="s">
        <v>1080</v>
      </c>
      <c r="E3844" s="7">
        <v>130</v>
      </c>
      <c r="F3844" t="s">
        <v>20</v>
      </c>
      <c r="G3844" s="10" t="s">
        <v>21</v>
      </c>
      <c r="H3844" t="str">
        <f>"N21065652"</f>
        <v>N21065652</v>
      </c>
      <c r="I3844" t="str">
        <f>"CRISP ANALYTICAL LABS"</f>
        <v>CRISP ANALYTICAL LABS</v>
      </c>
    </row>
    <row r="3845" spans="1:9" x14ac:dyDescent="0.25">
      <c r="A3845" s="6">
        <v>44412</v>
      </c>
      <c r="B3845" t="s">
        <v>26</v>
      </c>
      <c r="C3845">
        <v>67268</v>
      </c>
      <c r="D3845" t="s">
        <v>77</v>
      </c>
      <c r="E3845" s="7">
        <v>1285.06</v>
      </c>
      <c r="F3845" t="s">
        <v>20</v>
      </c>
      <c r="G3845" s="10" t="s">
        <v>21</v>
      </c>
      <c r="H3845" t="str">
        <f>"857001529-21"</f>
        <v>857001529-21</v>
      </c>
      <c r="I3845" t="str">
        <f>"CHLORINE"</f>
        <v>CHLORINE</v>
      </c>
    </row>
    <row r="3846" spans="1:9" x14ac:dyDescent="0.25">
      <c r="A3846" s="6">
        <v>44412</v>
      </c>
      <c r="B3846" t="s">
        <v>26</v>
      </c>
      <c r="C3846">
        <v>67269</v>
      </c>
      <c r="D3846" t="s">
        <v>79</v>
      </c>
      <c r="E3846" s="7">
        <v>30.8</v>
      </c>
      <c r="F3846" t="s">
        <v>20</v>
      </c>
      <c r="G3846" s="10" t="s">
        <v>21</v>
      </c>
      <c r="H3846" t="str">
        <f>"7-443-62047"</f>
        <v>7-443-62047</v>
      </c>
      <c r="I3846" t="str">
        <f>"FEDEX"</f>
        <v>FEDEX</v>
      </c>
    </row>
    <row r="3847" spans="1:9" x14ac:dyDescent="0.25">
      <c r="A3847" s="6">
        <v>44412</v>
      </c>
      <c r="B3847" t="s">
        <v>26</v>
      </c>
      <c r="C3847">
        <v>67270</v>
      </c>
      <c r="D3847" t="s">
        <v>85</v>
      </c>
      <c r="E3847" s="7">
        <v>802.57</v>
      </c>
      <c r="F3847" t="s">
        <v>20</v>
      </c>
      <c r="G3847" s="10" t="s">
        <v>21</v>
      </c>
      <c r="H3847" t="str">
        <f>"2162691 7/2021"</f>
        <v>2162691 7/2021</v>
      </c>
      <c r="I3847" t="str">
        <f t="shared" ref="I3847:I3853" si="84">"FRONTIER"</f>
        <v>FRONTIER</v>
      </c>
    </row>
    <row r="3848" spans="1:9" x14ac:dyDescent="0.25">
      <c r="E3848" s="7"/>
      <c r="F3848" t="s">
        <v>20</v>
      </c>
      <c r="G3848" s="10" t="s">
        <v>21</v>
      </c>
      <c r="H3848" t="str">
        <f>"2162733 JULY 2021"</f>
        <v>2162733 JULY 2021</v>
      </c>
      <c r="I3848" t="str">
        <f t="shared" si="84"/>
        <v>FRONTIER</v>
      </c>
    </row>
    <row r="3849" spans="1:9" x14ac:dyDescent="0.25">
      <c r="E3849" s="7"/>
      <c r="F3849" t="s">
        <v>20</v>
      </c>
      <c r="G3849" s="10" t="s">
        <v>21</v>
      </c>
      <c r="H3849" t="str">
        <f>"2162755 JULY 2021"</f>
        <v>2162755 JULY 2021</v>
      </c>
      <c r="I3849" t="str">
        <f t="shared" si="84"/>
        <v>FRONTIER</v>
      </c>
    </row>
    <row r="3850" spans="1:9" x14ac:dyDescent="0.25">
      <c r="E3850" s="7"/>
      <c r="F3850" t="s">
        <v>20</v>
      </c>
      <c r="G3850" s="10" t="s">
        <v>21</v>
      </c>
      <c r="H3850" t="str">
        <f>"3932804 JULY 2021"</f>
        <v>3932804 JULY 2021</v>
      </c>
      <c r="I3850" t="str">
        <f t="shared" si="84"/>
        <v>FRONTIER</v>
      </c>
    </row>
    <row r="3851" spans="1:9" x14ac:dyDescent="0.25">
      <c r="E3851" s="7"/>
      <c r="F3851" t="s">
        <v>20</v>
      </c>
      <c r="G3851" s="10" t="s">
        <v>21</v>
      </c>
      <c r="H3851" t="str">
        <f>"3933718 7/2021"</f>
        <v>3933718 7/2021</v>
      </c>
      <c r="I3851" t="str">
        <f t="shared" si="84"/>
        <v>FRONTIER</v>
      </c>
    </row>
    <row r="3852" spans="1:9" x14ac:dyDescent="0.25">
      <c r="E3852" s="7"/>
      <c r="F3852" t="s">
        <v>20</v>
      </c>
      <c r="G3852" s="10" t="s">
        <v>21</v>
      </c>
      <c r="H3852" t="str">
        <f>"3936794 JULY2021"</f>
        <v>3936794 JULY2021</v>
      </c>
      <c r="I3852" t="str">
        <f t="shared" si="84"/>
        <v>FRONTIER</v>
      </c>
    </row>
    <row r="3853" spans="1:9" x14ac:dyDescent="0.25">
      <c r="E3853" s="7"/>
      <c r="F3853" t="s">
        <v>20</v>
      </c>
      <c r="G3853" s="10" t="s">
        <v>21</v>
      </c>
      <c r="H3853" t="str">
        <f>"8301970046 7/2021"</f>
        <v>8301970046 7/2021</v>
      </c>
      <c r="I3853" t="str">
        <f t="shared" si="84"/>
        <v>FRONTIER</v>
      </c>
    </row>
    <row r="3854" spans="1:9" x14ac:dyDescent="0.25">
      <c r="A3854" s="6">
        <v>44412</v>
      </c>
      <c r="B3854" t="s">
        <v>26</v>
      </c>
      <c r="C3854">
        <v>67272</v>
      </c>
      <c r="D3854" t="s">
        <v>56</v>
      </c>
      <c r="E3854" s="7">
        <v>454.95</v>
      </c>
      <c r="F3854" t="s">
        <v>20</v>
      </c>
      <c r="G3854" s="10" t="s">
        <v>21</v>
      </c>
      <c r="H3854" t="str">
        <f>"193479"</f>
        <v>193479</v>
      </c>
      <c r="I3854" t="str">
        <f>"GERALD LUBIANSKI ENTERPRISES"</f>
        <v>GERALD LUBIANSKI ENTERPRISES</v>
      </c>
    </row>
    <row r="3855" spans="1:9" x14ac:dyDescent="0.25">
      <c r="E3855" s="7"/>
      <c r="F3855" t="s">
        <v>20</v>
      </c>
      <c r="G3855" s="10" t="s">
        <v>21</v>
      </c>
      <c r="H3855" t="str">
        <f>"194085"</f>
        <v>194085</v>
      </c>
      <c r="I3855" t="str">
        <f>"GERALD LUBIANSKI ENTERPRISES"</f>
        <v>GERALD LUBIANSKI ENTERPRISES</v>
      </c>
    </row>
    <row r="3856" spans="1:9" x14ac:dyDescent="0.25">
      <c r="E3856" s="7"/>
      <c r="F3856" t="s">
        <v>20</v>
      </c>
      <c r="G3856" s="10" t="s">
        <v>21</v>
      </c>
      <c r="H3856" t="str">
        <f>"194561"</f>
        <v>194561</v>
      </c>
      <c r="I3856" t="str">
        <f>"5 GAL"</f>
        <v>5 GAL</v>
      </c>
    </row>
    <row r="3857" spans="1:9" x14ac:dyDescent="0.25">
      <c r="E3857" s="7"/>
      <c r="F3857" t="s">
        <v>20</v>
      </c>
      <c r="G3857" s="10" t="s">
        <v>21</v>
      </c>
      <c r="H3857" t="str">
        <f>"194652"</f>
        <v>194652</v>
      </c>
      <c r="I3857" t="str">
        <f>"GERALD LUBIANSKI ENTERPRISES"</f>
        <v>GERALD LUBIANSKI ENTERPRISES</v>
      </c>
    </row>
    <row r="3858" spans="1:9" x14ac:dyDescent="0.25">
      <c r="E3858" s="7"/>
      <c r="F3858" t="s">
        <v>20</v>
      </c>
      <c r="G3858" s="10" t="s">
        <v>21</v>
      </c>
      <c r="H3858" t="str">
        <f>"194655"</f>
        <v>194655</v>
      </c>
      <c r="I3858" t="str">
        <f>"HERBICIDE"</f>
        <v>HERBICIDE</v>
      </c>
    </row>
    <row r="3859" spans="1:9" x14ac:dyDescent="0.25">
      <c r="A3859" s="6">
        <v>44412</v>
      </c>
      <c r="B3859" t="s">
        <v>26</v>
      </c>
      <c r="C3859">
        <v>67273</v>
      </c>
      <c r="D3859" t="s">
        <v>430</v>
      </c>
      <c r="E3859" s="7">
        <v>174</v>
      </c>
      <c r="F3859" t="s">
        <v>20</v>
      </c>
      <c r="G3859" s="10" t="s">
        <v>21</v>
      </c>
      <c r="H3859" t="str">
        <f>"INTERV.&amp;INTERROG."</f>
        <v>INTERV.&amp;INTERROG.</v>
      </c>
      <c r="I3859" t="str">
        <f>"GILBERT RODRIGUEZ"</f>
        <v>GILBERT RODRIGUEZ</v>
      </c>
    </row>
    <row r="3860" spans="1:9" x14ac:dyDescent="0.25">
      <c r="A3860" s="6">
        <v>44412</v>
      </c>
      <c r="B3860" t="s">
        <v>26</v>
      </c>
      <c r="C3860">
        <v>67274</v>
      </c>
      <c r="D3860" t="s">
        <v>116</v>
      </c>
      <c r="E3860" s="7">
        <v>630.6</v>
      </c>
      <c r="F3860" t="s">
        <v>20</v>
      </c>
      <c r="G3860" s="10" t="s">
        <v>21</v>
      </c>
      <c r="H3860" t="str">
        <f>"INV001095779"</f>
        <v>INV001095779</v>
      </c>
      <c r="I3860" t="str">
        <f>"SWIMSUIT UNIFORMS"</f>
        <v>SWIMSUIT UNIFORMS</v>
      </c>
    </row>
    <row r="3861" spans="1:9" x14ac:dyDescent="0.25">
      <c r="A3861" s="6">
        <v>44412</v>
      </c>
      <c r="B3861" t="s">
        <v>26</v>
      </c>
      <c r="C3861">
        <v>67275</v>
      </c>
      <c r="D3861" t="s">
        <v>328</v>
      </c>
      <c r="E3861" s="7">
        <v>1250</v>
      </c>
      <c r="F3861" t="s">
        <v>20</v>
      </c>
      <c r="G3861" s="10" t="s">
        <v>21</v>
      </c>
      <c r="H3861" t="str">
        <f>"7020705"</f>
        <v>7020705</v>
      </c>
      <c r="I3861" t="str">
        <f>"KOLOGIK"</f>
        <v>KOLOGIK</v>
      </c>
    </row>
    <row r="3862" spans="1:9" x14ac:dyDescent="0.25">
      <c r="A3862" s="6">
        <v>44412</v>
      </c>
      <c r="B3862" t="s">
        <v>26</v>
      </c>
      <c r="C3862">
        <v>67276</v>
      </c>
      <c r="D3862" t="s">
        <v>80</v>
      </c>
      <c r="E3862" s="7">
        <v>1500</v>
      </c>
      <c r="F3862" t="s">
        <v>20</v>
      </c>
      <c r="G3862" s="10" t="s">
        <v>21</v>
      </c>
      <c r="H3862" t="str">
        <f>"1648-20210801-1"</f>
        <v>1648-20210801-1</v>
      </c>
      <c r="I3862" t="str">
        <f>"LVWIFI.COM"</f>
        <v>LVWIFI.COM</v>
      </c>
    </row>
    <row r="3863" spans="1:9" x14ac:dyDescent="0.25">
      <c r="E3863" s="7"/>
      <c r="F3863" t="s">
        <v>20</v>
      </c>
      <c r="G3863" s="10" t="s">
        <v>21</v>
      </c>
      <c r="H3863" t="str">
        <f>"2313-20210801-1"</f>
        <v>2313-20210801-1</v>
      </c>
      <c r="I3863" t="str">
        <f>"LVWIFI.COM"</f>
        <v>LVWIFI.COM</v>
      </c>
    </row>
    <row r="3864" spans="1:9" x14ac:dyDescent="0.25">
      <c r="A3864" s="6">
        <v>44412</v>
      </c>
      <c r="B3864" t="s">
        <v>26</v>
      </c>
      <c r="C3864">
        <v>67277</v>
      </c>
      <c r="D3864" t="s">
        <v>1058</v>
      </c>
      <c r="E3864" s="7">
        <v>192.58</v>
      </c>
      <c r="F3864" t="s">
        <v>20</v>
      </c>
      <c r="G3864" s="10" t="s">
        <v>21</v>
      </c>
      <c r="H3864" t="str">
        <f>"1440"</f>
        <v>1440</v>
      </c>
      <c r="I3864" t="str">
        <f>"MEN'S RESTROOM REPAIR"</f>
        <v>MEN'S RESTROOM REPAIR</v>
      </c>
    </row>
    <row r="3865" spans="1:9" x14ac:dyDescent="0.25">
      <c r="A3865" s="6">
        <v>44412</v>
      </c>
      <c r="B3865" t="s">
        <v>26</v>
      </c>
      <c r="C3865">
        <v>67278</v>
      </c>
      <c r="D3865" t="s">
        <v>42</v>
      </c>
      <c r="E3865" s="7">
        <v>221.88</v>
      </c>
      <c r="F3865" t="s">
        <v>20</v>
      </c>
      <c r="G3865" s="10" t="s">
        <v>21</v>
      </c>
      <c r="H3865" t="str">
        <f>"TMHRA CONF.8/2021"</f>
        <v>TMHRA CONF.8/2021</v>
      </c>
      <c r="I3865" t="str">
        <f>"MARGARET TEJADA"</f>
        <v>MARGARET TEJADA</v>
      </c>
    </row>
    <row r="3866" spans="1:9" x14ac:dyDescent="0.25">
      <c r="A3866" s="6">
        <v>44412</v>
      </c>
      <c r="B3866" t="s">
        <v>26</v>
      </c>
      <c r="C3866">
        <v>67279</v>
      </c>
      <c r="D3866" t="s">
        <v>124</v>
      </c>
      <c r="E3866" s="7">
        <v>18.59</v>
      </c>
      <c r="F3866" t="s">
        <v>20</v>
      </c>
      <c r="G3866" s="10" t="s">
        <v>21</v>
      </c>
      <c r="H3866" t="str">
        <f>"11108113*PARTIAL"</f>
        <v>11108113*PARTIAL</v>
      </c>
      <c r="I3866" t="str">
        <f>"MCCOY'S CORPORATION"</f>
        <v>MCCOY'S CORPORATION</v>
      </c>
    </row>
    <row r="3867" spans="1:9" x14ac:dyDescent="0.25">
      <c r="A3867" s="6">
        <v>44412</v>
      </c>
      <c r="B3867" t="s">
        <v>26</v>
      </c>
      <c r="C3867">
        <v>67280</v>
      </c>
      <c r="D3867" t="s">
        <v>240</v>
      </c>
      <c r="E3867" s="7">
        <v>2328.13</v>
      </c>
      <c r="F3867" t="s">
        <v>20</v>
      </c>
      <c r="G3867" s="10" t="s">
        <v>21</v>
      </c>
      <c r="H3867" t="str">
        <f>"0212138-IN"</f>
        <v>0212138-IN</v>
      </c>
      <c r="I3867" t="str">
        <f>"NEW OFFICER UNIFORMS"</f>
        <v>NEW OFFICER UNIFORMS</v>
      </c>
    </row>
    <row r="3868" spans="1:9" x14ac:dyDescent="0.25">
      <c r="E3868" s="7"/>
      <c r="F3868" t="s">
        <v>20</v>
      </c>
      <c r="G3868" s="10" t="s">
        <v>21</v>
      </c>
      <c r="H3868" t="str">
        <f>"0212139-IN"</f>
        <v>0212139-IN</v>
      </c>
      <c r="I3868" t="str">
        <f>"NARDIS PUBLIC SAFETY"</f>
        <v>NARDIS PUBLIC SAFETY</v>
      </c>
    </row>
    <row r="3869" spans="1:9" x14ac:dyDescent="0.25">
      <c r="E3869" s="7"/>
      <c r="F3869" t="s">
        <v>20</v>
      </c>
      <c r="G3869" s="10" t="s">
        <v>21</v>
      </c>
      <c r="H3869" t="str">
        <f>"0212435-IN"</f>
        <v>0212435-IN</v>
      </c>
      <c r="I3869" t="str">
        <f>"NEW OFFICER UNIFORM"</f>
        <v>NEW OFFICER UNIFORM</v>
      </c>
    </row>
    <row r="3870" spans="1:9" x14ac:dyDescent="0.25">
      <c r="E3870" s="7"/>
      <c r="F3870" t="s">
        <v>20</v>
      </c>
      <c r="G3870" s="10" t="s">
        <v>21</v>
      </c>
      <c r="H3870" t="str">
        <f>"0212546-IN"</f>
        <v>0212546-IN</v>
      </c>
      <c r="I3870" t="str">
        <f>"NARDIS PUBLIC SAFETY"</f>
        <v>NARDIS PUBLIC SAFETY</v>
      </c>
    </row>
    <row r="3871" spans="1:9" x14ac:dyDescent="0.25">
      <c r="E3871" s="7"/>
      <c r="F3871" t="s">
        <v>20</v>
      </c>
      <c r="G3871" s="10" t="s">
        <v>21</v>
      </c>
      <c r="H3871" t="str">
        <f>"0212657-IN"</f>
        <v>0212657-IN</v>
      </c>
      <c r="I3871" t="str">
        <f>"NARDIS PUBLIC SAFETY"</f>
        <v>NARDIS PUBLIC SAFETY</v>
      </c>
    </row>
    <row r="3872" spans="1:9" x14ac:dyDescent="0.25">
      <c r="A3872" s="6">
        <v>44412</v>
      </c>
      <c r="B3872" t="s">
        <v>26</v>
      </c>
      <c r="C3872">
        <v>67281</v>
      </c>
      <c r="D3872" t="s">
        <v>123</v>
      </c>
      <c r="E3872" s="7">
        <v>375.76</v>
      </c>
      <c r="F3872" t="s">
        <v>20</v>
      </c>
      <c r="G3872" s="10" t="s">
        <v>21</v>
      </c>
      <c r="H3872" t="str">
        <f>"181262743001"</f>
        <v>181262743001</v>
      </c>
      <c r="I3872" t="str">
        <f>"OFFICE SUPPLIES"</f>
        <v>OFFICE SUPPLIES</v>
      </c>
    </row>
    <row r="3873" spans="1:9" x14ac:dyDescent="0.25">
      <c r="E3873" s="7"/>
      <c r="F3873" t="s">
        <v>20</v>
      </c>
      <c r="G3873" s="10" t="s">
        <v>21</v>
      </c>
      <c r="H3873" t="str">
        <f>"182461411001"</f>
        <v>182461411001</v>
      </c>
      <c r="I3873" t="str">
        <f>"OFFICE SUPPLIES"</f>
        <v>OFFICE SUPPLIES</v>
      </c>
    </row>
    <row r="3874" spans="1:9" x14ac:dyDescent="0.25">
      <c r="E3874" s="7"/>
      <c r="F3874" t="s">
        <v>20</v>
      </c>
      <c r="G3874" s="10" t="s">
        <v>21</v>
      </c>
      <c r="H3874" t="str">
        <f>"182667907001"</f>
        <v>182667907001</v>
      </c>
      <c r="I3874" t="str">
        <f>"OFFICE SUPPLIES"</f>
        <v>OFFICE SUPPLIES</v>
      </c>
    </row>
    <row r="3875" spans="1:9" x14ac:dyDescent="0.25">
      <c r="A3875" s="6">
        <v>44412</v>
      </c>
      <c r="B3875" t="s">
        <v>26</v>
      </c>
      <c r="C3875">
        <v>67282</v>
      </c>
      <c r="D3875" t="s">
        <v>137</v>
      </c>
      <c r="E3875" s="7">
        <v>121.9</v>
      </c>
      <c r="F3875" t="s">
        <v>20</v>
      </c>
      <c r="G3875" s="10" t="s">
        <v>21</v>
      </c>
      <c r="H3875" t="str">
        <f>"26739"</f>
        <v>26739</v>
      </c>
      <c r="I3875" t="str">
        <f>"OMNIBUS-M  INC.D.B.A."</f>
        <v>OMNIBUS-M  INC.D.B.A.</v>
      </c>
    </row>
    <row r="3876" spans="1:9" x14ac:dyDescent="0.25">
      <c r="E3876" s="7"/>
      <c r="F3876" t="s">
        <v>20</v>
      </c>
      <c r="G3876" s="10" t="s">
        <v>21</v>
      </c>
      <c r="H3876" t="str">
        <f>"26740"</f>
        <v>26740</v>
      </c>
      <c r="I3876" t="str">
        <f>"OMNIBUS-M  INC.D.B.A."</f>
        <v>OMNIBUS-M  INC.D.B.A.</v>
      </c>
    </row>
    <row r="3877" spans="1:9" x14ac:dyDescent="0.25">
      <c r="A3877" s="6">
        <v>44412</v>
      </c>
      <c r="B3877" t="s">
        <v>26</v>
      </c>
      <c r="C3877">
        <v>67283</v>
      </c>
      <c r="D3877" t="s">
        <v>1081</v>
      </c>
      <c r="E3877" s="7">
        <v>502.88</v>
      </c>
      <c r="F3877" t="s">
        <v>20</v>
      </c>
      <c r="G3877" s="10" t="s">
        <v>21</v>
      </c>
      <c r="H3877" t="str">
        <f>"23033"</f>
        <v>23033</v>
      </c>
      <c r="I3877" t="str">
        <f>"PINNACLE PEST DEFENSE"</f>
        <v>PINNACLE PEST DEFENSE</v>
      </c>
    </row>
    <row r="3878" spans="1:9" x14ac:dyDescent="0.25">
      <c r="A3878" s="6">
        <v>44412</v>
      </c>
      <c r="B3878" t="s">
        <v>26</v>
      </c>
      <c r="C3878">
        <v>67284</v>
      </c>
      <c r="D3878" t="s">
        <v>273</v>
      </c>
      <c r="E3878" s="7">
        <v>1119.71</v>
      </c>
      <c r="F3878" t="s">
        <v>20</v>
      </c>
      <c r="G3878" s="10" t="s">
        <v>21</v>
      </c>
      <c r="H3878" t="str">
        <f>"5119-000098113"</f>
        <v>5119-000098113</v>
      </c>
      <c r="I3878" t="str">
        <f>"REPUBLIC SERVICES TESSMAN ROAD"</f>
        <v>REPUBLIC SERVICES TESSMAN ROAD</v>
      </c>
    </row>
    <row r="3879" spans="1:9" x14ac:dyDescent="0.25">
      <c r="A3879" s="6">
        <v>44412</v>
      </c>
      <c r="B3879" t="s">
        <v>26</v>
      </c>
      <c r="C3879">
        <v>67285</v>
      </c>
      <c r="D3879" t="s">
        <v>27</v>
      </c>
      <c r="E3879" s="7">
        <v>601.84</v>
      </c>
      <c r="F3879" t="s">
        <v>20</v>
      </c>
      <c r="G3879" s="10" t="s">
        <v>21</v>
      </c>
      <c r="H3879" t="str">
        <f>"TEEX WATER TECH CS"</f>
        <v>TEEX WATER TECH CS</v>
      </c>
      <c r="I3879" t="str">
        <f>"EMPLOYEE TRAVEL REQUEST"</f>
        <v>EMPLOYEE TRAVEL REQUEST</v>
      </c>
    </row>
    <row r="3880" spans="1:9" x14ac:dyDescent="0.25">
      <c r="A3880" s="6">
        <v>44412</v>
      </c>
      <c r="B3880" t="s">
        <v>26</v>
      </c>
      <c r="C3880">
        <v>67286</v>
      </c>
      <c r="D3880" t="s">
        <v>339</v>
      </c>
      <c r="E3880" s="7">
        <v>90</v>
      </c>
      <c r="F3880" t="s">
        <v>20</v>
      </c>
      <c r="G3880" s="10" t="s">
        <v>21</v>
      </c>
      <c r="H3880" t="str">
        <f>"830037"</f>
        <v>830037</v>
      </c>
      <c r="I3880" t="str">
        <f>"UNIT 334 &amp; 325"</f>
        <v>UNIT 334 &amp; 325</v>
      </c>
    </row>
    <row r="3881" spans="1:9" x14ac:dyDescent="0.25">
      <c r="A3881" s="6">
        <v>44412</v>
      </c>
      <c r="B3881" t="s">
        <v>26</v>
      </c>
      <c r="C3881">
        <v>67287</v>
      </c>
      <c r="D3881" t="s">
        <v>132</v>
      </c>
      <c r="E3881" s="7">
        <v>85.56</v>
      </c>
      <c r="F3881" t="s">
        <v>20</v>
      </c>
      <c r="G3881" s="10" t="s">
        <v>21</v>
      </c>
      <c r="H3881" t="str">
        <f>"16992887 071521"</f>
        <v>16992887 071521</v>
      </c>
      <c r="I3881" t="str">
        <f>"SPARKLETTS &amp; SIERRA SPRINGS"</f>
        <v>SPARKLETTS &amp; SIERRA SPRINGS</v>
      </c>
    </row>
    <row r="3882" spans="1:9" x14ac:dyDescent="0.25">
      <c r="A3882" s="6">
        <v>44412</v>
      </c>
      <c r="B3882" t="s">
        <v>26</v>
      </c>
      <c r="C3882">
        <v>67288</v>
      </c>
      <c r="D3882" t="s">
        <v>975</v>
      </c>
      <c r="E3882" s="7">
        <v>486.6</v>
      </c>
      <c r="F3882" t="s">
        <v>20</v>
      </c>
      <c r="G3882" s="10" t="s">
        <v>21</v>
      </c>
      <c r="H3882" t="str">
        <f>"P86031"</f>
        <v>P86031</v>
      </c>
      <c r="I3882" t="str">
        <f>"LAWN MOWER REPAIR"</f>
        <v>LAWN MOWER REPAIR</v>
      </c>
    </row>
    <row r="3883" spans="1:9" x14ac:dyDescent="0.25">
      <c r="E3883" s="7"/>
      <c r="F3883" t="s">
        <v>20</v>
      </c>
      <c r="G3883" s="10" t="s">
        <v>21</v>
      </c>
      <c r="H3883" t="str">
        <f>"P86380"</f>
        <v>P86380</v>
      </c>
      <c r="I3883" t="str">
        <f>"SUPPLIES FOR STOCK"</f>
        <v>SUPPLIES FOR STOCK</v>
      </c>
    </row>
    <row r="3884" spans="1:9" x14ac:dyDescent="0.25">
      <c r="A3884" s="6">
        <v>44412</v>
      </c>
      <c r="B3884" t="s">
        <v>26</v>
      </c>
      <c r="C3884">
        <v>67289</v>
      </c>
      <c r="D3884" t="s">
        <v>1082</v>
      </c>
      <c r="E3884" s="7">
        <v>3000</v>
      </c>
      <c r="F3884" t="s">
        <v>20</v>
      </c>
      <c r="G3884" s="10" t="s">
        <v>21</v>
      </c>
      <c r="H3884" t="str">
        <f>"1356"</f>
        <v>1356</v>
      </c>
      <c r="I3884" t="str">
        <f>"TPO ROOF REPAIR"</f>
        <v>TPO ROOF REPAIR</v>
      </c>
    </row>
    <row r="3885" spans="1:9" x14ac:dyDescent="0.25">
      <c r="A3885" s="6">
        <v>44412</v>
      </c>
      <c r="B3885" t="s">
        <v>26</v>
      </c>
      <c r="C3885">
        <v>67290</v>
      </c>
      <c r="D3885" t="s">
        <v>554</v>
      </c>
      <c r="E3885" s="7">
        <v>74.95</v>
      </c>
      <c r="F3885" t="s">
        <v>20</v>
      </c>
      <c r="G3885" s="10" t="s">
        <v>21</v>
      </c>
      <c r="H3885" t="str">
        <f>"AB3205"</f>
        <v>AB3205</v>
      </c>
      <c r="I3885" t="str">
        <f>"TEXAS WIRED MUSIC"</f>
        <v>TEXAS WIRED MUSIC</v>
      </c>
    </row>
    <row r="3886" spans="1:9" x14ac:dyDescent="0.25">
      <c r="A3886" s="6">
        <v>44412</v>
      </c>
      <c r="B3886" t="s">
        <v>26</v>
      </c>
      <c r="C3886">
        <v>67291</v>
      </c>
      <c r="D3886" t="s">
        <v>1038</v>
      </c>
      <c r="E3886" s="7">
        <v>36</v>
      </c>
      <c r="F3886" t="s">
        <v>20</v>
      </c>
      <c r="G3886" s="10" t="s">
        <v>21</v>
      </c>
      <c r="H3886" t="str">
        <f>"RMBSMT UNIT 329"</f>
        <v>RMBSMT UNIT 329</v>
      </c>
      <c r="I3886" t="str">
        <f>"THOMAS SILVAS"</f>
        <v>THOMAS SILVAS</v>
      </c>
    </row>
    <row r="3887" spans="1:9" x14ac:dyDescent="0.25">
      <c r="A3887" s="6">
        <v>44412</v>
      </c>
      <c r="B3887" t="s">
        <v>26</v>
      </c>
      <c r="C3887">
        <v>67292</v>
      </c>
      <c r="D3887" t="s">
        <v>698</v>
      </c>
      <c r="E3887" s="7">
        <v>61</v>
      </c>
      <c r="F3887" t="s">
        <v>20</v>
      </c>
      <c r="G3887" s="10" t="s">
        <v>21</v>
      </c>
      <c r="H3887" t="str">
        <f>"7/31/2021"</f>
        <v>7/31/2021</v>
      </c>
      <c r="I3887" t="str">
        <f>"TRACY ORTIZ"</f>
        <v>TRACY ORTIZ</v>
      </c>
    </row>
    <row r="3888" spans="1:9" x14ac:dyDescent="0.25">
      <c r="A3888" s="6">
        <v>44412</v>
      </c>
      <c r="B3888" t="s">
        <v>26</v>
      </c>
      <c r="C3888">
        <v>67293</v>
      </c>
      <c r="D3888" t="s">
        <v>644</v>
      </c>
      <c r="E3888" s="7">
        <v>799.31</v>
      </c>
      <c r="F3888" t="s">
        <v>20</v>
      </c>
      <c r="G3888" s="10" t="s">
        <v>24</v>
      </c>
      <c r="H3888" t="str">
        <f>"8213619351*CR"</f>
        <v>8213619351*CR</v>
      </c>
      <c r="I3888" t="str">
        <f t="shared" ref="I3888:I3900" si="85">"UNIFIRST CORPORATION"</f>
        <v>UNIFIRST CORPORATION</v>
      </c>
    </row>
    <row r="3889" spans="1:9" x14ac:dyDescent="0.25">
      <c r="E3889" s="7"/>
      <c r="F3889" t="s">
        <v>20</v>
      </c>
      <c r="G3889" s="10" t="s">
        <v>21</v>
      </c>
      <c r="H3889" t="str">
        <f>"8213619349"</f>
        <v>8213619349</v>
      </c>
      <c r="I3889" t="str">
        <f t="shared" si="85"/>
        <v>UNIFIRST CORPORATION</v>
      </c>
    </row>
    <row r="3890" spans="1:9" x14ac:dyDescent="0.25">
      <c r="E3890" s="7"/>
      <c r="F3890" t="s">
        <v>20</v>
      </c>
      <c r="G3890" s="10" t="s">
        <v>21</v>
      </c>
      <c r="H3890" t="str">
        <f>"8213619350"</f>
        <v>8213619350</v>
      </c>
      <c r="I3890" t="str">
        <f t="shared" si="85"/>
        <v>UNIFIRST CORPORATION</v>
      </c>
    </row>
    <row r="3891" spans="1:9" x14ac:dyDescent="0.25">
      <c r="E3891" s="7"/>
      <c r="F3891" t="s">
        <v>20</v>
      </c>
      <c r="G3891" s="10" t="s">
        <v>21</v>
      </c>
      <c r="H3891" t="str">
        <f>"8213619351"</f>
        <v>8213619351</v>
      </c>
      <c r="I3891" t="str">
        <f t="shared" si="85"/>
        <v>UNIFIRST CORPORATION</v>
      </c>
    </row>
    <row r="3892" spans="1:9" x14ac:dyDescent="0.25">
      <c r="E3892" s="7"/>
      <c r="F3892" t="s">
        <v>20</v>
      </c>
      <c r="G3892" s="10" t="s">
        <v>21</v>
      </c>
      <c r="H3892" t="str">
        <f>"8213619352"</f>
        <v>8213619352</v>
      </c>
      <c r="I3892" t="str">
        <f t="shared" si="85"/>
        <v>UNIFIRST CORPORATION</v>
      </c>
    </row>
    <row r="3893" spans="1:9" x14ac:dyDescent="0.25">
      <c r="E3893" s="7"/>
      <c r="F3893" t="s">
        <v>20</v>
      </c>
      <c r="G3893" s="10" t="s">
        <v>21</v>
      </c>
      <c r="H3893" t="str">
        <f>"8213619354"</f>
        <v>8213619354</v>
      </c>
      <c r="I3893" t="str">
        <f t="shared" si="85"/>
        <v>UNIFIRST CORPORATION</v>
      </c>
    </row>
    <row r="3894" spans="1:9" x14ac:dyDescent="0.25">
      <c r="E3894" s="7"/>
      <c r="F3894" t="s">
        <v>20</v>
      </c>
      <c r="G3894" s="10" t="s">
        <v>21</v>
      </c>
      <c r="H3894" t="str">
        <f>"8213619355"</f>
        <v>8213619355</v>
      </c>
      <c r="I3894" t="str">
        <f t="shared" si="85"/>
        <v>UNIFIRST CORPORATION</v>
      </c>
    </row>
    <row r="3895" spans="1:9" x14ac:dyDescent="0.25">
      <c r="E3895" s="7"/>
      <c r="F3895" t="s">
        <v>20</v>
      </c>
      <c r="G3895" s="10" t="s">
        <v>21</v>
      </c>
      <c r="H3895" t="str">
        <f>"8213621940"</f>
        <v>8213621940</v>
      </c>
      <c r="I3895" t="str">
        <f t="shared" si="85"/>
        <v>UNIFIRST CORPORATION</v>
      </c>
    </row>
    <row r="3896" spans="1:9" x14ac:dyDescent="0.25">
      <c r="E3896" s="7"/>
      <c r="F3896" t="s">
        <v>20</v>
      </c>
      <c r="G3896" s="10" t="s">
        <v>21</v>
      </c>
      <c r="H3896" t="str">
        <f>"8213621941"</f>
        <v>8213621941</v>
      </c>
      <c r="I3896" t="str">
        <f t="shared" si="85"/>
        <v>UNIFIRST CORPORATION</v>
      </c>
    </row>
    <row r="3897" spans="1:9" x14ac:dyDescent="0.25">
      <c r="E3897" s="7"/>
      <c r="F3897" t="s">
        <v>20</v>
      </c>
      <c r="G3897" s="10" t="s">
        <v>21</v>
      </c>
      <c r="H3897" t="str">
        <f>"8213621942"</f>
        <v>8213621942</v>
      </c>
      <c r="I3897" t="str">
        <f t="shared" si="85"/>
        <v>UNIFIRST CORPORATION</v>
      </c>
    </row>
    <row r="3898" spans="1:9" x14ac:dyDescent="0.25">
      <c r="E3898" s="7"/>
      <c r="F3898" t="s">
        <v>20</v>
      </c>
      <c r="G3898" s="10" t="s">
        <v>21</v>
      </c>
      <c r="H3898" t="str">
        <f>"8213621943"</f>
        <v>8213621943</v>
      </c>
      <c r="I3898" t="str">
        <f t="shared" si="85"/>
        <v>UNIFIRST CORPORATION</v>
      </c>
    </row>
    <row r="3899" spans="1:9" x14ac:dyDescent="0.25">
      <c r="E3899" s="7"/>
      <c r="F3899" t="s">
        <v>20</v>
      </c>
      <c r="G3899" s="10" t="s">
        <v>21</v>
      </c>
      <c r="H3899" t="str">
        <f>"8213621945"</f>
        <v>8213621945</v>
      </c>
      <c r="I3899" t="str">
        <f t="shared" si="85"/>
        <v>UNIFIRST CORPORATION</v>
      </c>
    </row>
    <row r="3900" spans="1:9" x14ac:dyDescent="0.25">
      <c r="E3900" s="7"/>
      <c r="F3900" t="s">
        <v>20</v>
      </c>
      <c r="G3900" s="10" t="s">
        <v>21</v>
      </c>
      <c r="H3900" t="str">
        <f>"8213621946"</f>
        <v>8213621946</v>
      </c>
      <c r="I3900" t="str">
        <f t="shared" si="85"/>
        <v>UNIFIRST CORPORATION</v>
      </c>
    </row>
    <row r="3901" spans="1:9" x14ac:dyDescent="0.25">
      <c r="A3901" s="6">
        <v>44412</v>
      </c>
      <c r="B3901" t="s">
        <v>26</v>
      </c>
      <c r="C3901">
        <v>67296</v>
      </c>
      <c r="D3901" t="s">
        <v>203</v>
      </c>
      <c r="E3901" s="7">
        <v>428.5</v>
      </c>
      <c r="F3901" t="s">
        <v>20</v>
      </c>
      <c r="G3901" s="10" t="s">
        <v>21</v>
      </c>
      <c r="H3901" t="str">
        <f>"654009"</f>
        <v>654009</v>
      </c>
      <c r="I3901" t="str">
        <f>"WWTP"</f>
        <v>WWTP</v>
      </c>
    </row>
    <row r="3902" spans="1:9" x14ac:dyDescent="0.25">
      <c r="E3902" s="7"/>
      <c r="F3902" t="s">
        <v>20</v>
      </c>
      <c r="G3902" s="10" t="s">
        <v>21</v>
      </c>
      <c r="H3902" t="str">
        <f>"655666"</f>
        <v>655666</v>
      </c>
      <c r="I3902" t="str">
        <f>"WWTP"</f>
        <v>WWTP</v>
      </c>
    </row>
    <row r="3903" spans="1:9" x14ac:dyDescent="0.25">
      <c r="A3903" s="6">
        <v>44412</v>
      </c>
      <c r="B3903" t="s">
        <v>26</v>
      </c>
      <c r="C3903">
        <v>67297</v>
      </c>
      <c r="D3903" t="s">
        <v>122</v>
      </c>
      <c r="E3903" s="7">
        <v>5</v>
      </c>
      <c r="F3903" t="s">
        <v>20</v>
      </c>
      <c r="G3903" s="10" t="s">
        <v>21</v>
      </c>
      <c r="H3903" t="str">
        <f>"933402"</f>
        <v>933402</v>
      </c>
      <c r="I3903" t="str">
        <f>"VILLA TIRES"</f>
        <v>VILLA TIRES</v>
      </c>
    </row>
    <row r="3904" spans="1:9" x14ac:dyDescent="0.25">
      <c r="A3904" s="6">
        <v>44412</v>
      </c>
      <c r="B3904" t="s">
        <v>26</v>
      </c>
      <c r="C3904">
        <v>67298</v>
      </c>
      <c r="D3904" t="s">
        <v>235</v>
      </c>
      <c r="E3904" s="7">
        <v>12960</v>
      </c>
      <c r="F3904" t="s">
        <v>20</v>
      </c>
      <c r="G3904" s="10" t="s">
        <v>21</v>
      </c>
      <c r="H3904" t="str">
        <f>"FDPRMT11/1-07/2021"</f>
        <v>FDPRMT11/1-07/2021</v>
      </c>
      <c r="I3904" t="str">
        <f>"WILSON COUNTY AUDITOR"</f>
        <v>WILSON COUNTY AUDITOR</v>
      </c>
    </row>
    <row r="3905" spans="1:9" x14ac:dyDescent="0.25">
      <c r="A3905" s="6">
        <v>44412</v>
      </c>
      <c r="B3905" t="s">
        <v>26</v>
      </c>
      <c r="C3905">
        <v>67299</v>
      </c>
      <c r="D3905" t="s">
        <v>104</v>
      </c>
      <c r="E3905" s="7">
        <v>239.5</v>
      </c>
      <c r="F3905" t="s">
        <v>20</v>
      </c>
      <c r="G3905" s="10" t="s">
        <v>21</v>
      </c>
      <c r="H3905" t="str">
        <f>"18645"</f>
        <v>18645</v>
      </c>
      <c r="I3905" t="str">
        <f>"PRINTING"</f>
        <v>PRINTING</v>
      </c>
    </row>
    <row r="3906" spans="1:9" x14ac:dyDescent="0.25">
      <c r="A3906" s="6">
        <v>44412</v>
      </c>
      <c r="B3906" t="s">
        <v>26</v>
      </c>
      <c r="C3906">
        <v>67300</v>
      </c>
      <c r="D3906" t="s">
        <v>1083</v>
      </c>
      <c r="E3906" s="7">
        <v>75</v>
      </c>
      <c r="F3906" t="s">
        <v>20</v>
      </c>
      <c r="G3906" s="10" t="s">
        <v>21</v>
      </c>
      <c r="H3906" t="str">
        <f>"POOL RFND 3RD HR"</f>
        <v>POOL RFND 3RD HR</v>
      </c>
      <c r="I3906" t="str">
        <f>"REFUND"</f>
        <v>REFUND</v>
      </c>
    </row>
    <row r="3907" spans="1:9" x14ac:dyDescent="0.25">
      <c r="A3907" s="6">
        <v>44412</v>
      </c>
      <c r="B3907" t="s">
        <v>26</v>
      </c>
      <c r="C3907">
        <v>67301</v>
      </c>
      <c r="D3907" t="s">
        <v>64</v>
      </c>
      <c r="E3907" s="7">
        <v>2818</v>
      </c>
      <c r="F3907" t="s">
        <v>20</v>
      </c>
      <c r="G3907" s="10" t="s">
        <v>21</v>
      </c>
      <c r="H3907" t="str">
        <f>"8555"</f>
        <v>8555</v>
      </c>
      <c r="I3907" t="str">
        <f>"DREWA DESIGNS  INC."</f>
        <v>DREWA DESIGNS  INC.</v>
      </c>
    </row>
    <row r="3908" spans="1:9" x14ac:dyDescent="0.25">
      <c r="A3908" s="6">
        <v>44412</v>
      </c>
      <c r="B3908" t="s">
        <v>26</v>
      </c>
      <c r="C3908">
        <v>67302</v>
      </c>
      <c r="D3908" t="s">
        <v>148</v>
      </c>
      <c r="E3908" s="7">
        <v>400</v>
      </c>
      <c r="F3908" t="s">
        <v>20</v>
      </c>
      <c r="G3908" s="10" t="s">
        <v>21</v>
      </c>
      <c r="H3908" t="str">
        <f>"WMS0047885"</f>
        <v>WMS0047885</v>
      </c>
      <c r="I3908" t="str">
        <f>"TEXAS COMMISSION ON ENVIRONMEN"</f>
        <v>TEXAS COMMISSION ON ENVIRONMEN</v>
      </c>
    </row>
    <row r="3909" spans="1:9" x14ac:dyDescent="0.25">
      <c r="A3909" s="6">
        <v>44412</v>
      </c>
      <c r="B3909" t="s">
        <v>26</v>
      </c>
      <c r="C3909">
        <v>67303</v>
      </c>
      <c r="D3909" t="s">
        <v>836</v>
      </c>
      <c r="E3909" s="7">
        <v>4265</v>
      </c>
      <c r="F3909" t="s">
        <v>20</v>
      </c>
      <c r="G3909" s="10" t="s">
        <v>21</v>
      </c>
      <c r="H3909" t="str">
        <f>"77034"</f>
        <v>77034</v>
      </c>
      <c r="I3909" t="str">
        <f>"BARCOM TECHNOLOGY SOLUTIONS  I"</f>
        <v>BARCOM TECHNOLOGY SOLUTIONS  I</v>
      </c>
    </row>
    <row r="3910" spans="1:9" x14ac:dyDescent="0.25">
      <c r="A3910" s="6">
        <v>44412</v>
      </c>
      <c r="B3910" t="s">
        <v>26</v>
      </c>
      <c r="C3910">
        <v>67304</v>
      </c>
      <c r="D3910" t="s">
        <v>38</v>
      </c>
      <c r="E3910" s="7">
        <v>100</v>
      </c>
      <c r="F3910" t="s">
        <v>20</v>
      </c>
      <c r="G3910" s="10" t="s">
        <v>21</v>
      </c>
      <c r="H3910" t="str">
        <f t="shared" ref="H3910:H3915" si="86">"8/2021-COUNCIL"</f>
        <v>8/2021-COUNCIL</v>
      </c>
      <c r="I3910" t="str">
        <f>""</f>
        <v/>
      </c>
    </row>
    <row r="3911" spans="1:9" x14ac:dyDescent="0.25">
      <c r="A3911" s="6">
        <v>44412</v>
      </c>
      <c r="B3911" t="s">
        <v>26</v>
      </c>
      <c r="C3911">
        <v>67305</v>
      </c>
      <c r="D3911" t="s">
        <v>1011</v>
      </c>
      <c r="E3911" s="7">
        <v>75</v>
      </c>
      <c r="F3911" t="s">
        <v>20</v>
      </c>
      <c r="G3911" s="10" t="s">
        <v>21</v>
      </c>
      <c r="H3911" t="str">
        <f t="shared" si="86"/>
        <v>8/2021-COUNCIL</v>
      </c>
      <c r="I3911" t="str">
        <f>""</f>
        <v/>
      </c>
    </row>
    <row r="3912" spans="1:9" x14ac:dyDescent="0.25">
      <c r="A3912" s="6">
        <v>44412</v>
      </c>
      <c r="B3912" t="s">
        <v>26</v>
      </c>
      <c r="C3912">
        <v>67306</v>
      </c>
      <c r="D3912" t="s">
        <v>36</v>
      </c>
      <c r="E3912" s="7">
        <v>75</v>
      </c>
      <c r="F3912" t="s">
        <v>20</v>
      </c>
      <c r="G3912" s="10" t="s">
        <v>21</v>
      </c>
      <c r="H3912" t="str">
        <f t="shared" si="86"/>
        <v>8/2021-COUNCIL</v>
      </c>
      <c r="I3912" t="str">
        <f>""</f>
        <v/>
      </c>
    </row>
    <row r="3913" spans="1:9" x14ac:dyDescent="0.25">
      <c r="A3913" s="6">
        <v>44412</v>
      </c>
      <c r="B3913" t="s">
        <v>26</v>
      </c>
      <c r="C3913">
        <v>67307</v>
      </c>
      <c r="D3913" t="s">
        <v>637</v>
      </c>
      <c r="E3913" s="7">
        <v>75</v>
      </c>
      <c r="F3913" t="s">
        <v>20</v>
      </c>
      <c r="G3913" s="10" t="s">
        <v>21</v>
      </c>
      <c r="H3913" t="str">
        <f t="shared" si="86"/>
        <v>8/2021-COUNCIL</v>
      </c>
      <c r="I3913" t="str">
        <f>""</f>
        <v/>
      </c>
    </row>
    <row r="3914" spans="1:9" x14ac:dyDescent="0.25">
      <c r="A3914" s="6">
        <v>44412</v>
      </c>
      <c r="B3914" t="s">
        <v>26</v>
      </c>
      <c r="C3914">
        <v>67308</v>
      </c>
      <c r="D3914" t="s">
        <v>889</v>
      </c>
      <c r="E3914" s="7">
        <v>75</v>
      </c>
      <c r="F3914" t="s">
        <v>20</v>
      </c>
      <c r="G3914" s="10" t="s">
        <v>21</v>
      </c>
      <c r="H3914" t="str">
        <f t="shared" si="86"/>
        <v>8/2021-COUNCIL</v>
      </c>
      <c r="I3914" t="str">
        <f>""</f>
        <v/>
      </c>
    </row>
    <row r="3915" spans="1:9" x14ac:dyDescent="0.25">
      <c r="A3915" s="6">
        <v>44412</v>
      </c>
      <c r="B3915" t="s">
        <v>26</v>
      </c>
      <c r="C3915">
        <v>67309</v>
      </c>
      <c r="D3915" t="s">
        <v>558</v>
      </c>
      <c r="E3915" s="7">
        <v>75</v>
      </c>
      <c r="F3915" t="s">
        <v>20</v>
      </c>
      <c r="G3915" s="10" t="s">
        <v>21</v>
      </c>
      <c r="H3915" t="str">
        <f t="shared" si="86"/>
        <v>8/2021-COUNCIL</v>
      </c>
      <c r="I3915" t="str">
        <f>"MONTHLY COUNCIL CHECKS"</f>
        <v>MONTHLY COUNCIL CHECKS</v>
      </c>
    </row>
    <row r="3916" spans="1:9" x14ac:dyDescent="0.25">
      <c r="A3916" s="6">
        <v>44412</v>
      </c>
      <c r="B3916" t="s">
        <v>26</v>
      </c>
      <c r="C3916">
        <v>67310</v>
      </c>
      <c r="D3916" t="s">
        <v>345</v>
      </c>
      <c r="E3916" s="7">
        <v>253</v>
      </c>
      <c r="F3916" t="s">
        <v>20</v>
      </c>
      <c r="G3916" s="10" t="s">
        <v>21</v>
      </c>
      <c r="H3916" t="str">
        <f>"08/02/2021"</f>
        <v>08/02/2021</v>
      </c>
      <c r="I3916" t="str">
        <f>"MICHAEL ISAAC MARTINEZ"</f>
        <v>MICHAEL ISAAC MARTINEZ</v>
      </c>
    </row>
    <row r="3917" spans="1:9" x14ac:dyDescent="0.25">
      <c r="A3917" s="6">
        <v>44413</v>
      </c>
      <c r="B3917" t="s">
        <v>91</v>
      </c>
      <c r="C3917">
        <v>67311</v>
      </c>
      <c r="D3917" t="s">
        <v>157</v>
      </c>
      <c r="E3917" s="7">
        <v>1200.97</v>
      </c>
      <c r="F3917" t="s">
        <v>20</v>
      </c>
      <c r="G3917" s="10" t="s">
        <v>21</v>
      </c>
      <c r="H3917" t="str">
        <f>"8/5/2021"</f>
        <v>8/5/2021</v>
      </c>
      <c r="I3917" t="str">
        <f>"GLAZIERS"</f>
        <v>GLAZIERS</v>
      </c>
    </row>
    <row r="3918" spans="1:9" x14ac:dyDescent="0.25">
      <c r="A3918" s="6">
        <v>44413</v>
      </c>
      <c r="B3918" t="s">
        <v>91</v>
      </c>
      <c r="C3918">
        <v>67311</v>
      </c>
      <c r="D3918" t="s">
        <v>157</v>
      </c>
      <c r="E3918" s="7">
        <v>1200.97</v>
      </c>
      <c r="F3918" t="s">
        <v>20</v>
      </c>
      <c r="G3918" s="10" t="s">
        <v>93</v>
      </c>
      <c r="H3918" t="str">
        <f>"CHECK"</f>
        <v>CHECK</v>
      </c>
      <c r="I3918" t="str">
        <f>""</f>
        <v/>
      </c>
    </row>
    <row r="3919" spans="1:9" x14ac:dyDescent="0.25">
      <c r="A3919" s="6">
        <v>44413</v>
      </c>
      <c r="B3919" t="s">
        <v>26</v>
      </c>
      <c r="C3919">
        <v>67312</v>
      </c>
      <c r="D3919" t="s">
        <v>1084</v>
      </c>
      <c r="E3919" s="7">
        <v>350</v>
      </c>
      <c r="F3919" t="s">
        <v>20</v>
      </c>
      <c r="G3919" s="10" t="s">
        <v>21</v>
      </c>
      <c r="H3919" t="str">
        <f>"RFND 8/28/2021"</f>
        <v>RFND 8/28/2021</v>
      </c>
      <c r="I3919" t="str">
        <f>"REFUND"</f>
        <v>REFUND</v>
      </c>
    </row>
    <row r="3920" spans="1:9" x14ac:dyDescent="0.25">
      <c r="A3920" s="6">
        <v>44413</v>
      </c>
      <c r="B3920" t="s">
        <v>26</v>
      </c>
      <c r="C3920">
        <v>67313</v>
      </c>
      <c r="D3920" t="s">
        <v>90</v>
      </c>
      <c r="E3920" s="7">
        <v>1636.56</v>
      </c>
      <c r="F3920" t="s">
        <v>20</v>
      </c>
      <c r="G3920" s="10" t="s">
        <v>21</v>
      </c>
      <c r="H3920" t="str">
        <f>"ACA202106298615"</f>
        <v>ACA202106298615</v>
      </c>
      <c r="I3920" t="str">
        <f>"AFLAC INSURANCE"</f>
        <v>AFLAC INSURANCE</v>
      </c>
    </row>
    <row r="3921" spans="1:9" x14ac:dyDescent="0.25">
      <c r="E3921" s="7"/>
      <c r="F3921" t="s">
        <v>20</v>
      </c>
      <c r="G3921" s="10" t="s">
        <v>21</v>
      </c>
      <c r="H3921" t="str">
        <f>"ACA202107138616"</f>
        <v>ACA202107138616</v>
      </c>
      <c r="I3921" t="str">
        <f>"AFLAC INSURANCE"</f>
        <v>AFLAC INSURANCE</v>
      </c>
    </row>
    <row r="3922" spans="1:9" x14ac:dyDescent="0.25">
      <c r="E3922" s="7"/>
      <c r="F3922" t="s">
        <v>20</v>
      </c>
      <c r="G3922" s="10" t="s">
        <v>21</v>
      </c>
      <c r="H3922" t="str">
        <f>"ADR202106298615"</f>
        <v>ADR202106298615</v>
      </c>
      <c r="I3922" t="str">
        <f>"INSURANCE"</f>
        <v>INSURANCE</v>
      </c>
    </row>
    <row r="3923" spans="1:9" x14ac:dyDescent="0.25">
      <c r="E3923" s="7"/>
      <c r="F3923" t="s">
        <v>20</v>
      </c>
      <c r="G3923" s="10" t="s">
        <v>21</v>
      </c>
      <c r="H3923" t="str">
        <f>"ADR202107138616"</f>
        <v>ADR202107138616</v>
      </c>
      <c r="I3923" t="str">
        <f>"INSURANCE"</f>
        <v>INSURANCE</v>
      </c>
    </row>
    <row r="3924" spans="1:9" x14ac:dyDescent="0.25">
      <c r="E3924" s="7"/>
      <c r="F3924" t="s">
        <v>20</v>
      </c>
      <c r="G3924" s="10" t="s">
        <v>21</v>
      </c>
      <c r="H3924" t="str">
        <f>"AF1202106298615"</f>
        <v>AF1202106298615</v>
      </c>
      <c r="I3924" t="str">
        <f>"AFLAC INSURANCE"</f>
        <v>AFLAC INSURANCE</v>
      </c>
    </row>
    <row r="3925" spans="1:9" x14ac:dyDescent="0.25">
      <c r="E3925" s="7"/>
      <c r="F3925" t="s">
        <v>20</v>
      </c>
      <c r="G3925" s="10" t="s">
        <v>21</v>
      </c>
      <c r="H3925" t="str">
        <f>"AF1202107138616"</f>
        <v>AF1202107138616</v>
      </c>
      <c r="I3925" t="str">
        <f>"AFLAC INSURANCE"</f>
        <v>AFLAC INSURANCE</v>
      </c>
    </row>
    <row r="3926" spans="1:9" x14ac:dyDescent="0.25">
      <c r="E3926" s="7"/>
      <c r="F3926" t="s">
        <v>20</v>
      </c>
      <c r="G3926" s="10" t="s">
        <v>21</v>
      </c>
      <c r="H3926" t="str">
        <f>"AFS202106298615"</f>
        <v>AFS202106298615</v>
      </c>
      <c r="I3926" t="str">
        <f>"AFLAC STD"</f>
        <v>AFLAC STD</v>
      </c>
    </row>
    <row r="3927" spans="1:9" x14ac:dyDescent="0.25">
      <c r="E3927" s="7"/>
      <c r="F3927" t="s">
        <v>20</v>
      </c>
      <c r="G3927" s="10" t="s">
        <v>21</v>
      </c>
      <c r="H3927" t="str">
        <f>"AFS202107138616"</f>
        <v>AFS202107138616</v>
      </c>
      <c r="I3927" t="str">
        <f>"AFLAC STD"</f>
        <v>AFLAC STD</v>
      </c>
    </row>
    <row r="3928" spans="1:9" x14ac:dyDescent="0.25">
      <c r="E3928" s="7"/>
      <c r="F3928" t="s">
        <v>20</v>
      </c>
      <c r="G3928" s="10" t="s">
        <v>21</v>
      </c>
      <c r="H3928" t="str">
        <f>"ASP202106298615"</f>
        <v>ASP202106298615</v>
      </c>
      <c r="I3928" t="str">
        <f>"AFLAC INSURANCE"</f>
        <v>AFLAC INSURANCE</v>
      </c>
    </row>
    <row r="3929" spans="1:9" x14ac:dyDescent="0.25">
      <c r="E3929" s="7"/>
      <c r="F3929" t="s">
        <v>20</v>
      </c>
      <c r="G3929" s="10" t="s">
        <v>21</v>
      </c>
      <c r="H3929" t="str">
        <f>"ASP202107138616"</f>
        <v>ASP202107138616</v>
      </c>
      <c r="I3929" t="str">
        <f>"AFLAC INSURANCE"</f>
        <v>AFLAC INSURANCE</v>
      </c>
    </row>
    <row r="3930" spans="1:9" x14ac:dyDescent="0.25">
      <c r="E3930" s="7"/>
      <c r="F3930" t="s">
        <v>20</v>
      </c>
      <c r="G3930" s="10" t="s">
        <v>21</v>
      </c>
      <c r="H3930" t="str">
        <f>"HCO202106298615"</f>
        <v>HCO202106298615</v>
      </c>
      <c r="I3930" t="str">
        <f>"AFLAC INSURANCE"</f>
        <v>AFLAC INSURANCE</v>
      </c>
    </row>
    <row r="3931" spans="1:9" x14ac:dyDescent="0.25">
      <c r="E3931" s="7"/>
      <c r="F3931" t="s">
        <v>20</v>
      </c>
      <c r="G3931" s="10" t="s">
        <v>21</v>
      </c>
      <c r="H3931" t="str">
        <f>"HCO202107138616"</f>
        <v>HCO202107138616</v>
      </c>
      <c r="I3931" t="str">
        <f>"AFLAC INSURANCE"</f>
        <v>AFLAC INSURANCE</v>
      </c>
    </row>
    <row r="3932" spans="1:9" x14ac:dyDescent="0.25">
      <c r="A3932" s="6">
        <v>44413</v>
      </c>
      <c r="B3932" t="s">
        <v>26</v>
      </c>
      <c r="C3932">
        <v>67318</v>
      </c>
      <c r="D3932" t="s">
        <v>95</v>
      </c>
      <c r="E3932" s="7">
        <v>25.32</v>
      </c>
      <c r="F3932" t="s">
        <v>20</v>
      </c>
      <c r="G3932" s="10" t="s">
        <v>21</v>
      </c>
      <c r="H3932" t="str">
        <f>"LEA202106298615"</f>
        <v>LEA202106298615</v>
      </c>
      <c r="I3932" t="str">
        <f>"INSURANCE"</f>
        <v>INSURANCE</v>
      </c>
    </row>
    <row r="3933" spans="1:9" x14ac:dyDescent="0.25">
      <c r="E3933" s="7"/>
      <c r="F3933" t="s">
        <v>20</v>
      </c>
      <c r="G3933" s="10" t="s">
        <v>21</v>
      </c>
      <c r="H3933" t="str">
        <f>"LEA202107138616"</f>
        <v>LEA202107138616</v>
      </c>
      <c r="I3933" t="str">
        <f>"INSURANCE"</f>
        <v>INSURANCE</v>
      </c>
    </row>
    <row r="3934" spans="1:9" x14ac:dyDescent="0.25">
      <c r="A3934" s="6">
        <v>44413</v>
      </c>
      <c r="B3934" t="s">
        <v>26</v>
      </c>
      <c r="C3934">
        <v>67319</v>
      </c>
      <c r="D3934" t="s">
        <v>96</v>
      </c>
      <c r="E3934" s="7">
        <v>225.24</v>
      </c>
      <c r="F3934" t="s">
        <v>20</v>
      </c>
      <c r="G3934" s="10" t="s">
        <v>21</v>
      </c>
      <c r="H3934" t="str">
        <f>"PPL202106298615"</f>
        <v>PPL202106298615</v>
      </c>
      <c r="I3934" t="str">
        <f>"INSURANCE"</f>
        <v>INSURANCE</v>
      </c>
    </row>
    <row r="3935" spans="1:9" x14ac:dyDescent="0.25">
      <c r="E3935" s="7"/>
      <c r="F3935" t="s">
        <v>20</v>
      </c>
      <c r="G3935" s="10" t="s">
        <v>21</v>
      </c>
      <c r="H3935" t="str">
        <f>"PPL202107138616"</f>
        <v>PPL202107138616</v>
      </c>
      <c r="I3935" t="str">
        <f>"INSURANCE"</f>
        <v>INSURANCE</v>
      </c>
    </row>
    <row r="3936" spans="1:9" x14ac:dyDescent="0.25">
      <c r="A3936" s="6">
        <v>44413</v>
      </c>
      <c r="B3936" t="s">
        <v>26</v>
      </c>
      <c r="C3936">
        <v>67320</v>
      </c>
      <c r="D3936" t="s">
        <v>157</v>
      </c>
      <c r="E3936" s="7">
        <v>1297</v>
      </c>
      <c r="F3936" t="s">
        <v>20</v>
      </c>
      <c r="G3936" s="10" t="s">
        <v>21</v>
      </c>
      <c r="H3936" t="str">
        <f>"08052021"</f>
        <v>08052021</v>
      </c>
      <c r="I3936" t="str">
        <f>"GLAZIERS"</f>
        <v>GLAZIERS</v>
      </c>
    </row>
    <row r="3937" spans="1:9" x14ac:dyDescent="0.25">
      <c r="A3937" s="6">
        <v>44413</v>
      </c>
      <c r="B3937" t="s">
        <v>26</v>
      </c>
      <c r="C3937">
        <v>67321</v>
      </c>
      <c r="D3937" t="s">
        <v>97</v>
      </c>
      <c r="E3937" s="7">
        <v>42847.72</v>
      </c>
      <c r="F3937" t="s">
        <v>20</v>
      </c>
      <c r="G3937" s="10" t="s">
        <v>24</v>
      </c>
      <c r="H3937" t="str">
        <f>"AUGUST 2021"</f>
        <v>AUGUST 2021</v>
      </c>
      <c r="I3937" t="str">
        <f>"HEALTH CARE SERVICE CORPORATIO"</f>
        <v>HEALTH CARE SERVICE CORPORATIO</v>
      </c>
    </row>
    <row r="3938" spans="1:9" x14ac:dyDescent="0.25">
      <c r="E3938" s="7"/>
      <c r="F3938" t="s">
        <v>20</v>
      </c>
      <c r="G3938" s="10" t="s">
        <v>329</v>
      </c>
      <c r="H3938" t="str">
        <f>"AUG.2021"</f>
        <v>AUG.2021</v>
      </c>
      <c r="I3938" t="str">
        <f>"HEALTH CARE SERVICE CORPORATIO"</f>
        <v>HEALTH CARE SERVICE CORPORATIO</v>
      </c>
    </row>
    <row r="3939" spans="1:9" x14ac:dyDescent="0.25">
      <c r="E3939" s="7"/>
      <c r="F3939" t="s">
        <v>20</v>
      </c>
      <c r="G3939" s="10" t="s">
        <v>329</v>
      </c>
      <c r="H3939" t="str">
        <f>"AUG.2021*1"</f>
        <v>AUG.2021*1</v>
      </c>
      <c r="I3939" t="str">
        <f>"HEALTH CARE SERVICE CORPORATIO"</f>
        <v>HEALTH CARE SERVICE CORPORATIO</v>
      </c>
    </row>
    <row r="3940" spans="1:9" x14ac:dyDescent="0.25">
      <c r="E3940" s="7"/>
      <c r="F3940" t="s">
        <v>20</v>
      </c>
      <c r="G3940" s="10" t="s">
        <v>21</v>
      </c>
      <c r="H3940" t="str">
        <f>"DEN202106298615"</f>
        <v>DEN202106298615</v>
      </c>
      <c r="I3940" t="str">
        <f>"DENTAL INSURANCE"</f>
        <v>DENTAL INSURANCE</v>
      </c>
    </row>
    <row r="3941" spans="1:9" x14ac:dyDescent="0.25">
      <c r="E3941" s="7"/>
      <c r="F3941" t="s">
        <v>20</v>
      </c>
      <c r="G3941" s="10" t="s">
        <v>21</v>
      </c>
      <c r="H3941" t="str">
        <f>"DEN202107138616"</f>
        <v>DEN202107138616</v>
      </c>
      <c r="I3941" t="str">
        <f>"DENTAL INSURANCE"</f>
        <v>DENTAL INSURANCE</v>
      </c>
    </row>
    <row r="3942" spans="1:9" x14ac:dyDescent="0.25">
      <c r="E3942" s="7"/>
      <c r="F3942" t="s">
        <v>20</v>
      </c>
      <c r="G3942" s="10" t="s">
        <v>21</v>
      </c>
      <c r="H3942" t="str">
        <f>"MED202106298615"</f>
        <v>MED202106298615</v>
      </c>
      <c r="I3942" t="str">
        <f>"HEALTH &amp; DENTAL INSURANCE"</f>
        <v>HEALTH &amp; DENTAL INSURANCE</v>
      </c>
    </row>
    <row r="3943" spans="1:9" x14ac:dyDescent="0.25">
      <c r="E3943" s="7"/>
      <c r="F3943" t="s">
        <v>20</v>
      </c>
      <c r="G3943" s="10" t="s">
        <v>21</v>
      </c>
      <c r="H3943" t="str">
        <f>"MED202107138616"</f>
        <v>MED202107138616</v>
      </c>
      <c r="I3943" t="str">
        <f>"HEALTH &amp; DENTAL INSURANCE"</f>
        <v>HEALTH &amp; DENTAL INSURANCE</v>
      </c>
    </row>
    <row r="3944" spans="1:9" x14ac:dyDescent="0.25">
      <c r="A3944" s="6">
        <v>44413</v>
      </c>
      <c r="B3944" t="s">
        <v>26</v>
      </c>
      <c r="C3944">
        <v>67329</v>
      </c>
      <c r="D3944" t="s">
        <v>98</v>
      </c>
      <c r="E3944" s="7">
        <v>2607.41</v>
      </c>
      <c r="F3944" t="s">
        <v>20</v>
      </c>
      <c r="G3944" s="10" t="s">
        <v>24</v>
      </c>
      <c r="H3944" t="str">
        <f>"AUG.2021"</f>
        <v>AUG.2021</v>
      </c>
      <c r="I3944" t="str">
        <f>"DEARBORN LIFE INSURANCE COMPAN"</f>
        <v>DEARBORN LIFE INSURANCE COMPAN</v>
      </c>
    </row>
    <row r="3945" spans="1:9" x14ac:dyDescent="0.25">
      <c r="E3945" s="7"/>
      <c r="F3945" t="s">
        <v>20</v>
      </c>
      <c r="G3945" s="10" t="s">
        <v>24</v>
      </c>
      <c r="H3945" t="str">
        <f>"AUG.2021*1"</f>
        <v>AUG.2021*1</v>
      </c>
      <c r="I3945" t="str">
        <f>"DEARBORN LIFE INSURANCE COMPAN"</f>
        <v>DEARBORN LIFE INSURANCE COMPAN</v>
      </c>
    </row>
    <row r="3946" spans="1:9" x14ac:dyDescent="0.25">
      <c r="E3946" s="7"/>
      <c r="F3946" t="s">
        <v>20</v>
      </c>
      <c r="G3946" s="10" t="s">
        <v>329</v>
      </c>
      <c r="H3946" t="str">
        <f>"AUGUST 2021"</f>
        <v>AUGUST 2021</v>
      </c>
      <c r="I3946" t="str">
        <f>"DEARBORN LIFE INSURANCE COMPAN"</f>
        <v>DEARBORN LIFE INSURANCE COMPAN</v>
      </c>
    </row>
    <row r="3947" spans="1:9" x14ac:dyDescent="0.25">
      <c r="E3947" s="7"/>
      <c r="F3947" t="s">
        <v>20</v>
      </c>
      <c r="G3947" s="10" t="s">
        <v>21</v>
      </c>
      <c r="H3947" t="str">
        <f>"ADD202106298615"</f>
        <v>ADD202106298615</v>
      </c>
      <c r="I3947" t="str">
        <f>"AD&amp;D"</f>
        <v>AD&amp;D</v>
      </c>
    </row>
    <row r="3948" spans="1:9" x14ac:dyDescent="0.25">
      <c r="E3948" s="7"/>
      <c r="F3948" t="s">
        <v>20</v>
      </c>
      <c r="G3948" s="10" t="s">
        <v>21</v>
      </c>
      <c r="H3948" t="str">
        <f>"ADD202107138616"</f>
        <v>ADD202107138616</v>
      </c>
      <c r="I3948" t="str">
        <f>"AD&amp;D"</f>
        <v>AD&amp;D</v>
      </c>
    </row>
    <row r="3949" spans="1:9" x14ac:dyDescent="0.25">
      <c r="E3949" s="7"/>
      <c r="F3949" t="s">
        <v>20</v>
      </c>
      <c r="G3949" s="10" t="s">
        <v>21</v>
      </c>
      <c r="H3949" t="str">
        <f>"STD202106298615"</f>
        <v>STD202106298615</v>
      </c>
      <c r="I3949" t="str">
        <f>"SHORT TERM DISABILITY"</f>
        <v>SHORT TERM DISABILITY</v>
      </c>
    </row>
    <row r="3950" spans="1:9" x14ac:dyDescent="0.25">
      <c r="E3950" s="7"/>
      <c r="F3950" t="s">
        <v>20</v>
      </c>
      <c r="G3950" s="10" t="s">
        <v>21</v>
      </c>
      <c r="H3950" t="str">
        <f>"STD202107138616"</f>
        <v>STD202107138616</v>
      </c>
      <c r="I3950" t="str">
        <f>"SHORT TERM DISABILITY"</f>
        <v>SHORT TERM DISABILITY</v>
      </c>
    </row>
    <row r="3951" spans="1:9" x14ac:dyDescent="0.25">
      <c r="E3951" s="7"/>
      <c r="F3951" t="s">
        <v>20</v>
      </c>
      <c r="G3951" s="10" t="s">
        <v>21</v>
      </c>
      <c r="H3951" t="str">
        <f>"VIS202106298615"</f>
        <v>VIS202106298615</v>
      </c>
      <c r="I3951" t="str">
        <f>"VISION INSURANCE"</f>
        <v>VISION INSURANCE</v>
      </c>
    </row>
    <row r="3952" spans="1:9" x14ac:dyDescent="0.25">
      <c r="E3952" s="7"/>
      <c r="F3952" t="s">
        <v>20</v>
      </c>
      <c r="G3952" s="10" t="s">
        <v>21</v>
      </c>
      <c r="H3952" t="str">
        <f>"VIS202107138616"</f>
        <v>VIS202107138616</v>
      </c>
      <c r="I3952" t="str">
        <f>"VISION INSURANCE"</f>
        <v>VISION INSURANCE</v>
      </c>
    </row>
    <row r="3953" spans="1:9" x14ac:dyDescent="0.25">
      <c r="E3953" s="7"/>
      <c r="F3953" t="s">
        <v>20</v>
      </c>
      <c r="G3953" s="10" t="s">
        <v>21</v>
      </c>
      <c r="H3953" t="str">
        <f>"VLC202106298615"</f>
        <v>VLC202106298615</v>
      </c>
      <c r="I3953" t="str">
        <f>"CHILD LIFE INSURANCE"</f>
        <v>CHILD LIFE INSURANCE</v>
      </c>
    </row>
    <row r="3954" spans="1:9" x14ac:dyDescent="0.25">
      <c r="E3954" s="7"/>
      <c r="F3954" t="s">
        <v>20</v>
      </c>
      <c r="G3954" s="10" t="s">
        <v>21</v>
      </c>
      <c r="H3954" t="str">
        <f>"VLC202107138616"</f>
        <v>VLC202107138616</v>
      </c>
      <c r="I3954" t="str">
        <f>"CHILD LIFE INSURANCE"</f>
        <v>CHILD LIFE INSURANCE</v>
      </c>
    </row>
    <row r="3955" spans="1:9" x14ac:dyDescent="0.25">
      <c r="E3955" s="7"/>
      <c r="F3955" t="s">
        <v>20</v>
      </c>
      <c r="G3955" s="10" t="s">
        <v>21</v>
      </c>
      <c r="H3955" t="str">
        <f>"VLS202106298615"</f>
        <v>VLS202106298615</v>
      </c>
      <c r="I3955" t="str">
        <f>"SPOUSE LIFE"</f>
        <v>SPOUSE LIFE</v>
      </c>
    </row>
    <row r="3956" spans="1:9" x14ac:dyDescent="0.25">
      <c r="E3956" s="7"/>
      <c r="F3956" t="s">
        <v>20</v>
      </c>
      <c r="G3956" s="10" t="s">
        <v>21</v>
      </c>
      <c r="H3956" t="str">
        <f>"VLS202107138616"</f>
        <v>VLS202107138616</v>
      </c>
      <c r="I3956" t="str">
        <f>"SPOUSE LIFE"</f>
        <v>SPOUSE LIFE</v>
      </c>
    </row>
    <row r="3957" spans="1:9" x14ac:dyDescent="0.25">
      <c r="E3957" s="7"/>
      <c r="F3957" t="s">
        <v>20</v>
      </c>
      <c r="G3957" s="10" t="s">
        <v>21</v>
      </c>
      <c r="H3957" t="str">
        <f>"VOE202106298615"</f>
        <v>VOE202106298615</v>
      </c>
      <c r="I3957" t="str">
        <f>"EMPLOYEE LIFE"</f>
        <v>EMPLOYEE LIFE</v>
      </c>
    </row>
    <row r="3958" spans="1:9" x14ac:dyDescent="0.25">
      <c r="E3958" s="7"/>
      <c r="F3958" t="s">
        <v>20</v>
      </c>
      <c r="G3958" s="10" t="s">
        <v>21</v>
      </c>
      <c r="H3958" t="str">
        <f>"VOE202107138616"</f>
        <v>VOE202107138616</v>
      </c>
      <c r="I3958" t="str">
        <f>"EMPLOYEE LIFE"</f>
        <v>EMPLOYEE LIFE</v>
      </c>
    </row>
    <row r="3959" spans="1:9" x14ac:dyDescent="0.25">
      <c r="E3959" s="7"/>
      <c r="F3959" t="s">
        <v>20</v>
      </c>
      <c r="G3959" s="10" t="s">
        <v>21</v>
      </c>
      <c r="H3959" t="str">
        <f>"VOL202106298615"</f>
        <v>VOL202106298615</v>
      </c>
      <c r="I3959" t="str">
        <f>"LIFE"</f>
        <v>LIFE</v>
      </c>
    </row>
    <row r="3960" spans="1:9" x14ac:dyDescent="0.25">
      <c r="E3960" s="7"/>
      <c r="F3960" t="s">
        <v>20</v>
      </c>
      <c r="G3960" s="10" t="s">
        <v>21</v>
      </c>
      <c r="H3960" t="str">
        <f>"VOL202107138616"</f>
        <v>VOL202107138616</v>
      </c>
      <c r="I3960" t="str">
        <f>"LIFE"</f>
        <v>LIFE</v>
      </c>
    </row>
    <row r="3961" spans="1:9" x14ac:dyDescent="0.25">
      <c r="A3961" s="6">
        <v>44414</v>
      </c>
      <c r="B3961" t="s">
        <v>26</v>
      </c>
      <c r="C3961">
        <v>67340</v>
      </c>
      <c r="D3961" t="s">
        <v>205</v>
      </c>
      <c r="E3961" s="7">
        <v>682.85</v>
      </c>
      <c r="F3961" t="s">
        <v>20</v>
      </c>
      <c r="G3961" s="10" t="s">
        <v>21</v>
      </c>
      <c r="H3961" t="str">
        <f>"08/06/2021"</f>
        <v>08/06/2021</v>
      </c>
      <c r="I3961" t="str">
        <f>"SILVER EAGLE DISTRIBUTORS"</f>
        <v>SILVER EAGLE DISTRIBUTORS</v>
      </c>
    </row>
    <row r="3962" spans="1:9" x14ac:dyDescent="0.25">
      <c r="A3962" s="6">
        <v>44418</v>
      </c>
      <c r="B3962" t="s">
        <v>26</v>
      </c>
      <c r="C3962">
        <v>67347</v>
      </c>
      <c r="D3962" t="s">
        <v>51</v>
      </c>
      <c r="E3962" s="7">
        <v>346.31</v>
      </c>
      <c r="F3962" t="s">
        <v>20</v>
      </c>
      <c r="G3962" s="10" t="s">
        <v>21</v>
      </c>
      <c r="H3962" t="str">
        <f>"CLE202108108618"</f>
        <v>CLE202108108618</v>
      </c>
      <c r="I3962" t="str">
        <f>"CLEAT ONLY DUES"</f>
        <v>CLEAT ONLY DUES</v>
      </c>
    </row>
    <row r="3963" spans="1:9" x14ac:dyDescent="0.25">
      <c r="E3963" s="7"/>
      <c r="F3963" t="s">
        <v>20</v>
      </c>
      <c r="G3963" s="10" t="s">
        <v>21</v>
      </c>
      <c r="H3963" t="str">
        <f>"PDD202108108618"</f>
        <v>PDD202108108618</v>
      </c>
      <c r="I3963" t="str">
        <f>"POLICE OFFICERS ASSOC DUES"</f>
        <v>POLICE OFFICERS ASSOC DUES</v>
      </c>
    </row>
    <row r="3964" spans="1:9" x14ac:dyDescent="0.25">
      <c r="A3964" s="6">
        <v>44418</v>
      </c>
      <c r="B3964" t="s">
        <v>26</v>
      </c>
      <c r="C3964">
        <v>67348</v>
      </c>
      <c r="D3964" t="s">
        <v>52</v>
      </c>
      <c r="E3964" s="7">
        <v>926.54</v>
      </c>
      <c r="F3964" t="s">
        <v>20</v>
      </c>
      <c r="G3964" s="10" t="s">
        <v>21</v>
      </c>
      <c r="H3964" t="str">
        <f>"CA1202108108618"</f>
        <v>CA1202108108618</v>
      </c>
      <c r="I3964" t="str">
        <f>"K RAMIREZ 001200229510060343CV"</f>
        <v>K RAMIREZ 001200229510060343CV</v>
      </c>
    </row>
    <row r="3965" spans="1:9" x14ac:dyDescent="0.25">
      <c r="E3965" s="7"/>
      <c r="F3965" t="s">
        <v>20</v>
      </c>
      <c r="G3965" s="10" t="s">
        <v>21</v>
      </c>
      <c r="H3965" t="str">
        <f>"CA2202108108618"</f>
        <v>CA2202108108618</v>
      </c>
      <c r="I3965" t="str">
        <f>"L HERNANDEZ 001016025203080354"</f>
        <v>L HERNANDEZ 001016025203080354</v>
      </c>
    </row>
    <row r="3966" spans="1:9" x14ac:dyDescent="0.25">
      <c r="E3966" s="7"/>
      <c r="F3966" t="s">
        <v>20</v>
      </c>
      <c r="G3966" s="10" t="s">
        <v>21</v>
      </c>
      <c r="H3966" t="str">
        <f>"CA3202108108618"</f>
        <v>CA3202108108618</v>
      </c>
      <c r="I3966" t="str">
        <f>"00120788612011EM5023JOLENEGARC"</f>
        <v>00120788612011EM5023JOLENEGARC</v>
      </c>
    </row>
    <row r="3967" spans="1:9" x14ac:dyDescent="0.25">
      <c r="E3967" s="7"/>
      <c r="F3967" t="s">
        <v>20</v>
      </c>
      <c r="G3967" s="10" t="s">
        <v>21</v>
      </c>
      <c r="H3967" t="str">
        <f>"CSA202108108618"</f>
        <v>CSA202108108618</v>
      </c>
      <c r="I3967" t="str">
        <f>"S RODRIGUEZ 001281730413050336"</f>
        <v>S RODRIGUEZ 001281730413050336</v>
      </c>
    </row>
    <row r="3968" spans="1:9" x14ac:dyDescent="0.25">
      <c r="E3968" s="7"/>
      <c r="F3968" t="s">
        <v>20</v>
      </c>
      <c r="G3968" s="10" t="s">
        <v>21</v>
      </c>
      <c r="H3968" t="str">
        <f>"CSI202108108618"</f>
        <v>CSI202108108618</v>
      </c>
      <c r="I3968" t="str">
        <f>"KTRINIDAD0014071774CVW2000777"</f>
        <v>KTRINIDAD0014071774CVW2000777</v>
      </c>
    </row>
    <row r="3969" spans="1:9" x14ac:dyDescent="0.25">
      <c r="A3969" s="6">
        <v>44418</v>
      </c>
      <c r="B3969" t="s">
        <v>26</v>
      </c>
      <c r="C3969">
        <v>67349</v>
      </c>
      <c r="D3969" t="s">
        <v>54</v>
      </c>
      <c r="E3969" s="7">
        <v>1083.6500000000001</v>
      </c>
      <c r="F3969" t="s">
        <v>20</v>
      </c>
      <c r="G3969" s="10" t="s">
        <v>21</v>
      </c>
      <c r="H3969" t="str">
        <f>"BRE202108108618"</f>
        <v>BRE202108108618</v>
      </c>
      <c r="I3969" t="str">
        <f>"CASE #180-60751 457B DEDUCT"</f>
        <v>CASE #180-60751 457B DEDUCT</v>
      </c>
    </row>
    <row r="3970" spans="1:9" x14ac:dyDescent="0.25">
      <c r="A3970" s="6">
        <v>44418</v>
      </c>
      <c r="B3970" t="s">
        <v>26</v>
      </c>
      <c r="C3970">
        <v>67350</v>
      </c>
      <c r="D3970" t="s">
        <v>103</v>
      </c>
      <c r="E3970" s="7">
        <v>8477.82</v>
      </c>
      <c r="F3970" t="s">
        <v>20</v>
      </c>
      <c r="G3970" s="10" t="s">
        <v>21</v>
      </c>
      <c r="H3970" t="str">
        <f>"PALOMA SNR VIL.'21"</f>
        <v>PALOMA SNR VIL.'21</v>
      </c>
      <c r="I3970" t="str">
        <f>"F. E. D. C."</f>
        <v>F. E. D. C.</v>
      </c>
    </row>
    <row r="3971" spans="1:9" x14ac:dyDescent="0.25">
      <c r="A3971" s="6">
        <v>44418</v>
      </c>
      <c r="B3971" t="s">
        <v>26</v>
      </c>
      <c r="C3971">
        <v>67351</v>
      </c>
      <c r="D3971" t="s">
        <v>273</v>
      </c>
      <c r="E3971" s="7">
        <v>950.36</v>
      </c>
      <c r="F3971" t="s">
        <v>20</v>
      </c>
      <c r="G3971" s="10" t="s">
        <v>21</v>
      </c>
      <c r="H3971" t="str">
        <f>"5119-000098240"</f>
        <v>5119-000098240</v>
      </c>
      <c r="I3971" t="str">
        <f>"REPUBLIC SERVICES TESSMAN ROAD"</f>
        <v>REPUBLIC SERVICES TESSMAN ROAD</v>
      </c>
    </row>
    <row r="3972" spans="1:9" x14ac:dyDescent="0.25">
      <c r="A3972" s="6">
        <v>44418</v>
      </c>
      <c r="B3972" t="s">
        <v>26</v>
      </c>
      <c r="C3972">
        <v>67352</v>
      </c>
      <c r="D3972" t="s">
        <v>110</v>
      </c>
      <c r="E3972" s="7">
        <v>11336.16</v>
      </c>
      <c r="F3972" t="s">
        <v>20</v>
      </c>
      <c r="G3972" s="10" t="s">
        <v>21</v>
      </c>
      <c r="H3972" t="str">
        <f>"1576313"</f>
        <v>1576313</v>
      </c>
      <c r="I3972" t="str">
        <f t="shared" ref="I3972:I3986" si="87">"BUREAU VERITAS NORTH AMERICA"</f>
        <v>BUREAU VERITAS NORTH AMERICA</v>
      </c>
    </row>
    <row r="3973" spans="1:9" x14ac:dyDescent="0.25">
      <c r="E3973" s="7"/>
      <c r="F3973" t="s">
        <v>20</v>
      </c>
      <c r="G3973" s="10" t="s">
        <v>21</v>
      </c>
      <c r="H3973" t="str">
        <f>"1576379"</f>
        <v>1576379</v>
      </c>
      <c r="I3973" t="str">
        <f t="shared" si="87"/>
        <v>BUREAU VERITAS NORTH AMERICA</v>
      </c>
    </row>
    <row r="3974" spans="1:9" x14ac:dyDescent="0.25">
      <c r="E3974" s="7"/>
      <c r="F3974" t="s">
        <v>20</v>
      </c>
      <c r="G3974" s="10" t="s">
        <v>21</v>
      </c>
      <c r="H3974" t="str">
        <f>"1588695"</f>
        <v>1588695</v>
      </c>
      <c r="I3974" t="str">
        <f t="shared" si="87"/>
        <v>BUREAU VERITAS NORTH AMERICA</v>
      </c>
    </row>
    <row r="3975" spans="1:9" x14ac:dyDescent="0.25">
      <c r="E3975" s="7"/>
      <c r="F3975" t="s">
        <v>20</v>
      </c>
      <c r="G3975" s="10" t="s">
        <v>21</v>
      </c>
      <c r="H3975" t="str">
        <f>"1588696"</f>
        <v>1588696</v>
      </c>
      <c r="I3975" t="str">
        <f t="shared" si="87"/>
        <v>BUREAU VERITAS NORTH AMERICA</v>
      </c>
    </row>
    <row r="3976" spans="1:9" x14ac:dyDescent="0.25">
      <c r="E3976" s="7"/>
      <c r="F3976" t="s">
        <v>20</v>
      </c>
      <c r="G3976" s="10" t="s">
        <v>21</v>
      </c>
      <c r="H3976" t="str">
        <f>"1588697"</f>
        <v>1588697</v>
      </c>
      <c r="I3976" t="str">
        <f t="shared" si="87"/>
        <v>BUREAU VERITAS NORTH AMERICA</v>
      </c>
    </row>
    <row r="3977" spans="1:9" x14ac:dyDescent="0.25">
      <c r="E3977" s="7"/>
      <c r="F3977" t="s">
        <v>20</v>
      </c>
      <c r="G3977" s="10" t="s">
        <v>21</v>
      </c>
      <c r="H3977" t="str">
        <f>"1588698"</f>
        <v>1588698</v>
      </c>
      <c r="I3977" t="str">
        <f t="shared" si="87"/>
        <v>BUREAU VERITAS NORTH AMERICA</v>
      </c>
    </row>
    <row r="3978" spans="1:9" x14ac:dyDescent="0.25">
      <c r="E3978" s="7"/>
      <c r="F3978" t="s">
        <v>20</v>
      </c>
      <c r="G3978" s="10" t="s">
        <v>21</v>
      </c>
      <c r="H3978" t="str">
        <f>"1588699"</f>
        <v>1588699</v>
      </c>
      <c r="I3978" t="str">
        <f t="shared" si="87"/>
        <v>BUREAU VERITAS NORTH AMERICA</v>
      </c>
    </row>
    <row r="3979" spans="1:9" x14ac:dyDescent="0.25">
      <c r="E3979" s="7"/>
      <c r="F3979" t="s">
        <v>20</v>
      </c>
      <c r="G3979" s="10" t="s">
        <v>21</v>
      </c>
      <c r="H3979" t="str">
        <f>"1588700"</f>
        <v>1588700</v>
      </c>
      <c r="I3979" t="str">
        <f t="shared" si="87"/>
        <v>BUREAU VERITAS NORTH AMERICA</v>
      </c>
    </row>
    <row r="3980" spans="1:9" x14ac:dyDescent="0.25">
      <c r="E3980" s="7"/>
      <c r="F3980" t="s">
        <v>20</v>
      </c>
      <c r="G3980" s="10" t="s">
        <v>21</v>
      </c>
      <c r="H3980" t="str">
        <f>"1588701"</f>
        <v>1588701</v>
      </c>
      <c r="I3980" t="str">
        <f t="shared" si="87"/>
        <v>BUREAU VERITAS NORTH AMERICA</v>
      </c>
    </row>
    <row r="3981" spans="1:9" x14ac:dyDescent="0.25">
      <c r="E3981" s="7"/>
      <c r="F3981" t="s">
        <v>20</v>
      </c>
      <c r="G3981" s="10" t="s">
        <v>21</v>
      </c>
      <c r="H3981" t="str">
        <f>"1588702"</f>
        <v>1588702</v>
      </c>
      <c r="I3981" t="str">
        <f t="shared" si="87"/>
        <v>BUREAU VERITAS NORTH AMERICA</v>
      </c>
    </row>
    <row r="3982" spans="1:9" x14ac:dyDescent="0.25">
      <c r="E3982" s="7"/>
      <c r="F3982" t="s">
        <v>20</v>
      </c>
      <c r="G3982" s="10" t="s">
        <v>21</v>
      </c>
      <c r="H3982" t="str">
        <f>"1588703"</f>
        <v>1588703</v>
      </c>
      <c r="I3982" t="str">
        <f t="shared" si="87"/>
        <v>BUREAU VERITAS NORTH AMERICA</v>
      </c>
    </row>
    <row r="3983" spans="1:9" x14ac:dyDescent="0.25">
      <c r="E3983" s="7"/>
      <c r="F3983" t="s">
        <v>20</v>
      </c>
      <c r="G3983" s="10" t="s">
        <v>21</v>
      </c>
      <c r="H3983" t="str">
        <f>"1588704"</f>
        <v>1588704</v>
      </c>
      <c r="I3983" t="str">
        <f t="shared" si="87"/>
        <v>BUREAU VERITAS NORTH AMERICA</v>
      </c>
    </row>
    <row r="3984" spans="1:9" x14ac:dyDescent="0.25">
      <c r="E3984" s="7"/>
      <c r="F3984" t="s">
        <v>20</v>
      </c>
      <c r="G3984" s="10" t="s">
        <v>21</v>
      </c>
      <c r="H3984" t="str">
        <f>"1588705"</f>
        <v>1588705</v>
      </c>
      <c r="I3984" t="str">
        <f t="shared" si="87"/>
        <v>BUREAU VERITAS NORTH AMERICA</v>
      </c>
    </row>
    <row r="3985" spans="1:9" x14ac:dyDescent="0.25">
      <c r="E3985" s="7"/>
      <c r="F3985" t="s">
        <v>20</v>
      </c>
      <c r="G3985" s="10" t="s">
        <v>21</v>
      </c>
      <c r="H3985" t="str">
        <f>"1588706"</f>
        <v>1588706</v>
      </c>
      <c r="I3985" t="str">
        <f t="shared" si="87"/>
        <v>BUREAU VERITAS NORTH AMERICA</v>
      </c>
    </row>
    <row r="3986" spans="1:9" x14ac:dyDescent="0.25">
      <c r="E3986" s="7"/>
      <c r="F3986" t="s">
        <v>20</v>
      </c>
      <c r="G3986" s="10" t="s">
        <v>21</v>
      </c>
      <c r="H3986" t="str">
        <f>"1588707"</f>
        <v>1588707</v>
      </c>
      <c r="I3986" t="str">
        <f t="shared" si="87"/>
        <v>BUREAU VERITAS NORTH AMERICA</v>
      </c>
    </row>
    <row r="3987" spans="1:9" x14ac:dyDescent="0.25">
      <c r="A3987" s="6">
        <v>44418</v>
      </c>
      <c r="B3987" t="s">
        <v>26</v>
      </c>
      <c r="C3987">
        <v>67355</v>
      </c>
      <c r="D3987" t="s">
        <v>62</v>
      </c>
      <c r="E3987" s="7">
        <v>450</v>
      </c>
      <c r="F3987" t="s">
        <v>20</v>
      </c>
      <c r="G3987" s="10" t="s">
        <v>21</v>
      </c>
      <c r="H3987" t="str">
        <f>"74347"</f>
        <v>74347</v>
      </c>
      <c r="I3987" t="str">
        <f>"PROFICIENT BENEFIT SOLUTIONS"</f>
        <v>PROFICIENT BENEFIT SOLUTIONS</v>
      </c>
    </row>
    <row r="3988" spans="1:9" x14ac:dyDescent="0.25">
      <c r="E3988" s="7"/>
      <c r="F3988" t="s">
        <v>20</v>
      </c>
      <c r="G3988" s="10" t="s">
        <v>21</v>
      </c>
      <c r="H3988" t="str">
        <f>"74828"</f>
        <v>74828</v>
      </c>
      <c r="I3988" t="str">
        <f>"PROFICIENT BENEFIT SOLUTIONS"</f>
        <v>PROFICIENT BENEFIT SOLUTIONS</v>
      </c>
    </row>
    <row r="3989" spans="1:9" x14ac:dyDescent="0.25">
      <c r="A3989" s="6">
        <v>44418</v>
      </c>
      <c r="B3989" t="s">
        <v>26</v>
      </c>
      <c r="C3989">
        <v>67356</v>
      </c>
      <c r="D3989" t="s">
        <v>213</v>
      </c>
      <c r="E3989" s="7">
        <v>844.74</v>
      </c>
      <c r="F3989" t="s">
        <v>20</v>
      </c>
      <c r="G3989" s="10" t="s">
        <v>21</v>
      </c>
      <c r="H3989" t="str">
        <f>"JULY 2021"</f>
        <v>JULY 2021</v>
      </c>
      <c r="I3989" t="str">
        <f>"RIVER BEND COMMUNITY DEVELOPME"</f>
        <v>RIVER BEND COMMUNITY DEVELOPME</v>
      </c>
    </row>
    <row r="3990" spans="1:9" x14ac:dyDescent="0.25">
      <c r="A3990" s="6">
        <v>44418</v>
      </c>
      <c r="B3990" t="s">
        <v>26</v>
      </c>
      <c r="C3990">
        <v>67357</v>
      </c>
      <c r="D3990" t="s">
        <v>248</v>
      </c>
      <c r="E3990" s="7">
        <v>22.99</v>
      </c>
      <c r="F3990" t="s">
        <v>20</v>
      </c>
      <c r="G3990" s="10" t="s">
        <v>21</v>
      </c>
      <c r="H3990" t="str">
        <f>"118650852"</f>
        <v>118650852</v>
      </c>
      <c r="I3990" t="str">
        <f>"PITNEY BOWES"</f>
        <v>PITNEY BOWES</v>
      </c>
    </row>
    <row r="3991" spans="1:9" x14ac:dyDescent="0.25">
      <c r="A3991" s="6">
        <v>44418</v>
      </c>
      <c r="B3991" t="s">
        <v>26</v>
      </c>
      <c r="C3991">
        <v>67358</v>
      </c>
      <c r="D3991" t="s">
        <v>75</v>
      </c>
      <c r="E3991" s="7">
        <v>369.95</v>
      </c>
      <c r="F3991" t="s">
        <v>20</v>
      </c>
      <c r="G3991" s="10" t="s">
        <v>21</v>
      </c>
      <c r="H3991" t="str">
        <f>"8184 8/24/2021"</f>
        <v>8184 8/24/2021</v>
      </c>
      <c r="I3991" t="str">
        <f>"GRASS AND WEED KILLER"</f>
        <v>GRASS AND WEED KILLER</v>
      </c>
    </row>
    <row r="3992" spans="1:9" x14ac:dyDescent="0.25">
      <c r="E3992" s="7"/>
      <c r="F3992" t="s">
        <v>20</v>
      </c>
      <c r="G3992" s="10" t="s">
        <v>21</v>
      </c>
      <c r="H3992" t="str">
        <f>"8184-08/24/21"</f>
        <v>8184-08/24/21</v>
      </c>
      <c r="I3992" t="str">
        <f>"TRACTOR SUPPLY CREDIT PLAN"</f>
        <v>TRACTOR SUPPLY CREDIT PLAN</v>
      </c>
    </row>
    <row r="3993" spans="1:9" x14ac:dyDescent="0.25">
      <c r="E3993" s="7"/>
      <c r="F3993" t="s">
        <v>20</v>
      </c>
      <c r="G3993" s="10" t="s">
        <v>21</v>
      </c>
      <c r="H3993" t="str">
        <f>"8184-8/24/21"</f>
        <v>8184-8/24/21</v>
      </c>
      <c r="I3993" t="str">
        <f>"TRACTOR SUPPLY CREDIT PLAN"</f>
        <v>TRACTOR SUPPLY CREDIT PLAN</v>
      </c>
    </row>
    <row r="3994" spans="1:9" x14ac:dyDescent="0.25">
      <c r="A3994" s="6">
        <v>44418</v>
      </c>
      <c r="B3994" t="s">
        <v>26</v>
      </c>
      <c r="C3994">
        <v>67359</v>
      </c>
      <c r="D3994" t="s">
        <v>126</v>
      </c>
      <c r="E3994" s="7">
        <v>90591.03</v>
      </c>
      <c r="F3994" t="s">
        <v>20</v>
      </c>
      <c r="G3994" s="10" t="s">
        <v>21</v>
      </c>
      <c r="H3994" t="str">
        <f>"0859-002893166"</f>
        <v>0859-002893166</v>
      </c>
      <c r="I3994" t="str">
        <f>"REPUBLIC SERVICES #859"</f>
        <v>REPUBLIC SERVICES #859</v>
      </c>
    </row>
    <row r="3995" spans="1:9" x14ac:dyDescent="0.25">
      <c r="A3995" s="6">
        <v>44418</v>
      </c>
      <c r="B3995" t="s">
        <v>26</v>
      </c>
      <c r="C3995">
        <v>67360</v>
      </c>
      <c r="D3995" t="s">
        <v>266</v>
      </c>
      <c r="E3995" s="7">
        <v>428950</v>
      </c>
      <c r="F3995" t="s">
        <v>20</v>
      </c>
      <c r="G3995" s="10" t="s">
        <v>21</v>
      </c>
      <c r="H3995" t="str">
        <f>"FLOR615GOR 9/1/21"</f>
        <v>FLOR615GOR 9/1/21</v>
      </c>
      <c r="I3995" t="s">
        <v>498</v>
      </c>
    </row>
    <row r="3996" spans="1:9" x14ac:dyDescent="0.25">
      <c r="A3996" s="6">
        <v>44418</v>
      </c>
      <c r="B3996" t="s">
        <v>26</v>
      </c>
      <c r="C3996">
        <v>67361</v>
      </c>
      <c r="D3996" t="s">
        <v>345</v>
      </c>
      <c r="E3996" s="7">
        <v>308</v>
      </c>
      <c r="F3996" t="s">
        <v>20</v>
      </c>
      <c r="G3996" s="10" t="s">
        <v>21</v>
      </c>
      <c r="H3996" t="str">
        <f>"8/9/2021"</f>
        <v>8/9/2021</v>
      </c>
      <c r="I3996" t="str">
        <f>"MICHAEL ISAAC MARTINEZ"</f>
        <v>MICHAEL ISAAC MARTINEZ</v>
      </c>
    </row>
    <row r="3997" spans="1:9" x14ac:dyDescent="0.25">
      <c r="A3997" s="6">
        <v>44418</v>
      </c>
      <c r="B3997" t="s">
        <v>26</v>
      </c>
      <c r="C3997">
        <v>67362</v>
      </c>
      <c r="D3997" t="s">
        <v>644</v>
      </c>
      <c r="E3997" s="7">
        <v>1016.83</v>
      </c>
      <c r="F3997" t="s">
        <v>20</v>
      </c>
      <c r="G3997" s="10" t="s">
        <v>21</v>
      </c>
      <c r="H3997" t="str">
        <f>"8213601751"</f>
        <v>8213601751</v>
      </c>
      <c r="I3997" t="str">
        <f t="shared" ref="I3997:I4003" si="88">"UNIFIRST CORPORATION"</f>
        <v>UNIFIRST CORPORATION</v>
      </c>
    </row>
    <row r="3998" spans="1:9" x14ac:dyDescent="0.25">
      <c r="E3998" s="7"/>
      <c r="F3998" t="s">
        <v>20</v>
      </c>
      <c r="G3998" s="10" t="s">
        <v>21</v>
      </c>
      <c r="H3998" t="str">
        <f>"8213624484"</f>
        <v>8213624484</v>
      </c>
      <c r="I3998" t="str">
        <f t="shared" si="88"/>
        <v>UNIFIRST CORPORATION</v>
      </c>
    </row>
    <row r="3999" spans="1:9" x14ac:dyDescent="0.25">
      <c r="E3999" s="7"/>
      <c r="F3999" t="s">
        <v>20</v>
      </c>
      <c r="G3999" s="10" t="s">
        <v>21</v>
      </c>
      <c r="H3999" t="str">
        <f>"8213624485"</f>
        <v>8213624485</v>
      </c>
      <c r="I3999" t="str">
        <f t="shared" si="88"/>
        <v>UNIFIRST CORPORATION</v>
      </c>
    </row>
    <row r="4000" spans="1:9" x14ac:dyDescent="0.25">
      <c r="E4000" s="7"/>
      <c r="F4000" t="s">
        <v>20</v>
      </c>
      <c r="G4000" s="10" t="s">
        <v>21</v>
      </c>
      <c r="H4000" t="str">
        <f>"8213624486"</f>
        <v>8213624486</v>
      </c>
      <c r="I4000" t="str">
        <f t="shared" si="88"/>
        <v>UNIFIRST CORPORATION</v>
      </c>
    </row>
    <row r="4001" spans="1:9" x14ac:dyDescent="0.25">
      <c r="E4001" s="7"/>
      <c r="F4001" t="s">
        <v>20</v>
      </c>
      <c r="G4001" s="10" t="s">
        <v>21</v>
      </c>
      <c r="H4001" t="str">
        <f>"8213624487"</f>
        <v>8213624487</v>
      </c>
      <c r="I4001" t="str">
        <f t="shared" si="88"/>
        <v>UNIFIRST CORPORATION</v>
      </c>
    </row>
    <row r="4002" spans="1:9" x14ac:dyDescent="0.25">
      <c r="E4002" s="7"/>
      <c r="F4002" t="s">
        <v>20</v>
      </c>
      <c r="G4002" s="10" t="s">
        <v>21</v>
      </c>
      <c r="H4002" t="str">
        <f>"8213624489"</f>
        <v>8213624489</v>
      </c>
      <c r="I4002" t="str">
        <f t="shared" si="88"/>
        <v>UNIFIRST CORPORATION</v>
      </c>
    </row>
    <row r="4003" spans="1:9" x14ac:dyDescent="0.25">
      <c r="E4003" s="7"/>
      <c r="F4003" t="s">
        <v>20</v>
      </c>
      <c r="G4003" s="10" t="s">
        <v>21</v>
      </c>
      <c r="H4003" t="str">
        <f>"8213624490"</f>
        <v>8213624490</v>
      </c>
      <c r="I4003" t="str">
        <f t="shared" si="88"/>
        <v>UNIFIRST CORPORATION</v>
      </c>
    </row>
    <row r="4004" spans="1:9" x14ac:dyDescent="0.25">
      <c r="A4004" s="6">
        <v>44418</v>
      </c>
      <c r="B4004" t="s">
        <v>26</v>
      </c>
      <c r="C4004">
        <v>67364</v>
      </c>
      <c r="D4004" t="s">
        <v>698</v>
      </c>
      <c r="E4004" s="7">
        <v>90</v>
      </c>
      <c r="F4004" t="s">
        <v>20</v>
      </c>
      <c r="G4004" s="10" t="s">
        <v>21</v>
      </c>
      <c r="H4004" t="str">
        <f>"08/7/2021"</f>
        <v>08/7/2021</v>
      </c>
      <c r="I4004" t="str">
        <f>"TRACY ORTIZ"</f>
        <v>TRACY ORTIZ</v>
      </c>
    </row>
    <row r="4005" spans="1:9" x14ac:dyDescent="0.25">
      <c r="A4005" s="6">
        <v>44418</v>
      </c>
      <c r="B4005" t="s">
        <v>26</v>
      </c>
      <c r="C4005">
        <v>67365</v>
      </c>
      <c r="D4005" t="s">
        <v>739</v>
      </c>
      <c r="E4005" s="7">
        <v>1531.01</v>
      </c>
      <c r="F4005" t="s">
        <v>20</v>
      </c>
      <c r="G4005" s="10" t="s">
        <v>21</v>
      </c>
      <c r="H4005" t="str">
        <f>"5286X07272021"</f>
        <v>5286X07272021</v>
      </c>
      <c r="I4005" t="str">
        <f>"FIRSTNET/AT&amp;T MOBILITY LLC"</f>
        <v>FIRSTNET/AT&amp;T MOBILITY LLC</v>
      </c>
    </row>
    <row r="4006" spans="1:9" x14ac:dyDescent="0.25">
      <c r="A4006" s="6">
        <v>44418</v>
      </c>
      <c r="B4006" t="s">
        <v>26</v>
      </c>
      <c r="C4006">
        <v>67366</v>
      </c>
      <c r="D4006" t="s">
        <v>781</v>
      </c>
      <c r="E4006" s="7">
        <v>80</v>
      </c>
      <c r="F4006" t="s">
        <v>20</v>
      </c>
      <c r="G4006" s="10" t="s">
        <v>21</v>
      </c>
      <c r="H4006" t="str">
        <f>"8/7/2021"</f>
        <v>8/7/2021</v>
      </c>
      <c r="I4006" t="str">
        <f>"ASHLEY MARTINEZ"</f>
        <v>ASHLEY MARTINEZ</v>
      </c>
    </row>
    <row r="4007" spans="1:9" x14ac:dyDescent="0.25">
      <c r="A4007" s="6">
        <v>44418</v>
      </c>
      <c r="B4007" t="s">
        <v>26</v>
      </c>
      <c r="C4007">
        <v>67367</v>
      </c>
      <c r="D4007" t="s">
        <v>1018</v>
      </c>
      <c r="E4007" s="7">
        <v>3925</v>
      </c>
      <c r="F4007" t="s">
        <v>20</v>
      </c>
      <c r="G4007" s="10" t="s">
        <v>21</v>
      </c>
      <c r="H4007" t="str">
        <f>"7/1-7/31/2021"</f>
        <v>7/1-7/31/2021</v>
      </c>
      <c r="I4007" t="str">
        <f>"LAW OFFICE OF JOSE GARZA"</f>
        <v>LAW OFFICE OF JOSE GARZA</v>
      </c>
    </row>
    <row r="4008" spans="1:9" x14ac:dyDescent="0.25">
      <c r="A4008" s="6">
        <v>44418</v>
      </c>
      <c r="B4008" t="s">
        <v>26</v>
      </c>
      <c r="C4008">
        <v>67368</v>
      </c>
      <c r="D4008" t="s">
        <v>1032</v>
      </c>
      <c r="E4008" s="7">
        <v>10260</v>
      </c>
      <c r="F4008" t="s">
        <v>20</v>
      </c>
      <c r="G4008" s="10" t="s">
        <v>21</v>
      </c>
      <c r="H4008" t="str">
        <f>"7-21-17686"</f>
        <v>7-21-17686</v>
      </c>
      <c r="I4008" t="str">
        <f>"LEAL &amp; CARTER  P.C."</f>
        <v>LEAL &amp; CARTER  P.C.</v>
      </c>
    </row>
    <row r="4009" spans="1:9" x14ac:dyDescent="0.25">
      <c r="A4009" s="6">
        <v>44418</v>
      </c>
      <c r="B4009" t="s">
        <v>26</v>
      </c>
      <c r="C4009">
        <v>67369</v>
      </c>
      <c r="D4009" t="s">
        <v>1054</v>
      </c>
      <c r="E4009" s="7">
        <v>4960</v>
      </c>
      <c r="F4009" t="s">
        <v>20</v>
      </c>
      <c r="G4009" s="10" t="s">
        <v>21</v>
      </c>
      <c r="H4009" t="str">
        <f>"INV0020"</f>
        <v>INV0020</v>
      </c>
      <c r="I4009" t="str">
        <f>"CITY HALL FRONT CANOPY"</f>
        <v>CITY HALL FRONT CANOPY</v>
      </c>
    </row>
    <row r="4010" spans="1:9" x14ac:dyDescent="0.25">
      <c r="E4010" s="7"/>
      <c r="F4010" t="s">
        <v>20</v>
      </c>
      <c r="G4010" s="10" t="s">
        <v>21</v>
      </c>
      <c r="H4010" t="str">
        <f>"INV0021"</f>
        <v>INV0021</v>
      </c>
      <c r="I4010" t="str">
        <f>"DAVID TRAVIESO"</f>
        <v>DAVID TRAVIESO</v>
      </c>
    </row>
    <row r="4011" spans="1:9" x14ac:dyDescent="0.25">
      <c r="A4011" s="6">
        <v>44418</v>
      </c>
      <c r="B4011" t="s">
        <v>26</v>
      </c>
      <c r="C4011">
        <v>67370</v>
      </c>
      <c r="D4011" t="s">
        <v>1085</v>
      </c>
      <c r="E4011" s="7">
        <v>12.95</v>
      </c>
      <c r="F4011" t="s">
        <v>20</v>
      </c>
      <c r="G4011" s="10" t="s">
        <v>21</v>
      </c>
      <c r="H4011" t="str">
        <f>"REIMBSTMNT MCCOY'S"</f>
        <v>REIMBSTMNT MCCOY'S</v>
      </c>
      <c r="I4011" t="str">
        <f>"GERRY PESINA"</f>
        <v>GERRY PESINA</v>
      </c>
    </row>
    <row r="4012" spans="1:9" x14ac:dyDescent="0.25">
      <c r="A4012" s="6">
        <v>44418</v>
      </c>
      <c r="B4012" t="s">
        <v>26</v>
      </c>
      <c r="C4012">
        <v>67371</v>
      </c>
      <c r="D4012" t="s">
        <v>1013</v>
      </c>
      <c r="E4012" s="7">
        <v>7041</v>
      </c>
      <c r="F4012" t="s">
        <v>20</v>
      </c>
      <c r="G4012" s="10" t="s">
        <v>21</v>
      </c>
      <c r="H4012" t="str">
        <f>"135"</f>
        <v>135</v>
      </c>
      <c r="I4012" t="str">
        <f>"SWELL PROJECT"</f>
        <v>SWELL PROJECT</v>
      </c>
    </row>
    <row r="4013" spans="1:9" x14ac:dyDescent="0.25">
      <c r="A4013" s="6">
        <v>44419</v>
      </c>
      <c r="B4013" t="s">
        <v>91</v>
      </c>
      <c r="C4013">
        <v>67372</v>
      </c>
      <c r="D4013" t="s">
        <v>42</v>
      </c>
      <c r="E4013" s="7">
        <v>219.07</v>
      </c>
      <c r="F4013" t="s">
        <v>20</v>
      </c>
      <c r="G4013" s="10" t="s">
        <v>21</v>
      </c>
      <c r="H4013" t="str">
        <f>"LEGISLATIVE UPDATE"</f>
        <v>LEGISLATIVE UPDATE</v>
      </c>
      <c r="I4013" t="str">
        <f>"MARGARET TEJADA"</f>
        <v>MARGARET TEJADA</v>
      </c>
    </row>
    <row r="4014" spans="1:9" x14ac:dyDescent="0.25">
      <c r="A4014" s="6">
        <v>44419</v>
      </c>
      <c r="B4014" t="s">
        <v>91</v>
      </c>
      <c r="C4014">
        <v>67372</v>
      </c>
      <c r="D4014" t="s">
        <v>42</v>
      </c>
      <c r="E4014" s="7">
        <v>219.07</v>
      </c>
      <c r="F4014" t="s">
        <v>20</v>
      </c>
      <c r="G4014" s="10" t="s">
        <v>93</v>
      </c>
      <c r="H4014" t="str">
        <f>"CHECK"</f>
        <v>CHECK</v>
      </c>
      <c r="I4014" t="str">
        <f>""</f>
        <v/>
      </c>
    </row>
    <row r="4015" spans="1:9" x14ac:dyDescent="0.25">
      <c r="A4015" s="6">
        <v>44419</v>
      </c>
      <c r="B4015" t="s">
        <v>91</v>
      </c>
      <c r="C4015">
        <v>67373</v>
      </c>
      <c r="D4015" t="s">
        <v>1029</v>
      </c>
      <c r="E4015" s="7">
        <v>219.07</v>
      </c>
      <c r="F4015" t="s">
        <v>20</v>
      </c>
      <c r="G4015" s="10" t="s">
        <v>21</v>
      </c>
      <c r="H4015" t="str">
        <f>"LEGISLATIVE UPDATE"</f>
        <v>LEGISLATIVE UPDATE</v>
      </c>
      <c r="I4015" t="str">
        <f>"ANDY JOSLIN"</f>
        <v>ANDY JOSLIN</v>
      </c>
    </row>
    <row r="4016" spans="1:9" x14ac:dyDescent="0.25">
      <c r="A4016" s="6">
        <v>44419</v>
      </c>
      <c r="B4016" t="s">
        <v>91</v>
      </c>
      <c r="C4016">
        <v>67373</v>
      </c>
      <c r="D4016" t="s">
        <v>1029</v>
      </c>
      <c r="E4016" s="7">
        <v>219.07</v>
      </c>
      <c r="F4016" t="s">
        <v>20</v>
      </c>
      <c r="G4016" s="10" t="s">
        <v>93</v>
      </c>
      <c r="H4016" t="str">
        <f>"CHECK"</f>
        <v>CHECK</v>
      </c>
      <c r="I4016" t="str">
        <f>""</f>
        <v/>
      </c>
    </row>
    <row r="4017" spans="1:9" x14ac:dyDescent="0.25">
      <c r="A4017" s="6">
        <v>44419</v>
      </c>
      <c r="B4017" t="s">
        <v>26</v>
      </c>
      <c r="C4017">
        <v>67374</v>
      </c>
      <c r="D4017" t="s">
        <v>216</v>
      </c>
      <c r="E4017" s="7">
        <v>79832.5</v>
      </c>
      <c r="F4017" t="s">
        <v>20</v>
      </c>
      <c r="G4017" s="10" t="s">
        <v>21</v>
      </c>
      <c r="H4017" t="str">
        <f>"65436F"</f>
        <v>65436F</v>
      </c>
      <c r="I4017" t="str">
        <f>" FORD EXPLORER INV65436F"</f>
        <v xml:space="preserve"> FORD EXPLORER INV65436F</v>
      </c>
    </row>
    <row r="4018" spans="1:9" x14ac:dyDescent="0.25">
      <c r="E4018" s="7"/>
      <c r="F4018" t="s">
        <v>20</v>
      </c>
      <c r="G4018" s="10" t="s">
        <v>21</v>
      </c>
      <c r="H4018" t="str">
        <f>"65437F"</f>
        <v>65437F</v>
      </c>
      <c r="I4018" t="str">
        <f>" FORD EXPLORER INV65437F"</f>
        <v xml:space="preserve"> FORD EXPLORER INV65437F</v>
      </c>
    </row>
    <row r="4019" spans="1:9" x14ac:dyDescent="0.25">
      <c r="A4019" s="6">
        <v>44419</v>
      </c>
      <c r="B4019" t="s">
        <v>91</v>
      </c>
      <c r="C4019">
        <v>67375</v>
      </c>
      <c r="D4019" t="s">
        <v>1007</v>
      </c>
      <c r="E4019" s="7">
        <v>219.07</v>
      </c>
      <c r="F4019" t="s">
        <v>20</v>
      </c>
      <c r="G4019" s="10" t="s">
        <v>21</v>
      </c>
      <c r="H4019" t="str">
        <f>"LEGISLATIVE UPDATE"</f>
        <v>LEGISLATIVE UPDATE</v>
      </c>
      <c r="I4019" t="str">
        <f>"CYNTHIA STURM"</f>
        <v>CYNTHIA STURM</v>
      </c>
    </row>
    <row r="4020" spans="1:9" x14ac:dyDescent="0.25">
      <c r="A4020" s="6">
        <v>44419</v>
      </c>
      <c r="B4020" t="s">
        <v>91</v>
      </c>
      <c r="C4020">
        <v>67375</v>
      </c>
      <c r="D4020" t="s">
        <v>1007</v>
      </c>
      <c r="E4020" s="7">
        <v>219.07</v>
      </c>
      <c r="F4020" t="s">
        <v>20</v>
      </c>
      <c r="G4020" s="10" t="s">
        <v>93</v>
      </c>
      <c r="H4020" t="str">
        <f>"CHECK"</f>
        <v>CHECK</v>
      </c>
      <c r="I4020" t="str">
        <f>""</f>
        <v/>
      </c>
    </row>
    <row r="4021" spans="1:9" x14ac:dyDescent="0.25">
      <c r="A4021" s="6">
        <v>44420</v>
      </c>
      <c r="B4021" t="s">
        <v>26</v>
      </c>
      <c r="C4021">
        <v>67376</v>
      </c>
      <c r="D4021" t="s">
        <v>92</v>
      </c>
      <c r="E4021" s="7">
        <v>51869.81</v>
      </c>
      <c r="F4021" t="s">
        <v>20</v>
      </c>
      <c r="G4021" s="10" t="s">
        <v>21</v>
      </c>
      <c r="H4021" t="str">
        <f>"RET202106298615"</f>
        <v>RET202106298615</v>
      </c>
      <c r="I4021" t="str">
        <f>"TMRS CITY OF FLORESVILLE"</f>
        <v>TMRS CITY OF FLORESVILLE</v>
      </c>
    </row>
    <row r="4022" spans="1:9" x14ac:dyDescent="0.25">
      <c r="E4022" s="7"/>
      <c r="F4022" t="s">
        <v>20</v>
      </c>
      <c r="G4022" s="10" t="s">
        <v>21</v>
      </c>
      <c r="H4022" t="str">
        <f>"RET202107138616"</f>
        <v>RET202107138616</v>
      </c>
      <c r="I4022" t="str">
        <f>"TMRS CITY OF FLORESVILLE"</f>
        <v>TMRS CITY OF FLORESVILLE</v>
      </c>
    </row>
    <row r="4023" spans="1:9" x14ac:dyDescent="0.25">
      <c r="E4023" s="7"/>
      <c r="F4023" t="s">
        <v>20</v>
      </c>
      <c r="G4023" s="10" t="s">
        <v>21</v>
      </c>
      <c r="H4023" t="str">
        <f>"RET202107278617"</f>
        <v>RET202107278617</v>
      </c>
      <c r="I4023" t="str">
        <f>"TMRS CITY OF FLORESVILLE"</f>
        <v>TMRS CITY OF FLORESVILLE</v>
      </c>
    </row>
    <row r="4024" spans="1:9" x14ac:dyDescent="0.25">
      <c r="A4024" s="6">
        <v>44420</v>
      </c>
      <c r="B4024" t="s">
        <v>26</v>
      </c>
      <c r="C4024">
        <v>67381</v>
      </c>
      <c r="D4024" t="s">
        <v>74</v>
      </c>
      <c r="E4024" s="7">
        <v>1589.25</v>
      </c>
      <c r="F4024" t="s">
        <v>20</v>
      </c>
      <c r="G4024" s="10" t="s">
        <v>21</v>
      </c>
      <c r="H4024" t="str">
        <f>"9884799840"</f>
        <v>9884799840</v>
      </c>
      <c r="I4024" t="str">
        <f>"VERIZON WIRELESS"</f>
        <v>VERIZON WIRELESS</v>
      </c>
    </row>
    <row r="4025" spans="1:9" x14ac:dyDescent="0.25">
      <c r="A4025" s="6">
        <v>44421</v>
      </c>
      <c r="B4025" t="s">
        <v>26</v>
      </c>
      <c r="C4025">
        <v>67382</v>
      </c>
      <c r="D4025" t="s">
        <v>1086</v>
      </c>
      <c r="E4025" s="7">
        <v>800</v>
      </c>
      <c r="F4025" t="s">
        <v>20</v>
      </c>
      <c r="G4025" s="10" t="s">
        <v>21</v>
      </c>
      <c r="H4025" t="str">
        <f>"RFND AUGUST 2021"</f>
        <v>RFND AUGUST 2021</v>
      </c>
      <c r="I4025" t="str">
        <f>"REFUND"</f>
        <v>REFUND</v>
      </c>
    </row>
    <row r="4026" spans="1:9" x14ac:dyDescent="0.25">
      <c r="A4026" s="6">
        <v>44421</v>
      </c>
      <c r="B4026" t="s">
        <v>26</v>
      </c>
      <c r="C4026">
        <v>67383</v>
      </c>
      <c r="D4026" t="s">
        <v>738</v>
      </c>
      <c r="E4026" s="7">
        <v>140</v>
      </c>
      <c r="F4026" t="s">
        <v>20</v>
      </c>
      <c r="G4026" s="10" t="s">
        <v>21</v>
      </c>
      <c r="H4026" t="str">
        <f>"SECURITY 8/15/2021"</f>
        <v>SECURITY 8/15/2021</v>
      </c>
      <c r="I4026" t="str">
        <f>"PATRICIO BARRERA HERNANDEZ"</f>
        <v>PATRICIO BARRERA HERNANDEZ</v>
      </c>
    </row>
    <row r="4027" spans="1:9" x14ac:dyDescent="0.25">
      <c r="A4027" s="6">
        <v>44421</v>
      </c>
      <c r="B4027" t="s">
        <v>26</v>
      </c>
      <c r="C4027">
        <v>67384</v>
      </c>
      <c r="D4027" t="s">
        <v>1087</v>
      </c>
      <c r="E4027" s="7">
        <v>140</v>
      </c>
      <c r="F4027" t="s">
        <v>20</v>
      </c>
      <c r="G4027" s="10" t="s">
        <v>21</v>
      </c>
      <c r="H4027" t="str">
        <f>"SECURITY 8/15/2021"</f>
        <v>SECURITY 8/15/2021</v>
      </c>
      <c r="I4027" t="str">
        <f>"DAMIAN AGUILAR"</f>
        <v>DAMIAN AGUILAR</v>
      </c>
    </row>
    <row r="4028" spans="1:9" x14ac:dyDescent="0.25">
      <c r="A4028" s="6">
        <v>44426</v>
      </c>
      <c r="B4028" t="s">
        <v>26</v>
      </c>
      <c r="C4028">
        <v>67385</v>
      </c>
      <c r="D4028" t="s">
        <v>139</v>
      </c>
      <c r="E4028" s="7">
        <v>65</v>
      </c>
      <c r="F4028" t="s">
        <v>20</v>
      </c>
      <c r="G4028" s="10" t="s">
        <v>21</v>
      </c>
      <c r="H4028" t="str">
        <f>"32993"</f>
        <v>32993</v>
      </c>
      <c r="I4028" t="str">
        <f>"ANGEL FIRE &amp; SAFETY"</f>
        <v>ANGEL FIRE &amp; SAFETY</v>
      </c>
    </row>
    <row r="4029" spans="1:9" x14ac:dyDescent="0.25">
      <c r="A4029" s="6">
        <v>44426</v>
      </c>
      <c r="B4029" t="s">
        <v>26</v>
      </c>
      <c r="C4029">
        <v>67386</v>
      </c>
      <c r="D4029" t="s">
        <v>195</v>
      </c>
      <c r="E4029" s="7">
        <v>445.97</v>
      </c>
      <c r="F4029" t="s">
        <v>20</v>
      </c>
      <c r="G4029" s="10" t="s">
        <v>21</v>
      </c>
      <c r="H4029" t="str">
        <f>"INV-AIS-0003481"</f>
        <v>INV-AIS-0003481</v>
      </c>
      <c r="I4029" t="str">
        <f>"ARISTA INFORMATION SYSTEMS  IN"</f>
        <v>ARISTA INFORMATION SYSTEMS  IN</v>
      </c>
    </row>
    <row r="4030" spans="1:9" x14ac:dyDescent="0.25">
      <c r="A4030" s="6">
        <v>44426</v>
      </c>
      <c r="B4030" t="s">
        <v>26</v>
      </c>
      <c r="C4030">
        <v>67387</v>
      </c>
      <c r="D4030" t="s">
        <v>1088</v>
      </c>
      <c r="E4030" s="7">
        <v>413.68</v>
      </c>
      <c r="F4030" t="s">
        <v>20</v>
      </c>
      <c r="G4030" s="10" t="s">
        <v>21</v>
      </c>
      <c r="H4030" t="str">
        <f>"139443"</f>
        <v>139443</v>
      </c>
      <c r="I4030" t="str">
        <f>"PD SUPPLIES"</f>
        <v>PD SUPPLIES</v>
      </c>
    </row>
    <row r="4031" spans="1:9" x14ac:dyDescent="0.25">
      <c r="A4031" s="6">
        <v>44426</v>
      </c>
      <c r="B4031" t="s">
        <v>26</v>
      </c>
      <c r="C4031">
        <v>67388</v>
      </c>
      <c r="D4031" t="s">
        <v>115</v>
      </c>
      <c r="E4031" s="7">
        <v>125.99</v>
      </c>
      <c r="F4031" t="s">
        <v>20</v>
      </c>
      <c r="G4031" s="10" t="s">
        <v>21</v>
      </c>
      <c r="H4031" t="str">
        <f>"3547964873"</f>
        <v>3547964873</v>
      </c>
      <c r="I4031" t="str">
        <f>"RADIATOR FAN"</f>
        <v>RADIATOR FAN</v>
      </c>
    </row>
    <row r="4032" spans="1:9" x14ac:dyDescent="0.25">
      <c r="A4032" s="6">
        <v>44426</v>
      </c>
      <c r="B4032" t="s">
        <v>26</v>
      </c>
      <c r="C4032">
        <v>67389</v>
      </c>
      <c r="D4032" t="s">
        <v>836</v>
      </c>
      <c r="E4032" s="7">
        <v>118.99</v>
      </c>
      <c r="F4032" t="s">
        <v>20</v>
      </c>
      <c r="G4032" s="10" t="s">
        <v>21</v>
      </c>
      <c r="H4032" t="str">
        <f>"77610"</f>
        <v>77610</v>
      </c>
      <c r="I4032" t="str">
        <f>"BARCOM TECHNOLOGY SOLUTIONS  I"</f>
        <v>BARCOM TECHNOLOGY SOLUTIONS  I</v>
      </c>
    </row>
    <row r="4033" spans="1:9" x14ac:dyDescent="0.25">
      <c r="A4033" s="6">
        <v>44426</v>
      </c>
      <c r="B4033" t="s">
        <v>26</v>
      </c>
      <c r="C4033">
        <v>67390</v>
      </c>
      <c r="D4033" t="s">
        <v>313</v>
      </c>
      <c r="E4033" s="7">
        <v>430304</v>
      </c>
      <c r="F4033" t="s">
        <v>20</v>
      </c>
      <c r="G4033" s="10" t="s">
        <v>21</v>
      </c>
      <c r="H4033" t="str">
        <f>"994300095300001'21"</f>
        <v>994300095300001'21</v>
      </c>
      <c r="I4033" t="str">
        <f>"BB &amp; T GOVERNMENTAL FINANCE"</f>
        <v>BB &amp; T GOVERNMENTAL FINANCE</v>
      </c>
    </row>
    <row r="4034" spans="1:9" x14ac:dyDescent="0.25">
      <c r="A4034" s="6">
        <v>44426</v>
      </c>
      <c r="B4034" t="s">
        <v>26</v>
      </c>
      <c r="C4034">
        <v>67391</v>
      </c>
      <c r="D4034" t="s">
        <v>102</v>
      </c>
      <c r="E4034" s="7">
        <v>118.58</v>
      </c>
      <c r="F4034" t="s">
        <v>20</v>
      </c>
      <c r="G4034" s="10" t="s">
        <v>21</v>
      </c>
      <c r="H4034" t="str">
        <f>"100 1ST JULY 2021"</f>
        <v>100 1ST JULY 2021</v>
      </c>
      <c r="I4034" t="str">
        <f>"CENTERPOINT ENERGY ENTEX"</f>
        <v>CENTERPOINT ENERGY ENTEX</v>
      </c>
    </row>
    <row r="4035" spans="1:9" x14ac:dyDescent="0.25">
      <c r="E4035" s="7"/>
      <c r="F4035" t="s">
        <v>20</v>
      </c>
      <c r="G4035" s="10" t="s">
        <v>21</v>
      </c>
      <c r="H4035" t="str">
        <f>"1120 D.ST JULY2021"</f>
        <v>1120 D.ST JULY2021</v>
      </c>
      <c r="I4035" t="str">
        <f>"CENTERPOINT ENERGY ENTEX"</f>
        <v>CENTERPOINT ENERGY ENTEX</v>
      </c>
    </row>
    <row r="4036" spans="1:9" x14ac:dyDescent="0.25">
      <c r="E4036" s="7"/>
      <c r="F4036" t="s">
        <v>20</v>
      </c>
      <c r="G4036" s="10" t="s">
        <v>21</v>
      </c>
      <c r="H4036" t="str">
        <f>"920 C ST JULY2021"</f>
        <v>920 C ST JULY2021</v>
      </c>
      <c r="I4036" t="str">
        <f>"CENTERPOINT ENERGY ENTEX"</f>
        <v>CENTERPOINT ENERGY ENTEX</v>
      </c>
    </row>
    <row r="4037" spans="1:9" x14ac:dyDescent="0.25">
      <c r="A4037" s="6">
        <v>44426</v>
      </c>
      <c r="B4037" t="s">
        <v>26</v>
      </c>
      <c r="C4037">
        <v>67392</v>
      </c>
      <c r="D4037" t="s">
        <v>63</v>
      </c>
      <c r="E4037" s="7">
        <v>1134.51</v>
      </c>
      <c r="F4037" t="s">
        <v>20</v>
      </c>
      <c r="G4037" s="10" t="s">
        <v>21</v>
      </c>
      <c r="H4037" t="str">
        <f>"8405247076"</f>
        <v>8405247076</v>
      </c>
      <c r="I4037" t="str">
        <f>"CINTAS CORPORATION"</f>
        <v>CINTAS CORPORATION</v>
      </c>
    </row>
    <row r="4038" spans="1:9" x14ac:dyDescent="0.25">
      <c r="E4038" s="7"/>
      <c r="F4038" t="s">
        <v>20</v>
      </c>
      <c r="G4038" s="10" t="s">
        <v>21</v>
      </c>
      <c r="H4038" t="str">
        <f>"8405265869"</f>
        <v>8405265869</v>
      </c>
      <c r="I4038" t="str">
        <f>"CINTAS CORPORATION"</f>
        <v>CINTAS CORPORATION</v>
      </c>
    </row>
    <row r="4039" spans="1:9" x14ac:dyDescent="0.25">
      <c r="A4039" s="6">
        <v>44426</v>
      </c>
      <c r="B4039" t="s">
        <v>26</v>
      </c>
      <c r="C4039">
        <v>67393</v>
      </c>
      <c r="D4039" t="s">
        <v>58</v>
      </c>
      <c r="E4039" s="7">
        <v>148.5</v>
      </c>
      <c r="F4039" t="s">
        <v>20</v>
      </c>
      <c r="G4039" s="10" t="s">
        <v>21</v>
      </c>
      <c r="H4039" t="str">
        <f>"643275"</f>
        <v>643275</v>
      </c>
      <c r="I4039" t="str">
        <f>"DEASON ANIMAL HOSPITAL"</f>
        <v>DEASON ANIMAL HOSPITAL</v>
      </c>
    </row>
    <row r="4040" spans="1:9" x14ac:dyDescent="0.25">
      <c r="E4040" s="7"/>
      <c r="F4040" t="s">
        <v>20</v>
      </c>
      <c r="G4040" s="10" t="s">
        <v>21</v>
      </c>
      <c r="H4040" t="str">
        <f>"643581"</f>
        <v>643581</v>
      </c>
      <c r="I4040" t="str">
        <f>"DEASON ANIMAL HOSPITAL"</f>
        <v>DEASON ANIMAL HOSPITAL</v>
      </c>
    </row>
    <row r="4041" spans="1:9" x14ac:dyDescent="0.25">
      <c r="A4041" s="6">
        <v>44426</v>
      </c>
      <c r="B4041" t="s">
        <v>26</v>
      </c>
      <c r="C4041">
        <v>67394</v>
      </c>
      <c r="D4041" t="s">
        <v>180</v>
      </c>
      <c r="E4041" s="7">
        <v>33.479999999999997</v>
      </c>
      <c r="F4041" t="s">
        <v>20</v>
      </c>
      <c r="G4041" s="10" t="s">
        <v>21</v>
      </c>
      <c r="H4041" t="str">
        <f>"2107-105463"</f>
        <v>2107-105463</v>
      </c>
      <c r="I4041" t="str">
        <f>"BEE SPRAY"</f>
        <v>BEE SPRAY</v>
      </c>
    </row>
    <row r="4042" spans="1:9" x14ac:dyDescent="0.25">
      <c r="A4042" s="6">
        <v>44426</v>
      </c>
      <c r="B4042" t="s">
        <v>26</v>
      </c>
      <c r="C4042">
        <v>67395</v>
      </c>
      <c r="D4042" t="s">
        <v>214</v>
      </c>
      <c r="E4042" s="7">
        <v>692.04</v>
      </c>
      <c r="F4042" t="s">
        <v>20</v>
      </c>
      <c r="G4042" s="10" t="s">
        <v>21</v>
      </c>
      <c r="H4042" t="str">
        <f>"0040262-IN"</f>
        <v>0040262-IN</v>
      </c>
      <c r="I4042" t="str">
        <f>"FLAGS"</f>
        <v>FLAGS</v>
      </c>
    </row>
    <row r="4043" spans="1:9" x14ac:dyDescent="0.25">
      <c r="A4043" s="6">
        <v>44426</v>
      </c>
      <c r="B4043" t="s">
        <v>26</v>
      </c>
      <c r="C4043">
        <v>67396</v>
      </c>
      <c r="D4043" t="s">
        <v>647</v>
      </c>
      <c r="E4043" s="7">
        <v>3483.3</v>
      </c>
      <c r="F4043" t="s">
        <v>20</v>
      </c>
      <c r="G4043" s="10" t="s">
        <v>21</v>
      </c>
      <c r="H4043" t="str">
        <f>"29868123"</f>
        <v>29868123</v>
      </c>
      <c r="I4043" t="str">
        <f>"DOCUMATION  INC."</f>
        <v>DOCUMATION  INC.</v>
      </c>
    </row>
    <row r="4044" spans="1:9" x14ac:dyDescent="0.25">
      <c r="A4044" s="6">
        <v>44426</v>
      </c>
      <c r="B4044" t="s">
        <v>26</v>
      </c>
      <c r="C4044">
        <v>67397</v>
      </c>
      <c r="D4044" t="s">
        <v>325</v>
      </c>
      <c r="E4044" s="7">
        <v>55.33</v>
      </c>
      <c r="F4044" t="s">
        <v>20</v>
      </c>
      <c r="G4044" s="10" t="s">
        <v>21</v>
      </c>
      <c r="H4044" t="str">
        <f>"ID#2470001 8/2/21"</f>
        <v>ID#2470001 8/2/21</v>
      </c>
      <c r="I4044" t="str">
        <f>"DSHS CENTRAL LAB MC2004"</f>
        <v>DSHS CENTRAL LAB MC2004</v>
      </c>
    </row>
    <row r="4045" spans="1:9" x14ac:dyDescent="0.25">
      <c r="A4045" s="6">
        <v>44426</v>
      </c>
      <c r="B4045" t="s">
        <v>26</v>
      </c>
      <c r="C4045">
        <v>67398</v>
      </c>
      <c r="D4045" t="s">
        <v>69</v>
      </c>
      <c r="E4045" s="7">
        <v>283.43</v>
      </c>
      <c r="F4045" t="s">
        <v>20</v>
      </c>
      <c r="G4045" s="10" t="s">
        <v>21</v>
      </c>
      <c r="H4045" t="str">
        <f>"3C10880"</f>
        <v>3C10880</v>
      </c>
      <c r="I4045" t="str">
        <f>"WWTP SUPPLIES"</f>
        <v>WWTP SUPPLIES</v>
      </c>
    </row>
    <row r="4046" spans="1:9" x14ac:dyDescent="0.25">
      <c r="E4046" s="7"/>
      <c r="F4046" t="s">
        <v>20</v>
      </c>
      <c r="G4046" s="10" t="s">
        <v>21</v>
      </c>
      <c r="H4046" t="str">
        <f>"3C10961"</f>
        <v>3C10961</v>
      </c>
      <c r="I4046" t="str">
        <f>"SUPPLIES FOR LAWNMOWER"</f>
        <v>SUPPLIES FOR LAWNMOWER</v>
      </c>
    </row>
    <row r="4047" spans="1:9" x14ac:dyDescent="0.25">
      <c r="A4047" s="6">
        <v>44426</v>
      </c>
      <c r="B4047" t="s">
        <v>26</v>
      </c>
      <c r="C4047">
        <v>67399</v>
      </c>
      <c r="D4047" t="s">
        <v>103</v>
      </c>
      <c r="E4047" s="7">
        <v>103453.01</v>
      </c>
      <c r="F4047" t="s">
        <v>20</v>
      </c>
      <c r="G4047" s="10" t="s">
        <v>21</v>
      </c>
      <c r="H4047" t="str">
        <f>"SALES TAX AUG.2021"</f>
        <v>SALES TAX AUG.2021</v>
      </c>
      <c r="I4047" t="str">
        <f>"F. E. D. C."</f>
        <v>F. E. D. C.</v>
      </c>
    </row>
    <row r="4048" spans="1:9" x14ac:dyDescent="0.25">
      <c r="A4048" s="6">
        <v>44426</v>
      </c>
      <c r="B4048" t="s">
        <v>26</v>
      </c>
      <c r="C4048">
        <v>67400</v>
      </c>
      <c r="D4048" t="s">
        <v>79</v>
      </c>
      <c r="E4048" s="7">
        <v>30.36</v>
      </c>
      <c r="F4048" t="s">
        <v>20</v>
      </c>
      <c r="G4048" s="10" t="s">
        <v>21</v>
      </c>
      <c r="H4048" t="str">
        <f>"7-458-97705"</f>
        <v>7-458-97705</v>
      </c>
      <c r="I4048" t="str">
        <f>"FEDEX"</f>
        <v>FEDEX</v>
      </c>
    </row>
    <row r="4049" spans="1:9" x14ac:dyDescent="0.25">
      <c r="A4049" s="6">
        <v>44426</v>
      </c>
      <c r="B4049" t="s">
        <v>26</v>
      </c>
      <c r="C4049">
        <v>67401</v>
      </c>
      <c r="D4049" t="s">
        <v>59</v>
      </c>
      <c r="E4049" s="7">
        <v>6764.46</v>
      </c>
      <c r="F4049" t="s">
        <v>20</v>
      </c>
      <c r="G4049" s="10" t="s">
        <v>21</v>
      </c>
      <c r="H4049" t="str">
        <f>"1130333"</f>
        <v>1130333</v>
      </c>
      <c r="I4049" t="str">
        <f>"MISC STOCK"</f>
        <v>MISC STOCK</v>
      </c>
    </row>
    <row r="4050" spans="1:9" x14ac:dyDescent="0.25">
      <c r="E4050" s="7"/>
      <c r="F4050" t="s">
        <v>20</v>
      </c>
      <c r="G4050" s="10" t="s">
        <v>21</v>
      </c>
      <c r="H4050" t="str">
        <f>"1131442"</f>
        <v>1131442</v>
      </c>
      <c r="I4050" t="str">
        <f>"MISC STOCK"</f>
        <v>MISC STOCK</v>
      </c>
    </row>
    <row r="4051" spans="1:9" x14ac:dyDescent="0.25">
      <c r="E4051" s="7"/>
      <c r="F4051" t="s">
        <v>20</v>
      </c>
      <c r="G4051" s="10" t="s">
        <v>21</v>
      </c>
      <c r="H4051" t="str">
        <f>"1131442/1130333"</f>
        <v>1131442/1130333</v>
      </c>
      <c r="I4051" t="str">
        <f>"MISC STOCK"</f>
        <v>MISC STOCK</v>
      </c>
    </row>
    <row r="4052" spans="1:9" x14ac:dyDescent="0.25">
      <c r="A4052" s="6">
        <v>44426</v>
      </c>
      <c r="B4052" t="s">
        <v>26</v>
      </c>
      <c r="C4052">
        <v>67403</v>
      </c>
      <c r="D4052" t="s">
        <v>85</v>
      </c>
      <c r="E4052" s="7">
        <v>1202.1600000000001</v>
      </c>
      <c r="F4052" t="s">
        <v>20</v>
      </c>
      <c r="G4052" s="10" t="s">
        <v>21</v>
      </c>
      <c r="H4052" t="str">
        <f>"3930579 AUG.2021"</f>
        <v>3930579 AUG.2021</v>
      </c>
      <c r="I4052" t="str">
        <f>"FRONTIER"</f>
        <v>FRONTIER</v>
      </c>
    </row>
    <row r="4053" spans="1:9" x14ac:dyDescent="0.25">
      <c r="E4053" s="7"/>
      <c r="F4053" t="s">
        <v>20</v>
      </c>
      <c r="G4053" s="10" t="s">
        <v>21</v>
      </c>
      <c r="H4053" t="str">
        <f>"393108 AUG.2021"</f>
        <v>393108 AUG.2021</v>
      </c>
      <c r="I4053" t="str">
        <f>"FRONTIER"</f>
        <v>FRONTIER</v>
      </c>
    </row>
    <row r="4054" spans="1:9" x14ac:dyDescent="0.25">
      <c r="E4054" s="7"/>
      <c r="F4054" t="s">
        <v>20</v>
      </c>
      <c r="G4054" s="10" t="s">
        <v>21</v>
      </c>
      <c r="H4054" t="str">
        <f>"3934055 AUG.2021"</f>
        <v>3934055 AUG.2021</v>
      </c>
      <c r="I4054" t="str">
        <f>"FRONTIER"</f>
        <v>FRONTIER</v>
      </c>
    </row>
    <row r="4055" spans="1:9" x14ac:dyDescent="0.25">
      <c r="E4055" s="7"/>
      <c r="F4055" t="s">
        <v>20</v>
      </c>
      <c r="G4055" s="10" t="s">
        <v>21</v>
      </c>
      <c r="H4055" t="str">
        <f>"3937070 AUG.2021"</f>
        <v>3937070 AUG.2021</v>
      </c>
      <c r="I4055" t="str">
        <f>"FRONTIER"</f>
        <v>FRONTIER</v>
      </c>
    </row>
    <row r="4056" spans="1:9" x14ac:dyDescent="0.25">
      <c r="A4056" s="6">
        <v>44426</v>
      </c>
      <c r="B4056" t="s">
        <v>26</v>
      </c>
      <c r="C4056">
        <v>67404</v>
      </c>
      <c r="D4056" t="s">
        <v>194</v>
      </c>
      <c r="E4056" s="7">
        <v>251.55</v>
      </c>
      <c r="F4056" t="s">
        <v>20</v>
      </c>
      <c r="G4056" s="10" t="s">
        <v>21</v>
      </c>
      <c r="H4056" t="str">
        <f>"018944117"</f>
        <v>018944117</v>
      </c>
      <c r="I4056" t="str">
        <f>"GALLS  LLC-D.B.A. STERLING'S U"</f>
        <v>GALLS  LLC-D.B.A. STERLING'S U</v>
      </c>
    </row>
    <row r="4057" spans="1:9" x14ac:dyDescent="0.25">
      <c r="A4057" s="6">
        <v>44426</v>
      </c>
      <c r="B4057" t="s">
        <v>26</v>
      </c>
      <c r="C4057">
        <v>67405</v>
      </c>
      <c r="D4057" t="s">
        <v>419</v>
      </c>
      <c r="E4057" s="7">
        <v>111</v>
      </c>
      <c r="F4057" t="s">
        <v>20</v>
      </c>
      <c r="G4057" s="10" t="s">
        <v>21</v>
      </c>
      <c r="H4057" t="str">
        <f>"IAPE PROP EVDC CLS"</f>
        <v>IAPE PROP EVDC CLS</v>
      </c>
      <c r="I4057" t="str">
        <f>"GEORGE ORTIZ"</f>
        <v>GEORGE ORTIZ</v>
      </c>
    </row>
    <row r="4058" spans="1:9" x14ac:dyDescent="0.25">
      <c r="A4058" s="6">
        <v>44426</v>
      </c>
      <c r="B4058" t="s">
        <v>26</v>
      </c>
      <c r="C4058">
        <v>67406</v>
      </c>
      <c r="D4058" t="s">
        <v>56</v>
      </c>
      <c r="E4058" s="7">
        <v>82</v>
      </c>
      <c r="F4058" t="s">
        <v>20</v>
      </c>
      <c r="G4058" s="10" t="s">
        <v>21</v>
      </c>
      <c r="H4058" t="str">
        <f>"194754"</f>
        <v>194754</v>
      </c>
      <c r="I4058" t="str">
        <f>"REMEDY"</f>
        <v>REMEDY</v>
      </c>
    </row>
    <row r="4059" spans="1:9" x14ac:dyDescent="0.25">
      <c r="A4059" s="6">
        <v>44426</v>
      </c>
      <c r="B4059" t="s">
        <v>26</v>
      </c>
      <c r="C4059">
        <v>67407</v>
      </c>
      <c r="D4059" t="s">
        <v>302</v>
      </c>
      <c r="E4059" s="7">
        <v>96</v>
      </c>
      <c r="F4059" t="s">
        <v>20</v>
      </c>
      <c r="G4059" s="10" t="s">
        <v>21</v>
      </c>
      <c r="H4059" t="str">
        <f>"833139892*"</f>
        <v>833139892*</v>
      </c>
      <c r="I4059" t="str">
        <f>"VEHICLE REPORT FORMS"</f>
        <v>VEHICLE REPORT FORMS</v>
      </c>
    </row>
    <row r="4060" spans="1:9" x14ac:dyDescent="0.25">
      <c r="A4060" s="6">
        <v>44426</v>
      </c>
      <c r="B4060" t="s">
        <v>26</v>
      </c>
      <c r="C4060">
        <v>67408</v>
      </c>
      <c r="D4060" t="s">
        <v>1089</v>
      </c>
      <c r="E4060" s="7">
        <v>1384.9</v>
      </c>
      <c r="F4060" t="s">
        <v>20</v>
      </c>
      <c r="G4060" s="10" t="s">
        <v>21</v>
      </c>
      <c r="H4060" t="str">
        <f>"1015"</f>
        <v>1015</v>
      </c>
      <c r="I4060" t="str">
        <f>"BELTS"</f>
        <v>BELTS</v>
      </c>
    </row>
    <row r="4061" spans="1:9" x14ac:dyDescent="0.25">
      <c r="A4061" s="6">
        <v>44426</v>
      </c>
      <c r="B4061" t="s">
        <v>26</v>
      </c>
      <c r="C4061">
        <v>67409</v>
      </c>
      <c r="D4061" t="s">
        <v>426</v>
      </c>
      <c r="E4061" s="7">
        <v>1617.5</v>
      </c>
      <c r="F4061" t="s">
        <v>20</v>
      </c>
      <c r="G4061" s="10" t="s">
        <v>21</v>
      </c>
      <c r="H4061" t="str">
        <f>"INV0856424"</f>
        <v>INV0856424</v>
      </c>
      <c r="I4061" t="str">
        <f>"AMMO"</f>
        <v>AMMO</v>
      </c>
    </row>
    <row r="4062" spans="1:9" x14ac:dyDescent="0.25">
      <c r="A4062" s="6">
        <v>44426</v>
      </c>
      <c r="B4062" t="s">
        <v>26</v>
      </c>
      <c r="C4062">
        <v>67410</v>
      </c>
      <c r="D4062" t="s">
        <v>398</v>
      </c>
      <c r="E4062" s="7">
        <v>56.5</v>
      </c>
      <c r="F4062" t="s">
        <v>20</v>
      </c>
      <c r="G4062" s="10" t="s">
        <v>21</v>
      </c>
      <c r="H4062" t="str">
        <f>"20210804"</f>
        <v>20210804</v>
      </c>
      <c r="I4062" t="str">
        <f>"INTERCEPTOR TECHNOLOGY GROUP L"</f>
        <v>INTERCEPTOR TECHNOLOGY GROUP L</v>
      </c>
    </row>
    <row r="4063" spans="1:9" x14ac:dyDescent="0.25">
      <c r="A4063" s="6">
        <v>44426</v>
      </c>
      <c r="B4063" t="s">
        <v>26</v>
      </c>
      <c r="C4063">
        <v>67411</v>
      </c>
      <c r="D4063" t="s">
        <v>125</v>
      </c>
      <c r="E4063" s="7">
        <v>1660</v>
      </c>
      <c r="F4063" t="s">
        <v>20</v>
      </c>
      <c r="G4063" s="10" t="s">
        <v>21</v>
      </c>
      <c r="H4063" t="str">
        <f>"20-0711 JULY 2021"</f>
        <v>20-0711 JULY 2021</v>
      </c>
      <c r="I4063" t="str">
        <f>"INTREPID SURVEYING CORPORATION"</f>
        <v>INTREPID SURVEYING CORPORATION</v>
      </c>
    </row>
    <row r="4064" spans="1:9" x14ac:dyDescent="0.25">
      <c r="E4064" s="7"/>
      <c r="F4064" t="s">
        <v>20</v>
      </c>
      <c r="G4064" s="10" t="s">
        <v>21</v>
      </c>
      <c r="H4064" t="str">
        <f>"21-06987 JULY2021"</f>
        <v>21-06987 JULY2021</v>
      </c>
      <c r="I4064" t="str">
        <f>"INTREPID SURVEYING CORPORATION"</f>
        <v>INTREPID SURVEYING CORPORATION</v>
      </c>
    </row>
    <row r="4065" spans="1:9" x14ac:dyDescent="0.25">
      <c r="A4065" s="6">
        <v>44426</v>
      </c>
      <c r="B4065" t="s">
        <v>26</v>
      </c>
      <c r="C4065">
        <v>67412</v>
      </c>
      <c r="D4065" t="s">
        <v>480</v>
      </c>
      <c r="E4065" s="7">
        <v>216.96</v>
      </c>
      <c r="F4065" t="s">
        <v>20</v>
      </c>
      <c r="G4065" s="10" t="s">
        <v>21</v>
      </c>
      <c r="H4065" t="str">
        <f>"REISSUE CHK#67219"</f>
        <v>REISSUE CHK#67219</v>
      </c>
      <c r="I4065" t="str">
        <f>"JESSE EVINS"</f>
        <v>JESSE EVINS</v>
      </c>
    </row>
    <row r="4066" spans="1:9" x14ac:dyDescent="0.25">
      <c r="A4066" s="6">
        <v>44426</v>
      </c>
      <c r="B4066" t="s">
        <v>26</v>
      </c>
      <c r="C4066">
        <v>67413</v>
      </c>
      <c r="D4066" t="s">
        <v>1090</v>
      </c>
      <c r="E4066" s="7">
        <v>825</v>
      </c>
      <c r="F4066" t="s">
        <v>20</v>
      </c>
      <c r="G4066" s="10" t="s">
        <v>21</v>
      </c>
      <c r="H4066" t="str">
        <f>"100"</f>
        <v>100</v>
      </c>
      <c r="I4066" t="str">
        <f>"PHOTOGRAPHY-POWWOW"</f>
        <v>PHOTOGRAPHY-POWWOW</v>
      </c>
    </row>
    <row r="4067" spans="1:9" x14ac:dyDescent="0.25">
      <c r="A4067" s="6">
        <v>44426</v>
      </c>
      <c r="B4067" t="s">
        <v>26</v>
      </c>
      <c r="C4067">
        <v>67414</v>
      </c>
      <c r="D4067" t="s">
        <v>328</v>
      </c>
      <c r="E4067" s="7">
        <v>1250</v>
      </c>
      <c r="F4067" t="s">
        <v>20</v>
      </c>
      <c r="G4067" s="10" t="s">
        <v>21</v>
      </c>
      <c r="H4067" t="str">
        <f>"7020762"</f>
        <v>7020762</v>
      </c>
      <c r="I4067" t="str">
        <f>"KOLOGIK"</f>
        <v>KOLOGIK</v>
      </c>
    </row>
    <row r="4068" spans="1:9" x14ac:dyDescent="0.25">
      <c r="A4068" s="6">
        <v>44426</v>
      </c>
      <c r="B4068" t="s">
        <v>26</v>
      </c>
      <c r="C4068">
        <v>67415</v>
      </c>
      <c r="D4068" t="s">
        <v>1017</v>
      </c>
      <c r="E4068" s="7">
        <v>29</v>
      </c>
      <c r="F4068" t="s">
        <v>20</v>
      </c>
      <c r="G4068" s="10" t="s">
        <v>21</v>
      </c>
      <c r="H4068" t="str">
        <f>"69848626"</f>
        <v>69848626</v>
      </c>
      <c r="I4068" t="str">
        <f>"LABCORP"</f>
        <v>LABCORP</v>
      </c>
    </row>
    <row r="4069" spans="1:9" x14ac:dyDescent="0.25">
      <c r="A4069" s="6">
        <v>44426</v>
      </c>
      <c r="B4069" t="s">
        <v>26</v>
      </c>
      <c r="C4069">
        <v>67416</v>
      </c>
      <c r="D4069" t="s">
        <v>117</v>
      </c>
      <c r="E4069" s="7">
        <v>1660.18</v>
      </c>
      <c r="F4069" t="s">
        <v>20</v>
      </c>
      <c r="G4069" s="10" t="s">
        <v>21</v>
      </c>
      <c r="H4069" t="str">
        <f>"JULY 2021"</f>
        <v>JULY 2021</v>
      </c>
      <c r="I4069" t="str">
        <f>"LINEBARGER GOGGAN BLAIR &amp; SAMP"</f>
        <v>LINEBARGER GOGGAN BLAIR &amp; SAMP</v>
      </c>
    </row>
    <row r="4070" spans="1:9" x14ac:dyDescent="0.25">
      <c r="A4070" s="6">
        <v>44426</v>
      </c>
      <c r="B4070" t="s">
        <v>26</v>
      </c>
      <c r="C4070">
        <v>67417</v>
      </c>
      <c r="D4070" t="s">
        <v>29</v>
      </c>
      <c r="E4070" s="7">
        <v>4441.34</v>
      </c>
      <c r="F4070" t="s">
        <v>20</v>
      </c>
      <c r="G4070" s="10" t="s">
        <v>21</v>
      </c>
      <c r="H4070" t="str">
        <f>"52426"</f>
        <v>52426</v>
      </c>
      <c r="I4070" t="str">
        <f>"M &amp; S ENGINEERING  LLC"</f>
        <v>M &amp; S ENGINEERING  LLC</v>
      </c>
    </row>
    <row r="4071" spans="1:9" x14ac:dyDescent="0.25">
      <c r="E4071" s="7"/>
      <c r="F4071" t="s">
        <v>20</v>
      </c>
      <c r="G4071" s="10" t="s">
        <v>21</v>
      </c>
      <c r="H4071" t="str">
        <f>"52435"</f>
        <v>52435</v>
      </c>
      <c r="I4071" t="str">
        <f>"M &amp; S ENGINEERING  LLC"</f>
        <v>M &amp; S ENGINEERING  LLC</v>
      </c>
    </row>
    <row r="4072" spans="1:9" x14ac:dyDescent="0.25">
      <c r="A4072" s="6">
        <v>44426</v>
      </c>
      <c r="B4072" t="s">
        <v>26</v>
      </c>
      <c r="C4072">
        <v>67418</v>
      </c>
      <c r="D4072" t="s">
        <v>1058</v>
      </c>
      <c r="E4072" s="7">
        <v>331.7</v>
      </c>
      <c r="F4072" t="s">
        <v>20</v>
      </c>
      <c r="G4072" s="10" t="s">
        <v>21</v>
      </c>
      <c r="H4072" t="str">
        <f>"1444"</f>
        <v>1444</v>
      </c>
      <c r="I4072" t="str">
        <f>"M-R PLG CO."</f>
        <v>M-R PLG CO.</v>
      </c>
    </row>
    <row r="4073" spans="1:9" x14ac:dyDescent="0.25">
      <c r="A4073" s="6">
        <v>44426</v>
      </c>
      <c r="B4073" t="s">
        <v>26</v>
      </c>
      <c r="C4073">
        <v>67419</v>
      </c>
      <c r="D4073" t="s">
        <v>326</v>
      </c>
      <c r="E4073" s="7">
        <v>44</v>
      </c>
      <c r="F4073" t="s">
        <v>20</v>
      </c>
      <c r="G4073" s="10" t="s">
        <v>21</v>
      </c>
      <c r="H4073" t="str">
        <f>"0023961331"</f>
        <v>0023961331</v>
      </c>
      <c r="I4073" t="str">
        <f>"MATHESON TRI-GAS INC"</f>
        <v>MATHESON TRI-GAS INC</v>
      </c>
    </row>
    <row r="4074" spans="1:9" x14ac:dyDescent="0.25">
      <c r="A4074" s="6">
        <v>44426</v>
      </c>
      <c r="B4074" t="s">
        <v>26</v>
      </c>
      <c r="C4074">
        <v>67420</v>
      </c>
      <c r="D4074" t="s">
        <v>124</v>
      </c>
      <c r="E4074" s="7">
        <v>76.87</v>
      </c>
      <c r="F4074" t="s">
        <v>20</v>
      </c>
      <c r="G4074" s="10" t="s">
        <v>21</v>
      </c>
      <c r="H4074" t="str">
        <f>"11108364"</f>
        <v>11108364</v>
      </c>
      <c r="I4074" t="str">
        <f>"TOOLS &amp; SUPPLIES"</f>
        <v>TOOLS &amp; SUPPLIES</v>
      </c>
    </row>
    <row r="4075" spans="1:9" x14ac:dyDescent="0.25">
      <c r="A4075" s="6">
        <v>44426</v>
      </c>
      <c r="B4075" t="s">
        <v>26</v>
      </c>
      <c r="C4075">
        <v>67421</v>
      </c>
      <c r="D4075" t="s">
        <v>240</v>
      </c>
      <c r="E4075" s="7">
        <v>1207.19</v>
      </c>
      <c r="F4075" t="s">
        <v>20</v>
      </c>
      <c r="G4075" s="10" t="s">
        <v>21</v>
      </c>
      <c r="H4075" t="str">
        <f>"0212834-IN"</f>
        <v>0212834-IN</v>
      </c>
      <c r="I4075" t="str">
        <f>"UNIFORM - OFC BARRIENTEZ"</f>
        <v>UNIFORM - OFC BARRIENTEZ</v>
      </c>
    </row>
    <row r="4076" spans="1:9" x14ac:dyDescent="0.25">
      <c r="E4076" s="7"/>
      <c r="F4076" t="s">
        <v>20</v>
      </c>
      <c r="G4076" s="10" t="s">
        <v>21</v>
      </c>
      <c r="H4076" t="str">
        <f>"0213012-IN"</f>
        <v>0213012-IN</v>
      </c>
      <c r="I4076" t="str">
        <f>"NARDIS PUBLIC SAFETY"</f>
        <v>NARDIS PUBLIC SAFETY</v>
      </c>
    </row>
    <row r="4077" spans="1:9" x14ac:dyDescent="0.25">
      <c r="E4077" s="7"/>
      <c r="F4077" t="s">
        <v>20</v>
      </c>
      <c r="G4077" s="10" t="s">
        <v>21</v>
      </c>
      <c r="H4077" t="str">
        <f>"0213233-IN"</f>
        <v>0213233-IN</v>
      </c>
      <c r="I4077" t="str">
        <f>"NARDIS PUBLIC SAFETY"</f>
        <v>NARDIS PUBLIC SAFETY</v>
      </c>
    </row>
    <row r="4078" spans="1:9" x14ac:dyDescent="0.25">
      <c r="A4078" s="6">
        <v>44426</v>
      </c>
      <c r="B4078" t="s">
        <v>26</v>
      </c>
      <c r="C4078">
        <v>67422</v>
      </c>
      <c r="D4078" t="s">
        <v>1013</v>
      </c>
      <c r="E4078" s="7">
        <v>1448</v>
      </c>
      <c r="F4078" t="s">
        <v>20</v>
      </c>
      <c r="G4078" s="10" t="s">
        <v>21</v>
      </c>
      <c r="H4078" t="str">
        <f>"137"</f>
        <v>137</v>
      </c>
      <c r="I4078" t="str">
        <f>"SWELL PROJECT"</f>
        <v>SWELL PROJECT</v>
      </c>
    </row>
    <row r="4079" spans="1:9" x14ac:dyDescent="0.25">
      <c r="A4079" s="6">
        <v>44426</v>
      </c>
      <c r="B4079" t="s">
        <v>26</v>
      </c>
      <c r="C4079">
        <v>67423</v>
      </c>
      <c r="D4079" t="s">
        <v>1065</v>
      </c>
      <c r="E4079" s="7">
        <v>250</v>
      </c>
      <c r="F4079" t="s">
        <v>20</v>
      </c>
      <c r="G4079" s="10" t="s">
        <v>21</v>
      </c>
      <c r="H4079" t="str">
        <f>"0U459-3"</f>
        <v>0U459-3</v>
      </c>
      <c r="I4079" t="str">
        <f>"NOVA MEDICAL CENTERS"</f>
        <v>NOVA MEDICAL CENTERS</v>
      </c>
    </row>
    <row r="4080" spans="1:9" x14ac:dyDescent="0.25">
      <c r="A4080" s="6">
        <v>44426</v>
      </c>
      <c r="B4080" t="s">
        <v>26</v>
      </c>
      <c r="C4080">
        <v>67424</v>
      </c>
      <c r="D4080" t="s">
        <v>123</v>
      </c>
      <c r="E4080" s="7">
        <v>65.08</v>
      </c>
      <c r="F4080" t="s">
        <v>20</v>
      </c>
      <c r="G4080" s="10" t="s">
        <v>21</v>
      </c>
      <c r="H4080" t="str">
        <f>"184087681001"</f>
        <v>184087681001</v>
      </c>
      <c r="I4080" t="str">
        <f>"OFFICE SUPPLIES"</f>
        <v>OFFICE SUPPLIES</v>
      </c>
    </row>
    <row r="4081" spans="1:9" x14ac:dyDescent="0.25">
      <c r="A4081" s="6">
        <v>44426</v>
      </c>
      <c r="B4081" t="s">
        <v>26</v>
      </c>
      <c r="C4081">
        <v>67425</v>
      </c>
      <c r="D4081" t="s">
        <v>1081</v>
      </c>
      <c r="E4081" s="7">
        <v>1684</v>
      </c>
      <c r="F4081" t="s">
        <v>20</v>
      </c>
      <c r="G4081" s="10" t="s">
        <v>21</v>
      </c>
      <c r="H4081" t="str">
        <f>"23343"</f>
        <v>23343</v>
      </c>
      <c r="I4081" t="str">
        <f>"PINNACLE PEST DEFENSE"</f>
        <v>PINNACLE PEST DEFENSE</v>
      </c>
    </row>
    <row r="4082" spans="1:9" x14ac:dyDescent="0.25">
      <c r="E4082" s="7"/>
      <c r="F4082" t="s">
        <v>20</v>
      </c>
      <c r="G4082" s="10" t="s">
        <v>21</v>
      </c>
      <c r="H4082" t="str">
        <f>"23571"</f>
        <v>23571</v>
      </c>
      <c r="I4082" t="str">
        <f>"PINNACLE PEST DEFENSE"</f>
        <v>PINNACLE PEST DEFENSE</v>
      </c>
    </row>
    <row r="4083" spans="1:9" x14ac:dyDescent="0.25">
      <c r="E4083" s="7"/>
      <c r="F4083" t="s">
        <v>20</v>
      </c>
      <c r="G4083" s="10" t="s">
        <v>21</v>
      </c>
      <c r="H4083" t="str">
        <f>"23994"</f>
        <v>23994</v>
      </c>
      <c r="I4083" t="str">
        <f>"PINNACLE PEST DEFENSE"</f>
        <v>PINNACLE PEST DEFENSE</v>
      </c>
    </row>
    <row r="4084" spans="1:9" x14ac:dyDescent="0.25">
      <c r="A4084" s="6">
        <v>44426</v>
      </c>
      <c r="B4084" t="s">
        <v>26</v>
      </c>
      <c r="C4084">
        <v>67426</v>
      </c>
      <c r="D4084" t="s">
        <v>166</v>
      </c>
      <c r="E4084" s="7">
        <v>601</v>
      </c>
      <c r="F4084" t="s">
        <v>20</v>
      </c>
      <c r="G4084" s="10" t="s">
        <v>21</v>
      </c>
      <c r="H4084" t="str">
        <f>"9567  8/30/2021"</f>
        <v>9567  8/30/2021</v>
      </c>
      <c r="I4084" t="str">
        <f>"PITNEY BOWES PURCHASE POWER"</f>
        <v>PITNEY BOWES PURCHASE POWER</v>
      </c>
    </row>
    <row r="4085" spans="1:9" x14ac:dyDescent="0.25">
      <c r="A4085" s="6">
        <v>44426</v>
      </c>
      <c r="B4085" t="s">
        <v>26</v>
      </c>
      <c r="C4085">
        <v>67427</v>
      </c>
      <c r="D4085" t="s">
        <v>528</v>
      </c>
      <c r="E4085" s="7">
        <v>279.72000000000003</v>
      </c>
      <c r="F4085" t="s">
        <v>20</v>
      </c>
      <c r="G4085" s="10" t="s">
        <v>21</v>
      </c>
      <c r="H4085" t="str">
        <f>"110635877"</f>
        <v>110635877</v>
      </c>
      <c r="I4085" t="str">
        <f>"PROSTAR SERVICES INC"</f>
        <v>PROSTAR SERVICES INC</v>
      </c>
    </row>
    <row r="4086" spans="1:9" x14ac:dyDescent="0.25">
      <c r="A4086" s="6">
        <v>44426</v>
      </c>
      <c r="B4086" t="s">
        <v>26</v>
      </c>
      <c r="C4086">
        <v>67428</v>
      </c>
      <c r="D4086" t="s">
        <v>852</v>
      </c>
      <c r="E4086" s="7">
        <v>100.19</v>
      </c>
      <c r="F4086" t="s">
        <v>20</v>
      </c>
      <c r="G4086" s="10" t="s">
        <v>21</v>
      </c>
      <c r="H4086" t="str">
        <f>"22102394"</f>
        <v>22102394</v>
      </c>
      <c r="I4086" t="str">
        <f>"TRAINING TARGETS"</f>
        <v>TRAINING TARGETS</v>
      </c>
    </row>
    <row r="4087" spans="1:9" x14ac:dyDescent="0.25">
      <c r="A4087" s="6">
        <v>44426</v>
      </c>
      <c r="B4087" t="s">
        <v>26</v>
      </c>
      <c r="C4087">
        <v>67429</v>
      </c>
      <c r="D4087" t="s">
        <v>131</v>
      </c>
      <c r="E4087" s="7">
        <v>100.84</v>
      </c>
      <c r="F4087" t="s">
        <v>20</v>
      </c>
      <c r="G4087" s="10" t="s">
        <v>21</v>
      </c>
      <c r="H4087" t="str">
        <f>"060595"</f>
        <v>060595</v>
      </c>
      <c r="I4087" t="str">
        <f>"DIVING BOARD"</f>
        <v>DIVING BOARD</v>
      </c>
    </row>
    <row r="4088" spans="1:9" x14ac:dyDescent="0.25">
      <c r="E4088" s="7"/>
      <c r="F4088" t="s">
        <v>20</v>
      </c>
      <c r="G4088" s="10" t="s">
        <v>21</v>
      </c>
      <c r="H4088" t="str">
        <f>"061141"</f>
        <v>061141</v>
      </c>
      <c r="I4088" t="str">
        <f>"TOOLS AND SUPPLIES-WATER"</f>
        <v>TOOLS AND SUPPLIES-WATER</v>
      </c>
    </row>
    <row r="4089" spans="1:9" x14ac:dyDescent="0.25">
      <c r="A4089" s="6">
        <v>44426</v>
      </c>
      <c r="B4089" t="s">
        <v>26</v>
      </c>
      <c r="C4089">
        <v>67430</v>
      </c>
      <c r="D4089" t="s">
        <v>126</v>
      </c>
      <c r="E4089" s="7">
        <v>1066.26</v>
      </c>
      <c r="F4089" t="s">
        <v>20</v>
      </c>
      <c r="G4089" s="10" t="s">
        <v>21</v>
      </c>
      <c r="H4089" t="str">
        <f>"3-0859-0022414"</f>
        <v>3-0859-0022414</v>
      </c>
      <c r="I4089" t="str">
        <f>"REPUBLIC SERVICES #859"</f>
        <v>REPUBLIC SERVICES #859</v>
      </c>
    </row>
    <row r="4090" spans="1:9" x14ac:dyDescent="0.25">
      <c r="A4090" s="6">
        <v>44426</v>
      </c>
      <c r="B4090" t="s">
        <v>26</v>
      </c>
      <c r="C4090">
        <v>67431</v>
      </c>
      <c r="D4090" t="s">
        <v>1091</v>
      </c>
      <c r="E4090" s="7">
        <v>250</v>
      </c>
      <c r="F4090" t="s">
        <v>20</v>
      </c>
      <c r="G4090" s="10" t="s">
        <v>21</v>
      </c>
      <c r="H4090" t="str">
        <f>"00012"</f>
        <v>00012</v>
      </c>
      <c r="I4090" t="str">
        <f>"ANNUAL REGISTRATION FEE"</f>
        <v>ANNUAL REGISTRATION FEE</v>
      </c>
    </row>
    <row r="4091" spans="1:9" x14ac:dyDescent="0.25">
      <c r="A4091" s="6">
        <v>44426</v>
      </c>
      <c r="B4091" t="s">
        <v>26</v>
      </c>
      <c r="C4091">
        <v>67432</v>
      </c>
      <c r="D4091" t="s">
        <v>495</v>
      </c>
      <c r="E4091" s="7">
        <v>682</v>
      </c>
      <c r="F4091" t="s">
        <v>20</v>
      </c>
      <c r="G4091" s="10" t="s">
        <v>21</v>
      </c>
      <c r="H4091" t="str">
        <f>"0505126-IN"</f>
        <v>0505126-IN</v>
      </c>
      <c r="I4091" t="str">
        <f>"SIRCHIE"</f>
        <v>SIRCHIE</v>
      </c>
    </row>
    <row r="4092" spans="1:9" x14ac:dyDescent="0.25">
      <c r="A4092" s="6">
        <v>44426</v>
      </c>
      <c r="B4092" t="s">
        <v>26</v>
      </c>
      <c r="C4092">
        <v>67433</v>
      </c>
      <c r="D4092" t="s">
        <v>339</v>
      </c>
      <c r="E4092" s="7">
        <v>360</v>
      </c>
      <c r="F4092" t="s">
        <v>20</v>
      </c>
      <c r="G4092" s="10" t="s">
        <v>21</v>
      </c>
      <c r="H4092" t="str">
        <f>"827708"</f>
        <v>827708</v>
      </c>
      <c r="I4092" t="str">
        <f>"RADAR REPLACEMENT #325"</f>
        <v>RADAR REPLACEMENT #325</v>
      </c>
    </row>
    <row r="4093" spans="1:9" x14ac:dyDescent="0.25">
      <c r="A4093" s="6">
        <v>44426</v>
      </c>
      <c r="B4093" t="s">
        <v>26</v>
      </c>
      <c r="C4093">
        <v>67434</v>
      </c>
      <c r="D4093" t="s">
        <v>346</v>
      </c>
      <c r="E4093" s="7">
        <v>13750</v>
      </c>
      <c r="F4093" t="s">
        <v>20</v>
      </c>
      <c r="G4093" s="10" t="s">
        <v>21</v>
      </c>
      <c r="H4093" t="str">
        <f>"7/11-8/11/2021"</f>
        <v>7/11-8/11/2021</v>
      </c>
      <c r="I4093" t="str">
        <f>"SYLVIA RODRIGUEZ"</f>
        <v>SYLVIA RODRIGUEZ</v>
      </c>
    </row>
    <row r="4094" spans="1:9" x14ac:dyDescent="0.25">
      <c r="A4094" s="6">
        <v>44426</v>
      </c>
      <c r="B4094" t="s">
        <v>26</v>
      </c>
      <c r="C4094">
        <v>67435</v>
      </c>
      <c r="D4094" t="s">
        <v>975</v>
      </c>
      <c r="E4094" s="7">
        <v>522.96</v>
      </c>
      <c r="F4094" t="s">
        <v>20</v>
      </c>
      <c r="G4094" s="10" t="s">
        <v>21</v>
      </c>
      <c r="H4094" t="str">
        <f>"P87689"</f>
        <v>P87689</v>
      </c>
      <c r="I4094" t="str">
        <f>"BELTS AND GRABBERS"</f>
        <v>BELTS AND GRABBERS</v>
      </c>
    </row>
    <row r="4095" spans="1:9" x14ac:dyDescent="0.25">
      <c r="E4095" s="7"/>
      <c r="F4095" t="s">
        <v>20</v>
      </c>
      <c r="G4095" s="10" t="s">
        <v>21</v>
      </c>
      <c r="H4095" t="str">
        <f>"P87704"</f>
        <v>P87704</v>
      </c>
      <c r="I4095" t="str">
        <f>"WOODS/DI"</f>
        <v>WOODS/DI</v>
      </c>
    </row>
    <row r="4096" spans="1:9" x14ac:dyDescent="0.25">
      <c r="A4096" s="6">
        <v>44426</v>
      </c>
      <c r="B4096" t="s">
        <v>26</v>
      </c>
      <c r="C4096">
        <v>67436</v>
      </c>
      <c r="D4096" t="s">
        <v>253</v>
      </c>
      <c r="E4096" s="7">
        <v>75</v>
      </c>
      <c r="F4096" t="s">
        <v>20</v>
      </c>
      <c r="G4096" s="10" t="s">
        <v>21</v>
      </c>
      <c r="H4096" t="str">
        <f>"01023"</f>
        <v>01023</v>
      </c>
      <c r="I4096" t="str">
        <f>"TEXAS MUNICIPAL COURT - JUSTIC"</f>
        <v>TEXAS MUNICIPAL COURT - JUSTIC</v>
      </c>
    </row>
    <row r="4097" spans="1:9" x14ac:dyDescent="0.25">
      <c r="A4097" s="6">
        <v>44426</v>
      </c>
      <c r="B4097" t="s">
        <v>26</v>
      </c>
      <c r="C4097">
        <v>67437</v>
      </c>
      <c r="D4097" t="s">
        <v>31</v>
      </c>
      <c r="E4097" s="7">
        <v>2000</v>
      </c>
      <c r="F4097" t="s">
        <v>20</v>
      </c>
      <c r="G4097" s="10" t="s">
        <v>21</v>
      </c>
      <c r="H4097" t="str">
        <f>"2021272"</f>
        <v>2021272</v>
      </c>
      <c r="I4097" t="str">
        <f>"THE LAW OFFICE OF TOM CALDWELL"</f>
        <v>THE LAW OFFICE OF TOM CALDWELL</v>
      </c>
    </row>
    <row r="4098" spans="1:9" x14ac:dyDescent="0.25">
      <c r="A4098" s="6">
        <v>44426</v>
      </c>
      <c r="B4098" t="s">
        <v>26</v>
      </c>
      <c r="C4098">
        <v>67438</v>
      </c>
      <c r="D4098" t="s">
        <v>311</v>
      </c>
      <c r="E4098" s="7">
        <v>87505.1</v>
      </c>
      <c r="F4098" t="s">
        <v>20</v>
      </c>
      <c r="G4098" s="10" t="s">
        <v>21</v>
      </c>
      <c r="H4098" t="str">
        <f>"8/11/2021 LNN00500"</f>
        <v>8/11/2021 LNN00500</v>
      </c>
      <c r="I4098" t="s">
        <v>498</v>
      </c>
    </row>
    <row r="4099" spans="1:9" x14ac:dyDescent="0.25">
      <c r="A4099" s="6">
        <v>44426</v>
      </c>
      <c r="B4099" t="s">
        <v>26</v>
      </c>
      <c r="C4099">
        <v>67439</v>
      </c>
      <c r="D4099" t="s">
        <v>698</v>
      </c>
      <c r="E4099" s="7">
        <v>170</v>
      </c>
      <c r="F4099" t="s">
        <v>20</v>
      </c>
      <c r="G4099" s="10" t="s">
        <v>21</v>
      </c>
      <c r="H4099" t="str">
        <f>"8/14/2021"</f>
        <v>8/14/2021</v>
      </c>
      <c r="I4099" t="str">
        <f>"TRACY ORTIZ"</f>
        <v>TRACY ORTIZ</v>
      </c>
    </row>
    <row r="4100" spans="1:9" x14ac:dyDescent="0.25">
      <c r="A4100" s="6">
        <v>44426</v>
      </c>
      <c r="B4100" t="s">
        <v>26</v>
      </c>
      <c r="C4100">
        <v>67440</v>
      </c>
      <c r="D4100" t="s">
        <v>1026</v>
      </c>
      <c r="E4100" s="7">
        <v>433.9</v>
      </c>
      <c r="F4100" t="s">
        <v>20</v>
      </c>
      <c r="G4100" s="10" t="s">
        <v>21</v>
      </c>
      <c r="H4100" t="str">
        <f>"INV324700"</f>
        <v>INV324700</v>
      </c>
      <c r="I4100" t="str">
        <f>"851"</f>
        <v>851</v>
      </c>
    </row>
    <row r="4101" spans="1:9" x14ac:dyDescent="0.25">
      <c r="A4101" s="6">
        <v>44426</v>
      </c>
      <c r="B4101" t="s">
        <v>26</v>
      </c>
      <c r="C4101">
        <v>67441</v>
      </c>
      <c r="D4101" t="s">
        <v>203</v>
      </c>
      <c r="E4101" s="7">
        <v>768.4</v>
      </c>
      <c r="F4101" t="s">
        <v>20</v>
      </c>
      <c r="G4101" s="10" t="s">
        <v>21</v>
      </c>
      <c r="H4101" t="str">
        <f>"669943"</f>
        <v>669943</v>
      </c>
      <c r="I4101" t="str">
        <f>"SUPPLIES FOR WW"</f>
        <v>SUPPLIES FOR WW</v>
      </c>
    </row>
    <row r="4102" spans="1:9" x14ac:dyDescent="0.25">
      <c r="E4102" s="7"/>
      <c r="F4102" t="s">
        <v>20</v>
      </c>
      <c r="G4102" s="10" t="s">
        <v>21</v>
      </c>
      <c r="H4102" t="str">
        <f>"670568"</f>
        <v>670568</v>
      </c>
      <c r="I4102" t="str">
        <f>"SUPPLIES FOR WW"</f>
        <v>SUPPLIES FOR WW</v>
      </c>
    </row>
    <row r="4103" spans="1:9" x14ac:dyDescent="0.25">
      <c r="E4103" s="7"/>
      <c r="F4103" t="s">
        <v>20</v>
      </c>
      <c r="G4103" s="10" t="s">
        <v>21</v>
      </c>
      <c r="H4103" t="str">
        <f>"672062"</f>
        <v>672062</v>
      </c>
      <c r="I4103" t="str">
        <f>"WW SUPPLIES"</f>
        <v>WW SUPPLIES</v>
      </c>
    </row>
    <row r="4104" spans="1:9" x14ac:dyDescent="0.25">
      <c r="A4104" s="6">
        <v>44426</v>
      </c>
      <c r="B4104" t="s">
        <v>26</v>
      </c>
      <c r="C4104">
        <v>67442</v>
      </c>
      <c r="D4104" t="s">
        <v>122</v>
      </c>
      <c r="E4104" s="7">
        <v>58</v>
      </c>
      <c r="F4104" t="s">
        <v>20</v>
      </c>
      <c r="G4104" s="10" t="s">
        <v>21</v>
      </c>
      <c r="H4104" t="str">
        <f>"923479"</f>
        <v>923479</v>
      </c>
      <c r="I4104" t="str">
        <f>"VILLA TIRES"</f>
        <v>VILLA TIRES</v>
      </c>
    </row>
    <row r="4105" spans="1:9" x14ac:dyDescent="0.25">
      <c r="E4105" s="7"/>
      <c r="F4105" t="s">
        <v>20</v>
      </c>
      <c r="G4105" s="10" t="s">
        <v>21</v>
      </c>
      <c r="H4105" t="str">
        <f>"933401"</f>
        <v>933401</v>
      </c>
      <c r="I4105" t="str">
        <f>"VILLA TIRES"</f>
        <v>VILLA TIRES</v>
      </c>
    </row>
    <row r="4106" spans="1:9" x14ac:dyDescent="0.25">
      <c r="E4106" s="7"/>
      <c r="F4106" t="s">
        <v>20</v>
      </c>
      <c r="G4106" s="10" t="s">
        <v>21</v>
      </c>
      <c r="H4106" t="str">
        <f>"933407"</f>
        <v>933407</v>
      </c>
      <c r="I4106" t="str">
        <f>"VILLA TIRES"</f>
        <v>VILLA TIRES</v>
      </c>
    </row>
    <row r="4107" spans="1:9" x14ac:dyDescent="0.25">
      <c r="E4107" s="7"/>
      <c r="F4107" t="s">
        <v>20</v>
      </c>
      <c r="G4107" s="10" t="s">
        <v>21</v>
      </c>
      <c r="H4107" t="str">
        <f>"933410"</f>
        <v>933410</v>
      </c>
      <c r="I4107" t="str">
        <f>"VILLA TIRES"</f>
        <v>VILLA TIRES</v>
      </c>
    </row>
    <row r="4108" spans="1:9" x14ac:dyDescent="0.25">
      <c r="E4108" s="7"/>
      <c r="F4108" t="s">
        <v>20</v>
      </c>
      <c r="G4108" s="10" t="s">
        <v>21</v>
      </c>
      <c r="H4108" t="str">
        <f>"933417"</f>
        <v>933417</v>
      </c>
      <c r="I4108" t="str">
        <f>"VILLA TIRES"</f>
        <v>VILLA TIRES</v>
      </c>
    </row>
    <row r="4109" spans="1:9" x14ac:dyDescent="0.25">
      <c r="A4109" s="6">
        <v>44426</v>
      </c>
      <c r="B4109" t="s">
        <v>26</v>
      </c>
      <c r="C4109">
        <v>67443</v>
      </c>
      <c r="D4109" t="s">
        <v>186</v>
      </c>
      <c r="E4109" s="7">
        <v>7703.94</v>
      </c>
      <c r="F4109" t="s">
        <v>20</v>
      </c>
      <c r="G4109" s="10" t="s">
        <v>21</v>
      </c>
      <c r="H4109" t="str">
        <f>"4TH QRT10/1-12/31"</f>
        <v>4TH QRT10/1-12/31</v>
      </c>
      <c r="I4109" t="str">
        <f>"WILSON COUNTY APPRAISAL DISTRI"</f>
        <v>WILSON COUNTY APPRAISAL DISTRI</v>
      </c>
    </row>
    <row r="4110" spans="1:9" x14ac:dyDescent="0.25">
      <c r="A4110" s="6">
        <v>44426</v>
      </c>
      <c r="B4110" t="s">
        <v>26</v>
      </c>
      <c r="C4110">
        <v>67444</v>
      </c>
      <c r="D4110" t="s">
        <v>970</v>
      </c>
      <c r="E4110" s="7">
        <v>150</v>
      </c>
      <c r="F4110" t="s">
        <v>20</v>
      </c>
      <c r="G4110" s="10" t="s">
        <v>21</v>
      </c>
      <c r="H4110" t="str">
        <f>"8/14/2021"</f>
        <v>8/14/2021</v>
      </c>
      <c r="I4110" t="str">
        <f>"ABBYGAIL DELGADO"</f>
        <v>ABBYGAIL DELGADO</v>
      </c>
    </row>
    <row r="4111" spans="1:9" x14ac:dyDescent="0.25">
      <c r="A4111" s="6">
        <v>44426</v>
      </c>
      <c r="B4111" t="s">
        <v>26</v>
      </c>
      <c r="C4111">
        <v>67445</v>
      </c>
      <c r="D4111" t="s">
        <v>1092</v>
      </c>
      <c r="E4111" s="7">
        <v>228</v>
      </c>
      <c r="F4111" t="s">
        <v>20</v>
      </c>
      <c r="G4111" s="10" t="s">
        <v>21</v>
      </c>
      <c r="H4111" t="str">
        <f>"78383-2  7/2021"</f>
        <v>78383-2  7/2021</v>
      </c>
      <c r="I4111" t="str">
        <f>"DOMAIN DIRECTORY LLC"</f>
        <v>DOMAIN DIRECTORY LLC</v>
      </c>
    </row>
    <row r="4112" spans="1:9" x14ac:dyDescent="0.25">
      <c r="A4112" s="6">
        <v>44426</v>
      </c>
      <c r="B4112" t="s">
        <v>26</v>
      </c>
      <c r="C4112">
        <v>67446</v>
      </c>
      <c r="D4112" t="s">
        <v>345</v>
      </c>
      <c r="E4112" s="7">
        <v>313.5</v>
      </c>
      <c r="F4112" t="s">
        <v>20</v>
      </c>
      <c r="G4112" s="10" t="s">
        <v>21</v>
      </c>
      <c r="H4112" t="str">
        <f>"8/16/2021"</f>
        <v>8/16/2021</v>
      </c>
      <c r="I4112" t="str">
        <f>"MICHAEL ISAAC MARTINEZ"</f>
        <v>MICHAEL ISAAC MARTINEZ</v>
      </c>
    </row>
    <row r="4113" spans="1:9" x14ac:dyDescent="0.25">
      <c r="A4113" s="6">
        <v>44426</v>
      </c>
      <c r="B4113" t="s">
        <v>91</v>
      </c>
      <c r="C4113">
        <v>67447</v>
      </c>
      <c r="D4113" t="s">
        <v>1093</v>
      </c>
      <c r="E4113" s="7">
        <v>750</v>
      </c>
      <c r="F4113" t="s">
        <v>20</v>
      </c>
      <c r="G4113" s="10" t="s">
        <v>21</v>
      </c>
      <c r="H4113" t="str">
        <f>"1"</f>
        <v>1</v>
      </c>
      <c r="I4113" t="str">
        <f>"WAR DANCE PRODUCTIONS"</f>
        <v>WAR DANCE PRODUCTIONS</v>
      </c>
    </row>
    <row r="4114" spans="1:9" x14ac:dyDescent="0.25">
      <c r="A4114" s="6">
        <v>44426</v>
      </c>
      <c r="B4114" t="s">
        <v>91</v>
      </c>
      <c r="C4114">
        <v>67447</v>
      </c>
      <c r="D4114" t="s">
        <v>1093</v>
      </c>
      <c r="E4114" s="7">
        <v>750</v>
      </c>
      <c r="F4114" t="s">
        <v>20</v>
      </c>
      <c r="G4114" s="10" t="s">
        <v>93</v>
      </c>
      <c r="H4114" t="str">
        <f>"CHECK"</f>
        <v>CHECK</v>
      </c>
      <c r="I4114" t="str">
        <f>""</f>
        <v/>
      </c>
    </row>
    <row r="4115" spans="1:9" x14ac:dyDescent="0.25">
      <c r="A4115" s="6">
        <v>44428</v>
      </c>
      <c r="B4115" t="s">
        <v>26</v>
      </c>
      <c r="C4115">
        <v>67448</v>
      </c>
      <c r="D4115" t="s">
        <v>333</v>
      </c>
      <c r="E4115" s="7">
        <v>8000</v>
      </c>
      <c r="F4115" t="s">
        <v>20</v>
      </c>
      <c r="G4115" s="10" t="s">
        <v>21</v>
      </c>
      <c r="H4115" t="str">
        <f>"8/8/2021"</f>
        <v>8/8/2021</v>
      </c>
      <c r="I4115" t="str">
        <f>"STRIP AND WAX FLOORS"</f>
        <v>STRIP AND WAX FLOORS</v>
      </c>
    </row>
    <row r="4116" spans="1:9" x14ac:dyDescent="0.25">
      <c r="A4116" s="6">
        <v>44432</v>
      </c>
      <c r="B4116" t="s">
        <v>26</v>
      </c>
      <c r="C4116">
        <v>67455</v>
      </c>
      <c r="D4116" t="s">
        <v>51</v>
      </c>
      <c r="E4116" s="7">
        <v>346.31</v>
      </c>
      <c r="F4116" t="s">
        <v>20</v>
      </c>
      <c r="G4116" s="10" t="s">
        <v>21</v>
      </c>
      <c r="H4116" t="str">
        <f>"CLE202108248619"</f>
        <v>CLE202108248619</v>
      </c>
      <c r="I4116" t="str">
        <f>"CLEAT ONLY DUES"</f>
        <v>CLEAT ONLY DUES</v>
      </c>
    </row>
    <row r="4117" spans="1:9" x14ac:dyDescent="0.25">
      <c r="E4117" s="7"/>
      <c r="F4117" t="s">
        <v>20</v>
      </c>
      <c r="G4117" s="10" t="s">
        <v>21</v>
      </c>
      <c r="H4117" t="str">
        <f>"PDD202108248619"</f>
        <v>PDD202108248619</v>
      </c>
      <c r="I4117" t="str">
        <f>"POLICE OFFICERS ASSOC DUES"</f>
        <v>POLICE OFFICERS ASSOC DUES</v>
      </c>
    </row>
    <row r="4118" spans="1:9" x14ac:dyDescent="0.25">
      <c r="A4118" s="6">
        <v>44432</v>
      </c>
      <c r="B4118" t="s">
        <v>26</v>
      </c>
      <c r="C4118">
        <v>67456</v>
      </c>
      <c r="D4118" t="s">
        <v>52</v>
      </c>
      <c r="E4118" s="7">
        <v>926.54</v>
      </c>
      <c r="F4118" t="s">
        <v>20</v>
      </c>
      <c r="G4118" s="10" t="s">
        <v>21</v>
      </c>
      <c r="H4118" t="str">
        <f>"CA1202108248619"</f>
        <v>CA1202108248619</v>
      </c>
      <c r="I4118" t="str">
        <f>"K RAMIREZ 001200229510060343CV"</f>
        <v>K RAMIREZ 001200229510060343CV</v>
      </c>
    </row>
    <row r="4119" spans="1:9" x14ac:dyDescent="0.25">
      <c r="E4119" s="7"/>
      <c r="F4119" t="s">
        <v>20</v>
      </c>
      <c r="G4119" s="10" t="s">
        <v>21</v>
      </c>
      <c r="H4119" t="str">
        <f>"CA2202108248619"</f>
        <v>CA2202108248619</v>
      </c>
      <c r="I4119" t="str">
        <f>"L HERNANDEZ 001016025203080354"</f>
        <v>L HERNANDEZ 001016025203080354</v>
      </c>
    </row>
    <row r="4120" spans="1:9" x14ac:dyDescent="0.25">
      <c r="E4120" s="7"/>
      <c r="F4120" t="s">
        <v>20</v>
      </c>
      <c r="G4120" s="10" t="s">
        <v>21</v>
      </c>
      <c r="H4120" t="str">
        <f>"CA3202108248619"</f>
        <v>CA3202108248619</v>
      </c>
      <c r="I4120" t="str">
        <f>"00120788612011EM5023JOLENEGARC"</f>
        <v>00120788612011EM5023JOLENEGARC</v>
      </c>
    </row>
    <row r="4121" spans="1:9" x14ac:dyDescent="0.25">
      <c r="E4121" s="7"/>
      <c r="F4121" t="s">
        <v>20</v>
      </c>
      <c r="G4121" s="10" t="s">
        <v>21</v>
      </c>
      <c r="H4121" t="str">
        <f>"CSA202108248619"</f>
        <v>CSA202108248619</v>
      </c>
      <c r="I4121" t="str">
        <f>"S RODRIGUEZ 001281730413050336"</f>
        <v>S RODRIGUEZ 001281730413050336</v>
      </c>
    </row>
    <row r="4122" spans="1:9" x14ac:dyDescent="0.25">
      <c r="E4122" s="7"/>
      <c r="F4122" t="s">
        <v>20</v>
      </c>
      <c r="G4122" s="10" t="s">
        <v>21</v>
      </c>
      <c r="H4122" t="str">
        <f>"CSI202108248619"</f>
        <v>CSI202108248619</v>
      </c>
      <c r="I4122" t="str">
        <f>"KTRINIDAD0014071774CVW2000777"</f>
        <v>KTRINIDAD0014071774CVW2000777</v>
      </c>
    </row>
    <row r="4123" spans="1:9" x14ac:dyDescent="0.25">
      <c r="A4123" s="6">
        <v>44432</v>
      </c>
      <c r="B4123" t="s">
        <v>26</v>
      </c>
      <c r="C4123">
        <v>67457</v>
      </c>
      <c r="D4123" t="s">
        <v>54</v>
      </c>
      <c r="E4123" s="7">
        <v>1083.6500000000001</v>
      </c>
      <c r="F4123" t="s">
        <v>20</v>
      </c>
      <c r="G4123" s="10" t="s">
        <v>21</v>
      </c>
      <c r="H4123" t="str">
        <f>"BRE202108248619"</f>
        <v>BRE202108248619</v>
      </c>
      <c r="I4123" t="str">
        <f>"CASE #180-60751 457B DEDUCT"</f>
        <v>CASE #180-60751 457B DEDUCT</v>
      </c>
    </row>
    <row r="4124" spans="1:9" x14ac:dyDescent="0.25">
      <c r="A4124" s="6">
        <v>44433</v>
      </c>
      <c r="B4124" t="s">
        <v>26</v>
      </c>
      <c r="C4124">
        <v>67458</v>
      </c>
      <c r="D4124" t="s">
        <v>533</v>
      </c>
      <c r="E4124" s="7">
        <v>450</v>
      </c>
      <c r="F4124" t="s">
        <v>20</v>
      </c>
      <c r="G4124" s="10" t="s">
        <v>21</v>
      </c>
      <c r="H4124" t="str">
        <f>"33739"</f>
        <v>33739</v>
      </c>
      <c r="I4124" t="str">
        <f t="shared" ref="I4124:I4129" si="89">"ASSOCIATION OF HISPANIC MUNICI"</f>
        <v>ASSOCIATION OF HISPANIC MUNICI</v>
      </c>
    </row>
    <row r="4125" spans="1:9" x14ac:dyDescent="0.25">
      <c r="E4125" s="7"/>
      <c r="F4125" t="s">
        <v>20</v>
      </c>
      <c r="G4125" s="10" t="s">
        <v>21</v>
      </c>
      <c r="H4125" t="str">
        <f>"78650"</f>
        <v>78650</v>
      </c>
      <c r="I4125" t="str">
        <f t="shared" si="89"/>
        <v>ASSOCIATION OF HISPANIC MUNICI</v>
      </c>
    </row>
    <row r="4126" spans="1:9" x14ac:dyDescent="0.25">
      <c r="E4126" s="7"/>
      <c r="F4126" t="s">
        <v>20</v>
      </c>
      <c r="G4126" s="10" t="s">
        <v>21</v>
      </c>
      <c r="H4126" t="str">
        <f>"89697"</f>
        <v>89697</v>
      </c>
      <c r="I4126" t="str">
        <f t="shared" si="89"/>
        <v>ASSOCIATION OF HISPANIC MUNICI</v>
      </c>
    </row>
    <row r="4127" spans="1:9" x14ac:dyDescent="0.25">
      <c r="E4127" s="7"/>
      <c r="F4127" t="s">
        <v>20</v>
      </c>
      <c r="G4127" s="10" t="s">
        <v>21</v>
      </c>
      <c r="H4127" t="str">
        <f>"91979"</f>
        <v>91979</v>
      </c>
      <c r="I4127" t="str">
        <f t="shared" si="89"/>
        <v>ASSOCIATION OF HISPANIC MUNICI</v>
      </c>
    </row>
    <row r="4128" spans="1:9" x14ac:dyDescent="0.25">
      <c r="E4128" s="7"/>
      <c r="F4128" t="s">
        <v>20</v>
      </c>
      <c r="G4128" s="10" t="s">
        <v>21</v>
      </c>
      <c r="H4128" t="str">
        <f>"96682"</f>
        <v>96682</v>
      </c>
      <c r="I4128" t="str">
        <f t="shared" si="89"/>
        <v>ASSOCIATION OF HISPANIC MUNICI</v>
      </c>
    </row>
    <row r="4129" spans="1:9" x14ac:dyDescent="0.25">
      <c r="E4129" s="7"/>
      <c r="F4129" t="s">
        <v>20</v>
      </c>
      <c r="G4129" s="10" t="s">
        <v>21</v>
      </c>
      <c r="H4129" t="str">
        <f>"98630 C.STURM"</f>
        <v>98630 C.STURM</v>
      </c>
      <c r="I4129" t="str">
        <f t="shared" si="89"/>
        <v>ASSOCIATION OF HISPANIC MUNICI</v>
      </c>
    </row>
    <row r="4130" spans="1:9" x14ac:dyDescent="0.25">
      <c r="A4130" s="6">
        <v>44433</v>
      </c>
      <c r="B4130" t="s">
        <v>26</v>
      </c>
      <c r="C4130">
        <v>67460</v>
      </c>
      <c r="D4130" t="s">
        <v>313</v>
      </c>
      <c r="E4130" s="7">
        <v>10080</v>
      </c>
      <c r="F4130" t="s">
        <v>20</v>
      </c>
      <c r="G4130" s="10" t="s">
        <v>21</v>
      </c>
      <c r="H4130" t="str">
        <f>"446000001  9/2021"</f>
        <v>446000001  9/2021</v>
      </c>
      <c r="I4130" t="str">
        <f>"BB &amp; T GOVERNMENTAL FINANCE"</f>
        <v>BB &amp; T GOVERNMENTAL FINANCE</v>
      </c>
    </row>
    <row r="4131" spans="1:9" x14ac:dyDescent="0.25">
      <c r="A4131" s="6">
        <v>44433</v>
      </c>
      <c r="B4131" t="s">
        <v>26</v>
      </c>
      <c r="C4131">
        <v>67461</v>
      </c>
      <c r="D4131" t="s">
        <v>336</v>
      </c>
      <c r="E4131" s="7">
        <v>383.12</v>
      </c>
      <c r="F4131" t="s">
        <v>20</v>
      </c>
      <c r="G4131" s="10" t="s">
        <v>21</v>
      </c>
      <c r="H4131" t="str">
        <f>"FIREARM COURSE"</f>
        <v>FIREARM COURSE</v>
      </c>
      <c r="I4131" t="str">
        <f>"BILLY HERRERA"</f>
        <v>BILLY HERRERA</v>
      </c>
    </row>
    <row r="4132" spans="1:9" x14ac:dyDescent="0.25">
      <c r="A4132" s="6">
        <v>44433</v>
      </c>
      <c r="B4132" t="s">
        <v>26</v>
      </c>
      <c r="C4132">
        <v>67462</v>
      </c>
      <c r="D4132" t="s">
        <v>1094</v>
      </c>
      <c r="E4132" s="7">
        <v>798</v>
      </c>
      <c r="F4132" t="s">
        <v>20</v>
      </c>
      <c r="G4132" s="10" t="s">
        <v>21</v>
      </c>
      <c r="H4132" t="str">
        <f>"GLV-21-IGS000N"</f>
        <v>GLV-21-IGS000N</v>
      </c>
      <c r="I4132" t="str">
        <f>"LAW ENFORCEMENT TRAINING"</f>
        <v>LAW ENFORCEMENT TRAINING</v>
      </c>
    </row>
    <row r="4133" spans="1:9" x14ac:dyDescent="0.25">
      <c r="A4133" s="6">
        <v>44433</v>
      </c>
      <c r="B4133" t="s">
        <v>26</v>
      </c>
      <c r="C4133">
        <v>67463</v>
      </c>
      <c r="D4133" t="s">
        <v>1095</v>
      </c>
      <c r="E4133" s="7">
        <v>50</v>
      </c>
      <c r="F4133" t="s">
        <v>20</v>
      </c>
      <c r="G4133" s="10" t="s">
        <v>21</v>
      </c>
      <c r="H4133" t="str">
        <f>"DEP.REFN 8/2021"</f>
        <v>DEP.REFN 8/2021</v>
      </c>
      <c r="I4133" t="str">
        <f>"REFUND"</f>
        <v>REFUND</v>
      </c>
    </row>
    <row r="4134" spans="1:9" x14ac:dyDescent="0.25">
      <c r="A4134" s="6">
        <v>44433</v>
      </c>
      <c r="B4134" t="s">
        <v>26</v>
      </c>
      <c r="C4134">
        <v>67464</v>
      </c>
      <c r="D4134" t="s">
        <v>71</v>
      </c>
      <c r="E4134" s="7">
        <v>232.36</v>
      </c>
      <c r="F4134" t="s">
        <v>20</v>
      </c>
      <c r="G4134" s="10" t="s">
        <v>21</v>
      </c>
      <c r="H4134" t="str">
        <f>"4084429399"</f>
        <v>4084429399</v>
      </c>
      <c r="I4134" t="str">
        <f>"CINTAS CORPORATION #087"</f>
        <v>CINTAS CORPORATION #087</v>
      </c>
    </row>
    <row r="4135" spans="1:9" x14ac:dyDescent="0.25">
      <c r="A4135" s="6">
        <v>44433</v>
      </c>
      <c r="B4135" t="s">
        <v>26</v>
      </c>
      <c r="C4135">
        <v>67465</v>
      </c>
      <c r="D4135" t="s">
        <v>77</v>
      </c>
      <c r="E4135" s="7">
        <v>320</v>
      </c>
      <c r="F4135" t="s">
        <v>20</v>
      </c>
      <c r="G4135" s="10" t="s">
        <v>21</v>
      </c>
      <c r="H4135" t="str">
        <f>"DE85001721-21"</f>
        <v>DE85001721-21</v>
      </c>
      <c r="I4135" t="str">
        <f>"DPC INDUSTRIES  INC."</f>
        <v>DPC INDUSTRIES  INC.</v>
      </c>
    </row>
    <row r="4136" spans="1:9" x14ac:dyDescent="0.25">
      <c r="A4136" s="6">
        <v>44433</v>
      </c>
      <c r="B4136" t="s">
        <v>26</v>
      </c>
      <c r="C4136">
        <v>67466</v>
      </c>
      <c r="D4136" t="s">
        <v>85</v>
      </c>
      <c r="E4136" s="7">
        <v>2090.6</v>
      </c>
      <c r="F4136" t="s">
        <v>20</v>
      </c>
      <c r="G4136" s="10" t="s">
        <v>21</v>
      </c>
      <c r="H4136" t="str">
        <f>"3938193 AUG.2021"</f>
        <v>3938193 AUG.2021</v>
      </c>
      <c r="I4136" t="str">
        <f>"FRONTIER"</f>
        <v>FRONTIER</v>
      </c>
    </row>
    <row r="4137" spans="1:9" x14ac:dyDescent="0.25">
      <c r="E4137" s="7"/>
      <c r="F4137" t="s">
        <v>20</v>
      </c>
      <c r="G4137" s="10" t="s">
        <v>21</v>
      </c>
      <c r="H4137" t="str">
        <f>"8301970025 8/2021"</f>
        <v>8301970025 8/2021</v>
      </c>
      <c r="I4137" t="str">
        <f>"FRONTIER"</f>
        <v>FRONTIER</v>
      </c>
    </row>
    <row r="4138" spans="1:9" x14ac:dyDescent="0.25">
      <c r="A4138" s="6">
        <v>44433</v>
      </c>
      <c r="B4138" t="s">
        <v>26</v>
      </c>
      <c r="C4138">
        <v>67467</v>
      </c>
      <c r="D4138" t="s">
        <v>1096</v>
      </c>
      <c r="E4138" s="7">
        <v>505</v>
      </c>
      <c r="F4138" t="s">
        <v>20</v>
      </c>
      <c r="G4138" s="10" t="s">
        <v>21</v>
      </c>
      <c r="H4138" t="str">
        <f>"E2137"</f>
        <v>E2137</v>
      </c>
      <c r="I4138" t="str">
        <f>"BILLY HERRERA-FPD"</f>
        <v>BILLY HERRERA-FPD</v>
      </c>
    </row>
    <row r="4139" spans="1:9" x14ac:dyDescent="0.25">
      <c r="A4139" s="6">
        <v>44433</v>
      </c>
      <c r="B4139" t="s">
        <v>26</v>
      </c>
      <c r="C4139">
        <v>67468</v>
      </c>
      <c r="D4139" t="s">
        <v>345</v>
      </c>
      <c r="E4139" s="7">
        <v>330</v>
      </c>
      <c r="F4139" t="s">
        <v>20</v>
      </c>
      <c r="G4139" s="10" t="s">
        <v>21</v>
      </c>
      <c r="H4139" t="str">
        <f>"08/23/2021"</f>
        <v>08/23/2021</v>
      </c>
      <c r="I4139" t="str">
        <f>"MICHAEL ISAAC MARTINEZ"</f>
        <v>MICHAEL ISAAC MARTINEZ</v>
      </c>
    </row>
    <row r="4140" spans="1:9" x14ac:dyDescent="0.25">
      <c r="A4140" s="6">
        <v>44433</v>
      </c>
      <c r="B4140" t="s">
        <v>26</v>
      </c>
      <c r="C4140">
        <v>67469</v>
      </c>
      <c r="D4140" t="s">
        <v>1013</v>
      </c>
      <c r="E4140" s="7">
        <v>18267</v>
      </c>
      <c r="F4140" t="s">
        <v>20</v>
      </c>
      <c r="G4140" s="10" t="s">
        <v>21</v>
      </c>
      <c r="H4140" t="str">
        <f>"137-2"</f>
        <v>137-2</v>
      </c>
      <c r="I4140" t="str">
        <f>"NEW BEGINNING CONSTRUCTION LIM"</f>
        <v>NEW BEGINNING CONSTRUCTION LIM</v>
      </c>
    </row>
    <row r="4141" spans="1:9" x14ac:dyDescent="0.25">
      <c r="E4141" s="7"/>
      <c r="F4141" t="s">
        <v>20</v>
      </c>
      <c r="G4141" s="10" t="s">
        <v>21</v>
      </c>
      <c r="H4141" t="str">
        <f>"138"</f>
        <v>138</v>
      </c>
      <c r="I4141" t="str">
        <f>"NEW BEGINNING CONSTRUCTION LIM"</f>
        <v>NEW BEGINNING CONSTRUCTION LIM</v>
      </c>
    </row>
    <row r="4142" spans="1:9" x14ac:dyDescent="0.25">
      <c r="A4142" s="6">
        <v>44433</v>
      </c>
      <c r="B4142" t="s">
        <v>26</v>
      </c>
      <c r="C4142">
        <v>67470</v>
      </c>
      <c r="D4142" t="s">
        <v>1047</v>
      </c>
      <c r="E4142" s="7">
        <v>688</v>
      </c>
      <c r="F4142" t="s">
        <v>20</v>
      </c>
      <c r="G4142" s="10" t="s">
        <v>21</v>
      </c>
      <c r="H4142" t="str">
        <f>"2308"</f>
        <v>2308</v>
      </c>
      <c r="I4142" t="str">
        <f>"WESTONS TRUCKS UNLIMITED LLC"</f>
        <v>WESTONS TRUCKS UNLIMITED LLC</v>
      </c>
    </row>
    <row r="4143" spans="1:9" x14ac:dyDescent="0.25">
      <c r="E4143" s="7"/>
      <c r="F4143" t="s">
        <v>20</v>
      </c>
      <c r="G4143" s="10" t="s">
        <v>21</v>
      </c>
      <c r="H4143" t="str">
        <f>"2309"</f>
        <v>2309</v>
      </c>
      <c r="I4143" t="str">
        <f>"WESTONS TRUCKS UNLIMITED LLC"</f>
        <v>WESTONS TRUCKS UNLIMITED LLC</v>
      </c>
    </row>
    <row r="4144" spans="1:9" x14ac:dyDescent="0.25">
      <c r="A4144" s="6">
        <v>44433</v>
      </c>
      <c r="B4144" t="s">
        <v>26</v>
      </c>
      <c r="C4144">
        <v>67471</v>
      </c>
      <c r="D4144" t="s">
        <v>1097</v>
      </c>
      <c r="E4144" s="7">
        <v>50</v>
      </c>
      <c r="F4144" t="s">
        <v>20</v>
      </c>
      <c r="G4144" s="10" t="s">
        <v>21</v>
      </c>
      <c r="H4144" t="str">
        <f>"DEP.REFN 8/2021.2"</f>
        <v>DEP.REFN 8/2021.2</v>
      </c>
      <c r="I4144" t="str">
        <f>"REFUND"</f>
        <v>REFUND</v>
      </c>
    </row>
    <row r="4145" spans="1:9" x14ac:dyDescent="0.25">
      <c r="A4145" s="6">
        <v>44433</v>
      </c>
      <c r="B4145" t="s">
        <v>26</v>
      </c>
      <c r="C4145">
        <v>67472</v>
      </c>
      <c r="D4145" t="s">
        <v>336</v>
      </c>
      <c r="E4145" s="7">
        <v>203.15</v>
      </c>
      <c r="F4145" t="s">
        <v>20</v>
      </c>
      <c r="G4145" s="10" t="s">
        <v>21</v>
      </c>
      <c r="H4145" t="str">
        <f>"REIMBST FOR AMMO"</f>
        <v>REIMBST FOR AMMO</v>
      </c>
      <c r="I4145" t="str">
        <f>"REIMBURSEMENT"</f>
        <v>REIMBURSEMENT</v>
      </c>
    </row>
    <row r="4146" spans="1:9" x14ac:dyDescent="0.25">
      <c r="A4146" s="6">
        <v>44433</v>
      </c>
      <c r="B4146" t="s">
        <v>26</v>
      </c>
      <c r="C4146">
        <v>67473</v>
      </c>
      <c r="D4146" t="s">
        <v>699</v>
      </c>
      <c r="E4146" s="7">
        <v>50</v>
      </c>
      <c r="F4146" t="s">
        <v>20</v>
      </c>
      <c r="G4146" s="10" t="s">
        <v>21</v>
      </c>
      <c r="H4146" t="str">
        <f>"DEP.REFN 8/2021.3"</f>
        <v>DEP.REFN 8/2021.3</v>
      </c>
      <c r="I4146" t="str">
        <f>"REFUND"</f>
        <v>REFUND</v>
      </c>
    </row>
    <row r="4147" spans="1:9" x14ac:dyDescent="0.25">
      <c r="A4147" s="6">
        <v>44433</v>
      </c>
      <c r="B4147" t="s">
        <v>26</v>
      </c>
      <c r="C4147">
        <v>67474</v>
      </c>
      <c r="D4147" t="s">
        <v>71</v>
      </c>
      <c r="E4147" s="7">
        <v>3110.8</v>
      </c>
      <c r="F4147" t="s">
        <v>20</v>
      </c>
      <c r="G4147" s="10" t="s">
        <v>21</v>
      </c>
      <c r="H4147" t="str">
        <f>"4091624070"</f>
        <v>4091624070</v>
      </c>
      <c r="I4147" t="str">
        <f t="shared" ref="I4147:I4161" si="90">"CINTAS CORPORATION #087"</f>
        <v>CINTAS CORPORATION #087</v>
      </c>
    </row>
    <row r="4148" spans="1:9" x14ac:dyDescent="0.25">
      <c r="E4148" s="7"/>
      <c r="F4148" t="s">
        <v>20</v>
      </c>
      <c r="G4148" s="10" t="s">
        <v>21</v>
      </c>
      <c r="H4148" t="str">
        <f>"4091624076"</f>
        <v>4091624076</v>
      </c>
      <c r="I4148" t="str">
        <f t="shared" si="90"/>
        <v>CINTAS CORPORATION #087</v>
      </c>
    </row>
    <row r="4149" spans="1:9" x14ac:dyDescent="0.25">
      <c r="E4149" s="7"/>
      <c r="F4149" t="s">
        <v>20</v>
      </c>
      <c r="G4149" s="10" t="s">
        <v>21</v>
      </c>
      <c r="H4149" t="str">
        <f>"4091624086"</f>
        <v>4091624086</v>
      </c>
      <c r="I4149" t="str">
        <f t="shared" si="90"/>
        <v>CINTAS CORPORATION #087</v>
      </c>
    </row>
    <row r="4150" spans="1:9" x14ac:dyDescent="0.25">
      <c r="E4150" s="7"/>
      <c r="F4150" t="s">
        <v>20</v>
      </c>
      <c r="G4150" s="10" t="s">
        <v>21</v>
      </c>
      <c r="H4150" t="str">
        <f>"4091624087"</f>
        <v>4091624087</v>
      </c>
      <c r="I4150" t="str">
        <f t="shared" si="90"/>
        <v>CINTAS CORPORATION #087</v>
      </c>
    </row>
    <row r="4151" spans="1:9" x14ac:dyDescent="0.25">
      <c r="E4151" s="7"/>
      <c r="F4151" t="s">
        <v>20</v>
      </c>
      <c r="G4151" s="10" t="s">
        <v>21</v>
      </c>
      <c r="H4151" t="str">
        <f>"4091624121"</f>
        <v>4091624121</v>
      </c>
      <c r="I4151" t="str">
        <f t="shared" si="90"/>
        <v>CINTAS CORPORATION #087</v>
      </c>
    </row>
    <row r="4152" spans="1:9" x14ac:dyDescent="0.25">
      <c r="E4152" s="7"/>
      <c r="F4152" t="s">
        <v>20</v>
      </c>
      <c r="G4152" s="10" t="s">
        <v>21</v>
      </c>
      <c r="H4152" t="str">
        <f>"4091624198"</f>
        <v>4091624198</v>
      </c>
      <c r="I4152" t="str">
        <f t="shared" si="90"/>
        <v>CINTAS CORPORATION #087</v>
      </c>
    </row>
    <row r="4153" spans="1:9" x14ac:dyDescent="0.25">
      <c r="E4153" s="7"/>
      <c r="F4153" t="s">
        <v>20</v>
      </c>
      <c r="G4153" s="10" t="s">
        <v>21</v>
      </c>
      <c r="H4153" t="str">
        <f>"4092320981"</f>
        <v>4092320981</v>
      </c>
      <c r="I4153" t="str">
        <f t="shared" si="90"/>
        <v>CINTAS CORPORATION #087</v>
      </c>
    </row>
    <row r="4154" spans="1:9" x14ac:dyDescent="0.25">
      <c r="E4154" s="7"/>
      <c r="F4154" t="s">
        <v>20</v>
      </c>
      <c r="G4154" s="10" t="s">
        <v>21</v>
      </c>
      <c r="H4154" t="str">
        <f>"4092321057"</f>
        <v>4092321057</v>
      </c>
      <c r="I4154" t="str">
        <f t="shared" si="90"/>
        <v>CINTAS CORPORATION #087</v>
      </c>
    </row>
    <row r="4155" spans="1:9" x14ac:dyDescent="0.25">
      <c r="E4155" s="7"/>
      <c r="F4155" t="s">
        <v>20</v>
      </c>
      <c r="G4155" s="10" t="s">
        <v>21</v>
      </c>
      <c r="H4155" t="str">
        <f>"4092321067"</f>
        <v>4092321067</v>
      </c>
      <c r="I4155" t="str">
        <f t="shared" si="90"/>
        <v>CINTAS CORPORATION #087</v>
      </c>
    </row>
    <row r="4156" spans="1:9" x14ac:dyDescent="0.25">
      <c r="E4156" s="7"/>
      <c r="F4156" t="s">
        <v>20</v>
      </c>
      <c r="G4156" s="10" t="s">
        <v>21</v>
      </c>
      <c r="H4156" t="str">
        <f>"4092321114"</f>
        <v>4092321114</v>
      </c>
      <c r="I4156" t="str">
        <f t="shared" si="90"/>
        <v>CINTAS CORPORATION #087</v>
      </c>
    </row>
    <row r="4157" spans="1:9" x14ac:dyDescent="0.25">
      <c r="E4157" s="7"/>
      <c r="F4157" t="s">
        <v>20</v>
      </c>
      <c r="G4157" s="10" t="s">
        <v>21</v>
      </c>
      <c r="H4157" t="str">
        <f>"4092321134"</f>
        <v>4092321134</v>
      </c>
      <c r="I4157" t="str">
        <f t="shared" si="90"/>
        <v>CINTAS CORPORATION #087</v>
      </c>
    </row>
    <row r="4158" spans="1:9" x14ac:dyDescent="0.25">
      <c r="E4158" s="7"/>
      <c r="F4158" t="s">
        <v>20</v>
      </c>
      <c r="G4158" s="10" t="s">
        <v>21</v>
      </c>
      <c r="H4158" t="str">
        <f>"409232116"</f>
        <v>409232116</v>
      </c>
      <c r="I4158" t="str">
        <f t="shared" si="90"/>
        <v>CINTAS CORPORATION #087</v>
      </c>
    </row>
    <row r="4159" spans="1:9" x14ac:dyDescent="0.25">
      <c r="E4159" s="7"/>
      <c r="F4159" t="s">
        <v>20</v>
      </c>
      <c r="G4159" s="10" t="s">
        <v>21</v>
      </c>
      <c r="H4159" t="str">
        <f>"4092328711"</f>
        <v>4092328711</v>
      </c>
      <c r="I4159" t="str">
        <f t="shared" si="90"/>
        <v>CINTAS CORPORATION #087</v>
      </c>
    </row>
    <row r="4160" spans="1:9" x14ac:dyDescent="0.25">
      <c r="E4160" s="7"/>
      <c r="F4160" t="s">
        <v>20</v>
      </c>
      <c r="G4160" s="10" t="s">
        <v>21</v>
      </c>
      <c r="H4160" t="str">
        <f>"4092328808"</f>
        <v>4092328808</v>
      </c>
      <c r="I4160" t="str">
        <f t="shared" si="90"/>
        <v>CINTAS CORPORATION #087</v>
      </c>
    </row>
    <row r="4161" spans="1:9" x14ac:dyDescent="0.25">
      <c r="E4161" s="7"/>
      <c r="F4161" t="s">
        <v>20</v>
      </c>
      <c r="G4161" s="10" t="s">
        <v>21</v>
      </c>
      <c r="H4161" t="str">
        <f>"4092328816"</f>
        <v>4092328816</v>
      </c>
      <c r="I4161" t="str">
        <f t="shared" si="90"/>
        <v>CINTAS CORPORATION #087</v>
      </c>
    </row>
    <row r="4162" spans="1:9" x14ac:dyDescent="0.25">
      <c r="A4162" s="6">
        <v>44433</v>
      </c>
      <c r="B4162" t="s">
        <v>26</v>
      </c>
      <c r="C4162">
        <v>67478</v>
      </c>
      <c r="D4162" t="s">
        <v>1098</v>
      </c>
      <c r="E4162" s="7">
        <v>50</v>
      </c>
      <c r="F4162" t="s">
        <v>20</v>
      </c>
      <c r="G4162" s="10" t="s">
        <v>21</v>
      </c>
      <c r="H4162" t="str">
        <f>"DEP.REFN 8/2021.4"</f>
        <v>DEP.REFN 8/2021.4</v>
      </c>
      <c r="I4162" t="str">
        <f t="shared" ref="I4162:I4167" si="91">"REFUND"</f>
        <v>REFUND</v>
      </c>
    </row>
    <row r="4163" spans="1:9" x14ac:dyDescent="0.25">
      <c r="A4163" s="6">
        <v>44433</v>
      </c>
      <c r="B4163" t="s">
        <v>26</v>
      </c>
      <c r="C4163">
        <v>67479</v>
      </c>
      <c r="D4163" t="s">
        <v>1099</v>
      </c>
      <c r="E4163" s="7">
        <v>50</v>
      </c>
      <c r="F4163" t="s">
        <v>20</v>
      </c>
      <c r="G4163" s="10" t="s">
        <v>21</v>
      </c>
      <c r="H4163" t="str">
        <f>"DEP.REFN 8/2021.5"</f>
        <v>DEP.REFN 8/2021.5</v>
      </c>
      <c r="I4163" t="str">
        <f t="shared" si="91"/>
        <v>REFUND</v>
      </c>
    </row>
    <row r="4164" spans="1:9" x14ac:dyDescent="0.25">
      <c r="A4164" s="6">
        <v>44433</v>
      </c>
      <c r="B4164" t="s">
        <v>26</v>
      </c>
      <c r="C4164">
        <v>67480</v>
      </c>
      <c r="D4164" t="s">
        <v>1062</v>
      </c>
      <c r="E4164" s="7">
        <v>50</v>
      </c>
      <c r="F4164" t="s">
        <v>20</v>
      </c>
      <c r="G4164" s="10" t="s">
        <v>21</v>
      </c>
      <c r="H4164" t="str">
        <f>"DEP.REFN 8/2021.6"</f>
        <v>DEP.REFN 8/2021.6</v>
      </c>
      <c r="I4164" t="str">
        <f t="shared" si="91"/>
        <v>REFUND</v>
      </c>
    </row>
    <row r="4165" spans="1:9" x14ac:dyDescent="0.25">
      <c r="A4165" s="6">
        <v>44433</v>
      </c>
      <c r="B4165" t="s">
        <v>26</v>
      </c>
      <c r="C4165">
        <v>67481</v>
      </c>
      <c r="D4165" t="s">
        <v>1100</v>
      </c>
      <c r="E4165" s="7">
        <v>50</v>
      </c>
      <c r="F4165" t="s">
        <v>20</v>
      </c>
      <c r="G4165" s="10" t="s">
        <v>21</v>
      </c>
      <c r="H4165" t="str">
        <f>"DEP.REFN 8/2021.7"</f>
        <v>DEP.REFN 8/2021.7</v>
      </c>
      <c r="I4165" t="str">
        <f t="shared" si="91"/>
        <v>REFUND</v>
      </c>
    </row>
    <row r="4166" spans="1:9" x14ac:dyDescent="0.25">
      <c r="A4166" s="6">
        <v>44433</v>
      </c>
      <c r="B4166" t="s">
        <v>26</v>
      </c>
      <c r="C4166">
        <v>67482</v>
      </c>
      <c r="D4166" t="s">
        <v>558</v>
      </c>
      <c r="E4166" s="7">
        <v>50</v>
      </c>
      <c r="F4166" t="s">
        <v>20</v>
      </c>
      <c r="G4166" s="10" t="s">
        <v>21</v>
      </c>
      <c r="H4166" t="str">
        <f>"DEP.REFN 8/2021.8"</f>
        <v>DEP.REFN 8/2021.8</v>
      </c>
      <c r="I4166" t="str">
        <f t="shared" si="91"/>
        <v>REFUND</v>
      </c>
    </row>
    <row r="4167" spans="1:9" x14ac:dyDescent="0.25">
      <c r="A4167" s="6">
        <v>44433</v>
      </c>
      <c r="B4167" t="s">
        <v>26</v>
      </c>
      <c r="C4167">
        <v>67483</v>
      </c>
      <c r="D4167" t="s">
        <v>1101</v>
      </c>
      <c r="E4167" s="7">
        <v>50</v>
      </c>
      <c r="F4167" t="s">
        <v>20</v>
      </c>
      <c r="G4167" s="10" t="s">
        <v>21</v>
      </c>
      <c r="H4167" t="str">
        <f>"DEP.REFN 8/2021.9"</f>
        <v>DEP.REFN 8/2021.9</v>
      </c>
      <c r="I4167" t="str">
        <f t="shared" si="91"/>
        <v>REFUND</v>
      </c>
    </row>
    <row r="4168" spans="1:9" x14ac:dyDescent="0.25">
      <c r="A4168" s="6">
        <v>44433</v>
      </c>
      <c r="B4168" t="s">
        <v>26</v>
      </c>
      <c r="C4168">
        <v>67484</v>
      </c>
      <c r="D4168" t="s">
        <v>57</v>
      </c>
      <c r="E4168" s="7">
        <v>1750</v>
      </c>
      <c r="F4168" t="s">
        <v>20</v>
      </c>
      <c r="G4168" s="10" t="s">
        <v>21</v>
      </c>
      <c r="H4168" t="str">
        <f>"I0035988"</f>
        <v>I0035988</v>
      </c>
      <c r="I4168" t="str">
        <f>"LIGHTS FOR RIVER PARK"</f>
        <v>LIGHTS FOR RIVER PARK</v>
      </c>
    </row>
    <row r="4169" spans="1:9" x14ac:dyDescent="0.25">
      <c r="A4169" s="6">
        <v>44438</v>
      </c>
      <c r="B4169" t="s">
        <v>26</v>
      </c>
      <c r="C4169">
        <v>67485</v>
      </c>
      <c r="D4169" t="s">
        <v>159</v>
      </c>
      <c r="E4169" s="7">
        <v>4424</v>
      </c>
      <c r="F4169" t="s">
        <v>20</v>
      </c>
      <c r="G4169" s="10" t="s">
        <v>21</v>
      </c>
      <c r="H4169" t="str">
        <f>"E-2021/2299"</f>
        <v>E-2021/2299</v>
      </c>
      <c r="I4169" t="str">
        <f>"PHOTOGRAPHS BY JIM"</f>
        <v>PHOTOGRAPHS BY JIM</v>
      </c>
    </row>
    <row r="4170" spans="1:9" x14ac:dyDescent="0.25">
      <c r="A4170" s="6">
        <v>44439</v>
      </c>
      <c r="B4170" t="s">
        <v>26</v>
      </c>
      <c r="C4170">
        <v>67486</v>
      </c>
      <c r="D4170" t="s">
        <v>179</v>
      </c>
      <c r="E4170" s="7">
        <v>177.8</v>
      </c>
      <c r="F4170" t="s">
        <v>20</v>
      </c>
      <c r="G4170" s="10" t="s">
        <v>21</v>
      </c>
      <c r="H4170" t="str">
        <f>"63751"</f>
        <v>63751</v>
      </c>
      <c r="I4170" t="str">
        <f>"PD UNIT #331"</f>
        <v>PD UNIT #331</v>
      </c>
    </row>
    <row r="4171" spans="1:9" x14ac:dyDescent="0.25">
      <c r="A4171" s="6">
        <v>44439</v>
      </c>
      <c r="B4171" t="s">
        <v>91</v>
      </c>
      <c r="C4171">
        <v>67487</v>
      </c>
      <c r="D4171" t="s">
        <v>1029</v>
      </c>
      <c r="E4171" s="7">
        <v>316</v>
      </c>
      <c r="F4171" t="s">
        <v>20</v>
      </c>
      <c r="G4171" s="10" t="s">
        <v>21</v>
      </c>
      <c r="H4171" t="str">
        <f>"RETAIL LIVE 9/2021"</f>
        <v>RETAIL LIVE 9/2021</v>
      </c>
      <c r="I4171" t="str">
        <f>"ANDY JOSLIN"</f>
        <v>ANDY JOSLIN</v>
      </c>
    </row>
    <row r="4172" spans="1:9" x14ac:dyDescent="0.25">
      <c r="A4172" s="6">
        <v>44439</v>
      </c>
      <c r="B4172" t="s">
        <v>91</v>
      </c>
      <c r="C4172">
        <v>67487</v>
      </c>
      <c r="D4172" t="s">
        <v>1029</v>
      </c>
      <c r="E4172" s="7">
        <v>316</v>
      </c>
      <c r="F4172" t="s">
        <v>20</v>
      </c>
      <c r="G4172" s="10" t="s">
        <v>93</v>
      </c>
      <c r="H4172" t="str">
        <f>"CHECK"</f>
        <v>CHECK</v>
      </c>
      <c r="I4172" t="str">
        <f>""</f>
        <v/>
      </c>
    </row>
    <row r="4173" spans="1:9" x14ac:dyDescent="0.25">
      <c r="A4173" s="6">
        <v>44439</v>
      </c>
      <c r="B4173" t="s">
        <v>26</v>
      </c>
      <c r="C4173">
        <v>67488</v>
      </c>
      <c r="D4173" t="s">
        <v>1102</v>
      </c>
      <c r="E4173" s="7">
        <v>5000</v>
      </c>
      <c r="F4173" t="s">
        <v>20</v>
      </c>
      <c r="G4173" s="10" t="s">
        <v>21</v>
      </c>
      <c r="H4173" t="str">
        <f>"REC#00401555"</f>
        <v>REC#00401555</v>
      </c>
      <c r="I4173" t="str">
        <f>"REFUND"</f>
        <v>REFUND</v>
      </c>
    </row>
    <row r="4174" spans="1:9" x14ac:dyDescent="0.25">
      <c r="A4174" s="6">
        <v>44439</v>
      </c>
      <c r="B4174" t="s">
        <v>26</v>
      </c>
      <c r="C4174">
        <v>67489</v>
      </c>
      <c r="D4174" t="s">
        <v>115</v>
      </c>
      <c r="E4174" s="7">
        <v>203.57</v>
      </c>
      <c r="F4174" t="s">
        <v>20</v>
      </c>
      <c r="G4174" s="10" t="s">
        <v>21</v>
      </c>
      <c r="H4174" t="str">
        <f>"3547974856"</f>
        <v>3547974856</v>
      </c>
      <c r="I4174" t="str">
        <f>"SHOP SUPPLIES"</f>
        <v>SHOP SUPPLIES</v>
      </c>
    </row>
    <row r="4175" spans="1:9" x14ac:dyDescent="0.25">
      <c r="E4175" s="7"/>
      <c r="F4175" t="s">
        <v>20</v>
      </c>
      <c r="G4175" s="10" t="s">
        <v>21</v>
      </c>
      <c r="H4175" t="str">
        <f>"3547980040"</f>
        <v>3547980040</v>
      </c>
      <c r="I4175" t="str">
        <f>"WATER TRUCK-OIL"</f>
        <v>WATER TRUCK-OIL</v>
      </c>
    </row>
    <row r="4176" spans="1:9" x14ac:dyDescent="0.25">
      <c r="A4176" s="6">
        <v>44439</v>
      </c>
      <c r="B4176" t="s">
        <v>26</v>
      </c>
      <c r="C4176">
        <v>67490</v>
      </c>
      <c r="D4176" t="s">
        <v>1103</v>
      </c>
      <c r="E4176" s="7">
        <v>100</v>
      </c>
      <c r="F4176" t="s">
        <v>20</v>
      </c>
      <c r="G4176" s="10" t="s">
        <v>21</v>
      </c>
      <c r="H4176" t="str">
        <f>"685888"</f>
        <v>685888</v>
      </c>
      <c r="I4176" t="str">
        <f>"P/U AND HAUL PIG"</f>
        <v>P/U AND HAUL PIG</v>
      </c>
    </row>
    <row r="4177" spans="1:9" x14ac:dyDescent="0.25">
      <c r="A4177" s="6">
        <v>44439</v>
      </c>
      <c r="B4177" t="s">
        <v>26</v>
      </c>
      <c r="C4177">
        <v>67491</v>
      </c>
      <c r="D4177" t="s">
        <v>867</v>
      </c>
      <c r="E4177" s="7">
        <v>772</v>
      </c>
      <c r="F4177" t="s">
        <v>20</v>
      </c>
      <c r="G4177" s="10" t="s">
        <v>21</v>
      </c>
      <c r="H4177" t="str">
        <f>"13-29994"</f>
        <v>13-29994</v>
      </c>
      <c r="I4177" t="str">
        <f>"CAM SAFETY"</f>
        <v>CAM SAFETY</v>
      </c>
    </row>
    <row r="4178" spans="1:9" x14ac:dyDescent="0.25">
      <c r="E4178" s="7"/>
      <c r="F4178" t="s">
        <v>20</v>
      </c>
      <c r="G4178" s="10" t="s">
        <v>21</v>
      </c>
      <c r="H4178" t="str">
        <f>"13-30742"</f>
        <v>13-30742</v>
      </c>
      <c r="I4178" t="str">
        <f>"ANDRES- BOOTS"</f>
        <v>ANDRES- BOOTS</v>
      </c>
    </row>
    <row r="4179" spans="1:9" x14ac:dyDescent="0.25">
      <c r="A4179" s="6">
        <v>44439</v>
      </c>
      <c r="B4179" t="s">
        <v>26</v>
      </c>
      <c r="C4179">
        <v>67492</v>
      </c>
      <c r="D4179" t="s">
        <v>71</v>
      </c>
      <c r="E4179" s="7">
        <v>2189.89</v>
      </c>
      <c r="F4179" t="s">
        <v>20</v>
      </c>
      <c r="G4179" s="10" t="s">
        <v>21</v>
      </c>
      <c r="H4179" t="str">
        <f>"4087113111"</f>
        <v>4087113111</v>
      </c>
      <c r="I4179" t="str">
        <f t="shared" ref="I4179:I4190" si="92">"CINTAS CORPORATION #087"</f>
        <v>CINTAS CORPORATION #087</v>
      </c>
    </row>
    <row r="4180" spans="1:9" x14ac:dyDescent="0.25">
      <c r="E4180" s="7"/>
      <c r="F4180" t="s">
        <v>20</v>
      </c>
      <c r="G4180" s="10" t="s">
        <v>21</v>
      </c>
      <c r="H4180" t="str">
        <f>"4092988139"</f>
        <v>4092988139</v>
      </c>
      <c r="I4180" t="str">
        <f t="shared" si="92"/>
        <v>CINTAS CORPORATION #087</v>
      </c>
    </row>
    <row r="4181" spans="1:9" x14ac:dyDescent="0.25">
      <c r="E4181" s="7"/>
      <c r="F4181" t="s">
        <v>20</v>
      </c>
      <c r="G4181" s="10" t="s">
        <v>21</v>
      </c>
      <c r="H4181" t="str">
        <f>"4092988207"</f>
        <v>4092988207</v>
      </c>
      <c r="I4181" t="str">
        <f t="shared" si="92"/>
        <v>CINTAS CORPORATION #087</v>
      </c>
    </row>
    <row r="4182" spans="1:9" x14ac:dyDescent="0.25">
      <c r="E4182" s="7"/>
      <c r="F4182" t="s">
        <v>20</v>
      </c>
      <c r="G4182" s="10" t="s">
        <v>21</v>
      </c>
      <c r="H4182" t="str">
        <f>"4092988262"</f>
        <v>4092988262</v>
      </c>
      <c r="I4182" t="str">
        <f t="shared" si="92"/>
        <v>CINTAS CORPORATION #087</v>
      </c>
    </row>
    <row r="4183" spans="1:9" x14ac:dyDescent="0.25">
      <c r="E4183" s="7"/>
      <c r="F4183" t="s">
        <v>20</v>
      </c>
      <c r="G4183" s="10" t="s">
        <v>21</v>
      </c>
      <c r="H4183" t="str">
        <f>"4092988276"</f>
        <v>4092988276</v>
      </c>
      <c r="I4183" t="str">
        <f t="shared" si="92"/>
        <v>CINTAS CORPORATION #087</v>
      </c>
    </row>
    <row r="4184" spans="1:9" x14ac:dyDescent="0.25">
      <c r="E4184" s="7"/>
      <c r="F4184" t="s">
        <v>20</v>
      </c>
      <c r="G4184" s="10" t="s">
        <v>21</v>
      </c>
      <c r="H4184" t="str">
        <f>"4092988280"</f>
        <v>4092988280</v>
      </c>
      <c r="I4184" t="str">
        <f t="shared" si="92"/>
        <v>CINTAS CORPORATION #087</v>
      </c>
    </row>
    <row r="4185" spans="1:9" x14ac:dyDescent="0.25">
      <c r="E4185" s="7"/>
      <c r="F4185" t="s">
        <v>20</v>
      </c>
      <c r="G4185" s="10" t="s">
        <v>21</v>
      </c>
      <c r="H4185" t="str">
        <f>"4092988513"</f>
        <v>4092988513</v>
      </c>
      <c r="I4185" t="str">
        <f t="shared" si="92"/>
        <v>CINTAS CORPORATION #087</v>
      </c>
    </row>
    <row r="4186" spans="1:9" x14ac:dyDescent="0.25">
      <c r="E4186" s="7"/>
      <c r="F4186" t="s">
        <v>20</v>
      </c>
      <c r="G4186" s="10" t="s">
        <v>21</v>
      </c>
      <c r="H4186" t="str">
        <f>"4093653431"</f>
        <v>4093653431</v>
      </c>
      <c r="I4186" t="str">
        <f t="shared" si="92"/>
        <v>CINTAS CORPORATION #087</v>
      </c>
    </row>
    <row r="4187" spans="1:9" x14ac:dyDescent="0.25">
      <c r="E4187" s="7"/>
      <c r="F4187" t="s">
        <v>20</v>
      </c>
      <c r="G4187" s="10" t="s">
        <v>21</v>
      </c>
      <c r="H4187" t="str">
        <f>"4093653524"</f>
        <v>4093653524</v>
      </c>
      <c r="I4187" t="str">
        <f t="shared" si="92"/>
        <v>CINTAS CORPORATION #087</v>
      </c>
    </row>
    <row r="4188" spans="1:9" x14ac:dyDescent="0.25">
      <c r="E4188" s="7"/>
      <c r="F4188" t="s">
        <v>20</v>
      </c>
      <c r="G4188" s="10" t="s">
        <v>21</v>
      </c>
      <c r="H4188" t="str">
        <f>"4093653565"</f>
        <v>4093653565</v>
      </c>
      <c r="I4188" t="str">
        <f t="shared" si="92"/>
        <v>CINTAS CORPORATION #087</v>
      </c>
    </row>
    <row r="4189" spans="1:9" x14ac:dyDescent="0.25">
      <c r="E4189" s="7"/>
      <c r="F4189" t="s">
        <v>20</v>
      </c>
      <c r="G4189" s="10" t="s">
        <v>21</v>
      </c>
      <c r="H4189" t="str">
        <f>"4093653572"</f>
        <v>4093653572</v>
      </c>
      <c r="I4189" t="str">
        <f t="shared" si="92"/>
        <v>CINTAS CORPORATION #087</v>
      </c>
    </row>
    <row r="4190" spans="1:9" x14ac:dyDescent="0.25">
      <c r="E4190" s="7"/>
      <c r="F4190" t="s">
        <v>20</v>
      </c>
      <c r="G4190" s="10" t="s">
        <v>21</v>
      </c>
      <c r="H4190" t="str">
        <f>"40963653563"</f>
        <v>40963653563</v>
      </c>
      <c r="I4190" t="str">
        <f t="shared" si="92"/>
        <v>CINTAS CORPORATION #087</v>
      </c>
    </row>
    <row r="4191" spans="1:9" x14ac:dyDescent="0.25">
      <c r="A4191" s="6">
        <v>44439</v>
      </c>
      <c r="B4191" t="s">
        <v>26</v>
      </c>
      <c r="C4191">
        <v>67495</v>
      </c>
      <c r="D4191" t="s">
        <v>0</v>
      </c>
      <c r="E4191" s="7">
        <v>3416.45</v>
      </c>
      <c r="F4191" t="s">
        <v>20</v>
      </c>
      <c r="G4191" s="10" t="s">
        <v>21</v>
      </c>
      <c r="H4191" t="str">
        <f>"7/11-8/10/2021"</f>
        <v>7/11-8/10/2021</v>
      </c>
      <c r="I4191" t="str">
        <f>"CITY OF FLORESVILLE"</f>
        <v>CITY OF FLORESVILLE</v>
      </c>
    </row>
    <row r="4192" spans="1:9" x14ac:dyDescent="0.25">
      <c r="A4192" s="6">
        <v>44439</v>
      </c>
      <c r="B4192" t="s">
        <v>26</v>
      </c>
      <c r="C4192">
        <v>67496</v>
      </c>
      <c r="D4192" t="s">
        <v>1104</v>
      </c>
      <c r="E4192" s="7">
        <v>100</v>
      </c>
      <c r="F4192" t="s">
        <v>20</v>
      </c>
      <c r="G4192" s="10" t="s">
        <v>21</v>
      </c>
      <c r="H4192" t="str">
        <f>"V00000520677"</f>
        <v>V00000520677</v>
      </c>
      <c r="I4192" t="str">
        <f>"CONNALLY MEMORIAL MEDICAL CENT"</f>
        <v>CONNALLY MEMORIAL MEDICAL CENT</v>
      </c>
    </row>
    <row r="4193" spans="1:9" x14ac:dyDescent="0.25">
      <c r="A4193" s="6">
        <v>44439</v>
      </c>
      <c r="B4193" t="s">
        <v>26</v>
      </c>
      <c r="C4193">
        <v>67497</v>
      </c>
      <c r="D4193" t="s">
        <v>77</v>
      </c>
      <c r="E4193" s="7">
        <v>2450.4299999999998</v>
      </c>
      <c r="F4193" t="s">
        <v>20</v>
      </c>
      <c r="G4193" s="10" t="s">
        <v>21</v>
      </c>
      <c r="H4193" t="str">
        <f>"857001770-21"</f>
        <v>857001770-21</v>
      </c>
      <c r="I4193" t="str">
        <f>"CHLORINE"</f>
        <v>CHLORINE</v>
      </c>
    </row>
    <row r="4194" spans="1:9" x14ac:dyDescent="0.25">
      <c r="E4194" s="7"/>
      <c r="F4194" t="s">
        <v>20</v>
      </c>
      <c r="G4194" s="10" t="s">
        <v>21</v>
      </c>
      <c r="H4194" t="str">
        <f>"857001772-21"</f>
        <v>857001772-21</v>
      </c>
      <c r="I4194" t="str">
        <f>"CHLORINE"</f>
        <v>CHLORINE</v>
      </c>
    </row>
    <row r="4195" spans="1:9" x14ac:dyDescent="0.25">
      <c r="E4195" s="7"/>
      <c r="F4195" t="s">
        <v>20</v>
      </c>
      <c r="G4195" s="10" t="s">
        <v>21</v>
      </c>
      <c r="H4195" t="str">
        <f>"8570017721-21"</f>
        <v>8570017721-21</v>
      </c>
      <c r="I4195" t="str">
        <f>"CHLORINE"</f>
        <v>CHLORINE</v>
      </c>
    </row>
    <row r="4196" spans="1:9" x14ac:dyDescent="0.25">
      <c r="A4196" s="6">
        <v>44439</v>
      </c>
      <c r="B4196" t="s">
        <v>26</v>
      </c>
      <c r="C4196">
        <v>67498</v>
      </c>
      <c r="D4196" t="s">
        <v>69</v>
      </c>
      <c r="E4196" s="7">
        <v>239.42</v>
      </c>
      <c r="F4196" t="s">
        <v>20</v>
      </c>
      <c r="G4196" s="10" t="s">
        <v>21</v>
      </c>
      <c r="H4196" t="str">
        <f>"3C11884"</f>
        <v>3C11884</v>
      </c>
      <c r="I4196" t="str">
        <f>"CHAIN SAW BLADES"</f>
        <v>CHAIN SAW BLADES</v>
      </c>
    </row>
    <row r="4197" spans="1:9" x14ac:dyDescent="0.25">
      <c r="E4197" s="7"/>
      <c r="F4197" t="s">
        <v>20</v>
      </c>
      <c r="G4197" s="10" t="s">
        <v>21</v>
      </c>
      <c r="H4197" t="str">
        <f>"3C11896"</f>
        <v>3C11896</v>
      </c>
      <c r="I4197" t="str">
        <f>"BLADE"</f>
        <v>BLADE</v>
      </c>
    </row>
    <row r="4198" spans="1:9" x14ac:dyDescent="0.25">
      <c r="A4198" s="6">
        <v>44439</v>
      </c>
      <c r="B4198" t="s">
        <v>26</v>
      </c>
      <c r="C4198">
        <v>67499</v>
      </c>
      <c r="D4198" t="s">
        <v>79</v>
      </c>
      <c r="E4198" s="7">
        <v>28.6</v>
      </c>
      <c r="F4198" t="s">
        <v>20</v>
      </c>
      <c r="G4198" s="10" t="s">
        <v>21</v>
      </c>
      <c r="H4198" t="str">
        <f>"7-474-00372"</f>
        <v>7-474-00372</v>
      </c>
      <c r="I4198" t="str">
        <f>"FEDEX"</f>
        <v>FEDEX</v>
      </c>
    </row>
    <row r="4199" spans="1:9" x14ac:dyDescent="0.25">
      <c r="A4199" s="6">
        <v>44439</v>
      </c>
      <c r="B4199" t="s">
        <v>26</v>
      </c>
      <c r="C4199">
        <v>67500</v>
      </c>
      <c r="D4199" t="s">
        <v>59</v>
      </c>
      <c r="E4199" s="7">
        <v>1315.81</v>
      </c>
      <c r="F4199" t="s">
        <v>20</v>
      </c>
      <c r="G4199" s="10" t="s">
        <v>21</v>
      </c>
      <c r="H4199" t="str">
        <f>"1134134"</f>
        <v>1134134</v>
      </c>
      <c r="I4199" t="str">
        <f>"MISC STOCK"</f>
        <v>MISC STOCK</v>
      </c>
    </row>
    <row r="4200" spans="1:9" x14ac:dyDescent="0.25">
      <c r="A4200" s="6">
        <v>44439</v>
      </c>
      <c r="B4200" t="s">
        <v>26</v>
      </c>
      <c r="C4200">
        <v>67501</v>
      </c>
      <c r="D4200" t="s">
        <v>85</v>
      </c>
      <c r="E4200" s="7">
        <v>1246.18</v>
      </c>
      <c r="F4200" t="s">
        <v>20</v>
      </c>
      <c r="G4200" s="10" t="s">
        <v>21</v>
      </c>
      <c r="H4200" t="str">
        <f>"2162733 AUG.2021"</f>
        <v>2162733 AUG.2021</v>
      </c>
      <c r="I4200" t="str">
        <f t="shared" ref="I4200:I4208" si="93">"FRONTIER"</f>
        <v>FRONTIER</v>
      </c>
    </row>
    <row r="4201" spans="1:9" x14ac:dyDescent="0.25">
      <c r="E4201" s="7"/>
      <c r="F4201" t="s">
        <v>20</v>
      </c>
      <c r="G4201" s="10" t="s">
        <v>21</v>
      </c>
      <c r="H4201" t="str">
        <f>"2162755 AUG.2021"</f>
        <v>2162755 AUG.2021</v>
      </c>
      <c r="I4201" t="str">
        <f t="shared" si="93"/>
        <v>FRONTIER</v>
      </c>
    </row>
    <row r="4202" spans="1:9" x14ac:dyDescent="0.25">
      <c r="E4202" s="7"/>
      <c r="F4202" t="s">
        <v>20</v>
      </c>
      <c r="G4202" s="10" t="s">
        <v>21</v>
      </c>
      <c r="H4202" t="str">
        <f>"3932056 AUG.2021"</f>
        <v>3932056 AUG.2021</v>
      </c>
      <c r="I4202" t="str">
        <f t="shared" si="93"/>
        <v>FRONTIER</v>
      </c>
    </row>
    <row r="4203" spans="1:9" x14ac:dyDescent="0.25">
      <c r="E4203" s="7"/>
      <c r="F4203" t="s">
        <v>20</v>
      </c>
      <c r="G4203" s="10" t="s">
        <v>21</v>
      </c>
      <c r="H4203" t="str">
        <f>"3932804 AUG.2021"</f>
        <v>3932804 AUG.2021</v>
      </c>
      <c r="I4203" t="str">
        <f t="shared" si="93"/>
        <v>FRONTIER</v>
      </c>
    </row>
    <row r="4204" spans="1:9" x14ac:dyDescent="0.25">
      <c r="E4204" s="7"/>
      <c r="F4204" t="s">
        <v>20</v>
      </c>
      <c r="G4204" s="10" t="s">
        <v>21</v>
      </c>
      <c r="H4204" t="str">
        <f>"3933105 AUG.2021"</f>
        <v>3933105 AUG.2021</v>
      </c>
      <c r="I4204" t="str">
        <f t="shared" si="93"/>
        <v>FRONTIER</v>
      </c>
    </row>
    <row r="4205" spans="1:9" x14ac:dyDescent="0.25">
      <c r="E4205" s="7"/>
      <c r="F4205" t="s">
        <v>20</v>
      </c>
      <c r="G4205" s="10" t="s">
        <v>21</v>
      </c>
      <c r="H4205" t="str">
        <f>"3933186 AUG.2021"</f>
        <v>3933186 AUG.2021</v>
      </c>
      <c r="I4205" t="str">
        <f t="shared" si="93"/>
        <v>FRONTIER</v>
      </c>
    </row>
    <row r="4206" spans="1:9" x14ac:dyDescent="0.25">
      <c r="E4206" s="7"/>
      <c r="F4206" t="s">
        <v>20</v>
      </c>
      <c r="G4206" s="10" t="s">
        <v>21</v>
      </c>
      <c r="H4206" t="str">
        <f>"3936616 AUG.2021"</f>
        <v>3936616 AUG.2021</v>
      </c>
      <c r="I4206" t="str">
        <f t="shared" si="93"/>
        <v>FRONTIER</v>
      </c>
    </row>
    <row r="4207" spans="1:9" x14ac:dyDescent="0.25">
      <c r="E4207" s="7"/>
      <c r="F4207" t="s">
        <v>20</v>
      </c>
      <c r="G4207" s="10" t="s">
        <v>21</v>
      </c>
      <c r="H4207" t="str">
        <f>"3936794 AUG.2021"</f>
        <v>3936794 AUG.2021</v>
      </c>
      <c r="I4207" t="str">
        <f t="shared" si="93"/>
        <v>FRONTIER</v>
      </c>
    </row>
    <row r="4208" spans="1:9" x14ac:dyDescent="0.25">
      <c r="E4208" s="7"/>
      <c r="F4208" t="s">
        <v>20</v>
      </c>
      <c r="G4208" s="10" t="s">
        <v>21</v>
      </c>
      <c r="H4208" t="str">
        <f>"3939456 AUG.2021"</f>
        <v>3939456 AUG.2021</v>
      </c>
      <c r="I4208" t="str">
        <f t="shared" si="93"/>
        <v>FRONTIER</v>
      </c>
    </row>
    <row r="4209" spans="1:9" x14ac:dyDescent="0.25">
      <c r="A4209" s="6">
        <v>44439</v>
      </c>
      <c r="B4209" t="s">
        <v>26</v>
      </c>
      <c r="C4209">
        <v>67503</v>
      </c>
      <c r="D4209" t="s">
        <v>56</v>
      </c>
      <c r="E4209" s="7">
        <v>24.95</v>
      </c>
      <c r="F4209" t="s">
        <v>20</v>
      </c>
      <c r="G4209" s="10" t="s">
        <v>21</v>
      </c>
      <c r="H4209" t="str">
        <f>"195198"</f>
        <v>195198</v>
      </c>
      <c r="I4209" t="str">
        <f>"DOG FOOD"</f>
        <v>DOG FOOD</v>
      </c>
    </row>
    <row r="4210" spans="1:9" x14ac:dyDescent="0.25">
      <c r="A4210" s="6">
        <v>44439</v>
      </c>
      <c r="B4210" t="s">
        <v>26</v>
      </c>
      <c r="C4210">
        <v>67504</v>
      </c>
      <c r="D4210" t="s">
        <v>302</v>
      </c>
      <c r="E4210" s="7">
        <v>756.94</v>
      </c>
      <c r="F4210" t="s">
        <v>20</v>
      </c>
      <c r="G4210" s="10" t="s">
        <v>21</v>
      </c>
      <c r="H4210" t="str">
        <f>"9018984378"</f>
        <v>9018984378</v>
      </c>
      <c r="I4210" t="str">
        <f>"WWTP SUPPLIES"</f>
        <v>WWTP SUPPLIES</v>
      </c>
    </row>
    <row r="4211" spans="1:9" x14ac:dyDescent="0.25">
      <c r="E4211" s="7"/>
      <c r="F4211" t="s">
        <v>20</v>
      </c>
      <c r="G4211" s="10" t="s">
        <v>21</v>
      </c>
      <c r="H4211" t="str">
        <f>"9026304122"</f>
        <v>9026304122</v>
      </c>
      <c r="I4211" t="str">
        <f>"WWTP SUPPLIES"</f>
        <v>WWTP SUPPLIES</v>
      </c>
    </row>
    <row r="4212" spans="1:9" x14ac:dyDescent="0.25">
      <c r="E4212" s="7"/>
      <c r="F4212" t="s">
        <v>20</v>
      </c>
      <c r="G4212" s="10" t="s">
        <v>21</v>
      </c>
      <c r="H4212" t="str">
        <f>"9026304130"</f>
        <v>9026304130</v>
      </c>
      <c r="I4212" t="str">
        <f>"WWTP SUPPLIES"</f>
        <v>WWTP SUPPLIES</v>
      </c>
    </row>
    <row r="4213" spans="1:9" x14ac:dyDescent="0.25">
      <c r="A4213" s="6">
        <v>44439</v>
      </c>
      <c r="B4213" t="s">
        <v>26</v>
      </c>
      <c r="C4213">
        <v>67505</v>
      </c>
      <c r="D4213" t="s">
        <v>426</v>
      </c>
      <c r="E4213" s="7">
        <v>1013.5</v>
      </c>
      <c r="F4213" t="s">
        <v>20</v>
      </c>
      <c r="G4213" s="10" t="s">
        <v>21</v>
      </c>
      <c r="H4213" t="str">
        <f>"INV0859101"</f>
        <v>INV0859101</v>
      </c>
      <c r="I4213" t="str">
        <f>"HORNADY 5..56 50/BX"</f>
        <v>HORNADY 5..56 50/BX</v>
      </c>
    </row>
    <row r="4214" spans="1:9" x14ac:dyDescent="0.25">
      <c r="A4214" s="6">
        <v>44439</v>
      </c>
      <c r="B4214" t="s">
        <v>26</v>
      </c>
      <c r="C4214">
        <v>67506</v>
      </c>
      <c r="D4214" t="s">
        <v>1093</v>
      </c>
      <c r="E4214" s="7">
        <v>750</v>
      </c>
      <c r="F4214" t="s">
        <v>20</v>
      </c>
      <c r="G4214" s="10" t="s">
        <v>21</v>
      </c>
      <c r="H4214" t="str">
        <f>"1*"</f>
        <v>1*</v>
      </c>
      <c r="I4214" t="str">
        <f>"JUAN PABLO MANCIAS"</f>
        <v>JUAN PABLO MANCIAS</v>
      </c>
    </row>
    <row r="4215" spans="1:9" x14ac:dyDescent="0.25">
      <c r="A4215" s="6">
        <v>44439</v>
      </c>
      <c r="B4215" t="s">
        <v>26</v>
      </c>
      <c r="C4215">
        <v>67507</v>
      </c>
      <c r="D4215" t="s">
        <v>882</v>
      </c>
      <c r="E4215" s="7">
        <v>157</v>
      </c>
      <c r="F4215" t="s">
        <v>20</v>
      </c>
      <c r="G4215" s="10" t="s">
        <v>21</v>
      </c>
      <c r="H4215" t="str">
        <f>"8/30-9/2/2021"</f>
        <v>8/30-9/2/2021</v>
      </c>
      <c r="I4215" t="str">
        <f>"KEVIN PENA"</f>
        <v>KEVIN PENA</v>
      </c>
    </row>
    <row r="4216" spans="1:9" x14ac:dyDescent="0.25">
      <c r="A4216" s="6">
        <v>44439</v>
      </c>
      <c r="B4216" t="s">
        <v>26</v>
      </c>
      <c r="C4216">
        <v>67508</v>
      </c>
      <c r="D4216" t="s">
        <v>116</v>
      </c>
      <c r="E4216" s="7">
        <v>27.7</v>
      </c>
      <c r="F4216" t="s">
        <v>20</v>
      </c>
      <c r="G4216" s="10" t="s">
        <v>21</v>
      </c>
      <c r="H4216" t="str">
        <f>"INV001109538"</f>
        <v>INV001109538</v>
      </c>
      <c r="I4216" t="str">
        <f>"TESTING REAGENTS"</f>
        <v>TESTING REAGENTS</v>
      </c>
    </row>
    <row r="4217" spans="1:9" x14ac:dyDescent="0.25">
      <c r="A4217" s="6">
        <v>44439</v>
      </c>
      <c r="B4217" t="s">
        <v>26</v>
      </c>
      <c r="C4217">
        <v>67509</v>
      </c>
      <c r="D4217" t="s">
        <v>124</v>
      </c>
      <c r="E4217" s="7">
        <v>45.59</v>
      </c>
      <c r="F4217" t="s">
        <v>20</v>
      </c>
      <c r="G4217" s="10" t="s">
        <v>21</v>
      </c>
      <c r="H4217" t="str">
        <f>"11109971"</f>
        <v>11109971</v>
      </c>
      <c r="I4217" t="str">
        <f>"PORTLAND CEMENT"</f>
        <v>PORTLAND CEMENT</v>
      </c>
    </row>
    <row r="4218" spans="1:9" x14ac:dyDescent="0.25">
      <c r="A4218" s="6">
        <v>44439</v>
      </c>
      <c r="B4218" t="s">
        <v>26</v>
      </c>
      <c r="C4218">
        <v>67510</v>
      </c>
      <c r="D4218" t="s">
        <v>345</v>
      </c>
      <c r="E4218" s="7">
        <v>330</v>
      </c>
      <c r="F4218" t="s">
        <v>20</v>
      </c>
      <c r="G4218" s="10" t="s">
        <v>21</v>
      </c>
      <c r="H4218" t="str">
        <f>"8/30/2021"</f>
        <v>8/30/2021</v>
      </c>
      <c r="I4218" t="str">
        <f>"MICHAEL ISAAC MARTINEZ"</f>
        <v>MICHAEL ISAAC MARTINEZ</v>
      </c>
    </row>
    <row r="4219" spans="1:9" x14ac:dyDescent="0.25">
      <c r="A4219" s="6">
        <v>44439</v>
      </c>
      <c r="B4219" t="s">
        <v>26</v>
      </c>
      <c r="C4219">
        <v>67511</v>
      </c>
      <c r="D4219" t="s">
        <v>123</v>
      </c>
      <c r="E4219" s="7">
        <v>559.86</v>
      </c>
      <c r="F4219" t="s">
        <v>20</v>
      </c>
      <c r="G4219" s="10" t="s">
        <v>21</v>
      </c>
      <c r="H4219" t="str">
        <f>"186711115001"</f>
        <v>186711115001</v>
      </c>
      <c r="I4219" t="str">
        <f>"OFFICE SUPPLIES"</f>
        <v>OFFICE SUPPLIES</v>
      </c>
    </row>
    <row r="4220" spans="1:9" x14ac:dyDescent="0.25">
      <c r="E4220" s="7"/>
      <c r="F4220" t="s">
        <v>20</v>
      </c>
      <c r="G4220" s="10" t="s">
        <v>21</v>
      </c>
      <c r="H4220" t="str">
        <f>"187290495001"</f>
        <v>187290495001</v>
      </c>
      <c r="I4220" t="str">
        <f>"CLEAINING SUPPLIES"</f>
        <v>CLEAINING SUPPLIES</v>
      </c>
    </row>
    <row r="4221" spans="1:9" x14ac:dyDescent="0.25">
      <c r="E4221" s="7"/>
      <c r="F4221" t="s">
        <v>20</v>
      </c>
      <c r="G4221" s="10" t="s">
        <v>21</v>
      </c>
      <c r="H4221" t="str">
        <f>"187576464001"</f>
        <v>187576464001</v>
      </c>
      <c r="I4221" t="str">
        <f>"OFFICE SUPPLIES"</f>
        <v>OFFICE SUPPLIES</v>
      </c>
    </row>
    <row r="4222" spans="1:9" x14ac:dyDescent="0.25">
      <c r="E4222" s="7"/>
      <c r="F4222" t="s">
        <v>20</v>
      </c>
      <c r="G4222" s="10" t="s">
        <v>21</v>
      </c>
      <c r="H4222" t="str">
        <f>"187590218001"</f>
        <v>187590218001</v>
      </c>
      <c r="I4222" t="str">
        <f>"OFFICE SUPPLIES"</f>
        <v>OFFICE SUPPLIES</v>
      </c>
    </row>
    <row r="4223" spans="1:9" x14ac:dyDescent="0.25">
      <c r="E4223" s="7"/>
      <c r="F4223" t="s">
        <v>20</v>
      </c>
      <c r="G4223" s="10" t="s">
        <v>21</v>
      </c>
      <c r="H4223" t="str">
        <f>"187590218002"</f>
        <v>187590218002</v>
      </c>
      <c r="I4223" t="str">
        <f>"OFFICE SUPPLIES"</f>
        <v>OFFICE SUPPLIES</v>
      </c>
    </row>
    <row r="4224" spans="1:9" x14ac:dyDescent="0.25">
      <c r="E4224" s="7"/>
      <c r="F4224" t="s">
        <v>20</v>
      </c>
      <c r="G4224" s="10" t="s">
        <v>21</v>
      </c>
      <c r="H4224" t="str">
        <f>"189213204001"</f>
        <v>189213204001</v>
      </c>
      <c r="I4224" t="str">
        <f>"OFFICE SUPPLIES"</f>
        <v>OFFICE SUPPLIES</v>
      </c>
    </row>
    <row r="4225" spans="1:9" x14ac:dyDescent="0.25">
      <c r="E4225" s="7"/>
      <c r="F4225" t="s">
        <v>20</v>
      </c>
      <c r="G4225" s="10" t="s">
        <v>21</v>
      </c>
      <c r="H4225" t="str">
        <f>"189216645001"</f>
        <v>189216645001</v>
      </c>
      <c r="I4225" t="str">
        <f>"OFFICE SUPPLIES"</f>
        <v>OFFICE SUPPLIES</v>
      </c>
    </row>
    <row r="4226" spans="1:9" x14ac:dyDescent="0.25">
      <c r="A4226" s="6">
        <v>44439</v>
      </c>
      <c r="B4226" t="s">
        <v>26</v>
      </c>
      <c r="C4226">
        <v>67515</v>
      </c>
      <c r="D4226" t="s">
        <v>137</v>
      </c>
      <c r="E4226" s="7">
        <v>121.9</v>
      </c>
      <c r="F4226" t="s">
        <v>20</v>
      </c>
      <c r="G4226" s="10" t="s">
        <v>21</v>
      </c>
      <c r="H4226" t="str">
        <f>"27738"</f>
        <v>27738</v>
      </c>
      <c r="I4226" t="str">
        <f>"OMNIBUS-M  INC.D.B.A."</f>
        <v>OMNIBUS-M  INC.D.B.A.</v>
      </c>
    </row>
    <row r="4227" spans="1:9" x14ac:dyDescent="0.25">
      <c r="E4227" s="7"/>
      <c r="F4227" t="s">
        <v>20</v>
      </c>
      <c r="G4227" s="10" t="s">
        <v>21</v>
      </c>
      <c r="H4227" t="str">
        <f>"27739"</f>
        <v>27739</v>
      </c>
      <c r="I4227" t="str">
        <f>"OMNIBUS-M  INC.D.B.A."</f>
        <v>OMNIBUS-M  INC.D.B.A.</v>
      </c>
    </row>
    <row r="4228" spans="1:9" x14ac:dyDescent="0.25">
      <c r="A4228" s="6">
        <v>44439</v>
      </c>
      <c r="B4228" t="s">
        <v>26</v>
      </c>
      <c r="C4228">
        <v>67516</v>
      </c>
      <c r="D4228" t="s">
        <v>738</v>
      </c>
      <c r="E4228" s="7">
        <v>157</v>
      </c>
      <c r="F4228" t="s">
        <v>20</v>
      </c>
      <c r="G4228" s="10" t="s">
        <v>21</v>
      </c>
      <c r="H4228" t="str">
        <f>"8/30-9/2/2021"</f>
        <v>8/30-9/2/2021</v>
      </c>
      <c r="I4228" t="str">
        <f>"PATRICIO BARRERA HERNANDEZ"</f>
        <v>PATRICIO BARRERA HERNANDEZ</v>
      </c>
    </row>
    <row r="4229" spans="1:9" x14ac:dyDescent="0.25">
      <c r="A4229" s="6">
        <v>44439</v>
      </c>
      <c r="B4229" t="s">
        <v>26</v>
      </c>
      <c r="C4229">
        <v>67517</v>
      </c>
      <c r="D4229" t="s">
        <v>323</v>
      </c>
      <c r="E4229" s="7">
        <v>630</v>
      </c>
      <c r="F4229" t="s">
        <v>20</v>
      </c>
      <c r="G4229" s="10" t="s">
        <v>21</v>
      </c>
      <c r="H4229" t="str">
        <f>"8935"</f>
        <v>8935</v>
      </c>
      <c r="I4229" t="str">
        <f>"POLLOK SELF STORAGE LLC"</f>
        <v>POLLOK SELF STORAGE LLC</v>
      </c>
    </row>
    <row r="4230" spans="1:9" x14ac:dyDescent="0.25">
      <c r="A4230" s="6">
        <v>44439</v>
      </c>
      <c r="B4230" t="s">
        <v>26</v>
      </c>
      <c r="C4230">
        <v>67518</v>
      </c>
      <c r="D4230" t="s">
        <v>184</v>
      </c>
      <c r="E4230" s="7">
        <v>2180</v>
      </c>
      <c r="F4230" t="s">
        <v>20</v>
      </c>
      <c r="G4230" s="10" t="s">
        <v>21</v>
      </c>
      <c r="H4230" t="str">
        <f>"1064-204"</f>
        <v>1064-204</v>
      </c>
      <c r="I4230" t="str">
        <f>"POLLUTION CONTROL SERVICES"</f>
        <v>POLLUTION CONTROL SERVICES</v>
      </c>
    </row>
    <row r="4231" spans="1:9" x14ac:dyDescent="0.25">
      <c r="E4231" s="7"/>
      <c r="F4231" t="s">
        <v>20</v>
      </c>
      <c r="G4231" s="10" t="s">
        <v>21</v>
      </c>
      <c r="H4231" t="str">
        <f>"1064-205"</f>
        <v>1064-205</v>
      </c>
      <c r="I4231" t="str">
        <f>"POLLUTION CONTROL SERVICES"</f>
        <v>POLLUTION CONTROL SERVICES</v>
      </c>
    </row>
    <row r="4232" spans="1:9" x14ac:dyDescent="0.25">
      <c r="A4232" s="6">
        <v>44439</v>
      </c>
      <c r="B4232" t="s">
        <v>26</v>
      </c>
      <c r="C4232">
        <v>67519</v>
      </c>
      <c r="D4232" t="s">
        <v>131</v>
      </c>
      <c r="E4232" s="7">
        <v>787.44</v>
      </c>
      <c r="F4232" t="s">
        <v>20</v>
      </c>
      <c r="G4232" s="10" t="s">
        <v>21</v>
      </c>
      <c r="H4232" t="str">
        <f>"061629"</f>
        <v>061629</v>
      </c>
      <c r="I4232" t="str">
        <f>"TOOLS FOR SERVICE SHOP"</f>
        <v>TOOLS FOR SERVICE SHOP</v>
      </c>
    </row>
    <row r="4233" spans="1:9" x14ac:dyDescent="0.25">
      <c r="A4233" s="6">
        <v>44439</v>
      </c>
      <c r="B4233" t="s">
        <v>26</v>
      </c>
      <c r="C4233">
        <v>67520</v>
      </c>
      <c r="D4233" t="s">
        <v>967</v>
      </c>
      <c r="E4233" s="7">
        <v>12295</v>
      </c>
      <c r="F4233" t="s">
        <v>20</v>
      </c>
      <c r="G4233" s="10" t="s">
        <v>21</v>
      </c>
      <c r="H4233" t="str">
        <f>"INV72421"</f>
        <v>INV72421</v>
      </c>
      <c r="I4233" t="str">
        <f>"FENCE"</f>
        <v>FENCE</v>
      </c>
    </row>
    <row r="4234" spans="1:9" x14ac:dyDescent="0.25">
      <c r="E4234" s="7"/>
      <c r="F4234" t="s">
        <v>20</v>
      </c>
      <c r="G4234" s="10" t="s">
        <v>21</v>
      </c>
      <c r="H4234" t="str">
        <f>"INV80221"</f>
        <v>INV80221</v>
      </c>
      <c r="I4234" t="str">
        <f>"NEW CHAIN LINK FENCE"</f>
        <v>NEW CHAIN LINK FENCE</v>
      </c>
    </row>
    <row r="4235" spans="1:9" x14ac:dyDescent="0.25">
      <c r="A4235" s="6">
        <v>44439</v>
      </c>
      <c r="B4235" t="s">
        <v>26</v>
      </c>
      <c r="C4235">
        <v>67521</v>
      </c>
      <c r="D4235" t="s">
        <v>132</v>
      </c>
      <c r="E4235" s="7">
        <v>80.58</v>
      </c>
      <c r="F4235" t="s">
        <v>20</v>
      </c>
      <c r="G4235" s="10" t="s">
        <v>21</v>
      </c>
      <c r="H4235" t="str">
        <f>"16992887 081221"</f>
        <v>16992887 081221</v>
      </c>
      <c r="I4235" t="str">
        <f>"SPARKLETTS &amp; SIERRA SPRINGS"</f>
        <v>SPARKLETTS &amp; SIERRA SPRINGS</v>
      </c>
    </row>
    <row r="4236" spans="1:9" x14ac:dyDescent="0.25">
      <c r="A4236" s="6">
        <v>44439</v>
      </c>
      <c r="B4236" t="s">
        <v>91</v>
      </c>
      <c r="C4236">
        <v>67522</v>
      </c>
      <c r="D4236" t="s">
        <v>975</v>
      </c>
      <c r="E4236" s="7">
        <v>9419.02</v>
      </c>
      <c r="F4236" t="s">
        <v>20</v>
      </c>
      <c r="G4236" s="10" t="s">
        <v>21</v>
      </c>
      <c r="H4236" t="str">
        <f>"E06911"</f>
        <v>E06911</v>
      </c>
      <c r="I4236" t="str">
        <f>"TELLUS EQUIPMENT SOLUTIONS  LL"</f>
        <v>TELLUS EQUIPMENT SOLUTIONS  LL</v>
      </c>
    </row>
    <row r="4237" spans="1:9" x14ac:dyDescent="0.25">
      <c r="E4237" s="7"/>
      <c r="F4237" t="s">
        <v>20</v>
      </c>
      <c r="G4237" s="10" t="s">
        <v>21</v>
      </c>
      <c r="H4237" t="str">
        <f>"P88726"</f>
        <v>P88726</v>
      </c>
      <c r="I4237" t="str">
        <f>"PARK SUPPLIES"</f>
        <v>PARK SUPPLIES</v>
      </c>
    </row>
    <row r="4238" spans="1:9" x14ac:dyDescent="0.25">
      <c r="A4238" s="6">
        <v>44439</v>
      </c>
      <c r="B4238" t="s">
        <v>91</v>
      </c>
      <c r="C4238">
        <v>67522</v>
      </c>
      <c r="D4238" t="s">
        <v>975</v>
      </c>
      <c r="E4238" s="7">
        <v>9419.02</v>
      </c>
      <c r="F4238" t="s">
        <v>20</v>
      </c>
      <c r="G4238" s="10" t="s">
        <v>93</v>
      </c>
      <c r="H4238" t="str">
        <f>"CHECK"</f>
        <v>CHECK</v>
      </c>
      <c r="I4238" t="str">
        <f>""</f>
        <v/>
      </c>
    </row>
    <row r="4239" spans="1:9" x14ac:dyDescent="0.25">
      <c r="A4239" s="6">
        <v>44439</v>
      </c>
      <c r="B4239" t="s">
        <v>26</v>
      </c>
      <c r="C4239">
        <v>67523</v>
      </c>
      <c r="D4239" t="s">
        <v>61</v>
      </c>
      <c r="E4239" s="7">
        <v>188</v>
      </c>
      <c r="F4239" t="s">
        <v>20</v>
      </c>
      <c r="G4239" s="10" t="s">
        <v>21</v>
      </c>
      <c r="H4239" t="str">
        <f>"025-346346"</f>
        <v>025-346346</v>
      </c>
      <c r="I4239" t="str">
        <f>"TYLER TECHNOLOGIES  INC."</f>
        <v>TYLER TECHNOLOGIES  INC.</v>
      </c>
    </row>
    <row r="4240" spans="1:9" x14ac:dyDescent="0.25">
      <c r="A4240" s="6">
        <v>44439</v>
      </c>
      <c r="B4240" t="s">
        <v>26</v>
      </c>
      <c r="C4240">
        <v>67524</v>
      </c>
      <c r="D4240" t="s">
        <v>644</v>
      </c>
      <c r="E4240" s="7">
        <v>1541.44</v>
      </c>
      <c r="F4240" t="s">
        <v>20</v>
      </c>
      <c r="G4240" s="10" t="s">
        <v>21</v>
      </c>
      <c r="H4240" t="str">
        <f>"8213627047"</f>
        <v>8213627047</v>
      </c>
      <c r="I4240" t="str">
        <f t="shared" ref="I4240:I4257" si="94">"UNIFIRST CORPORATION"</f>
        <v>UNIFIRST CORPORATION</v>
      </c>
    </row>
    <row r="4241" spans="5:9" x14ac:dyDescent="0.25">
      <c r="E4241" s="7"/>
      <c r="F4241" t="s">
        <v>20</v>
      </c>
      <c r="G4241" s="10" t="s">
        <v>21</v>
      </c>
      <c r="H4241" t="str">
        <f>"8213627048"</f>
        <v>8213627048</v>
      </c>
      <c r="I4241" t="str">
        <f t="shared" si="94"/>
        <v>UNIFIRST CORPORATION</v>
      </c>
    </row>
    <row r="4242" spans="5:9" x14ac:dyDescent="0.25">
      <c r="E4242" s="7"/>
      <c r="F4242" t="s">
        <v>20</v>
      </c>
      <c r="G4242" s="10" t="s">
        <v>21</v>
      </c>
      <c r="H4242" t="str">
        <f>"8213627049"</f>
        <v>8213627049</v>
      </c>
      <c r="I4242" t="str">
        <f t="shared" si="94"/>
        <v>UNIFIRST CORPORATION</v>
      </c>
    </row>
    <row r="4243" spans="5:9" x14ac:dyDescent="0.25">
      <c r="E4243" s="7"/>
      <c r="F4243" t="s">
        <v>20</v>
      </c>
      <c r="G4243" s="10" t="s">
        <v>21</v>
      </c>
      <c r="H4243" t="str">
        <f>"8213627050"</f>
        <v>8213627050</v>
      </c>
      <c r="I4243" t="str">
        <f t="shared" si="94"/>
        <v>UNIFIRST CORPORATION</v>
      </c>
    </row>
    <row r="4244" spans="5:9" x14ac:dyDescent="0.25">
      <c r="E4244" s="7"/>
      <c r="F4244" t="s">
        <v>20</v>
      </c>
      <c r="G4244" s="10" t="s">
        <v>21</v>
      </c>
      <c r="H4244" t="str">
        <f>"8213627052"</f>
        <v>8213627052</v>
      </c>
      <c r="I4244" t="str">
        <f t="shared" si="94"/>
        <v>UNIFIRST CORPORATION</v>
      </c>
    </row>
    <row r="4245" spans="5:9" x14ac:dyDescent="0.25">
      <c r="E4245" s="7"/>
      <c r="F4245" t="s">
        <v>20</v>
      </c>
      <c r="G4245" s="10" t="s">
        <v>21</v>
      </c>
      <c r="H4245" t="str">
        <f>"8213627053"</f>
        <v>8213627053</v>
      </c>
      <c r="I4245" t="str">
        <f t="shared" si="94"/>
        <v>UNIFIRST CORPORATION</v>
      </c>
    </row>
    <row r="4246" spans="5:9" x14ac:dyDescent="0.25">
      <c r="E4246" s="7"/>
      <c r="F4246" t="s">
        <v>20</v>
      </c>
      <c r="G4246" s="10" t="s">
        <v>21</v>
      </c>
      <c r="H4246" t="str">
        <f>"8213629591"</f>
        <v>8213629591</v>
      </c>
      <c r="I4246" t="str">
        <f t="shared" si="94"/>
        <v>UNIFIRST CORPORATION</v>
      </c>
    </row>
    <row r="4247" spans="5:9" x14ac:dyDescent="0.25">
      <c r="E4247" s="7"/>
      <c r="F4247" t="s">
        <v>20</v>
      </c>
      <c r="G4247" s="10" t="s">
        <v>21</v>
      </c>
      <c r="H4247" t="str">
        <f>"8213629592"</f>
        <v>8213629592</v>
      </c>
      <c r="I4247" t="str">
        <f t="shared" si="94"/>
        <v>UNIFIRST CORPORATION</v>
      </c>
    </row>
    <row r="4248" spans="5:9" x14ac:dyDescent="0.25">
      <c r="E4248" s="7"/>
      <c r="F4248" t="s">
        <v>20</v>
      </c>
      <c r="G4248" s="10" t="s">
        <v>21</v>
      </c>
      <c r="H4248" t="str">
        <f>"8213629593"</f>
        <v>8213629593</v>
      </c>
      <c r="I4248" t="str">
        <f t="shared" si="94"/>
        <v>UNIFIRST CORPORATION</v>
      </c>
    </row>
    <row r="4249" spans="5:9" x14ac:dyDescent="0.25">
      <c r="E4249" s="7"/>
      <c r="F4249" t="s">
        <v>20</v>
      </c>
      <c r="G4249" s="10" t="s">
        <v>21</v>
      </c>
      <c r="H4249" t="str">
        <f>"8213629594"</f>
        <v>8213629594</v>
      </c>
      <c r="I4249" t="str">
        <f t="shared" si="94"/>
        <v>UNIFIRST CORPORATION</v>
      </c>
    </row>
    <row r="4250" spans="5:9" x14ac:dyDescent="0.25">
      <c r="E4250" s="7"/>
      <c r="F4250" t="s">
        <v>20</v>
      </c>
      <c r="G4250" s="10" t="s">
        <v>21</v>
      </c>
      <c r="H4250" t="str">
        <f>"8213629596"</f>
        <v>8213629596</v>
      </c>
      <c r="I4250" t="str">
        <f t="shared" si="94"/>
        <v>UNIFIRST CORPORATION</v>
      </c>
    </row>
    <row r="4251" spans="5:9" x14ac:dyDescent="0.25">
      <c r="E4251" s="7"/>
      <c r="F4251" t="s">
        <v>20</v>
      </c>
      <c r="G4251" s="10" t="s">
        <v>21</v>
      </c>
      <c r="H4251" t="str">
        <f>"8213629597"</f>
        <v>8213629597</v>
      </c>
      <c r="I4251" t="str">
        <f t="shared" si="94"/>
        <v>UNIFIRST CORPORATION</v>
      </c>
    </row>
    <row r="4252" spans="5:9" x14ac:dyDescent="0.25">
      <c r="E4252" s="7"/>
      <c r="F4252" t="s">
        <v>20</v>
      </c>
      <c r="G4252" s="10" t="s">
        <v>21</v>
      </c>
      <c r="H4252" t="str">
        <f>"8213632156"</f>
        <v>8213632156</v>
      </c>
      <c r="I4252" t="str">
        <f t="shared" si="94"/>
        <v>UNIFIRST CORPORATION</v>
      </c>
    </row>
    <row r="4253" spans="5:9" x14ac:dyDescent="0.25">
      <c r="E4253" s="7"/>
      <c r="F4253" t="s">
        <v>20</v>
      </c>
      <c r="G4253" s="10" t="s">
        <v>21</v>
      </c>
      <c r="H4253" t="str">
        <f>"8213632157"</f>
        <v>8213632157</v>
      </c>
      <c r="I4253" t="str">
        <f t="shared" si="94"/>
        <v>UNIFIRST CORPORATION</v>
      </c>
    </row>
    <row r="4254" spans="5:9" x14ac:dyDescent="0.25">
      <c r="E4254" s="7"/>
      <c r="F4254" t="s">
        <v>20</v>
      </c>
      <c r="G4254" s="10" t="s">
        <v>21</v>
      </c>
      <c r="H4254" t="str">
        <f>"8213632158"</f>
        <v>8213632158</v>
      </c>
      <c r="I4254" t="str">
        <f t="shared" si="94"/>
        <v>UNIFIRST CORPORATION</v>
      </c>
    </row>
    <row r="4255" spans="5:9" x14ac:dyDescent="0.25">
      <c r="E4255" s="7"/>
      <c r="F4255" t="s">
        <v>20</v>
      </c>
      <c r="G4255" s="10" t="s">
        <v>21</v>
      </c>
      <c r="H4255" t="str">
        <f>"8213632159"</f>
        <v>8213632159</v>
      </c>
      <c r="I4255" t="str">
        <f t="shared" si="94"/>
        <v>UNIFIRST CORPORATION</v>
      </c>
    </row>
    <row r="4256" spans="5:9" x14ac:dyDescent="0.25">
      <c r="E4256" s="7"/>
      <c r="F4256" t="s">
        <v>20</v>
      </c>
      <c r="G4256" s="10" t="s">
        <v>21</v>
      </c>
      <c r="H4256" t="str">
        <f>"8213632161"</f>
        <v>8213632161</v>
      </c>
      <c r="I4256" t="str">
        <f t="shared" si="94"/>
        <v>UNIFIRST CORPORATION</v>
      </c>
    </row>
    <row r="4257" spans="1:9" x14ac:dyDescent="0.25">
      <c r="E4257" s="7"/>
      <c r="F4257" t="s">
        <v>20</v>
      </c>
      <c r="G4257" s="10" t="s">
        <v>21</v>
      </c>
      <c r="H4257" t="str">
        <f>"8213632162"</f>
        <v>8213632162</v>
      </c>
      <c r="I4257" t="str">
        <f t="shared" si="94"/>
        <v>UNIFIRST CORPORATION</v>
      </c>
    </row>
    <row r="4258" spans="1:9" x14ac:dyDescent="0.25">
      <c r="A4258" s="6">
        <v>44439</v>
      </c>
      <c r="B4258" t="s">
        <v>26</v>
      </c>
      <c r="C4258">
        <v>67528</v>
      </c>
      <c r="D4258" t="s">
        <v>284</v>
      </c>
      <c r="E4258" s="7">
        <v>3610</v>
      </c>
      <c r="F4258" t="s">
        <v>20</v>
      </c>
      <c r="G4258" s="10" t="s">
        <v>21</v>
      </c>
      <c r="H4258" t="str">
        <f>"WARNINV005184"</f>
        <v>WARNINV005184</v>
      </c>
      <c r="I4258" t="str">
        <f>"WATCHGUARD VIDEO"</f>
        <v>WATCHGUARD VIDEO</v>
      </c>
    </row>
    <row r="4259" spans="1:9" x14ac:dyDescent="0.25">
      <c r="A4259" s="6">
        <v>44439</v>
      </c>
      <c r="B4259" t="s">
        <v>26</v>
      </c>
      <c r="C4259">
        <v>67529</v>
      </c>
      <c r="D4259" t="s">
        <v>197</v>
      </c>
      <c r="E4259" s="7">
        <v>2808</v>
      </c>
      <c r="F4259" t="s">
        <v>20</v>
      </c>
      <c r="G4259" s="10" t="s">
        <v>21</v>
      </c>
      <c r="H4259" t="str">
        <f>"213213"</f>
        <v>213213</v>
      </c>
      <c r="I4259" t="str">
        <f>"POLYMER"</f>
        <v>POLYMER</v>
      </c>
    </row>
    <row r="4260" spans="1:9" x14ac:dyDescent="0.25">
      <c r="A4260" s="6">
        <v>44435</v>
      </c>
      <c r="B4260" t="s">
        <v>26</v>
      </c>
      <c r="C4260">
        <v>67530</v>
      </c>
      <c r="D4260" t="s">
        <v>282</v>
      </c>
      <c r="E4260" s="7">
        <v>8500</v>
      </c>
      <c r="F4260" t="s">
        <v>20</v>
      </c>
      <c r="G4260" s="10" t="s">
        <v>21</v>
      </c>
      <c r="H4260" t="str">
        <f>"4343"</f>
        <v>4343</v>
      </c>
      <c r="I4260" t="str">
        <f>"LANGFORD COMMUNITY MANAGEMENT"</f>
        <v>LANGFORD COMMUNITY MANAGEMENT</v>
      </c>
    </row>
    <row r="4261" spans="1:9" x14ac:dyDescent="0.25">
      <c r="A4261" s="6">
        <v>44439</v>
      </c>
      <c r="B4261" t="s">
        <v>26</v>
      </c>
      <c r="C4261">
        <v>67531</v>
      </c>
      <c r="D4261" t="s">
        <v>90</v>
      </c>
      <c r="E4261" s="7">
        <v>1636.56</v>
      </c>
      <c r="F4261" t="s">
        <v>20</v>
      </c>
      <c r="G4261" s="10" t="s">
        <v>21</v>
      </c>
      <c r="H4261" t="str">
        <f>"ACA202107278617"</f>
        <v>ACA202107278617</v>
      </c>
      <c r="I4261" t="str">
        <f>"AFLAC INSURANCE"</f>
        <v>AFLAC INSURANCE</v>
      </c>
    </row>
    <row r="4262" spans="1:9" x14ac:dyDescent="0.25">
      <c r="E4262" s="7"/>
      <c r="F4262" t="s">
        <v>20</v>
      </c>
      <c r="G4262" s="10" t="s">
        <v>21</v>
      </c>
      <c r="H4262" t="str">
        <f>"ACA202108108618"</f>
        <v>ACA202108108618</v>
      </c>
      <c r="I4262" t="str">
        <f>"AFLAC INSURANCE"</f>
        <v>AFLAC INSURANCE</v>
      </c>
    </row>
    <row r="4263" spans="1:9" x14ac:dyDescent="0.25">
      <c r="E4263" s="7"/>
      <c r="F4263" t="s">
        <v>20</v>
      </c>
      <c r="G4263" s="10" t="s">
        <v>21</v>
      </c>
      <c r="H4263" t="str">
        <f>"ADR202107278617"</f>
        <v>ADR202107278617</v>
      </c>
      <c r="I4263" t="str">
        <f>"INSURANCE"</f>
        <v>INSURANCE</v>
      </c>
    </row>
    <row r="4264" spans="1:9" x14ac:dyDescent="0.25">
      <c r="E4264" s="7"/>
      <c r="F4264" t="s">
        <v>20</v>
      </c>
      <c r="G4264" s="10" t="s">
        <v>21</v>
      </c>
      <c r="H4264" t="str">
        <f>"ADR202108108618"</f>
        <v>ADR202108108618</v>
      </c>
      <c r="I4264" t="str">
        <f>"INSURANCE"</f>
        <v>INSURANCE</v>
      </c>
    </row>
    <row r="4265" spans="1:9" x14ac:dyDescent="0.25">
      <c r="E4265" s="7"/>
      <c r="F4265" t="s">
        <v>20</v>
      </c>
      <c r="G4265" s="10" t="s">
        <v>21</v>
      </c>
      <c r="H4265" t="str">
        <f>"AF1202107278617"</f>
        <v>AF1202107278617</v>
      </c>
      <c r="I4265" t="str">
        <f>"AFLAC INSURANCE"</f>
        <v>AFLAC INSURANCE</v>
      </c>
    </row>
    <row r="4266" spans="1:9" x14ac:dyDescent="0.25">
      <c r="E4266" s="7"/>
      <c r="F4266" t="s">
        <v>20</v>
      </c>
      <c r="G4266" s="10" t="s">
        <v>21</v>
      </c>
      <c r="H4266" t="str">
        <f>"AF1202108108618"</f>
        <v>AF1202108108618</v>
      </c>
      <c r="I4266" t="str">
        <f>"AFLAC INSURANCE"</f>
        <v>AFLAC INSURANCE</v>
      </c>
    </row>
    <row r="4267" spans="1:9" x14ac:dyDescent="0.25">
      <c r="E4267" s="7"/>
      <c r="F4267" t="s">
        <v>20</v>
      </c>
      <c r="G4267" s="10" t="s">
        <v>21</v>
      </c>
      <c r="H4267" t="str">
        <f>"AFS202107278617"</f>
        <v>AFS202107278617</v>
      </c>
      <c r="I4267" t="str">
        <f>"AFLAC STD"</f>
        <v>AFLAC STD</v>
      </c>
    </row>
    <row r="4268" spans="1:9" x14ac:dyDescent="0.25">
      <c r="E4268" s="7"/>
      <c r="F4268" t="s">
        <v>20</v>
      </c>
      <c r="G4268" s="10" t="s">
        <v>21</v>
      </c>
      <c r="H4268" t="str">
        <f>"AFS202108108618"</f>
        <v>AFS202108108618</v>
      </c>
      <c r="I4268" t="str">
        <f>"AFLAC STD"</f>
        <v>AFLAC STD</v>
      </c>
    </row>
    <row r="4269" spans="1:9" x14ac:dyDescent="0.25">
      <c r="E4269" s="7"/>
      <c r="F4269" t="s">
        <v>20</v>
      </c>
      <c r="G4269" s="10" t="s">
        <v>21</v>
      </c>
      <c r="H4269" t="str">
        <f>"ASP202107278617"</f>
        <v>ASP202107278617</v>
      </c>
      <c r="I4269" t="str">
        <f>"AFLAC INSURANCE"</f>
        <v>AFLAC INSURANCE</v>
      </c>
    </row>
    <row r="4270" spans="1:9" x14ac:dyDescent="0.25">
      <c r="E4270" s="7"/>
      <c r="F4270" t="s">
        <v>20</v>
      </c>
      <c r="G4270" s="10" t="s">
        <v>21</v>
      </c>
      <c r="H4270" t="str">
        <f>"ASP202108108618"</f>
        <v>ASP202108108618</v>
      </c>
      <c r="I4270" t="str">
        <f>"AFLAC INSURANCE"</f>
        <v>AFLAC INSURANCE</v>
      </c>
    </row>
    <row r="4271" spans="1:9" x14ac:dyDescent="0.25">
      <c r="E4271" s="7"/>
      <c r="F4271" t="s">
        <v>20</v>
      </c>
      <c r="G4271" s="10" t="s">
        <v>21</v>
      </c>
      <c r="H4271" t="str">
        <f>"HCO202107278617"</f>
        <v>HCO202107278617</v>
      </c>
      <c r="I4271" t="str">
        <f>"AFLAC INSURANCE"</f>
        <v>AFLAC INSURANCE</v>
      </c>
    </row>
    <row r="4272" spans="1:9" x14ac:dyDescent="0.25">
      <c r="E4272" s="7"/>
      <c r="F4272" t="s">
        <v>20</v>
      </c>
      <c r="G4272" s="10" t="s">
        <v>21</v>
      </c>
      <c r="H4272" t="str">
        <f>"HCO202108108618"</f>
        <v>HCO202108108618</v>
      </c>
      <c r="I4272" t="str">
        <f>"AFLAC INSURANCE"</f>
        <v>AFLAC INSURANCE</v>
      </c>
    </row>
    <row r="4273" spans="1:9" x14ac:dyDescent="0.25">
      <c r="A4273" s="6">
        <v>44439</v>
      </c>
      <c r="B4273" t="s">
        <v>26</v>
      </c>
      <c r="C4273">
        <v>67536</v>
      </c>
      <c r="D4273" t="s">
        <v>98</v>
      </c>
      <c r="E4273" s="7">
        <v>3550.19</v>
      </c>
      <c r="F4273" t="s">
        <v>20</v>
      </c>
      <c r="G4273" s="10" t="s">
        <v>329</v>
      </c>
      <c r="H4273" t="str">
        <f>"9/1-9/30/2021"</f>
        <v>9/1-9/30/2021</v>
      </c>
      <c r="I4273" t="str">
        <f>"DEARBORN LIFE INSURANCE COMPAN"</f>
        <v>DEARBORN LIFE INSURANCE COMPAN</v>
      </c>
    </row>
    <row r="4274" spans="1:9" x14ac:dyDescent="0.25">
      <c r="E4274" s="7"/>
      <c r="F4274" t="s">
        <v>20</v>
      </c>
      <c r="G4274" s="10" t="s">
        <v>21</v>
      </c>
      <c r="H4274" t="str">
        <f>"STD202108108618"</f>
        <v>STD202108108618</v>
      </c>
      <c r="I4274" t="str">
        <f>"SHORT TERM DISABILITY"</f>
        <v>SHORT TERM DISABILITY</v>
      </c>
    </row>
    <row r="4275" spans="1:9" x14ac:dyDescent="0.25">
      <c r="E4275" s="7"/>
      <c r="F4275" t="s">
        <v>20</v>
      </c>
      <c r="G4275" s="10" t="s">
        <v>21</v>
      </c>
      <c r="H4275" t="str">
        <f>"STD202108248619"</f>
        <v>STD202108248619</v>
      </c>
      <c r="I4275" t="str">
        <f>"SHORT TERM DISABILITY"</f>
        <v>SHORT TERM DISABILITY</v>
      </c>
    </row>
    <row r="4276" spans="1:9" x14ac:dyDescent="0.25">
      <c r="E4276" s="7"/>
      <c r="F4276" t="s">
        <v>20</v>
      </c>
      <c r="G4276" s="10" t="s">
        <v>21</v>
      </c>
      <c r="H4276" t="str">
        <f>"VIS202108108618"</f>
        <v>VIS202108108618</v>
      </c>
      <c r="I4276" t="str">
        <f>"VISION INSURANCE"</f>
        <v>VISION INSURANCE</v>
      </c>
    </row>
    <row r="4277" spans="1:9" x14ac:dyDescent="0.25">
      <c r="E4277" s="7"/>
      <c r="F4277" t="s">
        <v>20</v>
      </c>
      <c r="G4277" s="10" t="s">
        <v>21</v>
      </c>
      <c r="H4277" t="str">
        <f>"VIS202108248619"</f>
        <v>VIS202108248619</v>
      </c>
      <c r="I4277" t="str">
        <f>"VISION INSURANCE"</f>
        <v>VISION INSURANCE</v>
      </c>
    </row>
    <row r="4278" spans="1:9" x14ac:dyDescent="0.25">
      <c r="E4278" s="7"/>
      <c r="F4278" t="s">
        <v>20</v>
      </c>
      <c r="G4278" s="10" t="s">
        <v>21</v>
      </c>
      <c r="H4278" t="str">
        <f>"VLC202108108618"</f>
        <v>VLC202108108618</v>
      </c>
      <c r="I4278" t="str">
        <f>"CHILD LIFE INSURANCE"</f>
        <v>CHILD LIFE INSURANCE</v>
      </c>
    </row>
    <row r="4279" spans="1:9" x14ac:dyDescent="0.25">
      <c r="E4279" s="7"/>
      <c r="F4279" t="s">
        <v>20</v>
      </c>
      <c r="G4279" s="10" t="s">
        <v>21</v>
      </c>
      <c r="H4279" t="str">
        <f>"VLC202108248619"</f>
        <v>VLC202108248619</v>
      </c>
      <c r="I4279" t="str">
        <f>"CHILD LIFE INSURANCE"</f>
        <v>CHILD LIFE INSURANCE</v>
      </c>
    </row>
    <row r="4280" spans="1:9" x14ac:dyDescent="0.25">
      <c r="E4280" s="7"/>
      <c r="F4280" t="s">
        <v>20</v>
      </c>
      <c r="G4280" s="10" t="s">
        <v>21</v>
      </c>
      <c r="H4280" t="str">
        <f>"VLS202108108618"</f>
        <v>VLS202108108618</v>
      </c>
      <c r="I4280" t="str">
        <f>"SPOUSE LIFE"</f>
        <v>SPOUSE LIFE</v>
      </c>
    </row>
    <row r="4281" spans="1:9" x14ac:dyDescent="0.25">
      <c r="E4281" s="7"/>
      <c r="F4281" t="s">
        <v>20</v>
      </c>
      <c r="G4281" s="10" t="s">
        <v>21</v>
      </c>
      <c r="H4281" t="str">
        <f>"VLS202108248619"</f>
        <v>VLS202108248619</v>
      </c>
      <c r="I4281" t="str">
        <f>"SPOUSE LIFE"</f>
        <v>SPOUSE LIFE</v>
      </c>
    </row>
    <row r="4282" spans="1:9" x14ac:dyDescent="0.25">
      <c r="E4282" s="7"/>
      <c r="F4282" t="s">
        <v>20</v>
      </c>
      <c r="G4282" s="10" t="s">
        <v>21</v>
      </c>
      <c r="H4282" t="str">
        <f>"VOE202108108618"</f>
        <v>VOE202108108618</v>
      </c>
      <c r="I4282" t="str">
        <f>"EMPLOYEE LIFE"</f>
        <v>EMPLOYEE LIFE</v>
      </c>
    </row>
    <row r="4283" spans="1:9" x14ac:dyDescent="0.25">
      <c r="E4283" s="7"/>
      <c r="F4283" t="s">
        <v>20</v>
      </c>
      <c r="G4283" s="10" t="s">
        <v>21</v>
      </c>
      <c r="H4283" t="str">
        <f>"VOE202108248619"</f>
        <v>VOE202108248619</v>
      </c>
      <c r="I4283" t="str">
        <f>"EMPLOYEE LIFE"</f>
        <v>EMPLOYEE LIFE</v>
      </c>
    </row>
    <row r="4284" spans="1:9" x14ac:dyDescent="0.25">
      <c r="E4284" s="7"/>
      <c r="F4284" t="s">
        <v>20</v>
      </c>
      <c r="G4284" s="10" t="s">
        <v>21</v>
      </c>
      <c r="H4284" t="str">
        <f>"VOL202108108618"</f>
        <v>VOL202108108618</v>
      </c>
      <c r="I4284" t="str">
        <f>"LIFE"</f>
        <v>LIFE</v>
      </c>
    </row>
    <row r="4285" spans="1:9" x14ac:dyDescent="0.25">
      <c r="E4285" s="7"/>
      <c r="F4285" t="s">
        <v>20</v>
      </c>
      <c r="G4285" s="10" t="s">
        <v>21</v>
      </c>
      <c r="H4285" t="str">
        <f>"VOL202108248619"</f>
        <v>VOL202108248619</v>
      </c>
      <c r="I4285" t="str">
        <f>"LIFE"</f>
        <v>LIFE</v>
      </c>
    </row>
    <row r="4286" spans="1:9" x14ac:dyDescent="0.25">
      <c r="A4286" s="6">
        <v>44439</v>
      </c>
      <c r="B4286" t="s">
        <v>26</v>
      </c>
      <c r="C4286">
        <v>67546</v>
      </c>
      <c r="D4286" t="s">
        <v>95</v>
      </c>
      <c r="E4286" s="7">
        <v>25.32</v>
      </c>
      <c r="F4286" t="s">
        <v>20</v>
      </c>
      <c r="G4286" s="10" t="s">
        <v>21</v>
      </c>
      <c r="H4286" t="str">
        <f>"LEA202108108618"</f>
        <v>LEA202108108618</v>
      </c>
      <c r="I4286" t="str">
        <f>"INSURANCE"</f>
        <v>INSURANCE</v>
      </c>
    </row>
    <row r="4287" spans="1:9" x14ac:dyDescent="0.25">
      <c r="E4287" s="7"/>
      <c r="F4287" t="s">
        <v>20</v>
      </c>
      <c r="G4287" s="10" t="s">
        <v>21</v>
      </c>
      <c r="H4287" t="str">
        <f>"LEA202108248619"</f>
        <v>LEA202108248619</v>
      </c>
      <c r="I4287" t="str">
        <f>"INSURANCE"</f>
        <v>INSURANCE</v>
      </c>
    </row>
    <row r="4288" spans="1:9" x14ac:dyDescent="0.25">
      <c r="A4288" s="6">
        <v>44439</v>
      </c>
      <c r="B4288" t="s">
        <v>26</v>
      </c>
      <c r="C4288">
        <v>67547</v>
      </c>
      <c r="D4288" t="s">
        <v>96</v>
      </c>
      <c r="E4288" s="7">
        <v>225.24</v>
      </c>
      <c r="F4288" t="s">
        <v>20</v>
      </c>
      <c r="G4288" s="10" t="s">
        <v>21</v>
      </c>
      <c r="H4288" t="str">
        <f>"PPL202108108618"</f>
        <v>PPL202108108618</v>
      </c>
      <c r="I4288" t="str">
        <f>"INSURANCE"</f>
        <v>INSURANCE</v>
      </c>
    </row>
    <row r="4289" spans="1:9" x14ac:dyDescent="0.25">
      <c r="E4289" s="7"/>
      <c r="F4289" t="s">
        <v>20</v>
      </c>
      <c r="G4289" s="10" t="s">
        <v>21</v>
      </c>
      <c r="H4289" t="str">
        <f>"PPL202108248619"</f>
        <v>PPL202108248619</v>
      </c>
      <c r="I4289" t="str">
        <f>"INSURANCE"</f>
        <v>INSURANCE</v>
      </c>
    </row>
    <row r="4290" spans="1:9" x14ac:dyDescent="0.25">
      <c r="A4290" s="6">
        <v>44440</v>
      </c>
      <c r="B4290" t="s">
        <v>26</v>
      </c>
      <c r="C4290">
        <v>67548</v>
      </c>
      <c r="D4290" t="s">
        <v>180</v>
      </c>
      <c r="E4290" s="7">
        <v>66.75</v>
      </c>
      <c r="F4290" t="s">
        <v>20</v>
      </c>
      <c r="G4290" s="10" t="s">
        <v>21</v>
      </c>
      <c r="H4290" t="str">
        <f>"2108-116797"</f>
        <v>2108-116797</v>
      </c>
      <c r="I4290" t="str">
        <f>"DITTMAR LUMBER CO."</f>
        <v>DITTMAR LUMBER CO.</v>
      </c>
    </row>
    <row r="4291" spans="1:9" x14ac:dyDescent="0.25">
      <c r="E4291" s="7"/>
      <c r="F4291" t="s">
        <v>20</v>
      </c>
      <c r="G4291" s="10" t="s">
        <v>21</v>
      </c>
      <c r="H4291" t="str">
        <f>"2108-116830"</f>
        <v>2108-116830</v>
      </c>
      <c r="I4291" t="str">
        <f>"FAUCET"</f>
        <v>FAUCET</v>
      </c>
    </row>
    <row r="4292" spans="1:9" x14ac:dyDescent="0.25">
      <c r="A4292" s="6">
        <v>44440</v>
      </c>
      <c r="B4292" t="s">
        <v>26</v>
      </c>
      <c r="C4292">
        <v>67549</v>
      </c>
      <c r="D4292" t="s">
        <v>80</v>
      </c>
      <c r="E4292" s="7">
        <v>1500</v>
      </c>
      <c r="F4292" t="s">
        <v>20</v>
      </c>
      <c r="G4292" s="10" t="s">
        <v>21</v>
      </c>
      <c r="H4292" t="str">
        <f>"1648-20210901-1"</f>
        <v>1648-20210901-1</v>
      </c>
      <c r="I4292" t="str">
        <f>"LVWIFI.COM"</f>
        <v>LVWIFI.COM</v>
      </c>
    </row>
    <row r="4293" spans="1:9" x14ac:dyDescent="0.25">
      <c r="E4293" s="7"/>
      <c r="F4293" t="s">
        <v>20</v>
      </c>
      <c r="G4293" s="10" t="s">
        <v>21</v>
      </c>
      <c r="H4293" t="str">
        <f>"2313-20210901-1"</f>
        <v>2313-20210901-1</v>
      </c>
      <c r="I4293" t="str">
        <f>"LVWIFI.COM"</f>
        <v>LVWIFI.COM</v>
      </c>
    </row>
    <row r="4294" spans="1:9" x14ac:dyDescent="0.25">
      <c r="A4294" s="6">
        <v>44440</v>
      </c>
      <c r="B4294" t="s">
        <v>26</v>
      </c>
      <c r="C4294">
        <v>67550</v>
      </c>
      <c r="D4294" t="s">
        <v>97</v>
      </c>
      <c r="E4294" s="7">
        <v>43955.21</v>
      </c>
      <c r="F4294" t="s">
        <v>20</v>
      </c>
      <c r="G4294" s="10" t="s">
        <v>329</v>
      </c>
      <c r="H4294" t="str">
        <f>"9/1-9/30/2021"</f>
        <v>9/1-9/30/2021</v>
      </c>
      <c r="I4294" t="str">
        <f>"HEALTH CARE SERVICE CORPORATIO"</f>
        <v>HEALTH CARE SERVICE CORPORATIO</v>
      </c>
    </row>
    <row r="4295" spans="1:9" x14ac:dyDescent="0.25">
      <c r="E4295" s="7"/>
      <c r="F4295" t="s">
        <v>20</v>
      </c>
      <c r="G4295" s="10" t="s">
        <v>21</v>
      </c>
      <c r="H4295" t="str">
        <f>"DEN202108108618"</f>
        <v>DEN202108108618</v>
      </c>
      <c r="I4295" t="str">
        <f>"DENTAL INSURANCE"</f>
        <v>DENTAL INSURANCE</v>
      </c>
    </row>
    <row r="4296" spans="1:9" x14ac:dyDescent="0.25">
      <c r="E4296" s="7"/>
      <c r="F4296" t="s">
        <v>20</v>
      </c>
      <c r="G4296" s="10" t="s">
        <v>21</v>
      </c>
      <c r="H4296" t="str">
        <f>"DEN202108248619"</f>
        <v>DEN202108248619</v>
      </c>
      <c r="I4296" t="str">
        <f>"DENTAL INSURANCE"</f>
        <v>DENTAL INSURANCE</v>
      </c>
    </row>
    <row r="4297" spans="1:9" x14ac:dyDescent="0.25">
      <c r="E4297" s="7"/>
      <c r="F4297" t="s">
        <v>20</v>
      </c>
      <c r="G4297" s="10" t="s">
        <v>21</v>
      </c>
      <c r="H4297" t="str">
        <f>"MED202108108618"</f>
        <v>MED202108108618</v>
      </c>
      <c r="I4297" t="str">
        <f>"HEALTH &amp; DENTAL INSURANCE"</f>
        <v>HEALTH &amp; DENTAL INSURANCE</v>
      </c>
    </row>
    <row r="4298" spans="1:9" x14ac:dyDescent="0.25">
      <c r="E4298" s="7"/>
      <c r="F4298" t="s">
        <v>20</v>
      </c>
      <c r="G4298" s="10" t="s">
        <v>21</v>
      </c>
      <c r="H4298" t="str">
        <f>"MED202108248619"</f>
        <v>MED202108248619</v>
      </c>
      <c r="I4298" t="str">
        <f>"HEALTH &amp; DENTAL INSURANCE"</f>
        <v>HEALTH &amp; DENTAL INSURANCE</v>
      </c>
    </row>
    <row r="4299" spans="1:9" x14ac:dyDescent="0.25">
      <c r="A4299" s="6">
        <v>44440</v>
      </c>
      <c r="B4299" t="s">
        <v>26</v>
      </c>
      <c r="C4299">
        <v>67555</v>
      </c>
      <c r="D4299" t="s">
        <v>698</v>
      </c>
      <c r="E4299" s="7">
        <v>65</v>
      </c>
      <c r="F4299" t="s">
        <v>20</v>
      </c>
      <c r="G4299" s="10" t="s">
        <v>21</v>
      </c>
      <c r="H4299" t="str">
        <f>"8/29/2021"</f>
        <v>8/29/2021</v>
      </c>
      <c r="I4299" t="str">
        <f>"TRACY ORTIZ"</f>
        <v>TRACY ORTIZ</v>
      </c>
    </row>
    <row r="4300" spans="1:9" x14ac:dyDescent="0.25">
      <c r="A4300" s="6">
        <v>44440</v>
      </c>
      <c r="B4300" t="s">
        <v>26</v>
      </c>
      <c r="C4300">
        <v>67556</v>
      </c>
      <c r="D4300" t="s">
        <v>818</v>
      </c>
      <c r="E4300" s="7">
        <v>70</v>
      </c>
      <c r="F4300" t="s">
        <v>20</v>
      </c>
      <c r="G4300" s="10" t="s">
        <v>21</v>
      </c>
      <c r="H4300" t="str">
        <f>"8/21/2021"</f>
        <v>8/21/2021</v>
      </c>
      <c r="I4300" t="str">
        <f>"BRANDY NICOLE HARLOS"</f>
        <v>BRANDY NICOLE HARLOS</v>
      </c>
    </row>
    <row r="4301" spans="1:9" x14ac:dyDescent="0.25">
      <c r="A4301" s="6">
        <v>44440</v>
      </c>
      <c r="B4301" t="s">
        <v>26</v>
      </c>
      <c r="C4301">
        <v>67557</v>
      </c>
      <c r="D4301" t="s">
        <v>637</v>
      </c>
      <c r="E4301" s="7">
        <v>75</v>
      </c>
      <c r="F4301" t="s">
        <v>20</v>
      </c>
      <c r="G4301" s="10" t="s">
        <v>21</v>
      </c>
      <c r="H4301" t="str">
        <f>"09012021-COUNCIL"</f>
        <v>09012021-COUNCIL</v>
      </c>
      <c r="I4301" t="str">
        <f>""</f>
        <v/>
      </c>
    </row>
    <row r="4302" spans="1:9" x14ac:dyDescent="0.25">
      <c r="A4302" s="6">
        <v>44440</v>
      </c>
      <c r="B4302" t="s">
        <v>26</v>
      </c>
      <c r="C4302">
        <v>67558</v>
      </c>
      <c r="D4302" t="s">
        <v>64</v>
      </c>
      <c r="E4302" s="7">
        <v>2472</v>
      </c>
      <c r="F4302" t="s">
        <v>20</v>
      </c>
      <c r="G4302" s="10" t="s">
        <v>21</v>
      </c>
      <c r="H4302" t="str">
        <f>"8586"</f>
        <v>8586</v>
      </c>
      <c r="I4302" t="str">
        <f>"DREWA DESIGNS  INC."</f>
        <v>DREWA DESIGNS  INC.</v>
      </c>
    </row>
    <row r="4303" spans="1:9" x14ac:dyDescent="0.25">
      <c r="A4303" s="6">
        <v>44440</v>
      </c>
      <c r="B4303" t="s">
        <v>26</v>
      </c>
      <c r="C4303">
        <v>67559</v>
      </c>
      <c r="D4303" t="s">
        <v>36</v>
      </c>
      <c r="E4303" s="7">
        <v>75</v>
      </c>
      <c r="F4303" t="s">
        <v>20</v>
      </c>
      <c r="G4303" s="10" t="s">
        <v>21</v>
      </c>
      <c r="H4303" t="str">
        <f>"09012021-COUNCIL"</f>
        <v>09012021-COUNCIL</v>
      </c>
      <c r="I4303" t="str">
        <f>""</f>
        <v/>
      </c>
    </row>
    <row r="4304" spans="1:9" x14ac:dyDescent="0.25">
      <c r="A4304" s="6">
        <v>44440</v>
      </c>
      <c r="B4304" t="s">
        <v>26</v>
      </c>
      <c r="C4304">
        <v>67560</v>
      </c>
      <c r="D4304" t="s">
        <v>38</v>
      </c>
      <c r="E4304" s="7">
        <v>100</v>
      </c>
      <c r="F4304" t="s">
        <v>20</v>
      </c>
      <c r="G4304" s="10" t="s">
        <v>21</v>
      </c>
      <c r="H4304" t="str">
        <f>"09012021-COUNCIL"</f>
        <v>09012021-COUNCIL</v>
      </c>
      <c r="I4304" t="str">
        <f>""</f>
        <v/>
      </c>
    </row>
    <row r="4305" spans="1:9" x14ac:dyDescent="0.25">
      <c r="A4305" s="6">
        <v>44440</v>
      </c>
      <c r="B4305" t="s">
        <v>26</v>
      </c>
      <c r="C4305">
        <v>67561</v>
      </c>
      <c r="D4305" t="s">
        <v>558</v>
      </c>
      <c r="E4305" s="7">
        <v>75</v>
      </c>
      <c r="F4305" t="s">
        <v>20</v>
      </c>
      <c r="G4305" s="10" t="s">
        <v>21</v>
      </c>
      <c r="H4305" t="str">
        <f>"09012021-COUNCIL"</f>
        <v>09012021-COUNCIL</v>
      </c>
      <c r="I4305" t="str">
        <f>"MONTHLY COUNCIL CHECKS"</f>
        <v>MONTHLY COUNCIL CHECKS</v>
      </c>
    </row>
    <row r="4306" spans="1:9" x14ac:dyDescent="0.25">
      <c r="A4306" s="6">
        <v>44440</v>
      </c>
      <c r="B4306" t="s">
        <v>26</v>
      </c>
      <c r="C4306">
        <v>67562</v>
      </c>
      <c r="D4306" t="s">
        <v>889</v>
      </c>
      <c r="E4306" s="7">
        <v>75</v>
      </c>
      <c r="F4306" t="s">
        <v>20</v>
      </c>
      <c r="G4306" s="10" t="s">
        <v>21</v>
      </c>
      <c r="H4306" t="str">
        <f>"09012021-COUNCIL"</f>
        <v>09012021-COUNCIL</v>
      </c>
      <c r="I4306" t="str">
        <f>""</f>
        <v/>
      </c>
    </row>
    <row r="4307" spans="1:9" x14ac:dyDescent="0.25">
      <c r="A4307" s="6">
        <v>44440</v>
      </c>
      <c r="B4307" t="s">
        <v>26</v>
      </c>
      <c r="C4307">
        <v>67563</v>
      </c>
      <c r="D4307" t="s">
        <v>1011</v>
      </c>
      <c r="E4307" s="7">
        <v>75</v>
      </c>
      <c r="F4307" t="s">
        <v>20</v>
      </c>
      <c r="G4307" s="10" t="s">
        <v>21</v>
      </c>
      <c r="H4307" t="str">
        <f>"09012021-COUNCIL"</f>
        <v>09012021-COUNCIL</v>
      </c>
      <c r="I4307" t="str">
        <f>""</f>
        <v/>
      </c>
    </row>
    <row r="4308" spans="1:9" x14ac:dyDescent="0.25">
      <c r="A4308" s="6">
        <v>44446</v>
      </c>
      <c r="B4308" t="s">
        <v>26</v>
      </c>
      <c r="C4308">
        <v>67571</v>
      </c>
      <c r="D4308" t="s">
        <v>51</v>
      </c>
      <c r="E4308" s="7">
        <v>346.31</v>
      </c>
      <c r="F4308" t="s">
        <v>20</v>
      </c>
      <c r="G4308" s="10" t="s">
        <v>21</v>
      </c>
      <c r="H4308" t="str">
        <f>"CLE202109078620"</f>
        <v>CLE202109078620</v>
      </c>
      <c r="I4308" t="str">
        <f>"CLEAT ONLY DUES"</f>
        <v>CLEAT ONLY DUES</v>
      </c>
    </row>
    <row r="4309" spans="1:9" x14ac:dyDescent="0.25">
      <c r="E4309" s="7"/>
      <c r="F4309" t="s">
        <v>20</v>
      </c>
      <c r="G4309" s="10" t="s">
        <v>21</v>
      </c>
      <c r="H4309" t="str">
        <f>"PDD202109078620"</f>
        <v>PDD202109078620</v>
      </c>
      <c r="I4309" t="str">
        <f>"POLICE OFFICERS ASSOC DUES"</f>
        <v>POLICE OFFICERS ASSOC DUES</v>
      </c>
    </row>
    <row r="4310" spans="1:9" x14ac:dyDescent="0.25">
      <c r="A4310" s="6">
        <v>44446</v>
      </c>
      <c r="B4310" t="s">
        <v>26</v>
      </c>
      <c r="C4310">
        <v>67572</v>
      </c>
      <c r="D4310" t="s">
        <v>52</v>
      </c>
      <c r="E4310" s="7">
        <v>926.54</v>
      </c>
      <c r="F4310" t="s">
        <v>20</v>
      </c>
      <c r="G4310" s="10" t="s">
        <v>21</v>
      </c>
      <c r="H4310" t="str">
        <f>"CA1202109078620"</f>
        <v>CA1202109078620</v>
      </c>
      <c r="I4310" t="str">
        <f>"K RAMIREZ 001200229510060343CV"</f>
        <v>K RAMIREZ 001200229510060343CV</v>
      </c>
    </row>
    <row r="4311" spans="1:9" x14ac:dyDescent="0.25">
      <c r="E4311" s="7"/>
      <c r="F4311" t="s">
        <v>20</v>
      </c>
      <c r="G4311" s="10" t="s">
        <v>21</v>
      </c>
      <c r="H4311" t="str">
        <f>"CA2202109078620"</f>
        <v>CA2202109078620</v>
      </c>
      <c r="I4311" t="str">
        <f>"L HERNANDEZ 001016025203080354"</f>
        <v>L HERNANDEZ 001016025203080354</v>
      </c>
    </row>
    <row r="4312" spans="1:9" x14ac:dyDescent="0.25">
      <c r="E4312" s="7"/>
      <c r="F4312" t="s">
        <v>20</v>
      </c>
      <c r="G4312" s="10" t="s">
        <v>21</v>
      </c>
      <c r="H4312" t="str">
        <f>"CA3202109078620"</f>
        <v>CA3202109078620</v>
      </c>
      <c r="I4312" t="str">
        <f>"00120788612011EM5023JOLENEGARC"</f>
        <v>00120788612011EM5023JOLENEGARC</v>
      </c>
    </row>
    <row r="4313" spans="1:9" x14ac:dyDescent="0.25">
      <c r="E4313" s="7"/>
      <c r="F4313" t="s">
        <v>20</v>
      </c>
      <c r="G4313" s="10" t="s">
        <v>21</v>
      </c>
      <c r="H4313" t="str">
        <f>"CSA202109078620"</f>
        <v>CSA202109078620</v>
      </c>
      <c r="I4313" t="str">
        <f>"S RODRIGUEZ 001281730413050336"</f>
        <v>S RODRIGUEZ 001281730413050336</v>
      </c>
    </row>
    <row r="4314" spans="1:9" x14ac:dyDescent="0.25">
      <c r="E4314" s="7"/>
      <c r="F4314" t="s">
        <v>20</v>
      </c>
      <c r="G4314" s="10" t="s">
        <v>21</v>
      </c>
      <c r="H4314" t="str">
        <f>"CSI202109078620"</f>
        <v>CSI202109078620</v>
      </c>
      <c r="I4314" t="str">
        <f>"KTRINIDAD0014071774CVW2000777"</f>
        <v>KTRINIDAD0014071774CVW2000777</v>
      </c>
    </row>
    <row r="4315" spans="1:9" x14ac:dyDescent="0.25">
      <c r="A4315" s="6">
        <v>44446</v>
      </c>
      <c r="B4315" t="s">
        <v>26</v>
      </c>
      <c r="C4315">
        <v>67573</v>
      </c>
      <c r="D4315" t="s">
        <v>54</v>
      </c>
      <c r="E4315" s="7">
        <v>1083.6500000000001</v>
      </c>
      <c r="F4315" t="s">
        <v>20</v>
      </c>
      <c r="G4315" s="10" t="s">
        <v>21</v>
      </c>
      <c r="H4315" t="str">
        <f>"BRE202109078620"</f>
        <v>BRE202109078620</v>
      </c>
      <c r="I4315" t="str">
        <f>"CASE #180-60751 457B DEDUCT"</f>
        <v>CASE #180-60751 457B DEDUCT</v>
      </c>
    </row>
    <row r="4316" spans="1:9" x14ac:dyDescent="0.25">
      <c r="A4316" s="6">
        <v>44447</v>
      </c>
      <c r="B4316" t="s">
        <v>26</v>
      </c>
      <c r="C4316">
        <v>67574</v>
      </c>
      <c r="D4316" t="s">
        <v>83</v>
      </c>
      <c r="E4316" s="7">
        <v>1080</v>
      </c>
      <c r="F4316" t="s">
        <v>20</v>
      </c>
      <c r="G4316" s="10" t="s">
        <v>21</v>
      </c>
      <c r="H4316" t="str">
        <f>"1709972"</f>
        <v>1709972</v>
      </c>
      <c r="I4316" t="str">
        <f>"APPRIVER"</f>
        <v>APPRIVER</v>
      </c>
    </row>
    <row r="4317" spans="1:9" x14ac:dyDescent="0.25">
      <c r="A4317" s="6">
        <v>44447</v>
      </c>
      <c r="B4317" t="s">
        <v>26</v>
      </c>
      <c r="C4317">
        <v>67575</v>
      </c>
      <c r="D4317" t="s">
        <v>1105</v>
      </c>
      <c r="E4317" s="7">
        <v>9269.52</v>
      </c>
      <c r="F4317" t="s">
        <v>20</v>
      </c>
      <c r="G4317" s="10" t="s">
        <v>21</v>
      </c>
      <c r="H4317" t="str">
        <f>"117163567"</f>
        <v>117163567</v>
      </c>
      <c r="I4317" t="str">
        <f>"JOHN DEERE Z930M ZTrak"</f>
        <v>JOHN DEERE Z930M ZTrak</v>
      </c>
    </row>
    <row r="4318" spans="1:9" x14ac:dyDescent="0.25">
      <c r="A4318" s="6">
        <v>44447</v>
      </c>
      <c r="B4318" t="s">
        <v>26</v>
      </c>
      <c r="C4318">
        <v>67576</v>
      </c>
      <c r="D4318" t="s">
        <v>739</v>
      </c>
      <c r="E4318" s="7">
        <v>1531.01</v>
      </c>
      <c r="F4318" t="s">
        <v>20</v>
      </c>
      <c r="G4318" s="10" t="s">
        <v>21</v>
      </c>
      <c r="H4318" t="str">
        <f>"5286X08272021"</f>
        <v>5286X08272021</v>
      </c>
      <c r="I4318" t="str">
        <f>"FIRSTNET/AT&amp;T MOBILITY LLC"</f>
        <v>FIRSTNET/AT&amp;T MOBILITY LLC</v>
      </c>
    </row>
    <row r="4319" spans="1:9" x14ac:dyDescent="0.25">
      <c r="A4319" s="6">
        <v>44447</v>
      </c>
      <c r="B4319" t="s">
        <v>26</v>
      </c>
      <c r="C4319">
        <v>67577</v>
      </c>
      <c r="D4319" t="s">
        <v>85</v>
      </c>
      <c r="E4319" s="7">
        <v>1610.37</v>
      </c>
      <c r="F4319" t="s">
        <v>20</v>
      </c>
      <c r="G4319" s="10" t="s">
        <v>21</v>
      </c>
      <c r="H4319" t="str">
        <f>"2162691 AUG.2021"</f>
        <v>2162691 AUG.2021</v>
      </c>
      <c r="I4319" t="str">
        <f>"FRONTIER"</f>
        <v>FRONTIER</v>
      </c>
    </row>
    <row r="4320" spans="1:9" x14ac:dyDescent="0.25">
      <c r="E4320" s="7"/>
      <c r="F4320" t="s">
        <v>20</v>
      </c>
      <c r="G4320" s="10" t="s">
        <v>21</v>
      </c>
      <c r="H4320" t="str">
        <f>"3933718 AUG.2021"</f>
        <v>3933718 AUG.2021</v>
      </c>
      <c r="I4320" t="str">
        <f>"FRONTIER"</f>
        <v>FRONTIER</v>
      </c>
    </row>
    <row r="4321" spans="1:9" x14ac:dyDescent="0.25">
      <c r="E4321" s="7"/>
      <c r="F4321" t="s">
        <v>20</v>
      </c>
      <c r="G4321" s="10" t="s">
        <v>21</v>
      </c>
      <c r="H4321" t="str">
        <f>"3937070 SRPT.2021"</f>
        <v>3937070 SRPT.2021</v>
      </c>
      <c r="I4321" t="str">
        <f>"FRONTIER"</f>
        <v>FRONTIER</v>
      </c>
    </row>
    <row r="4322" spans="1:9" x14ac:dyDescent="0.25">
      <c r="E4322" s="7"/>
      <c r="F4322" t="s">
        <v>20</v>
      </c>
      <c r="G4322" s="10" t="s">
        <v>21</v>
      </c>
      <c r="H4322" t="str">
        <f>"8301970046 8/2021"</f>
        <v>8301970046 8/2021</v>
      </c>
      <c r="I4322" t="str">
        <f>"FRONTIER"</f>
        <v>FRONTIER</v>
      </c>
    </row>
    <row r="4323" spans="1:9" x14ac:dyDescent="0.25">
      <c r="A4323" s="6">
        <v>44447</v>
      </c>
      <c r="B4323" t="s">
        <v>26</v>
      </c>
      <c r="C4323">
        <v>67578</v>
      </c>
      <c r="D4323" t="s">
        <v>1106</v>
      </c>
      <c r="E4323" s="7">
        <v>60</v>
      </c>
      <c r="F4323" t="s">
        <v>20</v>
      </c>
      <c r="G4323" s="10" t="s">
        <v>21</v>
      </c>
      <c r="H4323" t="str">
        <f>"9/4/2021"</f>
        <v>9/4/2021</v>
      </c>
      <c r="I4323" t="str">
        <f>"GABBY PEREZ"</f>
        <v>GABBY PEREZ</v>
      </c>
    </row>
    <row r="4324" spans="1:9" x14ac:dyDescent="0.25">
      <c r="A4324" s="6">
        <v>44447</v>
      </c>
      <c r="B4324" t="s">
        <v>26</v>
      </c>
      <c r="C4324">
        <v>67579</v>
      </c>
      <c r="D4324" t="s">
        <v>56</v>
      </c>
      <c r="E4324" s="7">
        <v>142</v>
      </c>
      <c r="F4324" t="s">
        <v>20</v>
      </c>
      <c r="G4324" s="10" t="s">
        <v>21</v>
      </c>
      <c r="H4324" t="str">
        <f>"195106"</f>
        <v>195106</v>
      </c>
      <c r="I4324" t="str">
        <f>"WWTP SUPPLIES"</f>
        <v>WWTP SUPPLIES</v>
      </c>
    </row>
    <row r="4325" spans="1:9" x14ac:dyDescent="0.25">
      <c r="A4325" s="6">
        <v>44447</v>
      </c>
      <c r="B4325" t="s">
        <v>26</v>
      </c>
      <c r="C4325">
        <v>67580</v>
      </c>
      <c r="D4325" t="s">
        <v>1107</v>
      </c>
      <c r="E4325" s="7">
        <v>170</v>
      </c>
      <c r="F4325" t="s">
        <v>20</v>
      </c>
      <c r="G4325" s="10" t="s">
        <v>21</v>
      </c>
      <c r="H4325" t="str">
        <f>"2056014 REISSUE"</f>
        <v>2056014 REISSUE</v>
      </c>
      <c r="I4325" t="str">
        <f>"GOVERNMENT FINANCE OFFICERS AS"</f>
        <v>GOVERNMENT FINANCE OFFICERS AS</v>
      </c>
    </row>
    <row r="4326" spans="1:9" x14ac:dyDescent="0.25">
      <c r="A4326" s="6">
        <v>44447</v>
      </c>
      <c r="B4326" t="s">
        <v>26</v>
      </c>
      <c r="C4326">
        <v>67581</v>
      </c>
      <c r="D4326" t="s">
        <v>1108</v>
      </c>
      <c r="E4326" s="7">
        <v>150</v>
      </c>
      <c r="F4326" t="s">
        <v>20</v>
      </c>
      <c r="G4326" s="10" t="s">
        <v>21</v>
      </c>
      <c r="H4326" t="str">
        <f>"DEP. REFUND 9/4/20"</f>
        <v>DEP. REFUND 9/4/20</v>
      </c>
      <c r="I4326" t="str">
        <f>"REFUND"</f>
        <v>REFUND</v>
      </c>
    </row>
    <row r="4327" spans="1:9" x14ac:dyDescent="0.25">
      <c r="A4327" s="6">
        <v>44447</v>
      </c>
      <c r="B4327" t="s">
        <v>26</v>
      </c>
      <c r="C4327">
        <v>67582</v>
      </c>
      <c r="D4327" t="s">
        <v>328</v>
      </c>
      <c r="E4327" s="7">
        <v>2450</v>
      </c>
      <c r="F4327" t="s">
        <v>20</v>
      </c>
      <c r="G4327" s="10" t="s">
        <v>21</v>
      </c>
      <c r="H4327" t="str">
        <f>"7020807"</f>
        <v>7020807</v>
      </c>
      <c r="I4327" t="str">
        <f>"KOLOGIK"</f>
        <v>KOLOGIK</v>
      </c>
    </row>
    <row r="4328" spans="1:9" x14ac:dyDescent="0.25">
      <c r="E4328" s="7"/>
      <c r="F4328" t="s">
        <v>20</v>
      </c>
      <c r="G4328" s="10" t="s">
        <v>21</v>
      </c>
      <c r="H4328" t="str">
        <f>"7020808"</f>
        <v>7020808</v>
      </c>
      <c r="I4328" t="str">
        <f>"KOLOGIK"</f>
        <v>KOLOGIK</v>
      </c>
    </row>
    <row r="4329" spans="1:9" x14ac:dyDescent="0.25">
      <c r="A4329" s="6">
        <v>44447</v>
      </c>
      <c r="B4329" t="s">
        <v>26</v>
      </c>
      <c r="C4329">
        <v>67583</v>
      </c>
      <c r="D4329" t="s">
        <v>105</v>
      </c>
      <c r="E4329" s="7">
        <v>21.5</v>
      </c>
      <c r="F4329" t="s">
        <v>20</v>
      </c>
      <c r="G4329" s="10" t="s">
        <v>21</v>
      </c>
      <c r="H4329" t="str">
        <f>"396419"</f>
        <v>396419</v>
      </c>
      <c r="I4329" t="str">
        <f>"INSPECTION"</f>
        <v>INSPECTION</v>
      </c>
    </row>
    <row r="4330" spans="1:9" x14ac:dyDescent="0.25">
      <c r="E4330" s="7"/>
      <c r="F4330" t="s">
        <v>20</v>
      </c>
      <c r="G4330" s="10" t="s">
        <v>21</v>
      </c>
      <c r="H4330" t="str">
        <f>"396988"</f>
        <v>396988</v>
      </c>
      <c r="I4330" t="str">
        <f>"INSPECTION STICKERS"</f>
        <v>INSPECTION STICKERS</v>
      </c>
    </row>
    <row r="4331" spans="1:9" x14ac:dyDescent="0.25">
      <c r="E4331" s="7"/>
      <c r="F4331" t="s">
        <v>20</v>
      </c>
      <c r="G4331" s="10" t="s">
        <v>21</v>
      </c>
      <c r="H4331" t="str">
        <f>"397295"</f>
        <v>397295</v>
      </c>
      <c r="I4331" t="str">
        <f>"INSPECTION STICKERS"</f>
        <v>INSPECTION STICKERS</v>
      </c>
    </row>
    <row r="4332" spans="1:9" x14ac:dyDescent="0.25">
      <c r="A4332" s="6">
        <v>44447</v>
      </c>
      <c r="B4332" t="s">
        <v>26</v>
      </c>
      <c r="C4332">
        <v>67584</v>
      </c>
      <c r="D4332" t="s">
        <v>1109</v>
      </c>
      <c r="E4332" s="7">
        <v>8129</v>
      </c>
      <c r="F4332" t="s">
        <v>20</v>
      </c>
      <c r="G4332" s="10" t="s">
        <v>21</v>
      </c>
      <c r="H4332" t="str">
        <f>"INV-1020-455"</f>
        <v>INV-1020-455</v>
      </c>
      <c r="I4332" t="str">
        <f>"MANLEY SOLUTIONS  INC"</f>
        <v>MANLEY SOLUTIONS  INC</v>
      </c>
    </row>
    <row r="4333" spans="1:9" x14ac:dyDescent="0.25">
      <c r="A4333" s="6">
        <v>44447</v>
      </c>
      <c r="B4333" t="s">
        <v>26</v>
      </c>
      <c r="C4333">
        <v>67585</v>
      </c>
      <c r="D4333" t="s">
        <v>345</v>
      </c>
      <c r="E4333" s="7">
        <v>308</v>
      </c>
      <c r="F4333" t="s">
        <v>20</v>
      </c>
      <c r="G4333" s="10" t="s">
        <v>21</v>
      </c>
      <c r="H4333" t="str">
        <f>"9/6/2021"</f>
        <v>9/6/2021</v>
      </c>
      <c r="I4333" t="str">
        <f>"MICHAEL ISAAC MARTINEZ"</f>
        <v>MICHAEL ISAAC MARTINEZ</v>
      </c>
    </row>
    <row r="4334" spans="1:9" x14ac:dyDescent="0.25">
      <c r="A4334" s="6">
        <v>44447</v>
      </c>
      <c r="B4334" t="s">
        <v>26</v>
      </c>
      <c r="C4334">
        <v>67586</v>
      </c>
      <c r="D4334" t="s">
        <v>978</v>
      </c>
      <c r="E4334" s="7">
        <v>1500</v>
      </c>
      <c r="F4334" t="s">
        <v>20</v>
      </c>
      <c r="G4334" s="10" t="s">
        <v>21</v>
      </c>
      <c r="H4334" t="str">
        <f>"557-2020"</f>
        <v>557-2020</v>
      </c>
      <c r="I4334" t="str">
        <f>"SPECIALIZED PUBLIC FINANCE INC"</f>
        <v>SPECIALIZED PUBLIC FINANCE INC</v>
      </c>
    </row>
    <row r="4335" spans="1:9" x14ac:dyDescent="0.25">
      <c r="A4335" s="6">
        <v>44447</v>
      </c>
      <c r="B4335" t="s">
        <v>26</v>
      </c>
      <c r="C4335">
        <v>67587</v>
      </c>
      <c r="D4335" t="s">
        <v>1110</v>
      </c>
      <c r="E4335" s="7">
        <v>12200</v>
      </c>
      <c r="F4335" t="s">
        <v>20</v>
      </c>
      <c r="G4335" s="10" t="s">
        <v>21</v>
      </c>
      <c r="H4335" t="str">
        <f>"84018"</f>
        <v>84018</v>
      </c>
      <c r="I4335" t="str">
        <f>"TRC"</f>
        <v>TRC</v>
      </c>
    </row>
    <row r="4336" spans="1:9" x14ac:dyDescent="0.25">
      <c r="E4336" s="7"/>
      <c r="F4336" t="s">
        <v>20</v>
      </c>
      <c r="G4336" s="10" t="s">
        <v>21</v>
      </c>
      <c r="H4336" t="str">
        <f>"84870"</f>
        <v>84870</v>
      </c>
      <c r="I4336" t="str">
        <f>"TRC"</f>
        <v>TRC</v>
      </c>
    </row>
    <row r="4337" spans="1:9" x14ac:dyDescent="0.25">
      <c r="A4337" s="6">
        <v>44447</v>
      </c>
      <c r="B4337" t="s">
        <v>26</v>
      </c>
      <c r="C4337">
        <v>67588</v>
      </c>
      <c r="D4337" t="s">
        <v>203</v>
      </c>
      <c r="E4337" s="7">
        <v>140.31</v>
      </c>
      <c r="F4337" t="s">
        <v>20</v>
      </c>
      <c r="G4337" s="10" t="s">
        <v>21</v>
      </c>
      <c r="H4337" t="str">
        <f>"234159*1"</f>
        <v>234159*1</v>
      </c>
      <c r="I4337" t="str">
        <f>"USA BLUEBOOK"</f>
        <v>USA BLUEBOOK</v>
      </c>
    </row>
    <row r="4338" spans="1:9" x14ac:dyDescent="0.25">
      <c r="E4338" s="7"/>
      <c r="F4338" t="s">
        <v>20</v>
      </c>
      <c r="G4338" s="10" t="s">
        <v>21</v>
      </c>
      <c r="H4338" t="str">
        <f>"235471"</f>
        <v>235471</v>
      </c>
      <c r="I4338" t="str">
        <f>"USA BLUEBOOK"</f>
        <v>USA BLUEBOOK</v>
      </c>
    </row>
    <row r="4339" spans="1:9" x14ac:dyDescent="0.25">
      <c r="E4339" s="7"/>
      <c r="F4339" t="s">
        <v>20</v>
      </c>
      <c r="G4339" s="10" t="s">
        <v>21</v>
      </c>
      <c r="H4339" t="str">
        <f>"577940*1"</f>
        <v>577940*1</v>
      </c>
      <c r="I4339" t="str">
        <f>"USA BLUEBOOK"</f>
        <v>USA BLUEBOOK</v>
      </c>
    </row>
    <row r="4340" spans="1:9" x14ac:dyDescent="0.25">
      <c r="A4340" s="6">
        <v>44447</v>
      </c>
      <c r="B4340" t="s">
        <v>26</v>
      </c>
      <c r="C4340">
        <v>67589</v>
      </c>
      <c r="D4340" t="s">
        <v>1111</v>
      </c>
      <c r="E4340" s="7">
        <v>50</v>
      </c>
      <c r="F4340" t="s">
        <v>20</v>
      </c>
      <c r="G4340" s="10" t="s">
        <v>21</v>
      </c>
      <c r="H4340" t="str">
        <f>"DEP.REFND 9/4/21"</f>
        <v>DEP.REFND 9/4/21</v>
      </c>
      <c r="I4340" t="str">
        <f>"REFUND"</f>
        <v>REFUND</v>
      </c>
    </row>
    <row r="4341" spans="1:9" x14ac:dyDescent="0.25">
      <c r="A4341" s="6">
        <v>44447</v>
      </c>
      <c r="B4341" t="s">
        <v>26</v>
      </c>
      <c r="C4341">
        <v>67590</v>
      </c>
      <c r="D4341" t="s">
        <v>1112</v>
      </c>
      <c r="E4341" s="7">
        <v>50</v>
      </c>
      <c r="F4341" t="s">
        <v>20</v>
      </c>
      <c r="G4341" s="10" t="s">
        <v>21</v>
      </c>
      <c r="H4341" t="str">
        <f>"DEP.REFUND9/4/2021"</f>
        <v>DEP.REFUND9/4/2021</v>
      </c>
      <c r="I4341" t="str">
        <f>"REFUND"</f>
        <v>REFUND</v>
      </c>
    </row>
    <row r="4342" spans="1:9" x14ac:dyDescent="0.25">
      <c r="A4342" s="6">
        <v>44448</v>
      </c>
      <c r="B4342" t="s">
        <v>26</v>
      </c>
      <c r="C4342">
        <v>67591</v>
      </c>
      <c r="D4342" t="s">
        <v>343</v>
      </c>
      <c r="E4342" s="7">
        <v>10000</v>
      </c>
      <c r="F4342" t="s">
        <v>20</v>
      </c>
      <c r="G4342" s="10" t="s">
        <v>21</v>
      </c>
      <c r="H4342" t="str">
        <f>"OCTOBER 2021"</f>
        <v>OCTOBER 2021</v>
      </c>
      <c r="I4342" t="str">
        <f>"FLORESVILLE PEANUT FESTIVAL AS"</f>
        <v>FLORESVILLE PEANUT FESTIVAL AS</v>
      </c>
    </row>
    <row r="4343" spans="1:9" x14ac:dyDescent="0.25">
      <c r="A4343" s="6">
        <v>44448</v>
      </c>
      <c r="B4343" t="s">
        <v>26</v>
      </c>
      <c r="C4343">
        <v>67592</v>
      </c>
      <c r="D4343" t="s">
        <v>31</v>
      </c>
      <c r="E4343" s="7">
        <v>2000</v>
      </c>
      <c r="F4343" t="s">
        <v>20</v>
      </c>
      <c r="G4343" s="10" t="s">
        <v>21</v>
      </c>
      <c r="H4343" t="str">
        <f>"2021276"</f>
        <v>2021276</v>
      </c>
      <c r="I4343" t="str">
        <f>"THE LAW OFFICE OF TOM CALDWELL"</f>
        <v>THE LAW OFFICE OF TOM CALDWELL</v>
      </c>
    </row>
    <row r="4344" spans="1:9" x14ac:dyDescent="0.25">
      <c r="A4344" s="6">
        <v>44454</v>
      </c>
      <c r="B4344" t="s">
        <v>26</v>
      </c>
      <c r="C4344">
        <v>67593</v>
      </c>
      <c r="D4344" t="s">
        <v>188</v>
      </c>
      <c r="E4344" s="7">
        <v>208.96</v>
      </c>
      <c r="F4344" t="s">
        <v>20</v>
      </c>
      <c r="G4344" s="10" t="s">
        <v>21</v>
      </c>
      <c r="H4344" t="str">
        <f>"101454"</f>
        <v>101454</v>
      </c>
      <c r="I4344" t="str">
        <f>"HOSE FOR STREET LOADER"</f>
        <v>HOSE FOR STREET LOADER</v>
      </c>
    </row>
    <row r="4345" spans="1:9" x14ac:dyDescent="0.25">
      <c r="A4345" s="6">
        <v>44454</v>
      </c>
      <c r="B4345" t="s">
        <v>26</v>
      </c>
      <c r="C4345">
        <v>67594</v>
      </c>
      <c r="D4345" t="s">
        <v>1074</v>
      </c>
      <c r="E4345" s="7">
        <v>1446.51</v>
      </c>
      <c r="F4345" t="s">
        <v>20</v>
      </c>
      <c r="G4345" s="10" t="s">
        <v>21</v>
      </c>
      <c r="H4345" t="str">
        <f>"16QD-JY7F-C6FD"</f>
        <v>16QD-JY7F-C6FD</v>
      </c>
      <c r="I4345" t="str">
        <f>"SANITIZING SUPPLIES"</f>
        <v>SANITIZING SUPPLIES</v>
      </c>
    </row>
    <row r="4346" spans="1:9" x14ac:dyDescent="0.25">
      <c r="E4346" s="7"/>
      <c r="F4346" t="s">
        <v>20</v>
      </c>
      <c r="G4346" s="10" t="s">
        <v>21</v>
      </c>
      <c r="H4346" t="str">
        <f>"16QT-XLRJ-96RK"</f>
        <v>16QT-XLRJ-96RK</v>
      </c>
      <c r="I4346" t="str">
        <f>"CHAIR STACKING DOLLY"</f>
        <v>CHAIR STACKING DOLLY</v>
      </c>
    </row>
    <row r="4347" spans="1:9" x14ac:dyDescent="0.25">
      <c r="E4347" s="7"/>
      <c r="F4347" t="s">
        <v>20</v>
      </c>
      <c r="G4347" s="10" t="s">
        <v>21</v>
      </c>
      <c r="H4347" t="str">
        <f>"19XQ-11X7-9X7K"</f>
        <v>19XQ-11X7-9X7K</v>
      </c>
      <c r="I4347" t="str">
        <f>"CHARGE SPLITTER VEHICLE"</f>
        <v>CHARGE SPLITTER VEHICLE</v>
      </c>
    </row>
    <row r="4348" spans="1:9" x14ac:dyDescent="0.25">
      <c r="E4348" s="7"/>
      <c r="F4348" t="s">
        <v>20</v>
      </c>
      <c r="G4348" s="10" t="s">
        <v>21</v>
      </c>
      <c r="H4348" t="str">
        <f>"1CLX-DXJK-CQP9"</f>
        <v>1CLX-DXJK-CQP9</v>
      </c>
      <c r="I4348" t="str">
        <f>"KEYBOARD AND MOUSE"</f>
        <v>KEYBOARD AND MOUSE</v>
      </c>
    </row>
    <row r="4349" spans="1:9" x14ac:dyDescent="0.25">
      <c r="E4349" s="7"/>
      <c r="F4349" t="s">
        <v>20</v>
      </c>
      <c r="G4349" s="10" t="s">
        <v>21</v>
      </c>
      <c r="H4349" t="str">
        <f>"1X9L-P9V4-3QMR"</f>
        <v>1X9L-P9V4-3QMR</v>
      </c>
      <c r="I4349" t="str">
        <f>"AMAZON CAPITAL SERVICES"</f>
        <v>AMAZON CAPITAL SERVICES</v>
      </c>
    </row>
    <row r="4350" spans="1:9" x14ac:dyDescent="0.25">
      <c r="A4350" s="6">
        <v>44454</v>
      </c>
      <c r="B4350" t="s">
        <v>26</v>
      </c>
      <c r="C4350">
        <v>67595</v>
      </c>
      <c r="D4350" t="s">
        <v>139</v>
      </c>
      <c r="E4350" s="7">
        <v>65</v>
      </c>
      <c r="F4350" t="s">
        <v>20</v>
      </c>
      <c r="G4350" s="10" t="s">
        <v>21</v>
      </c>
      <c r="H4350" t="str">
        <f>"33266"</f>
        <v>33266</v>
      </c>
      <c r="I4350" t="str">
        <f>"ANGEL FIRE &amp; SAFETY"</f>
        <v>ANGEL FIRE &amp; SAFETY</v>
      </c>
    </row>
    <row r="4351" spans="1:9" x14ac:dyDescent="0.25">
      <c r="A4351" s="6">
        <v>44454</v>
      </c>
      <c r="B4351" t="s">
        <v>26</v>
      </c>
      <c r="C4351">
        <v>67596</v>
      </c>
      <c r="D4351" t="s">
        <v>195</v>
      </c>
      <c r="E4351" s="7">
        <v>1755.43</v>
      </c>
      <c r="F4351" t="s">
        <v>20</v>
      </c>
      <c r="G4351" s="10" t="s">
        <v>21</v>
      </c>
      <c r="H4351" t="str">
        <f>"INV-AIS-0003655"</f>
        <v>INV-AIS-0003655</v>
      </c>
      <c r="I4351" t="str">
        <f>"ARISTA INFORMATION SYSTEMS  IN"</f>
        <v>ARISTA INFORMATION SYSTEMS  IN</v>
      </c>
    </row>
    <row r="4352" spans="1:9" x14ac:dyDescent="0.25">
      <c r="A4352" s="6">
        <v>44454</v>
      </c>
      <c r="B4352" t="s">
        <v>26</v>
      </c>
      <c r="C4352">
        <v>67597</v>
      </c>
      <c r="D4352" t="s">
        <v>781</v>
      </c>
      <c r="E4352" s="7">
        <v>60</v>
      </c>
      <c r="F4352" t="s">
        <v>20</v>
      </c>
      <c r="G4352" s="10" t="s">
        <v>21</v>
      </c>
      <c r="H4352" t="str">
        <f>"9/11/2021"</f>
        <v>9/11/2021</v>
      </c>
      <c r="I4352" t="str">
        <f>"ASHLEY MARTINEZ"</f>
        <v>ASHLEY MARTINEZ</v>
      </c>
    </row>
    <row r="4353" spans="1:9" x14ac:dyDescent="0.25">
      <c r="A4353" s="6">
        <v>44454</v>
      </c>
      <c r="B4353" t="s">
        <v>26</v>
      </c>
      <c r="C4353">
        <v>67598</v>
      </c>
      <c r="D4353" t="s">
        <v>836</v>
      </c>
      <c r="E4353" s="7">
        <v>5493.28</v>
      </c>
      <c r="F4353" t="s">
        <v>20</v>
      </c>
      <c r="G4353" s="10" t="s">
        <v>21</v>
      </c>
      <c r="H4353" t="str">
        <f>"77853"</f>
        <v>77853</v>
      </c>
      <c r="I4353" t="str">
        <f>"BARCOM TECHNOLOGY SOLUTIONS  I"</f>
        <v>BARCOM TECHNOLOGY SOLUTIONS  I</v>
      </c>
    </row>
    <row r="4354" spans="1:9" x14ac:dyDescent="0.25">
      <c r="E4354" s="7"/>
      <c r="F4354" t="s">
        <v>20</v>
      </c>
      <c r="G4354" s="10" t="s">
        <v>21</v>
      </c>
      <c r="H4354" t="str">
        <f>"77854"</f>
        <v>77854</v>
      </c>
      <c r="I4354" t="str">
        <f>"BARCOM TECHNOLOGY SOLUTIONS  I"</f>
        <v>BARCOM TECHNOLOGY SOLUTIONS  I</v>
      </c>
    </row>
    <row r="4355" spans="1:9" x14ac:dyDescent="0.25">
      <c r="A4355" s="6">
        <v>44454</v>
      </c>
      <c r="B4355" t="s">
        <v>26</v>
      </c>
      <c r="C4355">
        <v>67600</v>
      </c>
      <c r="D4355" t="s">
        <v>1063</v>
      </c>
      <c r="E4355" s="7">
        <v>3348</v>
      </c>
      <c r="F4355" t="s">
        <v>20</v>
      </c>
      <c r="G4355" s="10" t="s">
        <v>21</v>
      </c>
      <c r="H4355" t="str">
        <f>"18025895"</f>
        <v>18025895</v>
      </c>
      <c r="I4355" t="str">
        <f>"PALLET OF ASPHALT"</f>
        <v>PALLET OF ASPHALT</v>
      </c>
    </row>
    <row r="4356" spans="1:9" x14ac:dyDescent="0.25">
      <c r="A4356" s="6">
        <v>44454</v>
      </c>
      <c r="B4356" t="s">
        <v>26</v>
      </c>
      <c r="C4356">
        <v>67601</v>
      </c>
      <c r="D4356" t="s">
        <v>1053</v>
      </c>
      <c r="E4356" s="7">
        <v>546.4</v>
      </c>
      <c r="F4356" t="s">
        <v>20</v>
      </c>
      <c r="G4356" s="10" t="s">
        <v>21</v>
      </c>
      <c r="H4356" t="str">
        <f>"RA134001005:01"</f>
        <v>RA134001005:01</v>
      </c>
      <c r="I4356" t="str">
        <f>"BRUCKNER'S TRUCK &amp; EQUIPMENT"</f>
        <v>BRUCKNER'S TRUCK &amp; EQUIPMENT</v>
      </c>
    </row>
    <row r="4357" spans="1:9" x14ac:dyDescent="0.25">
      <c r="E4357" s="7"/>
      <c r="F4357" t="s">
        <v>20</v>
      </c>
      <c r="G4357" s="10" t="s">
        <v>21</v>
      </c>
      <c r="H4357" t="str">
        <f>"XA134011205:01"</f>
        <v>XA134011205:01</v>
      </c>
      <c r="I4357" t="str">
        <f>"FUEL FILTERS AND OIL"</f>
        <v>FUEL FILTERS AND OIL</v>
      </c>
    </row>
    <row r="4358" spans="1:9" x14ac:dyDescent="0.25">
      <c r="A4358" s="6">
        <v>44454</v>
      </c>
      <c r="B4358" t="s">
        <v>26</v>
      </c>
      <c r="C4358">
        <v>67602</v>
      </c>
      <c r="D4358" t="s">
        <v>63</v>
      </c>
      <c r="E4358" s="7">
        <v>537.08000000000004</v>
      </c>
      <c r="F4358" t="s">
        <v>20</v>
      </c>
      <c r="G4358" s="10" t="s">
        <v>21</v>
      </c>
      <c r="H4358" t="str">
        <f>"8405290389"</f>
        <v>8405290389</v>
      </c>
      <c r="I4358" t="str">
        <f>"CINTAS CORPORATION"</f>
        <v>CINTAS CORPORATION</v>
      </c>
    </row>
    <row r="4359" spans="1:9" x14ac:dyDescent="0.25">
      <c r="A4359" s="6">
        <v>44454</v>
      </c>
      <c r="B4359" t="s">
        <v>26</v>
      </c>
      <c r="C4359">
        <v>67603</v>
      </c>
      <c r="D4359" t="s">
        <v>71</v>
      </c>
      <c r="E4359" s="7">
        <v>2242.67</v>
      </c>
      <c r="F4359" t="s">
        <v>20</v>
      </c>
      <c r="G4359" s="10" t="s">
        <v>21</v>
      </c>
      <c r="H4359" t="str">
        <f>"4094285873"</f>
        <v>4094285873</v>
      </c>
      <c r="I4359" t="str">
        <f t="shared" ref="I4359:I4371" si="95">"CINTAS CORPORATION #087"</f>
        <v>CINTAS CORPORATION #087</v>
      </c>
    </row>
    <row r="4360" spans="1:9" x14ac:dyDescent="0.25">
      <c r="E4360" s="7"/>
      <c r="F4360" t="s">
        <v>20</v>
      </c>
      <c r="G4360" s="10" t="s">
        <v>21</v>
      </c>
      <c r="H4360" t="str">
        <f>"4094285893"</f>
        <v>4094285893</v>
      </c>
      <c r="I4360" t="str">
        <f t="shared" si="95"/>
        <v>CINTAS CORPORATION #087</v>
      </c>
    </row>
    <row r="4361" spans="1:9" x14ac:dyDescent="0.25">
      <c r="E4361" s="7"/>
      <c r="F4361" t="s">
        <v>20</v>
      </c>
      <c r="G4361" s="10" t="s">
        <v>21</v>
      </c>
      <c r="H4361" t="str">
        <f>"4094285897"</f>
        <v>4094285897</v>
      </c>
      <c r="I4361" t="str">
        <f t="shared" si="95"/>
        <v>CINTAS CORPORATION #087</v>
      </c>
    </row>
    <row r="4362" spans="1:9" x14ac:dyDescent="0.25">
      <c r="E4362" s="7"/>
      <c r="F4362" t="s">
        <v>20</v>
      </c>
      <c r="G4362" s="10" t="s">
        <v>21</v>
      </c>
      <c r="H4362" t="str">
        <f>"4094285902"</f>
        <v>4094285902</v>
      </c>
      <c r="I4362" t="str">
        <f t="shared" si="95"/>
        <v>CINTAS CORPORATION #087</v>
      </c>
    </row>
    <row r="4363" spans="1:9" x14ac:dyDescent="0.25">
      <c r="E4363" s="7"/>
      <c r="F4363" t="s">
        <v>20</v>
      </c>
      <c r="G4363" s="10" t="s">
        <v>21</v>
      </c>
      <c r="H4363" t="str">
        <f>"4094285905"</f>
        <v>4094285905</v>
      </c>
      <c r="I4363" t="str">
        <f t="shared" si="95"/>
        <v>CINTAS CORPORATION #087</v>
      </c>
    </row>
    <row r="4364" spans="1:9" x14ac:dyDescent="0.25">
      <c r="E4364" s="7"/>
      <c r="F4364" t="s">
        <v>20</v>
      </c>
      <c r="G4364" s="10" t="s">
        <v>21</v>
      </c>
      <c r="H4364" t="str">
        <f>"4094286084"</f>
        <v>4094286084</v>
      </c>
      <c r="I4364" t="str">
        <f t="shared" si="95"/>
        <v>CINTAS CORPORATION #087</v>
      </c>
    </row>
    <row r="4365" spans="1:9" x14ac:dyDescent="0.25">
      <c r="E4365" s="7"/>
      <c r="F4365" t="s">
        <v>20</v>
      </c>
      <c r="G4365" s="10" t="s">
        <v>21</v>
      </c>
      <c r="H4365" t="str">
        <f>"4095078537"</f>
        <v>4095078537</v>
      </c>
      <c r="I4365" t="str">
        <f t="shared" si="95"/>
        <v>CINTAS CORPORATION #087</v>
      </c>
    </row>
    <row r="4366" spans="1:9" x14ac:dyDescent="0.25">
      <c r="E4366" s="7"/>
      <c r="F4366" t="s">
        <v>20</v>
      </c>
      <c r="G4366" s="10" t="s">
        <v>21</v>
      </c>
      <c r="H4366" t="str">
        <f>"4095078541"</f>
        <v>4095078541</v>
      </c>
      <c r="I4366" t="str">
        <f t="shared" si="95"/>
        <v>CINTAS CORPORATION #087</v>
      </c>
    </row>
    <row r="4367" spans="1:9" x14ac:dyDescent="0.25">
      <c r="E4367" s="7"/>
      <c r="F4367" t="s">
        <v>20</v>
      </c>
      <c r="G4367" s="10" t="s">
        <v>21</v>
      </c>
      <c r="H4367" t="str">
        <f>"4095078569"</f>
        <v>4095078569</v>
      </c>
      <c r="I4367" t="str">
        <f t="shared" si="95"/>
        <v>CINTAS CORPORATION #087</v>
      </c>
    </row>
    <row r="4368" spans="1:9" x14ac:dyDescent="0.25">
      <c r="E4368" s="7"/>
      <c r="F4368" t="s">
        <v>20</v>
      </c>
      <c r="G4368" s="10" t="s">
        <v>21</v>
      </c>
      <c r="H4368" t="str">
        <f>"4095078628"</f>
        <v>4095078628</v>
      </c>
      <c r="I4368" t="str">
        <f t="shared" si="95"/>
        <v>CINTAS CORPORATION #087</v>
      </c>
    </row>
    <row r="4369" spans="1:9" x14ac:dyDescent="0.25">
      <c r="E4369" s="7"/>
      <c r="F4369" t="s">
        <v>20</v>
      </c>
      <c r="G4369" s="10" t="s">
        <v>21</v>
      </c>
      <c r="H4369" t="str">
        <f>"4095078652"</f>
        <v>4095078652</v>
      </c>
      <c r="I4369" t="str">
        <f t="shared" si="95"/>
        <v>CINTAS CORPORATION #087</v>
      </c>
    </row>
    <row r="4370" spans="1:9" x14ac:dyDescent="0.25">
      <c r="E4370" s="7"/>
      <c r="F4370" t="s">
        <v>20</v>
      </c>
      <c r="G4370" s="10" t="s">
        <v>21</v>
      </c>
      <c r="H4370" t="str">
        <f>"4095081699"</f>
        <v>4095081699</v>
      </c>
      <c r="I4370" t="str">
        <f t="shared" si="95"/>
        <v>CINTAS CORPORATION #087</v>
      </c>
    </row>
    <row r="4371" spans="1:9" x14ac:dyDescent="0.25">
      <c r="E4371" s="7"/>
      <c r="F4371" t="s">
        <v>20</v>
      </c>
      <c r="G4371" s="10" t="s">
        <v>21</v>
      </c>
      <c r="H4371" t="str">
        <f>"495081707"</f>
        <v>495081707</v>
      </c>
      <c r="I4371" t="str">
        <f t="shared" si="95"/>
        <v>CINTAS CORPORATION #087</v>
      </c>
    </row>
    <row r="4372" spans="1:9" x14ac:dyDescent="0.25">
      <c r="A4372" s="6">
        <v>44454</v>
      </c>
      <c r="B4372" t="s">
        <v>26</v>
      </c>
      <c r="C4372">
        <v>67606</v>
      </c>
      <c r="D4372" t="s">
        <v>661</v>
      </c>
      <c r="E4372" s="7">
        <v>523</v>
      </c>
      <c r="F4372" t="s">
        <v>20</v>
      </c>
      <c r="G4372" s="10" t="s">
        <v>21</v>
      </c>
      <c r="H4372" t="str">
        <f>"8405298067"</f>
        <v>8405298067</v>
      </c>
      <c r="I4372" t="str">
        <f>"CINTAS FAS LOCKBOX 631025"</f>
        <v>CINTAS FAS LOCKBOX 631025</v>
      </c>
    </row>
    <row r="4373" spans="1:9" x14ac:dyDescent="0.25">
      <c r="A4373" s="6">
        <v>44454</v>
      </c>
      <c r="B4373" t="s">
        <v>26</v>
      </c>
      <c r="C4373">
        <v>67607</v>
      </c>
      <c r="D4373" t="s">
        <v>1054</v>
      </c>
      <c r="E4373" s="7">
        <v>240</v>
      </c>
      <c r="F4373" t="s">
        <v>20</v>
      </c>
      <c r="G4373" s="10" t="s">
        <v>21</v>
      </c>
      <c r="H4373" t="str">
        <f>"INV0035"</f>
        <v>INV0035</v>
      </c>
      <c r="I4373" t="str">
        <f>"DAVID TRAVIESO"</f>
        <v>DAVID TRAVIESO</v>
      </c>
    </row>
    <row r="4374" spans="1:9" x14ac:dyDescent="0.25">
      <c r="A4374" s="6">
        <v>44454</v>
      </c>
      <c r="B4374" t="s">
        <v>26</v>
      </c>
      <c r="C4374">
        <v>67608</v>
      </c>
      <c r="D4374" t="s">
        <v>1113</v>
      </c>
      <c r="E4374" s="7">
        <v>2380.42</v>
      </c>
      <c r="F4374" t="s">
        <v>20</v>
      </c>
      <c r="G4374" s="10" t="s">
        <v>21</v>
      </c>
      <c r="H4374" t="str">
        <f>"39054S"</f>
        <v>39054S</v>
      </c>
      <c r="I4374" t="str">
        <f>"DIAMONDBACK 270-FORDX1"</f>
        <v>DIAMONDBACK 270-FORDX1</v>
      </c>
    </row>
    <row r="4375" spans="1:9" x14ac:dyDescent="0.25">
      <c r="A4375" s="6">
        <v>44454</v>
      </c>
      <c r="B4375" t="s">
        <v>26</v>
      </c>
      <c r="C4375">
        <v>67609</v>
      </c>
      <c r="D4375" t="s">
        <v>647</v>
      </c>
      <c r="E4375" s="7">
        <v>3483.81</v>
      </c>
      <c r="F4375" t="s">
        <v>20</v>
      </c>
      <c r="G4375" s="10" t="s">
        <v>21</v>
      </c>
      <c r="H4375" t="str">
        <f>"30052336"</f>
        <v>30052336</v>
      </c>
      <c r="I4375" t="str">
        <f>"DOCUMATION  INC."</f>
        <v>DOCUMATION  INC.</v>
      </c>
    </row>
    <row r="4376" spans="1:9" x14ac:dyDescent="0.25">
      <c r="A4376" s="6">
        <v>44454</v>
      </c>
      <c r="B4376" t="s">
        <v>26</v>
      </c>
      <c r="C4376">
        <v>67610</v>
      </c>
      <c r="D4376" t="s">
        <v>143</v>
      </c>
      <c r="E4376" s="7">
        <v>472.82</v>
      </c>
      <c r="F4376" t="s">
        <v>20</v>
      </c>
      <c r="G4376" s="10" t="s">
        <v>21</v>
      </c>
      <c r="H4376" t="str">
        <f>"9402541376"</f>
        <v>9402541376</v>
      </c>
      <c r="I4376" t="str">
        <f>"OIL FOR THE STREETS DEPT"</f>
        <v>OIL FOR THE STREETS DEPT</v>
      </c>
    </row>
    <row r="4377" spans="1:9" x14ac:dyDescent="0.25">
      <c r="A4377" s="6">
        <v>44454</v>
      </c>
      <c r="B4377" t="s">
        <v>26</v>
      </c>
      <c r="C4377">
        <v>67611</v>
      </c>
      <c r="D4377" t="s">
        <v>103</v>
      </c>
      <c r="E4377" s="7">
        <v>435000</v>
      </c>
      <c r="F4377" t="s">
        <v>20</v>
      </c>
      <c r="G4377" s="10" t="s">
        <v>21</v>
      </c>
      <c r="H4377" t="str">
        <f>"POSTING ERROR 9/21"</f>
        <v>POSTING ERROR 9/21</v>
      </c>
      <c r="I4377" t="str">
        <f>"F. E. D. C."</f>
        <v>F. E. D. C.</v>
      </c>
    </row>
    <row r="4378" spans="1:9" x14ac:dyDescent="0.25">
      <c r="A4378" s="6">
        <v>44454</v>
      </c>
      <c r="B4378" t="s">
        <v>26</v>
      </c>
      <c r="C4378">
        <v>67612</v>
      </c>
      <c r="D4378" t="s">
        <v>79</v>
      </c>
      <c r="E4378" s="7">
        <v>6.75</v>
      </c>
      <c r="F4378" t="s">
        <v>20</v>
      </c>
      <c r="G4378" s="10" t="s">
        <v>21</v>
      </c>
      <c r="H4378" t="str">
        <f>"7-487-75381"</f>
        <v>7-487-75381</v>
      </c>
      <c r="I4378" t="str">
        <f>"FEDEX"</f>
        <v>FEDEX</v>
      </c>
    </row>
    <row r="4379" spans="1:9" x14ac:dyDescent="0.25">
      <c r="A4379" s="6">
        <v>44454</v>
      </c>
      <c r="B4379" t="s">
        <v>26</v>
      </c>
      <c r="C4379">
        <v>67613</v>
      </c>
      <c r="D4379" t="s">
        <v>59</v>
      </c>
      <c r="E4379" s="7">
        <v>1598.57</v>
      </c>
      <c r="F4379" t="s">
        <v>20</v>
      </c>
      <c r="G4379" s="10" t="s">
        <v>21</v>
      </c>
      <c r="H4379" t="str">
        <f>"1110436-1"</f>
        <v>1110436-1</v>
      </c>
      <c r="I4379" t="str">
        <f>"FERGUSON WATERWORKS - MUNICIPA"</f>
        <v>FERGUSON WATERWORKS - MUNICIPA</v>
      </c>
    </row>
    <row r="4380" spans="1:9" x14ac:dyDescent="0.25">
      <c r="E4380" s="7"/>
      <c r="F4380" t="s">
        <v>20</v>
      </c>
      <c r="G4380" s="10" t="s">
        <v>21</v>
      </c>
      <c r="H4380" t="str">
        <f>"1135981"</f>
        <v>1135981</v>
      </c>
      <c r="I4380" t="str">
        <f>"8 MJ RW GATE VLV"</f>
        <v>8 MJ RW GATE VLV</v>
      </c>
    </row>
    <row r="4381" spans="1:9" x14ac:dyDescent="0.25">
      <c r="A4381" s="6">
        <v>44454</v>
      </c>
      <c r="B4381" t="s">
        <v>26</v>
      </c>
      <c r="C4381">
        <v>67614</v>
      </c>
      <c r="D4381" t="s">
        <v>85</v>
      </c>
      <c r="E4381" s="7">
        <v>136.77000000000001</v>
      </c>
      <c r="F4381" t="s">
        <v>20</v>
      </c>
      <c r="G4381" s="10" t="s">
        <v>21</v>
      </c>
      <c r="H4381" t="str">
        <f>"3930579 SEPT 2021"</f>
        <v>3930579 SEPT 2021</v>
      </c>
      <c r="I4381" t="str">
        <f>"FRONTIER"</f>
        <v>FRONTIER</v>
      </c>
    </row>
    <row r="4382" spans="1:9" x14ac:dyDescent="0.25">
      <c r="E4382" s="7"/>
      <c r="F4382" t="s">
        <v>20</v>
      </c>
      <c r="G4382" s="10" t="s">
        <v>21</v>
      </c>
      <c r="H4382" t="str">
        <f>"3933108 SEPT.2021"</f>
        <v>3933108 SEPT.2021</v>
      </c>
      <c r="I4382" t="str">
        <f>"FRONTIER"</f>
        <v>FRONTIER</v>
      </c>
    </row>
    <row r="4383" spans="1:9" x14ac:dyDescent="0.25">
      <c r="A4383" s="6">
        <v>44454</v>
      </c>
      <c r="B4383" t="s">
        <v>26</v>
      </c>
      <c r="C4383">
        <v>67615</v>
      </c>
      <c r="D4383" t="s">
        <v>194</v>
      </c>
      <c r="E4383" s="7">
        <v>861.97</v>
      </c>
      <c r="F4383" t="s">
        <v>20</v>
      </c>
      <c r="G4383" s="10" t="s">
        <v>21</v>
      </c>
      <c r="H4383" t="str">
        <f>"019044941"</f>
        <v>019044941</v>
      </c>
      <c r="I4383" t="str">
        <f>"PD SUPPLIES"</f>
        <v>PD SUPPLIES</v>
      </c>
    </row>
    <row r="4384" spans="1:9" x14ac:dyDescent="0.25">
      <c r="E4384" s="7"/>
      <c r="F4384" t="s">
        <v>20</v>
      </c>
      <c r="G4384" s="10" t="s">
        <v>21</v>
      </c>
      <c r="H4384" t="str">
        <f>"019100037"</f>
        <v>019100037</v>
      </c>
      <c r="I4384" t="str">
        <f>"PD SUPPLIES"</f>
        <v>PD SUPPLIES</v>
      </c>
    </row>
    <row r="4385" spans="1:9" x14ac:dyDescent="0.25">
      <c r="E4385" s="7"/>
      <c r="F4385" t="s">
        <v>20</v>
      </c>
      <c r="G4385" s="10" t="s">
        <v>21</v>
      </c>
      <c r="H4385" t="str">
        <f>"019126989"</f>
        <v>019126989</v>
      </c>
      <c r="I4385" t="str">
        <f>"GALLS  LLC-D.B.A. STERLING'S U"</f>
        <v>GALLS  LLC-D.B.A. STERLING'S U</v>
      </c>
    </row>
    <row r="4386" spans="1:9" x14ac:dyDescent="0.25">
      <c r="A4386" s="6">
        <v>44454</v>
      </c>
      <c r="B4386" t="s">
        <v>26</v>
      </c>
      <c r="C4386">
        <v>67616</v>
      </c>
      <c r="D4386" t="s">
        <v>398</v>
      </c>
      <c r="E4386" s="7">
        <v>56.5</v>
      </c>
      <c r="F4386" t="s">
        <v>20</v>
      </c>
      <c r="G4386" s="10" t="s">
        <v>21</v>
      </c>
      <c r="H4386" t="str">
        <f>"20210902"</f>
        <v>20210902</v>
      </c>
      <c r="I4386" t="str">
        <f>"INTERCEPTOR TECHNOLOGY GROUP L"</f>
        <v>INTERCEPTOR TECHNOLOGY GROUP L</v>
      </c>
    </row>
    <row r="4387" spans="1:9" x14ac:dyDescent="0.25">
      <c r="A4387" s="6">
        <v>44454</v>
      </c>
      <c r="B4387" t="s">
        <v>26</v>
      </c>
      <c r="C4387">
        <v>67617</v>
      </c>
      <c r="D4387" t="s">
        <v>281</v>
      </c>
      <c r="E4387" s="7">
        <v>300</v>
      </c>
      <c r="F4387" t="s">
        <v>20</v>
      </c>
      <c r="G4387" s="10" t="s">
        <v>21</v>
      </c>
      <c r="H4387" t="str">
        <f>"33118"</f>
        <v>33118</v>
      </c>
      <c r="I4387" t="str">
        <f>"PD UNIT A/C REPAIR"</f>
        <v>PD UNIT A/C REPAIR</v>
      </c>
    </row>
    <row r="4388" spans="1:9" x14ac:dyDescent="0.25">
      <c r="A4388" s="6">
        <v>44454</v>
      </c>
      <c r="B4388" t="s">
        <v>26</v>
      </c>
      <c r="C4388">
        <v>67618</v>
      </c>
      <c r="D4388" t="s">
        <v>940</v>
      </c>
      <c r="E4388" s="7">
        <v>385</v>
      </c>
      <c r="F4388" t="s">
        <v>20</v>
      </c>
      <c r="G4388" s="10" t="s">
        <v>21</v>
      </c>
      <c r="H4388" t="str">
        <f>"2021881"</f>
        <v>2021881</v>
      </c>
      <c r="I4388" t="str">
        <f>"LAW ENFORCEMENT SEMINARS  LLC"</f>
        <v>LAW ENFORCEMENT SEMINARS  LLC</v>
      </c>
    </row>
    <row r="4389" spans="1:9" x14ac:dyDescent="0.25">
      <c r="A4389" s="6">
        <v>44454</v>
      </c>
      <c r="B4389" t="s">
        <v>26</v>
      </c>
      <c r="C4389">
        <v>67619</v>
      </c>
      <c r="D4389" t="s">
        <v>1032</v>
      </c>
      <c r="E4389" s="7">
        <v>6400</v>
      </c>
      <c r="F4389" t="s">
        <v>20</v>
      </c>
      <c r="G4389" s="10" t="s">
        <v>21</v>
      </c>
      <c r="H4389" t="str">
        <f>"8-21-17708"</f>
        <v>8-21-17708</v>
      </c>
      <c r="I4389" t="str">
        <f>"LEAL &amp; CARTER  P.C."</f>
        <v>LEAL &amp; CARTER  P.C.</v>
      </c>
    </row>
    <row r="4390" spans="1:9" x14ac:dyDescent="0.25">
      <c r="A4390" s="6">
        <v>44454</v>
      </c>
      <c r="B4390" t="s">
        <v>26</v>
      </c>
      <c r="C4390">
        <v>67620</v>
      </c>
      <c r="D4390" t="s">
        <v>117</v>
      </c>
      <c r="E4390" s="7">
        <v>2773.43</v>
      </c>
      <c r="F4390" t="s">
        <v>20</v>
      </c>
      <c r="G4390" s="10" t="s">
        <v>21</v>
      </c>
      <c r="H4390" t="str">
        <f>"AUGUST 2021"</f>
        <v>AUGUST 2021</v>
      </c>
      <c r="I4390" t="str">
        <f>"LINEBARGER GOGGAN BLAIR &amp; SAMP"</f>
        <v>LINEBARGER GOGGAN BLAIR &amp; SAMP</v>
      </c>
    </row>
    <row r="4391" spans="1:9" x14ac:dyDescent="0.25">
      <c r="A4391" s="6">
        <v>44454</v>
      </c>
      <c r="B4391" t="s">
        <v>26</v>
      </c>
      <c r="C4391">
        <v>67621</v>
      </c>
      <c r="D4391" t="s">
        <v>1114</v>
      </c>
      <c r="E4391" s="7">
        <v>92</v>
      </c>
      <c r="F4391" t="s">
        <v>20</v>
      </c>
      <c r="G4391" s="10" t="s">
        <v>21</v>
      </c>
      <c r="H4391" t="str">
        <f>"PATROL RIFLE CRSE"</f>
        <v>PATROL RIFLE CRSE</v>
      </c>
      <c r="I4391" t="str">
        <f>"MANUEL PEREZ"</f>
        <v>MANUEL PEREZ</v>
      </c>
    </row>
    <row r="4392" spans="1:9" x14ac:dyDescent="0.25">
      <c r="A4392" s="6">
        <v>44454</v>
      </c>
      <c r="B4392" t="s">
        <v>26</v>
      </c>
      <c r="C4392">
        <v>67622</v>
      </c>
      <c r="D4392" t="s">
        <v>124</v>
      </c>
      <c r="E4392" s="7">
        <v>249.87</v>
      </c>
      <c r="F4392" t="s">
        <v>20</v>
      </c>
      <c r="G4392" s="10" t="s">
        <v>21</v>
      </c>
      <c r="H4392" t="str">
        <f>"11109991"</f>
        <v>11109991</v>
      </c>
      <c r="I4392" t="str">
        <f>"RUDY GONZALES"</f>
        <v>RUDY GONZALES</v>
      </c>
    </row>
    <row r="4393" spans="1:9" x14ac:dyDescent="0.25">
      <c r="E4393" s="7"/>
      <c r="F4393" t="s">
        <v>20</v>
      </c>
      <c r="G4393" s="10" t="s">
        <v>21</v>
      </c>
      <c r="H4393" t="str">
        <f>"11110045"</f>
        <v>11110045</v>
      </c>
      <c r="I4393" t="str">
        <f>"MCCOY'S CORPORATION"</f>
        <v>MCCOY'S CORPORATION</v>
      </c>
    </row>
    <row r="4394" spans="1:9" x14ac:dyDescent="0.25">
      <c r="E4394" s="7"/>
      <c r="F4394" t="s">
        <v>20</v>
      </c>
      <c r="G4394" s="10" t="s">
        <v>21</v>
      </c>
      <c r="H4394" t="str">
        <f>"11110556"</f>
        <v>11110556</v>
      </c>
      <c r="I4394" t="str">
        <f>"DOOR KNOBS FOR PARK"</f>
        <v>DOOR KNOBS FOR PARK</v>
      </c>
    </row>
    <row r="4395" spans="1:9" x14ac:dyDescent="0.25">
      <c r="E4395" s="7"/>
      <c r="F4395" t="s">
        <v>20</v>
      </c>
      <c r="G4395" s="10" t="s">
        <v>21</v>
      </c>
      <c r="H4395" t="str">
        <f>"11110741"</f>
        <v>11110741</v>
      </c>
      <c r="I4395" t="str">
        <f>"STREET BANNERS"</f>
        <v>STREET BANNERS</v>
      </c>
    </row>
    <row r="4396" spans="1:9" x14ac:dyDescent="0.25">
      <c r="A4396" s="6">
        <v>44454</v>
      </c>
      <c r="B4396" t="s">
        <v>26</v>
      </c>
      <c r="C4396">
        <v>67623</v>
      </c>
      <c r="D4396" t="s">
        <v>345</v>
      </c>
      <c r="E4396" s="7">
        <v>313.5</v>
      </c>
      <c r="F4396" t="s">
        <v>20</v>
      </c>
      <c r="G4396" s="10" t="s">
        <v>21</v>
      </c>
      <c r="H4396" t="str">
        <f>"09/13/2021"</f>
        <v>09/13/2021</v>
      </c>
      <c r="I4396" t="str">
        <f>"MICHAEL ISAAC MARTINEZ"</f>
        <v>MICHAEL ISAAC MARTINEZ</v>
      </c>
    </row>
    <row r="4397" spans="1:9" x14ac:dyDescent="0.25">
      <c r="A4397" s="6">
        <v>44454</v>
      </c>
      <c r="B4397" t="s">
        <v>26</v>
      </c>
      <c r="C4397">
        <v>67624</v>
      </c>
      <c r="D4397" t="s">
        <v>1081</v>
      </c>
      <c r="E4397" s="7">
        <v>4085</v>
      </c>
      <c r="F4397" t="s">
        <v>20</v>
      </c>
      <c r="G4397" s="10" t="s">
        <v>21</v>
      </c>
      <c r="H4397" t="str">
        <f>"24106"</f>
        <v>24106</v>
      </c>
      <c r="I4397" t="str">
        <f>"PINNACLE PEST DEFENSE"</f>
        <v>PINNACLE PEST DEFENSE</v>
      </c>
    </row>
    <row r="4398" spans="1:9" x14ac:dyDescent="0.25">
      <c r="E4398" s="7"/>
      <c r="F4398" t="s">
        <v>20</v>
      </c>
      <c r="G4398" s="10" t="s">
        <v>21</v>
      </c>
      <c r="H4398" t="str">
        <f>"24193"</f>
        <v>24193</v>
      </c>
      <c r="I4398" t="str">
        <f>"PINNACLE PEST DEFENSE"</f>
        <v>PINNACLE PEST DEFENSE</v>
      </c>
    </row>
    <row r="4399" spans="1:9" x14ac:dyDescent="0.25">
      <c r="E4399" s="7"/>
      <c r="F4399" t="s">
        <v>20</v>
      </c>
      <c r="G4399" s="10" t="s">
        <v>21</v>
      </c>
      <c r="H4399" t="str">
        <f>"24783"</f>
        <v>24783</v>
      </c>
      <c r="I4399" t="str">
        <f>"PINNACLE PEST DEFENSE"</f>
        <v>PINNACLE PEST DEFENSE</v>
      </c>
    </row>
    <row r="4400" spans="1:9" x14ac:dyDescent="0.25">
      <c r="E4400" s="7"/>
      <c r="F4400" t="s">
        <v>20</v>
      </c>
      <c r="G4400" s="10" t="s">
        <v>21</v>
      </c>
      <c r="H4400" t="str">
        <f>"24925"</f>
        <v>24925</v>
      </c>
      <c r="I4400" t="str">
        <f>"PINNACLE PEST DEFENSE"</f>
        <v>PINNACLE PEST DEFENSE</v>
      </c>
    </row>
    <row r="4401" spans="1:9" x14ac:dyDescent="0.25">
      <c r="E4401" s="7"/>
      <c r="F4401" t="s">
        <v>20</v>
      </c>
      <c r="G4401" s="10" t="s">
        <v>21</v>
      </c>
      <c r="H4401" t="str">
        <f>"25493"</f>
        <v>25493</v>
      </c>
      <c r="I4401" t="str">
        <f>"PINNACLE PEST DEFENSE"</f>
        <v>PINNACLE PEST DEFENSE</v>
      </c>
    </row>
    <row r="4402" spans="1:9" x14ac:dyDescent="0.25">
      <c r="A4402" s="6">
        <v>44454</v>
      </c>
      <c r="B4402" t="s">
        <v>26</v>
      </c>
      <c r="C4402">
        <v>67625</v>
      </c>
      <c r="D4402" t="s">
        <v>166</v>
      </c>
      <c r="E4402" s="7">
        <v>51.23</v>
      </c>
      <c r="F4402" t="s">
        <v>20</v>
      </c>
      <c r="G4402" s="10" t="s">
        <v>21</v>
      </c>
      <c r="H4402" t="str">
        <f>"9567-9/30/2021"</f>
        <v>9567-9/30/2021</v>
      </c>
      <c r="I4402" t="str">
        <f>"PITNEY BOWES PURCHASE POWER"</f>
        <v>PITNEY BOWES PURCHASE POWER</v>
      </c>
    </row>
    <row r="4403" spans="1:9" x14ac:dyDescent="0.25">
      <c r="A4403" s="6">
        <v>44454</v>
      </c>
      <c r="B4403" t="s">
        <v>26</v>
      </c>
      <c r="C4403">
        <v>67626</v>
      </c>
      <c r="D4403" t="s">
        <v>184</v>
      </c>
      <c r="E4403" s="7">
        <v>992</v>
      </c>
      <c r="F4403" t="s">
        <v>20</v>
      </c>
      <c r="G4403" s="10" t="s">
        <v>21</v>
      </c>
      <c r="H4403" t="str">
        <f>"1063-448"</f>
        <v>1063-448</v>
      </c>
      <c r="I4403" t="str">
        <f>"POLLUTION CONTROL SERVICES"</f>
        <v>POLLUTION CONTROL SERVICES</v>
      </c>
    </row>
    <row r="4404" spans="1:9" x14ac:dyDescent="0.25">
      <c r="E4404" s="7"/>
      <c r="F4404" t="s">
        <v>20</v>
      </c>
      <c r="G4404" s="10" t="s">
        <v>21</v>
      </c>
      <c r="H4404" t="str">
        <f>"1063-449"</f>
        <v>1063-449</v>
      </c>
      <c r="I4404" t="str">
        <f>"POLLUTION CONTROL SERVICES"</f>
        <v>POLLUTION CONTROL SERVICES</v>
      </c>
    </row>
    <row r="4405" spans="1:9" x14ac:dyDescent="0.25">
      <c r="A4405" s="6">
        <v>44454</v>
      </c>
      <c r="B4405" t="s">
        <v>26</v>
      </c>
      <c r="C4405">
        <v>67627</v>
      </c>
      <c r="D4405" t="s">
        <v>62</v>
      </c>
      <c r="E4405" s="7">
        <v>225.25</v>
      </c>
      <c r="F4405" t="s">
        <v>20</v>
      </c>
      <c r="G4405" s="10" t="s">
        <v>21</v>
      </c>
      <c r="H4405" t="str">
        <f>"75318"</f>
        <v>75318</v>
      </c>
      <c r="I4405" t="str">
        <f>"PROFICIENT BENEFIT SOLUTIONS"</f>
        <v>PROFICIENT BENEFIT SOLUTIONS</v>
      </c>
    </row>
    <row r="4406" spans="1:9" x14ac:dyDescent="0.25">
      <c r="A4406" s="6">
        <v>44454</v>
      </c>
      <c r="B4406" t="s">
        <v>26</v>
      </c>
      <c r="C4406">
        <v>67628</v>
      </c>
      <c r="D4406" t="s">
        <v>528</v>
      </c>
      <c r="E4406" s="7">
        <v>332.17</v>
      </c>
      <c r="F4406" t="s">
        <v>20</v>
      </c>
      <c r="G4406" s="10" t="s">
        <v>21</v>
      </c>
      <c r="H4406" t="str">
        <f>"10655041"</f>
        <v>10655041</v>
      </c>
      <c r="I4406" t="str">
        <f>"PROSTAR SERVICES INC"</f>
        <v>PROSTAR SERVICES INC</v>
      </c>
    </row>
    <row r="4407" spans="1:9" x14ac:dyDescent="0.25">
      <c r="A4407" s="6">
        <v>44454</v>
      </c>
      <c r="B4407" t="s">
        <v>26</v>
      </c>
      <c r="C4407">
        <v>67629</v>
      </c>
      <c r="D4407" t="s">
        <v>131</v>
      </c>
      <c r="E4407" s="7">
        <v>198.33</v>
      </c>
      <c r="F4407" t="s">
        <v>20</v>
      </c>
      <c r="G4407" s="10" t="s">
        <v>21</v>
      </c>
      <c r="H4407" t="str">
        <f>"061295"</f>
        <v>061295</v>
      </c>
      <c r="I4407" t="str">
        <f>"OIL AND FILTERS WWTP"</f>
        <v>OIL AND FILTERS WWTP</v>
      </c>
    </row>
    <row r="4408" spans="1:9" x14ac:dyDescent="0.25">
      <c r="E4408" s="7"/>
      <c r="F4408" t="s">
        <v>20</v>
      </c>
      <c r="G4408" s="10" t="s">
        <v>21</v>
      </c>
      <c r="H4408" t="str">
        <f>"061624"</f>
        <v>061624</v>
      </c>
      <c r="I4408" t="str">
        <f>"WWTP SUPPLIES"</f>
        <v>WWTP SUPPLIES</v>
      </c>
    </row>
    <row r="4409" spans="1:9" x14ac:dyDescent="0.25">
      <c r="A4409" s="6">
        <v>44454</v>
      </c>
      <c r="B4409" t="s">
        <v>26</v>
      </c>
      <c r="C4409">
        <v>67630</v>
      </c>
      <c r="D4409" t="s">
        <v>1115</v>
      </c>
      <c r="E4409" s="7">
        <v>92</v>
      </c>
      <c r="F4409" t="s">
        <v>20</v>
      </c>
      <c r="G4409" s="10" t="s">
        <v>21</v>
      </c>
      <c r="H4409" t="str">
        <f>"PATROL RIFLE CRSE"</f>
        <v>PATROL RIFLE CRSE</v>
      </c>
      <c r="I4409" t="str">
        <f>"RAUL GUERRERO"</f>
        <v>RAUL GUERRERO</v>
      </c>
    </row>
    <row r="4410" spans="1:9" x14ac:dyDescent="0.25">
      <c r="A4410" s="6">
        <v>44454</v>
      </c>
      <c r="B4410" t="s">
        <v>26</v>
      </c>
      <c r="C4410">
        <v>67631</v>
      </c>
      <c r="D4410" t="s">
        <v>126</v>
      </c>
      <c r="E4410" s="7">
        <v>92273.68</v>
      </c>
      <c r="F4410" t="s">
        <v>20</v>
      </c>
      <c r="G4410" s="10" t="s">
        <v>21</v>
      </c>
      <c r="H4410" t="str">
        <f>"0859-002908620"</f>
        <v>0859-002908620</v>
      </c>
      <c r="I4410" t="str">
        <f>"REPUBLIC SERVICES #859"</f>
        <v>REPUBLIC SERVICES #859</v>
      </c>
    </row>
    <row r="4411" spans="1:9" x14ac:dyDescent="0.25">
      <c r="E4411" s="7"/>
      <c r="F4411" t="s">
        <v>20</v>
      </c>
      <c r="G4411" s="10" t="s">
        <v>21</v>
      </c>
      <c r="H4411" t="str">
        <f>"0859-002912825"</f>
        <v>0859-002912825</v>
      </c>
      <c r="I4411" t="str">
        <f>"REPUBLIC SERVICES #859"</f>
        <v>REPUBLIC SERVICES #859</v>
      </c>
    </row>
    <row r="4412" spans="1:9" x14ac:dyDescent="0.25">
      <c r="A4412" s="6">
        <v>44454</v>
      </c>
      <c r="B4412" t="s">
        <v>26</v>
      </c>
      <c r="C4412">
        <v>67632</v>
      </c>
      <c r="D4412" t="s">
        <v>273</v>
      </c>
      <c r="E4412" s="7">
        <v>1010.89</v>
      </c>
      <c r="F4412" t="s">
        <v>20</v>
      </c>
      <c r="G4412" s="10" t="s">
        <v>21</v>
      </c>
      <c r="H4412" t="str">
        <f>"5119-000098602"</f>
        <v>5119-000098602</v>
      </c>
      <c r="I4412" t="str">
        <f>"REPUBLIC SERVICES TESSMAN ROAD"</f>
        <v>REPUBLIC SERVICES TESSMAN ROAD</v>
      </c>
    </row>
    <row r="4413" spans="1:9" x14ac:dyDescent="0.25">
      <c r="A4413" s="6">
        <v>44454</v>
      </c>
      <c r="B4413" t="s">
        <v>26</v>
      </c>
      <c r="C4413">
        <v>67633</v>
      </c>
      <c r="D4413" t="s">
        <v>890</v>
      </c>
      <c r="E4413" s="7">
        <v>16.82</v>
      </c>
      <c r="F4413" t="s">
        <v>20</v>
      </c>
      <c r="G4413" s="10" t="s">
        <v>21</v>
      </c>
      <c r="H4413" t="str">
        <f>"100027622199"</f>
        <v>100027622199</v>
      </c>
      <c r="I4413" t="str">
        <f>"RMA TOLL PROCESSING"</f>
        <v>RMA TOLL PROCESSING</v>
      </c>
    </row>
    <row r="4414" spans="1:9" x14ac:dyDescent="0.25">
      <c r="A4414" s="6">
        <v>44454</v>
      </c>
      <c r="B4414" t="s">
        <v>26</v>
      </c>
      <c r="C4414">
        <v>67634</v>
      </c>
      <c r="D4414" t="s">
        <v>495</v>
      </c>
      <c r="E4414" s="7">
        <v>7.5</v>
      </c>
      <c r="F4414" t="s">
        <v>20</v>
      </c>
      <c r="G4414" s="10" t="s">
        <v>21</v>
      </c>
      <c r="H4414" t="str">
        <f>"0500747-IN*1"</f>
        <v>0500747-IN*1</v>
      </c>
      <c r="I4414" t="str">
        <f>"SIRCHIE"</f>
        <v>SIRCHIE</v>
      </c>
    </row>
    <row r="4415" spans="1:9" x14ac:dyDescent="0.25">
      <c r="A4415" s="6">
        <v>44454</v>
      </c>
      <c r="B4415" t="s">
        <v>26</v>
      </c>
      <c r="C4415">
        <v>67635</v>
      </c>
      <c r="D4415" t="s">
        <v>1116</v>
      </c>
      <c r="E4415" s="7">
        <v>2175</v>
      </c>
      <c r="F4415" t="s">
        <v>20</v>
      </c>
      <c r="G4415" s="10" t="s">
        <v>21</v>
      </c>
      <c r="H4415" t="str">
        <f>"00001"</f>
        <v>00001</v>
      </c>
      <c r="I4415" t="str">
        <f>"TARA MAZUR"</f>
        <v>TARA MAZUR</v>
      </c>
    </row>
    <row r="4416" spans="1:9" x14ac:dyDescent="0.25">
      <c r="A4416" s="6">
        <v>44454</v>
      </c>
      <c r="B4416" t="s">
        <v>26</v>
      </c>
      <c r="C4416">
        <v>67636</v>
      </c>
      <c r="D4416" t="s">
        <v>554</v>
      </c>
      <c r="E4416" s="7">
        <v>74.95</v>
      </c>
      <c r="F4416" t="s">
        <v>20</v>
      </c>
      <c r="G4416" s="10" t="s">
        <v>21</v>
      </c>
      <c r="H4416" t="str">
        <f>"AB47289"</f>
        <v>AB47289</v>
      </c>
      <c r="I4416" t="str">
        <f>"TEXAS WIRED MUSIC"</f>
        <v>TEXAS WIRED MUSIC</v>
      </c>
    </row>
    <row r="4417" spans="1:9" x14ac:dyDescent="0.25">
      <c r="A4417" s="6">
        <v>44454</v>
      </c>
      <c r="B4417" t="s">
        <v>26</v>
      </c>
      <c r="C4417">
        <v>67637</v>
      </c>
      <c r="D4417" t="s">
        <v>75</v>
      </c>
      <c r="E4417" s="7">
        <v>1427.88</v>
      </c>
      <c r="F4417" t="s">
        <v>20</v>
      </c>
      <c r="G4417" s="10" t="s">
        <v>21</v>
      </c>
      <c r="H4417" t="str">
        <f>"100780375"</f>
        <v>100780375</v>
      </c>
      <c r="I4417" t="str">
        <f>"TRI BALLS"</f>
        <v>TRI BALLS</v>
      </c>
    </row>
    <row r="4418" spans="1:9" x14ac:dyDescent="0.25">
      <c r="E4418" s="7"/>
      <c r="F4418" t="s">
        <v>20</v>
      </c>
      <c r="G4418" s="10" t="s">
        <v>21</v>
      </c>
      <c r="H4418" t="str">
        <f>"100781935"</f>
        <v>100781935</v>
      </c>
      <c r="I4418" t="str">
        <f>"WWTP SUPPLIES"</f>
        <v>WWTP SUPPLIES</v>
      </c>
    </row>
    <row r="4419" spans="1:9" x14ac:dyDescent="0.25">
      <c r="E4419" s="7"/>
      <c r="F4419" t="s">
        <v>20</v>
      </c>
      <c r="G4419" s="10" t="s">
        <v>21</v>
      </c>
      <c r="H4419" t="str">
        <f>"100783576"</f>
        <v>100783576</v>
      </c>
      <c r="I4419" t="str">
        <f>"TRAILER HITCH"</f>
        <v>TRAILER HITCH</v>
      </c>
    </row>
    <row r="4420" spans="1:9" x14ac:dyDescent="0.25">
      <c r="E4420" s="7"/>
      <c r="F4420" t="s">
        <v>20</v>
      </c>
      <c r="G4420" s="10" t="s">
        <v>21</v>
      </c>
      <c r="H4420" t="str">
        <f>"200905926"</f>
        <v>200905926</v>
      </c>
      <c r="I4420" t="str">
        <f>"TRACTOR SUPPLY CREDIT PLAN"</f>
        <v>TRACTOR SUPPLY CREDIT PLAN</v>
      </c>
    </row>
    <row r="4421" spans="1:9" x14ac:dyDescent="0.25">
      <c r="E4421" s="7"/>
      <c r="F4421" t="s">
        <v>20</v>
      </c>
      <c r="G4421" s="10" t="s">
        <v>21</v>
      </c>
      <c r="H4421" t="str">
        <f>"200906069"</f>
        <v>200906069</v>
      </c>
      <c r="I4421" t="str">
        <f>"FUEL PUMP TANK/MOWERS"</f>
        <v>FUEL PUMP TANK/MOWERS</v>
      </c>
    </row>
    <row r="4422" spans="1:9" x14ac:dyDescent="0.25">
      <c r="E4422" s="7"/>
      <c r="F4422" t="s">
        <v>20</v>
      </c>
      <c r="G4422" s="10" t="s">
        <v>21</v>
      </c>
      <c r="H4422" t="str">
        <f>"200908211"</f>
        <v>200908211</v>
      </c>
      <c r="I4422" t="str">
        <f>"WATER HOSE"</f>
        <v>WATER HOSE</v>
      </c>
    </row>
    <row r="4423" spans="1:9" x14ac:dyDescent="0.25">
      <c r="E4423" s="7"/>
      <c r="F4423" t="s">
        <v>20</v>
      </c>
      <c r="G4423" s="10" t="s">
        <v>21</v>
      </c>
      <c r="H4423" t="str">
        <f>"200908291"</f>
        <v>200908291</v>
      </c>
      <c r="I4423" t="str">
        <f>"BOOTS"</f>
        <v>BOOTS</v>
      </c>
    </row>
    <row r="4424" spans="1:9" x14ac:dyDescent="0.25">
      <c r="A4424" s="6">
        <v>44454</v>
      </c>
      <c r="B4424" t="s">
        <v>26</v>
      </c>
      <c r="C4424">
        <v>67639</v>
      </c>
      <c r="D4424" t="s">
        <v>698</v>
      </c>
      <c r="E4424" s="7">
        <v>125</v>
      </c>
      <c r="F4424" t="s">
        <v>20</v>
      </c>
      <c r="G4424" s="10" t="s">
        <v>21</v>
      </c>
      <c r="H4424" t="str">
        <f>"9/11/2021"</f>
        <v>9/11/2021</v>
      </c>
      <c r="I4424" t="str">
        <f>"TRACY ORTIZ"</f>
        <v>TRACY ORTIZ</v>
      </c>
    </row>
    <row r="4425" spans="1:9" x14ac:dyDescent="0.25">
      <c r="A4425" s="6">
        <v>44454</v>
      </c>
      <c r="B4425" t="s">
        <v>26</v>
      </c>
      <c r="C4425">
        <v>67640</v>
      </c>
      <c r="D4425" t="s">
        <v>963</v>
      </c>
      <c r="E4425" s="7">
        <v>515.20000000000005</v>
      </c>
      <c r="F4425" t="s">
        <v>20</v>
      </c>
      <c r="G4425" s="10" t="s">
        <v>21</v>
      </c>
      <c r="H4425" t="str">
        <f>"110"</f>
        <v>110</v>
      </c>
      <c r="I4425" t="str">
        <f>"TRACY VENTURA"</f>
        <v>TRACY VENTURA</v>
      </c>
    </row>
    <row r="4426" spans="1:9" x14ac:dyDescent="0.25">
      <c r="A4426" s="6">
        <v>44454</v>
      </c>
      <c r="B4426" t="s">
        <v>26</v>
      </c>
      <c r="C4426">
        <v>67641</v>
      </c>
      <c r="D4426" t="s">
        <v>644</v>
      </c>
      <c r="E4426" s="7">
        <v>1036.8599999999999</v>
      </c>
      <c r="F4426" t="s">
        <v>20</v>
      </c>
      <c r="G4426" s="10" t="s">
        <v>21</v>
      </c>
      <c r="H4426" t="str">
        <f>"8213634732"</f>
        <v>8213634732</v>
      </c>
      <c r="I4426" t="str">
        <f t="shared" ref="I4426:I4437" si="96">"UNIFIRST CORPORATION"</f>
        <v>UNIFIRST CORPORATION</v>
      </c>
    </row>
    <row r="4427" spans="1:9" x14ac:dyDescent="0.25">
      <c r="E4427" s="7"/>
      <c r="F4427" t="s">
        <v>20</v>
      </c>
      <c r="G4427" s="10" t="s">
        <v>21</v>
      </c>
      <c r="H4427" t="str">
        <f>"8213634733"</f>
        <v>8213634733</v>
      </c>
      <c r="I4427" t="str">
        <f t="shared" si="96"/>
        <v>UNIFIRST CORPORATION</v>
      </c>
    </row>
    <row r="4428" spans="1:9" x14ac:dyDescent="0.25">
      <c r="E4428" s="7"/>
      <c r="F4428" t="s">
        <v>20</v>
      </c>
      <c r="G4428" s="10" t="s">
        <v>21</v>
      </c>
      <c r="H4428" t="str">
        <f>"8213634734"</f>
        <v>8213634734</v>
      </c>
      <c r="I4428" t="str">
        <f t="shared" si="96"/>
        <v>UNIFIRST CORPORATION</v>
      </c>
    </row>
    <row r="4429" spans="1:9" x14ac:dyDescent="0.25">
      <c r="E4429" s="7"/>
      <c r="F4429" t="s">
        <v>20</v>
      </c>
      <c r="G4429" s="10" t="s">
        <v>21</v>
      </c>
      <c r="H4429" t="str">
        <f>"8213634735"</f>
        <v>8213634735</v>
      </c>
      <c r="I4429" t="str">
        <f t="shared" si="96"/>
        <v>UNIFIRST CORPORATION</v>
      </c>
    </row>
    <row r="4430" spans="1:9" x14ac:dyDescent="0.25">
      <c r="E4430" s="7"/>
      <c r="F4430" t="s">
        <v>20</v>
      </c>
      <c r="G4430" s="10" t="s">
        <v>21</v>
      </c>
      <c r="H4430" t="str">
        <f>"8213634737"</f>
        <v>8213634737</v>
      </c>
      <c r="I4430" t="str">
        <f t="shared" si="96"/>
        <v>UNIFIRST CORPORATION</v>
      </c>
    </row>
    <row r="4431" spans="1:9" x14ac:dyDescent="0.25">
      <c r="E4431" s="7"/>
      <c r="F4431" t="s">
        <v>20</v>
      </c>
      <c r="G4431" s="10" t="s">
        <v>21</v>
      </c>
      <c r="H4431" t="str">
        <f>"8213634738"</f>
        <v>8213634738</v>
      </c>
      <c r="I4431" t="str">
        <f t="shared" si="96"/>
        <v>UNIFIRST CORPORATION</v>
      </c>
    </row>
    <row r="4432" spans="1:9" x14ac:dyDescent="0.25">
      <c r="E4432" s="7"/>
      <c r="F4432" t="s">
        <v>20</v>
      </c>
      <c r="G4432" s="10" t="s">
        <v>21</v>
      </c>
      <c r="H4432" t="str">
        <f>"8213637284"</f>
        <v>8213637284</v>
      </c>
      <c r="I4432" t="str">
        <f t="shared" si="96"/>
        <v>UNIFIRST CORPORATION</v>
      </c>
    </row>
    <row r="4433" spans="1:9" x14ac:dyDescent="0.25">
      <c r="E4433" s="7"/>
      <c r="F4433" t="s">
        <v>20</v>
      </c>
      <c r="G4433" s="10" t="s">
        <v>21</v>
      </c>
      <c r="H4433" t="str">
        <f>"8213637285"</f>
        <v>8213637285</v>
      </c>
      <c r="I4433" t="str">
        <f t="shared" si="96"/>
        <v>UNIFIRST CORPORATION</v>
      </c>
    </row>
    <row r="4434" spans="1:9" x14ac:dyDescent="0.25">
      <c r="E4434" s="7"/>
      <c r="F4434" t="s">
        <v>20</v>
      </c>
      <c r="G4434" s="10" t="s">
        <v>21</v>
      </c>
      <c r="H4434" t="str">
        <f>"8213637286"</f>
        <v>8213637286</v>
      </c>
      <c r="I4434" t="str">
        <f t="shared" si="96"/>
        <v>UNIFIRST CORPORATION</v>
      </c>
    </row>
    <row r="4435" spans="1:9" x14ac:dyDescent="0.25">
      <c r="E4435" s="7"/>
      <c r="F4435" t="s">
        <v>20</v>
      </c>
      <c r="G4435" s="10" t="s">
        <v>21</v>
      </c>
      <c r="H4435" t="str">
        <f>"8213637287"</f>
        <v>8213637287</v>
      </c>
      <c r="I4435" t="str">
        <f t="shared" si="96"/>
        <v>UNIFIRST CORPORATION</v>
      </c>
    </row>
    <row r="4436" spans="1:9" x14ac:dyDescent="0.25">
      <c r="E4436" s="7"/>
      <c r="F4436" t="s">
        <v>20</v>
      </c>
      <c r="G4436" s="10" t="s">
        <v>21</v>
      </c>
      <c r="H4436" t="str">
        <f>"8213637289"</f>
        <v>8213637289</v>
      </c>
      <c r="I4436" t="str">
        <f t="shared" si="96"/>
        <v>UNIFIRST CORPORATION</v>
      </c>
    </row>
    <row r="4437" spans="1:9" x14ac:dyDescent="0.25">
      <c r="E4437" s="7"/>
      <c r="F4437" t="s">
        <v>20</v>
      </c>
      <c r="G4437" s="10" t="s">
        <v>21</v>
      </c>
      <c r="H4437" t="str">
        <f>"8213637290"</f>
        <v>8213637290</v>
      </c>
      <c r="I4437" t="str">
        <f t="shared" si="96"/>
        <v>UNIFIRST CORPORATION</v>
      </c>
    </row>
    <row r="4438" spans="1:9" x14ac:dyDescent="0.25">
      <c r="A4438" s="6">
        <v>44454</v>
      </c>
      <c r="B4438" t="s">
        <v>26</v>
      </c>
      <c r="C4438">
        <v>67644</v>
      </c>
      <c r="D4438" t="s">
        <v>120</v>
      </c>
      <c r="E4438" s="7">
        <v>22219.85</v>
      </c>
      <c r="F4438" t="s">
        <v>20</v>
      </c>
      <c r="G4438" s="10" t="s">
        <v>21</v>
      </c>
      <c r="H4438" t="str">
        <f>"71931373"</f>
        <v>71931373</v>
      </c>
      <c r="I4438" t="str">
        <f>"VERIZON BUSINESS"</f>
        <v>VERIZON BUSINESS</v>
      </c>
    </row>
    <row r="4439" spans="1:9" x14ac:dyDescent="0.25">
      <c r="E4439" s="7"/>
      <c r="F4439" t="s">
        <v>20</v>
      </c>
      <c r="G4439" s="10" t="s">
        <v>21</v>
      </c>
      <c r="H4439" t="str">
        <f>"71931545"</f>
        <v>71931545</v>
      </c>
      <c r="I4439" t="str">
        <f>"VERIZON BUSINESS"</f>
        <v>VERIZON BUSINESS</v>
      </c>
    </row>
    <row r="4440" spans="1:9" x14ac:dyDescent="0.25">
      <c r="A4440" s="6">
        <v>44454</v>
      </c>
      <c r="B4440" t="s">
        <v>26</v>
      </c>
      <c r="C4440">
        <v>67645</v>
      </c>
      <c r="D4440" t="s">
        <v>202</v>
      </c>
      <c r="E4440" s="7">
        <v>992.24</v>
      </c>
      <c r="F4440" t="s">
        <v>20</v>
      </c>
      <c r="G4440" s="10" t="s">
        <v>21</v>
      </c>
      <c r="H4440" t="str">
        <f>"62346873"</f>
        <v>62346873</v>
      </c>
      <c r="I4440" t="str">
        <f>"A-2 BASE FOR LIFE STATION"</f>
        <v>A-2 BASE FOR LIFE STATION</v>
      </c>
    </row>
    <row r="4441" spans="1:9" x14ac:dyDescent="0.25">
      <c r="A4441" s="6">
        <v>44454</v>
      </c>
      <c r="B4441" t="s">
        <v>26</v>
      </c>
      <c r="C4441">
        <v>67646</v>
      </c>
      <c r="D4441" t="s">
        <v>226</v>
      </c>
      <c r="E4441" s="7">
        <v>3000</v>
      </c>
      <c r="F4441" t="s">
        <v>20</v>
      </c>
      <c r="G4441" s="10" t="s">
        <v>21</v>
      </c>
      <c r="H4441" t="str">
        <f>"5315"</f>
        <v>5315</v>
      </c>
      <c r="I4441" t="str">
        <f>"WIATREK'S SERVICES"</f>
        <v>WIATREK'S SERVICES</v>
      </c>
    </row>
    <row r="4442" spans="1:9" x14ac:dyDescent="0.25">
      <c r="A4442" s="6">
        <v>44454</v>
      </c>
      <c r="B4442" t="s">
        <v>26</v>
      </c>
      <c r="C4442">
        <v>67647</v>
      </c>
      <c r="D4442" t="s">
        <v>104</v>
      </c>
      <c r="E4442" s="7">
        <v>2588.1</v>
      </c>
      <c r="F4442" t="s">
        <v>20</v>
      </c>
      <c r="G4442" s="10" t="s">
        <v>21</v>
      </c>
      <c r="H4442" t="str">
        <f>"18039"</f>
        <v>18039</v>
      </c>
      <c r="I4442" t="str">
        <f t="shared" ref="I4442:I4450" si="97">"WILSON COUNTY NEWS"</f>
        <v>WILSON COUNTY NEWS</v>
      </c>
    </row>
    <row r="4443" spans="1:9" x14ac:dyDescent="0.25">
      <c r="E4443" s="7"/>
      <c r="F4443" t="s">
        <v>20</v>
      </c>
      <c r="G4443" s="10" t="s">
        <v>21</v>
      </c>
      <c r="H4443" t="str">
        <f>"18040"</f>
        <v>18040</v>
      </c>
      <c r="I4443" t="str">
        <f t="shared" si="97"/>
        <v>WILSON COUNTY NEWS</v>
      </c>
    </row>
    <row r="4444" spans="1:9" x14ac:dyDescent="0.25">
      <c r="E4444" s="7"/>
      <c r="F4444" t="s">
        <v>20</v>
      </c>
      <c r="G4444" s="10" t="s">
        <v>21</v>
      </c>
      <c r="H4444" t="str">
        <f>"18974"</f>
        <v>18974</v>
      </c>
      <c r="I4444" t="str">
        <f t="shared" si="97"/>
        <v>WILSON COUNTY NEWS</v>
      </c>
    </row>
    <row r="4445" spans="1:9" x14ac:dyDescent="0.25">
      <c r="E4445" s="7"/>
      <c r="F4445" t="s">
        <v>20</v>
      </c>
      <c r="G4445" s="10" t="s">
        <v>21</v>
      </c>
      <c r="H4445" t="str">
        <f>"19294"</f>
        <v>19294</v>
      </c>
      <c r="I4445" t="str">
        <f t="shared" si="97"/>
        <v>WILSON COUNTY NEWS</v>
      </c>
    </row>
    <row r="4446" spans="1:9" x14ac:dyDescent="0.25">
      <c r="E4446" s="7"/>
      <c r="F4446" t="s">
        <v>20</v>
      </c>
      <c r="G4446" s="10" t="s">
        <v>21</v>
      </c>
      <c r="H4446" t="str">
        <f>"19296"</f>
        <v>19296</v>
      </c>
      <c r="I4446" t="str">
        <f t="shared" si="97"/>
        <v>WILSON COUNTY NEWS</v>
      </c>
    </row>
    <row r="4447" spans="1:9" x14ac:dyDescent="0.25">
      <c r="E4447" s="7"/>
      <c r="F4447" t="s">
        <v>20</v>
      </c>
      <c r="G4447" s="10" t="s">
        <v>21</v>
      </c>
      <c r="H4447" t="str">
        <f>"19952"</f>
        <v>19952</v>
      </c>
      <c r="I4447" t="str">
        <f t="shared" si="97"/>
        <v>WILSON COUNTY NEWS</v>
      </c>
    </row>
    <row r="4448" spans="1:9" x14ac:dyDescent="0.25">
      <c r="E4448" s="7"/>
      <c r="F4448" t="s">
        <v>20</v>
      </c>
      <c r="G4448" s="10" t="s">
        <v>21</v>
      </c>
      <c r="H4448" t="str">
        <f>"19989"</f>
        <v>19989</v>
      </c>
      <c r="I4448" t="str">
        <f t="shared" si="97"/>
        <v>WILSON COUNTY NEWS</v>
      </c>
    </row>
    <row r="4449" spans="1:9" x14ac:dyDescent="0.25">
      <c r="E4449" s="7"/>
      <c r="F4449" t="s">
        <v>20</v>
      </c>
      <c r="G4449" s="10" t="s">
        <v>21</v>
      </c>
      <c r="H4449" t="str">
        <f>"20619"</f>
        <v>20619</v>
      </c>
      <c r="I4449" t="str">
        <f t="shared" si="97"/>
        <v>WILSON COUNTY NEWS</v>
      </c>
    </row>
    <row r="4450" spans="1:9" x14ac:dyDescent="0.25">
      <c r="E4450" s="7"/>
      <c r="F4450" t="s">
        <v>20</v>
      </c>
      <c r="G4450" s="10" t="s">
        <v>21</v>
      </c>
      <c r="H4450" t="str">
        <f>"20635"</f>
        <v>20635</v>
      </c>
      <c r="I4450" t="str">
        <f t="shared" si="97"/>
        <v>WILSON COUNTY NEWS</v>
      </c>
    </row>
    <row r="4451" spans="1:9" x14ac:dyDescent="0.25">
      <c r="A4451" s="6">
        <v>44454</v>
      </c>
      <c r="B4451" t="s">
        <v>26</v>
      </c>
      <c r="C4451">
        <v>67649</v>
      </c>
      <c r="D4451" t="s">
        <v>92</v>
      </c>
      <c r="E4451" s="7">
        <v>36522.6</v>
      </c>
      <c r="F4451" t="s">
        <v>20</v>
      </c>
      <c r="G4451" s="10" t="s">
        <v>21</v>
      </c>
      <c r="H4451" t="str">
        <f>"RET202108108618"</f>
        <v>RET202108108618</v>
      </c>
      <c r="I4451" t="str">
        <f>"TMRS CITY OF FLORESVILLE"</f>
        <v>TMRS CITY OF FLORESVILLE</v>
      </c>
    </row>
    <row r="4452" spans="1:9" x14ac:dyDescent="0.25">
      <c r="E4452" s="7"/>
      <c r="F4452" t="s">
        <v>20</v>
      </c>
      <c r="G4452" s="10" t="s">
        <v>21</v>
      </c>
      <c r="H4452" t="str">
        <f>"RET202108248619"</f>
        <v>RET202108248619</v>
      </c>
      <c r="I4452" t="str">
        <f>"TMRS CITY OF FLORESVILLE"</f>
        <v>TMRS CITY OF FLORESVILLE</v>
      </c>
    </row>
    <row r="4453" spans="1:9" x14ac:dyDescent="0.25">
      <c r="A4453" s="6">
        <v>44454</v>
      </c>
      <c r="B4453" t="s">
        <v>26</v>
      </c>
      <c r="C4453">
        <v>67653</v>
      </c>
      <c r="D4453" t="s">
        <v>103</v>
      </c>
      <c r="E4453" s="7">
        <v>83093.119999999995</v>
      </c>
      <c r="F4453" t="s">
        <v>20</v>
      </c>
      <c r="G4453" s="10" t="s">
        <v>21</v>
      </c>
      <c r="H4453" t="str">
        <f>"SALEX TAX 9/2021"</f>
        <v>SALEX TAX 9/2021</v>
      </c>
      <c r="I4453" t="str">
        <f>"F. E. D. C."</f>
        <v>F. E. D. C.</v>
      </c>
    </row>
    <row r="4454" spans="1:9" x14ac:dyDescent="0.25">
      <c r="A4454" s="6">
        <v>44454</v>
      </c>
      <c r="B4454" t="s">
        <v>26</v>
      </c>
      <c r="C4454">
        <v>67654</v>
      </c>
      <c r="D4454" t="s">
        <v>240</v>
      </c>
      <c r="E4454" s="7">
        <v>1992.5</v>
      </c>
      <c r="F4454" t="s">
        <v>20</v>
      </c>
      <c r="G4454" s="10" t="s">
        <v>21</v>
      </c>
      <c r="H4454" t="str">
        <f>"0214613-IN"</f>
        <v>0214613-IN</v>
      </c>
      <c r="I4454" t="str">
        <f>"NEW OFFICER VEST"</f>
        <v>NEW OFFICER VEST</v>
      </c>
    </row>
    <row r="4455" spans="1:9" x14ac:dyDescent="0.25">
      <c r="E4455" s="7"/>
      <c r="F4455" t="s">
        <v>20</v>
      </c>
      <c r="G4455" s="10" t="s">
        <v>21</v>
      </c>
      <c r="H4455" t="str">
        <f>"0214696-IN"</f>
        <v>0214696-IN</v>
      </c>
      <c r="I4455" t="str">
        <f>"NEW OFFICER VEST"</f>
        <v>NEW OFFICER VEST</v>
      </c>
    </row>
    <row r="4456" spans="1:9" x14ac:dyDescent="0.25">
      <c r="A4456" s="6">
        <v>44454</v>
      </c>
      <c r="B4456" t="s">
        <v>26</v>
      </c>
      <c r="C4456">
        <v>67655</v>
      </c>
      <c r="D4456" t="s">
        <v>689</v>
      </c>
      <c r="E4456" s="7">
        <v>330</v>
      </c>
      <c r="F4456" t="s">
        <v>20</v>
      </c>
      <c r="G4456" s="10" t="s">
        <v>21</v>
      </c>
      <c r="H4456" t="str">
        <f>"4111"</f>
        <v>4111</v>
      </c>
      <c r="I4456" t="str">
        <f>"B ST WELL SOLENOID VALVE"</f>
        <v>B ST WELL SOLENOID VALVE</v>
      </c>
    </row>
    <row r="4457" spans="1:9" x14ac:dyDescent="0.25">
      <c r="A4457" s="6">
        <v>44454</v>
      </c>
      <c r="B4457" t="s">
        <v>26</v>
      </c>
      <c r="C4457">
        <v>67656</v>
      </c>
      <c r="D4457" t="s">
        <v>419</v>
      </c>
      <c r="E4457" s="7">
        <v>92</v>
      </c>
      <c r="F4457" t="s">
        <v>20</v>
      </c>
      <c r="G4457" s="10" t="s">
        <v>21</v>
      </c>
      <c r="H4457" t="str">
        <f>"BKGRND INVST 9/21"</f>
        <v>BKGRND INVST 9/21</v>
      </c>
      <c r="I4457" t="str">
        <f>"GEORGE ORTIZ"</f>
        <v>GEORGE ORTIZ</v>
      </c>
    </row>
    <row r="4458" spans="1:9" x14ac:dyDescent="0.25">
      <c r="A4458" s="6">
        <v>44454</v>
      </c>
      <c r="B4458" t="s">
        <v>26</v>
      </c>
      <c r="C4458">
        <v>67657</v>
      </c>
      <c r="D4458" t="s">
        <v>74</v>
      </c>
      <c r="E4458" s="7">
        <v>917.6</v>
      </c>
      <c r="F4458" t="s">
        <v>20</v>
      </c>
      <c r="G4458" s="10" t="s">
        <v>21</v>
      </c>
      <c r="H4458" t="str">
        <f>"9886969245- CITY"</f>
        <v>9886969245- CITY</v>
      </c>
      <c r="I4458" t="str">
        <f>"VERIZON WIRELESS"</f>
        <v>VERIZON WIRELESS</v>
      </c>
    </row>
    <row r="4459" spans="1:9" x14ac:dyDescent="0.25">
      <c r="A4459" s="6">
        <v>44454</v>
      </c>
      <c r="B4459" t="s">
        <v>26</v>
      </c>
      <c r="C4459">
        <v>67659</v>
      </c>
      <c r="D4459" t="s">
        <v>74</v>
      </c>
      <c r="E4459" s="7">
        <v>4499.78</v>
      </c>
      <c r="F4459" t="s">
        <v>20</v>
      </c>
      <c r="G4459" s="10" t="s">
        <v>21</v>
      </c>
      <c r="H4459" t="str">
        <f>"9886969246"</f>
        <v>9886969246</v>
      </c>
      <c r="I4459" t="str">
        <f>"VERIZON WIRELESS"</f>
        <v>VERIZON WIRELESS</v>
      </c>
    </row>
    <row r="4460" spans="1:9" x14ac:dyDescent="0.25">
      <c r="A4460" s="6">
        <v>44455</v>
      </c>
      <c r="B4460" t="s">
        <v>26</v>
      </c>
      <c r="C4460">
        <v>67661</v>
      </c>
      <c r="D4460" t="s">
        <v>1117</v>
      </c>
      <c r="E4460" s="7">
        <v>119.06</v>
      </c>
      <c r="F4460" t="s">
        <v>20</v>
      </c>
      <c r="G4460" s="10" t="s">
        <v>21</v>
      </c>
      <c r="H4460" t="str">
        <f>"BOOT REIMBSTMT"</f>
        <v>BOOT REIMBSTMT</v>
      </c>
      <c r="I4460" t="str">
        <f>"JACOB MONTOYA"</f>
        <v>JACOB MONTOYA</v>
      </c>
    </row>
    <row r="4461" spans="1:9" x14ac:dyDescent="0.25">
      <c r="A4461" s="6">
        <v>44456</v>
      </c>
      <c r="B4461" t="s">
        <v>91</v>
      </c>
      <c r="C4461">
        <v>67662</v>
      </c>
      <c r="D4461" t="s">
        <v>216</v>
      </c>
      <c r="E4461" s="7">
        <v>40316.25</v>
      </c>
      <c r="F4461" t="s">
        <v>20</v>
      </c>
      <c r="G4461" s="10" t="s">
        <v>21</v>
      </c>
      <c r="H4461" t="str">
        <f>"BID SERIES 133"</f>
        <v>BID SERIES 133</v>
      </c>
      <c r="I4461" t="str">
        <f>"PD EXPLOER 2021"</f>
        <v>PD EXPLOER 2021</v>
      </c>
    </row>
    <row r="4462" spans="1:9" x14ac:dyDescent="0.25">
      <c r="A4462" s="6">
        <v>44456</v>
      </c>
      <c r="B4462" t="s">
        <v>91</v>
      </c>
      <c r="C4462">
        <v>67662</v>
      </c>
      <c r="D4462" t="s">
        <v>216</v>
      </c>
      <c r="E4462" s="7">
        <v>40316.25</v>
      </c>
      <c r="F4462" t="s">
        <v>20</v>
      </c>
      <c r="G4462" s="10" t="s">
        <v>93</v>
      </c>
      <c r="H4462" t="str">
        <f>"CHECK"</f>
        <v>CHECK</v>
      </c>
      <c r="I4462" t="str">
        <f>""</f>
        <v/>
      </c>
    </row>
    <row r="4463" spans="1:9" x14ac:dyDescent="0.25">
      <c r="A4463" s="6">
        <v>44460</v>
      </c>
      <c r="B4463" t="s">
        <v>26</v>
      </c>
      <c r="C4463">
        <v>67668</v>
      </c>
      <c r="D4463" t="s">
        <v>51</v>
      </c>
      <c r="E4463" s="7">
        <v>346.31</v>
      </c>
      <c r="F4463" t="s">
        <v>20</v>
      </c>
      <c r="G4463" s="10" t="s">
        <v>21</v>
      </c>
      <c r="H4463" t="str">
        <f>"CLE202109218622"</f>
        <v>CLE202109218622</v>
      </c>
      <c r="I4463" t="str">
        <f>"CLEAT ONLY DUES"</f>
        <v>CLEAT ONLY DUES</v>
      </c>
    </row>
    <row r="4464" spans="1:9" x14ac:dyDescent="0.25">
      <c r="E4464" s="7"/>
      <c r="F4464" t="s">
        <v>20</v>
      </c>
      <c r="G4464" s="10" t="s">
        <v>21</v>
      </c>
      <c r="H4464" t="str">
        <f>"PDD202109218622"</f>
        <v>PDD202109218622</v>
      </c>
      <c r="I4464" t="str">
        <f>"POLICE OFFICERS ASSOC DUES"</f>
        <v>POLICE OFFICERS ASSOC DUES</v>
      </c>
    </row>
    <row r="4465" spans="1:9" x14ac:dyDescent="0.25">
      <c r="A4465" s="6">
        <v>44460</v>
      </c>
      <c r="B4465" t="s">
        <v>26</v>
      </c>
      <c r="C4465">
        <v>67669</v>
      </c>
      <c r="D4465" t="s">
        <v>52</v>
      </c>
      <c r="E4465" s="7">
        <v>991.16</v>
      </c>
      <c r="F4465" t="s">
        <v>20</v>
      </c>
      <c r="G4465" s="10" t="s">
        <v>21</v>
      </c>
      <c r="H4465" t="str">
        <f>"CA1202109218622"</f>
        <v>CA1202109218622</v>
      </c>
      <c r="I4465" t="str">
        <f>"K RAMIREZ 001200229510060343CV"</f>
        <v>K RAMIREZ 001200229510060343CV</v>
      </c>
    </row>
    <row r="4466" spans="1:9" x14ac:dyDescent="0.25">
      <c r="E4466" s="7"/>
      <c r="F4466" t="s">
        <v>20</v>
      </c>
      <c r="G4466" s="10" t="s">
        <v>21</v>
      </c>
      <c r="H4466" t="str">
        <f>"CA2202109218622"</f>
        <v>CA2202109218622</v>
      </c>
      <c r="I4466" t="str">
        <f>"L HERNANDEZ 001016025203080354"</f>
        <v>L HERNANDEZ 001016025203080354</v>
      </c>
    </row>
    <row r="4467" spans="1:9" x14ac:dyDescent="0.25">
      <c r="E4467" s="7"/>
      <c r="F4467" t="s">
        <v>20</v>
      </c>
      <c r="G4467" s="10" t="s">
        <v>21</v>
      </c>
      <c r="H4467" t="str">
        <f>"CA3202109218622"</f>
        <v>CA3202109218622</v>
      </c>
      <c r="I4467" t="str">
        <f>"00120788612011EM5023JOLENEGARC"</f>
        <v>00120788612011EM5023JOLENEGARC</v>
      </c>
    </row>
    <row r="4468" spans="1:9" x14ac:dyDescent="0.25">
      <c r="E4468" s="7"/>
      <c r="F4468" t="s">
        <v>20</v>
      </c>
      <c r="G4468" s="10" t="s">
        <v>21</v>
      </c>
      <c r="H4468" t="str">
        <f>"CSA202109218622"</f>
        <v>CSA202109218622</v>
      </c>
      <c r="I4468" t="str">
        <f>"S RODRIGUEZ 001281730413050336"</f>
        <v>S RODRIGUEZ 001281730413050336</v>
      </c>
    </row>
    <row r="4469" spans="1:9" x14ac:dyDescent="0.25">
      <c r="E4469" s="7"/>
      <c r="F4469" t="s">
        <v>20</v>
      </c>
      <c r="G4469" s="10" t="s">
        <v>21</v>
      </c>
      <c r="H4469" t="str">
        <f>"CSI202109218622"</f>
        <v>CSI202109218622</v>
      </c>
      <c r="I4469" t="str">
        <f>"KTRINIDAD0014071774CVW2000777"</f>
        <v>KTRINIDAD0014071774CVW2000777</v>
      </c>
    </row>
    <row r="4470" spans="1:9" x14ac:dyDescent="0.25">
      <c r="E4470" s="7"/>
      <c r="F4470" t="s">
        <v>20</v>
      </c>
      <c r="G4470" s="10" t="s">
        <v>21</v>
      </c>
      <c r="H4470" t="str">
        <f>"CSR202109218622"</f>
        <v>CSR202109218622</v>
      </c>
      <c r="I4470" t="str">
        <f>"A BARRIENTE 14189017CVW2100560"</f>
        <v>A BARRIENTE 14189017CVW2100560</v>
      </c>
    </row>
    <row r="4471" spans="1:9" x14ac:dyDescent="0.25">
      <c r="A4471" s="6">
        <v>44460</v>
      </c>
      <c r="B4471" t="s">
        <v>26</v>
      </c>
      <c r="C4471">
        <v>67670</v>
      </c>
      <c r="D4471" t="s">
        <v>54</v>
      </c>
      <c r="E4471" s="7">
        <v>1083.6500000000001</v>
      </c>
      <c r="F4471" t="s">
        <v>20</v>
      </c>
      <c r="G4471" s="10" t="s">
        <v>21</v>
      </c>
      <c r="H4471" t="str">
        <f>"BRE202109218622"</f>
        <v>BRE202109218622</v>
      </c>
      <c r="I4471" t="str">
        <f>"CASE #180-60751 457B DEDUCT"</f>
        <v>CASE #180-60751 457B DEDUCT</v>
      </c>
    </row>
    <row r="4472" spans="1:9" x14ac:dyDescent="0.25">
      <c r="A4472" s="6">
        <v>44460</v>
      </c>
      <c r="B4472" t="s">
        <v>26</v>
      </c>
      <c r="C4472">
        <v>67671</v>
      </c>
      <c r="D4472" t="s">
        <v>102</v>
      </c>
      <c r="E4472" s="7">
        <v>121.35</v>
      </c>
      <c r="F4472" t="s">
        <v>20</v>
      </c>
      <c r="G4472" s="10" t="s">
        <v>21</v>
      </c>
      <c r="H4472" t="str">
        <f>"1120 C ST AUG.2021"</f>
        <v>1120 C ST AUG.2021</v>
      </c>
      <c r="I4472" t="str">
        <f>"CENTERPOINT ENERGY ENTEX"</f>
        <v>CENTERPOINT ENERGY ENTEX</v>
      </c>
    </row>
    <row r="4473" spans="1:9" x14ac:dyDescent="0.25">
      <c r="E4473" s="7"/>
      <c r="F4473" t="s">
        <v>20</v>
      </c>
      <c r="G4473" s="10" t="s">
        <v>21</v>
      </c>
      <c r="H4473" t="str">
        <f>"1200 1ST AUG.2021"</f>
        <v>1200 1ST AUG.2021</v>
      </c>
      <c r="I4473" t="str">
        <f>"CENTERPOINT ENERGY ENTEX"</f>
        <v>CENTERPOINT ENERGY ENTEX</v>
      </c>
    </row>
    <row r="4474" spans="1:9" x14ac:dyDescent="0.25">
      <c r="E4474" s="7"/>
      <c r="F4474" t="s">
        <v>20</v>
      </c>
      <c r="G4474" s="10" t="s">
        <v>21</v>
      </c>
      <c r="H4474" t="str">
        <f>"920 C. ST AUG.2021"</f>
        <v>920 C. ST AUG.2021</v>
      </c>
      <c r="I4474" t="str">
        <f>"CENTERPOINT ENERGY ENTEX"</f>
        <v>CENTERPOINT ENERGY ENTEX</v>
      </c>
    </row>
    <row r="4475" spans="1:9" x14ac:dyDescent="0.25">
      <c r="A4475" s="6">
        <v>44460</v>
      </c>
      <c r="B4475" t="s">
        <v>26</v>
      </c>
      <c r="C4475">
        <v>67672</v>
      </c>
      <c r="D4475" t="s">
        <v>104</v>
      </c>
      <c r="E4475" s="7">
        <v>279</v>
      </c>
      <c r="F4475" t="s">
        <v>20</v>
      </c>
      <c r="G4475" s="10" t="s">
        <v>21</v>
      </c>
      <c r="H4475" t="str">
        <f>"45214"</f>
        <v>45214</v>
      </c>
      <c r="I4475" t="str">
        <f>"JACKETS FOR COURT"</f>
        <v>JACKETS FOR COURT</v>
      </c>
    </row>
    <row r="4476" spans="1:9" x14ac:dyDescent="0.25">
      <c r="A4476" s="6">
        <v>44460</v>
      </c>
      <c r="B4476" t="s">
        <v>26</v>
      </c>
      <c r="C4476">
        <v>67673</v>
      </c>
      <c r="D4476" t="s">
        <v>202</v>
      </c>
      <c r="E4476" s="7">
        <v>1890.84</v>
      </c>
      <c r="F4476" t="s">
        <v>20</v>
      </c>
      <c r="G4476" s="10" t="s">
        <v>21</v>
      </c>
      <c r="H4476" t="str">
        <f>"62350767"</f>
        <v>62350767</v>
      </c>
      <c r="I4476" t="str">
        <f>"A-2 BASE"</f>
        <v>A-2 BASE</v>
      </c>
    </row>
    <row r="4477" spans="1:9" x14ac:dyDescent="0.25">
      <c r="A4477" s="6">
        <v>44460</v>
      </c>
      <c r="B4477" t="s">
        <v>26</v>
      </c>
      <c r="C4477">
        <v>67674</v>
      </c>
      <c r="D4477" t="s">
        <v>180</v>
      </c>
      <c r="E4477" s="7">
        <v>129.88999999999999</v>
      </c>
      <c r="F4477" t="s">
        <v>20</v>
      </c>
      <c r="G4477" s="10" t="s">
        <v>21</v>
      </c>
      <c r="H4477" t="str">
        <f>"651987"</f>
        <v>651987</v>
      </c>
      <c r="I4477" t="str">
        <f>"DITTMAR LUMBER CO."</f>
        <v>DITTMAR LUMBER CO.</v>
      </c>
    </row>
    <row r="4478" spans="1:9" x14ac:dyDescent="0.25">
      <c r="A4478" s="6">
        <v>44460</v>
      </c>
      <c r="B4478" t="s">
        <v>26</v>
      </c>
      <c r="C4478">
        <v>67675</v>
      </c>
      <c r="D4478" t="s">
        <v>110</v>
      </c>
      <c r="E4478" s="7">
        <v>28518.41</v>
      </c>
      <c r="F4478" t="s">
        <v>20</v>
      </c>
      <c r="G4478" s="10" t="s">
        <v>21</v>
      </c>
      <c r="H4478" t="str">
        <f>"86051"</f>
        <v>86051</v>
      </c>
      <c r="I4478" t="str">
        <f t="shared" ref="I4478:I4519" si="98">"BUREAU VERITAS NORTH AMERICA"</f>
        <v>BUREAU VERITAS NORTH AMERICA</v>
      </c>
    </row>
    <row r="4479" spans="1:9" x14ac:dyDescent="0.25">
      <c r="E4479" s="7"/>
      <c r="F4479" t="s">
        <v>20</v>
      </c>
      <c r="G4479" s="10" t="s">
        <v>21</v>
      </c>
      <c r="H4479" t="str">
        <f>"86332"</f>
        <v>86332</v>
      </c>
      <c r="I4479" t="str">
        <f t="shared" si="98"/>
        <v>BUREAU VERITAS NORTH AMERICA</v>
      </c>
    </row>
    <row r="4480" spans="1:9" x14ac:dyDescent="0.25">
      <c r="E4480" s="7"/>
      <c r="F4480" t="s">
        <v>20</v>
      </c>
      <c r="G4480" s="10" t="s">
        <v>21</v>
      </c>
      <c r="H4480" t="str">
        <f>"86333"</f>
        <v>86333</v>
      </c>
      <c r="I4480" t="str">
        <f t="shared" si="98"/>
        <v>BUREAU VERITAS NORTH AMERICA</v>
      </c>
    </row>
    <row r="4481" spans="5:9" x14ac:dyDescent="0.25">
      <c r="E4481" s="7"/>
      <c r="F4481" t="s">
        <v>20</v>
      </c>
      <c r="G4481" s="10" t="s">
        <v>21</v>
      </c>
      <c r="H4481" t="str">
        <f>"86334"</f>
        <v>86334</v>
      </c>
      <c r="I4481" t="str">
        <f t="shared" si="98"/>
        <v>BUREAU VERITAS NORTH AMERICA</v>
      </c>
    </row>
    <row r="4482" spans="5:9" x14ac:dyDescent="0.25">
      <c r="E4482" s="7"/>
      <c r="F4482" t="s">
        <v>20</v>
      </c>
      <c r="G4482" s="10" t="s">
        <v>21</v>
      </c>
      <c r="H4482" t="str">
        <f>"86335"</f>
        <v>86335</v>
      </c>
      <c r="I4482" t="str">
        <f t="shared" si="98"/>
        <v>BUREAU VERITAS NORTH AMERICA</v>
      </c>
    </row>
    <row r="4483" spans="5:9" x14ac:dyDescent="0.25">
      <c r="E4483" s="7"/>
      <c r="F4483" t="s">
        <v>20</v>
      </c>
      <c r="G4483" s="10" t="s">
        <v>21</v>
      </c>
      <c r="H4483" t="str">
        <f>"86336"</f>
        <v>86336</v>
      </c>
      <c r="I4483" t="str">
        <f t="shared" si="98"/>
        <v>BUREAU VERITAS NORTH AMERICA</v>
      </c>
    </row>
    <row r="4484" spans="5:9" x14ac:dyDescent="0.25">
      <c r="E4484" s="7"/>
      <c r="F4484" t="s">
        <v>20</v>
      </c>
      <c r="G4484" s="10" t="s">
        <v>21</v>
      </c>
      <c r="H4484" t="str">
        <f>"86337"</f>
        <v>86337</v>
      </c>
      <c r="I4484" t="str">
        <f t="shared" si="98"/>
        <v>BUREAU VERITAS NORTH AMERICA</v>
      </c>
    </row>
    <row r="4485" spans="5:9" x14ac:dyDescent="0.25">
      <c r="E4485" s="7"/>
      <c r="F4485" t="s">
        <v>20</v>
      </c>
      <c r="G4485" s="10" t="s">
        <v>21</v>
      </c>
      <c r="H4485" t="str">
        <f>"86338"</f>
        <v>86338</v>
      </c>
      <c r="I4485" t="str">
        <f t="shared" si="98"/>
        <v>BUREAU VERITAS NORTH AMERICA</v>
      </c>
    </row>
    <row r="4486" spans="5:9" x14ac:dyDescent="0.25">
      <c r="E4486" s="7"/>
      <c r="F4486" t="s">
        <v>20</v>
      </c>
      <c r="G4486" s="10" t="s">
        <v>21</v>
      </c>
      <c r="H4486" t="str">
        <f>"86339"</f>
        <v>86339</v>
      </c>
      <c r="I4486" t="str">
        <f t="shared" si="98"/>
        <v>BUREAU VERITAS NORTH AMERICA</v>
      </c>
    </row>
    <row r="4487" spans="5:9" x14ac:dyDescent="0.25">
      <c r="E4487" s="7"/>
      <c r="F4487" t="s">
        <v>20</v>
      </c>
      <c r="G4487" s="10" t="s">
        <v>21</v>
      </c>
      <c r="H4487" t="str">
        <f>"86373"</f>
        <v>86373</v>
      </c>
      <c r="I4487" t="str">
        <f t="shared" si="98"/>
        <v>BUREAU VERITAS NORTH AMERICA</v>
      </c>
    </row>
    <row r="4488" spans="5:9" x14ac:dyDescent="0.25">
      <c r="E4488" s="7"/>
      <c r="F4488" t="s">
        <v>20</v>
      </c>
      <c r="G4488" s="10" t="s">
        <v>21</v>
      </c>
      <c r="H4488" t="str">
        <f>"86408"</f>
        <v>86408</v>
      </c>
      <c r="I4488" t="str">
        <f t="shared" si="98"/>
        <v>BUREAU VERITAS NORTH AMERICA</v>
      </c>
    </row>
    <row r="4489" spans="5:9" x14ac:dyDescent="0.25">
      <c r="E4489" s="7"/>
      <c r="F4489" t="s">
        <v>20</v>
      </c>
      <c r="G4489" s="10" t="s">
        <v>21</v>
      </c>
      <c r="H4489" t="str">
        <f>"86433"</f>
        <v>86433</v>
      </c>
      <c r="I4489" t="str">
        <f t="shared" si="98"/>
        <v>BUREAU VERITAS NORTH AMERICA</v>
      </c>
    </row>
    <row r="4490" spans="5:9" x14ac:dyDescent="0.25">
      <c r="E4490" s="7"/>
      <c r="F4490" t="s">
        <v>20</v>
      </c>
      <c r="G4490" s="10" t="s">
        <v>21</v>
      </c>
      <c r="H4490" t="str">
        <f>"86435"</f>
        <v>86435</v>
      </c>
      <c r="I4490" t="str">
        <f t="shared" si="98"/>
        <v>BUREAU VERITAS NORTH AMERICA</v>
      </c>
    </row>
    <row r="4491" spans="5:9" x14ac:dyDescent="0.25">
      <c r="E4491" s="7"/>
      <c r="F4491" t="s">
        <v>20</v>
      </c>
      <c r="G4491" s="10" t="s">
        <v>21</v>
      </c>
      <c r="H4491" t="str">
        <f>"86436"</f>
        <v>86436</v>
      </c>
      <c r="I4491" t="str">
        <f t="shared" si="98"/>
        <v>BUREAU VERITAS NORTH AMERICA</v>
      </c>
    </row>
    <row r="4492" spans="5:9" x14ac:dyDescent="0.25">
      <c r="E4492" s="7"/>
      <c r="F4492" t="s">
        <v>20</v>
      </c>
      <c r="G4492" s="10" t="s">
        <v>21</v>
      </c>
      <c r="H4492" t="str">
        <f>"86437"</f>
        <v>86437</v>
      </c>
      <c r="I4492" t="str">
        <f t="shared" si="98"/>
        <v>BUREAU VERITAS NORTH AMERICA</v>
      </c>
    </row>
    <row r="4493" spans="5:9" x14ac:dyDescent="0.25">
      <c r="E4493" s="7"/>
      <c r="F4493" t="s">
        <v>20</v>
      </c>
      <c r="G4493" s="10" t="s">
        <v>21</v>
      </c>
      <c r="H4493" t="str">
        <f>"86445"</f>
        <v>86445</v>
      </c>
      <c r="I4493" t="str">
        <f t="shared" si="98"/>
        <v>BUREAU VERITAS NORTH AMERICA</v>
      </c>
    </row>
    <row r="4494" spans="5:9" x14ac:dyDescent="0.25">
      <c r="E4494" s="7"/>
      <c r="F4494" t="s">
        <v>20</v>
      </c>
      <c r="G4494" s="10" t="s">
        <v>21</v>
      </c>
      <c r="H4494" t="str">
        <f>"86453"</f>
        <v>86453</v>
      </c>
      <c r="I4494" t="str">
        <f t="shared" si="98"/>
        <v>BUREAU VERITAS NORTH AMERICA</v>
      </c>
    </row>
    <row r="4495" spans="5:9" x14ac:dyDescent="0.25">
      <c r="E4495" s="7"/>
      <c r="F4495" t="s">
        <v>20</v>
      </c>
      <c r="G4495" s="10" t="s">
        <v>21</v>
      </c>
      <c r="H4495" t="str">
        <f>"86465"</f>
        <v>86465</v>
      </c>
      <c r="I4495" t="str">
        <f t="shared" si="98"/>
        <v>BUREAU VERITAS NORTH AMERICA</v>
      </c>
    </row>
    <row r="4496" spans="5:9" x14ac:dyDescent="0.25">
      <c r="E4496" s="7"/>
      <c r="F4496" t="s">
        <v>20</v>
      </c>
      <c r="G4496" s="10" t="s">
        <v>21</v>
      </c>
      <c r="H4496" t="str">
        <f>"86468"</f>
        <v>86468</v>
      </c>
      <c r="I4496" t="str">
        <f t="shared" si="98"/>
        <v>BUREAU VERITAS NORTH AMERICA</v>
      </c>
    </row>
    <row r="4497" spans="5:9" x14ac:dyDescent="0.25">
      <c r="E4497" s="7"/>
      <c r="F4497" t="s">
        <v>20</v>
      </c>
      <c r="G4497" s="10" t="s">
        <v>21</v>
      </c>
      <c r="H4497" t="str">
        <f>"86471"</f>
        <v>86471</v>
      </c>
      <c r="I4497" t="str">
        <f t="shared" si="98"/>
        <v>BUREAU VERITAS NORTH AMERICA</v>
      </c>
    </row>
    <row r="4498" spans="5:9" x14ac:dyDescent="0.25">
      <c r="E4498" s="7"/>
      <c r="F4498" t="s">
        <v>20</v>
      </c>
      <c r="G4498" s="10" t="s">
        <v>21</v>
      </c>
      <c r="H4498" t="str">
        <f>"86472"</f>
        <v>86472</v>
      </c>
      <c r="I4498" t="str">
        <f t="shared" si="98"/>
        <v>BUREAU VERITAS NORTH AMERICA</v>
      </c>
    </row>
    <row r="4499" spans="5:9" x14ac:dyDescent="0.25">
      <c r="E4499" s="7"/>
      <c r="F4499" t="s">
        <v>20</v>
      </c>
      <c r="G4499" s="10" t="s">
        <v>21</v>
      </c>
      <c r="H4499" t="str">
        <f>"86480"</f>
        <v>86480</v>
      </c>
      <c r="I4499" t="str">
        <f t="shared" si="98"/>
        <v>BUREAU VERITAS NORTH AMERICA</v>
      </c>
    </row>
    <row r="4500" spans="5:9" x14ac:dyDescent="0.25">
      <c r="E4500" s="7"/>
      <c r="F4500" t="s">
        <v>20</v>
      </c>
      <c r="G4500" s="10" t="s">
        <v>21</v>
      </c>
      <c r="H4500" t="str">
        <f>"86482"</f>
        <v>86482</v>
      </c>
      <c r="I4500" t="str">
        <f t="shared" si="98"/>
        <v>BUREAU VERITAS NORTH AMERICA</v>
      </c>
    </row>
    <row r="4501" spans="5:9" x14ac:dyDescent="0.25">
      <c r="E4501" s="7"/>
      <c r="F4501" t="s">
        <v>20</v>
      </c>
      <c r="G4501" s="10" t="s">
        <v>21</v>
      </c>
      <c r="H4501" t="str">
        <f>"86491"</f>
        <v>86491</v>
      </c>
      <c r="I4501" t="str">
        <f t="shared" si="98"/>
        <v>BUREAU VERITAS NORTH AMERICA</v>
      </c>
    </row>
    <row r="4502" spans="5:9" x14ac:dyDescent="0.25">
      <c r="E4502" s="7"/>
      <c r="F4502" t="s">
        <v>20</v>
      </c>
      <c r="G4502" s="10" t="s">
        <v>21</v>
      </c>
      <c r="H4502" t="str">
        <f>"86498"</f>
        <v>86498</v>
      </c>
      <c r="I4502" t="str">
        <f t="shared" si="98"/>
        <v>BUREAU VERITAS NORTH AMERICA</v>
      </c>
    </row>
    <row r="4503" spans="5:9" x14ac:dyDescent="0.25">
      <c r="E4503" s="7"/>
      <c r="F4503" t="s">
        <v>20</v>
      </c>
      <c r="G4503" s="10" t="s">
        <v>21</v>
      </c>
      <c r="H4503" t="str">
        <f>"86502"</f>
        <v>86502</v>
      </c>
      <c r="I4503" t="str">
        <f t="shared" si="98"/>
        <v>BUREAU VERITAS NORTH AMERICA</v>
      </c>
    </row>
    <row r="4504" spans="5:9" x14ac:dyDescent="0.25">
      <c r="E4504" s="7"/>
      <c r="F4504" t="s">
        <v>20</v>
      </c>
      <c r="G4504" s="10" t="s">
        <v>21</v>
      </c>
      <c r="H4504" t="str">
        <f>"86503"</f>
        <v>86503</v>
      </c>
      <c r="I4504" t="str">
        <f t="shared" si="98"/>
        <v>BUREAU VERITAS NORTH AMERICA</v>
      </c>
    </row>
    <row r="4505" spans="5:9" x14ac:dyDescent="0.25">
      <c r="E4505" s="7"/>
      <c r="F4505" t="s">
        <v>20</v>
      </c>
      <c r="G4505" s="10" t="s">
        <v>21</v>
      </c>
      <c r="H4505" t="str">
        <f>"86504"</f>
        <v>86504</v>
      </c>
      <c r="I4505" t="str">
        <f t="shared" si="98"/>
        <v>BUREAU VERITAS NORTH AMERICA</v>
      </c>
    </row>
    <row r="4506" spans="5:9" x14ac:dyDescent="0.25">
      <c r="E4506" s="7"/>
      <c r="F4506" t="s">
        <v>20</v>
      </c>
      <c r="G4506" s="10" t="s">
        <v>21</v>
      </c>
      <c r="H4506" t="str">
        <f>"86505"</f>
        <v>86505</v>
      </c>
      <c r="I4506" t="str">
        <f t="shared" si="98"/>
        <v>BUREAU VERITAS NORTH AMERICA</v>
      </c>
    </row>
    <row r="4507" spans="5:9" x14ac:dyDescent="0.25">
      <c r="E4507" s="7"/>
      <c r="F4507" t="s">
        <v>20</v>
      </c>
      <c r="G4507" s="10" t="s">
        <v>21</v>
      </c>
      <c r="H4507" t="str">
        <f>"86506"</f>
        <v>86506</v>
      </c>
      <c r="I4507" t="str">
        <f t="shared" si="98"/>
        <v>BUREAU VERITAS NORTH AMERICA</v>
      </c>
    </row>
    <row r="4508" spans="5:9" x14ac:dyDescent="0.25">
      <c r="E4508" s="7"/>
      <c r="F4508" t="s">
        <v>20</v>
      </c>
      <c r="G4508" s="10" t="s">
        <v>21</v>
      </c>
      <c r="H4508" t="str">
        <f>"86508"</f>
        <v>86508</v>
      </c>
      <c r="I4508" t="str">
        <f t="shared" si="98"/>
        <v>BUREAU VERITAS NORTH AMERICA</v>
      </c>
    </row>
    <row r="4509" spans="5:9" x14ac:dyDescent="0.25">
      <c r="E4509" s="7"/>
      <c r="F4509" t="s">
        <v>20</v>
      </c>
      <c r="G4509" s="10" t="s">
        <v>21</v>
      </c>
      <c r="H4509" t="str">
        <f>"86509"</f>
        <v>86509</v>
      </c>
      <c r="I4509" t="str">
        <f t="shared" si="98"/>
        <v>BUREAU VERITAS NORTH AMERICA</v>
      </c>
    </row>
    <row r="4510" spans="5:9" x14ac:dyDescent="0.25">
      <c r="E4510" s="7"/>
      <c r="F4510" t="s">
        <v>20</v>
      </c>
      <c r="G4510" s="10" t="s">
        <v>21</v>
      </c>
      <c r="H4510" t="str">
        <f>"86511"</f>
        <v>86511</v>
      </c>
      <c r="I4510" t="str">
        <f t="shared" si="98"/>
        <v>BUREAU VERITAS NORTH AMERICA</v>
      </c>
    </row>
    <row r="4511" spans="5:9" x14ac:dyDescent="0.25">
      <c r="E4511" s="7"/>
      <c r="F4511" t="s">
        <v>20</v>
      </c>
      <c r="G4511" s="10" t="s">
        <v>21</v>
      </c>
      <c r="H4511" t="str">
        <f>"86513"</f>
        <v>86513</v>
      </c>
      <c r="I4511" t="str">
        <f t="shared" si="98"/>
        <v>BUREAU VERITAS NORTH AMERICA</v>
      </c>
    </row>
    <row r="4512" spans="5:9" x14ac:dyDescent="0.25">
      <c r="E4512" s="7"/>
      <c r="F4512" t="s">
        <v>20</v>
      </c>
      <c r="G4512" s="10" t="s">
        <v>21</v>
      </c>
      <c r="H4512" t="str">
        <f>"86514"</f>
        <v>86514</v>
      </c>
      <c r="I4512" t="str">
        <f t="shared" si="98"/>
        <v>BUREAU VERITAS NORTH AMERICA</v>
      </c>
    </row>
    <row r="4513" spans="1:9" x14ac:dyDescent="0.25">
      <c r="E4513" s="7"/>
      <c r="F4513" t="s">
        <v>20</v>
      </c>
      <c r="G4513" s="10" t="s">
        <v>21</v>
      </c>
      <c r="H4513" t="str">
        <f>"86518"</f>
        <v>86518</v>
      </c>
      <c r="I4513" t="str">
        <f t="shared" si="98"/>
        <v>BUREAU VERITAS NORTH AMERICA</v>
      </c>
    </row>
    <row r="4514" spans="1:9" x14ac:dyDescent="0.25">
      <c r="E4514" s="7"/>
      <c r="F4514" t="s">
        <v>20</v>
      </c>
      <c r="G4514" s="10" t="s">
        <v>21</v>
      </c>
      <c r="H4514" t="str">
        <f>"86524"</f>
        <v>86524</v>
      </c>
      <c r="I4514" t="str">
        <f t="shared" si="98"/>
        <v>BUREAU VERITAS NORTH AMERICA</v>
      </c>
    </row>
    <row r="4515" spans="1:9" x14ac:dyDescent="0.25">
      <c r="E4515" s="7"/>
      <c r="F4515" t="s">
        <v>20</v>
      </c>
      <c r="G4515" s="10" t="s">
        <v>21</v>
      </c>
      <c r="H4515" t="str">
        <f>"86525"</f>
        <v>86525</v>
      </c>
      <c r="I4515" t="str">
        <f t="shared" si="98"/>
        <v>BUREAU VERITAS NORTH AMERICA</v>
      </c>
    </row>
    <row r="4516" spans="1:9" x14ac:dyDescent="0.25">
      <c r="E4516" s="7"/>
      <c r="F4516" t="s">
        <v>20</v>
      </c>
      <c r="G4516" s="10" t="s">
        <v>21</v>
      </c>
      <c r="H4516" t="str">
        <f>"86526"</f>
        <v>86526</v>
      </c>
      <c r="I4516" t="str">
        <f t="shared" si="98"/>
        <v>BUREAU VERITAS NORTH AMERICA</v>
      </c>
    </row>
    <row r="4517" spans="1:9" x14ac:dyDescent="0.25">
      <c r="E4517" s="7"/>
      <c r="F4517" t="s">
        <v>20</v>
      </c>
      <c r="G4517" s="10" t="s">
        <v>21</v>
      </c>
      <c r="H4517" t="str">
        <f>"86527"</f>
        <v>86527</v>
      </c>
      <c r="I4517" t="str">
        <f t="shared" si="98"/>
        <v>BUREAU VERITAS NORTH AMERICA</v>
      </c>
    </row>
    <row r="4518" spans="1:9" x14ac:dyDescent="0.25">
      <c r="E4518" s="7"/>
      <c r="F4518" t="s">
        <v>20</v>
      </c>
      <c r="G4518" s="10" t="s">
        <v>21</v>
      </c>
      <c r="H4518" t="str">
        <f>"86528"</f>
        <v>86528</v>
      </c>
      <c r="I4518" t="str">
        <f t="shared" si="98"/>
        <v>BUREAU VERITAS NORTH AMERICA</v>
      </c>
    </row>
    <row r="4519" spans="1:9" x14ac:dyDescent="0.25">
      <c r="E4519" s="7"/>
      <c r="F4519" t="s">
        <v>20</v>
      </c>
      <c r="G4519" s="10" t="s">
        <v>21</v>
      </c>
      <c r="H4519" t="str">
        <f>"86529"</f>
        <v>86529</v>
      </c>
      <c r="I4519" t="str">
        <f t="shared" si="98"/>
        <v>BUREAU VERITAS NORTH AMERICA</v>
      </c>
    </row>
    <row r="4520" spans="1:9" x14ac:dyDescent="0.25">
      <c r="A4520" s="6">
        <v>44460</v>
      </c>
      <c r="B4520" t="s">
        <v>26</v>
      </c>
      <c r="C4520">
        <v>67682</v>
      </c>
      <c r="D4520" t="s">
        <v>340</v>
      </c>
      <c r="E4520" s="7">
        <v>524.44000000000005</v>
      </c>
      <c r="F4520" t="s">
        <v>20</v>
      </c>
      <c r="G4520" s="10" t="s">
        <v>21</v>
      </c>
      <c r="H4520" t="str">
        <f>"1810-144814"</f>
        <v>1810-144814</v>
      </c>
      <c r="I4520" t="str">
        <f>"CHEZ PEREZ"</f>
        <v>CHEZ PEREZ</v>
      </c>
    </row>
    <row r="4521" spans="1:9" x14ac:dyDescent="0.25">
      <c r="A4521" s="6">
        <v>44460</v>
      </c>
      <c r="B4521" t="s">
        <v>26</v>
      </c>
      <c r="C4521">
        <v>67683</v>
      </c>
      <c r="D4521" t="s">
        <v>1118</v>
      </c>
      <c r="E4521" s="7">
        <v>50</v>
      </c>
      <c r="F4521" t="s">
        <v>20</v>
      </c>
      <c r="G4521" s="10" t="s">
        <v>21</v>
      </c>
      <c r="H4521" t="str">
        <f>"DEP. REFUND"</f>
        <v>DEP. REFUND</v>
      </c>
      <c r="I4521" t="str">
        <f>"REFUND"</f>
        <v>REFUND</v>
      </c>
    </row>
    <row r="4522" spans="1:9" x14ac:dyDescent="0.25">
      <c r="A4522" s="6">
        <v>44460</v>
      </c>
      <c r="B4522" t="s">
        <v>91</v>
      </c>
      <c r="C4522">
        <v>67684</v>
      </c>
      <c r="D4522" t="s">
        <v>62</v>
      </c>
      <c r="E4522" s="7">
        <v>2000</v>
      </c>
      <c r="F4522" t="s">
        <v>20</v>
      </c>
      <c r="G4522" s="10" t="s">
        <v>21</v>
      </c>
      <c r="H4522" t="str">
        <f>"C.XIMENEZ-NELSON"</f>
        <v>C.XIMENEZ-NELSON</v>
      </c>
      <c r="I4522" t="str">
        <f>"PROFICIENT BENEFIT SOLUTIONS"</f>
        <v>PROFICIENT BENEFIT SOLUTIONS</v>
      </c>
    </row>
    <row r="4523" spans="1:9" x14ac:dyDescent="0.25">
      <c r="A4523" s="6">
        <v>44460</v>
      </c>
      <c r="B4523" t="s">
        <v>91</v>
      </c>
      <c r="C4523">
        <v>67684</v>
      </c>
      <c r="D4523" t="s">
        <v>62</v>
      </c>
      <c r="E4523" s="7">
        <v>2000</v>
      </c>
      <c r="F4523" t="s">
        <v>20</v>
      </c>
      <c r="G4523" s="10" t="s">
        <v>93</v>
      </c>
      <c r="H4523" t="str">
        <f>"CHECK"</f>
        <v>CHECK</v>
      </c>
      <c r="I4523" t="str">
        <f>""</f>
        <v/>
      </c>
    </row>
    <row r="4524" spans="1:9" x14ac:dyDescent="0.25">
      <c r="A4524" s="6">
        <v>44460</v>
      </c>
      <c r="B4524" t="s">
        <v>26</v>
      </c>
      <c r="C4524">
        <v>67685</v>
      </c>
      <c r="D4524" t="s">
        <v>115</v>
      </c>
      <c r="E4524" s="7">
        <v>57.94</v>
      </c>
      <c r="F4524" t="s">
        <v>20</v>
      </c>
      <c r="G4524" s="10" t="s">
        <v>21</v>
      </c>
      <c r="H4524" t="str">
        <f>"3547994120"</f>
        <v>3547994120</v>
      </c>
      <c r="I4524" t="str">
        <f>"UNIT 342 PD"</f>
        <v>UNIT 342 PD</v>
      </c>
    </row>
    <row r="4525" spans="1:9" x14ac:dyDescent="0.25">
      <c r="A4525" s="6">
        <v>44460</v>
      </c>
      <c r="B4525" t="s">
        <v>26</v>
      </c>
      <c r="C4525">
        <v>67686</v>
      </c>
      <c r="D4525" t="s">
        <v>213</v>
      </c>
      <c r="E4525" s="7">
        <v>612.86</v>
      </c>
      <c r="F4525" t="s">
        <v>20</v>
      </c>
      <c r="G4525" s="10" t="s">
        <v>21</v>
      </c>
      <c r="H4525" t="str">
        <f>"AUGUST 2021"</f>
        <v>AUGUST 2021</v>
      </c>
      <c r="I4525" t="str">
        <f>"RIVER BEND COMMUNITY DEVELOPME"</f>
        <v>RIVER BEND COMMUNITY DEVELOPME</v>
      </c>
    </row>
    <row r="4526" spans="1:9" x14ac:dyDescent="0.25">
      <c r="A4526" s="6">
        <v>44460</v>
      </c>
      <c r="B4526" t="s">
        <v>26</v>
      </c>
      <c r="C4526">
        <v>67687</v>
      </c>
      <c r="D4526" t="s">
        <v>122</v>
      </c>
      <c r="E4526" s="7">
        <v>20</v>
      </c>
      <c r="F4526" t="s">
        <v>20</v>
      </c>
      <c r="G4526" s="10" t="s">
        <v>21</v>
      </c>
      <c r="H4526" t="str">
        <f>"933426"</f>
        <v>933426</v>
      </c>
      <c r="I4526" t="str">
        <f>"VILLA TIRES"</f>
        <v>VILLA TIRES</v>
      </c>
    </row>
    <row r="4527" spans="1:9" x14ac:dyDescent="0.25">
      <c r="E4527" s="7"/>
      <c r="F4527" t="s">
        <v>20</v>
      </c>
      <c r="G4527" s="10" t="s">
        <v>21</v>
      </c>
      <c r="H4527" t="str">
        <f>"933448"</f>
        <v>933448</v>
      </c>
      <c r="I4527" t="str">
        <f>"VILLA TIRES"</f>
        <v>VILLA TIRES</v>
      </c>
    </row>
    <row r="4528" spans="1:9" x14ac:dyDescent="0.25">
      <c r="A4528" s="6">
        <v>44460</v>
      </c>
      <c r="B4528" t="s">
        <v>26</v>
      </c>
      <c r="C4528">
        <v>67688</v>
      </c>
      <c r="D4528" t="s">
        <v>1031</v>
      </c>
      <c r="E4528" s="7">
        <v>7868.4</v>
      </c>
      <c r="F4528" t="s">
        <v>20</v>
      </c>
      <c r="G4528" s="10" t="s">
        <v>21</v>
      </c>
      <c r="H4528" t="str">
        <f>"127114"</f>
        <v>127114</v>
      </c>
      <c r="I4528" t="str">
        <f>"COLD MIX"</f>
        <v>COLD MIX</v>
      </c>
    </row>
    <row r="4529" spans="1:9" x14ac:dyDescent="0.25">
      <c r="A4529" s="6">
        <v>44460</v>
      </c>
      <c r="B4529" t="s">
        <v>26</v>
      </c>
      <c r="C4529">
        <v>67689</v>
      </c>
      <c r="D4529" t="s">
        <v>123</v>
      </c>
      <c r="E4529" s="7">
        <v>120.94</v>
      </c>
      <c r="F4529" t="s">
        <v>20</v>
      </c>
      <c r="G4529" s="10" t="s">
        <v>21</v>
      </c>
      <c r="H4529" t="str">
        <f>"191991474001"</f>
        <v>191991474001</v>
      </c>
      <c r="I4529" t="str">
        <f>"OFFICE SUPPLIES"</f>
        <v>OFFICE SUPPLIES</v>
      </c>
    </row>
    <row r="4530" spans="1:9" x14ac:dyDescent="0.25">
      <c r="E4530" s="7"/>
      <c r="F4530" t="s">
        <v>20</v>
      </c>
      <c r="G4530" s="10" t="s">
        <v>21</v>
      </c>
      <c r="H4530" t="str">
        <f>"192056020001"</f>
        <v>192056020001</v>
      </c>
      <c r="I4530" t="str">
        <f>"OFFICE SUPPLIES"</f>
        <v>OFFICE SUPPLIES</v>
      </c>
    </row>
    <row r="4531" spans="1:9" x14ac:dyDescent="0.25">
      <c r="A4531" s="6">
        <v>44460</v>
      </c>
      <c r="B4531" t="s">
        <v>26</v>
      </c>
      <c r="C4531">
        <v>67690</v>
      </c>
      <c r="D4531" t="s">
        <v>137</v>
      </c>
      <c r="E4531" s="7">
        <v>121.9</v>
      </c>
      <c r="F4531" t="s">
        <v>20</v>
      </c>
      <c r="G4531" s="10" t="s">
        <v>21</v>
      </c>
      <c r="H4531" t="str">
        <f>"28740"</f>
        <v>28740</v>
      </c>
      <c r="I4531" t="str">
        <f>"OMNIBUS-M  INC.D.B.A."</f>
        <v>OMNIBUS-M  INC.D.B.A.</v>
      </c>
    </row>
    <row r="4532" spans="1:9" x14ac:dyDescent="0.25">
      <c r="E4532" s="7"/>
      <c r="F4532" t="s">
        <v>20</v>
      </c>
      <c r="G4532" s="10" t="s">
        <v>21</v>
      </c>
      <c r="H4532" t="str">
        <f>"28741"</f>
        <v>28741</v>
      </c>
      <c r="I4532" t="str">
        <f>"OMNIBUS-M  INC.D.B.A."</f>
        <v>OMNIBUS-M  INC.D.B.A.</v>
      </c>
    </row>
    <row r="4533" spans="1:9" x14ac:dyDescent="0.25">
      <c r="A4533" s="6">
        <v>44460</v>
      </c>
      <c r="B4533" t="s">
        <v>26</v>
      </c>
      <c r="C4533">
        <v>67691</v>
      </c>
      <c r="D4533" t="s">
        <v>77</v>
      </c>
      <c r="E4533" s="7">
        <v>320</v>
      </c>
      <c r="F4533" t="s">
        <v>20</v>
      </c>
      <c r="G4533" s="10" t="s">
        <v>21</v>
      </c>
      <c r="H4533" t="str">
        <f>"DE85001968-21"</f>
        <v>DE85001968-21</v>
      </c>
      <c r="I4533" t="str">
        <f>"DPC INDUSTRIES  INC."</f>
        <v>DPC INDUSTRIES  INC.</v>
      </c>
    </row>
    <row r="4534" spans="1:9" x14ac:dyDescent="0.25">
      <c r="A4534" s="6">
        <v>44460</v>
      </c>
      <c r="B4534" t="s">
        <v>26</v>
      </c>
      <c r="C4534">
        <v>67692</v>
      </c>
      <c r="D4534" t="s">
        <v>124</v>
      </c>
      <c r="E4534" s="7">
        <v>10.18</v>
      </c>
      <c r="F4534" t="s">
        <v>20</v>
      </c>
      <c r="G4534" s="10" t="s">
        <v>21</v>
      </c>
      <c r="H4534" t="str">
        <f>"11110131"</f>
        <v>11110131</v>
      </c>
      <c r="I4534" t="str">
        <f>"6' PICKETS"</f>
        <v>6' PICKETS</v>
      </c>
    </row>
    <row r="4535" spans="1:9" x14ac:dyDescent="0.25">
      <c r="A4535" s="6">
        <v>44460</v>
      </c>
      <c r="B4535" t="s">
        <v>26</v>
      </c>
      <c r="C4535">
        <v>67693</v>
      </c>
      <c r="D4535" t="s">
        <v>81</v>
      </c>
      <c r="E4535" s="7">
        <v>136.76</v>
      </c>
      <c r="F4535" t="s">
        <v>20</v>
      </c>
      <c r="G4535" s="10" t="s">
        <v>21</v>
      </c>
      <c r="H4535" t="str">
        <f>"A.MARTINEZ 9/21/21"</f>
        <v>A.MARTINEZ 9/21/21</v>
      </c>
      <c r="I4535" t="str">
        <f>"CITY OF FLORESVILLE -PETTY CAS"</f>
        <v>CITY OF FLORESVILLE -PETTY CAS</v>
      </c>
    </row>
    <row r="4536" spans="1:9" x14ac:dyDescent="0.25">
      <c r="A4536" s="6">
        <v>44460</v>
      </c>
      <c r="B4536" t="s">
        <v>26</v>
      </c>
      <c r="C4536">
        <v>67694</v>
      </c>
      <c r="D4536" t="s">
        <v>85</v>
      </c>
      <c r="E4536" s="7">
        <v>88.28</v>
      </c>
      <c r="F4536" t="s">
        <v>20</v>
      </c>
      <c r="G4536" s="10" t="s">
        <v>21</v>
      </c>
      <c r="H4536" t="str">
        <f>"3938193 SEPT2021"</f>
        <v>3938193 SEPT2021</v>
      </c>
      <c r="I4536" t="str">
        <f>"FRONTIER"</f>
        <v>FRONTIER</v>
      </c>
    </row>
    <row r="4537" spans="1:9" x14ac:dyDescent="0.25">
      <c r="A4537" s="6">
        <v>44460</v>
      </c>
      <c r="B4537" t="s">
        <v>26</v>
      </c>
      <c r="C4537">
        <v>67695</v>
      </c>
      <c r="D4537" t="s">
        <v>132</v>
      </c>
      <c r="E4537" s="7">
        <v>87.56</v>
      </c>
      <c r="F4537" t="s">
        <v>20</v>
      </c>
      <c r="G4537" s="10" t="s">
        <v>21</v>
      </c>
      <c r="H4537" t="str">
        <f>"16992887  090921"</f>
        <v>16992887  090921</v>
      </c>
      <c r="I4537" t="str">
        <f>"SPARKLETTS &amp; SIERRA SPRINGS"</f>
        <v>SPARKLETTS &amp; SIERRA SPRINGS</v>
      </c>
    </row>
    <row r="4538" spans="1:9" x14ac:dyDescent="0.25">
      <c r="A4538" s="6">
        <v>44460</v>
      </c>
      <c r="B4538" t="s">
        <v>26</v>
      </c>
      <c r="C4538">
        <v>67696</v>
      </c>
      <c r="D4538" t="s">
        <v>326</v>
      </c>
      <c r="E4538" s="7">
        <v>68.099999999999994</v>
      </c>
      <c r="F4538" t="s">
        <v>20</v>
      </c>
      <c r="G4538" s="10" t="s">
        <v>21</v>
      </c>
      <c r="H4538" t="str">
        <f>"0024141800"</f>
        <v>0024141800</v>
      </c>
      <c r="I4538" t="str">
        <f>"MATHESON TRI-GAS INC"</f>
        <v>MATHESON TRI-GAS INC</v>
      </c>
    </row>
    <row r="4539" spans="1:9" x14ac:dyDescent="0.25">
      <c r="E4539" s="7"/>
      <c r="F4539" t="s">
        <v>20</v>
      </c>
      <c r="G4539" s="10" t="s">
        <v>21</v>
      </c>
      <c r="H4539" t="str">
        <f>"0024166625"</f>
        <v>0024166625</v>
      </c>
      <c r="I4539" t="str">
        <f>"STRIP FOOTBALL FIELDS"</f>
        <v>STRIP FOOTBALL FIELDS</v>
      </c>
    </row>
    <row r="4540" spans="1:9" x14ac:dyDescent="0.25">
      <c r="A4540" s="6">
        <v>44460</v>
      </c>
      <c r="B4540" t="s">
        <v>26</v>
      </c>
      <c r="C4540">
        <v>67697</v>
      </c>
      <c r="D4540" t="s">
        <v>345</v>
      </c>
      <c r="E4540" s="7">
        <v>341</v>
      </c>
      <c r="F4540" t="s">
        <v>20</v>
      </c>
      <c r="G4540" s="10" t="s">
        <v>21</v>
      </c>
      <c r="H4540" t="str">
        <f>"9/18/2021"</f>
        <v>9/18/2021</v>
      </c>
      <c r="I4540" t="str">
        <f>"MICHAEL ISAAC MARTINEZ"</f>
        <v>MICHAEL ISAAC MARTINEZ</v>
      </c>
    </row>
    <row r="4541" spans="1:9" x14ac:dyDescent="0.25">
      <c r="A4541" s="6">
        <v>44460</v>
      </c>
      <c r="B4541" t="s">
        <v>26</v>
      </c>
      <c r="C4541">
        <v>67698</v>
      </c>
      <c r="D4541" t="s">
        <v>323</v>
      </c>
      <c r="E4541" s="7">
        <v>630</v>
      </c>
      <c r="F4541" t="s">
        <v>20</v>
      </c>
      <c r="G4541" s="10" t="s">
        <v>21</v>
      </c>
      <c r="H4541" t="str">
        <f>"9151"</f>
        <v>9151</v>
      </c>
      <c r="I4541" t="str">
        <f>"POLLOK SELF STORAGE LLC"</f>
        <v>POLLOK SELF STORAGE LLC</v>
      </c>
    </row>
    <row r="4542" spans="1:9" x14ac:dyDescent="0.25">
      <c r="A4542" s="6">
        <v>44460</v>
      </c>
      <c r="B4542" t="s">
        <v>26</v>
      </c>
      <c r="C4542">
        <v>67699</v>
      </c>
      <c r="D4542" t="s">
        <v>346</v>
      </c>
      <c r="E4542" s="7">
        <v>13750</v>
      </c>
      <c r="F4542" t="s">
        <v>20</v>
      </c>
      <c r="G4542" s="10" t="s">
        <v>21</v>
      </c>
      <c r="H4542" t="str">
        <f>"8/11-9/11/2021"</f>
        <v>8/11-9/11/2021</v>
      </c>
      <c r="I4542" t="str">
        <f>"SYLVIA RODRIGUEZ"</f>
        <v>SYLVIA RODRIGUEZ</v>
      </c>
    </row>
    <row r="4543" spans="1:9" x14ac:dyDescent="0.25">
      <c r="A4543" s="6">
        <v>44460</v>
      </c>
      <c r="B4543" t="s">
        <v>26</v>
      </c>
      <c r="C4543">
        <v>67700</v>
      </c>
      <c r="D4543" t="s">
        <v>644</v>
      </c>
      <c r="E4543" s="7">
        <v>404.35</v>
      </c>
      <c r="F4543" t="s">
        <v>20</v>
      </c>
      <c r="G4543" s="10" t="s">
        <v>21</v>
      </c>
      <c r="H4543" t="str">
        <f>"82133639823"</f>
        <v>82133639823</v>
      </c>
      <c r="I4543" t="str">
        <f>"UNIFIRST CORPORATION"</f>
        <v>UNIFIRST CORPORATION</v>
      </c>
    </row>
    <row r="4544" spans="1:9" x14ac:dyDescent="0.25">
      <c r="E4544" s="7"/>
      <c r="F4544" t="s">
        <v>20</v>
      </c>
      <c r="G4544" s="10" t="s">
        <v>21</v>
      </c>
      <c r="H4544" t="str">
        <f>"8213639824"</f>
        <v>8213639824</v>
      </c>
      <c r="I4544" t="str">
        <f>"UNIFIRST CORPORATION"</f>
        <v>UNIFIRST CORPORATION</v>
      </c>
    </row>
    <row r="4545" spans="1:9" x14ac:dyDescent="0.25">
      <c r="E4545" s="7"/>
      <c r="F4545" t="s">
        <v>20</v>
      </c>
      <c r="G4545" s="10" t="s">
        <v>21</v>
      </c>
      <c r="H4545" t="str">
        <f>"8213639826"</f>
        <v>8213639826</v>
      </c>
      <c r="I4545" t="str">
        <f>"UNIFIRST CORPORATION"</f>
        <v>UNIFIRST CORPORATION</v>
      </c>
    </row>
    <row r="4546" spans="1:9" x14ac:dyDescent="0.25">
      <c r="E4546" s="7"/>
      <c r="F4546" t="s">
        <v>20</v>
      </c>
      <c r="G4546" s="10" t="s">
        <v>21</v>
      </c>
      <c r="H4546" t="str">
        <f>"8213639828"</f>
        <v>8213639828</v>
      </c>
      <c r="I4546" t="str">
        <f>"UNIFIRST CORPORATION"</f>
        <v>UNIFIRST CORPORATION</v>
      </c>
    </row>
    <row r="4547" spans="1:9" x14ac:dyDescent="0.25">
      <c r="E4547" s="7"/>
      <c r="F4547" t="s">
        <v>20</v>
      </c>
      <c r="G4547" s="10" t="s">
        <v>21</v>
      </c>
      <c r="H4547" t="str">
        <f>"8213639829"</f>
        <v>8213639829</v>
      </c>
      <c r="I4547" t="str">
        <f>"UNIFIRST CORPORATION"</f>
        <v>UNIFIRST CORPORATION</v>
      </c>
    </row>
    <row r="4548" spans="1:9" x14ac:dyDescent="0.25">
      <c r="A4548" s="6">
        <v>44460</v>
      </c>
      <c r="B4548" t="s">
        <v>26</v>
      </c>
      <c r="C4548">
        <v>67701</v>
      </c>
      <c r="D4548" t="s">
        <v>698</v>
      </c>
      <c r="E4548" s="7">
        <v>155</v>
      </c>
      <c r="F4548" t="s">
        <v>20</v>
      </c>
      <c r="G4548" s="10" t="s">
        <v>21</v>
      </c>
      <c r="H4548" t="str">
        <f>"09/18/2021"</f>
        <v>09/18/2021</v>
      </c>
      <c r="I4548" t="str">
        <f>"TRACY ORTIZ"</f>
        <v>TRACY ORTIZ</v>
      </c>
    </row>
    <row r="4549" spans="1:9" x14ac:dyDescent="0.25">
      <c r="A4549" s="6">
        <v>44460</v>
      </c>
      <c r="B4549" t="s">
        <v>26</v>
      </c>
      <c r="C4549">
        <v>67702</v>
      </c>
      <c r="D4549" t="s">
        <v>781</v>
      </c>
      <c r="E4549" s="7">
        <v>95</v>
      </c>
      <c r="F4549" t="s">
        <v>20</v>
      </c>
      <c r="G4549" s="10" t="s">
        <v>21</v>
      </c>
      <c r="H4549" t="str">
        <f>"9/18/2021"</f>
        <v>9/18/2021</v>
      </c>
      <c r="I4549" t="str">
        <f>"ASHLEY MARTINEZ"</f>
        <v>ASHLEY MARTINEZ</v>
      </c>
    </row>
    <row r="4550" spans="1:9" x14ac:dyDescent="0.25">
      <c r="A4550" s="6">
        <v>44460</v>
      </c>
      <c r="B4550" t="s">
        <v>26</v>
      </c>
      <c r="C4550">
        <v>67703</v>
      </c>
      <c r="D4550" t="s">
        <v>949</v>
      </c>
      <c r="E4550" s="7">
        <v>115.75</v>
      </c>
      <c r="F4550" t="s">
        <v>20</v>
      </c>
      <c r="G4550" s="10" t="s">
        <v>21</v>
      </c>
      <c r="H4550" t="str">
        <f>"18297"</f>
        <v>18297</v>
      </c>
      <c r="I4550" t="str">
        <f>"AUTO GRAPHICS &amp; SIGN CO.  LLC"</f>
        <v>AUTO GRAPHICS &amp; SIGN CO.  LLC</v>
      </c>
    </row>
    <row r="4551" spans="1:9" x14ac:dyDescent="0.25">
      <c r="E4551" s="7"/>
      <c r="F4551" t="s">
        <v>20</v>
      </c>
      <c r="G4551" s="10" t="s">
        <v>21</v>
      </c>
      <c r="H4551" t="str">
        <f>"18298"</f>
        <v>18298</v>
      </c>
      <c r="I4551" t="str">
        <f>"AUTO GRAPHICS &amp; SIGN CO.  LLC"</f>
        <v>AUTO GRAPHICS &amp; SIGN CO.  LLC</v>
      </c>
    </row>
    <row r="4552" spans="1:9" x14ac:dyDescent="0.25">
      <c r="A4552" s="6">
        <v>44460</v>
      </c>
      <c r="B4552" t="s">
        <v>26</v>
      </c>
      <c r="C4552">
        <v>67704</v>
      </c>
      <c r="D4552" t="s">
        <v>1054</v>
      </c>
      <c r="E4552" s="7">
        <v>2500</v>
      </c>
      <c r="F4552" t="s">
        <v>20</v>
      </c>
      <c r="G4552" s="10" t="s">
        <v>21</v>
      </c>
      <c r="H4552" t="str">
        <f>"INV0042"</f>
        <v>INV0042</v>
      </c>
      <c r="I4552" t="str">
        <f>"B ST WELL LIGHTS"</f>
        <v>B ST WELL LIGHTS</v>
      </c>
    </row>
    <row r="4553" spans="1:9" x14ac:dyDescent="0.25">
      <c r="A4553" s="6">
        <v>44460</v>
      </c>
      <c r="B4553" t="s">
        <v>26</v>
      </c>
      <c r="C4553">
        <v>67705</v>
      </c>
      <c r="D4553" t="s">
        <v>1119</v>
      </c>
      <c r="E4553" s="7">
        <v>50</v>
      </c>
      <c r="F4553" t="s">
        <v>20</v>
      </c>
      <c r="G4553" s="10" t="s">
        <v>21</v>
      </c>
      <c r="H4553" t="str">
        <f>"DEPST. REFUND"</f>
        <v>DEPST. REFUND</v>
      </c>
      <c r="I4553" t="str">
        <f>"REFUND"</f>
        <v>REFUND</v>
      </c>
    </row>
    <row r="4554" spans="1:9" x14ac:dyDescent="0.25">
      <c r="A4554" s="6">
        <v>44460</v>
      </c>
      <c r="B4554" t="s">
        <v>26</v>
      </c>
      <c r="C4554">
        <v>67706</v>
      </c>
      <c r="D4554" t="s">
        <v>81</v>
      </c>
      <c r="E4554" s="7">
        <v>333.13</v>
      </c>
      <c r="F4554" t="s">
        <v>20</v>
      </c>
      <c r="G4554" s="10" t="s">
        <v>21</v>
      </c>
      <c r="H4554" t="str">
        <f>"C.PEREZ 9/20/2021"</f>
        <v>C.PEREZ 9/20/2021</v>
      </c>
      <c r="I4554" t="str">
        <f>"CITY OF FLORESVILLE -PETTY CAS"</f>
        <v>CITY OF FLORESVILLE -PETTY CAS</v>
      </c>
    </row>
    <row r="4555" spans="1:9" x14ac:dyDescent="0.25">
      <c r="A4555" s="6">
        <v>44460</v>
      </c>
      <c r="B4555" t="s">
        <v>26</v>
      </c>
      <c r="C4555">
        <v>67707</v>
      </c>
      <c r="D4555" t="s">
        <v>1120</v>
      </c>
      <c r="E4555" s="7">
        <v>50</v>
      </c>
      <c r="F4555" t="s">
        <v>20</v>
      </c>
      <c r="G4555" s="10" t="s">
        <v>21</v>
      </c>
      <c r="H4555" t="str">
        <f>"DEP. RFND 7/31/21"</f>
        <v>DEP. RFND 7/31/21</v>
      </c>
      <c r="I4555" t="str">
        <f>"REFUND"</f>
        <v>REFUND</v>
      </c>
    </row>
    <row r="4556" spans="1:9" x14ac:dyDescent="0.25">
      <c r="A4556" s="6">
        <v>44460</v>
      </c>
      <c r="B4556" t="s">
        <v>26</v>
      </c>
      <c r="C4556">
        <v>67708</v>
      </c>
      <c r="D4556" t="s">
        <v>81</v>
      </c>
      <c r="E4556" s="7">
        <v>1800</v>
      </c>
      <c r="F4556" t="s">
        <v>20</v>
      </c>
      <c r="G4556" s="10" t="s">
        <v>21</v>
      </c>
      <c r="H4556" t="str">
        <f>"BOXING EVENT 2021"</f>
        <v>BOXING EVENT 2021</v>
      </c>
      <c r="I4556" t="str">
        <f>"CITY OF FLORESVILLE -PETTY CAS"</f>
        <v>CITY OF FLORESVILLE -PETTY CAS</v>
      </c>
    </row>
    <row r="4557" spans="1:9" x14ac:dyDescent="0.25">
      <c r="A4557" s="6">
        <v>44460</v>
      </c>
      <c r="B4557" t="s">
        <v>91</v>
      </c>
      <c r="C4557">
        <v>67709</v>
      </c>
      <c r="D4557" t="s">
        <v>999</v>
      </c>
      <c r="E4557" s="7">
        <v>963</v>
      </c>
      <c r="F4557" t="s">
        <v>20</v>
      </c>
      <c r="G4557" s="10" t="s">
        <v>21</v>
      </c>
      <c r="H4557" t="str">
        <f>"REIMBURSTMENT"</f>
        <v>REIMBURSTMENT</v>
      </c>
      <c r="I4557" t="str">
        <f>"BLUE SANTA GIFTS"</f>
        <v>BLUE SANTA GIFTS</v>
      </c>
    </row>
    <row r="4558" spans="1:9" x14ac:dyDescent="0.25">
      <c r="A4558" s="6">
        <v>44460</v>
      </c>
      <c r="B4558" t="s">
        <v>91</v>
      </c>
      <c r="C4558">
        <v>67709</v>
      </c>
      <c r="D4558" t="s">
        <v>999</v>
      </c>
      <c r="E4558" s="7">
        <v>963</v>
      </c>
      <c r="F4558" t="s">
        <v>20</v>
      </c>
      <c r="G4558" s="10" t="s">
        <v>93</v>
      </c>
      <c r="H4558" t="str">
        <f>"CHECK"</f>
        <v>CHECK</v>
      </c>
      <c r="I4558" t="str">
        <f>""</f>
        <v/>
      </c>
    </row>
    <row r="4559" spans="1:9" x14ac:dyDescent="0.25">
      <c r="A4559" s="6">
        <v>44460</v>
      </c>
      <c r="B4559" t="s">
        <v>26</v>
      </c>
      <c r="C4559">
        <v>67710</v>
      </c>
      <c r="D4559" t="s">
        <v>693</v>
      </c>
      <c r="E4559" s="7">
        <v>963</v>
      </c>
      <c r="F4559" t="s">
        <v>20</v>
      </c>
      <c r="G4559" s="10" t="s">
        <v>21</v>
      </c>
      <c r="H4559" t="str">
        <f>"BS REIMBUSTMENT"</f>
        <v>BS REIMBUSTMENT</v>
      </c>
      <c r="I4559" t="str">
        <f>"OLGA RAMIREZ"</f>
        <v>OLGA RAMIREZ</v>
      </c>
    </row>
    <row r="4560" spans="1:9" x14ac:dyDescent="0.25">
      <c r="A4560" s="6">
        <v>44461</v>
      </c>
      <c r="B4560" t="s">
        <v>26</v>
      </c>
      <c r="C4560">
        <v>67711</v>
      </c>
      <c r="D4560" t="s">
        <v>157</v>
      </c>
      <c r="E4560" s="7">
        <v>1331.2</v>
      </c>
      <c r="F4560" t="s">
        <v>20</v>
      </c>
      <c r="G4560" s="10" t="s">
        <v>21</v>
      </c>
      <c r="H4560" t="str">
        <f>"9/23/2021"</f>
        <v>9/23/2021</v>
      </c>
      <c r="I4560" t="str">
        <f>"GLAZIERS"</f>
        <v>GLAZIERS</v>
      </c>
    </row>
    <row r="4561" spans="1:9" x14ac:dyDescent="0.25">
      <c r="A4561" s="6">
        <v>44462</v>
      </c>
      <c r="B4561" t="s">
        <v>26</v>
      </c>
      <c r="C4561">
        <v>67712</v>
      </c>
      <c r="D4561" t="s">
        <v>205</v>
      </c>
      <c r="E4561" s="7">
        <v>2104.5</v>
      </c>
      <c r="F4561" t="s">
        <v>20</v>
      </c>
      <c r="G4561" s="10" t="s">
        <v>21</v>
      </c>
      <c r="H4561" t="str">
        <f>"BEER 9.25.2021"</f>
        <v>BEER 9.25.2021</v>
      </c>
      <c r="I4561" t="str">
        <f>"SILVER EAGLE DISTRIBUTORS"</f>
        <v>SILVER EAGLE DISTRIBUTORS</v>
      </c>
    </row>
    <row r="4562" spans="1:9" x14ac:dyDescent="0.25">
      <c r="A4562" s="6">
        <v>44467</v>
      </c>
      <c r="B4562" t="s">
        <v>26</v>
      </c>
      <c r="C4562">
        <v>67713</v>
      </c>
      <c r="D4562" t="s">
        <v>828</v>
      </c>
      <c r="E4562" s="7">
        <v>2324.16</v>
      </c>
      <c r="F4562" t="s">
        <v>20</v>
      </c>
      <c r="G4562" s="10" t="s">
        <v>21</v>
      </c>
      <c r="H4562" t="str">
        <f>"1491414583"</f>
        <v>1491414583</v>
      </c>
      <c r="I4562" t="str">
        <f>"ACROBAT PRO LICENSE"</f>
        <v>ACROBAT PRO LICENSE</v>
      </c>
    </row>
    <row r="4563" spans="1:9" x14ac:dyDescent="0.25">
      <c r="A4563" s="6">
        <v>44467</v>
      </c>
      <c r="B4563" t="s">
        <v>26</v>
      </c>
      <c r="C4563">
        <v>67714</v>
      </c>
      <c r="D4563" t="s">
        <v>1121</v>
      </c>
      <c r="E4563" s="7">
        <v>170</v>
      </c>
      <c r="F4563" t="s">
        <v>20</v>
      </c>
      <c r="G4563" s="10" t="s">
        <v>21</v>
      </c>
      <c r="H4563" t="str">
        <f>"9/26/2021"</f>
        <v>9/26/2021</v>
      </c>
      <c r="I4563" t="str">
        <f>"AMY MORENO"</f>
        <v>AMY MORENO</v>
      </c>
    </row>
    <row r="4564" spans="1:9" x14ac:dyDescent="0.25">
      <c r="A4564" s="6">
        <v>44467</v>
      </c>
      <c r="B4564" t="s">
        <v>26</v>
      </c>
      <c r="C4564">
        <v>67715</v>
      </c>
      <c r="D4564" t="s">
        <v>781</v>
      </c>
      <c r="E4564" s="7">
        <v>90</v>
      </c>
      <c r="F4564" t="s">
        <v>20</v>
      </c>
      <c r="G4564" s="10" t="s">
        <v>21</v>
      </c>
      <c r="H4564" t="str">
        <f>"09/26/2021"</f>
        <v>09/26/2021</v>
      </c>
      <c r="I4564" t="str">
        <f>"ASHLEY MARTINEZ"</f>
        <v>ASHLEY MARTINEZ</v>
      </c>
    </row>
    <row r="4565" spans="1:9" x14ac:dyDescent="0.25">
      <c r="A4565" s="6">
        <v>44467</v>
      </c>
      <c r="B4565" t="s">
        <v>26</v>
      </c>
      <c r="C4565">
        <v>67716</v>
      </c>
      <c r="D4565" t="s">
        <v>115</v>
      </c>
      <c r="E4565" s="7">
        <v>119.99</v>
      </c>
      <c r="F4565" t="s">
        <v>20</v>
      </c>
      <c r="G4565" s="10" t="s">
        <v>21</v>
      </c>
      <c r="H4565" t="str">
        <f>"3547998051"</f>
        <v>3547998051</v>
      </c>
      <c r="I4565" t="str">
        <f>"PD UNIT 332"</f>
        <v>PD UNIT 332</v>
      </c>
    </row>
    <row r="4566" spans="1:9" x14ac:dyDescent="0.25">
      <c r="A4566" s="6">
        <v>44467</v>
      </c>
      <c r="B4566" t="s">
        <v>26</v>
      </c>
      <c r="C4566">
        <v>67717</v>
      </c>
      <c r="D4566" t="s">
        <v>1122</v>
      </c>
      <c r="E4566" s="7">
        <v>625</v>
      </c>
      <c r="F4566" t="s">
        <v>20</v>
      </c>
      <c r="G4566" s="10" t="s">
        <v>21</v>
      </c>
      <c r="H4566" t="str">
        <f>"082320"</f>
        <v>082320</v>
      </c>
      <c r="I4566" t="str">
        <f>"HWY 97 LIFT STATION"</f>
        <v>HWY 97 LIFT STATION</v>
      </c>
    </row>
    <row r="4567" spans="1:9" x14ac:dyDescent="0.25">
      <c r="A4567" s="6">
        <v>44467</v>
      </c>
      <c r="B4567" t="s">
        <v>26</v>
      </c>
      <c r="C4567">
        <v>67718</v>
      </c>
      <c r="D4567" t="s">
        <v>63</v>
      </c>
      <c r="E4567" s="7">
        <v>479.88</v>
      </c>
      <c r="F4567" t="s">
        <v>20</v>
      </c>
      <c r="G4567" s="10" t="s">
        <v>21</v>
      </c>
      <c r="H4567" t="str">
        <f>"8405308676"</f>
        <v>8405308676</v>
      </c>
      <c r="I4567" t="str">
        <f>"CINTAS CORPORATION"</f>
        <v>CINTAS CORPORATION</v>
      </c>
    </row>
    <row r="4568" spans="1:9" x14ac:dyDescent="0.25">
      <c r="A4568" s="6">
        <v>44467</v>
      </c>
      <c r="B4568" t="s">
        <v>26</v>
      </c>
      <c r="C4568">
        <v>67719</v>
      </c>
      <c r="D4568" t="s">
        <v>71</v>
      </c>
      <c r="E4568" s="7">
        <v>3083.72</v>
      </c>
      <c r="F4568" t="s">
        <v>20</v>
      </c>
      <c r="G4568" s="10" t="s">
        <v>21</v>
      </c>
      <c r="H4568" t="str">
        <f>"4093653576"</f>
        <v>4093653576</v>
      </c>
      <c r="I4568" t="str">
        <f t="shared" ref="I4568:I4581" si="99">"CINTAS CORPORATION #087"</f>
        <v>CINTAS CORPORATION #087</v>
      </c>
    </row>
    <row r="4569" spans="1:9" x14ac:dyDescent="0.25">
      <c r="E4569" s="7"/>
      <c r="F4569" t="s">
        <v>20</v>
      </c>
      <c r="G4569" s="10" t="s">
        <v>21</v>
      </c>
      <c r="H4569" t="str">
        <f>"4095078662"</f>
        <v>4095078662</v>
      </c>
      <c r="I4569" t="str">
        <f t="shared" si="99"/>
        <v>CINTAS CORPORATION #087</v>
      </c>
    </row>
    <row r="4570" spans="1:9" x14ac:dyDescent="0.25">
      <c r="E4570" s="7"/>
      <c r="F4570" t="s">
        <v>20</v>
      </c>
      <c r="G4570" s="10" t="s">
        <v>21</v>
      </c>
      <c r="H4570" t="str">
        <f>"4095081697"</f>
        <v>4095081697</v>
      </c>
      <c r="I4570" t="str">
        <f t="shared" si="99"/>
        <v>CINTAS CORPORATION #087</v>
      </c>
    </row>
    <row r="4571" spans="1:9" x14ac:dyDescent="0.25">
      <c r="E4571" s="7"/>
      <c r="F4571" t="s">
        <v>20</v>
      </c>
      <c r="G4571" s="10" t="s">
        <v>21</v>
      </c>
      <c r="H4571" t="str">
        <f>"4095696550"</f>
        <v>4095696550</v>
      </c>
      <c r="I4571" t="str">
        <f t="shared" si="99"/>
        <v>CINTAS CORPORATION #087</v>
      </c>
    </row>
    <row r="4572" spans="1:9" x14ac:dyDescent="0.25">
      <c r="E4572" s="7"/>
      <c r="F4572" t="s">
        <v>20</v>
      </c>
      <c r="G4572" s="10" t="s">
        <v>21</v>
      </c>
      <c r="H4572" t="str">
        <f>"4095696608"</f>
        <v>4095696608</v>
      </c>
      <c r="I4572" t="str">
        <f t="shared" si="99"/>
        <v>CINTAS CORPORATION #087</v>
      </c>
    </row>
    <row r="4573" spans="1:9" x14ac:dyDescent="0.25">
      <c r="E4573" s="7"/>
      <c r="F4573" t="s">
        <v>20</v>
      </c>
      <c r="G4573" s="10" t="s">
        <v>21</v>
      </c>
      <c r="H4573" t="str">
        <f>"4095696620"</f>
        <v>4095696620</v>
      </c>
      <c r="I4573" t="str">
        <f t="shared" si="99"/>
        <v>CINTAS CORPORATION #087</v>
      </c>
    </row>
    <row r="4574" spans="1:9" x14ac:dyDescent="0.25">
      <c r="E4574" s="7"/>
      <c r="F4574" t="s">
        <v>20</v>
      </c>
      <c r="G4574" s="10" t="s">
        <v>21</v>
      </c>
      <c r="H4574" t="str">
        <f>"4095696644"</f>
        <v>4095696644</v>
      </c>
      <c r="I4574" t="str">
        <f t="shared" si="99"/>
        <v>CINTAS CORPORATION #087</v>
      </c>
    </row>
    <row r="4575" spans="1:9" x14ac:dyDescent="0.25">
      <c r="E4575" s="7"/>
      <c r="F4575" t="s">
        <v>20</v>
      </c>
      <c r="G4575" s="10" t="s">
        <v>21</v>
      </c>
      <c r="H4575" t="str">
        <f>"4095696662"</f>
        <v>4095696662</v>
      </c>
      <c r="I4575" t="str">
        <f t="shared" si="99"/>
        <v>CINTAS CORPORATION #087</v>
      </c>
    </row>
    <row r="4576" spans="1:9" x14ac:dyDescent="0.25">
      <c r="E4576" s="7"/>
      <c r="F4576" t="s">
        <v>20</v>
      </c>
      <c r="G4576" s="10" t="s">
        <v>21</v>
      </c>
      <c r="H4576" t="str">
        <f>"4095696665"</f>
        <v>4095696665</v>
      </c>
      <c r="I4576" t="str">
        <f t="shared" si="99"/>
        <v>CINTAS CORPORATION #087</v>
      </c>
    </row>
    <row r="4577" spans="1:9" x14ac:dyDescent="0.25">
      <c r="E4577" s="7"/>
      <c r="F4577" t="s">
        <v>20</v>
      </c>
      <c r="G4577" s="10" t="s">
        <v>21</v>
      </c>
      <c r="H4577" t="str">
        <f>"4096295879"</f>
        <v>4096295879</v>
      </c>
      <c r="I4577" t="str">
        <f t="shared" si="99"/>
        <v>CINTAS CORPORATION #087</v>
      </c>
    </row>
    <row r="4578" spans="1:9" x14ac:dyDescent="0.25">
      <c r="E4578" s="7"/>
      <c r="F4578" t="s">
        <v>20</v>
      </c>
      <c r="G4578" s="10" t="s">
        <v>21</v>
      </c>
      <c r="H4578" t="str">
        <f>"4096295885"</f>
        <v>4096295885</v>
      </c>
      <c r="I4578" t="str">
        <f t="shared" si="99"/>
        <v>CINTAS CORPORATION #087</v>
      </c>
    </row>
    <row r="4579" spans="1:9" x14ac:dyDescent="0.25">
      <c r="E4579" s="7"/>
      <c r="F4579" t="s">
        <v>20</v>
      </c>
      <c r="G4579" s="10" t="s">
        <v>21</v>
      </c>
      <c r="H4579" t="str">
        <f>"4096295913"</f>
        <v>4096295913</v>
      </c>
      <c r="I4579" t="str">
        <f t="shared" si="99"/>
        <v>CINTAS CORPORATION #087</v>
      </c>
    </row>
    <row r="4580" spans="1:9" x14ac:dyDescent="0.25">
      <c r="E4580" s="7"/>
      <c r="F4580" t="s">
        <v>20</v>
      </c>
      <c r="G4580" s="10" t="s">
        <v>21</v>
      </c>
      <c r="H4580" t="str">
        <f>"4096295919"</f>
        <v>4096295919</v>
      </c>
      <c r="I4580" t="str">
        <f t="shared" si="99"/>
        <v>CINTAS CORPORATION #087</v>
      </c>
    </row>
    <row r="4581" spans="1:9" x14ac:dyDescent="0.25">
      <c r="E4581" s="7"/>
      <c r="F4581" t="s">
        <v>20</v>
      </c>
      <c r="G4581" s="10" t="s">
        <v>21</v>
      </c>
      <c r="H4581" t="str">
        <f>"4096295943"</f>
        <v>4096295943</v>
      </c>
      <c r="I4581" t="str">
        <f t="shared" si="99"/>
        <v>CINTAS CORPORATION #087</v>
      </c>
    </row>
    <row r="4582" spans="1:9" x14ac:dyDescent="0.25">
      <c r="A4582" s="6">
        <v>44467</v>
      </c>
      <c r="B4582" t="s">
        <v>26</v>
      </c>
      <c r="C4582">
        <v>67723</v>
      </c>
      <c r="D4582" t="s">
        <v>661</v>
      </c>
      <c r="E4582" s="7">
        <v>844.63</v>
      </c>
      <c r="F4582" t="s">
        <v>20</v>
      </c>
      <c r="G4582" s="10" t="s">
        <v>21</v>
      </c>
      <c r="H4582" t="str">
        <f>"8405203818"</f>
        <v>8405203818</v>
      </c>
      <c r="I4582" t="str">
        <f>"CINTAS FAS LOCKBOX 631025"</f>
        <v>CINTAS FAS LOCKBOX 631025</v>
      </c>
    </row>
    <row r="4583" spans="1:9" x14ac:dyDescent="0.25">
      <c r="E4583" s="7"/>
      <c r="F4583" t="s">
        <v>20</v>
      </c>
      <c r="G4583" s="10" t="s">
        <v>21</v>
      </c>
      <c r="H4583" t="str">
        <f>"8405255471"</f>
        <v>8405255471</v>
      </c>
      <c r="I4583" t="str">
        <f>"CINTAS FAS LOCKBOX 631025"</f>
        <v>CINTAS FAS LOCKBOX 631025</v>
      </c>
    </row>
    <row r="4584" spans="1:9" x14ac:dyDescent="0.25">
      <c r="A4584" s="6">
        <v>44467</v>
      </c>
      <c r="B4584" t="s">
        <v>26</v>
      </c>
      <c r="C4584">
        <v>67724</v>
      </c>
      <c r="D4584" t="s">
        <v>1054</v>
      </c>
      <c r="E4584" s="7">
        <v>720</v>
      </c>
      <c r="F4584" t="s">
        <v>20</v>
      </c>
      <c r="G4584" s="10" t="s">
        <v>21</v>
      </c>
      <c r="H4584" t="str">
        <f>"INV0046"</f>
        <v>INV0046</v>
      </c>
      <c r="I4584" t="str">
        <f>"WEEKEND EMERGENCY CALL"</f>
        <v>WEEKEND EMERGENCY CALL</v>
      </c>
    </row>
    <row r="4585" spans="1:9" x14ac:dyDescent="0.25">
      <c r="A4585" s="6">
        <v>44467</v>
      </c>
      <c r="B4585" t="s">
        <v>26</v>
      </c>
      <c r="C4585">
        <v>67725</v>
      </c>
      <c r="D4585" t="s">
        <v>1123</v>
      </c>
      <c r="E4585" s="7">
        <v>50</v>
      </c>
      <c r="F4585" t="s">
        <v>20</v>
      </c>
      <c r="G4585" s="10" t="s">
        <v>21</v>
      </c>
      <c r="H4585" t="str">
        <f>"DEP REFUND 9/18/21"</f>
        <v>DEP REFUND 9/18/21</v>
      </c>
      <c r="I4585" t="str">
        <f>"REFUND"</f>
        <v>REFUND</v>
      </c>
    </row>
    <row r="4586" spans="1:9" x14ac:dyDescent="0.25">
      <c r="A4586" s="6">
        <v>44467</v>
      </c>
      <c r="B4586" t="s">
        <v>26</v>
      </c>
      <c r="C4586">
        <v>67726</v>
      </c>
      <c r="D4586" t="s">
        <v>143</v>
      </c>
      <c r="E4586" s="7">
        <v>459.31</v>
      </c>
      <c r="F4586" t="s">
        <v>20</v>
      </c>
      <c r="G4586" s="10" t="s">
        <v>21</v>
      </c>
      <c r="H4586" t="str">
        <f>"9402557756"</f>
        <v>9402557756</v>
      </c>
      <c r="I4586" t="str">
        <f>"200 GALLONS OF OIL"</f>
        <v>200 GALLONS OF OIL</v>
      </c>
    </row>
    <row r="4587" spans="1:9" x14ac:dyDescent="0.25">
      <c r="A4587" s="6">
        <v>44467</v>
      </c>
      <c r="B4587" t="s">
        <v>26</v>
      </c>
      <c r="C4587">
        <v>67727</v>
      </c>
      <c r="D4587" t="s">
        <v>85</v>
      </c>
      <c r="E4587" s="7">
        <v>1114.17</v>
      </c>
      <c r="F4587" t="s">
        <v>20</v>
      </c>
      <c r="G4587" s="10" t="s">
        <v>21</v>
      </c>
      <c r="H4587" t="str">
        <f>"2162733 SEPT.2021"</f>
        <v>2162733 SEPT.2021</v>
      </c>
      <c r="I4587" t="str">
        <f t="shared" ref="I4587:I4595" si="100">"FRONTIER"</f>
        <v>FRONTIER</v>
      </c>
    </row>
    <row r="4588" spans="1:9" x14ac:dyDescent="0.25">
      <c r="E4588" s="7"/>
      <c r="F4588" t="s">
        <v>20</v>
      </c>
      <c r="G4588" s="10" t="s">
        <v>21</v>
      </c>
      <c r="H4588" t="str">
        <f>"2162755 SEPT.2021"</f>
        <v>2162755 SEPT.2021</v>
      </c>
      <c r="I4588" t="str">
        <f t="shared" si="100"/>
        <v>FRONTIER</v>
      </c>
    </row>
    <row r="4589" spans="1:9" x14ac:dyDescent="0.25">
      <c r="E4589" s="7"/>
      <c r="F4589" t="s">
        <v>20</v>
      </c>
      <c r="G4589" s="10" t="s">
        <v>21</v>
      </c>
      <c r="H4589" t="str">
        <f>"3932056 SEPT.2021"</f>
        <v>3932056 SEPT.2021</v>
      </c>
      <c r="I4589" t="str">
        <f t="shared" si="100"/>
        <v>FRONTIER</v>
      </c>
    </row>
    <row r="4590" spans="1:9" x14ac:dyDescent="0.25">
      <c r="E4590" s="7"/>
      <c r="F4590" t="s">
        <v>20</v>
      </c>
      <c r="G4590" s="10" t="s">
        <v>21</v>
      </c>
      <c r="H4590" t="str">
        <f>"3932804 SEPT.2021"</f>
        <v>3932804 SEPT.2021</v>
      </c>
      <c r="I4590" t="str">
        <f t="shared" si="100"/>
        <v>FRONTIER</v>
      </c>
    </row>
    <row r="4591" spans="1:9" x14ac:dyDescent="0.25">
      <c r="E4591" s="7"/>
      <c r="F4591" t="s">
        <v>20</v>
      </c>
      <c r="G4591" s="10" t="s">
        <v>21</v>
      </c>
      <c r="H4591" t="str">
        <f>"3933105 SEPT.2021"</f>
        <v>3933105 SEPT.2021</v>
      </c>
      <c r="I4591" t="str">
        <f t="shared" si="100"/>
        <v>FRONTIER</v>
      </c>
    </row>
    <row r="4592" spans="1:9" x14ac:dyDescent="0.25">
      <c r="E4592" s="7"/>
      <c r="F4592" t="s">
        <v>20</v>
      </c>
      <c r="G4592" s="10" t="s">
        <v>21</v>
      </c>
      <c r="H4592" t="str">
        <f>"3933186 SEPT.2021"</f>
        <v>3933186 SEPT.2021</v>
      </c>
      <c r="I4592" t="str">
        <f t="shared" si="100"/>
        <v>FRONTIER</v>
      </c>
    </row>
    <row r="4593" spans="1:9" x14ac:dyDescent="0.25">
      <c r="E4593" s="7"/>
      <c r="F4593" t="s">
        <v>20</v>
      </c>
      <c r="G4593" s="10" t="s">
        <v>21</v>
      </c>
      <c r="H4593" t="str">
        <f>"3936616 SEPT.2021"</f>
        <v>3936616 SEPT.2021</v>
      </c>
      <c r="I4593" t="str">
        <f t="shared" si="100"/>
        <v>FRONTIER</v>
      </c>
    </row>
    <row r="4594" spans="1:9" x14ac:dyDescent="0.25">
      <c r="E4594" s="7"/>
      <c r="F4594" t="s">
        <v>20</v>
      </c>
      <c r="G4594" s="10" t="s">
        <v>21</v>
      </c>
      <c r="H4594" t="str">
        <f>"3936794 SEPT.2021"</f>
        <v>3936794 SEPT.2021</v>
      </c>
      <c r="I4594" t="str">
        <f t="shared" si="100"/>
        <v>FRONTIER</v>
      </c>
    </row>
    <row r="4595" spans="1:9" x14ac:dyDescent="0.25">
      <c r="E4595" s="7"/>
      <c r="F4595" t="s">
        <v>20</v>
      </c>
      <c r="G4595" s="10" t="s">
        <v>21</v>
      </c>
      <c r="H4595" t="str">
        <f>"3939456 SEPT.2021"</f>
        <v>3939456 SEPT.2021</v>
      </c>
      <c r="I4595" t="str">
        <f t="shared" si="100"/>
        <v>FRONTIER</v>
      </c>
    </row>
    <row r="4596" spans="1:9" x14ac:dyDescent="0.25">
      <c r="A4596" s="6">
        <v>44467</v>
      </c>
      <c r="B4596" t="s">
        <v>26</v>
      </c>
      <c r="C4596">
        <v>67729</v>
      </c>
      <c r="D4596" t="s">
        <v>1106</v>
      </c>
      <c r="E4596" s="7">
        <v>85</v>
      </c>
      <c r="F4596" t="s">
        <v>20</v>
      </c>
      <c r="G4596" s="10" t="s">
        <v>21</v>
      </c>
      <c r="H4596" t="str">
        <f>"09/26/2021"</f>
        <v>09/26/2021</v>
      </c>
      <c r="I4596" t="str">
        <f>"GABBY PEREZ"</f>
        <v>GABBY PEREZ</v>
      </c>
    </row>
    <row r="4597" spans="1:9" x14ac:dyDescent="0.25">
      <c r="A4597" s="6">
        <v>44467</v>
      </c>
      <c r="B4597" t="s">
        <v>26</v>
      </c>
      <c r="C4597">
        <v>67730</v>
      </c>
      <c r="D4597" t="s">
        <v>365</v>
      </c>
      <c r="E4597" s="7">
        <v>405</v>
      </c>
      <c r="F4597" t="s">
        <v>20</v>
      </c>
      <c r="G4597" s="10" t="s">
        <v>21</v>
      </c>
      <c r="H4597" t="str">
        <f>"1538105"</f>
        <v>1538105</v>
      </c>
      <c r="I4597" t="str">
        <f>"KIDDIE EXPRESS TRAIN  LLC"</f>
        <v>KIDDIE EXPRESS TRAIN  LLC</v>
      </c>
    </row>
    <row r="4598" spans="1:9" x14ac:dyDescent="0.25">
      <c r="A4598" s="6">
        <v>44467</v>
      </c>
      <c r="B4598" t="s">
        <v>26</v>
      </c>
      <c r="C4598">
        <v>67731</v>
      </c>
      <c r="D4598" t="s">
        <v>29</v>
      </c>
      <c r="E4598" s="7">
        <v>19830.04</v>
      </c>
      <c r="F4598" t="s">
        <v>20</v>
      </c>
      <c r="G4598" s="10" t="s">
        <v>21</v>
      </c>
      <c r="H4598" t="str">
        <f>"51653"</f>
        <v>51653</v>
      </c>
      <c r="I4598" t="str">
        <f t="shared" ref="I4598:I4603" si="101">"M &amp; S ENGINEERING  LLC"</f>
        <v>M &amp; S ENGINEERING  LLC</v>
      </c>
    </row>
    <row r="4599" spans="1:9" x14ac:dyDescent="0.25">
      <c r="E4599" s="7"/>
      <c r="F4599" t="s">
        <v>20</v>
      </c>
      <c r="G4599" s="10" t="s">
        <v>21</v>
      </c>
      <c r="H4599" t="str">
        <f>"51660"</f>
        <v>51660</v>
      </c>
      <c r="I4599" t="str">
        <f t="shared" si="101"/>
        <v>M &amp; S ENGINEERING  LLC</v>
      </c>
    </row>
    <row r="4600" spans="1:9" x14ac:dyDescent="0.25">
      <c r="E4600" s="7"/>
      <c r="F4600" t="s">
        <v>20</v>
      </c>
      <c r="G4600" s="10" t="s">
        <v>21</v>
      </c>
      <c r="H4600" t="str">
        <f>"52067"</f>
        <v>52067</v>
      </c>
      <c r="I4600" t="str">
        <f t="shared" si="101"/>
        <v>M &amp; S ENGINEERING  LLC</v>
      </c>
    </row>
    <row r="4601" spans="1:9" x14ac:dyDescent="0.25">
      <c r="E4601" s="7"/>
      <c r="F4601" t="s">
        <v>20</v>
      </c>
      <c r="G4601" s="10" t="s">
        <v>21</v>
      </c>
      <c r="H4601" t="str">
        <f>"52068"</f>
        <v>52068</v>
      </c>
      <c r="I4601" t="str">
        <f t="shared" si="101"/>
        <v>M &amp; S ENGINEERING  LLC</v>
      </c>
    </row>
    <row r="4602" spans="1:9" x14ac:dyDescent="0.25">
      <c r="E4602" s="7"/>
      <c r="F4602" t="s">
        <v>20</v>
      </c>
      <c r="G4602" s="10" t="s">
        <v>21</v>
      </c>
      <c r="H4602" t="str">
        <f>"53111"</f>
        <v>53111</v>
      </c>
      <c r="I4602" t="str">
        <f t="shared" si="101"/>
        <v>M &amp; S ENGINEERING  LLC</v>
      </c>
    </row>
    <row r="4603" spans="1:9" x14ac:dyDescent="0.25">
      <c r="E4603" s="7"/>
      <c r="F4603" t="s">
        <v>20</v>
      </c>
      <c r="G4603" s="10" t="s">
        <v>21</v>
      </c>
      <c r="H4603" t="str">
        <f>"53135"</f>
        <v>53135</v>
      </c>
      <c r="I4603" t="str">
        <f t="shared" si="101"/>
        <v>M &amp; S ENGINEERING  LLC</v>
      </c>
    </row>
    <row r="4604" spans="1:9" x14ac:dyDescent="0.25">
      <c r="A4604" s="6">
        <v>44467</v>
      </c>
      <c r="B4604" t="s">
        <v>26</v>
      </c>
      <c r="C4604">
        <v>67733</v>
      </c>
      <c r="D4604" t="s">
        <v>345</v>
      </c>
      <c r="E4604" s="7">
        <v>286</v>
      </c>
      <c r="F4604" t="s">
        <v>20</v>
      </c>
      <c r="G4604" s="10" t="s">
        <v>21</v>
      </c>
      <c r="H4604" t="str">
        <f>"09/27/2021"</f>
        <v>09/27/2021</v>
      </c>
      <c r="I4604" t="str">
        <f>"MICHAEL ISAAC MARTINEZ"</f>
        <v>MICHAEL ISAAC MARTINEZ</v>
      </c>
    </row>
    <row r="4605" spans="1:9" x14ac:dyDescent="0.25">
      <c r="A4605" s="6">
        <v>44467</v>
      </c>
      <c r="B4605" t="s">
        <v>26</v>
      </c>
      <c r="C4605">
        <v>67734</v>
      </c>
      <c r="D4605" t="s">
        <v>123</v>
      </c>
      <c r="E4605" s="7">
        <v>135.63999999999999</v>
      </c>
      <c r="F4605" t="s">
        <v>20</v>
      </c>
      <c r="G4605" s="10" t="s">
        <v>21</v>
      </c>
      <c r="H4605" t="str">
        <f>"190905849001"</f>
        <v>190905849001</v>
      </c>
      <c r="I4605" t="str">
        <f>"OFFICE SUPPLIES"</f>
        <v>OFFICE SUPPLIES</v>
      </c>
    </row>
    <row r="4606" spans="1:9" x14ac:dyDescent="0.25">
      <c r="E4606" s="7"/>
      <c r="F4606" t="s">
        <v>20</v>
      </c>
      <c r="G4606" s="10" t="s">
        <v>21</v>
      </c>
      <c r="H4606" t="str">
        <f>"190917255001"</f>
        <v>190917255001</v>
      </c>
      <c r="I4606" t="str">
        <f>"OFFICE SUPPLIES"</f>
        <v>OFFICE SUPPLIES</v>
      </c>
    </row>
    <row r="4607" spans="1:9" x14ac:dyDescent="0.25">
      <c r="E4607" s="7"/>
      <c r="F4607" t="s">
        <v>20</v>
      </c>
      <c r="G4607" s="10" t="s">
        <v>21</v>
      </c>
      <c r="H4607" t="str">
        <f>"190917270001"</f>
        <v>190917270001</v>
      </c>
      <c r="I4607" t="str">
        <f>"OFFICE SUPPLIES"</f>
        <v>OFFICE SUPPLIES</v>
      </c>
    </row>
    <row r="4608" spans="1:9" x14ac:dyDescent="0.25">
      <c r="A4608" s="6">
        <v>44467</v>
      </c>
      <c r="B4608" t="s">
        <v>26</v>
      </c>
      <c r="C4608">
        <v>67736</v>
      </c>
      <c r="D4608" t="s">
        <v>248</v>
      </c>
      <c r="E4608" s="7">
        <v>426.54</v>
      </c>
      <c r="F4608" t="s">
        <v>20</v>
      </c>
      <c r="G4608" s="10" t="s">
        <v>21</v>
      </c>
      <c r="H4608" t="str">
        <f>"1018952489"</f>
        <v>1018952489</v>
      </c>
      <c r="I4608" t="str">
        <f>"PITNEY BOWES"</f>
        <v>PITNEY BOWES</v>
      </c>
    </row>
    <row r="4609" spans="1:9" x14ac:dyDescent="0.25">
      <c r="E4609" s="7"/>
      <c r="F4609" t="s">
        <v>20</v>
      </c>
      <c r="G4609" s="10" t="s">
        <v>21</v>
      </c>
      <c r="H4609" t="str">
        <f>"1018964598"</f>
        <v>1018964598</v>
      </c>
      <c r="I4609" t="str">
        <f>"PITNEY BOWES"</f>
        <v>PITNEY BOWES</v>
      </c>
    </row>
    <row r="4610" spans="1:9" x14ac:dyDescent="0.25">
      <c r="A4610" s="6">
        <v>44467</v>
      </c>
      <c r="B4610" t="s">
        <v>26</v>
      </c>
      <c r="C4610">
        <v>67737</v>
      </c>
      <c r="D4610" t="s">
        <v>184</v>
      </c>
      <c r="E4610" s="7">
        <v>758</v>
      </c>
      <c r="F4610" t="s">
        <v>20</v>
      </c>
      <c r="G4610" s="10" t="s">
        <v>21</v>
      </c>
      <c r="H4610" t="str">
        <f>"1059-984*"</f>
        <v>1059-984*</v>
      </c>
      <c r="I4610" t="str">
        <f>"POLLUTION CONTROL SERVICES"</f>
        <v>POLLUTION CONTROL SERVICES</v>
      </c>
    </row>
    <row r="4611" spans="1:9" x14ac:dyDescent="0.25">
      <c r="A4611" s="6">
        <v>44467</v>
      </c>
      <c r="B4611" t="s">
        <v>26</v>
      </c>
      <c r="C4611">
        <v>67738</v>
      </c>
      <c r="D4611" t="s">
        <v>216</v>
      </c>
      <c r="E4611" s="7">
        <v>39916.26</v>
      </c>
      <c r="F4611" t="s">
        <v>20</v>
      </c>
      <c r="G4611" s="10" t="s">
        <v>21</v>
      </c>
      <c r="H4611" t="str">
        <f>"89996f"</f>
        <v>89996f</v>
      </c>
      <c r="I4611" t="str">
        <f>"SILSBEE FORD  INC."</f>
        <v>SILSBEE FORD  INC.</v>
      </c>
    </row>
    <row r="4612" spans="1:9" x14ac:dyDescent="0.25">
      <c r="A4612" s="6">
        <v>44467</v>
      </c>
      <c r="B4612" t="s">
        <v>26</v>
      </c>
      <c r="C4612">
        <v>67739</v>
      </c>
      <c r="D4612" t="s">
        <v>495</v>
      </c>
      <c r="E4612" s="7">
        <v>3016.35</v>
      </c>
      <c r="F4612" t="s">
        <v>20</v>
      </c>
      <c r="G4612" s="10" t="s">
        <v>21</v>
      </c>
      <c r="H4612" t="str">
        <f>"0514177-IN"</f>
        <v>0514177-IN</v>
      </c>
      <c r="I4612" t="str">
        <f>"PD SUPPLIES"</f>
        <v>PD SUPPLIES</v>
      </c>
    </row>
    <row r="4613" spans="1:9" x14ac:dyDescent="0.25">
      <c r="A4613" s="6">
        <v>44467</v>
      </c>
      <c r="B4613" t="s">
        <v>26</v>
      </c>
      <c r="C4613">
        <v>67740</v>
      </c>
      <c r="D4613" t="s">
        <v>656</v>
      </c>
      <c r="E4613" s="7">
        <v>170</v>
      </c>
      <c r="F4613" t="s">
        <v>20</v>
      </c>
      <c r="G4613" s="10" t="s">
        <v>21</v>
      </c>
      <c r="H4613" t="str">
        <f>"09/26/2021"</f>
        <v>09/26/2021</v>
      </c>
      <c r="I4613" t="str">
        <f>"SONIA ESTRADA"</f>
        <v>SONIA ESTRADA</v>
      </c>
    </row>
    <row r="4614" spans="1:9" x14ac:dyDescent="0.25">
      <c r="A4614" s="6">
        <v>44467</v>
      </c>
      <c r="B4614" t="s">
        <v>26</v>
      </c>
      <c r="C4614">
        <v>67741</v>
      </c>
      <c r="D4614" t="s">
        <v>698</v>
      </c>
      <c r="E4614" s="7">
        <v>145</v>
      </c>
      <c r="F4614" t="s">
        <v>20</v>
      </c>
      <c r="G4614" s="10" t="s">
        <v>21</v>
      </c>
      <c r="H4614" t="str">
        <f>"09/26/2021"</f>
        <v>09/26/2021</v>
      </c>
      <c r="I4614" t="str">
        <f>"TRACY ORTIZ"</f>
        <v>TRACY ORTIZ</v>
      </c>
    </row>
    <row r="4615" spans="1:9" x14ac:dyDescent="0.25">
      <c r="A4615" s="6">
        <v>44467</v>
      </c>
      <c r="B4615" t="s">
        <v>26</v>
      </c>
      <c r="C4615">
        <v>67742</v>
      </c>
      <c r="D4615" t="s">
        <v>61</v>
      </c>
      <c r="E4615" s="7">
        <v>188</v>
      </c>
      <c r="F4615" t="s">
        <v>20</v>
      </c>
      <c r="G4615" s="10" t="s">
        <v>21</v>
      </c>
      <c r="H4615" t="str">
        <f>"025-350125"</f>
        <v>025-350125</v>
      </c>
      <c r="I4615" t="str">
        <f>"TYLER TECHNOLOGIES  INC."</f>
        <v>TYLER TECHNOLOGIES  INC.</v>
      </c>
    </row>
    <row r="4616" spans="1:9" x14ac:dyDescent="0.25">
      <c r="A4616" s="6">
        <v>44467</v>
      </c>
      <c r="B4616" t="s">
        <v>26</v>
      </c>
      <c r="C4616">
        <v>67743</v>
      </c>
      <c r="D4616" t="s">
        <v>644</v>
      </c>
      <c r="E4616" s="7">
        <v>628.63</v>
      </c>
      <c r="F4616" t="s">
        <v>20</v>
      </c>
      <c r="G4616" s="10" t="s">
        <v>21</v>
      </c>
      <c r="H4616" t="str">
        <f>"8213642400"</f>
        <v>8213642400</v>
      </c>
      <c r="I4616" t="str">
        <f t="shared" ref="I4616:I4621" si="102">"UNIFIRST CORPORATION"</f>
        <v>UNIFIRST CORPORATION</v>
      </c>
    </row>
    <row r="4617" spans="1:9" x14ac:dyDescent="0.25">
      <c r="E4617" s="7"/>
      <c r="F4617" t="s">
        <v>20</v>
      </c>
      <c r="G4617" s="10" t="s">
        <v>21</v>
      </c>
      <c r="H4617" t="str">
        <f>"8213642401"</f>
        <v>8213642401</v>
      </c>
      <c r="I4617" t="str">
        <f t="shared" si="102"/>
        <v>UNIFIRST CORPORATION</v>
      </c>
    </row>
    <row r="4618" spans="1:9" x14ac:dyDescent="0.25">
      <c r="E4618" s="7"/>
      <c r="F4618" t="s">
        <v>20</v>
      </c>
      <c r="G4618" s="10" t="s">
        <v>21</v>
      </c>
      <c r="H4618" t="str">
        <f>"8213642402"</f>
        <v>8213642402</v>
      </c>
      <c r="I4618" t="str">
        <f t="shared" si="102"/>
        <v>UNIFIRST CORPORATION</v>
      </c>
    </row>
    <row r="4619" spans="1:9" x14ac:dyDescent="0.25">
      <c r="E4619" s="7"/>
      <c r="F4619" t="s">
        <v>20</v>
      </c>
      <c r="G4619" s="10" t="s">
        <v>21</v>
      </c>
      <c r="H4619" t="str">
        <f>"8213642403"</f>
        <v>8213642403</v>
      </c>
      <c r="I4619" t="str">
        <f t="shared" si="102"/>
        <v>UNIFIRST CORPORATION</v>
      </c>
    </row>
    <row r="4620" spans="1:9" x14ac:dyDescent="0.25">
      <c r="E4620" s="7"/>
      <c r="F4620" t="s">
        <v>20</v>
      </c>
      <c r="G4620" s="10" t="s">
        <v>21</v>
      </c>
      <c r="H4620" t="str">
        <f>"8213642405"</f>
        <v>8213642405</v>
      </c>
      <c r="I4620" t="str">
        <f t="shared" si="102"/>
        <v>UNIFIRST CORPORATION</v>
      </c>
    </row>
    <row r="4621" spans="1:9" x14ac:dyDescent="0.25">
      <c r="E4621" s="7"/>
      <c r="F4621" t="s">
        <v>20</v>
      </c>
      <c r="G4621" s="10" t="s">
        <v>21</v>
      </c>
      <c r="H4621" t="str">
        <f>"8213642406"</f>
        <v>8213642406</v>
      </c>
      <c r="I4621" t="str">
        <f t="shared" si="102"/>
        <v>UNIFIRST CORPORATION</v>
      </c>
    </row>
    <row r="4622" spans="1:9" x14ac:dyDescent="0.25">
      <c r="A4622" s="6">
        <v>44467</v>
      </c>
      <c r="B4622" t="s">
        <v>26</v>
      </c>
      <c r="C4622">
        <v>67745</v>
      </c>
      <c r="D4622" t="s">
        <v>203</v>
      </c>
      <c r="E4622" s="7">
        <v>59.42</v>
      </c>
      <c r="F4622" t="s">
        <v>20</v>
      </c>
      <c r="G4622" s="10" t="s">
        <v>21</v>
      </c>
      <c r="H4622" t="str">
        <f>"720549"</f>
        <v>720549</v>
      </c>
      <c r="I4622" t="str">
        <f>"DPD 1 DISPENSER"</f>
        <v>DPD 1 DISPENSER</v>
      </c>
    </row>
    <row r="4623" spans="1:9" x14ac:dyDescent="0.25">
      <c r="A4623" s="6">
        <v>44467</v>
      </c>
      <c r="B4623" t="s">
        <v>26</v>
      </c>
      <c r="C4623">
        <v>67746</v>
      </c>
      <c r="D4623" t="s">
        <v>122</v>
      </c>
      <c r="E4623" s="7">
        <v>20</v>
      </c>
      <c r="F4623" t="s">
        <v>20</v>
      </c>
      <c r="G4623" s="10" t="s">
        <v>21</v>
      </c>
      <c r="H4623" t="str">
        <f>"856303"</f>
        <v>856303</v>
      </c>
      <c r="I4623" t="str">
        <f>"VILLA TIRES"</f>
        <v>VILLA TIRES</v>
      </c>
    </row>
    <row r="4624" spans="1:9" x14ac:dyDescent="0.25">
      <c r="E4624" s="7"/>
      <c r="F4624" t="s">
        <v>20</v>
      </c>
      <c r="G4624" s="10" t="s">
        <v>21</v>
      </c>
      <c r="H4624" t="str">
        <f>"856311"</f>
        <v>856311</v>
      </c>
      <c r="I4624" t="str">
        <f>"VILLA TIRES"</f>
        <v>VILLA TIRES</v>
      </c>
    </row>
    <row r="4625" spans="1:9" x14ac:dyDescent="0.25">
      <c r="A4625" s="6">
        <v>44467</v>
      </c>
      <c r="B4625" t="s">
        <v>26</v>
      </c>
      <c r="C4625">
        <v>67747</v>
      </c>
      <c r="D4625" t="s">
        <v>202</v>
      </c>
      <c r="E4625" s="7">
        <v>1876.92</v>
      </c>
      <c r="F4625" t="s">
        <v>20</v>
      </c>
      <c r="G4625" s="10" t="s">
        <v>21</v>
      </c>
      <c r="H4625" t="str">
        <f>"62357858"</f>
        <v>62357858</v>
      </c>
      <c r="I4625" t="str">
        <f>"A-2 BASE"</f>
        <v>A-2 BASE</v>
      </c>
    </row>
    <row r="4626" spans="1:9" x14ac:dyDescent="0.25">
      <c r="A4626" s="6">
        <v>44467</v>
      </c>
      <c r="B4626" t="s">
        <v>26</v>
      </c>
      <c r="C4626">
        <v>67748</v>
      </c>
      <c r="D4626" t="s">
        <v>1124</v>
      </c>
      <c r="E4626" s="7">
        <v>50</v>
      </c>
      <c r="F4626" t="s">
        <v>20</v>
      </c>
      <c r="G4626" s="10" t="s">
        <v>21</v>
      </c>
      <c r="H4626" t="str">
        <f>"DEP.RFND 9/18/21"</f>
        <v>DEP.RFND 9/18/21</v>
      </c>
      <c r="I4626" t="str">
        <f>"REFUND"</f>
        <v>REFUND</v>
      </c>
    </row>
    <row r="4627" spans="1:9" x14ac:dyDescent="0.25">
      <c r="A4627" s="6">
        <v>44467</v>
      </c>
      <c r="B4627" t="s">
        <v>26</v>
      </c>
      <c r="C4627">
        <v>67749</v>
      </c>
      <c r="D4627" t="s">
        <v>79</v>
      </c>
      <c r="E4627" s="7">
        <v>6.75</v>
      </c>
      <c r="F4627" t="s">
        <v>20</v>
      </c>
      <c r="G4627" s="10" t="s">
        <v>21</v>
      </c>
      <c r="H4627" t="str">
        <f>"7-502-32384"</f>
        <v>7-502-32384</v>
      </c>
      <c r="I4627" t="str">
        <f>"FEDEX"</f>
        <v>FEDEX</v>
      </c>
    </row>
    <row r="4628" spans="1:9" x14ac:dyDescent="0.25">
      <c r="A4628" s="6">
        <v>44467</v>
      </c>
      <c r="B4628" t="s">
        <v>26</v>
      </c>
      <c r="C4628">
        <v>67750</v>
      </c>
      <c r="D4628" t="s">
        <v>216</v>
      </c>
      <c r="E4628" s="7">
        <v>39916.25</v>
      </c>
      <c r="F4628" t="s">
        <v>20</v>
      </c>
      <c r="G4628" s="10" t="s">
        <v>21</v>
      </c>
      <c r="H4628" t="str">
        <f>"89997f"</f>
        <v>89997f</v>
      </c>
      <c r="I4628" t="str">
        <f>"SILSBEE FORD  INC."</f>
        <v>SILSBEE FORD  INC.</v>
      </c>
    </row>
    <row r="4629" spans="1:9" x14ac:dyDescent="0.25">
      <c r="A4629" s="6">
        <v>44468</v>
      </c>
      <c r="B4629" t="s">
        <v>26</v>
      </c>
      <c r="C4629">
        <v>67751</v>
      </c>
      <c r="D4629" t="s">
        <v>90</v>
      </c>
      <c r="E4629" s="7">
        <v>1636.56</v>
      </c>
      <c r="F4629" t="s">
        <v>20</v>
      </c>
      <c r="G4629" s="10" t="s">
        <v>21</v>
      </c>
      <c r="H4629" t="str">
        <f>"ACA202108248619"</f>
        <v>ACA202108248619</v>
      </c>
      <c r="I4629" t="str">
        <f>"AFLAC INSURANCE"</f>
        <v>AFLAC INSURANCE</v>
      </c>
    </row>
    <row r="4630" spans="1:9" x14ac:dyDescent="0.25">
      <c r="E4630" s="7"/>
      <c r="F4630" t="s">
        <v>20</v>
      </c>
      <c r="G4630" s="10" t="s">
        <v>21</v>
      </c>
      <c r="H4630" t="str">
        <f>"ACA202109078620"</f>
        <v>ACA202109078620</v>
      </c>
      <c r="I4630" t="str">
        <f>"AFLAC INSURANCE"</f>
        <v>AFLAC INSURANCE</v>
      </c>
    </row>
    <row r="4631" spans="1:9" x14ac:dyDescent="0.25">
      <c r="E4631" s="7"/>
      <c r="F4631" t="s">
        <v>20</v>
      </c>
      <c r="G4631" s="10" t="s">
        <v>21</v>
      </c>
      <c r="H4631" t="str">
        <f>"ADR202108248619"</f>
        <v>ADR202108248619</v>
      </c>
      <c r="I4631" t="str">
        <f>"INSURANCE"</f>
        <v>INSURANCE</v>
      </c>
    </row>
    <row r="4632" spans="1:9" x14ac:dyDescent="0.25">
      <c r="E4632" s="7"/>
      <c r="F4632" t="s">
        <v>20</v>
      </c>
      <c r="G4632" s="10" t="s">
        <v>21</v>
      </c>
      <c r="H4632" t="str">
        <f>"ADR202109078620"</f>
        <v>ADR202109078620</v>
      </c>
      <c r="I4632" t="str">
        <f>"INSURANCE"</f>
        <v>INSURANCE</v>
      </c>
    </row>
    <row r="4633" spans="1:9" x14ac:dyDescent="0.25">
      <c r="E4633" s="7"/>
      <c r="F4633" t="s">
        <v>20</v>
      </c>
      <c r="G4633" s="10" t="s">
        <v>21</v>
      </c>
      <c r="H4633" t="str">
        <f>"AF1202108248619"</f>
        <v>AF1202108248619</v>
      </c>
      <c r="I4633" t="str">
        <f>"AFLAC INSURANCE"</f>
        <v>AFLAC INSURANCE</v>
      </c>
    </row>
    <row r="4634" spans="1:9" x14ac:dyDescent="0.25">
      <c r="E4634" s="7"/>
      <c r="F4634" t="s">
        <v>20</v>
      </c>
      <c r="G4634" s="10" t="s">
        <v>21</v>
      </c>
      <c r="H4634" t="str">
        <f>"AF1202109078620"</f>
        <v>AF1202109078620</v>
      </c>
      <c r="I4634" t="str">
        <f>"AFLAC INSURANCE"</f>
        <v>AFLAC INSURANCE</v>
      </c>
    </row>
    <row r="4635" spans="1:9" x14ac:dyDescent="0.25">
      <c r="E4635" s="7"/>
      <c r="F4635" t="s">
        <v>20</v>
      </c>
      <c r="G4635" s="10" t="s">
        <v>21</v>
      </c>
      <c r="H4635" t="str">
        <f>"AFS202108248619"</f>
        <v>AFS202108248619</v>
      </c>
      <c r="I4635" t="str">
        <f>"AFLAC STD"</f>
        <v>AFLAC STD</v>
      </c>
    </row>
    <row r="4636" spans="1:9" x14ac:dyDescent="0.25">
      <c r="E4636" s="7"/>
      <c r="F4636" t="s">
        <v>20</v>
      </c>
      <c r="G4636" s="10" t="s">
        <v>21</v>
      </c>
      <c r="H4636" t="str">
        <f>"AFS202109078620"</f>
        <v>AFS202109078620</v>
      </c>
      <c r="I4636" t="str">
        <f>"AFLAC STD"</f>
        <v>AFLAC STD</v>
      </c>
    </row>
    <row r="4637" spans="1:9" x14ac:dyDescent="0.25">
      <c r="E4637" s="7"/>
      <c r="F4637" t="s">
        <v>20</v>
      </c>
      <c r="G4637" s="10" t="s">
        <v>21</v>
      </c>
      <c r="H4637" t="str">
        <f>"ASP202108248619"</f>
        <v>ASP202108248619</v>
      </c>
      <c r="I4637" t="str">
        <f>"AFLAC INSURANCE"</f>
        <v>AFLAC INSURANCE</v>
      </c>
    </row>
    <row r="4638" spans="1:9" x14ac:dyDescent="0.25">
      <c r="E4638" s="7"/>
      <c r="F4638" t="s">
        <v>20</v>
      </c>
      <c r="G4638" s="10" t="s">
        <v>21</v>
      </c>
      <c r="H4638" t="str">
        <f>"ASP202109078620"</f>
        <v>ASP202109078620</v>
      </c>
      <c r="I4638" t="str">
        <f>"AFLAC INSURANCE"</f>
        <v>AFLAC INSURANCE</v>
      </c>
    </row>
    <row r="4639" spans="1:9" x14ac:dyDescent="0.25">
      <c r="E4639" s="7"/>
      <c r="F4639" t="s">
        <v>20</v>
      </c>
      <c r="G4639" s="10" t="s">
        <v>21</v>
      </c>
      <c r="H4639" t="str">
        <f>"HCO202108248619"</f>
        <v>HCO202108248619</v>
      </c>
      <c r="I4639" t="str">
        <f>"AFLAC INSURANCE"</f>
        <v>AFLAC INSURANCE</v>
      </c>
    </row>
    <row r="4640" spans="1:9" x14ac:dyDescent="0.25">
      <c r="E4640" s="7"/>
      <c r="F4640" t="s">
        <v>20</v>
      </c>
      <c r="G4640" s="10" t="s">
        <v>21</v>
      </c>
      <c r="H4640" t="str">
        <f>"HCO202109078620"</f>
        <v>HCO202109078620</v>
      </c>
      <c r="I4640" t="str">
        <f>"AFLAC INSURANCE"</f>
        <v>AFLAC INSURANCE</v>
      </c>
    </row>
    <row r="4641" spans="1:9" x14ac:dyDescent="0.25">
      <c r="A4641" s="6">
        <v>44468</v>
      </c>
      <c r="B4641" t="s">
        <v>26</v>
      </c>
      <c r="C4641">
        <v>67756</v>
      </c>
      <c r="D4641" t="s">
        <v>95</v>
      </c>
      <c r="E4641" s="7">
        <v>25.32</v>
      </c>
      <c r="F4641" t="s">
        <v>20</v>
      </c>
      <c r="G4641" s="10" t="s">
        <v>21</v>
      </c>
      <c r="H4641" t="str">
        <f>"LEA202109078620"</f>
        <v>LEA202109078620</v>
      </c>
      <c r="I4641" t="str">
        <f>"INSURANCE"</f>
        <v>INSURANCE</v>
      </c>
    </row>
    <row r="4642" spans="1:9" x14ac:dyDescent="0.25">
      <c r="E4642" s="7"/>
      <c r="F4642" t="s">
        <v>20</v>
      </c>
      <c r="G4642" s="10" t="s">
        <v>21</v>
      </c>
      <c r="H4642" t="str">
        <f>"LEA202109218622"</f>
        <v>LEA202109218622</v>
      </c>
      <c r="I4642" t="str">
        <f>"INSURANCE"</f>
        <v>INSURANCE</v>
      </c>
    </row>
    <row r="4643" spans="1:9" x14ac:dyDescent="0.25">
      <c r="A4643" s="6">
        <v>44468</v>
      </c>
      <c r="B4643" t="s">
        <v>26</v>
      </c>
      <c r="C4643">
        <v>67757</v>
      </c>
      <c r="D4643" t="s">
        <v>96</v>
      </c>
      <c r="E4643" s="7">
        <v>225.24</v>
      </c>
      <c r="F4643" t="s">
        <v>20</v>
      </c>
      <c r="G4643" s="10" t="s">
        <v>21</v>
      </c>
      <c r="H4643" t="str">
        <f>"PPL202109078620"</f>
        <v>PPL202109078620</v>
      </c>
      <c r="I4643" t="str">
        <f>"INSURANCE"</f>
        <v>INSURANCE</v>
      </c>
    </row>
    <row r="4644" spans="1:9" x14ac:dyDescent="0.25">
      <c r="E4644" s="7"/>
      <c r="F4644" t="s">
        <v>20</v>
      </c>
      <c r="G4644" s="10" t="s">
        <v>21</v>
      </c>
      <c r="H4644" t="str">
        <f>"PPL202109218622"</f>
        <v>PPL202109218622</v>
      </c>
      <c r="I4644" t="str">
        <f>"INSURANCE"</f>
        <v>INSURANCE</v>
      </c>
    </row>
    <row r="4645" spans="1:9" x14ac:dyDescent="0.25">
      <c r="A4645" s="6">
        <v>44468</v>
      </c>
      <c r="B4645" t="s">
        <v>26</v>
      </c>
      <c r="C4645">
        <v>67758</v>
      </c>
      <c r="D4645" t="s">
        <v>97</v>
      </c>
      <c r="E4645" s="7">
        <v>49444.37</v>
      </c>
      <c r="F4645" t="s">
        <v>20</v>
      </c>
      <c r="G4645" s="10" t="s">
        <v>329</v>
      </c>
      <c r="H4645" t="str">
        <f>"OCT 2021"</f>
        <v>OCT 2021</v>
      </c>
      <c r="I4645" t="str">
        <f>"HEALTH CARE SERVICE CORPORATIO"</f>
        <v>HEALTH CARE SERVICE CORPORATIO</v>
      </c>
    </row>
    <row r="4646" spans="1:9" x14ac:dyDescent="0.25">
      <c r="E4646" s="7"/>
      <c r="F4646" t="s">
        <v>20</v>
      </c>
      <c r="G4646" s="10" t="s">
        <v>21</v>
      </c>
      <c r="H4646" t="str">
        <f>"DEN202109078620"</f>
        <v>DEN202109078620</v>
      </c>
      <c r="I4646" t="str">
        <f>"DENTAL INSURANCE"</f>
        <v>DENTAL INSURANCE</v>
      </c>
    </row>
    <row r="4647" spans="1:9" x14ac:dyDescent="0.25">
      <c r="E4647" s="7"/>
      <c r="F4647" t="s">
        <v>20</v>
      </c>
      <c r="G4647" s="10" t="s">
        <v>21</v>
      </c>
      <c r="H4647" t="str">
        <f>"DEN202109218622"</f>
        <v>DEN202109218622</v>
      </c>
      <c r="I4647" t="str">
        <f>"DENTAL INSURANCE"</f>
        <v>DENTAL INSURANCE</v>
      </c>
    </row>
    <row r="4648" spans="1:9" x14ac:dyDescent="0.25">
      <c r="E4648" s="7"/>
      <c r="F4648" t="s">
        <v>20</v>
      </c>
      <c r="G4648" s="10" t="s">
        <v>21</v>
      </c>
      <c r="H4648" t="str">
        <f>"MED202109078620"</f>
        <v>MED202109078620</v>
      </c>
      <c r="I4648" t="str">
        <f>"HEALTH &amp; DENTAL INSURANCE"</f>
        <v>HEALTH &amp; DENTAL INSURANCE</v>
      </c>
    </row>
    <row r="4649" spans="1:9" x14ac:dyDescent="0.25">
      <c r="E4649" s="7"/>
      <c r="F4649" t="s">
        <v>20</v>
      </c>
      <c r="G4649" s="10" t="s">
        <v>21</v>
      </c>
      <c r="H4649" t="str">
        <f>"MED202109218622"</f>
        <v>MED202109218622</v>
      </c>
      <c r="I4649" t="str">
        <f>"HEALTH &amp; DENTAL INSURANCE"</f>
        <v>HEALTH &amp; DENTAL INSURANCE</v>
      </c>
    </row>
    <row r="4650" spans="1:9" x14ac:dyDescent="0.25">
      <c r="A4650" s="6">
        <v>44468</v>
      </c>
      <c r="B4650" t="s">
        <v>26</v>
      </c>
      <c r="C4650">
        <v>67764</v>
      </c>
      <c r="D4650" t="s">
        <v>98</v>
      </c>
      <c r="E4650" s="7">
        <v>3593.51</v>
      </c>
      <c r="F4650" t="s">
        <v>20</v>
      </c>
      <c r="G4650" s="10" t="s">
        <v>329</v>
      </c>
      <c r="H4650" t="str">
        <f>"STMNT DATE 9/9/21"</f>
        <v>STMNT DATE 9/9/21</v>
      </c>
      <c r="I4650" t="str">
        <f>"DEARBORN LIFE INSURANCE COMPAN"</f>
        <v>DEARBORN LIFE INSURANCE COMPAN</v>
      </c>
    </row>
    <row r="4651" spans="1:9" x14ac:dyDescent="0.25">
      <c r="E4651" s="7"/>
      <c r="F4651" t="s">
        <v>20</v>
      </c>
      <c r="G4651" s="10" t="s">
        <v>21</v>
      </c>
      <c r="H4651" t="str">
        <f>"STD202109078620"</f>
        <v>STD202109078620</v>
      </c>
      <c r="I4651" t="str">
        <f>"SHORT TERM DISABILITY"</f>
        <v>SHORT TERM DISABILITY</v>
      </c>
    </row>
    <row r="4652" spans="1:9" x14ac:dyDescent="0.25">
      <c r="E4652" s="7"/>
      <c r="F4652" t="s">
        <v>20</v>
      </c>
      <c r="G4652" s="10" t="s">
        <v>21</v>
      </c>
      <c r="H4652" t="str">
        <f>"STD202109218622"</f>
        <v>STD202109218622</v>
      </c>
      <c r="I4652" t="str">
        <f>"SHORT TERM DISABILITY"</f>
        <v>SHORT TERM DISABILITY</v>
      </c>
    </row>
    <row r="4653" spans="1:9" x14ac:dyDescent="0.25">
      <c r="E4653" s="7"/>
      <c r="F4653" t="s">
        <v>20</v>
      </c>
      <c r="G4653" s="10" t="s">
        <v>21</v>
      </c>
      <c r="H4653" t="str">
        <f>"VIS202109078620"</f>
        <v>VIS202109078620</v>
      </c>
      <c r="I4653" t="str">
        <f>"VISION INSURANCE"</f>
        <v>VISION INSURANCE</v>
      </c>
    </row>
    <row r="4654" spans="1:9" x14ac:dyDescent="0.25">
      <c r="E4654" s="7"/>
      <c r="F4654" t="s">
        <v>20</v>
      </c>
      <c r="G4654" s="10" t="s">
        <v>21</v>
      </c>
      <c r="H4654" t="str">
        <f>"VIS202109218622"</f>
        <v>VIS202109218622</v>
      </c>
      <c r="I4654" t="str">
        <f>"VISION INSURANCE"</f>
        <v>VISION INSURANCE</v>
      </c>
    </row>
    <row r="4655" spans="1:9" x14ac:dyDescent="0.25">
      <c r="E4655" s="7"/>
      <c r="F4655" t="s">
        <v>20</v>
      </c>
      <c r="G4655" s="10" t="s">
        <v>21</v>
      </c>
      <c r="H4655" t="str">
        <f>"VLC202109078620"</f>
        <v>VLC202109078620</v>
      </c>
      <c r="I4655" t="str">
        <f>"CHILD LIFE INSURANCE"</f>
        <v>CHILD LIFE INSURANCE</v>
      </c>
    </row>
    <row r="4656" spans="1:9" x14ac:dyDescent="0.25">
      <c r="E4656" s="7"/>
      <c r="F4656" t="s">
        <v>20</v>
      </c>
      <c r="G4656" s="10" t="s">
        <v>21</v>
      </c>
      <c r="H4656" t="str">
        <f>"VLC202109218622"</f>
        <v>VLC202109218622</v>
      </c>
      <c r="I4656" t="str">
        <f>"CHILD LIFE INSURANCE"</f>
        <v>CHILD LIFE INSURANCE</v>
      </c>
    </row>
    <row r="4657" spans="1:9" x14ac:dyDescent="0.25">
      <c r="E4657" s="7"/>
      <c r="F4657" t="s">
        <v>20</v>
      </c>
      <c r="G4657" s="10" t="s">
        <v>21</v>
      </c>
      <c r="H4657" t="str">
        <f>"VLS202109078620"</f>
        <v>VLS202109078620</v>
      </c>
      <c r="I4657" t="str">
        <f>"SPOUSE LIFE"</f>
        <v>SPOUSE LIFE</v>
      </c>
    </row>
    <row r="4658" spans="1:9" x14ac:dyDescent="0.25">
      <c r="E4658" s="7"/>
      <c r="F4658" t="s">
        <v>20</v>
      </c>
      <c r="G4658" s="10" t="s">
        <v>21</v>
      </c>
      <c r="H4658" t="str">
        <f>"VLS202109218622"</f>
        <v>VLS202109218622</v>
      </c>
      <c r="I4658" t="str">
        <f>"SPOUSE LIFE"</f>
        <v>SPOUSE LIFE</v>
      </c>
    </row>
    <row r="4659" spans="1:9" x14ac:dyDescent="0.25">
      <c r="E4659" s="7"/>
      <c r="F4659" t="s">
        <v>20</v>
      </c>
      <c r="G4659" s="10" t="s">
        <v>21</v>
      </c>
      <c r="H4659" t="str">
        <f>"VOE202109078620"</f>
        <v>VOE202109078620</v>
      </c>
      <c r="I4659" t="str">
        <f>"EMPLOYEE LIFE"</f>
        <v>EMPLOYEE LIFE</v>
      </c>
    </row>
    <row r="4660" spans="1:9" x14ac:dyDescent="0.25">
      <c r="E4660" s="7"/>
      <c r="F4660" t="s">
        <v>20</v>
      </c>
      <c r="G4660" s="10" t="s">
        <v>21</v>
      </c>
      <c r="H4660" t="str">
        <f>"VOE202109218622"</f>
        <v>VOE202109218622</v>
      </c>
      <c r="I4660" t="str">
        <f>"EMPLOYEE LIFE"</f>
        <v>EMPLOYEE LIFE</v>
      </c>
    </row>
    <row r="4661" spans="1:9" x14ac:dyDescent="0.25">
      <c r="E4661" s="7"/>
      <c r="F4661" t="s">
        <v>20</v>
      </c>
      <c r="G4661" s="10" t="s">
        <v>21</v>
      </c>
      <c r="H4661" t="str">
        <f>"VOL202109078620"</f>
        <v>VOL202109078620</v>
      </c>
      <c r="I4661" t="str">
        <f>"LIFE"</f>
        <v>LIFE</v>
      </c>
    </row>
    <row r="4662" spans="1:9" x14ac:dyDescent="0.25">
      <c r="E4662" s="7"/>
      <c r="F4662" t="s">
        <v>20</v>
      </c>
      <c r="G4662" s="10" t="s">
        <v>21</v>
      </c>
      <c r="H4662" t="str">
        <f>"VOL202109218622"</f>
        <v>VOL202109218622</v>
      </c>
      <c r="I4662" t="str">
        <f>"LIFE"</f>
        <v>LIFE</v>
      </c>
    </row>
    <row r="4663" spans="1:9" x14ac:dyDescent="0.25">
      <c r="A4663" s="6">
        <v>44468</v>
      </c>
      <c r="B4663" t="s">
        <v>26</v>
      </c>
      <c r="C4663">
        <v>67774</v>
      </c>
      <c r="D4663" t="s">
        <v>1029</v>
      </c>
      <c r="E4663" s="7">
        <v>606.84</v>
      </c>
      <c r="F4663" t="s">
        <v>20</v>
      </c>
      <c r="G4663" s="10" t="s">
        <v>21</v>
      </c>
      <c r="H4663" t="str">
        <f>"TML CONF. 2021"</f>
        <v>TML CONF. 2021</v>
      </c>
      <c r="I4663" t="str">
        <f>"ANDY JOSLIN"</f>
        <v>ANDY JOSLIN</v>
      </c>
    </row>
    <row r="4664" spans="1:9" x14ac:dyDescent="0.25">
      <c r="A4664" s="6">
        <v>44468</v>
      </c>
      <c r="B4664" t="s">
        <v>26</v>
      </c>
      <c r="C4664">
        <v>67775</v>
      </c>
      <c r="D4664" t="s">
        <v>821</v>
      </c>
      <c r="E4664" s="7">
        <v>830.06</v>
      </c>
      <c r="F4664" t="s">
        <v>20</v>
      </c>
      <c r="G4664" s="10" t="s">
        <v>21</v>
      </c>
      <c r="H4664" t="str">
        <f>"FRI8973"</f>
        <v>FRI8973</v>
      </c>
      <c r="I4664" t="str">
        <f>"REPLACEMENT FUSE HOLDER"</f>
        <v>REPLACEMENT FUSE HOLDER</v>
      </c>
    </row>
    <row r="4665" spans="1:9" x14ac:dyDescent="0.25">
      <c r="A4665" s="6">
        <v>44468</v>
      </c>
      <c r="B4665" t="s">
        <v>26</v>
      </c>
      <c r="C4665">
        <v>67776</v>
      </c>
      <c r="D4665" t="s">
        <v>299</v>
      </c>
      <c r="E4665" s="7">
        <v>542.84</v>
      </c>
      <c r="F4665" t="s">
        <v>20</v>
      </c>
      <c r="G4665" s="10" t="s">
        <v>21</v>
      </c>
      <c r="H4665" t="str">
        <f>"TML CONF. 2021"</f>
        <v>TML CONF. 2021</v>
      </c>
      <c r="I4665" t="str">
        <f>"CHEZARE PEREZ"</f>
        <v>CHEZARE PEREZ</v>
      </c>
    </row>
    <row r="4666" spans="1:9" x14ac:dyDescent="0.25">
      <c r="A4666" s="6">
        <v>44468</v>
      </c>
      <c r="B4666" t="s">
        <v>26</v>
      </c>
      <c r="C4666">
        <v>67777</v>
      </c>
      <c r="D4666" t="s">
        <v>1007</v>
      </c>
      <c r="E4666" s="7">
        <v>542.84</v>
      </c>
      <c r="F4666" t="s">
        <v>20</v>
      </c>
      <c r="G4666" s="10" t="s">
        <v>21</v>
      </c>
      <c r="H4666" t="str">
        <f>"TML CONFERENCE"</f>
        <v>TML CONFERENCE</v>
      </c>
      <c r="I4666" t="str">
        <f>"CYNTHIA STURM"</f>
        <v>CYNTHIA STURM</v>
      </c>
    </row>
    <row r="4667" spans="1:9" x14ac:dyDescent="0.25">
      <c r="A4667" s="6">
        <v>44468</v>
      </c>
      <c r="B4667" t="s">
        <v>91</v>
      </c>
      <c r="C4667">
        <v>67778</v>
      </c>
      <c r="D4667" t="s">
        <v>1011</v>
      </c>
      <c r="E4667" s="7">
        <v>574.84</v>
      </c>
      <c r="F4667" t="s">
        <v>20</v>
      </c>
      <c r="G4667" s="10" t="s">
        <v>21</v>
      </c>
      <c r="H4667" t="str">
        <f>"TML CONF. 2021"</f>
        <v>TML CONF. 2021</v>
      </c>
      <c r="I4667" t="str">
        <f>"EDUARDO VILLARREAL"</f>
        <v>EDUARDO VILLARREAL</v>
      </c>
    </row>
    <row r="4668" spans="1:9" x14ac:dyDescent="0.25">
      <c r="A4668" s="6">
        <v>44468</v>
      </c>
      <c r="B4668" t="s">
        <v>91</v>
      </c>
      <c r="C4668">
        <v>67778</v>
      </c>
      <c r="D4668" t="s">
        <v>1011</v>
      </c>
      <c r="E4668" s="7">
        <v>574.84</v>
      </c>
      <c r="F4668" t="s">
        <v>20</v>
      </c>
      <c r="G4668" s="10" t="s">
        <v>93</v>
      </c>
      <c r="H4668" t="str">
        <f>"CHECK"</f>
        <v>CHECK</v>
      </c>
      <c r="I4668" t="str">
        <f>""</f>
        <v/>
      </c>
    </row>
    <row r="4669" spans="1:9" x14ac:dyDescent="0.25">
      <c r="A4669" s="6">
        <v>44468</v>
      </c>
      <c r="B4669" t="s">
        <v>26</v>
      </c>
      <c r="C4669">
        <v>67779</v>
      </c>
      <c r="D4669" t="s">
        <v>419</v>
      </c>
      <c r="E4669" s="7">
        <v>184</v>
      </c>
      <c r="F4669" t="s">
        <v>20</v>
      </c>
      <c r="G4669" s="10" t="s">
        <v>21</v>
      </c>
      <c r="H4669" t="str">
        <f>"TML CONF.2021"</f>
        <v>TML CONF.2021</v>
      </c>
      <c r="I4669" t="str">
        <f>"GEORGE ORTIZ"</f>
        <v>GEORGE ORTIZ</v>
      </c>
    </row>
    <row r="4670" spans="1:9" x14ac:dyDescent="0.25">
      <c r="A4670" s="6">
        <v>44468</v>
      </c>
      <c r="B4670" t="s">
        <v>91</v>
      </c>
      <c r="C4670">
        <v>67780</v>
      </c>
      <c r="D4670" t="s">
        <v>36</v>
      </c>
      <c r="E4670" s="7">
        <v>574.84</v>
      </c>
      <c r="F4670" t="s">
        <v>20</v>
      </c>
      <c r="G4670" s="10" t="s">
        <v>21</v>
      </c>
      <c r="H4670" t="str">
        <f>"TML CONF. 2021"</f>
        <v>TML CONF. 2021</v>
      </c>
      <c r="I4670" t="str">
        <f>"GLORIA M. CANTU"</f>
        <v>GLORIA M. CANTU</v>
      </c>
    </row>
    <row r="4671" spans="1:9" x14ac:dyDescent="0.25">
      <c r="A4671" s="6">
        <v>44468</v>
      </c>
      <c r="B4671" t="s">
        <v>91</v>
      </c>
      <c r="C4671">
        <v>67780</v>
      </c>
      <c r="D4671" t="s">
        <v>36</v>
      </c>
      <c r="E4671" s="7">
        <v>574.84</v>
      </c>
      <c r="F4671" t="s">
        <v>20</v>
      </c>
      <c r="G4671" s="10" t="s">
        <v>93</v>
      </c>
      <c r="H4671" t="str">
        <f>"CHECK"</f>
        <v>CHECK</v>
      </c>
      <c r="I4671" t="str">
        <f>""</f>
        <v/>
      </c>
    </row>
    <row r="4672" spans="1:9" x14ac:dyDescent="0.25">
      <c r="A4672" s="6">
        <v>44468</v>
      </c>
      <c r="B4672" t="s">
        <v>91</v>
      </c>
      <c r="C4672">
        <v>67781</v>
      </c>
      <c r="D4672" t="s">
        <v>889</v>
      </c>
      <c r="E4672" s="7">
        <v>574.84</v>
      </c>
      <c r="F4672" t="s">
        <v>20</v>
      </c>
      <c r="G4672" s="10" t="s">
        <v>21</v>
      </c>
      <c r="H4672" t="str">
        <f>"TML CONF. 2021"</f>
        <v>TML CONF. 2021</v>
      </c>
      <c r="I4672" t="str">
        <f>"JADE JIMENEZ"</f>
        <v>JADE JIMENEZ</v>
      </c>
    </row>
    <row r="4673" spans="1:9" x14ac:dyDescent="0.25">
      <c r="A4673" s="6">
        <v>44468</v>
      </c>
      <c r="B4673" t="s">
        <v>91</v>
      </c>
      <c r="C4673">
        <v>67781</v>
      </c>
      <c r="D4673" t="s">
        <v>889</v>
      </c>
      <c r="E4673" s="7">
        <v>574.84</v>
      </c>
      <c r="F4673" t="s">
        <v>20</v>
      </c>
      <c r="G4673" s="10" t="s">
        <v>93</v>
      </c>
      <c r="H4673" t="str">
        <f>"CHECK"</f>
        <v>CHECK</v>
      </c>
      <c r="I4673" t="str">
        <f>""</f>
        <v/>
      </c>
    </row>
    <row r="4674" spans="1:9" x14ac:dyDescent="0.25">
      <c r="A4674" s="6">
        <v>44468</v>
      </c>
      <c r="B4674" t="s">
        <v>26</v>
      </c>
      <c r="C4674">
        <v>67782</v>
      </c>
      <c r="D4674" t="s">
        <v>558</v>
      </c>
      <c r="E4674" s="7">
        <v>620.84</v>
      </c>
      <c r="F4674" t="s">
        <v>20</v>
      </c>
      <c r="G4674" s="10" t="s">
        <v>21</v>
      </c>
      <c r="H4674" t="str">
        <f>"TML CONF.2021"</f>
        <v>TML CONF.2021</v>
      </c>
      <c r="I4674" t="str">
        <f>"MARISSA XIMENEZ"</f>
        <v>MARISSA XIMENEZ</v>
      </c>
    </row>
    <row r="4675" spans="1:9" x14ac:dyDescent="0.25">
      <c r="A4675" s="6">
        <v>44468</v>
      </c>
      <c r="B4675" t="s">
        <v>26</v>
      </c>
      <c r="C4675">
        <v>67783</v>
      </c>
      <c r="D4675" t="s">
        <v>655</v>
      </c>
      <c r="E4675" s="7">
        <v>960</v>
      </c>
      <c r="F4675" t="s">
        <v>20</v>
      </c>
      <c r="G4675" s="10" t="s">
        <v>21</v>
      </c>
      <c r="H4675" t="str">
        <f>"BBQ LUNCH 2021"</f>
        <v>BBQ LUNCH 2021</v>
      </c>
      <c r="I4675" t="str">
        <f>"ZELDA M. LOPEZ"</f>
        <v>ZELDA M. LOPEZ</v>
      </c>
    </row>
    <row r="4676" spans="1:9" x14ac:dyDescent="0.25">
      <c r="A4676" s="6">
        <v>44468</v>
      </c>
      <c r="B4676" t="s">
        <v>91</v>
      </c>
      <c r="C4676">
        <v>67784</v>
      </c>
      <c r="D4676" t="s">
        <v>637</v>
      </c>
      <c r="E4676" s="7">
        <v>574.84</v>
      </c>
      <c r="F4676" t="s">
        <v>20</v>
      </c>
      <c r="G4676" s="10" t="s">
        <v>21</v>
      </c>
      <c r="H4676" t="str">
        <f>"TML CONF. 2021"</f>
        <v>TML CONF. 2021</v>
      </c>
      <c r="I4676" t="str">
        <f>"GLORIA MARTINEZ"</f>
        <v>GLORIA MARTINEZ</v>
      </c>
    </row>
    <row r="4677" spans="1:9" x14ac:dyDescent="0.25">
      <c r="A4677" s="6">
        <v>44468</v>
      </c>
      <c r="B4677" t="s">
        <v>91</v>
      </c>
      <c r="C4677">
        <v>67784</v>
      </c>
      <c r="D4677" t="s">
        <v>637</v>
      </c>
      <c r="E4677" s="7">
        <v>574.84</v>
      </c>
      <c r="F4677" t="s">
        <v>20</v>
      </c>
      <c r="G4677" s="10" t="s">
        <v>93</v>
      </c>
      <c r="H4677" t="str">
        <f>"CHECK"</f>
        <v>CHECK</v>
      </c>
      <c r="I4677" t="str">
        <f>""</f>
        <v/>
      </c>
    </row>
    <row r="4678" spans="1:9" x14ac:dyDescent="0.25">
      <c r="A4678" s="6">
        <v>44468</v>
      </c>
      <c r="B4678" t="s">
        <v>26</v>
      </c>
      <c r="C4678">
        <v>67785</v>
      </c>
      <c r="D4678" t="s">
        <v>637</v>
      </c>
      <c r="E4678" s="7">
        <v>542.84</v>
      </c>
      <c r="F4678" t="s">
        <v>20</v>
      </c>
      <c r="G4678" s="10" t="s">
        <v>21</v>
      </c>
      <c r="H4678" t="str">
        <f>"TML CONF. 10/2021"</f>
        <v>TML CONF. 10/2021</v>
      </c>
      <c r="I4678" t="str">
        <f>"GLORIA MARTINEZ"</f>
        <v>GLORIA MARTINEZ</v>
      </c>
    </row>
    <row r="4679" spans="1:9" x14ac:dyDescent="0.25">
      <c r="A4679" s="6">
        <v>44468</v>
      </c>
      <c r="B4679" t="s">
        <v>26</v>
      </c>
      <c r="C4679">
        <v>67786</v>
      </c>
      <c r="D4679" t="s">
        <v>36</v>
      </c>
      <c r="E4679" s="7">
        <v>542.84</v>
      </c>
      <c r="F4679" t="s">
        <v>20</v>
      </c>
      <c r="G4679" s="10" t="s">
        <v>21</v>
      </c>
      <c r="H4679" t="str">
        <f>"TML CONF. 10/2021"</f>
        <v>TML CONF. 10/2021</v>
      </c>
      <c r="I4679" t="str">
        <f>"GLORIA M. CANTU"</f>
        <v>GLORIA M. CANTU</v>
      </c>
    </row>
    <row r="4680" spans="1:9" x14ac:dyDescent="0.25">
      <c r="A4680" s="6">
        <v>44468</v>
      </c>
      <c r="B4680" t="s">
        <v>26</v>
      </c>
      <c r="C4680">
        <v>67787</v>
      </c>
      <c r="D4680" t="s">
        <v>889</v>
      </c>
      <c r="E4680" s="7">
        <v>542.84</v>
      </c>
      <c r="F4680" t="s">
        <v>20</v>
      </c>
      <c r="G4680" s="10" t="s">
        <v>21</v>
      </c>
      <c r="H4680" t="str">
        <f>"TML CONF. 10/2021"</f>
        <v>TML CONF. 10/2021</v>
      </c>
      <c r="I4680" t="str">
        <f>"JADE JIMENEZ"</f>
        <v>JADE JIMENEZ</v>
      </c>
    </row>
    <row r="4681" spans="1:9" x14ac:dyDescent="0.25">
      <c r="A4681" s="6">
        <v>44468</v>
      </c>
      <c r="B4681" t="s">
        <v>26</v>
      </c>
      <c r="C4681">
        <v>67788</v>
      </c>
      <c r="D4681" t="s">
        <v>1011</v>
      </c>
      <c r="E4681" s="7">
        <v>542.84</v>
      </c>
      <c r="F4681" t="s">
        <v>20</v>
      </c>
      <c r="G4681" s="10" t="s">
        <v>21</v>
      </c>
      <c r="H4681" t="str">
        <f>"TML CONF. 10/2021"</f>
        <v>TML CONF. 10/2021</v>
      </c>
      <c r="I4681" t="str">
        <f>"EDUARDO VILLARREAL"</f>
        <v>EDUARDO VILLARREAL</v>
      </c>
    </row>
    <row r="4682" spans="1:9" x14ac:dyDescent="0.25">
      <c r="A4682" s="6">
        <v>44468</v>
      </c>
      <c r="B4682" t="s">
        <v>26</v>
      </c>
      <c r="C4682">
        <v>67789</v>
      </c>
      <c r="D4682" t="s">
        <v>1049</v>
      </c>
      <c r="E4682" s="7">
        <v>23500</v>
      </c>
      <c r="F4682" t="s">
        <v>20</v>
      </c>
      <c r="G4682" s="10" t="s">
        <v>21</v>
      </c>
      <c r="H4682" t="str">
        <f>"000114"</f>
        <v>000114</v>
      </c>
      <c r="I4682" t="str">
        <f>"STREET MAINTENANCE"</f>
        <v>STREET MAINTENANCE</v>
      </c>
    </row>
    <row r="4684" spans="1:9" ht="15.75" thickBot="1" x14ac:dyDescent="0.3">
      <c r="D4684" t="s">
        <v>557</v>
      </c>
      <c r="E4684" s="8">
        <f>SUM(E5:E4683)</f>
        <v>14358123.870000005</v>
      </c>
    </row>
    <row r="4685" spans="1:9" ht="15.75" thickTop="1" x14ac:dyDescent="0.25"/>
  </sheetData>
  <autoFilter ref="A4:I4685" xr:uid="{6ACDCC26-8FF3-4E6B-A7AC-7EE028C2DE87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81FAB-DD7E-4A1F-A68B-C57B7C3AE57E}">
  <dimension ref="A1:I4831"/>
  <sheetViews>
    <sheetView workbookViewId="0">
      <pane ySplit="4" topLeftCell="A5" activePane="bottomLeft" state="frozen"/>
      <selection pane="bottomLeft"/>
    </sheetView>
  </sheetViews>
  <sheetFormatPr defaultRowHeight="15" x14ac:dyDescent="0.25"/>
  <cols>
    <col min="1" max="1" width="10.5703125" customWidth="1"/>
    <col min="2" max="2" width="11.7109375" bestFit="1" customWidth="1"/>
    <col min="3" max="3" width="9" bestFit="1" customWidth="1"/>
    <col min="4" max="4" width="54.5703125" bestFit="1" customWidth="1"/>
    <col min="5" max="5" width="11.7109375" style="7" bestFit="1" customWidth="1"/>
    <col min="6" max="6" width="8.7109375" bestFit="1" customWidth="1"/>
    <col min="7" max="7" width="13.5703125" bestFit="1" customWidth="1"/>
    <col min="8" max="8" width="21.5703125" bestFit="1" customWidth="1"/>
    <col min="9" max="9" width="36.85546875" bestFit="1" customWidth="1"/>
    <col min="12" max="12" width="10.7109375" bestFit="1" customWidth="1"/>
  </cols>
  <sheetData>
    <row r="1" spans="1:9" x14ac:dyDescent="0.25">
      <c r="A1" s="1" t="s">
        <v>0</v>
      </c>
      <c r="B1" s="1"/>
      <c r="E1"/>
      <c r="H1" s="2" t="s">
        <v>1</v>
      </c>
      <c r="I1" s="3">
        <v>44470</v>
      </c>
    </row>
    <row r="2" spans="1:9" x14ac:dyDescent="0.25">
      <c r="A2" s="1" t="s">
        <v>2</v>
      </c>
      <c r="B2" s="1"/>
      <c r="E2"/>
      <c r="H2" s="2" t="s">
        <v>3</v>
      </c>
      <c r="I2" s="3">
        <v>44834</v>
      </c>
    </row>
    <row r="3" spans="1:9" x14ac:dyDescent="0.25">
      <c r="E3"/>
    </row>
    <row r="4" spans="1:9" ht="15.75" thickBot="1" x14ac:dyDescent="0.3">
      <c r="A4" s="4" t="s">
        <v>4</v>
      </c>
      <c r="B4" s="4" t="s">
        <v>5</v>
      </c>
      <c r="C4" s="5" t="s">
        <v>6</v>
      </c>
      <c r="D4" s="4" t="s">
        <v>7</v>
      </c>
      <c r="E4" s="11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x14ac:dyDescent="0.25">
      <c r="A5" s="6">
        <v>44475</v>
      </c>
      <c r="B5" t="s">
        <v>13</v>
      </c>
      <c r="C5">
        <v>67795</v>
      </c>
      <c r="D5" t="s">
        <v>14</v>
      </c>
      <c r="E5" s="12">
        <v>1743.9</v>
      </c>
      <c r="F5" t="s">
        <v>15</v>
      </c>
      <c r="G5" t="s">
        <v>15</v>
      </c>
      <c r="H5" t="s">
        <v>15</v>
      </c>
      <c r="I5" s="6" t="s">
        <v>15</v>
      </c>
    </row>
    <row r="6" spans="1:9" x14ac:dyDescent="0.25">
      <c r="A6" s="6">
        <v>44475</v>
      </c>
      <c r="B6" t="s">
        <v>13</v>
      </c>
      <c r="C6">
        <v>67796</v>
      </c>
      <c r="D6" t="s">
        <v>14</v>
      </c>
      <c r="E6" s="7">
        <v>1231.8599999999999</v>
      </c>
      <c r="F6" s="9" t="s">
        <v>15</v>
      </c>
      <c r="G6" t="s">
        <v>15</v>
      </c>
      <c r="H6" t="s">
        <v>15</v>
      </c>
      <c r="I6" s="6" t="s">
        <v>15</v>
      </c>
    </row>
    <row r="7" spans="1:9" x14ac:dyDescent="0.25">
      <c r="A7" s="6">
        <v>44475</v>
      </c>
      <c r="B7" t="s">
        <v>13</v>
      </c>
      <c r="C7">
        <v>67797</v>
      </c>
      <c r="D7" t="s">
        <v>14</v>
      </c>
      <c r="E7" s="7">
        <v>1240.94</v>
      </c>
      <c r="F7" s="9" t="s">
        <v>15</v>
      </c>
      <c r="G7" t="s">
        <v>15</v>
      </c>
      <c r="H7" t="s">
        <v>15</v>
      </c>
      <c r="I7" s="6" t="s">
        <v>15</v>
      </c>
    </row>
    <row r="8" spans="1:9" x14ac:dyDescent="0.25">
      <c r="A8" s="6">
        <v>44475</v>
      </c>
      <c r="B8" t="s">
        <v>13</v>
      </c>
      <c r="C8">
        <v>67798</v>
      </c>
      <c r="D8" t="s">
        <v>14</v>
      </c>
      <c r="E8" s="7">
        <v>1049.48</v>
      </c>
      <c r="F8" s="9" t="s">
        <v>15</v>
      </c>
      <c r="G8" t="s">
        <v>15</v>
      </c>
      <c r="H8" t="s">
        <v>15</v>
      </c>
      <c r="I8" s="6" t="s">
        <v>15</v>
      </c>
    </row>
    <row r="9" spans="1:9" x14ac:dyDescent="0.25">
      <c r="A9" s="6">
        <v>44491</v>
      </c>
      <c r="B9" t="s">
        <v>13</v>
      </c>
      <c r="C9">
        <v>67893</v>
      </c>
      <c r="D9" t="s">
        <v>14</v>
      </c>
      <c r="E9" s="7">
        <v>1958.32</v>
      </c>
      <c r="F9" s="9" t="s">
        <v>15</v>
      </c>
      <c r="G9" t="s">
        <v>15</v>
      </c>
      <c r="H9" t="s">
        <v>15</v>
      </c>
      <c r="I9" s="6" t="s">
        <v>15</v>
      </c>
    </row>
    <row r="10" spans="1:9" x14ac:dyDescent="0.25">
      <c r="A10" s="6">
        <v>44491</v>
      </c>
      <c r="B10" t="s">
        <v>13</v>
      </c>
      <c r="C10">
        <v>67894</v>
      </c>
      <c r="D10" t="s">
        <v>14</v>
      </c>
      <c r="E10" s="7">
        <v>1121.72</v>
      </c>
      <c r="F10" s="9" t="s">
        <v>15</v>
      </c>
      <c r="G10" t="s">
        <v>15</v>
      </c>
      <c r="H10" t="s">
        <v>15</v>
      </c>
      <c r="I10" s="6" t="s">
        <v>15</v>
      </c>
    </row>
    <row r="11" spans="1:9" x14ac:dyDescent="0.25">
      <c r="A11" s="6">
        <v>44491</v>
      </c>
      <c r="B11" t="s">
        <v>13</v>
      </c>
      <c r="C11">
        <v>67895</v>
      </c>
      <c r="D11" t="s">
        <v>14</v>
      </c>
      <c r="E11" s="7">
        <v>1216.29</v>
      </c>
      <c r="F11" s="9" t="s">
        <v>15</v>
      </c>
      <c r="G11" t="s">
        <v>15</v>
      </c>
      <c r="H11" t="s">
        <v>15</v>
      </c>
      <c r="I11" s="6" t="s">
        <v>15</v>
      </c>
    </row>
    <row r="12" spans="1:9" x14ac:dyDescent="0.25">
      <c r="A12" s="6">
        <v>44491</v>
      </c>
      <c r="B12" t="s">
        <v>13</v>
      </c>
      <c r="C12">
        <v>67896</v>
      </c>
      <c r="D12" t="s">
        <v>14</v>
      </c>
      <c r="E12" s="7">
        <v>1102.42</v>
      </c>
      <c r="F12" s="9" t="s">
        <v>15</v>
      </c>
      <c r="G12" t="s">
        <v>15</v>
      </c>
      <c r="H12" t="s">
        <v>15</v>
      </c>
      <c r="I12" s="6" t="s">
        <v>15</v>
      </c>
    </row>
    <row r="13" spans="1:9" x14ac:dyDescent="0.25">
      <c r="A13" s="6">
        <v>44505</v>
      </c>
      <c r="B13" t="s">
        <v>13</v>
      </c>
      <c r="C13">
        <v>67990</v>
      </c>
      <c r="D13" t="s">
        <v>14</v>
      </c>
      <c r="E13" s="7">
        <v>1625.77</v>
      </c>
      <c r="F13" s="9" t="s">
        <v>15</v>
      </c>
      <c r="G13" t="s">
        <v>15</v>
      </c>
      <c r="H13" t="s">
        <v>15</v>
      </c>
      <c r="I13" s="6" t="s">
        <v>15</v>
      </c>
    </row>
    <row r="14" spans="1:9" x14ac:dyDescent="0.25">
      <c r="A14" s="6">
        <v>44505</v>
      </c>
      <c r="B14" t="s">
        <v>13</v>
      </c>
      <c r="C14">
        <v>67991</v>
      </c>
      <c r="D14" t="s">
        <v>14</v>
      </c>
      <c r="E14" s="7">
        <v>1229.3599999999999</v>
      </c>
      <c r="F14" s="9" t="s">
        <v>15</v>
      </c>
      <c r="G14" t="s">
        <v>15</v>
      </c>
      <c r="H14" t="s">
        <v>15</v>
      </c>
      <c r="I14" s="6" t="s">
        <v>15</v>
      </c>
    </row>
    <row r="15" spans="1:9" x14ac:dyDescent="0.25">
      <c r="A15" s="6">
        <v>44505</v>
      </c>
      <c r="B15" t="s">
        <v>13</v>
      </c>
      <c r="C15">
        <v>67992</v>
      </c>
      <c r="D15" t="s">
        <v>14</v>
      </c>
      <c r="E15" s="7">
        <v>1339.26</v>
      </c>
      <c r="F15" s="9" t="s">
        <v>15</v>
      </c>
      <c r="G15" t="s">
        <v>15</v>
      </c>
      <c r="H15" t="s">
        <v>15</v>
      </c>
      <c r="I15" s="6" t="s">
        <v>15</v>
      </c>
    </row>
    <row r="16" spans="1:9" x14ac:dyDescent="0.25">
      <c r="A16" s="6">
        <v>44505</v>
      </c>
      <c r="B16" t="s">
        <v>13</v>
      </c>
      <c r="C16">
        <v>67993</v>
      </c>
      <c r="D16" t="s">
        <v>14</v>
      </c>
      <c r="E16" s="7">
        <v>958.13</v>
      </c>
      <c r="F16" s="9" t="s">
        <v>15</v>
      </c>
      <c r="G16" t="s">
        <v>15</v>
      </c>
      <c r="H16" t="s">
        <v>15</v>
      </c>
      <c r="I16" s="6" t="s">
        <v>15</v>
      </c>
    </row>
    <row r="17" spans="1:9" x14ac:dyDescent="0.25">
      <c r="A17" s="6">
        <v>44519</v>
      </c>
      <c r="B17" t="s">
        <v>13</v>
      </c>
      <c r="C17">
        <v>68127</v>
      </c>
      <c r="D17" t="s">
        <v>14</v>
      </c>
      <c r="E17" s="7">
        <v>1778.64</v>
      </c>
      <c r="F17" s="9" t="s">
        <v>15</v>
      </c>
      <c r="G17" t="s">
        <v>15</v>
      </c>
      <c r="H17" t="s">
        <v>15</v>
      </c>
      <c r="I17" s="6" t="s">
        <v>15</v>
      </c>
    </row>
    <row r="18" spans="1:9" x14ac:dyDescent="0.25">
      <c r="A18" s="6">
        <v>44519</v>
      </c>
      <c r="B18" t="s">
        <v>13</v>
      </c>
      <c r="C18">
        <v>68128</v>
      </c>
      <c r="D18" t="s">
        <v>14</v>
      </c>
      <c r="E18" s="7">
        <v>1068.22</v>
      </c>
      <c r="F18" s="9" t="s">
        <v>15</v>
      </c>
      <c r="G18" t="s">
        <v>15</v>
      </c>
      <c r="H18" t="s">
        <v>15</v>
      </c>
      <c r="I18" s="6" t="s">
        <v>15</v>
      </c>
    </row>
    <row r="19" spans="1:9" x14ac:dyDescent="0.25">
      <c r="A19" s="6">
        <v>44519</v>
      </c>
      <c r="B19" t="s">
        <v>13</v>
      </c>
      <c r="C19">
        <v>68129</v>
      </c>
      <c r="D19" t="s">
        <v>14</v>
      </c>
      <c r="E19" s="7">
        <v>1769.52</v>
      </c>
      <c r="F19" s="9" t="s">
        <v>15</v>
      </c>
      <c r="G19" t="s">
        <v>15</v>
      </c>
      <c r="H19" t="s">
        <v>15</v>
      </c>
      <c r="I19" s="6" t="s">
        <v>15</v>
      </c>
    </row>
    <row r="20" spans="1:9" x14ac:dyDescent="0.25">
      <c r="A20" s="6">
        <v>44519</v>
      </c>
      <c r="B20" t="s">
        <v>13</v>
      </c>
      <c r="C20">
        <v>68130</v>
      </c>
      <c r="D20" t="s">
        <v>14</v>
      </c>
      <c r="E20" s="7">
        <v>1231</v>
      </c>
      <c r="F20" s="9" t="s">
        <v>15</v>
      </c>
      <c r="G20" t="s">
        <v>15</v>
      </c>
      <c r="H20" t="s">
        <v>15</v>
      </c>
      <c r="I20" s="6" t="s">
        <v>15</v>
      </c>
    </row>
    <row r="21" spans="1:9" x14ac:dyDescent="0.25">
      <c r="A21" s="6">
        <v>44519</v>
      </c>
      <c r="B21" t="s">
        <v>13</v>
      </c>
      <c r="C21">
        <v>68131</v>
      </c>
      <c r="D21" t="s">
        <v>14</v>
      </c>
      <c r="E21" s="7">
        <v>1145.3499999999999</v>
      </c>
      <c r="F21" s="9" t="s">
        <v>15</v>
      </c>
      <c r="G21" t="s">
        <v>15</v>
      </c>
      <c r="H21" t="s">
        <v>15</v>
      </c>
      <c r="I21" s="6" t="s">
        <v>15</v>
      </c>
    </row>
    <row r="22" spans="1:9" x14ac:dyDescent="0.25">
      <c r="A22" s="6">
        <v>44523</v>
      </c>
      <c r="B22" t="s">
        <v>13</v>
      </c>
      <c r="C22">
        <v>68178</v>
      </c>
      <c r="D22" t="s">
        <v>14</v>
      </c>
      <c r="E22" s="7">
        <v>237.02</v>
      </c>
      <c r="F22" s="9" t="s">
        <v>15</v>
      </c>
      <c r="G22" t="s">
        <v>15</v>
      </c>
      <c r="H22" t="s">
        <v>15</v>
      </c>
      <c r="I22" s="6" t="s">
        <v>15</v>
      </c>
    </row>
    <row r="23" spans="1:9" x14ac:dyDescent="0.25">
      <c r="A23" s="6">
        <v>44533</v>
      </c>
      <c r="B23" t="s">
        <v>13</v>
      </c>
      <c r="C23">
        <v>68182</v>
      </c>
      <c r="D23" t="s">
        <v>14</v>
      </c>
      <c r="E23" s="7">
        <v>1671.44</v>
      </c>
      <c r="F23" s="9" t="s">
        <v>15</v>
      </c>
      <c r="G23" t="s">
        <v>15</v>
      </c>
      <c r="H23" t="s">
        <v>15</v>
      </c>
      <c r="I23" s="6" t="s">
        <v>15</v>
      </c>
    </row>
    <row r="24" spans="1:9" x14ac:dyDescent="0.25">
      <c r="A24" s="6">
        <v>44533</v>
      </c>
      <c r="B24" t="s">
        <v>13</v>
      </c>
      <c r="C24">
        <v>68183</v>
      </c>
      <c r="D24" t="s">
        <v>14</v>
      </c>
      <c r="E24" s="7">
        <v>1436.51</v>
      </c>
      <c r="F24" s="9" t="s">
        <v>15</v>
      </c>
      <c r="G24" t="s">
        <v>15</v>
      </c>
      <c r="H24" t="s">
        <v>15</v>
      </c>
      <c r="I24" s="6" t="s">
        <v>15</v>
      </c>
    </row>
    <row r="25" spans="1:9" x14ac:dyDescent="0.25">
      <c r="A25" s="6">
        <v>44533</v>
      </c>
      <c r="B25" t="s">
        <v>13</v>
      </c>
      <c r="C25">
        <v>68184</v>
      </c>
      <c r="D25" t="s">
        <v>14</v>
      </c>
      <c r="E25" s="7">
        <v>1164.78</v>
      </c>
      <c r="F25" s="9" t="s">
        <v>15</v>
      </c>
      <c r="G25" t="s">
        <v>15</v>
      </c>
      <c r="H25" t="s">
        <v>15</v>
      </c>
      <c r="I25" s="6" t="s">
        <v>15</v>
      </c>
    </row>
    <row r="26" spans="1:9" x14ac:dyDescent="0.25">
      <c r="A26" s="6">
        <v>44533</v>
      </c>
      <c r="B26" t="s">
        <v>13</v>
      </c>
      <c r="C26">
        <v>68185</v>
      </c>
      <c r="D26" t="s">
        <v>14</v>
      </c>
      <c r="E26" s="7">
        <v>869.69</v>
      </c>
      <c r="F26" s="9" t="s">
        <v>15</v>
      </c>
      <c r="G26" t="s">
        <v>15</v>
      </c>
      <c r="H26" t="s">
        <v>15</v>
      </c>
      <c r="I26" s="6" t="s">
        <v>15</v>
      </c>
    </row>
    <row r="27" spans="1:9" x14ac:dyDescent="0.25">
      <c r="A27" s="6">
        <v>44546</v>
      </c>
      <c r="B27" t="s">
        <v>13</v>
      </c>
      <c r="C27">
        <v>68293</v>
      </c>
      <c r="D27" t="s">
        <v>14</v>
      </c>
      <c r="E27" s="7">
        <v>1000.22</v>
      </c>
      <c r="F27" s="9" t="s">
        <v>15</v>
      </c>
      <c r="G27" t="s">
        <v>15</v>
      </c>
      <c r="H27" t="s">
        <v>15</v>
      </c>
      <c r="I27" s="6" t="s">
        <v>15</v>
      </c>
    </row>
    <row r="28" spans="1:9" x14ac:dyDescent="0.25">
      <c r="A28" s="6">
        <v>44546</v>
      </c>
      <c r="B28" t="s">
        <v>13</v>
      </c>
      <c r="C28">
        <v>68294</v>
      </c>
      <c r="D28" t="s">
        <v>14</v>
      </c>
      <c r="E28" s="7">
        <v>1000.22</v>
      </c>
      <c r="F28" s="9" t="s">
        <v>15</v>
      </c>
      <c r="G28" t="s">
        <v>15</v>
      </c>
      <c r="H28" t="s">
        <v>15</v>
      </c>
      <c r="I28" s="6" t="s">
        <v>15</v>
      </c>
    </row>
    <row r="29" spans="1:9" x14ac:dyDescent="0.25">
      <c r="A29" s="6">
        <v>44546</v>
      </c>
      <c r="B29" t="s">
        <v>13</v>
      </c>
      <c r="C29">
        <v>68295</v>
      </c>
      <c r="D29" t="s">
        <v>14</v>
      </c>
      <c r="E29" s="7">
        <v>1000.22</v>
      </c>
      <c r="F29" s="9" t="s">
        <v>15</v>
      </c>
      <c r="G29" t="s">
        <v>15</v>
      </c>
      <c r="H29" t="s">
        <v>15</v>
      </c>
      <c r="I29" s="6" t="s">
        <v>15</v>
      </c>
    </row>
    <row r="30" spans="1:9" x14ac:dyDescent="0.25">
      <c r="A30" s="6">
        <v>44546</v>
      </c>
      <c r="B30" t="s">
        <v>13</v>
      </c>
      <c r="C30">
        <v>68296</v>
      </c>
      <c r="D30" t="s">
        <v>14</v>
      </c>
      <c r="E30" s="7">
        <v>1000.22</v>
      </c>
      <c r="F30" s="9" t="s">
        <v>15</v>
      </c>
      <c r="G30" t="s">
        <v>15</v>
      </c>
      <c r="H30" t="s">
        <v>15</v>
      </c>
      <c r="I30" s="6" t="s">
        <v>15</v>
      </c>
    </row>
    <row r="31" spans="1:9" x14ac:dyDescent="0.25">
      <c r="A31" s="6">
        <v>44546</v>
      </c>
      <c r="B31" t="s">
        <v>13</v>
      </c>
      <c r="C31">
        <v>68297</v>
      </c>
      <c r="D31" t="s">
        <v>14</v>
      </c>
      <c r="E31" s="7">
        <v>1000.22</v>
      </c>
      <c r="F31" s="9" t="s">
        <v>15</v>
      </c>
      <c r="G31" t="s">
        <v>15</v>
      </c>
      <c r="H31" t="s">
        <v>15</v>
      </c>
      <c r="I31" s="6" t="s">
        <v>15</v>
      </c>
    </row>
    <row r="32" spans="1:9" x14ac:dyDescent="0.25">
      <c r="A32" s="6">
        <v>44546</v>
      </c>
      <c r="B32" t="s">
        <v>13</v>
      </c>
      <c r="C32">
        <v>68298</v>
      </c>
      <c r="D32" t="s">
        <v>14</v>
      </c>
      <c r="E32" s="7">
        <v>1000.22</v>
      </c>
      <c r="F32" s="9" t="s">
        <v>15</v>
      </c>
      <c r="G32" t="s">
        <v>15</v>
      </c>
      <c r="H32" t="s">
        <v>15</v>
      </c>
      <c r="I32" s="6" t="s">
        <v>15</v>
      </c>
    </row>
    <row r="33" spans="1:9" x14ac:dyDescent="0.25">
      <c r="A33" s="6">
        <v>44546</v>
      </c>
      <c r="B33" t="s">
        <v>13</v>
      </c>
      <c r="C33">
        <v>68299</v>
      </c>
      <c r="D33" t="s">
        <v>14</v>
      </c>
      <c r="E33" s="7">
        <v>1000.22</v>
      </c>
      <c r="F33" s="9" t="s">
        <v>15</v>
      </c>
      <c r="G33" t="s">
        <v>15</v>
      </c>
      <c r="H33" t="s">
        <v>15</v>
      </c>
      <c r="I33" s="6" t="s">
        <v>15</v>
      </c>
    </row>
    <row r="34" spans="1:9" x14ac:dyDescent="0.25">
      <c r="A34" s="6">
        <v>44546</v>
      </c>
      <c r="B34" t="s">
        <v>13</v>
      </c>
      <c r="C34">
        <v>68300</v>
      </c>
      <c r="D34" t="s">
        <v>14</v>
      </c>
      <c r="E34" s="7">
        <v>1000.22</v>
      </c>
      <c r="F34" s="9" t="s">
        <v>15</v>
      </c>
      <c r="G34" t="s">
        <v>15</v>
      </c>
      <c r="H34" t="s">
        <v>15</v>
      </c>
      <c r="I34" s="6" t="s">
        <v>15</v>
      </c>
    </row>
    <row r="35" spans="1:9" x14ac:dyDescent="0.25">
      <c r="A35" s="6">
        <v>44546</v>
      </c>
      <c r="B35" t="s">
        <v>13</v>
      </c>
      <c r="C35">
        <v>68301</v>
      </c>
      <c r="D35" t="s">
        <v>14</v>
      </c>
      <c r="E35" s="7">
        <v>1000.22</v>
      </c>
      <c r="F35" s="9" t="s">
        <v>15</v>
      </c>
      <c r="G35" t="s">
        <v>15</v>
      </c>
      <c r="H35" t="s">
        <v>15</v>
      </c>
      <c r="I35" s="6" t="s">
        <v>15</v>
      </c>
    </row>
    <row r="36" spans="1:9" x14ac:dyDescent="0.25">
      <c r="A36" s="6">
        <v>44546</v>
      </c>
      <c r="B36" t="s">
        <v>13</v>
      </c>
      <c r="C36">
        <v>68302</v>
      </c>
      <c r="D36" t="s">
        <v>14</v>
      </c>
      <c r="E36" s="7">
        <v>1000.22</v>
      </c>
      <c r="F36" s="9" t="s">
        <v>15</v>
      </c>
      <c r="G36" t="s">
        <v>15</v>
      </c>
      <c r="H36" t="s">
        <v>15</v>
      </c>
      <c r="I36" s="6" t="s">
        <v>15</v>
      </c>
    </row>
    <row r="37" spans="1:9" x14ac:dyDescent="0.25">
      <c r="A37" s="6">
        <v>44546</v>
      </c>
      <c r="B37" t="s">
        <v>13</v>
      </c>
      <c r="C37">
        <v>68303</v>
      </c>
      <c r="D37" t="s">
        <v>14</v>
      </c>
      <c r="E37" s="13">
        <v>1000.22</v>
      </c>
      <c r="F37" s="9" t="s">
        <v>15</v>
      </c>
      <c r="G37" t="s">
        <v>15</v>
      </c>
      <c r="H37" t="s">
        <v>15</v>
      </c>
      <c r="I37" s="6" t="s">
        <v>15</v>
      </c>
    </row>
    <row r="38" spans="1:9" x14ac:dyDescent="0.25">
      <c r="A38" s="6">
        <v>44546</v>
      </c>
      <c r="B38" t="s">
        <v>13</v>
      </c>
      <c r="C38">
        <v>68304</v>
      </c>
      <c r="D38" t="s">
        <v>14</v>
      </c>
      <c r="E38" s="7">
        <v>1000.22</v>
      </c>
      <c r="F38" s="9" t="s">
        <v>15</v>
      </c>
      <c r="G38" t="s">
        <v>15</v>
      </c>
      <c r="H38" t="s">
        <v>15</v>
      </c>
      <c r="I38" s="6" t="s">
        <v>15</v>
      </c>
    </row>
    <row r="39" spans="1:9" x14ac:dyDescent="0.25">
      <c r="A39" s="6">
        <v>44546</v>
      </c>
      <c r="B39" t="s">
        <v>13</v>
      </c>
      <c r="C39">
        <v>68305</v>
      </c>
      <c r="D39" t="s">
        <v>14</v>
      </c>
      <c r="E39" s="7">
        <v>1000.22</v>
      </c>
      <c r="F39" s="9" t="s">
        <v>15</v>
      </c>
      <c r="G39" t="s">
        <v>15</v>
      </c>
      <c r="H39" t="s">
        <v>15</v>
      </c>
      <c r="I39" s="6" t="s">
        <v>15</v>
      </c>
    </row>
    <row r="40" spans="1:9" x14ac:dyDescent="0.25">
      <c r="A40" s="6">
        <v>44546</v>
      </c>
      <c r="B40" t="s">
        <v>13</v>
      </c>
      <c r="C40">
        <v>68306</v>
      </c>
      <c r="D40" t="s">
        <v>14</v>
      </c>
      <c r="E40" s="7">
        <v>1000.22</v>
      </c>
      <c r="F40" s="9" t="s">
        <v>15</v>
      </c>
      <c r="G40" t="s">
        <v>15</v>
      </c>
      <c r="H40" t="s">
        <v>15</v>
      </c>
      <c r="I40" s="6" t="s">
        <v>15</v>
      </c>
    </row>
    <row r="41" spans="1:9" x14ac:dyDescent="0.25">
      <c r="A41" s="6">
        <v>44546</v>
      </c>
      <c r="B41" t="s">
        <v>13</v>
      </c>
      <c r="C41">
        <v>68307</v>
      </c>
      <c r="D41" t="s">
        <v>14</v>
      </c>
      <c r="E41" s="7">
        <v>1000.22</v>
      </c>
      <c r="F41" s="9" t="s">
        <v>15</v>
      </c>
      <c r="G41" t="s">
        <v>15</v>
      </c>
      <c r="H41" t="s">
        <v>15</v>
      </c>
      <c r="I41" s="6" t="s">
        <v>15</v>
      </c>
    </row>
    <row r="42" spans="1:9" x14ac:dyDescent="0.25">
      <c r="A42" s="6">
        <v>44546</v>
      </c>
      <c r="B42" t="s">
        <v>13</v>
      </c>
      <c r="C42">
        <v>68308</v>
      </c>
      <c r="D42" t="s">
        <v>14</v>
      </c>
      <c r="E42" s="7">
        <v>1000.22</v>
      </c>
      <c r="F42" s="9" t="s">
        <v>15</v>
      </c>
      <c r="G42" t="s">
        <v>15</v>
      </c>
      <c r="H42" t="s">
        <v>15</v>
      </c>
      <c r="I42" s="6" t="s">
        <v>15</v>
      </c>
    </row>
    <row r="43" spans="1:9" x14ac:dyDescent="0.25">
      <c r="A43" s="6">
        <v>44546</v>
      </c>
      <c r="B43" t="s">
        <v>13</v>
      </c>
      <c r="C43">
        <v>68309</v>
      </c>
      <c r="D43" t="s">
        <v>14</v>
      </c>
      <c r="E43" s="7">
        <v>1000.22</v>
      </c>
      <c r="F43" s="9" t="s">
        <v>15</v>
      </c>
      <c r="G43" t="s">
        <v>15</v>
      </c>
      <c r="H43" t="s">
        <v>15</v>
      </c>
      <c r="I43" s="6" t="s">
        <v>15</v>
      </c>
    </row>
    <row r="44" spans="1:9" x14ac:dyDescent="0.25">
      <c r="A44" s="6">
        <v>44546</v>
      </c>
      <c r="B44" t="s">
        <v>13</v>
      </c>
      <c r="C44">
        <v>68310</v>
      </c>
      <c r="D44" t="s">
        <v>14</v>
      </c>
      <c r="E44" s="7">
        <v>1000.22</v>
      </c>
      <c r="F44" s="9" t="s">
        <v>15</v>
      </c>
      <c r="G44" t="s">
        <v>15</v>
      </c>
      <c r="H44" t="s">
        <v>15</v>
      </c>
      <c r="I44" s="6" t="s">
        <v>15</v>
      </c>
    </row>
    <row r="45" spans="1:9" x14ac:dyDescent="0.25">
      <c r="A45" s="6">
        <v>44546</v>
      </c>
      <c r="B45" t="s">
        <v>13</v>
      </c>
      <c r="C45">
        <v>68311</v>
      </c>
      <c r="D45" t="s">
        <v>14</v>
      </c>
      <c r="E45" s="7">
        <v>1000.22</v>
      </c>
      <c r="F45" s="9" t="s">
        <v>15</v>
      </c>
      <c r="G45" t="s">
        <v>15</v>
      </c>
      <c r="H45" t="s">
        <v>15</v>
      </c>
      <c r="I45" s="6" t="s">
        <v>15</v>
      </c>
    </row>
    <row r="46" spans="1:9" x14ac:dyDescent="0.25">
      <c r="A46" s="6">
        <v>44546</v>
      </c>
      <c r="B46" t="s">
        <v>13</v>
      </c>
      <c r="C46">
        <v>68312</v>
      </c>
      <c r="D46" t="s">
        <v>14</v>
      </c>
      <c r="E46" s="7">
        <v>1000.22</v>
      </c>
      <c r="F46" s="9" t="s">
        <v>15</v>
      </c>
      <c r="G46" t="s">
        <v>15</v>
      </c>
      <c r="H46" t="s">
        <v>15</v>
      </c>
      <c r="I46" s="6" t="s">
        <v>15</v>
      </c>
    </row>
    <row r="47" spans="1:9" x14ac:dyDescent="0.25">
      <c r="A47" s="6">
        <v>44546</v>
      </c>
      <c r="B47" t="s">
        <v>13</v>
      </c>
      <c r="C47">
        <v>68313</v>
      </c>
      <c r="D47" t="s">
        <v>14</v>
      </c>
      <c r="E47" s="7">
        <v>1000.22</v>
      </c>
      <c r="F47" s="9" t="s">
        <v>15</v>
      </c>
      <c r="G47" t="s">
        <v>15</v>
      </c>
      <c r="H47" t="s">
        <v>15</v>
      </c>
      <c r="I47" s="6" t="s">
        <v>15</v>
      </c>
    </row>
    <row r="48" spans="1:9" x14ac:dyDescent="0.25">
      <c r="A48" s="6">
        <v>44546</v>
      </c>
      <c r="B48" t="s">
        <v>13</v>
      </c>
      <c r="C48">
        <v>68314</v>
      </c>
      <c r="D48" t="s">
        <v>14</v>
      </c>
      <c r="E48" s="7">
        <v>500.83</v>
      </c>
      <c r="F48" s="9" t="s">
        <v>15</v>
      </c>
      <c r="G48" t="s">
        <v>15</v>
      </c>
      <c r="H48" t="s">
        <v>15</v>
      </c>
      <c r="I48" s="6" t="s">
        <v>15</v>
      </c>
    </row>
    <row r="49" spans="1:9" x14ac:dyDescent="0.25">
      <c r="A49" s="6">
        <v>44546</v>
      </c>
      <c r="B49" t="s">
        <v>13</v>
      </c>
      <c r="C49">
        <v>68315</v>
      </c>
      <c r="D49" t="s">
        <v>14</v>
      </c>
      <c r="E49" s="7">
        <v>1000.22</v>
      </c>
      <c r="F49" s="9" t="s">
        <v>15</v>
      </c>
      <c r="G49" t="s">
        <v>15</v>
      </c>
      <c r="H49" t="s">
        <v>15</v>
      </c>
      <c r="I49" s="6" t="s">
        <v>15</v>
      </c>
    </row>
    <row r="50" spans="1:9" x14ac:dyDescent="0.25">
      <c r="A50" s="6">
        <v>44546</v>
      </c>
      <c r="B50" t="s">
        <v>13</v>
      </c>
      <c r="C50">
        <v>68316</v>
      </c>
      <c r="D50" t="s">
        <v>14</v>
      </c>
      <c r="E50" s="7">
        <v>1000.22</v>
      </c>
      <c r="F50" s="9" t="s">
        <v>15</v>
      </c>
      <c r="G50" t="s">
        <v>15</v>
      </c>
      <c r="H50" t="s">
        <v>15</v>
      </c>
      <c r="I50" s="6" t="s">
        <v>15</v>
      </c>
    </row>
    <row r="51" spans="1:9" x14ac:dyDescent="0.25">
      <c r="A51" s="6">
        <v>44546</v>
      </c>
      <c r="B51" t="s">
        <v>13</v>
      </c>
      <c r="C51">
        <v>68317</v>
      </c>
      <c r="D51" t="s">
        <v>14</v>
      </c>
      <c r="E51" s="7">
        <v>1000.22</v>
      </c>
      <c r="F51" s="9" t="s">
        <v>15</v>
      </c>
      <c r="G51" t="s">
        <v>15</v>
      </c>
      <c r="H51" t="s">
        <v>15</v>
      </c>
      <c r="I51" s="6" t="s">
        <v>15</v>
      </c>
    </row>
    <row r="52" spans="1:9" x14ac:dyDescent="0.25">
      <c r="A52" s="6">
        <v>44546</v>
      </c>
      <c r="B52" t="s">
        <v>13</v>
      </c>
      <c r="C52">
        <v>68318</v>
      </c>
      <c r="D52" t="s">
        <v>14</v>
      </c>
      <c r="E52" s="7">
        <v>1000.22</v>
      </c>
      <c r="F52" s="9" t="s">
        <v>15</v>
      </c>
      <c r="G52" t="s">
        <v>15</v>
      </c>
      <c r="H52" t="s">
        <v>15</v>
      </c>
      <c r="I52" s="6" t="s">
        <v>15</v>
      </c>
    </row>
    <row r="53" spans="1:9" x14ac:dyDescent="0.25">
      <c r="A53" s="6">
        <v>44546</v>
      </c>
      <c r="B53" t="s">
        <v>13</v>
      </c>
      <c r="C53">
        <v>68319</v>
      </c>
      <c r="D53" t="s">
        <v>14</v>
      </c>
      <c r="E53" s="7">
        <v>1000.2</v>
      </c>
      <c r="F53" s="9" t="s">
        <v>15</v>
      </c>
      <c r="G53" t="s">
        <v>15</v>
      </c>
      <c r="H53" t="s">
        <v>15</v>
      </c>
      <c r="I53" s="6" t="s">
        <v>15</v>
      </c>
    </row>
    <row r="54" spans="1:9" x14ac:dyDescent="0.25">
      <c r="A54" s="6">
        <v>44546</v>
      </c>
      <c r="B54" t="s">
        <v>13</v>
      </c>
      <c r="C54">
        <v>68320</v>
      </c>
      <c r="D54" t="s">
        <v>14</v>
      </c>
      <c r="E54" s="7">
        <v>1000.22</v>
      </c>
      <c r="F54" s="9" t="s">
        <v>15</v>
      </c>
      <c r="G54" t="s">
        <v>15</v>
      </c>
      <c r="H54" t="s">
        <v>15</v>
      </c>
      <c r="I54" s="6" t="s">
        <v>15</v>
      </c>
    </row>
    <row r="55" spans="1:9" x14ac:dyDescent="0.25">
      <c r="A55" s="6">
        <v>44546</v>
      </c>
      <c r="B55" t="s">
        <v>13</v>
      </c>
      <c r="C55">
        <v>68321</v>
      </c>
      <c r="D55" t="s">
        <v>14</v>
      </c>
      <c r="E55" s="7">
        <v>1000.22</v>
      </c>
      <c r="F55" s="9" t="s">
        <v>15</v>
      </c>
      <c r="G55" t="s">
        <v>15</v>
      </c>
      <c r="H55" t="s">
        <v>15</v>
      </c>
      <c r="I55" s="6" t="s">
        <v>15</v>
      </c>
    </row>
    <row r="56" spans="1:9" x14ac:dyDescent="0.25">
      <c r="A56" s="6">
        <v>44546</v>
      </c>
      <c r="B56" t="s">
        <v>13</v>
      </c>
      <c r="C56">
        <v>68322</v>
      </c>
      <c r="D56" t="s">
        <v>14</v>
      </c>
      <c r="E56" s="7">
        <v>1000.22</v>
      </c>
      <c r="F56" s="9" t="s">
        <v>15</v>
      </c>
      <c r="G56" t="s">
        <v>15</v>
      </c>
      <c r="H56" t="s">
        <v>15</v>
      </c>
      <c r="I56" s="6" t="s">
        <v>15</v>
      </c>
    </row>
    <row r="57" spans="1:9" x14ac:dyDescent="0.25">
      <c r="A57" s="6">
        <v>44546</v>
      </c>
      <c r="B57" t="s">
        <v>13</v>
      </c>
      <c r="C57">
        <v>68323</v>
      </c>
      <c r="D57" t="s">
        <v>14</v>
      </c>
      <c r="E57" s="7">
        <v>1000.22</v>
      </c>
      <c r="F57" s="9" t="s">
        <v>15</v>
      </c>
      <c r="G57" t="s">
        <v>15</v>
      </c>
      <c r="H57" t="s">
        <v>15</v>
      </c>
      <c r="I57" s="6" t="s">
        <v>15</v>
      </c>
    </row>
    <row r="58" spans="1:9" x14ac:dyDescent="0.25">
      <c r="A58" s="6">
        <v>44546</v>
      </c>
      <c r="B58" t="s">
        <v>13</v>
      </c>
      <c r="C58">
        <v>68324</v>
      </c>
      <c r="D58" t="s">
        <v>14</v>
      </c>
      <c r="E58" s="7">
        <v>1000.22</v>
      </c>
      <c r="F58" s="9" t="s">
        <v>15</v>
      </c>
      <c r="G58" t="s">
        <v>15</v>
      </c>
      <c r="H58" t="s">
        <v>15</v>
      </c>
      <c r="I58" s="6" t="s">
        <v>15</v>
      </c>
    </row>
    <row r="59" spans="1:9" x14ac:dyDescent="0.25">
      <c r="A59" s="6">
        <v>44546</v>
      </c>
      <c r="B59" t="s">
        <v>13</v>
      </c>
      <c r="C59">
        <v>68325</v>
      </c>
      <c r="D59" t="s">
        <v>14</v>
      </c>
      <c r="E59" s="7">
        <v>1000.22</v>
      </c>
      <c r="F59" s="9" t="s">
        <v>15</v>
      </c>
      <c r="G59" t="s">
        <v>15</v>
      </c>
      <c r="H59" t="s">
        <v>15</v>
      </c>
      <c r="I59" s="6" t="s">
        <v>15</v>
      </c>
    </row>
    <row r="60" spans="1:9" x14ac:dyDescent="0.25">
      <c r="A60" s="6">
        <v>44546</v>
      </c>
      <c r="B60" t="s">
        <v>13</v>
      </c>
      <c r="C60">
        <v>68326</v>
      </c>
      <c r="D60" t="s">
        <v>14</v>
      </c>
      <c r="E60" s="7">
        <v>1000.22</v>
      </c>
      <c r="F60" s="9" t="s">
        <v>15</v>
      </c>
      <c r="G60" t="s">
        <v>15</v>
      </c>
      <c r="H60" t="s">
        <v>15</v>
      </c>
      <c r="I60" s="6" t="s">
        <v>15</v>
      </c>
    </row>
    <row r="61" spans="1:9" x14ac:dyDescent="0.25">
      <c r="A61" s="6">
        <v>44546</v>
      </c>
      <c r="B61" t="s">
        <v>13</v>
      </c>
      <c r="C61">
        <v>68327</v>
      </c>
      <c r="D61" t="s">
        <v>14</v>
      </c>
      <c r="E61" s="7">
        <v>1000.22</v>
      </c>
      <c r="F61" s="9" t="s">
        <v>15</v>
      </c>
      <c r="G61" t="s">
        <v>15</v>
      </c>
      <c r="H61" t="s">
        <v>15</v>
      </c>
      <c r="I61" s="6" t="s">
        <v>15</v>
      </c>
    </row>
    <row r="62" spans="1:9" x14ac:dyDescent="0.25">
      <c r="A62" s="6">
        <v>44546</v>
      </c>
      <c r="B62" t="s">
        <v>13</v>
      </c>
      <c r="C62">
        <v>68328</v>
      </c>
      <c r="D62" t="s">
        <v>14</v>
      </c>
      <c r="E62" s="7">
        <v>1000.22</v>
      </c>
      <c r="F62" s="9" t="s">
        <v>15</v>
      </c>
      <c r="G62" t="s">
        <v>15</v>
      </c>
      <c r="H62" t="s">
        <v>15</v>
      </c>
      <c r="I62" s="6" t="s">
        <v>15</v>
      </c>
    </row>
    <row r="63" spans="1:9" x14ac:dyDescent="0.25">
      <c r="A63" s="6">
        <v>44546</v>
      </c>
      <c r="B63" t="s">
        <v>13</v>
      </c>
      <c r="C63">
        <v>68329</v>
      </c>
      <c r="D63" t="s">
        <v>14</v>
      </c>
      <c r="E63" s="7">
        <v>500.83</v>
      </c>
      <c r="F63" s="9" t="s">
        <v>15</v>
      </c>
      <c r="G63" t="s">
        <v>15</v>
      </c>
      <c r="H63" t="s">
        <v>15</v>
      </c>
      <c r="I63" s="6" t="s">
        <v>15</v>
      </c>
    </row>
    <row r="64" spans="1:9" x14ac:dyDescent="0.25">
      <c r="A64" s="6">
        <v>44546</v>
      </c>
      <c r="B64" t="s">
        <v>13</v>
      </c>
      <c r="C64">
        <v>68330</v>
      </c>
      <c r="D64" t="s">
        <v>14</v>
      </c>
      <c r="E64" s="7">
        <v>1000.22</v>
      </c>
      <c r="F64" s="9" t="s">
        <v>15</v>
      </c>
      <c r="G64" t="s">
        <v>15</v>
      </c>
      <c r="H64" t="s">
        <v>15</v>
      </c>
      <c r="I64" s="6" t="s">
        <v>15</v>
      </c>
    </row>
    <row r="65" spans="1:9" x14ac:dyDescent="0.25">
      <c r="A65" s="6">
        <v>44546</v>
      </c>
      <c r="B65" t="s">
        <v>13</v>
      </c>
      <c r="C65">
        <v>68331</v>
      </c>
      <c r="D65" t="s">
        <v>14</v>
      </c>
      <c r="E65" s="7">
        <v>1000.22</v>
      </c>
      <c r="F65" s="9" t="s">
        <v>15</v>
      </c>
      <c r="G65" t="s">
        <v>15</v>
      </c>
      <c r="H65" t="s">
        <v>15</v>
      </c>
      <c r="I65" s="6" t="s">
        <v>15</v>
      </c>
    </row>
    <row r="66" spans="1:9" x14ac:dyDescent="0.25">
      <c r="A66" s="6">
        <v>44546</v>
      </c>
      <c r="B66" t="s">
        <v>13</v>
      </c>
      <c r="C66">
        <v>68332</v>
      </c>
      <c r="D66" t="s">
        <v>14</v>
      </c>
      <c r="E66" s="7">
        <v>1000.22</v>
      </c>
      <c r="F66" s="9" t="s">
        <v>15</v>
      </c>
      <c r="G66" t="s">
        <v>15</v>
      </c>
      <c r="H66" t="s">
        <v>15</v>
      </c>
      <c r="I66" s="6" t="s">
        <v>15</v>
      </c>
    </row>
    <row r="67" spans="1:9" x14ac:dyDescent="0.25">
      <c r="A67" s="6">
        <v>44546</v>
      </c>
      <c r="B67" t="s">
        <v>13</v>
      </c>
      <c r="C67">
        <v>68333</v>
      </c>
      <c r="D67" t="s">
        <v>14</v>
      </c>
      <c r="E67" s="7">
        <v>1000.22</v>
      </c>
      <c r="F67" s="9" t="s">
        <v>15</v>
      </c>
      <c r="G67" t="s">
        <v>15</v>
      </c>
      <c r="H67" t="s">
        <v>15</v>
      </c>
      <c r="I67" s="6" t="s">
        <v>15</v>
      </c>
    </row>
    <row r="68" spans="1:9" x14ac:dyDescent="0.25">
      <c r="A68" s="6">
        <v>44546</v>
      </c>
      <c r="B68" t="s">
        <v>13</v>
      </c>
      <c r="C68">
        <v>68334</v>
      </c>
      <c r="D68" t="s">
        <v>14</v>
      </c>
      <c r="E68" s="7">
        <v>1000.22</v>
      </c>
      <c r="F68" s="9" t="s">
        <v>15</v>
      </c>
      <c r="G68" t="s">
        <v>15</v>
      </c>
      <c r="H68" t="s">
        <v>15</v>
      </c>
      <c r="I68" s="6" t="s">
        <v>15</v>
      </c>
    </row>
    <row r="69" spans="1:9" x14ac:dyDescent="0.25">
      <c r="A69" s="6">
        <v>44546</v>
      </c>
      <c r="B69" t="s">
        <v>13</v>
      </c>
      <c r="C69">
        <v>68335</v>
      </c>
      <c r="D69" t="s">
        <v>14</v>
      </c>
      <c r="E69" s="7">
        <v>1000.22</v>
      </c>
      <c r="F69" s="9" t="s">
        <v>15</v>
      </c>
      <c r="G69" t="s">
        <v>15</v>
      </c>
      <c r="H69" t="s">
        <v>15</v>
      </c>
      <c r="I69" s="6" t="s">
        <v>15</v>
      </c>
    </row>
    <row r="70" spans="1:9" x14ac:dyDescent="0.25">
      <c r="A70" s="6">
        <v>44546</v>
      </c>
      <c r="B70" t="s">
        <v>13</v>
      </c>
      <c r="C70">
        <v>68336</v>
      </c>
      <c r="D70" t="s">
        <v>14</v>
      </c>
      <c r="E70" s="7">
        <v>1000.22</v>
      </c>
      <c r="F70" s="9" t="s">
        <v>15</v>
      </c>
      <c r="G70" t="s">
        <v>15</v>
      </c>
      <c r="H70" t="s">
        <v>15</v>
      </c>
      <c r="I70" s="6" t="s">
        <v>15</v>
      </c>
    </row>
    <row r="71" spans="1:9" x14ac:dyDescent="0.25">
      <c r="A71" s="6">
        <v>44546</v>
      </c>
      <c r="B71" t="s">
        <v>13</v>
      </c>
      <c r="C71">
        <v>68337</v>
      </c>
      <c r="D71" t="s">
        <v>14</v>
      </c>
      <c r="E71" s="7">
        <v>1000.22</v>
      </c>
      <c r="F71" s="9" t="s">
        <v>15</v>
      </c>
      <c r="G71" t="s">
        <v>15</v>
      </c>
      <c r="H71" t="s">
        <v>15</v>
      </c>
      <c r="I71" s="6" t="s">
        <v>15</v>
      </c>
    </row>
    <row r="72" spans="1:9" x14ac:dyDescent="0.25">
      <c r="A72" s="6">
        <v>44546</v>
      </c>
      <c r="B72" t="s">
        <v>13</v>
      </c>
      <c r="C72">
        <v>68338</v>
      </c>
      <c r="D72" t="s">
        <v>14</v>
      </c>
      <c r="E72" s="7">
        <v>1000.22</v>
      </c>
      <c r="F72" s="9" t="s">
        <v>15</v>
      </c>
      <c r="G72" t="s">
        <v>15</v>
      </c>
      <c r="H72" t="s">
        <v>15</v>
      </c>
      <c r="I72" s="6" t="s">
        <v>15</v>
      </c>
    </row>
    <row r="73" spans="1:9" x14ac:dyDescent="0.25">
      <c r="A73" s="6">
        <v>44546</v>
      </c>
      <c r="B73" t="s">
        <v>13</v>
      </c>
      <c r="C73">
        <v>68339</v>
      </c>
      <c r="D73" t="s">
        <v>14</v>
      </c>
      <c r="E73" s="7">
        <v>1000.22</v>
      </c>
      <c r="F73" s="9" t="s">
        <v>15</v>
      </c>
      <c r="G73" t="s">
        <v>15</v>
      </c>
      <c r="H73" t="s">
        <v>15</v>
      </c>
      <c r="I73" s="6" t="s">
        <v>15</v>
      </c>
    </row>
    <row r="74" spans="1:9" x14ac:dyDescent="0.25">
      <c r="A74" s="6">
        <v>44546</v>
      </c>
      <c r="B74" t="s">
        <v>13</v>
      </c>
      <c r="C74">
        <v>68340</v>
      </c>
      <c r="D74" t="s">
        <v>14</v>
      </c>
      <c r="E74" s="7">
        <v>1000.22</v>
      </c>
      <c r="F74" s="9" t="s">
        <v>15</v>
      </c>
      <c r="G74" t="s">
        <v>15</v>
      </c>
      <c r="H74" t="s">
        <v>15</v>
      </c>
      <c r="I74" s="6" t="s">
        <v>15</v>
      </c>
    </row>
    <row r="75" spans="1:9" x14ac:dyDescent="0.25">
      <c r="A75" s="6">
        <v>44546</v>
      </c>
      <c r="B75" t="s">
        <v>13</v>
      </c>
      <c r="C75">
        <v>68341</v>
      </c>
      <c r="D75" t="s">
        <v>14</v>
      </c>
      <c r="E75" s="7">
        <v>1000.22</v>
      </c>
      <c r="F75" s="9" t="s">
        <v>15</v>
      </c>
      <c r="G75" t="s">
        <v>15</v>
      </c>
      <c r="H75" t="s">
        <v>15</v>
      </c>
      <c r="I75" s="6" t="s">
        <v>15</v>
      </c>
    </row>
    <row r="76" spans="1:9" x14ac:dyDescent="0.25">
      <c r="A76" s="6">
        <v>44546</v>
      </c>
      <c r="B76" t="s">
        <v>13</v>
      </c>
      <c r="C76">
        <v>68342</v>
      </c>
      <c r="D76" t="s">
        <v>14</v>
      </c>
      <c r="E76" s="7">
        <v>1000.22</v>
      </c>
      <c r="F76" s="9" t="s">
        <v>15</v>
      </c>
      <c r="G76" t="s">
        <v>15</v>
      </c>
      <c r="H76" t="s">
        <v>15</v>
      </c>
      <c r="I76" s="6" t="s">
        <v>15</v>
      </c>
    </row>
    <row r="77" spans="1:9" x14ac:dyDescent="0.25">
      <c r="A77" s="6">
        <v>44546</v>
      </c>
      <c r="B77" t="s">
        <v>13</v>
      </c>
      <c r="C77">
        <v>68343</v>
      </c>
      <c r="D77" t="s">
        <v>14</v>
      </c>
      <c r="E77" s="7">
        <v>1000.22</v>
      </c>
      <c r="F77" s="9" t="s">
        <v>15</v>
      </c>
      <c r="G77" t="s">
        <v>15</v>
      </c>
      <c r="H77" t="s">
        <v>15</v>
      </c>
      <c r="I77" s="6" t="s">
        <v>15</v>
      </c>
    </row>
    <row r="78" spans="1:9" x14ac:dyDescent="0.25">
      <c r="A78" s="6">
        <v>44546</v>
      </c>
      <c r="B78" t="s">
        <v>13</v>
      </c>
      <c r="C78">
        <v>68344</v>
      </c>
      <c r="D78" t="s">
        <v>14</v>
      </c>
      <c r="E78" s="7">
        <v>1000.22</v>
      </c>
      <c r="F78" s="9" t="s">
        <v>15</v>
      </c>
      <c r="G78" t="s">
        <v>15</v>
      </c>
      <c r="H78" t="s">
        <v>15</v>
      </c>
      <c r="I78" s="6" t="s">
        <v>15</v>
      </c>
    </row>
    <row r="79" spans="1:9" x14ac:dyDescent="0.25">
      <c r="A79" s="6">
        <v>44546</v>
      </c>
      <c r="B79" t="s">
        <v>13</v>
      </c>
      <c r="C79">
        <v>68345</v>
      </c>
      <c r="D79" t="s">
        <v>14</v>
      </c>
      <c r="E79" s="7">
        <v>500.83</v>
      </c>
      <c r="F79" s="9" t="s">
        <v>15</v>
      </c>
      <c r="G79" t="s">
        <v>15</v>
      </c>
      <c r="H79" t="s">
        <v>15</v>
      </c>
      <c r="I79" s="6" t="s">
        <v>15</v>
      </c>
    </row>
    <row r="80" spans="1:9" x14ac:dyDescent="0.25">
      <c r="A80" s="6">
        <v>44546</v>
      </c>
      <c r="B80" t="s">
        <v>13</v>
      </c>
      <c r="C80">
        <v>68346</v>
      </c>
      <c r="D80" t="s">
        <v>14</v>
      </c>
      <c r="E80" s="7">
        <v>1000.22</v>
      </c>
      <c r="F80" s="9" t="s">
        <v>15</v>
      </c>
      <c r="G80" t="s">
        <v>15</v>
      </c>
      <c r="H80" t="s">
        <v>15</v>
      </c>
      <c r="I80" s="6" t="s">
        <v>15</v>
      </c>
    </row>
    <row r="81" spans="1:9" x14ac:dyDescent="0.25">
      <c r="A81" s="6">
        <v>44546</v>
      </c>
      <c r="B81" t="s">
        <v>13</v>
      </c>
      <c r="C81">
        <v>68347</v>
      </c>
      <c r="D81" t="s">
        <v>14</v>
      </c>
      <c r="E81" s="7">
        <v>1000.22</v>
      </c>
      <c r="F81" s="9" t="s">
        <v>15</v>
      </c>
      <c r="G81" t="s">
        <v>15</v>
      </c>
      <c r="H81" t="s">
        <v>15</v>
      </c>
      <c r="I81" s="6" t="s">
        <v>15</v>
      </c>
    </row>
    <row r="82" spans="1:9" x14ac:dyDescent="0.25">
      <c r="A82" s="6">
        <v>44546</v>
      </c>
      <c r="B82" t="s">
        <v>13</v>
      </c>
      <c r="C82">
        <v>68348</v>
      </c>
      <c r="D82" t="s">
        <v>14</v>
      </c>
      <c r="E82" s="7">
        <v>1000.22</v>
      </c>
      <c r="F82" s="9" t="s">
        <v>15</v>
      </c>
      <c r="G82" t="s">
        <v>15</v>
      </c>
      <c r="H82" t="s">
        <v>15</v>
      </c>
      <c r="I82" s="6" t="s">
        <v>15</v>
      </c>
    </row>
    <row r="83" spans="1:9" x14ac:dyDescent="0.25">
      <c r="A83" s="6">
        <v>44546</v>
      </c>
      <c r="B83" t="s">
        <v>13</v>
      </c>
      <c r="C83">
        <v>68349</v>
      </c>
      <c r="D83" t="s">
        <v>14</v>
      </c>
      <c r="E83" s="7">
        <v>1000.22</v>
      </c>
      <c r="F83" s="9" t="s">
        <v>15</v>
      </c>
      <c r="G83" t="s">
        <v>15</v>
      </c>
      <c r="H83" t="s">
        <v>15</v>
      </c>
      <c r="I83" s="6" t="s">
        <v>15</v>
      </c>
    </row>
    <row r="84" spans="1:9" x14ac:dyDescent="0.25">
      <c r="A84" s="6">
        <v>44546</v>
      </c>
      <c r="B84" t="s">
        <v>13</v>
      </c>
      <c r="C84">
        <v>68350</v>
      </c>
      <c r="D84" t="s">
        <v>14</v>
      </c>
      <c r="E84" s="7">
        <v>1000.22</v>
      </c>
      <c r="F84" s="9" t="s">
        <v>15</v>
      </c>
      <c r="G84" t="s">
        <v>15</v>
      </c>
      <c r="H84" t="s">
        <v>15</v>
      </c>
      <c r="I84" s="6" t="s">
        <v>15</v>
      </c>
    </row>
    <row r="85" spans="1:9" x14ac:dyDescent="0.25">
      <c r="A85" s="6">
        <v>44546</v>
      </c>
      <c r="B85" t="s">
        <v>13</v>
      </c>
      <c r="C85">
        <v>68351</v>
      </c>
      <c r="D85" t="s">
        <v>14</v>
      </c>
      <c r="E85" s="7">
        <v>1000.22</v>
      </c>
      <c r="F85" s="9" t="s">
        <v>15</v>
      </c>
      <c r="G85" t="s">
        <v>15</v>
      </c>
      <c r="H85" t="s">
        <v>15</v>
      </c>
      <c r="I85" s="6" t="s">
        <v>15</v>
      </c>
    </row>
    <row r="86" spans="1:9" x14ac:dyDescent="0.25">
      <c r="A86" s="6">
        <v>44547</v>
      </c>
      <c r="B86" t="s">
        <v>13</v>
      </c>
      <c r="C86">
        <v>68352</v>
      </c>
      <c r="D86" t="s">
        <v>14</v>
      </c>
      <c r="E86" s="7">
        <v>1753.83</v>
      </c>
      <c r="F86" s="9" t="s">
        <v>15</v>
      </c>
      <c r="G86" t="s">
        <v>15</v>
      </c>
      <c r="H86" t="s">
        <v>15</v>
      </c>
      <c r="I86" s="6" t="s">
        <v>15</v>
      </c>
    </row>
    <row r="87" spans="1:9" x14ac:dyDescent="0.25">
      <c r="A87" s="6">
        <v>44547</v>
      </c>
      <c r="B87" t="s">
        <v>13</v>
      </c>
      <c r="C87">
        <v>68353</v>
      </c>
      <c r="D87" t="s">
        <v>14</v>
      </c>
      <c r="E87" s="7">
        <v>1046.6199999999999</v>
      </c>
      <c r="F87" s="9" t="s">
        <v>15</v>
      </c>
      <c r="G87" t="s">
        <v>15</v>
      </c>
      <c r="H87" t="s">
        <v>15</v>
      </c>
      <c r="I87" s="6" t="s">
        <v>15</v>
      </c>
    </row>
    <row r="88" spans="1:9" x14ac:dyDescent="0.25">
      <c r="A88" s="6">
        <v>44547</v>
      </c>
      <c r="B88" t="s">
        <v>13</v>
      </c>
      <c r="C88">
        <v>68354</v>
      </c>
      <c r="D88" t="s">
        <v>14</v>
      </c>
      <c r="E88" s="7">
        <v>1013.47</v>
      </c>
      <c r="F88" s="9" t="s">
        <v>15</v>
      </c>
      <c r="G88" t="s">
        <v>15</v>
      </c>
      <c r="H88" t="s">
        <v>15</v>
      </c>
      <c r="I88" s="6" t="s">
        <v>15</v>
      </c>
    </row>
    <row r="89" spans="1:9" x14ac:dyDescent="0.25">
      <c r="A89" s="6">
        <v>44547</v>
      </c>
      <c r="B89" t="s">
        <v>13</v>
      </c>
      <c r="C89">
        <v>68355</v>
      </c>
      <c r="D89" t="s">
        <v>14</v>
      </c>
      <c r="E89" s="7">
        <v>1282.53</v>
      </c>
      <c r="F89" s="9" t="s">
        <v>15</v>
      </c>
      <c r="G89" t="s">
        <v>15</v>
      </c>
      <c r="H89" t="s">
        <v>15</v>
      </c>
      <c r="I89" s="6" t="s">
        <v>15</v>
      </c>
    </row>
    <row r="90" spans="1:9" x14ac:dyDescent="0.25">
      <c r="A90" s="6">
        <v>44547</v>
      </c>
      <c r="B90" t="s">
        <v>13</v>
      </c>
      <c r="C90">
        <v>68356</v>
      </c>
      <c r="D90" t="s">
        <v>14</v>
      </c>
      <c r="E90" s="7">
        <v>1151.1500000000001</v>
      </c>
      <c r="F90" s="9" t="s">
        <v>15</v>
      </c>
      <c r="G90" t="s">
        <v>15</v>
      </c>
      <c r="H90" t="s">
        <v>15</v>
      </c>
      <c r="I90" s="6" t="s">
        <v>15</v>
      </c>
    </row>
    <row r="91" spans="1:9" x14ac:dyDescent="0.25">
      <c r="A91" s="6">
        <v>44550</v>
      </c>
      <c r="B91" t="s">
        <v>13</v>
      </c>
      <c r="C91">
        <v>68397</v>
      </c>
      <c r="D91" t="s">
        <v>14</v>
      </c>
      <c r="E91" s="7">
        <v>4400.16</v>
      </c>
      <c r="F91" s="9" t="s">
        <v>15</v>
      </c>
      <c r="G91" t="s">
        <v>15</v>
      </c>
      <c r="H91" t="s">
        <v>15</v>
      </c>
      <c r="I91" s="6" t="s">
        <v>15</v>
      </c>
    </row>
    <row r="92" spans="1:9" x14ac:dyDescent="0.25">
      <c r="A92" s="6">
        <v>44561</v>
      </c>
      <c r="B92" t="s">
        <v>13</v>
      </c>
      <c r="C92">
        <v>68474</v>
      </c>
      <c r="D92" t="s">
        <v>14</v>
      </c>
      <c r="E92" s="7">
        <v>1714</v>
      </c>
      <c r="F92" s="9" t="s">
        <v>15</v>
      </c>
      <c r="G92" t="s">
        <v>15</v>
      </c>
      <c r="H92" t="s">
        <v>15</v>
      </c>
      <c r="I92" s="6" t="s">
        <v>15</v>
      </c>
    </row>
    <row r="93" spans="1:9" x14ac:dyDescent="0.25">
      <c r="A93" s="6">
        <v>44561</v>
      </c>
      <c r="B93" t="s">
        <v>13</v>
      </c>
      <c r="C93">
        <v>68475</v>
      </c>
      <c r="D93" t="s">
        <v>14</v>
      </c>
      <c r="E93" s="7">
        <v>1072.94</v>
      </c>
      <c r="F93" s="9" t="s">
        <v>15</v>
      </c>
      <c r="G93" t="s">
        <v>15</v>
      </c>
      <c r="H93" t="s">
        <v>15</v>
      </c>
      <c r="I93" s="6" t="s">
        <v>15</v>
      </c>
    </row>
    <row r="94" spans="1:9" x14ac:dyDescent="0.25">
      <c r="A94" s="6">
        <v>44561</v>
      </c>
      <c r="B94" t="s">
        <v>13</v>
      </c>
      <c r="C94">
        <v>68476</v>
      </c>
      <c r="D94" t="s">
        <v>14</v>
      </c>
      <c r="E94" s="7">
        <v>1412.25</v>
      </c>
      <c r="F94" s="9" t="s">
        <v>15</v>
      </c>
      <c r="G94" t="s">
        <v>15</v>
      </c>
      <c r="H94" t="s">
        <v>15</v>
      </c>
      <c r="I94" s="6" t="s">
        <v>15</v>
      </c>
    </row>
    <row r="95" spans="1:9" x14ac:dyDescent="0.25">
      <c r="A95" s="6">
        <v>44561</v>
      </c>
      <c r="B95" t="s">
        <v>13</v>
      </c>
      <c r="C95">
        <v>68477</v>
      </c>
      <c r="D95" t="s">
        <v>14</v>
      </c>
      <c r="E95" s="7">
        <v>1157.3</v>
      </c>
      <c r="F95" s="9" t="s">
        <v>15</v>
      </c>
      <c r="G95" t="s">
        <v>15</v>
      </c>
      <c r="H95" t="s">
        <v>15</v>
      </c>
      <c r="I95" s="6" t="s">
        <v>15</v>
      </c>
    </row>
    <row r="96" spans="1:9" x14ac:dyDescent="0.25">
      <c r="A96" s="6">
        <v>44476</v>
      </c>
      <c r="B96" t="s">
        <v>16</v>
      </c>
      <c r="D96" t="s">
        <v>17</v>
      </c>
      <c r="E96" s="7">
        <v>87022.93</v>
      </c>
      <c r="F96" s="9" t="s">
        <v>15</v>
      </c>
      <c r="G96" t="s">
        <v>15</v>
      </c>
      <c r="H96" t="s">
        <v>15</v>
      </c>
      <c r="I96" s="6" t="s">
        <v>15</v>
      </c>
    </row>
    <row r="97" spans="1:9" x14ac:dyDescent="0.25">
      <c r="A97" s="6">
        <v>44490</v>
      </c>
      <c r="B97" t="s">
        <v>16</v>
      </c>
      <c r="D97" t="s">
        <v>17</v>
      </c>
      <c r="E97" s="7">
        <v>94915.09</v>
      </c>
      <c r="F97" s="9" t="s">
        <v>15</v>
      </c>
      <c r="G97" t="s">
        <v>15</v>
      </c>
      <c r="H97" t="s">
        <v>15</v>
      </c>
      <c r="I97" s="6" t="s">
        <v>15</v>
      </c>
    </row>
    <row r="98" spans="1:9" x14ac:dyDescent="0.25">
      <c r="A98" s="6">
        <v>44504</v>
      </c>
      <c r="B98" t="s">
        <v>16</v>
      </c>
      <c r="D98" t="s">
        <v>17</v>
      </c>
      <c r="E98" s="7">
        <v>85158.23</v>
      </c>
      <c r="F98" s="9" t="s">
        <v>15</v>
      </c>
      <c r="G98" t="s">
        <v>15</v>
      </c>
      <c r="H98" t="s">
        <v>15</v>
      </c>
      <c r="I98" s="6" t="s">
        <v>15</v>
      </c>
    </row>
    <row r="99" spans="1:9" x14ac:dyDescent="0.25">
      <c r="A99" s="6">
        <v>44504</v>
      </c>
      <c r="B99" t="s">
        <v>16</v>
      </c>
      <c r="C99">
        <v>1</v>
      </c>
      <c r="D99" t="s">
        <v>17</v>
      </c>
      <c r="E99" s="7">
        <v>24143.75</v>
      </c>
      <c r="F99" s="9" t="s">
        <v>15</v>
      </c>
      <c r="G99" t="s">
        <v>15</v>
      </c>
      <c r="H99" t="s">
        <v>15</v>
      </c>
      <c r="I99" s="6" t="s">
        <v>15</v>
      </c>
    </row>
    <row r="100" spans="1:9" x14ac:dyDescent="0.25">
      <c r="A100" s="6">
        <v>44518</v>
      </c>
      <c r="B100" t="s">
        <v>16</v>
      </c>
      <c r="D100" t="s">
        <v>17</v>
      </c>
      <c r="E100" s="7">
        <v>82646.28</v>
      </c>
      <c r="F100" s="9" t="s">
        <v>15</v>
      </c>
      <c r="G100" t="s">
        <v>15</v>
      </c>
      <c r="H100" t="s">
        <v>15</v>
      </c>
      <c r="I100" s="6" t="s">
        <v>15</v>
      </c>
    </row>
    <row r="101" spans="1:9" x14ac:dyDescent="0.25">
      <c r="A101" s="6">
        <v>44532</v>
      </c>
      <c r="B101" t="s">
        <v>16</v>
      </c>
      <c r="D101" t="s">
        <v>17</v>
      </c>
      <c r="E101" s="7">
        <v>84069.54</v>
      </c>
      <c r="F101" s="9" t="s">
        <v>15</v>
      </c>
      <c r="G101" t="s">
        <v>15</v>
      </c>
      <c r="H101" t="s">
        <v>15</v>
      </c>
      <c r="I101" s="6" t="s">
        <v>15</v>
      </c>
    </row>
    <row r="102" spans="1:9" x14ac:dyDescent="0.25">
      <c r="A102" s="6">
        <v>44532</v>
      </c>
      <c r="B102" t="s">
        <v>16</v>
      </c>
      <c r="C102">
        <v>1</v>
      </c>
      <c r="D102" t="s">
        <v>17</v>
      </c>
      <c r="E102" s="7">
        <v>253.52</v>
      </c>
      <c r="F102" s="9" t="s">
        <v>15</v>
      </c>
      <c r="G102" t="s">
        <v>15</v>
      </c>
      <c r="H102" t="s">
        <v>15</v>
      </c>
      <c r="I102" s="6" t="s">
        <v>15</v>
      </c>
    </row>
    <row r="103" spans="1:9" x14ac:dyDescent="0.25">
      <c r="A103" s="6">
        <v>44546</v>
      </c>
      <c r="B103" t="s">
        <v>16</v>
      </c>
      <c r="D103" t="s">
        <v>17</v>
      </c>
      <c r="E103" s="7">
        <v>80550.070000000007</v>
      </c>
      <c r="F103" s="9" t="s">
        <v>15</v>
      </c>
      <c r="G103" t="s">
        <v>15</v>
      </c>
      <c r="H103" t="s">
        <v>15</v>
      </c>
      <c r="I103" s="6" t="s">
        <v>15</v>
      </c>
    </row>
    <row r="104" spans="1:9" x14ac:dyDescent="0.25">
      <c r="A104" s="6">
        <v>44546</v>
      </c>
      <c r="B104" t="s">
        <v>16</v>
      </c>
      <c r="C104">
        <v>1</v>
      </c>
      <c r="D104" t="s">
        <v>17</v>
      </c>
      <c r="E104" s="7">
        <v>3642.08</v>
      </c>
      <c r="F104" s="9" t="s">
        <v>15</v>
      </c>
      <c r="G104" t="s">
        <v>15</v>
      </c>
      <c r="H104" t="s">
        <v>15</v>
      </c>
      <c r="I104" s="6" t="s">
        <v>15</v>
      </c>
    </row>
    <row r="105" spans="1:9" x14ac:dyDescent="0.25">
      <c r="A105" s="6">
        <v>44560</v>
      </c>
      <c r="B105" t="s">
        <v>16</v>
      </c>
      <c r="D105" t="s">
        <v>17</v>
      </c>
      <c r="E105" s="7">
        <v>88406.98</v>
      </c>
      <c r="F105" s="9" t="s">
        <v>15</v>
      </c>
      <c r="G105" t="s">
        <v>15</v>
      </c>
      <c r="H105" t="s">
        <v>15</v>
      </c>
      <c r="I105" s="6" t="s">
        <v>15</v>
      </c>
    </row>
    <row r="106" spans="1:9" x14ac:dyDescent="0.25">
      <c r="A106" s="6">
        <v>44473</v>
      </c>
      <c r="B106" t="s">
        <v>18</v>
      </c>
      <c r="C106">
        <v>131</v>
      </c>
      <c r="D106" t="s">
        <v>19</v>
      </c>
      <c r="E106" s="7">
        <v>29950.16</v>
      </c>
      <c r="F106" s="9" t="s">
        <v>20</v>
      </c>
      <c r="G106" t="s">
        <v>21</v>
      </c>
      <c r="H106" t="str">
        <f>"T1 202110048624"</f>
        <v>T1 202110048624</v>
      </c>
      <c r="I106" t="str">
        <f>"FED WITHHOLDINGS"</f>
        <v>FED WITHHOLDINGS</v>
      </c>
    </row>
    <row r="107" spans="1:9" x14ac:dyDescent="0.25">
      <c r="F107" s="9" t="s">
        <v>20</v>
      </c>
      <c r="G107" t="s">
        <v>21</v>
      </c>
      <c r="H107" t="str">
        <f>"T3 202110048624"</f>
        <v>T3 202110048624</v>
      </c>
      <c r="I107" t="str">
        <f>"FICA WITHHOLDINGS"</f>
        <v>FICA WITHHOLDINGS</v>
      </c>
    </row>
    <row r="108" spans="1:9" x14ac:dyDescent="0.25">
      <c r="F108" s="9" t="s">
        <v>20</v>
      </c>
      <c r="G108" t="s">
        <v>21</v>
      </c>
      <c r="H108" t="str">
        <f>"T4 202110048624"</f>
        <v>T4 202110048624</v>
      </c>
      <c r="I108" t="str">
        <f>"MEDICARE WITHHOLDINGS"</f>
        <v>MEDICARE WITHHOLDINGS</v>
      </c>
    </row>
    <row r="109" spans="1:9" x14ac:dyDescent="0.25">
      <c r="A109" s="6">
        <v>44488</v>
      </c>
      <c r="B109" t="s">
        <v>18</v>
      </c>
      <c r="C109">
        <v>132</v>
      </c>
      <c r="D109" t="s">
        <v>19</v>
      </c>
      <c r="E109" s="7">
        <v>33941.26</v>
      </c>
      <c r="F109" s="9" t="s">
        <v>20</v>
      </c>
      <c r="G109" t="s">
        <v>21</v>
      </c>
      <c r="H109" t="str">
        <f>"T1 202110198625"</f>
        <v>T1 202110198625</v>
      </c>
      <c r="I109" t="str">
        <f>"FED WITHHOLDINGS"</f>
        <v>FED WITHHOLDINGS</v>
      </c>
    </row>
    <row r="110" spans="1:9" x14ac:dyDescent="0.25">
      <c r="F110" s="9" t="s">
        <v>20</v>
      </c>
      <c r="G110" t="s">
        <v>21</v>
      </c>
      <c r="H110" t="str">
        <f>"T3 202110198625"</f>
        <v>T3 202110198625</v>
      </c>
      <c r="I110" t="str">
        <f>"FICA WITHHOLDINGS"</f>
        <v>FICA WITHHOLDINGS</v>
      </c>
    </row>
    <row r="111" spans="1:9" x14ac:dyDescent="0.25">
      <c r="F111" s="9" t="s">
        <v>20</v>
      </c>
      <c r="G111" t="s">
        <v>21</v>
      </c>
      <c r="H111" t="str">
        <f>"T4 202110198625"</f>
        <v>T4 202110198625</v>
      </c>
      <c r="I111" t="str">
        <f>"MEDICARE WITHHOLDINGS"</f>
        <v>MEDICARE WITHHOLDINGS</v>
      </c>
    </row>
    <row r="112" spans="1:9" x14ac:dyDescent="0.25">
      <c r="A112" s="6">
        <v>44501</v>
      </c>
      <c r="B112" t="s">
        <v>18</v>
      </c>
      <c r="C112">
        <v>133</v>
      </c>
      <c r="D112" t="s">
        <v>19</v>
      </c>
      <c r="E112" s="7">
        <v>29079.54</v>
      </c>
      <c r="F112" s="9" t="s">
        <v>20</v>
      </c>
      <c r="G112" t="s">
        <v>21</v>
      </c>
      <c r="H112" t="str">
        <f>"T1 202111018626"</f>
        <v>T1 202111018626</v>
      </c>
      <c r="I112" t="str">
        <f>"FED WITHHOLDINGS"</f>
        <v>FED WITHHOLDINGS</v>
      </c>
    </row>
    <row r="113" spans="1:9" x14ac:dyDescent="0.25">
      <c r="F113" s="9" t="s">
        <v>20</v>
      </c>
      <c r="G113" t="s">
        <v>21</v>
      </c>
      <c r="H113" t="str">
        <f>"T3 202111018626"</f>
        <v>T3 202111018626</v>
      </c>
      <c r="I113" t="str">
        <f>"FICA WITHHOLDINGS"</f>
        <v>FICA WITHHOLDINGS</v>
      </c>
    </row>
    <row r="114" spans="1:9" x14ac:dyDescent="0.25">
      <c r="F114" s="9" t="s">
        <v>20</v>
      </c>
      <c r="G114" t="s">
        <v>21</v>
      </c>
      <c r="H114" t="str">
        <f>"T4 202111018626"</f>
        <v>T4 202111018626</v>
      </c>
      <c r="I114" t="str">
        <f>"MEDICARE WITHHOLDINGS"</f>
        <v>MEDICARE WITHHOLDINGS</v>
      </c>
    </row>
    <row r="115" spans="1:9" x14ac:dyDescent="0.25">
      <c r="A115" s="6">
        <v>44501</v>
      </c>
      <c r="B115" t="s">
        <v>18</v>
      </c>
      <c r="C115">
        <v>134</v>
      </c>
      <c r="D115" t="s">
        <v>19</v>
      </c>
      <c r="E115" s="7">
        <v>15896.83</v>
      </c>
      <c r="F115" s="9" t="s">
        <v>20</v>
      </c>
      <c r="G115" t="s">
        <v>21</v>
      </c>
      <c r="H115" t="str">
        <f>"T1 202111018627"</f>
        <v>T1 202111018627</v>
      </c>
      <c r="I115" t="str">
        <f>"FED WITHHOLDINGS"</f>
        <v>FED WITHHOLDINGS</v>
      </c>
    </row>
    <row r="116" spans="1:9" x14ac:dyDescent="0.25">
      <c r="F116" s="9" t="s">
        <v>20</v>
      </c>
      <c r="G116" t="s">
        <v>21</v>
      </c>
      <c r="H116" t="str">
        <f>"T3 202111018627"</f>
        <v>T3 202111018627</v>
      </c>
      <c r="I116" t="str">
        <f>"FICA WITHHOLDINGS"</f>
        <v>FICA WITHHOLDINGS</v>
      </c>
    </row>
    <row r="117" spans="1:9" x14ac:dyDescent="0.25">
      <c r="F117" s="9" t="s">
        <v>20</v>
      </c>
      <c r="G117" t="s">
        <v>21</v>
      </c>
      <c r="H117" t="str">
        <f>"T4 202111018627"</f>
        <v>T4 202111018627</v>
      </c>
      <c r="I117" t="str">
        <f>"MEDICARE WITHHOLDINGS"</f>
        <v>MEDICARE WITHHOLDINGS</v>
      </c>
    </row>
    <row r="118" spans="1:9" x14ac:dyDescent="0.25">
      <c r="A118" s="6">
        <v>44516</v>
      </c>
      <c r="B118" t="s">
        <v>18</v>
      </c>
      <c r="C118">
        <v>135</v>
      </c>
      <c r="D118" t="s">
        <v>19</v>
      </c>
      <c r="E118" s="7">
        <v>29344.01</v>
      </c>
      <c r="F118" s="9" t="s">
        <v>20</v>
      </c>
      <c r="G118" t="s">
        <v>21</v>
      </c>
      <c r="H118" t="str">
        <f>"T1 202111168628"</f>
        <v>T1 202111168628</v>
      </c>
      <c r="I118" t="str">
        <f>"FED WITHHOLDINGS"</f>
        <v>FED WITHHOLDINGS</v>
      </c>
    </row>
    <row r="119" spans="1:9" x14ac:dyDescent="0.25">
      <c r="F119" s="9" t="s">
        <v>20</v>
      </c>
      <c r="G119" t="s">
        <v>21</v>
      </c>
      <c r="H119" t="str">
        <f>"T3 202111168628"</f>
        <v>T3 202111168628</v>
      </c>
      <c r="I119" t="str">
        <f>"FICA WITHHOLDINGS"</f>
        <v>FICA WITHHOLDINGS</v>
      </c>
    </row>
    <row r="120" spans="1:9" x14ac:dyDescent="0.25">
      <c r="F120" s="9" t="s">
        <v>20</v>
      </c>
      <c r="G120" t="s">
        <v>21</v>
      </c>
      <c r="H120" t="str">
        <f>"T4 202111168628"</f>
        <v>T4 202111168628</v>
      </c>
      <c r="I120" t="str">
        <f>"MEDICARE WITHHOLDINGS"</f>
        <v>MEDICARE WITHHOLDINGS</v>
      </c>
    </row>
    <row r="121" spans="1:9" x14ac:dyDescent="0.25">
      <c r="A121" s="6">
        <v>44523</v>
      </c>
      <c r="B121" t="s">
        <v>18</v>
      </c>
      <c r="C121">
        <v>136</v>
      </c>
      <c r="D121" t="s">
        <v>19</v>
      </c>
      <c r="E121" s="7">
        <v>52.97</v>
      </c>
      <c r="F121" s="9" t="s">
        <v>20</v>
      </c>
      <c r="G121" t="s">
        <v>21</v>
      </c>
      <c r="H121" t="str">
        <f>"T1 202111238629"</f>
        <v>T1 202111238629</v>
      </c>
      <c r="I121" t="str">
        <f>"FED WITHHOLDINGS"</f>
        <v>FED WITHHOLDINGS</v>
      </c>
    </row>
    <row r="122" spans="1:9" x14ac:dyDescent="0.25">
      <c r="F122" s="9" t="s">
        <v>20</v>
      </c>
      <c r="G122" t="s">
        <v>21</v>
      </c>
      <c r="H122" t="str">
        <f>"T3 202111238629"</f>
        <v>T3 202111238629</v>
      </c>
      <c r="I122" t="str">
        <f>"FICA WITHHOLDINGS"</f>
        <v>FICA WITHHOLDINGS</v>
      </c>
    </row>
    <row r="123" spans="1:9" x14ac:dyDescent="0.25">
      <c r="F123" s="9" t="s">
        <v>20</v>
      </c>
      <c r="G123" t="s">
        <v>21</v>
      </c>
      <c r="H123" t="str">
        <f>"T4 202111238629"</f>
        <v>T4 202111238629</v>
      </c>
      <c r="I123" t="str">
        <f>"MEDICARE WITHHOLDINGS"</f>
        <v>MEDICARE WITHHOLDINGS</v>
      </c>
    </row>
    <row r="124" spans="1:9" x14ac:dyDescent="0.25">
      <c r="A124" s="6">
        <v>44530</v>
      </c>
      <c r="B124" t="s">
        <v>18</v>
      </c>
      <c r="C124">
        <v>137</v>
      </c>
      <c r="D124" t="s">
        <v>19</v>
      </c>
      <c r="E124" s="7">
        <v>29506.54</v>
      </c>
      <c r="F124" s="9" t="s">
        <v>20</v>
      </c>
      <c r="G124" t="s">
        <v>21</v>
      </c>
      <c r="H124" t="str">
        <f>"T1 202111308630"</f>
        <v>T1 202111308630</v>
      </c>
      <c r="I124" t="str">
        <f>"FED WITHHOLDINGS"</f>
        <v>FED WITHHOLDINGS</v>
      </c>
    </row>
    <row r="125" spans="1:9" x14ac:dyDescent="0.25">
      <c r="F125" s="9" t="s">
        <v>20</v>
      </c>
      <c r="G125" t="s">
        <v>21</v>
      </c>
      <c r="H125" t="str">
        <f>"T3 202111308630"</f>
        <v>T3 202111308630</v>
      </c>
      <c r="I125" t="str">
        <f>"FICA WITHHOLDINGS"</f>
        <v>FICA WITHHOLDINGS</v>
      </c>
    </row>
    <row r="126" spans="1:9" x14ac:dyDescent="0.25">
      <c r="F126" s="9" t="s">
        <v>20</v>
      </c>
      <c r="G126" t="s">
        <v>21</v>
      </c>
      <c r="H126" t="str">
        <f>"T4 202111308630"</f>
        <v>T4 202111308630</v>
      </c>
      <c r="I126" t="str">
        <f>"MEDICARE WITHHOLDINGS"</f>
        <v>MEDICARE WITHHOLDINGS</v>
      </c>
    </row>
    <row r="127" spans="1:9" x14ac:dyDescent="0.25">
      <c r="A127" s="6">
        <v>44531</v>
      </c>
      <c r="B127" t="s">
        <v>18</v>
      </c>
      <c r="C127">
        <v>138</v>
      </c>
      <c r="D127" t="s">
        <v>19</v>
      </c>
      <c r="E127" s="7">
        <v>42</v>
      </c>
      <c r="F127" s="9" t="s">
        <v>20</v>
      </c>
      <c r="G127" t="s">
        <v>21</v>
      </c>
      <c r="H127" t="str">
        <f>"T3 202112018631"</f>
        <v>T3 202112018631</v>
      </c>
      <c r="I127" t="str">
        <f>"FICA WITHHOLDINGS"</f>
        <v>FICA WITHHOLDINGS</v>
      </c>
    </row>
    <row r="128" spans="1:9" x14ac:dyDescent="0.25">
      <c r="F128" s="9" t="s">
        <v>20</v>
      </c>
      <c r="G128" t="s">
        <v>21</v>
      </c>
      <c r="H128" t="str">
        <f>"T4 202112018631"</f>
        <v>T4 202112018631</v>
      </c>
      <c r="I128" t="str">
        <f>"MEDICARE WITHHOLDINGS"</f>
        <v>MEDICARE WITHHOLDINGS</v>
      </c>
    </row>
    <row r="129" spans="1:9" x14ac:dyDescent="0.25">
      <c r="A129" s="6">
        <v>44544</v>
      </c>
      <c r="B129" t="s">
        <v>18</v>
      </c>
      <c r="C129">
        <v>139</v>
      </c>
      <c r="D129" t="s">
        <v>19</v>
      </c>
      <c r="E129" s="7">
        <v>28088.86</v>
      </c>
      <c r="F129" s="9" t="s">
        <v>20</v>
      </c>
      <c r="G129" t="s">
        <v>21</v>
      </c>
      <c r="H129" t="str">
        <f>"T1 202112148633"</f>
        <v>T1 202112148633</v>
      </c>
      <c r="I129" t="str">
        <f>"FED WITHHOLDINGS"</f>
        <v>FED WITHHOLDINGS</v>
      </c>
    </row>
    <row r="130" spans="1:9" x14ac:dyDescent="0.25">
      <c r="F130" s="9" t="s">
        <v>20</v>
      </c>
      <c r="G130" t="s">
        <v>21</v>
      </c>
      <c r="H130" t="str">
        <f>"T3 202112148633"</f>
        <v>T3 202112148633</v>
      </c>
      <c r="I130" t="str">
        <f>"FICA WITHHOLDINGS"</f>
        <v>FICA WITHHOLDINGS</v>
      </c>
    </row>
    <row r="131" spans="1:9" x14ac:dyDescent="0.25">
      <c r="F131" s="9" t="s">
        <v>20</v>
      </c>
      <c r="G131" t="s">
        <v>21</v>
      </c>
      <c r="H131" t="str">
        <f>"T4 202112148633"</f>
        <v>T4 202112148633</v>
      </c>
      <c r="I131" t="str">
        <f>"MEDICARE WITHHOLDINGS"</f>
        <v>MEDICARE WITHHOLDINGS</v>
      </c>
    </row>
    <row r="132" spans="1:9" x14ac:dyDescent="0.25">
      <c r="A132" s="6">
        <v>44550</v>
      </c>
      <c r="B132" t="s">
        <v>18</v>
      </c>
      <c r="C132">
        <v>140</v>
      </c>
      <c r="D132" t="s">
        <v>19</v>
      </c>
      <c r="E132" s="7">
        <v>2110.39</v>
      </c>
      <c r="F132" s="9" t="s">
        <v>20</v>
      </c>
      <c r="G132" t="s">
        <v>21</v>
      </c>
      <c r="H132" t="str">
        <f>"T1 202112208635"</f>
        <v>T1 202112208635</v>
      </c>
      <c r="I132" t="str">
        <f>"FED WITHHOLDINGS"</f>
        <v>FED WITHHOLDINGS</v>
      </c>
    </row>
    <row r="133" spans="1:9" x14ac:dyDescent="0.25">
      <c r="F133" s="9" t="s">
        <v>20</v>
      </c>
      <c r="G133" t="s">
        <v>21</v>
      </c>
      <c r="H133" t="str">
        <f>"T3 202112208635"</f>
        <v>T3 202112208635</v>
      </c>
      <c r="I133" t="str">
        <f>"FICA WITHHOLDINGS"</f>
        <v>FICA WITHHOLDINGS</v>
      </c>
    </row>
    <row r="134" spans="1:9" x14ac:dyDescent="0.25">
      <c r="F134" s="9" t="s">
        <v>20</v>
      </c>
      <c r="G134" t="s">
        <v>21</v>
      </c>
      <c r="H134" t="str">
        <f>"T4 202112208635"</f>
        <v>T4 202112208635</v>
      </c>
      <c r="I134" t="str">
        <f>"MEDICARE WITHHOLDINGS"</f>
        <v>MEDICARE WITHHOLDINGS</v>
      </c>
    </row>
    <row r="135" spans="1:9" x14ac:dyDescent="0.25">
      <c r="A135" s="6">
        <v>44550</v>
      </c>
      <c r="B135" t="s">
        <v>18</v>
      </c>
      <c r="C135">
        <v>141</v>
      </c>
      <c r="D135" t="s">
        <v>19</v>
      </c>
      <c r="E135" s="7">
        <v>1674.5</v>
      </c>
      <c r="F135" s="9" t="s">
        <v>20</v>
      </c>
      <c r="G135" t="s">
        <v>21</v>
      </c>
      <c r="H135" t="str">
        <f>"T1 202112148634"</f>
        <v>T1 202112148634</v>
      </c>
      <c r="I135" t="str">
        <f>"FED WITHHOLDINGS"</f>
        <v>FED WITHHOLDINGS</v>
      </c>
    </row>
    <row r="136" spans="1:9" x14ac:dyDescent="0.25">
      <c r="F136" s="9" t="s">
        <v>20</v>
      </c>
      <c r="G136" t="s">
        <v>21</v>
      </c>
      <c r="H136" t="str">
        <f>"T3 202112148634"</f>
        <v>T3 202112148634</v>
      </c>
      <c r="I136" t="str">
        <f>"FICA WITHHOLDINGS"</f>
        <v>FICA WITHHOLDINGS</v>
      </c>
    </row>
    <row r="137" spans="1:9" x14ac:dyDescent="0.25">
      <c r="F137" s="9" t="s">
        <v>20</v>
      </c>
      <c r="G137" t="s">
        <v>21</v>
      </c>
      <c r="H137" t="str">
        <f>"T4 202112148634"</f>
        <v>T4 202112148634</v>
      </c>
      <c r="I137" t="str">
        <f>"MEDICARE WITHHOLDINGS"</f>
        <v>MEDICARE WITHHOLDINGS</v>
      </c>
    </row>
    <row r="138" spans="1:9" x14ac:dyDescent="0.25">
      <c r="A138" s="6">
        <v>44558</v>
      </c>
      <c r="B138" t="s">
        <v>18</v>
      </c>
      <c r="C138">
        <v>142</v>
      </c>
      <c r="D138" t="s">
        <v>19</v>
      </c>
      <c r="E138" s="7">
        <v>29864.05</v>
      </c>
      <c r="F138" s="9" t="s">
        <v>20</v>
      </c>
      <c r="G138" t="s">
        <v>21</v>
      </c>
      <c r="H138" t="str">
        <f>"T1 202112288636"</f>
        <v>T1 202112288636</v>
      </c>
      <c r="I138" t="str">
        <f>"FED WITHHOLDINGS"</f>
        <v>FED WITHHOLDINGS</v>
      </c>
    </row>
    <row r="139" spans="1:9" x14ac:dyDescent="0.25">
      <c r="F139" s="9" t="s">
        <v>20</v>
      </c>
      <c r="G139" t="s">
        <v>21</v>
      </c>
      <c r="H139" t="str">
        <f>"T3 202112288636"</f>
        <v>T3 202112288636</v>
      </c>
      <c r="I139" t="str">
        <f>"FICA WITHHOLDINGS"</f>
        <v>FICA WITHHOLDINGS</v>
      </c>
    </row>
    <row r="140" spans="1:9" x14ac:dyDescent="0.25">
      <c r="F140" s="9" t="s">
        <v>20</v>
      </c>
      <c r="G140" t="s">
        <v>21</v>
      </c>
      <c r="H140" t="str">
        <f>"T4 202112288636"</f>
        <v>T4 202112288636</v>
      </c>
      <c r="I140" t="str">
        <f>"MEDICARE WITHHOLDINGS"</f>
        <v>MEDICARE WITHHOLDINGS</v>
      </c>
    </row>
    <row r="141" spans="1:9" x14ac:dyDescent="0.25">
      <c r="A141" s="6">
        <v>44473</v>
      </c>
      <c r="B141" t="s">
        <v>26</v>
      </c>
      <c r="C141">
        <v>67790</v>
      </c>
      <c r="D141" t="s">
        <v>0</v>
      </c>
      <c r="E141" s="7">
        <v>2989.99</v>
      </c>
      <c r="F141" s="9" t="s">
        <v>20</v>
      </c>
      <c r="G141" t="s">
        <v>21</v>
      </c>
      <c r="H141" t="str">
        <f>"08/10-09/10/2021"</f>
        <v>08/10-09/10/2021</v>
      </c>
      <c r="I141" t="str">
        <f>"CITY OF FLORESVILLE"</f>
        <v>CITY OF FLORESVILLE</v>
      </c>
    </row>
    <row r="142" spans="1:9" x14ac:dyDescent="0.25">
      <c r="A142" s="6">
        <v>44473</v>
      </c>
      <c r="B142" t="s">
        <v>26</v>
      </c>
      <c r="C142">
        <v>67791</v>
      </c>
      <c r="D142" t="s">
        <v>73</v>
      </c>
      <c r="E142" s="7">
        <v>38762.25</v>
      </c>
      <c r="F142" s="9" t="s">
        <v>20</v>
      </c>
      <c r="G142" t="s">
        <v>21</v>
      </c>
      <c r="H142" t="str">
        <f>"8027  10/01/2021"</f>
        <v>8027  10/01/2021</v>
      </c>
      <c r="I142" t="str">
        <f>"TML INTERGOVERNMENTAL RISK POO"</f>
        <v>TML INTERGOVERNMENTAL RISK POO</v>
      </c>
    </row>
    <row r="143" spans="1:9" x14ac:dyDescent="0.25">
      <c r="A143" s="6">
        <v>44473</v>
      </c>
      <c r="B143" t="s">
        <v>26</v>
      </c>
      <c r="C143">
        <v>67792</v>
      </c>
      <c r="D143" t="s">
        <v>80</v>
      </c>
      <c r="E143" s="7">
        <v>1500</v>
      </c>
      <c r="F143" s="9" t="s">
        <v>20</v>
      </c>
      <c r="G143" t="s">
        <v>21</v>
      </c>
      <c r="H143" t="str">
        <f>"1648-20211001-1"</f>
        <v>1648-20211001-1</v>
      </c>
      <c r="I143" t="str">
        <f>"LVWIFI.COM"</f>
        <v>LVWIFI.COM</v>
      </c>
    </row>
    <row r="144" spans="1:9" x14ac:dyDescent="0.25">
      <c r="F144" s="9" t="s">
        <v>20</v>
      </c>
      <c r="G144" t="s">
        <v>21</v>
      </c>
      <c r="H144" t="str">
        <f>"2313-20211001-1"</f>
        <v>2313-20211001-1</v>
      </c>
      <c r="I144" t="str">
        <f>"LVWIFI.COM"</f>
        <v>LVWIFI.COM</v>
      </c>
    </row>
    <row r="145" spans="1:9" x14ac:dyDescent="0.25">
      <c r="A145" s="6">
        <v>44473</v>
      </c>
      <c r="B145" t="s">
        <v>26</v>
      </c>
      <c r="C145">
        <v>67793</v>
      </c>
      <c r="D145" t="s">
        <v>85</v>
      </c>
      <c r="E145" s="7">
        <v>583.37</v>
      </c>
      <c r="F145" s="9" t="s">
        <v>20</v>
      </c>
      <c r="G145" t="s">
        <v>21</v>
      </c>
      <c r="H145" t="str">
        <f>"2162691 09/2021"</f>
        <v>2162691 09/2021</v>
      </c>
      <c r="I145" t="str">
        <f>"FRONTIER"</f>
        <v>FRONTIER</v>
      </c>
    </row>
    <row r="146" spans="1:9" x14ac:dyDescent="0.25">
      <c r="F146" s="9" t="s">
        <v>20</v>
      </c>
      <c r="G146" t="s">
        <v>21</v>
      </c>
      <c r="H146" t="str">
        <f>"3933718 09/2021"</f>
        <v>3933718 09/2021</v>
      </c>
      <c r="I146" t="str">
        <f>"FRONTIER"</f>
        <v>FRONTIER</v>
      </c>
    </row>
    <row r="147" spans="1:9" x14ac:dyDescent="0.25">
      <c r="F147" s="9" t="s">
        <v>20</v>
      </c>
      <c r="G147" t="s">
        <v>21</v>
      </c>
      <c r="H147" t="str">
        <f>"8301970045 09/2021"</f>
        <v>8301970045 09/2021</v>
      </c>
      <c r="I147" t="str">
        <f>"FRONTIER"</f>
        <v>FRONTIER</v>
      </c>
    </row>
    <row r="148" spans="1:9" x14ac:dyDescent="0.25">
      <c r="A148" s="6">
        <v>44473</v>
      </c>
      <c r="B148" t="s">
        <v>26</v>
      </c>
      <c r="C148">
        <v>67794</v>
      </c>
      <c r="D148" t="s">
        <v>345</v>
      </c>
      <c r="E148" s="7">
        <v>352</v>
      </c>
      <c r="F148" s="9" t="s">
        <v>20</v>
      </c>
      <c r="G148" t="s">
        <v>21</v>
      </c>
      <c r="H148" t="str">
        <f>"10/04/2021"</f>
        <v>10/04/2021</v>
      </c>
      <c r="I148" t="str">
        <f>"MICHAEL ISAAC MARTINEZ"</f>
        <v>MICHAEL ISAAC MARTINEZ</v>
      </c>
    </row>
    <row r="149" spans="1:9" x14ac:dyDescent="0.25">
      <c r="A149" s="6">
        <v>44473</v>
      </c>
      <c r="B149" t="s">
        <v>26</v>
      </c>
      <c r="C149">
        <v>67799</v>
      </c>
      <c r="D149" t="s">
        <v>51</v>
      </c>
      <c r="E149" s="7">
        <v>346.31</v>
      </c>
      <c r="F149" s="9" t="s">
        <v>20</v>
      </c>
      <c r="G149" t="s">
        <v>21</v>
      </c>
      <c r="H149" t="str">
        <f>"CLE202110048624"</f>
        <v>CLE202110048624</v>
      </c>
      <c r="I149" t="str">
        <f>"CLEAT ONLY DUES"</f>
        <v>CLEAT ONLY DUES</v>
      </c>
    </row>
    <row r="150" spans="1:9" x14ac:dyDescent="0.25">
      <c r="F150" s="9" t="s">
        <v>20</v>
      </c>
      <c r="G150" t="s">
        <v>21</v>
      </c>
      <c r="H150" t="str">
        <f>"PDD202110048624"</f>
        <v>PDD202110048624</v>
      </c>
      <c r="I150" t="str">
        <f>"POLICE OFFICERS ASSOC DUES"</f>
        <v>POLICE OFFICERS ASSOC DUES</v>
      </c>
    </row>
    <row r="151" spans="1:9" x14ac:dyDescent="0.25">
      <c r="A151" s="6">
        <v>44473</v>
      </c>
      <c r="B151" t="s">
        <v>26</v>
      </c>
      <c r="C151">
        <v>67800</v>
      </c>
      <c r="D151" t="s">
        <v>52</v>
      </c>
      <c r="E151" s="7">
        <v>991.16</v>
      </c>
      <c r="F151" s="9" t="s">
        <v>20</v>
      </c>
      <c r="G151" t="s">
        <v>21</v>
      </c>
      <c r="H151" t="str">
        <f>"CA1202110048624"</f>
        <v>CA1202110048624</v>
      </c>
      <c r="I151" t="str">
        <f>"K RAMIREZ 001200229510060343CV"</f>
        <v>K RAMIREZ 001200229510060343CV</v>
      </c>
    </row>
    <row r="152" spans="1:9" x14ac:dyDescent="0.25">
      <c r="F152" s="9" t="s">
        <v>20</v>
      </c>
      <c r="G152" t="s">
        <v>21</v>
      </c>
      <c r="H152" t="str">
        <f>"CA2202110048624"</f>
        <v>CA2202110048624</v>
      </c>
      <c r="I152" t="str">
        <f>"L HERNANDEZ 001016025203080354"</f>
        <v>L HERNANDEZ 001016025203080354</v>
      </c>
    </row>
    <row r="153" spans="1:9" x14ac:dyDescent="0.25">
      <c r="F153" s="9" t="s">
        <v>20</v>
      </c>
      <c r="G153" t="s">
        <v>21</v>
      </c>
      <c r="H153" t="str">
        <f>"CA3202110048624"</f>
        <v>CA3202110048624</v>
      </c>
      <c r="I153" t="str">
        <f>"00120788612011EM5023JOLENEGARC"</f>
        <v>00120788612011EM5023JOLENEGARC</v>
      </c>
    </row>
    <row r="154" spans="1:9" x14ac:dyDescent="0.25">
      <c r="F154" s="9" t="s">
        <v>20</v>
      </c>
      <c r="G154" t="s">
        <v>21</v>
      </c>
      <c r="H154" t="str">
        <f>"CSA202110048624"</f>
        <v>CSA202110048624</v>
      </c>
      <c r="I154" t="str">
        <f>"S RODRIGUEZ 001281730413050336"</f>
        <v>S RODRIGUEZ 001281730413050336</v>
      </c>
    </row>
    <row r="155" spans="1:9" x14ac:dyDescent="0.25">
      <c r="F155" s="9" t="s">
        <v>20</v>
      </c>
      <c r="G155" t="s">
        <v>21</v>
      </c>
      <c r="H155" t="str">
        <f>"CSI202110048624"</f>
        <v>CSI202110048624</v>
      </c>
      <c r="I155" t="str">
        <f>"KTRINIDAD0014071774CVW2000777"</f>
        <v>KTRINIDAD0014071774CVW2000777</v>
      </c>
    </row>
    <row r="156" spans="1:9" x14ac:dyDescent="0.25">
      <c r="F156" s="9" t="s">
        <v>20</v>
      </c>
      <c r="G156" t="s">
        <v>21</v>
      </c>
      <c r="H156" t="str">
        <f>"CSR202110048624"</f>
        <v>CSR202110048624</v>
      </c>
      <c r="I156" t="str">
        <f>"A BARRIENTE 14189017CVW2100560"</f>
        <v>A BARRIENTE 14189017CVW2100560</v>
      </c>
    </row>
    <row r="157" spans="1:9" x14ac:dyDescent="0.25">
      <c r="A157" s="6">
        <v>44473</v>
      </c>
      <c r="B157" t="s">
        <v>26</v>
      </c>
      <c r="C157">
        <v>67801</v>
      </c>
      <c r="D157" t="s">
        <v>54</v>
      </c>
      <c r="E157" s="7">
        <v>1083.6500000000001</v>
      </c>
      <c r="F157" s="9" t="s">
        <v>20</v>
      </c>
      <c r="G157" t="s">
        <v>21</v>
      </c>
      <c r="H157" t="str">
        <f>"BRE202110048624"</f>
        <v>BRE202110048624</v>
      </c>
      <c r="I157" t="str">
        <f>"CASE #180-60751 457B DEDUCT"</f>
        <v>CASE #180-60751 457B DEDUCT</v>
      </c>
    </row>
    <row r="158" spans="1:9" x14ac:dyDescent="0.25">
      <c r="A158" s="6">
        <v>44473</v>
      </c>
      <c r="B158" t="s">
        <v>26</v>
      </c>
      <c r="C158">
        <v>67802</v>
      </c>
      <c r="D158" t="s">
        <v>85</v>
      </c>
      <c r="E158" s="7">
        <v>2441.4299999999998</v>
      </c>
      <c r="F158" s="9" t="s">
        <v>20</v>
      </c>
      <c r="G158" t="s">
        <v>21</v>
      </c>
      <c r="H158" t="str">
        <f>"3934055 9/2021"</f>
        <v>3934055 9/2021</v>
      </c>
      <c r="I158" t="str">
        <f>"FRONTIER"</f>
        <v>FRONTIER</v>
      </c>
    </row>
    <row r="159" spans="1:9" x14ac:dyDescent="0.25">
      <c r="F159" s="9" t="s">
        <v>20</v>
      </c>
      <c r="G159" t="s">
        <v>21</v>
      </c>
      <c r="H159" t="str">
        <f>"8301970025 9/2021"</f>
        <v>8301970025 9/2021</v>
      </c>
      <c r="I159" t="str">
        <f>"FRONTIER"</f>
        <v>FRONTIER</v>
      </c>
    </row>
    <row r="160" spans="1:9" x14ac:dyDescent="0.25">
      <c r="A160" s="6">
        <v>44481</v>
      </c>
      <c r="B160" t="s">
        <v>26</v>
      </c>
      <c r="C160">
        <v>67803</v>
      </c>
      <c r="D160" t="s">
        <v>83</v>
      </c>
      <c r="E160" s="7">
        <v>1080</v>
      </c>
      <c r="F160" s="9" t="s">
        <v>20</v>
      </c>
      <c r="G160" t="s">
        <v>21</v>
      </c>
      <c r="H160" t="str">
        <f>"1746137"</f>
        <v>1746137</v>
      </c>
      <c r="I160" t="str">
        <f>"APPRIVER"</f>
        <v>APPRIVER</v>
      </c>
    </row>
    <row r="161" spans="1:9" x14ac:dyDescent="0.25">
      <c r="A161" s="6">
        <v>44481</v>
      </c>
      <c r="B161" t="s">
        <v>26</v>
      </c>
      <c r="C161">
        <v>67804</v>
      </c>
      <c r="D161" t="s">
        <v>195</v>
      </c>
      <c r="E161" s="7">
        <v>1270.79</v>
      </c>
      <c r="F161" s="9" t="s">
        <v>20</v>
      </c>
      <c r="G161" t="s">
        <v>21</v>
      </c>
      <c r="H161" t="str">
        <f>"INV-AIS-0003841"</f>
        <v>INV-AIS-0003841</v>
      </c>
      <c r="I161" t="str">
        <f>"ARISTA INFORMATION SYSTEMS  IN"</f>
        <v>ARISTA INFORMATION SYSTEMS  IN</v>
      </c>
    </row>
    <row r="162" spans="1:9" x14ac:dyDescent="0.25">
      <c r="A162" s="6">
        <v>44481</v>
      </c>
      <c r="B162" t="s">
        <v>26</v>
      </c>
      <c r="C162">
        <v>67805</v>
      </c>
      <c r="D162" t="s">
        <v>576</v>
      </c>
      <c r="E162" s="7">
        <v>540</v>
      </c>
      <c r="F162" s="9" t="s">
        <v>20</v>
      </c>
      <c r="G162" t="s">
        <v>21</v>
      </c>
      <c r="H162" t="str">
        <f>"LI-7820"</f>
        <v>LI-7820</v>
      </c>
      <c r="I162" t="str">
        <f t="shared" ref="I162:I170" si="0">"BEXAR COUNTY CLERK"</f>
        <v>BEXAR COUNTY CLERK</v>
      </c>
    </row>
    <row r="163" spans="1:9" x14ac:dyDescent="0.25">
      <c r="F163" s="9" t="s">
        <v>20</v>
      </c>
      <c r="G163" t="s">
        <v>21</v>
      </c>
      <c r="H163" t="str">
        <f>"LI-7821"</f>
        <v>LI-7821</v>
      </c>
      <c r="I163" t="str">
        <f t="shared" si="0"/>
        <v>BEXAR COUNTY CLERK</v>
      </c>
    </row>
    <row r="164" spans="1:9" x14ac:dyDescent="0.25">
      <c r="F164" s="9" t="s">
        <v>20</v>
      </c>
      <c r="G164" t="s">
        <v>21</v>
      </c>
      <c r="H164" t="str">
        <f>"LI-7822"</f>
        <v>LI-7822</v>
      </c>
      <c r="I164" t="str">
        <f t="shared" si="0"/>
        <v>BEXAR COUNTY CLERK</v>
      </c>
    </row>
    <row r="165" spans="1:9" x14ac:dyDescent="0.25">
      <c r="F165" s="9" t="s">
        <v>20</v>
      </c>
      <c r="G165" t="s">
        <v>21</v>
      </c>
      <c r="H165" t="str">
        <f>"LI-7823"</f>
        <v>LI-7823</v>
      </c>
      <c r="I165" t="str">
        <f t="shared" si="0"/>
        <v>BEXAR COUNTY CLERK</v>
      </c>
    </row>
    <row r="166" spans="1:9" x14ac:dyDescent="0.25">
      <c r="F166" s="9" t="s">
        <v>20</v>
      </c>
      <c r="G166" t="s">
        <v>21</v>
      </c>
      <c r="H166" t="str">
        <f>"LI-7824"</f>
        <v>LI-7824</v>
      </c>
      <c r="I166" t="str">
        <f t="shared" si="0"/>
        <v>BEXAR COUNTY CLERK</v>
      </c>
    </row>
    <row r="167" spans="1:9" x14ac:dyDescent="0.25">
      <c r="F167" s="9" t="s">
        <v>20</v>
      </c>
      <c r="G167" t="s">
        <v>21</v>
      </c>
      <c r="H167" t="str">
        <f>"LI-7825"</f>
        <v>LI-7825</v>
      </c>
      <c r="I167" t="str">
        <f t="shared" si="0"/>
        <v>BEXAR COUNTY CLERK</v>
      </c>
    </row>
    <row r="168" spans="1:9" x14ac:dyDescent="0.25">
      <c r="F168" s="9" t="s">
        <v>20</v>
      </c>
      <c r="G168" t="s">
        <v>21</v>
      </c>
      <c r="H168" t="str">
        <f>"LI-7826"</f>
        <v>LI-7826</v>
      </c>
      <c r="I168" t="str">
        <f t="shared" si="0"/>
        <v>BEXAR COUNTY CLERK</v>
      </c>
    </row>
    <row r="169" spans="1:9" x14ac:dyDescent="0.25">
      <c r="F169" s="9" t="s">
        <v>20</v>
      </c>
      <c r="G169" t="s">
        <v>21</v>
      </c>
      <c r="H169" t="str">
        <f>"LI-7827"</f>
        <v>LI-7827</v>
      </c>
      <c r="I169" t="str">
        <f t="shared" si="0"/>
        <v>BEXAR COUNTY CLERK</v>
      </c>
    </row>
    <row r="170" spans="1:9" x14ac:dyDescent="0.25">
      <c r="F170" s="9" t="s">
        <v>20</v>
      </c>
      <c r="G170" t="s">
        <v>21</v>
      </c>
      <c r="H170" t="str">
        <f>"LI-7828"</f>
        <v>LI-7828</v>
      </c>
      <c r="I170" t="str">
        <f t="shared" si="0"/>
        <v>BEXAR COUNTY CLERK</v>
      </c>
    </row>
    <row r="171" spans="1:9" x14ac:dyDescent="0.25">
      <c r="A171" s="6">
        <v>44481</v>
      </c>
      <c r="B171" t="s">
        <v>26</v>
      </c>
      <c r="C171">
        <v>67807</v>
      </c>
      <c r="D171" t="s">
        <v>81</v>
      </c>
      <c r="E171" s="7">
        <v>163.41</v>
      </c>
      <c r="F171" s="9" t="s">
        <v>20</v>
      </c>
      <c r="G171" t="s">
        <v>21</v>
      </c>
      <c r="H171" t="str">
        <f>"A.MARTINEZ10/11/21"</f>
        <v>A.MARTINEZ10/11/21</v>
      </c>
      <c r="I171" t="str">
        <f>"CITY OF FLORESVILLE -PETTY CAS"</f>
        <v>CITY OF FLORESVILLE -PETTY CAS</v>
      </c>
    </row>
    <row r="172" spans="1:9" x14ac:dyDescent="0.25">
      <c r="A172" s="6">
        <v>44481</v>
      </c>
      <c r="B172" t="s">
        <v>26</v>
      </c>
      <c r="C172">
        <v>67808</v>
      </c>
      <c r="D172" t="s">
        <v>58</v>
      </c>
      <c r="E172" s="7">
        <v>71</v>
      </c>
      <c r="F172" s="9" t="s">
        <v>20</v>
      </c>
      <c r="G172" t="s">
        <v>21</v>
      </c>
      <c r="H172" t="str">
        <f>"649991"</f>
        <v>649991</v>
      </c>
      <c r="I172" t="str">
        <f>"DEASON ANIMAL HOSPITAL"</f>
        <v>DEASON ANIMAL HOSPITAL</v>
      </c>
    </row>
    <row r="173" spans="1:9" x14ac:dyDescent="0.25">
      <c r="A173" s="6">
        <v>44481</v>
      </c>
      <c r="B173" t="s">
        <v>26</v>
      </c>
      <c r="C173">
        <v>67809</v>
      </c>
      <c r="D173" t="s">
        <v>64</v>
      </c>
      <c r="E173" s="7">
        <v>912</v>
      </c>
      <c r="F173" s="9" t="s">
        <v>20</v>
      </c>
      <c r="G173" t="s">
        <v>21</v>
      </c>
      <c r="H173" t="str">
        <f>"8619"</f>
        <v>8619</v>
      </c>
      <c r="I173" t="str">
        <f>"DREWA DESIGNS  INC."</f>
        <v>DREWA DESIGNS  INC.</v>
      </c>
    </row>
    <row r="174" spans="1:9" x14ac:dyDescent="0.25">
      <c r="A174" s="6">
        <v>44481</v>
      </c>
      <c r="B174" t="s">
        <v>26</v>
      </c>
      <c r="C174">
        <v>67810</v>
      </c>
      <c r="D174" t="s">
        <v>79</v>
      </c>
      <c r="E174" s="7">
        <v>21.66</v>
      </c>
      <c r="F174" s="9" t="s">
        <v>20</v>
      </c>
      <c r="G174" t="s">
        <v>21</v>
      </c>
      <c r="H174" t="str">
        <f>"7-517-77115"</f>
        <v>7-517-77115</v>
      </c>
      <c r="I174" t="str">
        <f>"FEDEX"</f>
        <v>FEDEX</v>
      </c>
    </row>
    <row r="175" spans="1:9" x14ac:dyDescent="0.25">
      <c r="A175" s="6">
        <v>44481</v>
      </c>
      <c r="B175" t="s">
        <v>26</v>
      </c>
      <c r="C175">
        <v>67811</v>
      </c>
      <c r="D175" t="s">
        <v>59</v>
      </c>
      <c r="E175" s="7">
        <v>381.22</v>
      </c>
      <c r="F175" s="9" t="s">
        <v>20</v>
      </c>
      <c r="G175" t="s">
        <v>21</v>
      </c>
      <c r="H175" t="str">
        <f>"1130290"</f>
        <v>1130290</v>
      </c>
      <c r="I175" t="str">
        <f>"FERGUSON WATERWORKS - MUNICIPA"</f>
        <v>FERGUSON WATERWORKS - MUNICIPA</v>
      </c>
    </row>
    <row r="176" spans="1:9" x14ac:dyDescent="0.25">
      <c r="A176" s="6">
        <v>44481</v>
      </c>
      <c r="B176" t="s">
        <v>26</v>
      </c>
      <c r="C176">
        <v>67812</v>
      </c>
      <c r="D176" t="s">
        <v>85</v>
      </c>
      <c r="E176" s="7">
        <v>487.27</v>
      </c>
      <c r="F176" s="9" t="s">
        <v>20</v>
      </c>
      <c r="G176" t="s">
        <v>21</v>
      </c>
      <c r="H176" t="str">
        <f>"3937070 SEPT.2021"</f>
        <v>3937070 SEPT.2021</v>
      </c>
      <c r="I176" t="str">
        <f>"FRONTIER"</f>
        <v>FRONTIER</v>
      </c>
    </row>
    <row r="177" spans="1:9" x14ac:dyDescent="0.25">
      <c r="A177" s="6">
        <v>44481</v>
      </c>
      <c r="B177" t="s">
        <v>26</v>
      </c>
      <c r="C177">
        <v>67813</v>
      </c>
      <c r="D177" t="s">
        <v>1018</v>
      </c>
      <c r="E177" s="7">
        <v>3325</v>
      </c>
      <c r="F177" s="9" t="s">
        <v>20</v>
      </c>
      <c r="G177" t="s">
        <v>21</v>
      </c>
      <c r="H177" t="str">
        <f>"8/1-09/30/2021"</f>
        <v>8/1-09/30/2021</v>
      </c>
      <c r="I177" t="str">
        <f>"LAW OFFICE OF JOSE GARZA"</f>
        <v>LAW OFFICE OF JOSE GARZA</v>
      </c>
    </row>
    <row r="178" spans="1:9" x14ac:dyDescent="0.25">
      <c r="A178" s="6">
        <v>44481</v>
      </c>
      <c r="B178" t="s">
        <v>26</v>
      </c>
      <c r="C178">
        <v>67814</v>
      </c>
      <c r="D178" t="s">
        <v>107</v>
      </c>
      <c r="E178" s="7">
        <v>149.24</v>
      </c>
      <c r="F178" s="9" t="s">
        <v>20</v>
      </c>
      <c r="G178" t="s">
        <v>21</v>
      </c>
      <c r="H178" t="str">
        <f>"1166960-20210831"</f>
        <v>1166960-20210831</v>
      </c>
      <c r="I178" t="str">
        <f>"LEXISNEXIS RISK SOLUTIONS"</f>
        <v>LEXISNEXIS RISK SOLUTIONS</v>
      </c>
    </row>
    <row r="179" spans="1:9" x14ac:dyDescent="0.25">
      <c r="A179" s="6">
        <v>44481</v>
      </c>
      <c r="B179" t="s">
        <v>26</v>
      </c>
      <c r="C179">
        <v>67815</v>
      </c>
      <c r="D179" t="s">
        <v>1125</v>
      </c>
      <c r="E179" s="7">
        <v>50</v>
      </c>
      <c r="F179" s="9" t="s">
        <v>20</v>
      </c>
      <c r="G179" t="s">
        <v>21</v>
      </c>
      <c r="H179" t="str">
        <f>"DEP RFND 8/28/21"</f>
        <v>DEP RFND 8/28/21</v>
      </c>
      <c r="I179" t="str">
        <f>"REFUND"</f>
        <v>REFUND</v>
      </c>
    </row>
    <row r="180" spans="1:9" x14ac:dyDescent="0.25">
      <c r="A180" s="6">
        <v>44481</v>
      </c>
      <c r="B180" t="s">
        <v>26</v>
      </c>
      <c r="C180">
        <v>67816</v>
      </c>
      <c r="D180" t="s">
        <v>326</v>
      </c>
      <c r="E180" s="7">
        <v>35.54</v>
      </c>
      <c r="F180" s="9" t="s">
        <v>20</v>
      </c>
      <c r="G180" t="s">
        <v>21</v>
      </c>
      <c r="H180" t="str">
        <f>"0024319009"</f>
        <v>0024319009</v>
      </c>
      <c r="I180" t="str">
        <f>"MATHESON TRI-GAS INC"</f>
        <v>MATHESON TRI-GAS INC</v>
      </c>
    </row>
    <row r="181" spans="1:9" x14ac:dyDescent="0.25">
      <c r="A181" s="6">
        <v>44481</v>
      </c>
      <c r="B181" t="s">
        <v>26</v>
      </c>
      <c r="C181">
        <v>67817</v>
      </c>
      <c r="D181" t="s">
        <v>738</v>
      </c>
      <c r="E181" s="7">
        <v>45</v>
      </c>
      <c r="F181" s="9" t="s">
        <v>20</v>
      </c>
      <c r="G181" t="s">
        <v>21</v>
      </c>
      <c r="H181" t="str">
        <f>"REIMBUSTMT PRKNG"</f>
        <v>REIMBUSTMT PRKNG</v>
      </c>
      <c r="I181" t="str">
        <f>"PATRICIO BARRERA HERNANDEZ"</f>
        <v>PATRICIO BARRERA HERNANDEZ</v>
      </c>
    </row>
    <row r="182" spans="1:9" x14ac:dyDescent="0.25">
      <c r="A182" s="6">
        <v>44481</v>
      </c>
      <c r="B182" t="s">
        <v>26</v>
      </c>
      <c r="C182">
        <v>67818</v>
      </c>
      <c r="D182" t="s">
        <v>1081</v>
      </c>
      <c r="E182" s="7">
        <v>1157</v>
      </c>
      <c r="F182" s="9" t="s">
        <v>20</v>
      </c>
      <c r="G182" t="s">
        <v>21</v>
      </c>
      <c r="H182" t="str">
        <f>"25495"</f>
        <v>25495</v>
      </c>
      <c r="I182" t="str">
        <f>"PINNACLE PEST DEFENSE"</f>
        <v>PINNACLE PEST DEFENSE</v>
      </c>
    </row>
    <row r="183" spans="1:9" x14ac:dyDescent="0.25">
      <c r="F183" s="9" t="s">
        <v>20</v>
      </c>
      <c r="G183" t="s">
        <v>21</v>
      </c>
      <c r="H183" t="str">
        <f>"25876"</f>
        <v>25876</v>
      </c>
      <c r="I183" t="str">
        <f>"PINNACLE PEST DEFENSE"</f>
        <v>PINNACLE PEST DEFENSE</v>
      </c>
    </row>
    <row r="184" spans="1:9" x14ac:dyDescent="0.25">
      <c r="A184" s="6">
        <v>44481</v>
      </c>
      <c r="B184" t="s">
        <v>26</v>
      </c>
      <c r="C184">
        <v>67819</v>
      </c>
      <c r="D184" t="s">
        <v>126</v>
      </c>
      <c r="E184" s="7">
        <v>92256.43</v>
      </c>
      <c r="F184" s="9" t="s">
        <v>20</v>
      </c>
      <c r="G184" t="s">
        <v>21</v>
      </c>
      <c r="H184" t="str">
        <f>"0859-00237699"</f>
        <v>0859-00237699</v>
      </c>
      <c r="I184" t="str">
        <f>"REPUBLIC SERVICES #859"</f>
        <v>REPUBLIC SERVICES #859</v>
      </c>
    </row>
    <row r="185" spans="1:9" x14ac:dyDescent="0.25">
      <c r="F185" s="9" t="s">
        <v>20</v>
      </c>
      <c r="G185" t="s">
        <v>21</v>
      </c>
      <c r="H185" t="str">
        <f>"0859-002942126"</f>
        <v>0859-002942126</v>
      </c>
      <c r="I185" t="str">
        <f>"REPUBLIC SERVICES #859"</f>
        <v>REPUBLIC SERVICES #859</v>
      </c>
    </row>
    <row r="186" spans="1:9" x14ac:dyDescent="0.25">
      <c r="A186" s="6">
        <v>44481</v>
      </c>
      <c r="B186" t="s">
        <v>26</v>
      </c>
      <c r="C186">
        <v>67820</v>
      </c>
      <c r="D186" t="s">
        <v>114</v>
      </c>
      <c r="E186" s="7">
        <v>10247.870000000001</v>
      </c>
      <c r="F186" s="9" t="s">
        <v>20</v>
      </c>
      <c r="G186" t="s">
        <v>21</v>
      </c>
      <c r="H186" t="str">
        <f>"CHILD SAFETY9/2021"</f>
        <v>CHILD SAFETY9/2021</v>
      </c>
      <c r="I186" t="str">
        <f>"STATE COMPTROLLER"</f>
        <v>STATE COMPTROLLER</v>
      </c>
    </row>
    <row r="187" spans="1:9" x14ac:dyDescent="0.25">
      <c r="F187" s="9" t="s">
        <v>20</v>
      </c>
      <c r="G187" t="s">
        <v>21</v>
      </c>
      <c r="H187" t="str">
        <f>"QRDT END 9/30/231"</f>
        <v>QRDT END 9/30/231</v>
      </c>
      <c r="I187" t="str">
        <f>"STATE COMPTROLLER"</f>
        <v>STATE COMPTROLLER</v>
      </c>
    </row>
    <row r="188" spans="1:9" x14ac:dyDescent="0.25">
      <c r="A188" s="6">
        <v>44481</v>
      </c>
      <c r="B188" t="s">
        <v>26</v>
      </c>
      <c r="C188">
        <v>67821</v>
      </c>
      <c r="D188" t="s">
        <v>975</v>
      </c>
      <c r="E188" s="7">
        <v>149.5</v>
      </c>
      <c r="F188" s="9" t="s">
        <v>20</v>
      </c>
      <c r="G188" t="s">
        <v>21</v>
      </c>
      <c r="H188" t="str">
        <f>"P88726-1"</f>
        <v>P88726-1</v>
      </c>
      <c r="I188" t="str">
        <f>"TELLUS EQUIPMENT SOLUTIONS  LL"</f>
        <v>TELLUS EQUIPMENT SOLUTIONS  LL</v>
      </c>
    </row>
    <row r="189" spans="1:9" x14ac:dyDescent="0.25">
      <c r="A189" s="6">
        <v>44481</v>
      </c>
      <c r="B189" t="s">
        <v>26</v>
      </c>
      <c r="C189">
        <v>67822</v>
      </c>
      <c r="D189" t="s">
        <v>31</v>
      </c>
      <c r="E189" s="7">
        <v>2000</v>
      </c>
      <c r="F189" s="9" t="s">
        <v>20</v>
      </c>
      <c r="G189" t="s">
        <v>21</v>
      </c>
      <c r="H189" t="str">
        <f>"2021279"</f>
        <v>2021279</v>
      </c>
      <c r="I189" t="str">
        <f>"THE LAW OFFICE OF TOM CALDWELL"</f>
        <v>THE LAW OFFICE OF TOM CALDWELL</v>
      </c>
    </row>
    <row r="190" spans="1:9" x14ac:dyDescent="0.25">
      <c r="A190" s="6">
        <v>44481</v>
      </c>
      <c r="B190" t="s">
        <v>26</v>
      </c>
      <c r="C190">
        <v>67823</v>
      </c>
      <c r="D190" t="s">
        <v>1110</v>
      </c>
      <c r="E190" s="7">
        <v>3800</v>
      </c>
      <c r="F190" s="9" t="s">
        <v>20</v>
      </c>
      <c r="G190" t="s">
        <v>21</v>
      </c>
      <c r="H190" t="str">
        <f>"85830"</f>
        <v>85830</v>
      </c>
      <c r="I190" t="str">
        <f>"TRC"</f>
        <v>TRC</v>
      </c>
    </row>
    <row r="191" spans="1:9" x14ac:dyDescent="0.25">
      <c r="A191" s="6">
        <v>44481</v>
      </c>
      <c r="B191" t="s">
        <v>26</v>
      </c>
      <c r="C191">
        <v>67824</v>
      </c>
      <c r="D191" t="s">
        <v>61</v>
      </c>
      <c r="E191" s="7">
        <v>1129.5</v>
      </c>
      <c r="F191" s="9" t="s">
        <v>20</v>
      </c>
      <c r="G191" t="s">
        <v>21</v>
      </c>
      <c r="H191" t="str">
        <f>"025-351939"</f>
        <v>025-351939</v>
      </c>
      <c r="I191" t="str">
        <f>"TYLER TECHNOLOGIES  INC."</f>
        <v>TYLER TECHNOLOGIES  INC.</v>
      </c>
    </row>
    <row r="192" spans="1:9" x14ac:dyDescent="0.25">
      <c r="A192" s="6">
        <v>44481</v>
      </c>
      <c r="B192" t="s">
        <v>26</v>
      </c>
      <c r="C192">
        <v>67825</v>
      </c>
      <c r="D192" t="s">
        <v>644</v>
      </c>
      <c r="E192" s="7">
        <v>579.28</v>
      </c>
      <c r="F192" s="9" t="s">
        <v>20</v>
      </c>
      <c r="G192" t="s">
        <v>21</v>
      </c>
      <c r="H192" t="str">
        <f>"8213644978"</f>
        <v>8213644978</v>
      </c>
      <c r="I192" t="str">
        <f t="shared" ref="I192:I197" si="1">"UNIFIRST CORPORATION"</f>
        <v>UNIFIRST CORPORATION</v>
      </c>
    </row>
    <row r="193" spans="1:9" x14ac:dyDescent="0.25">
      <c r="F193" s="9" t="s">
        <v>20</v>
      </c>
      <c r="G193" t="s">
        <v>21</v>
      </c>
      <c r="H193" t="str">
        <f>"8213644979"</f>
        <v>8213644979</v>
      </c>
      <c r="I193" t="str">
        <f t="shared" si="1"/>
        <v>UNIFIRST CORPORATION</v>
      </c>
    </row>
    <row r="194" spans="1:9" x14ac:dyDescent="0.25">
      <c r="F194" s="9" t="s">
        <v>20</v>
      </c>
      <c r="G194" t="s">
        <v>21</v>
      </c>
      <c r="H194" t="str">
        <f>"8213644980"</f>
        <v>8213644980</v>
      </c>
      <c r="I194" t="str">
        <f t="shared" si="1"/>
        <v>UNIFIRST CORPORATION</v>
      </c>
    </row>
    <row r="195" spans="1:9" x14ac:dyDescent="0.25">
      <c r="F195" s="9" t="s">
        <v>20</v>
      </c>
      <c r="G195" t="s">
        <v>21</v>
      </c>
      <c r="H195" t="str">
        <f>"8213644981"</f>
        <v>8213644981</v>
      </c>
      <c r="I195" t="str">
        <f t="shared" si="1"/>
        <v>UNIFIRST CORPORATION</v>
      </c>
    </row>
    <row r="196" spans="1:9" x14ac:dyDescent="0.25">
      <c r="F196" s="9" t="s">
        <v>20</v>
      </c>
      <c r="G196" t="s">
        <v>21</v>
      </c>
      <c r="H196" t="str">
        <f>"8213644983"</f>
        <v>8213644983</v>
      </c>
      <c r="I196" t="str">
        <f t="shared" si="1"/>
        <v>UNIFIRST CORPORATION</v>
      </c>
    </row>
    <row r="197" spans="1:9" x14ac:dyDescent="0.25">
      <c r="F197" s="9" t="s">
        <v>20</v>
      </c>
      <c r="G197" t="s">
        <v>21</v>
      </c>
      <c r="H197" t="str">
        <f>"8213644984"</f>
        <v>8213644984</v>
      </c>
      <c r="I197" t="str">
        <f t="shared" si="1"/>
        <v>UNIFIRST CORPORATION</v>
      </c>
    </row>
    <row r="198" spans="1:9" x14ac:dyDescent="0.25">
      <c r="A198" s="6">
        <v>44481</v>
      </c>
      <c r="B198" t="s">
        <v>26</v>
      </c>
      <c r="C198">
        <v>67827</v>
      </c>
      <c r="D198" t="s">
        <v>74</v>
      </c>
      <c r="E198" s="7">
        <v>3478.6</v>
      </c>
      <c r="F198" s="9" t="s">
        <v>20</v>
      </c>
      <c r="G198" t="s">
        <v>21</v>
      </c>
      <c r="H198" t="str">
        <f>"9889149027-CITY"</f>
        <v>9889149027-CITY</v>
      </c>
      <c r="I198" t="str">
        <f>"VERIZON WIRELESS"</f>
        <v>VERIZON WIRELESS</v>
      </c>
    </row>
    <row r="199" spans="1:9" x14ac:dyDescent="0.25">
      <c r="F199" s="9" t="s">
        <v>20</v>
      </c>
      <c r="G199" t="s">
        <v>21</v>
      </c>
      <c r="H199" t="str">
        <f>"9889149028"</f>
        <v>9889149028</v>
      </c>
      <c r="I199" t="str">
        <f>"VERIZON WIRELESS"</f>
        <v>VERIZON WIRELESS</v>
      </c>
    </row>
    <row r="200" spans="1:9" x14ac:dyDescent="0.25">
      <c r="F200" s="9" t="s">
        <v>20</v>
      </c>
      <c r="G200" t="s">
        <v>21</v>
      </c>
      <c r="H200" t="str">
        <f>"9889149031"</f>
        <v>9889149031</v>
      </c>
      <c r="I200" t="str">
        <f>"VERIZON WIRELESS"</f>
        <v>VERIZON WIRELESS</v>
      </c>
    </row>
    <row r="201" spans="1:9" x14ac:dyDescent="0.25">
      <c r="A201" s="6">
        <v>44481</v>
      </c>
      <c r="B201" t="s">
        <v>26</v>
      </c>
      <c r="C201">
        <v>67830</v>
      </c>
      <c r="D201" t="s">
        <v>104</v>
      </c>
      <c r="E201" s="7">
        <v>37.1</v>
      </c>
      <c r="F201" s="9" t="s">
        <v>20</v>
      </c>
      <c r="G201" t="s">
        <v>21</v>
      </c>
      <c r="H201" t="str">
        <f>"20677"</f>
        <v>20677</v>
      </c>
      <c r="I201" t="str">
        <f>"WILSON COUNTY NEWS"</f>
        <v>WILSON COUNTY NEWS</v>
      </c>
    </row>
    <row r="202" spans="1:9" x14ac:dyDescent="0.25">
      <c r="A202" s="6">
        <v>44482</v>
      </c>
      <c r="B202" t="s">
        <v>26</v>
      </c>
      <c r="C202">
        <v>67831</v>
      </c>
      <c r="D202" t="s">
        <v>1074</v>
      </c>
      <c r="E202" s="7">
        <v>22.44</v>
      </c>
      <c r="F202" s="9" t="s">
        <v>20</v>
      </c>
      <c r="G202" t="s">
        <v>21</v>
      </c>
      <c r="H202" t="str">
        <f>"1FFX-7666-M6QJ"</f>
        <v>1FFX-7666-M6QJ</v>
      </c>
      <c r="I202" t="str">
        <f>"SQUARE READERS"</f>
        <v>SQUARE READERS</v>
      </c>
    </row>
    <row r="203" spans="1:9" x14ac:dyDescent="0.25">
      <c r="A203" s="6">
        <v>44482</v>
      </c>
      <c r="B203" t="s">
        <v>26</v>
      </c>
      <c r="C203">
        <v>67832</v>
      </c>
      <c r="D203" t="s">
        <v>303</v>
      </c>
      <c r="E203" s="7">
        <v>7124.25</v>
      </c>
      <c r="F203" s="9" t="s">
        <v>20</v>
      </c>
      <c r="G203" t="s">
        <v>21</v>
      </c>
      <c r="H203" t="str">
        <f>"391161"</f>
        <v>391161</v>
      </c>
      <c r="I203" t="str">
        <f>"DUAL-2 ANTENNA RADAR SYS"</f>
        <v>DUAL-2 ANTENNA RADAR SYS</v>
      </c>
    </row>
    <row r="204" spans="1:9" x14ac:dyDescent="0.25">
      <c r="A204" s="6">
        <v>44482</v>
      </c>
      <c r="B204" t="s">
        <v>26</v>
      </c>
      <c r="C204">
        <v>67833</v>
      </c>
      <c r="D204" t="s">
        <v>115</v>
      </c>
      <c r="E204" s="7">
        <v>65.180000000000007</v>
      </c>
      <c r="F204" s="9" t="s">
        <v>20</v>
      </c>
      <c r="G204" t="s">
        <v>21</v>
      </c>
      <c r="H204" t="str">
        <f>"3547105056"</f>
        <v>3547105056</v>
      </c>
      <c r="I204" t="str">
        <f>"PD TAHOE WINDOW REPAIR"</f>
        <v>PD TAHOE WINDOW REPAIR</v>
      </c>
    </row>
    <row r="205" spans="1:9" x14ac:dyDescent="0.25">
      <c r="A205" s="6">
        <v>44482</v>
      </c>
      <c r="B205" t="s">
        <v>26</v>
      </c>
      <c r="C205">
        <v>67834</v>
      </c>
      <c r="D205" t="s">
        <v>629</v>
      </c>
      <c r="E205" s="7">
        <v>180</v>
      </c>
      <c r="F205" s="9" t="s">
        <v>20</v>
      </c>
      <c r="G205" t="s">
        <v>21</v>
      </c>
      <c r="H205" t="str">
        <f>"42184"</f>
        <v>42184</v>
      </c>
      <c r="I205" t="str">
        <f>"NO CAMPING SIGNS"</f>
        <v>NO CAMPING SIGNS</v>
      </c>
    </row>
    <row r="206" spans="1:9" x14ac:dyDescent="0.25">
      <c r="A206" s="6">
        <v>44482</v>
      </c>
      <c r="B206" t="s">
        <v>26</v>
      </c>
      <c r="C206">
        <v>67835</v>
      </c>
      <c r="D206" t="s">
        <v>180</v>
      </c>
      <c r="E206" s="7">
        <v>210.33</v>
      </c>
      <c r="F206" s="9" t="s">
        <v>20</v>
      </c>
      <c r="G206" t="s">
        <v>21</v>
      </c>
      <c r="H206" t="str">
        <f>"2109-120531"</f>
        <v>2109-120531</v>
      </c>
      <c r="I206" t="str">
        <f>"PALLET OF CEMENT"</f>
        <v>PALLET OF CEMENT</v>
      </c>
    </row>
    <row r="207" spans="1:9" x14ac:dyDescent="0.25">
      <c r="A207" s="6">
        <v>44482</v>
      </c>
      <c r="B207" t="s">
        <v>26</v>
      </c>
      <c r="C207">
        <v>67836</v>
      </c>
      <c r="D207" t="s">
        <v>77</v>
      </c>
      <c r="E207" s="7">
        <v>2961.25</v>
      </c>
      <c r="F207" s="9" t="s">
        <v>20</v>
      </c>
      <c r="G207" t="s">
        <v>21</v>
      </c>
      <c r="H207" t="str">
        <f>"857002024-21"</f>
        <v>857002024-21</v>
      </c>
      <c r="I207" t="str">
        <f>"CHLORINE"</f>
        <v>CHLORINE</v>
      </c>
    </row>
    <row r="208" spans="1:9" x14ac:dyDescent="0.25">
      <c r="F208" s="9" t="s">
        <v>20</v>
      </c>
      <c r="G208" t="s">
        <v>21</v>
      </c>
      <c r="H208" t="str">
        <f>"857002025-21"</f>
        <v>857002025-21</v>
      </c>
      <c r="I208" t="str">
        <f>"CHLORINE"</f>
        <v>CHLORINE</v>
      </c>
    </row>
    <row r="209" spans="1:9" x14ac:dyDescent="0.25">
      <c r="F209" s="9" t="s">
        <v>20</v>
      </c>
      <c r="G209" t="s">
        <v>21</v>
      </c>
      <c r="H209" t="str">
        <f>"857002027-21"</f>
        <v>857002027-21</v>
      </c>
      <c r="I209" t="str">
        <f>"CHLORINE"</f>
        <v>CHLORINE</v>
      </c>
    </row>
    <row r="210" spans="1:9" x14ac:dyDescent="0.25">
      <c r="A210" s="6">
        <v>44482</v>
      </c>
      <c r="B210" t="s">
        <v>26</v>
      </c>
      <c r="C210">
        <v>67837</v>
      </c>
      <c r="D210" t="s">
        <v>56</v>
      </c>
      <c r="E210" s="7">
        <v>240</v>
      </c>
      <c r="F210" s="9" t="s">
        <v>20</v>
      </c>
      <c r="G210" t="s">
        <v>21</v>
      </c>
      <c r="H210" t="str">
        <f>"195296"</f>
        <v>195296</v>
      </c>
      <c r="I210" t="str">
        <f>"WEED KILLER"</f>
        <v>WEED KILLER</v>
      </c>
    </row>
    <row r="211" spans="1:9" x14ac:dyDescent="0.25">
      <c r="A211" s="6">
        <v>44482</v>
      </c>
      <c r="B211" t="s">
        <v>26</v>
      </c>
      <c r="C211">
        <v>67838</v>
      </c>
      <c r="D211" t="s">
        <v>302</v>
      </c>
      <c r="E211" s="7">
        <v>438.8</v>
      </c>
      <c r="F211" s="9" t="s">
        <v>20</v>
      </c>
      <c r="G211" t="s">
        <v>21</v>
      </c>
      <c r="H211" t="str">
        <f>"9060055192"</f>
        <v>9060055192</v>
      </c>
      <c r="I211" t="str">
        <f>"16 OZ PLASTIC  CUPS"</f>
        <v>16 OZ PLASTIC  CUPS</v>
      </c>
    </row>
    <row r="212" spans="1:9" x14ac:dyDescent="0.25">
      <c r="A212" s="6">
        <v>44482</v>
      </c>
      <c r="B212" t="s">
        <v>26</v>
      </c>
      <c r="C212">
        <v>67839</v>
      </c>
      <c r="D212" t="s">
        <v>123</v>
      </c>
      <c r="E212" s="7">
        <v>100.42</v>
      </c>
      <c r="F212" s="9" t="s">
        <v>20</v>
      </c>
      <c r="G212" t="s">
        <v>21</v>
      </c>
      <c r="H212" t="str">
        <f>"190917305001"</f>
        <v>190917305001</v>
      </c>
      <c r="I212" t="str">
        <f>"OFFICE SUPPLIES"</f>
        <v>OFFICE SUPPLIES</v>
      </c>
    </row>
    <row r="213" spans="1:9" x14ac:dyDescent="0.25">
      <c r="A213" s="6">
        <v>44482</v>
      </c>
      <c r="B213" t="s">
        <v>26</v>
      </c>
      <c r="C213">
        <v>67840</v>
      </c>
      <c r="D213" t="s">
        <v>248</v>
      </c>
      <c r="E213" s="7">
        <v>30.56</v>
      </c>
      <c r="F213" s="9" t="s">
        <v>20</v>
      </c>
      <c r="G213" t="s">
        <v>21</v>
      </c>
      <c r="H213" t="str">
        <f>"1019061013"</f>
        <v>1019061013</v>
      </c>
      <c r="I213" t="str">
        <f>"POSTAGE INK TRAY"</f>
        <v>POSTAGE INK TRAY</v>
      </c>
    </row>
    <row r="214" spans="1:9" x14ac:dyDescent="0.25">
      <c r="A214" s="6">
        <v>44482</v>
      </c>
      <c r="B214" t="s">
        <v>26</v>
      </c>
      <c r="C214">
        <v>67841</v>
      </c>
      <c r="D214" t="s">
        <v>1126</v>
      </c>
      <c r="E214" s="7">
        <v>713.84</v>
      </c>
      <c r="F214" s="9" t="s">
        <v>20</v>
      </c>
      <c r="G214" t="s">
        <v>21</v>
      </c>
      <c r="H214" t="str">
        <f>"117939864-0001"</f>
        <v>117939864-0001</v>
      </c>
      <c r="I214" t="str">
        <f>"25-26' ELECT SCISSOR NARR"</f>
        <v>25-26' ELECT SCISSOR NARR</v>
      </c>
    </row>
    <row r="215" spans="1:9" x14ac:dyDescent="0.25">
      <c r="A215" s="6">
        <v>44482</v>
      </c>
      <c r="B215" t="s">
        <v>26</v>
      </c>
      <c r="C215">
        <v>67842</v>
      </c>
      <c r="D215" t="s">
        <v>1033</v>
      </c>
      <c r="E215" s="7">
        <v>120</v>
      </c>
      <c r="F215" s="9" t="s">
        <v>20</v>
      </c>
      <c r="G215" t="s">
        <v>21</v>
      </c>
      <c r="H215" t="str">
        <f>"1183"</f>
        <v>1183</v>
      </c>
      <c r="I215" t="str">
        <f>"DIMOND BACK COVER INSTALL"</f>
        <v>DIMOND BACK COVER INSTALL</v>
      </c>
    </row>
    <row r="216" spans="1:9" x14ac:dyDescent="0.25">
      <c r="A216" s="6">
        <v>44482</v>
      </c>
      <c r="B216" t="s">
        <v>26</v>
      </c>
      <c r="C216">
        <v>67843</v>
      </c>
      <c r="D216" t="s">
        <v>122</v>
      </c>
      <c r="E216" s="7">
        <v>10</v>
      </c>
      <c r="F216" s="9" t="s">
        <v>20</v>
      </c>
      <c r="G216" t="s">
        <v>21</v>
      </c>
      <c r="H216" t="str">
        <f>"856315"</f>
        <v>856315</v>
      </c>
      <c r="I216" t="str">
        <f>"PETTY CASH WWTP"</f>
        <v>PETTY CASH WWTP</v>
      </c>
    </row>
    <row r="217" spans="1:9" x14ac:dyDescent="0.25">
      <c r="A217" s="6">
        <v>44482</v>
      </c>
      <c r="B217" t="s">
        <v>26</v>
      </c>
      <c r="C217">
        <v>67844</v>
      </c>
      <c r="D217" t="s">
        <v>139</v>
      </c>
      <c r="E217" s="7">
        <v>65</v>
      </c>
      <c r="F217" s="9" t="s">
        <v>20</v>
      </c>
      <c r="G217" t="s">
        <v>21</v>
      </c>
      <c r="H217" t="str">
        <f>"33586"</f>
        <v>33586</v>
      </c>
      <c r="I217" t="str">
        <f>"ANGEL FIRE &amp; SAFETY"</f>
        <v>ANGEL FIRE &amp; SAFETY</v>
      </c>
    </row>
    <row r="218" spans="1:9" x14ac:dyDescent="0.25">
      <c r="A218" s="6">
        <v>44482</v>
      </c>
      <c r="B218" t="s">
        <v>26</v>
      </c>
      <c r="C218">
        <v>67845</v>
      </c>
      <c r="D218" t="s">
        <v>304</v>
      </c>
      <c r="E218" s="7">
        <v>370.17</v>
      </c>
      <c r="F218" s="9" t="s">
        <v>20</v>
      </c>
      <c r="G218" t="s">
        <v>21</v>
      </c>
      <c r="H218" t="str">
        <f>"10005733098"</f>
        <v>10005733098</v>
      </c>
      <c r="I218" t="str">
        <f>"ASCAP"</f>
        <v>ASCAP</v>
      </c>
    </row>
    <row r="219" spans="1:9" x14ac:dyDescent="0.25">
      <c r="A219" s="6">
        <v>44482</v>
      </c>
      <c r="B219" t="s">
        <v>26</v>
      </c>
      <c r="C219">
        <v>67846</v>
      </c>
      <c r="D219" t="s">
        <v>821</v>
      </c>
      <c r="E219" s="7">
        <v>1735.04</v>
      </c>
      <c r="F219" s="9" t="s">
        <v>20</v>
      </c>
      <c r="G219" t="s">
        <v>21</v>
      </c>
      <c r="H219" t="str">
        <f>"NSI112866"</f>
        <v>NSI112866</v>
      </c>
      <c r="I219" t="str">
        <f>"AUSTIN ARMATURE WORKS  LP"</f>
        <v>AUSTIN ARMATURE WORKS  LP</v>
      </c>
    </row>
    <row r="220" spans="1:9" x14ac:dyDescent="0.25">
      <c r="F220" s="9" t="s">
        <v>20</v>
      </c>
      <c r="G220" t="s">
        <v>21</v>
      </c>
      <c r="H220" t="str">
        <f>"NSI12848"</f>
        <v>NSI12848</v>
      </c>
      <c r="I220" t="str">
        <f>"HOSPITAL WELL"</f>
        <v>HOSPITAL WELL</v>
      </c>
    </row>
    <row r="221" spans="1:9" x14ac:dyDescent="0.25">
      <c r="A221" s="6">
        <v>44482</v>
      </c>
      <c r="B221" t="s">
        <v>26</v>
      </c>
      <c r="C221">
        <v>67847</v>
      </c>
      <c r="D221" t="s">
        <v>115</v>
      </c>
      <c r="E221" s="7">
        <v>252.87</v>
      </c>
      <c r="F221" s="9" t="s">
        <v>20</v>
      </c>
      <c r="G221" t="s">
        <v>21</v>
      </c>
      <c r="H221" t="str">
        <f>"3547107960"</f>
        <v>3547107960</v>
      </c>
      <c r="I221" t="str">
        <f>"PARKS UNIT 504"</f>
        <v>PARKS UNIT 504</v>
      </c>
    </row>
    <row r="222" spans="1:9" x14ac:dyDescent="0.25">
      <c r="F222" s="9" t="s">
        <v>20</v>
      </c>
      <c r="G222" t="s">
        <v>21</v>
      </c>
      <c r="H222" t="str">
        <f>"3547107967"</f>
        <v>3547107967</v>
      </c>
      <c r="I222" t="str">
        <f>"OIL FILTERS SHOP/PD UNIT"</f>
        <v>OIL FILTERS SHOP/PD UNIT</v>
      </c>
    </row>
    <row r="223" spans="1:9" x14ac:dyDescent="0.25">
      <c r="F223" s="9" t="s">
        <v>20</v>
      </c>
      <c r="G223" t="s">
        <v>21</v>
      </c>
      <c r="H223" t="str">
        <f>"3547107968"</f>
        <v>3547107968</v>
      </c>
      <c r="I223" t="str">
        <f>"OIL FILTERS SHOP/PD UNIT"</f>
        <v>OIL FILTERS SHOP/PD UNIT</v>
      </c>
    </row>
    <row r="224" spans="1:9" x14ac:dyDescent="0.25">
      <c r="F224" s="9" t="s">
        <v>20</v>
      </c>
      <c r="G224" t="s">
        <v>21</v>
      </c>
      <c r="H224" t="str">
        <f>"3547108939"</f>
        <v>3547108939</v>
      </c>
      <c r="I224" t="str">
        <f>"OIL FILTERS"</f>
        <v>OIL FILTERS</v>
      </c>
    </row>
    <row r="225" spans="1:9" x14ac:dyDescent="0.25">
      <c r="A225" s="6">
        <v>44482</v>
      </c>
      <c r="B225" t="s">
        <v>26</v>
      </c>
      <c r="C225">
        <v>67848</v>
      </c>
      <c r="D225" t="s">
        <v>836</v>
      </c>
      <c r="E225" s="7">
        <v>5495.52</v>
      </c>
      <c r="F225" s="9" t="s">
        <v>20</v>
      </c>
      <c r="G225" t="s">
        <v>21</v>
      </c>
      <c r="H225" t="str">
        <f>"78756"</f>
        <v>78756</v>
      </c>
      <c r="I225" t="str">
        <f>"BARCOM TECHNOLOGY SOLUTIONS  I"</f>
        <v>BARCOM TECHNOLOGY SOLUTIONS  I</v>
      </c>
    </row>
    <row r="226" spans="1:9" x14ac:dyDescent="0.25">
      <c r="F226" s="9" t="s">
        <v>20</v>
      </c>
      <c r="G226" t="s">
        <v>21</v>
      </c>
      <c r="H226" t="str">
        <f>"78757"</f>
        <v>78757</v>
      </c>
      <c r="I226" t="str">
        <f>"BARCOM TECHNOLOGY SOLUTIONS  I"</f>
        <v>BARCOM TECHNOLOGY SOLUTIONS  I</v>
      </c>
    </row>
    <row r="227" spans="1:9" x14ac:dyDescent="0.25">
      <c r="A227" s="6">
        <v>44482</v>
      </c>
      <c r="B227" t="s">
        <v>26</v>
      </c>
      <c r="C227">
        <v>67850</v>
      </c>
      <c r="D227" t="s">
        <v>63</v>
      </c>
      <c r="E227" s="7">
        <v>41.49</v>
      </c>
      <c r="F227" s="9" t="s">
        <v>20</v>
      </c>
      <c r="G227" t="s">
        <v>21</v>
      </c>
      <c r="H227" t="str">
        <f>"8405331668"</f>
        <v>8405331668</v>
      </c>
      <c r="I227" t="str">
        <f>"CINTAS CORPORATION"</f>
        <v>CINTAS CORPORATION</v>
      </c>
    </row>
    <row r="228" spans="1:9" x14ac:dyDescent="0.25">
      <c r="A228" s="6">
        <v>44482</v>
      </c>
      <c r="B228" t="s">
        <v>26</v>
      </c>
      <c r="C228">
        <v>67851</v>
      </c>
      <c r="D228" t="s">
        <v>71</v>
      </c>
      <c r="E228" s="7">
        <v>2332.3200000000002</v>
      </c>
      <c r="F228" s="9" t="s">
        <v>20</v>
      </c>
      <c r="G228" t="s">
        <v>21</v>
      </c>
      <c r="H228" t="str">
        <f>"4097040791"</f>
        <v>4097040791</v>
      </c>
      <c r="I228" t="str">
        <f t="shared" ref="I228:I240" si="2">"CINTAS CORPORATION #087"</f>
        <v>CINTAS CORPORATION #087</v>
      </c>
    </row>
    <row r="229" spans="1:9" x14ac:dyDescent="0.25">
      <c r="F229" s="9" t="s">
        <v>20</v>
      </c>
      <c r="G229" t="s">
        <v>21</v>
      </c>
      <c r="H229" t="str">
        <f>"4097040836"</f>
        <v>4097040836</v>
      </c>
      <c r="I229" t="str">
        <f t="shared" si="2"/>
        <v>CINTAS CORPORATION #087</v>
      </c>
    </row>
    <row r="230" spans="1:9" x14ac:dyDescent="0.25">
      <c r="F230" s="9" t="s">
        <v>20</v>
      </c>
      <c r="G230" t="s">
        <v>21</v>
      </c>
      <c r="H230" t="str">
        <f>"4097040846"</f>
        <v>4097040846</v>
      </c>
      <c r="I230" t="str">
        <f t="shared" si="2"/>
        <v>CINTAS CORPORATION #087</v>
      </c>
    </row>
    <row r="231" spans="1:9" x14ac:dyDescent="0.25">
      <c r="F231" s="9" t="s">
        <v>20</v>
      </c>
      <c r="G231" t="s">
        <v>21</v>
      </c>
      <c r="H231" t="str">
        <f>"4097040854"</f>
        <v>4097040854</v>
      </c>
      <c r="I231" t="str">
        <f t="shared" si="2"/>
        <v>CINTAS CORPORATION #087</v>
      </c>
    </row>
    <row r="232" spans="1:9" x14ac:dyDescent="0.25">
      <c r="F232" s="9" t="s">
        <v>20</v>
      </c>
      <c r="G232" t="s">
        <v>21</v>
      </c>
      <c r="H232" t="str">
        <f>"4097040862"</f>
        <v>4097040862</v>
      </c>
      <c r="I232" t="str">
        <f t="shared" si="2"/>
        <v>CINTAS CORPORATION #087</v>
      </c>
    </row>
    <row r="233" spans="1:9" x14ac:dyDescent="0.25">
      <c r="F233" s="9" t="s">
        <v>20</v>
      </c>
      <c r="G233" t="s">
        <v>21</v>
      </c>
      <c r="H233" t="str">
        <f>"4097696111"</f>
        <v>4097696111</v>
      </c>
      <c r="I233" t="str">
        <f t="shared" si="2"/>
        <v>CINTAS CORPORATION #087</v>
      </c>
    </row>
    <row r="234" spans="1:9" x14ac:dyDescent="0.25">
      <c r="F234" s="9" t="s">
        <v>20</v>
      </c>
      <c r="G234" t="s">
        <v>21</v>
      </c>
      <c r="H234" t="str">
        <f>"4097696156"</f>
        <v>4097696156</v>
      </c>
      <c r="I234" t="str">
        <f t="shared" si="2"/>
        <v>CINTAS CORPORATION #087</v>
      </c>
    </row>
    <row r="235" spans="1:9" x14ac:dyDescent="0.25">
      <c r="F235" s="9" t="s">
        <v>20</v>
      </c>
      <c r="G235" t="s">
        <v>21</v>
      </c>
      <c r="H235" t="str">
        <f>"4097696178"</f>
        <v>4097696178</v>
      </c>
      <c r="I235" t="str">
        <f t="shared" si="2"/>
        <v>CINTAS CORPORATION #087</v>
      </c>
    </row>
    <row r="236" spans="1:9" x14ac:dyDescent="0.25">
      <c r="F236" s="9" t="s">
        <v>20</v>
      </c>
      <c r="G236" t="s">
        <v>21</v>
      </c>
      <c r="H236" t="str">
        <f>"4097696225"</f>
        <v>4097696225</v>
      </c>
      <c r="I236" t="str">
        <f t="shared" si="2"/>
        <v>CINTAS CORPORATION #087</v>
      </c>
    </row>
    <row r="237" spans="1:9" x14ac:dyDescent="0.25">
      <c r="F237" s="9" t="s">
        <v>20</v>
      </c>
      <c r="G237" t="s">
        <v>21</v>
      </c>
      <c r="H237" t="str">
        <f>"4097696262"</f>
        <v>4097696262</v>
      </c>
      <c r="I237" t="str">
        <f t="shared" si="2"/>
        <v>CINTAS CORPORATION #087</v>
      </c>
    </row>
    <row r="238" spans="1:9" x14ac:dyDescent="0.25">
      <c r="F238" s="9" t="s">
        <v>20</v>
      </c>
      <c r="G238" t="s">
        <v>21</v>
      </c>
      <c r="H238" t="str">
        <f>"4097699213"</f>
        <v>4097699213</v>
      </c>
      <c r="I238" t="str">
        <f t="shared" si="2"/>
        <v>CINTAS CORPORATION #087</v>
      </c>
    </row>
    <row r="239" spans="1:9" x14ac:dyDescent="0.25">
      <c r="F239" s="9" t="s">
        <v>20</v>
      </c>
      <c r="G239" t="s">
        <v>21</v>
      </c>
      <c r="H239" t="str">
        <f>"4097699232"</f>
        <v>4097699232</v>
      </c>
      <c r="I239" t="str">
        <f t="shared" si="2"/>
        <v>CINTAS CORPORATION #087</v>
      </c>
    </row>
    <row r="240" spans="1:9" x14ac:dyDescent="0.25">
      <c r="F240" s="9" t="s">
        <v>20</v>
      </c>
      <c r="G240" t="s">
        <v>21</v>
      </c>
      <c r="H240" t="str">
        <f>"40977696216"</f>
        <v>40977696216</v>
      </c>
      <c r="I240" t="str">
        <f t="shared" si="2"/>
        <v>CINTAS CORPORATION #087</v>
      </c>
    </row>
    <row r="241" spans="1:9" x14ac:dyDescent="0.25">
      <c r="A241" s="6">
        <v>44482</v>
      </c>
      <c r="B241" t="s">
        <v>26</v>
      </c>
      <c r="C241">
        <v>67854</v>
      </c>
      <c r="D241" t="s">
        <v>661</v>
      </c>
      <c r="E241" s="7">
        <v>327.97</v>
      </c>
      <c r="F241" s="9" t="s">
        <v>20</v>
      </c>
      <c r="G241" t="s">
        <v>21</v>
      </c>
      <c r="H241" t="str">
        <f>"8405344064"</f>
        <v>8405344064</v>
      </c>
      <c r="I241" t="str">
        <f>"CINTAS FAS LOCKBOX 631025"</f>
        <v>CINTAS FAS LOCKBOX 631025</v>
      </c>
    </row>
    <row r="242" spans="1:9" x14ac:dyDescent="0.25">
      <c r="A242" s="6">
        <v>44482</v>
      </c>
      <c r="B242" t="s">
        <v>26</v>
      </c>
      <c r="C242">
        <v>67855</v>
      </c>
      <c r="D242" t="s">
        <v>69</v>
      </c>
      <c r="E242" s="7">
        <v>14774.32</v>
      </c>
      <c r="F242" s="9" t="s">
        <v>20</v>
      </c>
      <c r="G242" t="s">
        <v>21</v>
      </c>
      <c r="H242" t="str">
        <f>"C02730"</f>
        <v>C02730</v>
      </c>
      <c r="I242" t="str">
        <f>"SHREDDER"</f>
        <v>SHREDDER</v>
      </c>
    </row>
    <row r="243" spans="1:9" x14ac:dyDescent="0.25">
      <c r="A243" s="6">
        <v>44482</v>
      </c>
      <c r="B243" t="s">
        <v>26</v>
      </c>
      <c r="C243">
        <v>67856</v>
      </c>
      <c r="D243" t="s">
        <v>419</v>
      </c>
      <c r="E243" s="7">
        <v>155.88</v>
      </c>
      <c r="F243" s="9" t="s">
        <v>20</v>
      </c>
      <c r="G243" t="s">
        <v>21</v>
      </c>
      <c r="H243" t="str">
        <f>"REIMBST.PARKING"</f>
        <v>REIMBST.PARKING</v>
      </c>
      <c r="I243" t="str">
        <f>"GEORGE ORTIZ"</f>
        <v>GEORGE ORTIZ</v>
      </c>
    </row>
    <row r="244" spans="1:9" x14ac:dyDescent="0.25">
      <c r="A244" s="6">
        <v>44482</v>
      </c>
      <c r="B244" t="s">
        <v>26</v>
      </c>
      <c r="C244">
        <v>67857</v>
      </c>
      <c r="D244" t="s">
        <v>56</v>
      </c>
      <c r="E244" s="7">
        <v>94.9</v>
      </c>
      <c r="F244" s="9" t="s">
        <v>20</v>
      </c>
      <c r="G244" t="s">
        <v>21</v>
      </c>
      <c r="H244" t="str">
        <f>"195940"</f>
        <v>195940</v>
      </c>
      <c r="I244" t="str">
        <f>"HYDRALIC HOSE"</f>
        <v>HYDRALIC HOSE</v>
      </c>
    </row>
    <row r="245" spans="1:9" x14ac:dyDescent="0.25">
      <c r="A245" s="6">
        <v>44482</v>
      </c>
      <c r="B245" t="s">
        <v>26</v>
      </c>
      <c r="C245">
        <v>67858</v>
      </c>
      <c r="D245" t="s">
        <v>398</v>
      </c>
      <c r="E245" s="7">
        <v>56.5</v>
      </c>
      <c r="F245" s="9" t="s">
        <v>20</v>
      </c>
      <c r="G245" t="s">
        <v>21</v>
      </c>
      <c r="H245" t="str">
        <f>"20211026"</f>
        <v>20211026</v>
      </c>
      <c r="I245" t="str">
        <f>"INTERCEPTOR TECHNOLOGY GROUP L"</f>
        <v>INTERCEPTOR TECHNOLOGY GROUP L</v>
      </c>
    </row>
    <row r="246" spans="1:9" x14ac:dyDescent="0.25">
      <c r="A246" s="6">
        <v>44482</v>
      </c>
      <c r="B246" t="s">
        <v>26</v>
      </c>
      <c r="C246">
        <v>67859</v>
      </c>
      <c r="D246" t="s">
        <v>326</v>
      </c>
      <c r="E246" s="7">
        <v>24.1</v>
      </c>
      <c r="F246" s="9" t="s">
        <v>20</v>
      </c>
      <c r="G246" t="s">
        <v>21</v>
      </c>
      <c r="H246" t="str">
        <f>"0024361431"</f>
        <v>0024361431</v>
      </c>
      <c r="I246" t="str">
        <f>"FOOTBALL FIELDS SPRAYER"</f>
        <v>FOOTBALL FIELDS SPRAYER</v>
      </c>
    </row>
    <row r="247" spans="1:9" x14ac:dyDescent="0.25">
      <c r="A247" s="6">
        <v>44482</v>
      </c>
      <c r="B247" t="s">
        <v>26</v>
      </c>
      <c r="C247">
        <v>67860</v>
      </c>
      <c r="D247" t="s">
        <v>124</v>
      </c>
      <c r="E247" s="7">
        <v>8.66</v>
      </c>
      <c r="F247" s="9" t="s">
        <v>20</v>
      </c>
      <c r="G247" t="s">
        <v>21</v>
      </c>
      <c r="H247" t="str">
        <f>"11111697"</f>
        <v>11111697</v>
      </c>
      <c r="I247" t="str">
        <f>"KEYS FOR PARKS DEPT"</f>
        <v>KEYS FOR PARKS DEPT</v>
      </c>
    </row>
    <row r="248" spans="1:9" x14ac:dyDescent="0.25">
      <c r="A248" s="6">
        <v>44482</v>
      </c>
      <c r="B248" t="s">
        <v>26</v>
      </c>
      <c r="C248">
        <v>67861</v>
      </c>
      <c r="D248" t="s">
        <v>689</v>
      </c>
      <c r="E248" s="7">
        <v>435</v>
      </c>
      <c r="F248" s="9" t="s">
        <v>20</v>
      </c>
      <c r="G248" t="s">
        <v>21</v>
      </c>
      <c r="H248" t="str">
        <f>"4206"</f>
        <v>4206</v>
      </c>
      <c r="I248" t="str">
        <f>"MOY'S WATER WELL DRILLING &amp; SE"</f>
        <v>MOY'S WATER WELL DRILLING &amp; SE</v>
      </c>
    </row>
    <row r="249" spans="1:9" x14ac:dyDescent="0.25">
      <c r="A249" s="6">
        <v>44482</v>
      </c>
      <c r="B249" t="s">
        <v>26</v>
      </c>
      <c r="C249">
        <v>67862</v>
      </c>
      <c r="D249" t="s">
        <v>62</v>
      </c>
      <c r="E249" s="7">
        <v>225.25</v>
      </c>
      <c r="F249" s="9" t="s">
        <v>20</v>
      </c>
      <c r="G249" t="s">
        <v>21</v>
      </c>
      <c r="H249" t="str">
        <f>"75821"</f>
        <v>75821</v>
      </c>
      <c r="I249" t="str">
        <f>"PROFICIENT BENEFIT SOLUTIONS"</f>
        <v>PROFICIENT BENEFIT SOLUTIONS</v>
      </c>
    </row>
    <row r="250" spans="1:9" x14ac:dyDescent="0.25">
      <c r="A250" s="6">
        <v>44482</v>
      </c>
      <c r="B250" t="s">
        <v>26</v>
      </c>
      <c r="C250">
        <v>67863</v>
      </c>
      <c r="D250" t="s">
        <v>630</v>
      </c>
      <c r="E250" s="7">
        <v>442.63</v>
      </c>
      <c r="F250" s="9" t="s">
        <v>20</v>
      </c>
      <c r="G250" t="s">
        <v>21</v>
      </c>
      <c r="H250" t="str">
        <f>"41069"</f>
        <v>41069</v>
      </c>
      <c r="I250" t="str">
        <f>"RG3 METER COMPANY"</f>
        <v>RG3 METER COMPANY</v>
      </c>
    </row>
    <row r="251" spans="1:9" x14ac:dyDescent="0.25">
      <c r="A251" s="6">
        <v>44482</v>
      </c>
      <c r="B251" t="s">
        <v>26</v>
      </c>
      <c r="C251">
        <v>67864</v>
      </c>
      <c r="D251" t="s">
        <v>644</v>
      </c>
      <c r="E251" s="7">
        <v>552.79</v>
      </c>
      <c r="F251" s="9" t="s">
        <v>20</v>
      </c>
      <c r="G251" t="s">
        <v>21</v>
      </c>
      <c r="H251" t="str">
        <f>"8213647552"</f>
        <v>8213647552</v>
      </c>
      <c r="I251" t="str">
        <f>"UNIFIRST CORPORATION"</f>
        <v>UNIFIRST CORPORATION</v>
      </c>
    </row>
    <row r="252" spans="1:9" x14ac:dyDescent="0.25">
      <c r="F252" s="9" t="s">
        <v>20</v>
      </c>
      <c r="G252" t="s">
        <v>21</v>
      </c>
      <c r="H252" t="str">
        <f>"8213647553"</f>
        <v>8213647553</v>
      </c>
      <c r="I252" t="str">
        <f>"UNIFIRST CORPORATION"</f>
        <v>UNIFIRST CORPORATION</v>
      </c>
    </row>
    <row r="253" spans="1:9" x14ac:dyDescent="0.25">
      <c r="F253" s="9" t="s">
        <v>20</v>
      </c>
      <c r="G253" t="s">
        <v>21</v>
      </c>
      <c r="H253" t="str">
        <f>"8213647554"</f>
        <v>8213647554</v>
      </c>
      <c r="I253" t="str">
        <f>"UNIFIRST CORPORATION"</f>
        <v>UNIFIRST CORPORATION</v>
      </c>
    </row>
    <row r="254" spans="1:9" x14ac:dyDescent="0.25">
      <c r="F254" s="9" t="s">
        <v>20</v>
      </c>
      <c r="G254" t="s">
        <v>21</v>
      </c>
      <c r="H254" t="str">
        <f>"8213647555"</f>
        <v>8213647555</v>
      </c>
      <c r="I254" t="str">
        <f>"UNIFIRST CORPORATION"</f>
        <v>UNIFIRST CORPORATION</v>
      </c>
    </row>
    <row r="255" spans="1:9" x14ac:dyDescent="0.25">
      <c r="F255" s="9" t="s">
        <v>20</v>
      </c>
      <c r="G255" t="s">
        <v>21</v>
      </c>
      <c r="H255" t="str">
        <f>"8213647557"</f>
        <v>8213647557</v>
      </c>
      <c r="I255" t="str">
        <f>"UNIFIRST CORPORATION"</f>
        <v>UNIFIRST CORPORATION</v>
      </c>
    </row>
    <row r="256" spans="1:9" x14ac:dyDescent="0.25">
      <c r="A256" s="6">
        <v>44482</v>
      </c>
      <c r="B256" t="s">
        <v>26</v>
      </c>
      <c r="C256">
        <v>67865</v>
      </c>
      <c r="D256" t="s">
        <v>76</v>
      </c>
      <c r="E256" s="7">
        <v>3012.15</v>
      </c>
      <c r="F256" s="9" t="s">
        <v>20</v>
      </c>
      <c r="G256" t="s">
        <v>21</v>
      </c>
      <c r="H256" t="str">
        <f>"1204"</f>
        <v>1204</v>
      </c>
      <c r="I256" t="str">
        <f>"WILSON COUNTY TAX COLLECTOR"</f>
        <v>WILSON COUNTY TAX COLLECTOR</v>
      </c>
    </row>
    <row r="257" spans="1:9" x14ac:dyDescent="0.25">
      <c r="A257" s="6">
        <v>44482</v>
      </c>
      <c r="B257" t="s">
        <v>26</v>
      </c>
      <c r="C257">
        <v>67866</v>
      </c>
      <c r="D257" t="s">
        <v>430</v>
      </c>
      <c r="E257" s="7">
        <v>50</v>
      </c>
      <c r="F257" s="9" t="s">
        <v>20</v>
      </c>
      <c r="G257" t="s">
        <v>21</v>
      </c>
      <c r="H257" t="str">
        <f>"FUEL REIMBSTMT"</f>
        <v>FUEL REIMBSTMT</v>
      </c>
      <c r="I257" t="str">
        <f>"GILBERT RODRIGUEZ"</f>
        <v>GILBERT RODRIGUEZ</v>
      </c>
    </row>
    <row r="258" spans="1:9" x14ac:dyDescent="0.25">
      <c r="A258" s="6">
        <v>44482</v>
      </c>
      <c r="B258" t="s">
        <v>26</v>
      </c>
      <c r="C258">
        <v>67867</v>
      </c>
      <c r="D258" t="s">
        <v>637</v>
      </c>
      <c r="E258" s="7">
        <v>75</v>
      </c>
      <c r="F258" s="9" t="s">
        <v>20</v>
      </c>
      <c r="G258" t="s">
        <v>21</v>
      </c>
      <c r="H258" t="str">
        <f t="shared" ref="H258:H263" si="3">"OCT.2021-COUNCIL"</f>
        <v>OCT.2021-COUNCIL</v>
      </c>
      <c r="I258" t="str">
        <f>""</f>
        <v/>
      </c>
    </row>
    <row r="259" spans="1:9" x14ac:dyDescent="0.25">
      <c r="A259" s="6">
        <v>44482</v>
      </c>
      <c r="B259" t="s">
        <v>26</v>
      </c>
      <c r="C259">
        <v>67868</v>
      </c>
      <c r="D259" t="s">
        <v>36</v>
      </c>
      <c r="E259" s="7">
        <v>75</v>
      </c>
      <c r="F259" s="9" t="s">
        <v>20</v>
      </c>
      <c r="G259" t="s">
        <v>21</v>
      </c>
      <c r="H259" t="str">
        <f t="shared" si="3"/>
        <v>OCT.2021-COUNCIL</v>
      </c>
      <c r="I259" t="str">
        <f>""</f>
        <v/>
      </c>
    </row>
    <row r="260" spans="1:9" x14ac:dyDescent="0.25">
      <c r="A260" s="6">
        <v>44482</v>
      </c>
      <c r="B260" t="s">
        <v>26</v>
      </c>
      <c r="C260">
        <v>67869</v>
      </c>
      <c r="D260" t="s">
        <v>38</v>
      </c>
      <c r="E260" s="7">
        <v>100</v>
      </c>
      <c r="F260" s="9" t="s">
        <v>20</v>
      </c>
      <c r="G260" t="s">
        <v>21</v>
      </c>
      <c r="H260" t="str">
        <f t="shared" si="3"/>
        <v>OCT.2021-COUNCIL</v>
      </c>
      <c r="I260" t="str">
        <f>""</f>
        <v/>
      </c>
    </row>
    <row r="261" spans="1:9" x14ac:dyDescent="0.25">
      <c r="A261" s="6">
        <v>44482</v>
      </c>
      <c r="B261" t="s">
        <v>26</v>
      </c>
      <c r="C261">
        <v>67870</v>
      </c>
      <c r="D261" t="s">
        <v>558</v>
      </c>
      <c r="E261" s="7">
        <v>75</v>
      </c>
      <c r="F261" s="9" t="s">
        <v>20</v>
      </c>
      <c r="G261" t="s">
        <v>21</v>
      </c>
      <c r="H261" t="str">
        <f t="shared" si="3"/>
        <v>OCT.2021-COUNCIL</v>
      </c>
      <c r="I261" t="str">
        <f>"MONTHLY COUNCIL CHECKS"</f>
        <v>MONTHLY COUNCIL CHECKS</v>
      </c>
    </row>
    <row r="262" spans="1:9" x14ac:dyDescent="0.25">
      <c r="A262" s="6">
        <v>44482</v>
      </c>
      <c r="B262" t="s">
        <v>26</v>
      </c>
      <c r="C262">
        <v>67871</v>
      </c>
      <c r="D262" t="s">
        <v>889</v>
      </c>
      <c r="E262" s="7">
        <v>75</v>
      </c>
      <c r="F262" s="9" t="s">
        <v>20</v>
      </c>
      <c r="G262" t="s">
        <v>21</v>
      </c>
      <c r="H262" t="str">
        <f t="shared" si="3"/>
        <v>OCT.2021-COUNCIL</v>
      </c>
      <c r="I262" t="str">
        <f>""</f>
        <v/>
      </c>
    </row>
    <row r="263" spans="1:9" x14ac:dyDescent="0.25">
      <c r="A263" s="6">
        <v>44482</v>
      </c>
      <c r="B263" t="s">
        <v>26</v>
      </c>
      <c r="C263">
        <v>67872</v>
      </c>
      <c r="D263" t="s">
        <v>1011</v>
      </c>
      <c r="E263" s="7">
        <v>75</v>
      </c>
      <c r="F263" s="9" t="s">
        <v>20</v>
      </c>
      <c r="G263" t="s">
        <v>21</v>
      </c>
      <c r="H263" t="str">
        <f t="shared" si="3"/>
        <v>OCT.2021-COUNCIL</v>
      </c>
      <c r="I263" t="str">
        <f>""</f>
        <v/>
      </c>
    </row>
    <row r="264" spans="1:9" x14ac:dyDescent="0.25">
      <c r="A264" s="6">
        <v>44482</v>
      </c>
      <c r="B264" t="s">
        <v>26</v>
      </c>
      <c r="C264">
        <v>67873</v>
      </c>
      <c r="D264" t="s">
        <v>92</v>
      </c>
      <c r="E264" s="7">
        <v>36563.230000000003</v>
      </c>
      <c r="F264" s="9" t="s">
        <v>20</v>
      </c>
      <c r="G264" t="s">
        <v>21</v>
      </c>
      <c r="H264" t="str">
        <f>"RET202109078620"</f>
        <v>RET202109078620</v>
      </c>
      <c r="I264" t="str">
        <f>"TMRS CITY OF FLORESVILLE"</f>
        <v>TMRS CITY OF FLORESVILLE</v>
      </c>
    </row>
    <row r="265" spans="1:9" x14ac:dyDescent="0.25">
      <c r="F265" s="9" t="s">
        <v>20</v>
      </c>
      <c r="G265" t="s">
        <v>21</v>
      </c>
      <c r="H265" t="str">
        <f>"RET202109218622"</f>
        <v>RET202109218622</v>
      </c>
      <c r="I265" t="str">
        <f>"TMRS CITY OF FLORESVILLE"</f>
        <v>TMRS CITY OF FLORESVILLE</v>
      </c>
    </row>
    <row r="266" spans="1:9" x14ac:dyDescent="0.25">
      <c r="A266" s="6">
        <v>44482</v>
      </c>
      <c r="B266" t="s">
        <v>26</v>
      </c>
      <c r="C266">
        <v>67877</v>
      </c>
      <c r="D266" t="s">
        <v>345</v>
      </c>
      <c r="E266" s="7">
        <v>280.5</v>
      </c>
      <c r="F266" s="9" t="s">
        <v>20</v>
      </c>
      <c r="G266" t="s">
        <v>21</v>
      </c>
      <c r="H266" t="str">
        <f>"10/11/2021"</f>
        <v>10/11/2021</v>
      </c>
      <c r="I266" t="str">
        <f>"MICHAEL ISAAC MARTINEZ"</f>
        <v>MICHAEL ISAAC MARTINEZ</v>
      </c>
    </row>
    <row r="267" spans="1:9" x14ac:dyDescent="0.25">
      <c r="A267" s="6">
        <v>44483</v>
      </c>
      <c r="B267" t="s">
        <v>26</v>
      </c>
      <c r="C267">
        <v>67878</v>
      </c>
      <c r="D267" t="s">
        <v>103</v>
      </c>
      <c r="E267" s="7">
        <v>89060.88</v>
      </c>
      <c r="F267" s="9" t="s">
        <v>20</v>
      </c>
      <c r="G267" t="s">
        <v>21</v>
      </c>
      <c r="H267" t="str">
        <f>"OCT. 2021 SALESTAX"</f>
        <v>OCT. 2021 SALESTAX</v>
      </c>
      <c r="I267" t="str">
        <f>"F. E. D. C."</f>
        <v>F. E. D. C.</v>
      </c>
    </row>
    <row r="268" spans="1:9" x14ac:dyDescent="0.25">
      <c r="A268" s="6">
        <v>44483</v>
      </c>
      <c r="B268" t="s">
        <v>26</v>
      </c>
      <c r="C268">
        <v>67879</v>
      </c>
      <c r="D268" t="s">
        <v>194</v>
      </c>
      <c r="E268" s="7">
        <v>8369.2000000000007</v>
      </c>
      <c r="F268" s="9" t="s">
        <v>20</v>
      </c>
      <c r="G268" t="s">
        <v>21</v>
      </c>
      <c r="H268" t="str">
        <f>"REISSUE CK#65325"</f>
        <v>REISSUE CK#65325</v>
      </c>
      <c r="I268" t="str">
        <f>"GALLS  LLC-D.B.A. STERLING'S U"</f>
        <v>GALLS  LLC-D.B.A. STERLING'S U</v>
      </c>
    </row>
    <row r="269" spans="1:9" x14ac:dyDescent="0.25">
      <c r="A269" s="6">
        <v>44488</v>
      </c>
      <c r="B269" t="s">
        <v>26</v>
      </c>
      <c r="C269">
        <v>67880</v>
      </c>
      <c r="D269" t="s">
        <v>1121</v>
      </c>
      <c r="E269" s="7">
        <v>171.08</v>
      </c>
      <c r="F269" s="9" t="s">
        <v>20</v>
      </c>
      <c r="G269" t="s">
        <v>21</v>
      </c>
      <c r="H269" t="str">
        <f>"16/16/2021 WEDDING"</f>
        <v>16/16/2021 WEDDING</v>
      </c>
      <c r="I269" t="str">
        <f>"AMY MORENO"</f>
        <v>AMY MORENO</v>
      </c>
    </row>
    <row r="270" spans="1:9" x14ac:dyDescent="0.25">
      <c r="A270" s="6">
        <v>44488</v>
      </c>
      <c r="B270" t="s">
        <v>26</v>
      </c>
      <c r="C270">
        <v>67881</v>
      </c>
      <c r="D270" t="s">
        <v>781</v>
      </c>
      <c r="E270" s="7">
        <v>171.08</v>
      </c>
      <c r="F270" s="9" t="s">
        <v>20</v>
      </c>
      <c r="G270" t="s">
        <v>21</v>
      </c>
      <c r="H270" t="str">
        <f>"10/16/2021 WEDDING"</f>
        <v>10/16/2021 WEDDING</v>
      </c>
      <c r="I270" t="str">
        <f>"ASHLEY MARTINEZ"</f>
        <v>ASHLEY MARTINEZ</v>
      </c>
    </row>
    <row r="271" spans="1:9" x14ac:dyDescent="0.25">
      <c r="A271" s="6">
        <v>44488</v>
      </c>
      <c r="B271" t="s">
        <v>26</v>
      </c>
      <c r="C271">
        <v>67882</v>
      </c>
      <c r="D271" t="s">
        <v>110</v>
      </c>
      <c r="E271" s="7">
        <v>66431.41</v>
      </c>
      <c r="F271" s="9" t="s">
        <v>20</v>
      </c>
      <c r="G271" t="s">
        <v>21</v>
      </c>
      <c r="H271" t="str">
        <f>"2/28-4/30/2021VAR."</f>
        <v>2/28-4/30/2021VAR.</v>
      </c>
      <c r="I271" t="str">
        <f>"BUREAU VERITAS NORTH AMERICA"</f>
        <v>BUREAU VERITAS NORTH AMERICA</v>
      </c>
    </row>
    <row r="272" spans="1:9" x14ac:dyDescent="0.25">
      <c r="F272" s="9" t="s">
        <v>20</v>
      </c>
      <c r="G272" t="s">
        <v>21</v>
      </c>
      <c r="H272" t="s">
        <v>1127</v>
      </c>
      <c r="I272" t="s">
        <v>1128</v>
      </c>
    </row>
    <row r="273" spans="1:9" x14ac:dyDescent="0.25">
      <c r="A273" s="6">
        <v>44488</v>
      </c>
      <c r="B273" t="s">
        <v>26</v>
      </c>
      <c r="C273">
        <v>67883</v>
      </c>
      <c r="D273" t="s">
        <v>102</v>
      </c>
      <c r="E273" s="7">
        <v>120.44</v>
      </c>
      <c r="F273" s="9" t="s">
        <v>20</v>
      </c>
      <c r="G273" t="s">
        <v>21</v>
      </c>
      <c r="H273" t="str">
        <f>"1120 D. ST 9/2021"</f>
        <v>1120 D. ST 9/2021</v>
      </c>
      <c r="I273" t="str">
        <f>"CENTERPOINT ENERGY ENTEX"</f>
        <v>CENTERPOINT ENERGY ENTEX</v>
      </c>
    </row>
    <row r="274" spans="1:9" x14ac:dyDescent="0.25">
      <c r="F274" s="9" t="s">
        <v>20</v>
      </c>
      <c r="G274" t="s">
        <v>21</v>
      </c>
      <c r="H274" t="str">
        <f>"12000 1ST 9/2021"</f>
        <v>12000 1ST 9/2021</v>
      </c>
      <c r="I274" t="str">
        <f>"CENTERPOINT ENERGY ENTEX"</f>
        <v>CENTERPOINT ENERGY ENTEX</v>
      </c>
    </row>
    <row r="275" spans="1:9" x14ac:dyDescent="0.25">
      <c r="F275" s="9" t="s">
        <v>20</v>
      </c>
      <c r="G275" t="s">
        <v>21</v>
      </c>
      <c r="H275" t="str">
        <f>"920 C. ST 9/2021"</f>
        <v>920 C. ST 9/2021</v>
      </c>
      <c r="I275" t="str">
        <f>"CENTERPOINT ENERGY ENTEX"</f>
        <v>CENTERPOINT ENERGY ENTEX</v>
      </c>
    </row>
    <row r="276" spans="1:9" x14ac:dyDescent="0.25">
      <c r="A276" s="6">
        <v>44488</v>
      </c>
      <c r="B276" t="s">
        <v>26</v>
      </c>
      <c r="C276">
        <v>67884</v>
      </c>
      <c r="D276" t="s">
        <v>1054</v>
      </c>
      <c r="E276" s="7">
        <v>1080</v>
      </c>
      <c r="F276" s="9" t="s">
        <v>20</v>
      </c>
      <c r="G276" t="s">
        <v>21</v>
      </c>
      <c r="H276" t="str">
        <f>"INV0049"</f>
        <v>INV0049</v>
      </c>
      <c r="I276" t="str">
        <f>"DAVID TRAVIESO"</f>
        <v>DAVID TRAVIESO</v>
      </c>
    </row>
    <row r="277" spans="1:9" x14ac:dyDescent="0.25">
      <c r="A277" s="6">
        <v>44488</v>
      </c>
      <c r="B277" t="s">
        <v>26</v>
      </c>
      <c r="C277">
        <v>67885</v>
      </c>
      <c r="D277" t="s">
        <v>739</v>
      </c>
      <c r="E277" s="7">
        <v>1531.01</v>
      </c>
      <c r="F277" s="9" t="s">
        <v>20</v>
      </c>
      <c r="G277" t="s">
        <v>21</v>
      </c>
      <c r="H277" t="str">
        <f>"5286X09272021"</f>
        <v>5286X09272021</v>
      </c>
      <c r="I277" t="str">
        <f>"FIRSTNET/AT&amp;T MOBILITY LLC"</f>
        <v>FIRSTNET/AT&amp;T MOBILITY LLC</v>
      </c>
    </row>
    <row r="278" spans="1:9" x14ac:dyDescent="0.25">
      <c r="A278" s="6">
        <v>44488</v>
      </c>
      <c r="B278" t="s">
        <v>26</v>
      </c>
      <c r="C278">
        <v>67886</v>
      </c>
      <c r="D278" t="s">
        <v>29</v>
      </c>
      <c r="E278" s="7">
        <v>2107.5</v>
      </c>
      <c r="F278" s="9" t="s">
        <v>20</v>
      </c>
      <c r="G278" t="s">
        <v>21</v>
      </c>
      <c r="H278" t="str">
        <f>"53425"</f>
        <v>53425</v>
      </c>
      <c r="I278" t="str">
        <f>"M &amp; S ENGINEERING  LLC"</f>
        <v>M &amp; S ENGINEERING  LLC</v>
      </c>
    </row>
    <row r="279" spans="1:9" x14ac:dyDescent="0.25">
      <c r="F279" s="9" t="s">
        <v>20</v>
      </c>
      <c r="G279" t="s">
        <v>21</v>
      </c>
      <c r="H279" t="str">
        <f>"53711"</f>
        <v>53711</v>
      </c>
      <c r="I279" t="str">
        <f>"M &amp; S ENGINEERING  LLC"</f>
        <v>M &amp; S ENGINEERING  LLC</v>
      </c>
    </row>
    <row r="280" spans="1:9" x14ac:dyDescent="0.25">
      <c r="A280" s="6">
        <v>44488</v>
      </c>
      <c r="B280" t="s">
        <v>26</v>
      </c>
      <c r="C280">
        <v>67887</v>
      </c>
      <c r="D280" t="s">
        <v>345</v>
      </c>
      <c r="E280" s="7">
        <v>308</v>
      </c>
      <c r="F280" s="9" t="s">
        <v>20</v>
      </c>
      <c r="G280" t="s">
        <v>21</v>
      </c>
      <c r="H280" t="str">
        <f>"10/18/2021"</f>
        <v>10/18/2021</v>
      </c>
      <c r="I280" t="str">
        <f>"MICHAEL ISAAC MARTINEZ"</f>
        <v>MICHAEL ISAAC MARTINEZ</v>
      </c>
    </row>
    <row r="281" spans="1:9" x14ac:dyDescent="0.25">
      <c r="A281" s="6">
        <v>44488</v>
      </c>
      <c r="B281" t="s">
        <v>26</v>
      </c>
      <c r="C281">
        <v>67888</v>
      </c>
      <c r="D281" t="s">
        <v>323</v>
      </c>
      <c r="E281" s="7">
        <v>630</v>
      </c>
      <c r="F281" s="9" t="s">
        <v>20</v>
      </c>
      <c r="G281" t="s">
        <v>21</v>
      </c>
      <c r="H281" t="str">
        <f>"9378"</f>
        <v>9378</v>
      </c>
      <c r="I281" t="str">
        <f>"POLLOK SELF STORAGE LLC"</f>
        <v>POLLOK SELF STORAGE LLC</v>
      </c>
    </row>
    <row r="282" spans="1:9" x14ac:dyDescent="0.25">
      <c r="A282" s="6">
        <v>44488</v>
      </c>
      <c r="B282" t="s">
        <v>26</v>
      </c>
      <c r="C282">
        <v>67889</v>
      </c>
      <c r="D282" t="s">
        <v>218</v>
      </c>
      <c r="E282" s="7">
        <v>125</v>
      </c>
      <c r="F282" s="9" t="s">
        <v>20</v>
      </c>
      <c r="G282" t="s">
        <v>21</v>
      </c>
      <c r="H282" t="str">
        <f>"9791"</f>
        <v>9791</v>
      </c>
      <c r="I282" t="str">
        <f>"BUCKET TRUCK TOW"</f>
        <v>BUCKET TRUCK TOW</v>
      </c>
    </row>
    <row r="283" spans="1:9" x14ac:dyDescent="0.25">
      <c r="A283" s="6">
        <v>44488</v>
      </c>
      <c r="B283" t="s">
        <v>26</v>
      </c>
      <c r="C283">
        <v>67890</v>
      </c>
      <c r="D283" t="s">
        <v>132</v>
      </c>
      <c r="E283" s="7">
        <v>67.849999999999994</v>
      </c>
      <c r="F283" s="9" t="s">
        <v>20</v>
      </c>
      <c r="G283" t="s">
        <v>21</v>
      </c>
      <c r="H283" t="str">
        <f>"16992887 100721"</f>
        <v>16992887 100721</v>
      </c>
      <c r="I283" t="str">
        <f>"SPARKLETTS &amp; SIERRA SPRINGS"</f>
        <v>SPARKLETTS &amp; SIERRA SPRINGS</v>
      </c>
    </row>
    <row r="284" spans="1:9" x14ac:dyDescent="0.25">
      <c r="A284" s="6">
        <v>44488</v>
      </c>
      <c r="B284" t="s">
        <v>26</v>
      </c>
      <c r="C284">
        <v>67891</v>
      </c>
      <c r="D284" t="s">
        <v>1033</v>
      </c>
      <c r="E284" s="7">
        <v>72</v>
      </c>
      <c r="F284" s="9" t="s">
        <v>20</v>
      </c>
      <c r="G284" t="s">
        <v>21</v>
      </c>
      <c r="H284" t="str">
        <f>"1183-1"</f>
        <v>1183-1</v>
      </c>
      <c r="I284" t="str">
        <f>"TEN/28 COLLISION REPAIR AND RE"</f>
        <v>TEN/28 COLLISION REPAIR AND RE</v>
      </c>
    </row>
    <row r="285" spans="1:9" x14ac:dyDescent="0.25">
      <c r="A285" s="6">
        <v>44488</v>
      </c>
      <c r="B285" t="s">
        <v>26</v>
      </c>
      <c r="C285">
        <v>67892</v>
      </c>
      <c r="D285" t="s">
        <v>698</v>
      </c>
      <c r="E285" s="7">
        <v>171.08</v>
      </c>
      <c r="F285" s="9" t="s">
        <v>20</v>
      </c>
      <c r="G285" t="s">
        <v>21</v>
      </c>
      <c r="H285" t="str">
        <f>"10/16/2021 WEDDING"</f>
        <v>10/16/2021 WEDDING</v>
      </c>
      <c r="I285" t="str">
        <f>"TRACY ORTIZ"</f>
        <v>TRACY ORTIZ</v>
      </c>
    </row>
    <row r="286" spans="1:9" x14ac:dyDescent="0.25">
      <c r="A286" s="6">
        <v>44488</v>
      </c>
      <c r="B286" t="s">
        <v>26</v>
      </c>
      <c r="C286">
        <v>67897</v>
      </c>
      <c r="D286" t="s">
        <v>51</v>
      </c>
      <c r="E286" s="7">
        <v>346.31</v>
      </c>
      <c r="F286" s="9" t="s">
        <v>20</v>
      </c>
      <c r="G286" t="s">
        <v>21</v>
      </c>
      <c r="H286" t="str">
        <f>"CLE202110198625"</f>
        <v>CLE202110198625</v>
      </c>
      <c r="I286" t="str">
        <f>"CLEAT ONLY DUES"</f>
        <v>CLEAT ONLY DUES</v>
      </c>
    </row>
    <row r="287" spans="1:9" x14ac:dyDescent="0.25">
      <c r="F287" s="9" t="s">
        <v>20</v>
      </c>
      <c r="G287" t="s">
        <v>21</v>
      </c>
      <c r="H287" t="str">
        <f>"PDD202110198625"</f>
        <v>PDD202110198625</v>
      </c>
      <c r="I287" t="str">
        <f>"POLICE OFFICERS ASSOC DUES"</f>
        <v>POLICE OFFICERS ASSOC DUES</v>
      </c>
    </row>
    <row r="288" spans="1:9" x14ac:dyDescent="0.25">
      <c r="A288" s="6">
        <v>44488</v>
      </c>
      <c r="B288" t="s">
        <v>26</v>
      </c>
      <c r="C288">
        <v>67898</v>
      </c>
      <c r="D288" t="s">
        <v>52</v>
      </c>
      <c r="E288" s="7">
        <v>991.16</v>
      </c>
      <c r="F288" s="9" t="s">
        <v>20</v>
      </c>
      <c r="G288" t="s">
        <v>21</v>
      </c>
      <c r="H288" t="str">
        <f>"CA1202110198625"</f>
        <v>CA1202110198625</v>
      </c>
      <c r="I288" t="str">
        <f>"K RAMIREZ 001200229510060343CV"</f>
        <v>K RAMIREZ 001200229510060343CV</v>
      </c>
    </row>
    <row r="289" spans="1:9" x14ac:dyDescent="0.25">
      <c r="F289" s="9" t="s">
        <v>20</v>
      </c>
      <c r="G289" t="s">
        <v>21</v>
      </c>
      <c r="H289" t="str">
        <f>"CA2202110198625"</f>
        <v>CA2202110198625</v>
      </c>
      <c r="I289" t="str">
        <f>"L HERNANDEZ 001016025203080354"</f>
        <v>L HERNANDEZ 001016025203080354</v>
      </c>
    </row>
    <row r="290" spans="1:9" x14ac:dyDescent="0.25">
      <c r="F290" s="9" t="s">
        <v>20</v>
      </c>
      <c r="G290" t="s">
        <v>21</v>
      </c>
      <c r="H290" t="str">
        <f>"CA3202110198625"</f>
        <v>CA3202110198625</v>
      </c>
      <c r="I290" t="str">
        <f>"00120788612011EM5023JOLENEGARC"</f>
        <v>00120788612011EM5023JOLENEGARC</v>
      </c>
    </row>
    <row r="291" spans="1:9" x14ac:dyDescent="0.25">
      <c r="F291" s="9" t="s">
        <v>20</v>
      </c>
      <c r="G291" t="s">
        <v>21</v>
      </c>
      <c r="H291" t="str">
        <f>"CSA202110198625"</f>
        <v>CSA202110198625</v>
      </c>
      <c r="I291" t="str">
        <f>"S RODRIGUEZ 001281730413050336"</f>
        <v>S RODRIGUEZ 001281730413050336</v>
      </c>
    </row>
    <row r="292" spans="1:9" x14ac:dyDescent="0.25">
      <c r="F292" s="9" t="s">
        <v>20</v>
      </c>
      <c r="G292" t="s">
        <v>21</v>
      </c>
      <c r="H292" t="str">
        <f>"CSI202110198625"</f>
        <v>CSI202110198625</v>
      </c>
      <c r="I292" t="str">
        <f>"KTRINIDAD0014071774CVW2000777"</f>
        <v>KTRINIDAD0014071774CVW2000777</v>
      </c>
    </row>
    <row r="293" spans="1:9" x14ac:dyDescent="0.25">
      <c r="F293" s="9" t="s">
        <v>20</v>
      </c>
      <c r="G293" t="s">
        <v>21</v>
      </c>
      <c r="H293" t="str">
        <f>"CSR202110198625"</f>
        <v>CSR202110198625</v>
      </c>
      <c r="I293" t="str">
        <f>"A BARRIENTE 14189017CVW2100560"</f>
        <v>A BARRIENTE 14189017CVW2100560</v>
      </c>
    </row>
    <row r="294" spans="1:9" x14ac:dyDescent="0.25">
      <c r="A294" s="6">
        <v>44488</v>
      </c>
      <c r="B294" t="s">
        <v>26</v>
      </c>
      <c r="C294">
        <v>67899</v>
      </c>
      <c r="D294" t="s">
        <v>54</v>
      </c>
      <c r="E294" s="7">
        <v>1133.6500000000001</v>
      </c>
      <c r="F294" s="9" t="s">
        <v>20</v>
      </c>
      <c r="G294" t="s">
        <v>21</v>
      </c>
      <c r="H294" t="str">
        <f>"BRE202110198625"</f>
        <v>BRE202110198625</v>
      </c>
      <c r="I294" t="str">
        <f>"CASE #180-60751 457B DEDUCT"</f>
        <v>CASE #180-60751 457B DEDUCT</v>
      </c>
    </row>
    <row r="295" spans="1:9" x14ac:dyDescent="0.25">
      <c r="A295" s="6">
        <v>44488</v>
      </c>
      <c r="B295" t="s">
        <v>26</v>
      </c>
      <c r="C295">
        <v>67900</v>
      </c>
      <c r="D295" t="s">
        <v>85</v>
      </c>
      <c r="E295" s="7">
        <v>179.09</v>
      </c>
      <c r="F295" s="9" t="s">
        <v>20</v>
      </c>
      <c r="G295" t="s">
        <v>21</v>
      </c>
      <c r="H295" t="str">
        <f>"3930579 10/2021"</f>
        <v>3930579 10/2021</v>
      </c>
      <c r="I295" t="str">
        <f>"FRONTIER"</f>
        <v>FRONTIER</v>
      </c>
    </row>
    <row r="296" spans="1:9" x14ac:dyDescent="0.25">
      <c r="F296" s="9" t="s">
        <v>20</v>
      </c>
      <c r="G296" t="s">
        <v>21</v>
      </c>
      <c r="H296" t="str">
        <f>"3933108 10/2021"</f>
        <v>3933108 10/2021</v>
      </c>
      <c r="I296" t="str">
        <f>"FRONTIER"</f>
        <v>FRONTIER</v>
      </c>
    </row>
    <row r="297" spans="1:9" x14ac:dyDescent="0.25">
      <c r="F297" s="9" t="s">
        <v>20</v>
      </c>
      <c r="G297" t="s">
        <v>21</v>
      </c>
      <c r="H297" t="str">
        <f>"3939791 10/2021"</f>
        <v>3939791 10/2021</v>
      </c>
      <c r="I297" t="str">
        <f>"FRONTIER"</f>
        <v>FRONTIER</v>
      </c>
    </row>
    <row r="298" spans="1:9" x14ac:dyDescent="0.25">
      <c r="A298" s="6">
        <v>44490</v>
      </c>
      <c r="B298" t="s">
        <v>26</v>
      </c>
      <c r="C298">
        <v>67901</v>
      </c>
      <c r="D298" t="s">
        <v>1129</v>
      </c>
      <c r="E298" s="7">
        <v>250</v>
      </c>
      <c r="F298" s="9" t="s">
        <v>20</v>
      </c>
      <c r="G298" t="s">
        <v>21</v>
      </c>
      <c r="H298" t="str">
        <f>"REFND EV 10/3/2021"</f>
        <v>REFND EV 10/3/2021</v>
      </c>
      <c r="I298" t="str">
        <f>"REFUND"</f>
        <v>REFUND</v>
      </c>
    </row>
    <row r="299" spans="1:9" x14ac:dyDescent="0.25">
      <c r="A299" s="6">
        <v>44490</v>
      </c>
      <c r="B299" t="s">
        <v>26</v>
      </c>
      <c r="C299">
        <v>67902</v>
      </c>
      <c r="D299" t="s">
        <v>85</v>
      </c>
      <c r="E299" s="7">
        <v>2556.98</v>
      </c>
      <c r="F299" s="9" t="s">
        <v>20</v>
      </c>
      <c r="G299" t="s">
        <v>21</v>
      </c>
      <c r="H299" t="str">
        <f>"3934055 10/2021"</f>
        <v>3934055 10/2021</v>
      </c>
      <c r="I299" t="str">
        <f>"FRONTIER"</f>
        <v>FRONTIER</v>
      </c>
    </row>
    <row r="300" spans="1:9" x14ac:dyDescent="0.25">
      <c r="F300" s="9" t="s">
        <v>20</v>
      </c>
      <c r="G300" t="s">
        <v>21</v>
      </c>
      <c r="H300" t="str">
        <f>"8301970025 10/2021"</f>
        <v>8301970025 10/2021</v>
      </c>
      <c r="I300" t="str">
        <f>"FRONTIER"</f>
        <v>FRONTIER</v>
      </c>
    </row>
    <row r="301" spans="1:9" x14ac:dyDescent="0.25">
      <c r="A301" s="6">
        <v>44490</v>
      </c>
      <c r="B301" t="s">
        <v>26</v>
      </c>
      <c r="C301">
        <v>67904</v>
      </c>
      <c r="D301" t="s">
        <v>1054</v>
      </c>
      <c r="E301" s="7">
        <v>6850</v>
      </c>
      <c r="F301" s="9" t="s">
        <v>20</v>
      </c>
      <c r="G301" t="s">
        <v>21</v>
      </c>
      <c r="H301" t="str">
        <f>"EST. 0010"</f>
        <v>EST. 0010</v>
      </c>
      <c r="I301" t="str">
        <f>"DAVID TRAVIESO"</f>
        <v>DAVID TRAVIESO</v>
      </c>
    </row>
    <row r="302" spans="1:9" x14ac:dyDescent="0.25">
      <c r="A302" s="6">
        <v>44495</v>
      </c>
      <c r="B302" t="s">
        <v>26</v>
      </c>
      <c r="C302">
        <v>67905</v>
      </c>
      <c r="D302" t="s">
        <v>431</v>
      </c>
      <c r="E302" s="7">
        <v>159.99</v>
      </c>
      <c r="F302" s="9" t="s">
        <v>20</v>
      </c>
      <c r="G302" t="s">
        <v>21</v>
      </c>
      <c r="H302" t="str">
        <f>"BOOT ALLOWANCE"</f>
        <v>BOOT ALLOWANCE</v>
      </c>
      <c r="I302" t="str">
        <f>"ANDRES IBARRA"</f>
        <v>ANDRES IBARRA</v>
      </c>
    </row>
    <row r="303" spans="1:9" x14ac:dyDescent="0.25">
      <c r="A303" s="6">
        <v>44495</v>
      </c>
      <c r="B303" t="s">
        <v>26</v>
      </c>
      <c r="C303">
        <v>67906</v>
      </c>
      <c r="D303" t="s">
        <v>878</v>
      </c>
      <c r="E303" s="7">
        <v>817.3</v>
      </c>
      <c r="F303" s="9" t="s">
        <v>20</v>
      </c>
      <c r="G303" t="s">
        <v>21</v>
      </c>
      <c r="H303" t="str">
        <f>"96346"</f>
        <v>96346</v>
      </c>
      <c r="I303" t="str">
        <f>"ANIMAL CONTROL SUPPLIES"</f>
        <v>ANIMAL CONTROL SUPPLIES</v>
      </c>
    </row>
    <row r="304" spans="1:9" x14ac:dyDescent="0.25">
      <c r="A304" s="6">
        <v>44495</v>
      </c>
      <c r="B304" t="s">
        <v>26</v>
      </c>
      <c r="C304">
        <v>67907</v>
      </c>
      <c r="D304" t="s">
        <v>115</v>
      </c>
      <c r="E304" s="7">
        <v>196.98</v>
      </c>
      <c r="F304" s="9" t="s">
        <v>20</v>
      </c>
      <c r="G304" t="s">
        <v>21</v>
      </c>
      <c r="H304" t="str">
        <f>"3547112758"</f>
        <v>3547112758</v>
      </c>
      <c r="I304" t="str">
        <f>"DURALAST IGNITION"</f>
        <v>DURALAST IGNITION</v>
      </c>
    </row>
    <row r="305" spans="1:9" x14ac:dyDescent="0.25">
      <c r="F305" s="9" t="s">
        <v>20</v>
      </c>
      <c r="G305" t="s">
        <v>21</v>
      </c>
      <c r="H305" t="str">
        <f>"3547117626"</f>
        <v>3547117626</v>
      </c>
      <c r="I305" t="str">
        <f>"BATTERY FOR DURAPATCHER"</f>
        <v>BATTERY FOR DURAPATCHER</v>
      </c>
    </row>
    <row r="306" spans="1:9" x14ac:dyDescent="0.25">
      <c r="A306" s="6">
        <v>44495</v>
      </c>
      <c r="B306" t="s">
        <v>26</v>
      </c>
      <c r="C306">
        <v>67908</v>
      </c>
      <c r="D306" t="s">
        <v>836</v>
      </c>
      <c r="E306" s="7">
        <v>519.15</v>
      </c>
      <c r="F306" s="9" t="s">
        <v>20</v>
      </c>
      <c r="G306" t="s">
        <v>21</v>
      </c>
      <c r="H306" t="str">
        <f>"79341"</f>
        <v>79341</v>
      </c>
      <c r="I306" t="str">
        <f>"BARCOM TECHNOLOGY SOLUTIONS  I"</f>
        <v>BARCOM TECHNOLOGY SOLUTIONS  I</v>
      </c>
    </row>
    <row r="307" spans="1:9" x14ac:dyDescent="0.25">
      <c r="A307" s="6">
        <v>44495</v>
      </c>
      <c r="B307" t="s">
        <v>26</v>
      </c>
      <c r="C307">
        <v>67909</v>
      </c>
      <c r="D307" t="s">
        <v>908</v>
      </c>
      <c r="E307" s="7">
        <v>3022.5</v>
      </c>
      <c r="F307" s="9" t="s">
        <v>20</v>
      </c>
      <c r="G307" t="s">
        <v>21</v>
      </c>
      <c r="H307" t="str">
        <f>"5272792"</f>
        <v>5272792</v>
      </c>
      <c r="I307" t="str">
        <f>"EQUIPMENT AND SERVICES"</f>
        <v>EQUIPMENT AND SERVICES</v>
      </c>
    </row>
    <row r="308" spans="1:9" x14ac:dyDescent="0.25">
      <c r="A308" s="6">
        <v>44495</v>
      </c>
      <c r="B308" t="s">
        <v>26</v>
      </c>
      <c r="C308">
        <v>67910</v>
      </c>
      <c r="D308" t="s">
        <v>168</v>
      </c>
      <c r="E308" s="7">
        <v>396</v>
      </c>
      <c r="F308" s="9" t="s">
        <v>20</v>
      </c>
      <c r="G308" t="s">
        <v>21</v>
      </c>
      <c r="H308" t="str">
        <f>"LI-7897"</f>
        <v>LI-7897</v>
      </c>
      <c r="I308" t="str">
        <f t="shared" ref="I308:I313" si="4">"BEXAR COUNTY AUDITOR/ATTN:CRIM"</f>
        <v>BEXAR COUNTY AUDITOR/ATTN:CRIM</v>
      </c>
    </row>
    <row r="309" spans="1:9" x14ac:dyDescent="0.25">
      <c r="F309" s="9" t="s">
        <v>20</v>
      </c>
      <c r="G309" t="s">
        <v>21</v>
      </c>
      <c r="H309" t="str">
        <f>"LI-7898"</f>
        <v>LI-7898</v>
      </c>
      <c r="I309" t="str">
        <f t="shared" si="4"/>
        <v>BEXAR COUNTY AUDITOR/ATTN:CRIM</v>
      </c>
    </row>
    <row r="310" spans="1:9" x14ac:dyDescent="0.25">
      <c r="F310" s="9" t="s">
        <v>20</v>
      </c>
      <c r="G310" t="s">
        <v>21</v>
      </c>
      <c r="H310" t="str">
        <f>"LI-7899"</f>
        <v>LI-7899</v>
      </c>
      <c r="I310" t="str">
        <f t="shared" si="4"/>
        <v>BEXAR COUNTY AUDITOR/ATTN:CRIM</v>
      </c>
    </row>
    <row r="311" spans="1:9" x14ac:dyDescent="0.25">
      <c r="F311" s="9" t="s">
        <v>20</v>
      </c>
      <c r="G311" t="s">
        <v>21</v>
      </c>
      <c r="H311" t="str">
        <f>"LI-7900"</f>
        <v>LI-7900</v>
      </c>
      <c r="I311" t="str">
        <f t="shared" si="4"/>
        <v>BEXAR COUNTY AUDITOR/ATTN:CRIM</v>
      </c>
    </row>
    <row r="312" spans="1:9" x14ac:dyDescent="0.25">
      <c r="F312" s="9" t="s">
        <v>20</v>
      </c>
      <c r="G312" t="s">
        <v>21</v>
      </c>
      <c r="H312" t="str">
        <f>"LI-7902"</f>
        <v>LI-7902</v>
      </c>
      <c r="I312" t="str">
        <f t="shared" si="4"/>
        <v>BEXAR COUNTY AUDITOR/ATTN:CRIM</v>
      </c>
    </row>
    <row r="313" spans="1:9" x14ac:dyDescent="0.25">
      <c r="F313" s="9" t="s">
        <v>20</v>
      </c>
      <c r="G313" t="s">
        <v>21</v>
      </c>
      <c r="H313" t="str">
        <f>"LI-7903"</f>
        <v>LI-7903</v>
      </c>
      <c r="I313" t="str">
        <f t="shared" si="4"/>
        <v>BEXAR COUNTY AUDITOR/ATTN:CRIM</v>
      </c>
    </row>
    <row r="314" spans="1:9" x14ac:dyDescent="0.25">
      <c r="A314" s="6">
        <v>44495</v>
      </c>
      <c r="B314" t="s">
        <v>26</v>
      </c>
      <c r="C314">
        <v>67911</v>
      </c>
      <c r="D314" t="s">
        <v>118</v>
      </c>
      <c r="E314" s="7">
        <v>808</v>
      </c>
      <c r="F314" s="9" t="s">
        <v>20</v>
      </c>
      <c r="G314" t="s">
        <v>21</v>
      </c>
      <c r="H314" t="str">
        <f>"12598"</f>
        <v>12598</v>
      </c>
      <c r="I314" t="str">
        <f>"BRYAN AIR CONDITIONING &amp; HEATI"</f>
        <v>BRYAN AIR CONDITIONING &amp; HEATI</v>
      </c>
    </row>
    <row r="315" spans="1:9" x14ac:dyDescent="0.25">
      <c r="A315" s="6">
        <v>44495</v>
      </c>
      <c r="B315" t="s">
        <v>26</v>
      </c>
      <c r="C315">
        <v>67912</v>
      </c>
      <c r="D315" t="s">
        <v>63</v>
      </c>
      <c r="E315" s="7">
        <v>870.4</v>
      </c>
      <c r="F315" s="9" t="s">
        <v>20</v>
      </c>
      <c r="G315" t="s">
        <v>21</v>
      </c>
      <c r="H315" t="str">
        <f>"8405343125"</f>
        <v>8405343125</v>
      </c>
      <c r="I315" t="str">
        <f>"CINTAS CORPORATION"</f>
        <v>CINTAS CORPORATION</v>
      </c>
    </row>
    <row r="316" spans="1:9" x14ac:dyDescent="0.25">
      <c r="F316" s="9" t="s">
        <v>20</v>
      </c>
      <c r="G316" t="s">
        <v>21</v>
      </c>
      <c r="H316" t="str">
        <f>"8405343126"</f>
        <v>8405343126</v>
      </c>
      <c r="I316" t="str">
        <f>"CINTAS CORPORATION"</f>
        <v>CINTAS CORPORATION</v>
      </c>
    </row>
    <row r="317" spans="1:9" x14ac:dyDescent="0.25">
      <c r="A317" s="6">
        <v>44495</v>
      </c>
      <c r="B317" t="s">
        <v>26</v>
      </c>
      <c r="C317">
        <v>67913</v>
      </c>
      <c r="D317" t="s">
        <v>71</v>
      </c>
      <c r="E317" s="7">
        <v>2492.9899999999998</v>
      </c>
      <c r="F317" s="9" t="s">
        <v>20</v>
      </c>
      <c r="G317" t="s">
        <v>21</v>
      </c>
      <c r="H317" t="str">
        <f>"4097699223"</f>
        <v>4097699223</v>
      </c>
      <c r="I317" t="str">
        <f t="shared" ref="I317:I329" si="5">"CINTAS CORPORATION #087"</f>
        <v>CINTAS CORPORATION #087</v>
      </c>
    </row>
    <row r="318" spans="1:9" x14ac:dyDescent="0.25">
      <c r="F318" s="9" t="s">
        <v>20</v>
      </c>
      <c r="G318" t="s">
        <v>21</v>
      </c>
      <c r="H318" t="str">
        <f>"4098381942"</f>
        <v>4098381942</v>
      </c>
      <c r="I318" t="str">
        <f t="shared" si="5"/>
        <v>CINTAS CORPORATION #087</v>
      </c>
    </row>
    <row r="319" spans="1:9" x14ac:dyDescent="0.25">
      <c r="F319" s="9" t="s">
        <v>20</v>
      </c>
      <c r="G319" t="s">
        <v>21</v>
      </c>
      <c r="H319" t="str">
        <f>"4098388960"</f>
        <v>4098388960</v>
      </c>
      <c r="I319" t="str">
        <f t="shared" si="5"/>
        <v>CINTAS CORPORATION #087</v>
      </c>
    </row>
    <row r="320" spans="1:9" x14ac:dyDescent="0.25">
      <c r="F320" s="9" t="s">
        <v>20</v>
      </c>
      <c r="G320" t="s">
        <v>21</v>
      </c>
      <c r="H320" t="str">
        <f>"4098388991"</f>
        <v>4098388991</v>
      </c>
      <c r="I320" t="str">
        <f t="shared" si="5"/>
        <v>CINTAS CORPORATION #087</v>
      </c>
    </row>
    <row r="321" spans="1:9" x14ac:dyDescent="0.25">
      <c r="F321" s="9" t="s">
        <v>20</v>
      </c>
      <c r="G321" t="s">
        <v>21</v>
      </c>
      <c r="H321" t="str">
        <f>"4098389095"</f>
        <v>4098389095</v>
      </c>
      <c r="I321" t="str">
        <f t="shared" si="5"/>
        <v>CINTAS CORPORATION #087</v>
      </c>
    </row>
    <row r="322" spans="1:9" x14ac:dyDescent="0.25">
      <c r="F322" s="9" t="s">
        <v>20</v>
      </c>
      <c r="G322" t="s">
        <v>21</v>
      </c>
      <c r="H322" t="str">
        <f>"4098389124"</f>
        <v>4098389124</v>
      </c>
      <c r="I322" t="str">
        <f t="shared" si="5"/>
        <v>CINTAS CORPORATION #087</v>
      </c>
    </row>
    <row r="323" spans="1:9" x14ac:dyDescent="0.25">
      <c r="F323" s="9" t="s">
        <v>20</v>
      </c>
      <c r="G323" t="s">
        <v>21</v>
      </c>
      <c r="H323" t="str">
        <f>"4098389133"</f>
        <v>4098389133</v>
      </c>
      <c r="I323" t="str">
        <f t="shared" si="5"/>
        <v>CINTAS CORPORATION #087</v>
      </c>
    </row>
    <row r="324" spans="1:9" x14ac:dyDescent="0.25">
      <c r="F324" s="9" t="s">
        <v>20</v>
      </c>
      <c r="G324" t="s">
        <v>21</v>
      </c>
      <c r="H324" t="str">
        <f>"4098970741"</f>
        <v>4098970741</v>
      </c>
      <c r="I324" t="str">
        <f t="shared" si="5"/>
        <v>CINTAS CORPORATION #087</v>
      </c>
    </row>
    <row r="325" spans="1:9" x14ac:dyDescent="0.25">
      <c r="F325" s="9" t="s">
        <v>20</v>
      </c>
      <c r="G325" t="s">
        <v>21</v>
      </c>
      <c r="H325" t="str">
        <f>"4098970748"</f>
        <v>4098970748</v>
      </c>
      <c r="I325" t="str">
        <f t="shared" si="5"/>
        <v>CINTAS CORPORATION #087</v>
      </c>
    </row>
    <row r="326" spans="1:9" x14ac:dyDescent="0.25">
      <c r="F326" s="9" t="s">
        <v>20</v>
      </c>
      <c r="G326" t="s">
        <v>21</v>
      </c>
      <c r="H326" t="str">
        <f>"4098970763"</f>
        <v>4098970763</v>
      </c>
      <c r="I326" t="str">
        <f t="shared" si="5"/>
        <v>CINTAS CORPORATION #087</v>
      </c>
    </row>
    <row r="327" spans="1:9" x14ac:dyDescent="0.25">
      <c r="F327" s="9" t="s">
        <v>20</v>
      </c>
      <c r="G327" t="s">
        <v>21</v>
      </c>
      <c r="H327" t="str">
        <f>"4098970778"</f>
        <v>4098970778</v>
      </c>
      <c r="I327" t="str">
        <f t="shared" si="5"/>
        <v>CINTAS CORPORATION #087</v>
      </c>
    </row>
    <row r="328" spans="1:9" x14ac:dyDescent="0.25">
      <c r="F328" s="9" t="s">
        <v>20</v>
      </c>
      <c r="G328" t="s">
        <v>21</v>
      </c>
      <c r="H328" t="str">
        <f>"4098970780"</f>
        <v>4098970780</v>
      </c>
      <c r="I328" t="str">
        <f t="shared" si="5"/>
        <v>CINTAS CORPORATION #087</v>
      </c>
    </row>
    <row r="329" spans="1:9" x14ac:dyDescent="0.25">
      <c r="F329" s="9" t="s">
        <v>20</v>
      </c>
      <c r="G329" t="s">
        <v>21</v>
      </c>
      <c r="H329" t="str">
        <f>"4098970848"</f>
        <v>4098970848</v>
      </c>
      <c r="I329" t="str">
        <f t="shared" si="5"/>
        <v>CINTAS CORPORATION #087</v>
      </c>
    </row>
    <row r="330" spans="1:9" x14ac:dyDescent="0.25">
      <c r="A330" s="6">
        <v>44495</v>
      </c>
      <c r="B330" t="s">
        <v>26</v>
      </c>
      <c r="C330">
        <v>67917</v>
      </c>
      <c r="D330" t="s">
        <v>647</v>
      </c>
      <c r="E330" s="7">
        <v>3483.81</v>
      </c>
      <c r="F330" s="9" t="s">
        <v>20</v>
      </c>
      <c r="G330" t="s">
        <v>21</v>
      </c>
      <c r="H330" t="str">
        <f>"30245968"</f>
        <v>30245968</v>
      </c>
      <c r="I330" t="str">
        <f>"DOCUMATION  INC."</f>
        <v>DOCUMATION  INC.</v>
      </c>
    </row>
    <row r="331" spans="1:9" x14ac:dyDescent="0.25">
      <c r="A331" s="6">
        <v>44495</v>
      </c>
      <c r="B331" t="s">
        <v>26</v>
      </c>
      <c r="C331">
        <v>67918</v>
      </c>
      <c r="D331" t="s">
        <v>77</v>
      </c>
      <c r="E331" s="7">
        <v>320</v>
      </c>
      <c r="F331" s="9" t="s">
        <v>20</v>
      </c>
      <c r="G331" t="s">
        <v>21</v>
      </c>
      <c r="H331" t="str">
        <f>"DE85002214-21"</f>
        <v>DE85002214-21</v>
      </c>
      <c r="I331" t="str">
        <f>"DPC INDUSTRIES  INC."</f>
        <v>DPC INDUSTRIES  INC.</v>
      </c>
    </row>
    <row r="332" spans="1:9" x14ac:dyDescent="0.25">
      <c r="A332" s="6">
        <v>44495</v>
      </c>
      <c r="B332" t="s">
        <v>26</v>
      </c>
      <c r="C332">
        <v>67919</v>
      </c>
      <c r="D332" t="s">
        <v>143</v>
      </c>
      <c r="E332" s="7">
        <v>479.57</v>
      </c>
      <c r="F332" s="9" t="s">
        <v>20</v>
      </c>
      <c r="G332" t="s">
        <v>21</v>
      </c>
      <c r="H332" t="str">
        <f>"9402584902"</f>
        <v>9402584902</v>
      </c>
      <c r="I332" t="str">
        <f>"200 GAL OF OIL"</f>
        <v>200 GAL OF OIL</v>
      </c>
    </row>
    <row r="333" spans="1:9" x14ac:dyDescent="0.25">
      <c r="A333" s="6">
        <v>44495</v>
      </c>
      <c r="B333" t="s">
        <v>26</v>
      </c>
      <c r="C333">
        <v>67920</v>
      </c>
      <c r="D333" t="s">
        <v>79</v>
      </c>
      <c r="E333" s="7">
        <v>35.020000000000003</v>
      </c>
      <c r="F333" s="9" t="s">
        <v>20</v>
      </c>
      <c r="G333" t="s">
        <v>21</v>
      </c>
      <c r="H333" t="str">
        <f>"7-532-05207"</f>
        <v>7-532-05207</v>
      </c>
      <c r="I333" t="str">
        <f>"FEDEX"</f>
        <v>FEDEX</v>
      </c>
    </row>
    <row r="334" spans="1:9" x14ac:dyDescent="0.25">
      <c r="A334" s="6">
        <v>44495</v>
      </c>
      <c r="B334" t="s">
        <v>26</v>
      </c>
      <c r="C334">
        <v>67921</v>
      </c>
      <c r="D334" t="s">
        <v>59</v>
      </c>
      <c r="E334" s="7">
        <v>8108.06</v>
      </c>
      <c r="F334" s="9" t="s">
        <v>20</v>
      </c>
      <c r="G334" t="s">
        <v>21</v>
      </c>
      <c r="H334" t="str">
        <f>"1142226"</f>
        <v>1142226</v>
      </c>
      <c r="I334" t="str">
        <f>"MISC STOCK FOR WATER DEPT"</f>
        <v>MISC STOCK FOR WATER DEPT</v>
      </c>
    </row>
    <row r="335" spans="1:9" x14ac:dyDescent="0.25">
      <c r="F335" s="9" t="s">
        <v>20</v>
      </c>
      <c r="G335" t="s">
        <v>21</v>
      </c>
      <c r="H335" t="str">
        <f>"1142341"</f>
        <v>1142341</v>
      </c>
      <c r="I335" t="str">
        <f>"MAIN WATER BREAK"</f>
        <v>MAIN WATER BREAK</v>
      </c>
    </row>
    <row r="336" spans="1:9" x14ac:dyDescent="0.25">
      <c r="A336" s="6">
        <v>44495</v>
      </c>
      <c r="B336" t="s">
        <v>26</v>
      </c>
      <c r="C336">
        <v>67922</v>
      </c>
      <c r="D336" t="s">
        <v>85</v>
      </c>
      <c r="E336" s="7">
        <v>1201.79</v>
      </c>
      <c r="F336" s="9" t="s">
        <v>20</v>
      </c>
      <c r="G336" t="s">
        <v>21</v>
      </c>
      <c r="H336" t="str">
        <f>"2162733 OCT.2021"</f>
        <v>2162733 OCT.2021</v>
      </c>
      <c r="I336" t="str">
        <f t="shared" ref="I336:I345" si="6">"FRONTIER"</f>
        <v>FRONTIER</v>
      </c>
    </row>
    <row r="337" spans="1:9" x14ac:dyDescent="0.25">
      <c r="F337" s="9" t="s">
        <v>20</v>
      </c>
      <c r="G337" t="s">
        <v>21</v>
      </c>
      <c r="H337" t="str">
        <f>"2162755 OCT.2021"</f>
        <v>2162755 OCT.2021</v>
      </c>
      <c r="I337" t="str">
        <f t="shared" si="6"/>
        <v>FRONTIER</v>
      </c>
    </row>
    <row r="338" spans="1:9" x14ac:dyDescent="0.25">
      <c r="F338" s="9" t="s">
        <v>20</v>
      </c>
      <c r="G338" t="s">
        <v>21</v>
      </c>
      <c r="H338" t="str">
        <f>"3932056 OCT.2021"</f>
        <v>3932056 OCT.2021</v>
      </c>
      <c r="I338" t="str">
        <f t="shared" si="6"/>
        <v>FRONTIER</v>
      </c>
    </row>
    <row r="339" spans="1:9" x14ac:dyDescent="0.25">
      <c r="F339" s="9" t="s">
        <v>20</v>
      </c>
      <c r="G339" t="s">
        <v>21</v>
      </c>
      <c r="H339" t="str">
        <f>"3932804 OCT.2021"</f>
        <v>3932804 OCT.2021</v>
      </c>
      <c r="I339" t="str">
        <f t="shared" si="6"/>
        <v>FRONTIER</v>
      </c>
    </row>
    <row r="340" spans="1:9" x14ac:dyDescent="0.25">
      <c r="F340" s="9" t="s">
        <v>20</v>
      </c>
      <c r="G340" t="s">
        <v>21</v>
      </c>
      <c r="H340" t="str">
        <f>"3933105 OCT.2021"</f>
        <v>3933105 OCT.2021</v>
      </c>
      <c r="I340" t="str">
        <f t="shared" si="6"/>
        <v>FRONTIER</v>
      </c>
    </row>
    <row r="341" spans="1:9" x14ac:dyDescent="0.25">
      <c r="F341" s="9" t="s">
        <v>20</v>
      </c>
      <c r="G341" t="s">
        <v>21</v>
      </c>
      <c r="H341" t="str">
        <f>"3933186 OCT2021"</f>
        <v>3933186 OCT2021</v>
      </c>
      <c r="I341" t="str">
        <f t="shared" si="6"/>
        <v>FRONTIER</v>
      </c>
    </row>
    <row r="342" spans="1:9" x14ac:dyDescent="0.25">
      <c r="F342" s="9" t="s">
        <v>20</v>
      </c>
      <c r="G342" t="s">
        <v>21</v>
      </c>
      <c r="H342" t="str">
        <f>"3936616 OCT.2021"</f>
        <v>3936616 OCT.2021</v>
      </c>
      <c r="I342" t="str">
        <f t="shared" si="6"/>
        <v>FRONTIER</v>
      </c>
    </row>
    <row r="343" spans="1:9" x14ac:dyDescent="0.25">
      <c r="F343" s="9" t="s">
        <v>20</v>
      </c>
      <c r="G343" t="s">
        <v>21</v>
      </c>
      <c r="H343" t="str">
        <f>"3936794 OCT.2021"</f>
        <v>3936794 OCT.2021</v>
      </c>
      <c r="I343" t="str">
        <f t="shared" si="6"/>
        <v>FRONTIER</v>
      </c>
    </row>
    <row r="344" spans="1:9" x14ac:dyDescent="0.25">
      <c r="F344" s="9" t="s">
        <v>20</v>
      </c>
      <c r="G344" t="s">
        <v>21</v>
      </c>
      <c r="H344" t="str">
        <f>"3938193 OCT.2021"</f>
        <v>3938193 OCT.2021</v>
      </c>
      <c r="I344" t="str">
        <f t="shared" si="6"/>
        <v>FRONTIER</v>
      </c>
    </row>
    <row r="345" spans="1:9" x14ac:dyDescent="0.25">
      <c r="F345" s="9" t="s">
        <v>20</v>
      </c>
      <c r="G345" t="s">
        <v>21</v>
      </c>
      <c r="H345" t="str">
        <f>"3939456 OCT.2021"</f>
        <v>3939456 OCT.2021</v>
      </c>
      <c r="I345" t="str">
        <f t="shared" si="6"/>
        <v>FRONTIER</v>
      </c>
    </row>
    <row r="346" spans="1:9" x14ac:dyDescent="0.25">
      <c r="A346" s="6">
        <v>44495</v>
      </c>
      <c r="B346" t="s">
        <v>26</v>
      </c>
      <c r="C346">
        <v>67924</v>
      </c>
      <c r="D346" t="s">
        <v>194</v>
      </c>
      <c r="E346" s="7">
        <v>53.55</v>
      </c>
      <c r="F346" s="9" t="s">
        <v>20</v>
      </c>
      <c r="G346" t="s">
        <v>21</v>
      </c>
      <c r="H346" t="str">
        <f>"019272295"</f>
        <v>019272295</v>
      </c>
      <c r="I346" t="str">
        <f>"GALLS  LLC-D.B.A. STERLING'S U"</f>
        <v>GALLS  LLC-D.B.A. STERLING'S U</v>
      </c>
    </row>
    <row r="347" spans="1:9" x14ac:dyDescent="0.25">
      <c r="A347" s="6">
        <v>44495</v>
      </c>
      <c r="B347" t="s">
        <v>26</v>
      </c>
      <c r="C347">
        <v>67925</v>
      </c>
      <c r="D347" t="s">
        <v>432</v>
      </c>
      <c r="E347" s="7">
        <v>159.99</v>
      </c>
      <c r="F347" s="9" t="s">
        <v>20</v>
      </c>
      <c r="G347" t="s">
        <v>21</v>
      </c>
      <c r="H347" t="str">
        <f>"BOOT ALLOWANCE"</f>
        <v>BOOT ALLOWANCE</v>
      </c>
      <c r="I347" t="str">
        <f>"GERARDO MARTINEZ"</f>
        <v>GERARDO MARTINEZ</v>
      </c>
    </row>
    <row r="348" spans="1:9" x14ac:dyDescent="0.25">
      <c r="A348" s="6">
        <v>44495</v>
      </c>
      <c r="B348" t="s">
        <v>26</v>
      </c>
      <c r="C348">
        <v>67926</v>
      </c>
      <c r="D348" t="s">
        <v>281</v>
      </c>
      <c r="E348" s="7">
        <v>1576.2</v>
      </c>
      <c r="F348" s="9" t="s">
        <v>20</v>
      </c>
      <c r="G348" t="s">
        <v>21</v>
      </c>
      <c r="H348" t="str">
        <f>"33476"</f>
        <v>33476</v>
      </c>
      <c r="I348" t="str">
        <f>"PD UNIT 327"</f>
        <v>PD UNIT 327</v>
      </c>
    </row>
    <row r="349" spans="1:9" x14ac:dyDescent="0.25">
      <c r="A349" s="6">
        <v>44495</v>
      </c>
      <c r="B349" t="s">
        <v>26</v>
      </c>
      <c r="C349">
        <v>67927</v>
      </c>
      <c r="D349" t="s">
        <v>927</v>
      </c>
      <c r="E349" s="7">
        <v>1370.37</v>
      </c>
      <c r="F349" s="9" t="s">
        <v>20</v>
      </c>
      <c r="G349" t="s">
        <v>21</v>
      </c>
      <c r="H349" t="str">
        <f>"0000001 CITY"</f>
        <v>0000001 CITY</v>
      </c>
      <c r="I349" t="str">
        <f>"JOELZ LAWN MOWING SERVICE"</f>
        <v>JOELZ LAWN MOWING SERVICE</v>
      </c>
    </row>
    <row r="350" spans="1:9" x14ac:dyDescent="0.25">
      <c r="A350" s="6">
        <v>44495</v>
      </c>
      <c r="B350" t="s">
        <v>26</v>
      </c>
      <c r="C350">
        <v>67928</v>
      </c>
      <c r="D350" t="s">
        <v>109</v>
      </c>
      <c r="E350" s="7">
        <v>1470.84</v>
      </c>
      <c r="F350" s="9" t="s">
        <v>20</v>
      </c>
      <c r="G350" t="s">
        <v>21</v>
      </c>
      <c r="H350" t="str">
        <f>"322765"</f>
        <v>322765</v>
      </c>
      <c r="I350" t="str">
        <f>"RENEWAL"</f>
        <v>RENEWAL</v>
      </c>
    </row>
    <row r="351" spans="1:9" x14ac:dyDescent="0.25">
      <c r="A351" s="6">
        <v>44495</v>
      </c>
      <c r="B351" t="s">
        <v>26</v>
      </c>
      <c r="C351">
        <v>67929</v>
      </c>
      <c r="D351" t="s">
        <v>1032</v>
      </c>
      <c r="E351" s="7">
        <v>4200</v>
      </c>
      <c r="F351" s="9" t="s">
        <v>20</v>
      </c>
      <c r="G351" t="s">
        <v>21</v>
      </c>
      <c r="H351" t="str">
        <f>"9-21-17732"</f>
        <v>9-21-17732</v>
      </c>
      <c r="I351" t="str">
        <f>"LEAL &amp; CARTER  P.C."</f>
        <v>LEAL &amp; CARTER  P.C.</v>
      </c>
    </row>
    <row r="352" spans="1:9" x14ac:dyDescent="0.25">
      <c r="A352" s="6">
        <v>44495</v>
      </c>
      <c r="B352" t="s">
        <v>26</v>
      </c>
      <c r="C352">
        <v>67930</v>
      </c>
      <c r="D352" t="s">
        <v>117</v>
      </c>
      <c r="E352" s="7">
        <v>1045.01</v>
      </c>
      <c r="F352" s="9" t="s">
        <v>20</v>
      </c>
      <c r="G352" t="s">
        <v>21</v>
      </c>
      <c r="H352" t="str">
        <f>"SEPTEMBER 2021"</f>
        <v>SEPTEMBER 2021</v>
      </c>
      <c r="I352" t="str">
        <f>"LINEBARGER GOGGAN BLAIR &amp; SAMP"</f>
        <v>LINEBARGER GOGGAN BLAIR &amp; SAMP</v>
      </c>
    </row>
    <row r="353" spans="1:9" x14ac:dyDescent="0.25">
      <c r="A353" s="6">
        <v>44495</v>
      </c>
      <c r="B353" t="s">
        <v>26</v>
      </c>
      <c r="C353">
        <v>67931</v>
      </c>
      <c r="D353" t="s">
        <v>105</v>
      </c>
      <c r="E353" s="7">
        <v>14</v>
      </c>
      <c r="F353" s="9" t="s">
        <v>20</v>
      </c>
      <c r="G353" t="s">
        <v>21</v>
      </c>
      <c r="H353" t="str">
        <f>"401347"</f>
        <v>401347</v>
      </c>
      <c r="I353" t="str">
        <f>"LUBE WORKS"</f>
        <v>LUBE WORKS</v>
      </c>
    </row>
    <row r="354" spans="1:9" x14ac:dyDescent="0.25">
      <c r="F354" s="9" t="s">
        <v>20</v>
      </c>
      <c r="G354" t="s">
        <v>21</v>
      </c>
      <c r="H354" t="str">
        <f>"401359"</f>
        <v>401359</v>
      </c>
      <c r="I354" t="str">
        <f>"LUBE WORKS"</f>
        <v>LUBE WORKS</v>
      </c>
    </row>
    <row r="355" spans="1:9" x14ac:dyDescent="0.25">
      <c r="A355" s="6">
        <v>44495</v>
      </c>
      <c r="B355" t="s">
        <v>26</v>
      </c>
      <c r="C355">
        <v>67932</v>
      </c>
      <c r="D355" t="s">
        <v>124</v>
      </c>
      <c r="E355" s="7">
        <v>50.03</v>
      </c>
      <c r="F355" s="9" t="s">
        <v>20</v>
      </c>
      <c r="G355" t="s">
        <v>21</v>
      </c>
      <c r="H355" t="str">
        <f>"11111646"</f>
        <v>11111646</v>
      </c>
      <c r="I355" t="str">
        <f>"MCCOY'S CORPORATION"</f>
        <v>MCCOY'S CORPORATION</v>
      </c>
    </row>
    <row r="356" spans="1:9" x14ac:dyDescent="0.25">
      <c r="F356" s="9" t="s">
        <v>20</v>
      </c>
      <c r="G356" t="s">
        <v>21</v>
      </c>
      <c r="H356" t="str">
        <f>"11112163"</f>
        <v>11112163</v>
      </c>
      <c r="I356" t="str">
        <f>"GRINDING WHEELS"</f>
        <v>GRINDING WHEELS</v>
      </c>
    </row>
    <row r="357" spans="1:9" x14ac:dyDescent="0.25">
      <c r="A357" s="6">
        <v>44495</v>
      </c>
      <c r="B357" t="s">
        <v>26</v>
      </c>
      <c r="C357">
        <v>67933</v>
      </c>
      <c r="D357" t="s">
        <v>123</v>
      </c>
      <c r="E357" s="7">
        <v>121.38</v>
      </c>
      <c r="F357" s="9" t="s">
        <v>20</v>
      </c>
      <c r="G357" t="s">
        <v>21</v>
      </c>
      <c r="H357" t="str">
        <f>"202497298001"</f>
        <v>202497298001</v>
      </c>
      <c r="I357" t="str">
        <f>"OFFICE SUPPLIES"</f>
        <v>OFFICE SUPPLIES</v>
      </c>
    </row>
    <row r="358" spans="1:9" x14ac:dyDescent="0.25">
      <c r="F358" s="9" t="s">
        <v>20</v>
      </c>
      <c r="G358" t="s">
        <v>21</v>
      </c>
      <c r="H358" t="str">
        <f>"202497932001"</f>
        <v>202497932001</v>
      </c>
      <c r="I358" t="str">
        <f>"OFFICE SUPPLIES"</f>
        <v>OFFICE SUPPLIES</v>
      </c>
    </row>
    <row r="359" spans="1:9" x14ac:dyDescent="0.25">
      <c r="A359" s="6">
        <v>44495</v>
      </c>
      <c r="B359" t="s">
        <v>26</v>
      </c>
      <c r="C359">
        <v>67934</v>
      </c>
      <c r="D359" t="s">
        <v>137</v>
      </c>
      <c r="E359" s="7">
        <v>121.9</v>
      </c>
      <c r="F359" s="9" t="s">
        <v>20</v>
      </c>
      <c r="G359" t="s">
        <v>21</v>
      </c>
      <c r="H359" t="str">
        <f>"29754"</f>
        <v>29754</v>
      </c>
      <c r="I359" t="str">
        <f>"OMNIBUS-M  INC.D.B.A."</f>
        <v>OMNIBUS-M  INC.D.B.A.</v>
      </c>
    </row>
    <row r="360" spans="1:9" x14ac:dyDescent="0.25">
      <c r="F360" s="9" t="s">
        <v>20</v>
      </c>
      <c r="G360" t="s">
        <v>21</v>
      </c>
      <c r="H360" t="str">
        <f>"29755"</f>
        <v>29755</v>
      </c>
      <c r="I360" t="str">
        <f>"OMNIBUS-M  INC.D.B.A."</f>
        <v>OMNIBUS-M  INC.D.B.A.</v>
      </c>
    </row>
    <row r="361" spans="1:9" x14ac:dyDescent="0.25">
      <c r="A361" s="6">
        <v>44495</v>
      </c>
      <c r="B361" t="s">
        <v>26</v>
      </c>
      <c r="C361">
        <v>67935</v>
      </c>
      <c r="D361" t="s">
        <v>166</v>
      </c>
      <c r="E361" s="7">
        <v>601</v>
      </c>
      <c r="F361" s="9" t="s">
        <v>20</v>
      </c>
      <c r="G361" t="s">
        <v>21</v>
      </c>
      <c r="H361" t="str">
        <f>"9567 10312021"</f>
        <v>9567 10312021</v>
      </c>
      <c r="I361" t="str">
        <f>"PITNEY BOWES PURCHASE POWER"</f>
        <v>PITNEY BOWES PURCHASE POWER</v>
      </c>
    </row>
    <row r="362" spans="1:9" x14ac:dyDescent="0.25">
      <c r="A362" s="6">
        <v>44495</v>
      </c>
      <c r="B362" t="s">
        <v>26</v>
      </c>
      <c r="C362">
        <v>67936</v>
      </c>
      <c r="D362" t="s">
        <v>169</v>
      </c>
      <c r="E362" s="7">
        <v>17.579999999999998</v>
      </c>
      <c r="F362" s="9" t="s">
        <v>20</v>
      </c>
      <c r="G362" t="s">
        <v>21</v>
      </c>
      <c r="H362" t="str">
        <f>"153231"</f>
        <v>153231</v>
      </c>
      <c r="I362" t="str">
        <f>"THE POLICE AND SHERIFFS PRESS"</f>
        <v>THE POLICE AND SHERIFFS PRESS</v>
      </c>
    </row>
    <row r="363" spans="1:9" x14ac:dyDescent="0.25">
      <c r="A363" s="6">
        <v>44495</v>
      </c>
      <c r="B363" t="s">
        <v>26</v>
      </c>
      <c r="C363">
        <v>67937</v>
      </c>
      <c r="D363" t="s">
        <v>184</v>
      </c>
      <c r="E363" s="7">
        <v>1080</v>
      </c>
      <c r="F363" s="9" t="s">
        <v>20</v>
      </c>
      <c r="G363" t="s">
        <v>21</v>
      </c>
      <c r="H363" t="str">
        <f>"1064-845"</f>
        <v>1064-845</v>
      </c>
      <c r="I363" t="str">
        <f>"POLLUTION CONTROL SERVICES"</f>
        <v>POLLUTION CONTROL SERVICES</v>
      </c>
    </row>
    <row r="364" spans="1:9" x14ac:dyDescent="0.25">
      <c r="F364" s="9" t="s">
        <v>20</v>
      </c>
      <c r="G364" t="s">
        <v>21</v>
      </c>
      <c r="H364" t="str">
        <f>"1064-846"</f>
        <v>1064-846</v>
      </c>
      <c r="I364" t="str">
        <f>"POLLUTION CONTROL SERVICES"</f>
        <v>POLLUTION CONTROL SERVICES</v>
      </c>
    </row>
    <row r="365" spans="1:9" x14ac:dyDescent="0.25">
      <c r="A365" s="6">
        <v>44495</v>
      </c>
      <c r="B365" t="s">
        <v>26</v>
      </c>
      <c r="C365">
        <v>67938</v>
      </c>
      <c r="D365" t="s">
        <v>204</v>
      </c>
      <c r="E365" s="7">
        <v>315</v>
      </c>
      <c r="F365" s="9" t="s">
        <v>20</v>
      </c>
      <c r="G365" t="s">
        <v>21</v>
      </c>
      <c r="H365" t="str">
        <f>"00  24807"</f>
        <v>00  24807</v>
      </c>
      <c r="I365" t="str">
        <f>"PROCESS CONTROL CALIBRATION"</f>
        <v>PROCESS CONTROL CALIBRATION</v>
      </c>
    </row>
    <row r="366" spans="1:9" x14ac:dyDescent="0.25">
      <c r="A366" s="6">
        <v>44495</v>
      </c>
      <c r="B366" t="s">
        <v>26</v>
      </c>
      <c r="C366">
        <v>67939</v>
      </c>
      <c r="D366" t="s">
        <v>62</v>
      </c>
      <c r="E366" s="7">
        <v>1987.7</v>
      </c>
      <c r="F366" s="9" t="s">
        <v>20</v>
      </c>
      <c r="G366" t="s">
        <v>21</v>
      </c>
      <c r="H366" t="str">
        <f>"M.NEAVES 10/25/21"</f>
        <v>M.NEAVES 10/25/21</v>
      </c>
      <c r="I366" t="str">
        <f>"PROFICIENT BENEFIT SOLUTIONS"</f>
        <v>PROFICIENT BENEFIT SOLUTIONS</v>
      </c>
    </row>
    <row r="367" spans="1:9" x14ac:dyDescent="0.25">
      <c r="A367" s="6">
        <v>44495</v>
      </c>
      <c r="B367" t="s">
        <v>26</v>
      </c>
      <c r="C367">
        <v>67940</v>
      </c>
      <c r="D367" t="s">
        <v>528</v>
      </c>
      <c r="E367" s="7">
        <v>225.07</v>
      </c>
      <c r="F367" s="9" t="s">
        <v>20</v>
      </c>
      <c r="G367" t="s">
        <v>21</v>
      </c>
      <c r="H367" t="str">
        <f>"10678411"</f>
        <v>10678411</v>
      </c>
      <c r="I367" t="str">
        <f>"PROSTAR SERVICES INC"</f>
        <v>PROSTAR SERVICES INC</v>
      </c>
    </row>
    <row r="368" spans="1:9" x14ac:dyDescent="0.25">
      <c r="F368" s="9" t="s">
        <v>20</v>
      </c>
      <c r="G368" t="s">
        <v>21</v>
      </c>
      <c r="H368" t="str">
        <f>"10681022"</f>
        <v>10681022</v>
      </c>
      <c r="I368" t="str">
        <f>"PROSTAR SERVICES INC"</f>
        <v>PROSTAR SERVICES INC</v>
      </c>
    </row>
    <row r="369" spans="1:9" x14ac:dyDescent="0.25">
      <c r="A369" s="6">
        <v>44495</v>
      </c>
      <c r="B369" t="s">
        <v>26</v>
      </c>
      <c r="C369">
        <v>67941</v>
      </c>
      <c r="D369" t="s">
        <v>273</v>
      </c>
      <c r="E369" s="7">
        <v>1094.56</v>
      </c>
      <c r="F369" s="9" t="s">
        <v>20</v>
      </c>
      <c r="G369" t="s">
        <v>21</v>
      </c>
      <c r="H369" t="str">
        <f>"5119-000099191"</f>
        <v>5119-000099191</v>
      </c>
      <c r="I369" t="str">
        <f>"REPUBLIC SERVICES TESSMAN ROAD"</f>
        <v>REPUBLIC SERVICES TESSMAN ROAD</v>
      </c>
    </row>
    <row r="370" spans="1:9" x14ac:dyDescent="0.25">
      <c r="A370" s="6">
        <v>44495</v>
      </c>
      <c r="B370" t="s">
        <v>26</v>
      </c>
      <c r="C370">
        <v>67942</v>
      </c>
      <c r="D370" t="s">
        <v>84</v>
      </c>
      <c r="E370" s="7">
        <v>5000</v>
      </c>
      <c r="F370" s="9" t="s">
        <v>20</v>
      </c>
      <c r="G370" t="s">
        <v>21</v>
      </c>
      <c r="H370" t="str">
        <f>"1847269"</f>
        <v>1847269</v>
      </c>
      <c r="I370" t="str">
        <f>"STANTEC CONSULTING SERVICES IN"</f>
        <v>STANTEC CONSULTING SERVICES IN</v>
      </c>
    </row>
    <row r="371" spans="1:9" x14ac:dyDescent="0.25">
      <c r="A371" s="6">
        <v>44495</v>
      </c>
      <c r="B371" t="s">
        <v>26</v>
      </c>
      <c r="C371">
        <v>67943</v>
      </c>
      <c r="D371" t="s">
        <v>346</v>
      </c>
      <c r="E371" s="7">
        <v>13750</v>
      </c>
      <c r="F371" s="9" t="s">
        <v>20</v>
      </c>
      <c r="G371" t="s">
        <v>21</v>
      </c>
      <c r="H371" t="str">
        <f>"9/11-10/11/2021"</f>
        <v>9/11-10/11/2021</v>
      </c>
      <c r="I371" t="str">
        <f>"SYLVIA RODRIGUEZ"</f>
        <v>SYLVIA RODRIGUEZ</v>
      </c>
    </row>
    <row r="372" spans="1:9" x14ac:dyDescent="0.25">
      <c r="A372" s="6">
        <v>44495</v>
      </c>
      <c r="B372" t="s">
        <v>26</v>
      </c>
      <c r="C372">
        <v>67944</v>
      </c>
      <c r="D372" t="s">
        <v>61</v>
      </c>
      <c r="E372" s="7">
        <v>431.99</v>
      </c>
      <c r="F372" s="9" t="s">
        <v>20</v>
      </c>
      <c r="G372" t="s">
        <v>21</v>
      </c>
      <c r="H372" t="str">
        <f>"025-352389"</f>
        <v>025-352389</v>
      </c>
      <c r="I372" t="str">
        <f>"TYLER TECHNOLOGIES  INC."</f>
        <v>TYLER TECHNOLOGIES  INC.</v>
      </c>
    </row>
    <row r="373" spans="1:9" x14ac:dyDescent="0.25">
      <c r="F373" s="9" t="s">
        <v>20</v>
      </c>
      <c r="G373" t="s">
        <v>21</v>
      </c>
      <c r="H373" t="str">
        <f>"025-354300"</f>
        <v>025-354300</v>
      </c>
      <c r="I373" t="str">
        <f>"TYLER TECHNOLOGIES  INC."</f>
        <v>TYLER TECHNOLOGIES  INC.</v>
      </c>
    </row>
    <row r="374" spans="1:9" x14ac:dyDescent="0.25">
      <c r="F374" s="9" t="s">
        <v>20</v>
      </c>
      <c r="G374" t="s">
        <v>21</v>
      </c>
      <c r="H374" t="str">
        <f>"025-354559"</f>
        <v>025-354559</v>
      </c>
      <c r="I374" t="str">
        <f>"TYLER TECHNOLOGIES  INC."</f>
        <v>TYLER TECHNOLOGIES  INC.</v>
      </c>
    </row>
    <row r="375" spans="1:9" x14ac:dyDescent="0.25">
      <c r="A375" s="6">
        <v>44495</v>
      </c>
      <c r="B375" t="s">
        <v>26</v>
      </c>
      <c r="C375">
        <v>67945</v>
      </c>
      <c r="D375" t="s">
        <v>644</v>
      </c>
      <c r="E375" s="7">
        <v>1158.56</v>
      </c>
      <c r="F375" s="9" t="s">
        <v>20</v>
      </c>
      <c r="G375" t="s">
        <v>21</v>
      </c>
      <c r="H375" t="str">
        <f>"8213650090"</f>
        <v>8213650090</v>
      </c>
      <c r="I375" t="str">
        <f t="shared" ref="I375:I386" si="7">"UNIFIRST CORPORATION"</f>
        <v>UNIFIRST CORPORATION</v>
      </c>
    </row>
    <row r="376" spans="1:9" x14ac:dyDescent="0.25">
      <c r="F376" s="9" t="s">
        <v>20</v>
      </c>
      <c r="G376" t="s">
        <v>21</v>
      </c>
      <c r="H376" t="str">
        <f>"8213650091"</f>
        <v>8213650091</v>
      </c>
      <c r="I376" t="str">
        <f t="shared" si="7"/>
        <v>UNIFIRST CORPORATION</v>
      </c>
    </row>
    <row r="377" spans="1:9" x14ac:dyDescent="0.25">
      <c r="F377" s="9" t="s">
        <v>20</v>
      </c>
      <c r="G377" t="s">
        <v>21</v>
      </c>
      <c r="H377" t="str">
        <f>"8213650092"</f>
        <v>8213650092</v>
      </c>
      <c r="I377" t="str">
        <f t="shared" si="7"/>
        <v>UNIFIRST CORPORATION</v>
      </c>
    </row>
    <row r="378" spans="1:9" x14ac:dyDescent="0.25">
      <c r="F378" s="9" t="s">
        <v>20</v>
      </c>
      <c r="G378" t="s">
        <v>21</v>
      </c>
      <c r="H378" t="str">
        <f>"8213650093"</f>
        <v>8213650093</v>
      </c>
      <c r="I378" t="str">
        <f t="shared" si="7"/>
        <v>UNIFIRST CORPORATION</v>
      </c>
    </row>
    <row r="379" spans="1:9" x14ac:dyDescent="0.25">
      <c r="F379" s="9" t="s">
        <v>20</v>
      </c>
      <c r="G379" t="s">
        <v>21</v>
      </c>
      <c r="H379" t="str">
        <f>"8213650095"</f>
        <v>8213650095</v>
      </c>
      <c r="I379" t="str">
        <f t="shared" si="7"/>
        <v>UNIFIRST CORPORATION</v>
      </c>
    </row>
    <row r="380" spans="1:9" x14ac:dyDescent="0.25">
      <c r="F380" s="9" t="s">
        <v>20</v>
      </c>
      <c r="G380" t="s">
        <v>21</v>
      </c>
      <c r="H380" t="str">
        <f>"8213650096"</f>
        <v>8213650096</v>
      </c>
      <c r="I380" t="str">
        <f t="shared" si="7"/>
        <v>UNIFIRST CORPORATION</v>
      </c>
    </row>
    <row r="381" spans="1:9" x14ac:dyDescent="0.25">
      <c r="F381" s="9" t="s">
        <v>20</v>
      </c>
      <c r="G381" t="s">
        <v>21</v>
      </c>
      <c r="H381" t="str">
        <f>"8213652725"</f>
        <v>8213652725</v>
      </c>
      <c r="I381" t="str">
        <f t="shared" si="7"/>
        <v>UNIFIRST CORPORATION</v>
      </c>
    </row>
    <row r="382" spans="1:9" x14ac:dyDescent="0.25">
      <c r="F382" s="9" t="s">
        <v>20</v>
      </c>
      <c r="G382" t="s">
        <v>21</v>
      </c>
      <c r="H382" t="str">
        <f>"8213652726"</f>
        <v>8213652726</v>
      </c>
      <c r="I382" t="str">
        <f t="shared" si="7"/>
        <v>UNIFIRST CORPORATION</v>
      </c>
    </row>
    <row r="383" spans="1:9" x14ac:dyDescent="0.25">
      <c r="F383" s="9" t="s">
        <v>20</v>
      </c>
      <c r="G383" t="s">
        <v>21</v>
      </c>
      <c r="H383" t="str">
        <f>"8213652727"</f>
        <v>8213652727</v>
      </c>
      <c r="I383" t="str">
        <f t="shared" si="7"/>
        <v>UNIFIRST CORPORATION</v>
      </c>
    </row>
    <row r="384" spans="1:9" x14ac:dyDescent="0.25">
      <c r="F384" s="9" t="s">
        <v>20</v>
      </c>
      <c r="G384" t="s">
        <v>21</v>
      </c>
      <c r="H384" t="str">
        <f>"8213652728"</f>
        <v>8213652728</v>
      </c>
      <c r="I384" t="str">
        <f t="shared" si="7"/>
        <v>UNIFIRST CORPORATION</v>
      </c>
    </row>
    <row r="385" spans="1:9" x14ac:dyDescent="0.25">
      <c r="F385" s="9" t="s">
        <v>20</v>
      </c>
      <c r="G385" t="s">
        <v>21</v>
      </c>
      <c r="H385" t="str">
        <f>"8213652730"</f>
        <v>8213652730</v>
      </c>
      <c r="I385" t="str">
        <f t="shared" si="7"/>
        <v>UNIFIRST CORPORATION</v>
      </c>
    </row>
    <row r="386" spans="1:9" x14ac:dyDescent="0.25">
      <c r="F386" s="9" t="s">
        <v>20</v>
      </c>
      <c r="G386" t="s">
        <v>21</v>
      </c>
      <c r="H386" t="str">
        <f>"8213652731"</f>
        <v>8213652731</v>
      </c>
      <c r="I386" t="str">
        <f t="shared" si="7"/>
        <v>UNIFIRST CORPORATION</v>
      </c>
    </row>
    <row r="387" spans="1:9" x14ac:dyDescent="0.25">
      <c r="A387" s="6">
        <v>44495</v>
      </c>
      <c r="B387" t="s">
        <v>26</v>
      </c>
      <c r="C387">
        <v>67948</v>
      </c>
      <c r="D387" t="s">
        <v>122</v>
      </c>
      <c r="E387" s="7">
        <v>5</v>
      </c>
      <c r="F387" s="9" t="s">
        <v>20</v>
      </c>
      <c r="G387" t="s">
        <v>21</v>
      </c>
      <c r="H387" t="str">
        <f>"856336"</f>
        <v>856336</v>
      </c>
      <c r="I387" t="str">
        <f>"VILLA TIRES"</f>
        <v>VILLA TIRES</v>
      </c>
    </row>
    <row r="388" spans="1:9" x14ac:dyDescent="0.25">
      <c r="A388" s="6">
        <v>44495</v>
      </c>
      <c r="B388" t="s">
        <v>26</v>
      </c>
      <c r="C388">
        <v>67949</v>
      </c>
      <c r="D388" t="s">
        <v>284</v>
      </c>
      <c r="E388" s="7">
        <v>15060</v>
      </c>
      <c r="F388" s="9" t="s">
        <v>20</v>
      </c>
      <c r="G388" t="s">
        <v>21</v>
      </c>
      <c r="H388" t="str">
        <f>"4ELXINV0008084"</f>
        <v>4ELXINV0008084</v>
      </c>
      <c r="I388" t="str">
        <f>"4RE"</f>
        <v>4RE</v>
      </c>
    </row>
    <row r="389" spans="1:9" x14ac:dyDescent="0.25">
      <c r="A389" s="6">
        <v>44495</v>
      </c>
      <c r="B389" t="s">
        <v>26</v>
      </c>
      <c r="C389">
        <v>67950</v>
      </c>
      <c r="D389" t="s">
        <v>71</v>
      </c>
      <c r="E389" s="7">
        <v>1329.34</v>
      </c>
      <c r="F389" s="9" t="s">
        <v>20</v>
      </c>
      <c r="G389" t="s">
        <v>21</v>
      </c>
      <c r="H389" t="str">
        <f>"4097040857"</f>
        <v>4097040857</v>
      </c>
      <c r="I389" t="str">
        <f>"CINTAS CORPORATION #087"</f>
        <v>CINTAS CORPORATION #087</v>
      </c>
    </row>
    <row r="390" spans="1:9" x14ac:dyDescent="0.25">
      <c r="A390" s="6">
        <v>44495</v>
      </c>
      <c r="B390" t="s">
        <v>26</v>
      </c>
      <c r="C390">
        <v>67951</v>
      </c>
      <c r="D390" t="s">
        <v>345</v>
      </c>
      <c r="E390" s="7">
        <v>335.5</v>
      </c>
      <c r="F390" s="9" t="s">
        <v>20</v>
      </c>
      <c r="G390" t="s">
        <v>21</v>
      </c>
      <c r="H390" t="str">
        <f>"10/25/2021"</f>
        <v>10/25/2021</v>
      </c>
      <c r="I390" t="str">
        <f>"MICHAEL ISAAC MARTINEZ"</f>
        <v>MICHAEL ISAAC MARTINEZ</v>
      </c>
    </row>
    <row r="391" spans="1:9" x14ac:dyDescent="0.25">
      <c r="A391" s="6">
        <v>44495</v>
      </c>
      <c r="B391" t="s">
        <v>26</v>
      </c>
      <c r="C391">
        <v>67952</v>
      </c>
      <c r="D391" t="s">
        <v>50</v>
      </c>
      <c r="E391" s="7">
        <v>184</v>
      </c>
      <c r="F391" s="9" t="s">
        <v>20</v>
      </c>
      <c r="G391" t="s">
        <v>21</v>
      </c>
      <c r="H391" t="str">
        <f>"GROAT FALL CONF."</f>
        <v>GROAT FALL CONF.</v>
      </c>
      <c r="I391" t="str">
        <f>"CHRISTINA CANTU"</f>
        <v>CHRISTINA CANTU</v>
      </c>
    </row>
    <row r="392" spans="1:9" x14ac:dyDescent="0.25">
      <c r="A392" s="6">
        <v>44495</v>
      </c>
      <c r="B392" t="s">
        <v>26</v>
      </c>
      <c r="C392">
        <v>67953</v>
      </c>
      <c r="D392" t="s">
        <v>698</v>
      </c>
      <c r="E392" s="7">
        <v>139.47999999999999</v>
      </c>
      <c r="F392" s="9" t="s">
        <v>20</v>
      </c>
      <c r="G392" t="s">
        <v>21</v>
      </c>
      <c r="H392" t="str">
        <f>"10/25/2021"</f>
        <v>10/25/2021</v>
      </c>
      <c r="I392" t="str">
        <f>"TRACY ORTIZ"</f>
        <v>TRACY ORTIZ</v>
      </c>
    </row>
    <row r="393" spans="1:9" x14ac:dyDescent="0.25">
      <c r="A393" s="6">
        <v>44495</v>
      </c>
      <c r="B393" t="s">
        <v>26</v>
      </c>
      <c r="C393">
        <v>67954</v>
      </c>
      <c r="D393" t="s">
        <v>781</v>
      </c>
      <c r="E393" s="7">
        <v>94.48</v>
      </c>
      <c r="F393" s="9" t="s">
        <v>20</v>
      </c>
      <c r="G393" t="s">
        <v>21</v>
      </c>
      <c r="H393" t="str">
        <f>"10/25/2021"</f>
        <v>10/25/2021</v>
      </c>
      <c r="I393" t="str">
        <f>"ASHLEY MARTINEZ"</f>
        <v>ASHLEY MARTINEZ</v>
      </c>
    </row>
    <row r="394" spans="1:9" x14ac:dyDescent="0.25">
      <c r="A394" s="6">
        <v>44495</v>
      </c>
      <c r="B394" t="s">
        <v>26</v>
      </c>
      <c r="C394">
        <v>67955</v>
      </c>
      <c r="D394" t="s">
        <v>824</v>
      </c>
      <c r="E394" s="7">
        <v>49.48</v>
      </c>
      <c r="F394" s="9" t="s">
        <v>20</v>
      </c>
      <c r="G394" t="s">
        <v>21</v>
      </c>
      <c r="H394" t="str">
        <f>"10/25/2021"</f>
        <v>10/25/2021</v>
      </c>
      <c r="I394" t="str">
        <f>"MALLORY R. NELSON"</f>
        <v>MALLORY R. NELSON</v>
      </c>
    </row>
    <row r="395" spans="1:9" x14ac:dyDescent="0.25">
      <c r="A395" s="6">
        <v>44495</v>
      </c>
      <c r="B395" t="s">
        <v>26</v>
      </c>
      <c r="C395">
        <v>67956</v>
      </c>
      <c r="D395" t="s">
        <v>1007</v>
      </c>
      <c r="E395" s="7">
        <v>393.96</v>
      </c>
      <c r="F395" s="9" t="s">
        <v>20</v>
      </c>
      <c r="G395" t="s">
        <v>21</v>
      </c>
      <c r="H395" t="str">
        <f>"GFAOT FALL CONF."</f>
        <v>GFAOT FALL CONF.</v>
      </c>
      <c r="I395" t="str">
        <f>"CYNTHIA STURM"</f>
        <v>CYNTHIA STURM</v>
      </c>
    </row>
    <row r="396" spans="1:9" x14ac:dyDescent="0.25">
      <c r="A396" s="6">
        <v>44496</v>
      </c>
      <c r="B396" t="s">
        <v>26</v>
      </c>
      <c r="C396">
        <v>67957</v>
      </c>
      <c r="D396" t="s">
        <v>157</v>
      </c>
      <c r="E396" s="7">
        <v>396.2</v>
      </c>
      <c r="F396" s="9" t="s">
        <v>20</v>
      </c>
      <c r="G396" t="s">
        <v>21</v>
      </c>
      <c r="H396" t="str">
        <f>"10/28/2021"</f>
        <v>10/28/2021</v>
      </c>
      <c r="I396" t="str">
        <f>"GLAZIERS"</f>
        <v>GLAZIERS</v>
      </c>
    </row>
    <row r="397" spans="1:9" x14ac:dyDescent="0.25">
      <c r="A397" s="6">
        <v>44497</v>
      </c>
      <c r="B397" t="s">
        <v>26</v>
      </c>
      <c r="C397">
        <v>67958</v>
      </c>
      <c r="D397" t="s">
        <v>205</v>
      </c>
      <c r="E397" s="7">
        <v>546.5</v>
      </c>
      <c r="F397" s="9" t="s">
        <v>20</v>
      </c>
      <c r="G397" t="s">
        <v>21</v>
      </c>
      <c r="H397" t="str">
        <f>"10/28/2021"</f>
        <v>10/28/2021</v>
      </c>
      <c r="I397" t="str">
        <f>"SILVER EAGLE DISTRIBUTORS"</f>
        <v>SILVER EAGLE DISTRIBUTORS</v>
      </c>
    </row>
    <row r="398" spans="1:9" x14ac:dyDescent="0.25">
      <c r="A398" s="6">
        <v>44501</v>
      </c>
      <c r="B398" t="s">
        <v>26</v>
      </c>
      <c r="C398">
        <v>67959</v>
      </c>
      <c r="D398" t="s">
        <v>90</v>
      </c>
      <c r="E398" s="7">
        <v>2903.61</v>
      </c>
      <c r="F398" s="9" t="s">
        <v>20</v>
      </c>
      <c r="G398" t="s">
        <v>329</v>
      </c>
      <c r="H398" t="str">
        <f>"OCTOBER 2021"</f>
        <v>OCTOBER 2021</v>
      </c>
      <c r="I398" t="str">
        <f>"AFLAC"</f>
        <v>AFLAC</v>
      </c>
    </row>
    <row r="399" spans="1:9" x14ac:dyDescent="0.25">
      <c r="F399" s="9" t="s">
        <v>20</v>
      </c>
      <c r="G399" t="s">
        <v>21</v>
      </c>
      <c r="H399" t="str">
        <f>"ACA202109218622"</f>
        <v>ACA202109218622</v>
      </c>
      <c r="I399" t="str">
        <f>"AFLAC INSURANCE"</f>
        <v>AFLAC INSURANCE</v>
      </c>
    </row>
    <row r="400" spans="1:9" x14ac:dyDescent="0.25">
      <c r="F400" s="9" t="s">
        <v>20</v>
      </c>
      <c r="G400" t="s">
        <v>21</v>
      </c>
      <c r="H400" t="str">
        <f>"ACA202110048624"</f>
        <v>ACA202110048624</v>
      </c>
      <c r="I400" t="str">
        <f>"AFLAC INSURANCE"</f>
        <v>AFLAC INSURANCE</v>
      </c>
    </row>
    <row r="401" spans="6:9" x14ac:dyDescent="0.25">
      <c r="F401" s="9" t="s">
        <v>20</v>
      </c>
      <c r="G401" t="s">
        <v>21</v>
      </c>
      <c r="H401" t="str">
        <f>"ACA202110198625"</f>
        <v>ACA202110198625</v>
      </c>
      <c r="I401" t="str">
        <f>"AFLAC INSURANCE"</f>
        <v>AFLAC INSURANCE</v>
      </c>
    </row>
    <row r="402" spans="6:9" x14ac:dyDescent="0.25">
      <c r="F402" s="9" t="s">
        <v>20</v>
      </c>
      <c r="G402" t="s">
        <v>21</v>
      </c>
      <c r="H402" t="str">
        <f>"ADR202109218622"</f>
        <v>ADR202109218622</v>
      </c>
      <c r="I402" t="str">
        <f>"INSURANCE"</f>
        <v>INSURANCE</v>
      </c>
    </row>
    <row r="403" spans="6:9" x14ac:dyDescent="0.25">
      <c r="F403" s="9" t="s">
        <v>20</v>
      </c>
      <c r="G403" t="s">
        <v>21</v>
      </c>
      <c r="H403" t="str">
        <f>"ADR202110048624"</f>
        <v>ADR202110048624</v>
      </c>
      <c r="I403" t="str">
        <f>"INSURANCE"</f>
        <v>INSURANCE</v>
      </c>
    </row>
    <row r="404" spans="6:9" x14ac:dyDescent="0.25">
      <c r="F404" s="9" t="s">
        <v>20</v>
      </c>
      <c r="G404" t="s">
        <v>21</v>
      </c>
      <c r="H404" t="str">
        <f>"ADR202110198625"</f>
        <v>ADR202110198625</v>
      </c>
      <c r="I404" t="str">
        <f>"INSURANCE"</f>
        <v>INSURANCE</v>
      </c>
    </row>
    <row r="405" spans="6:9" x14ac:dyDescent="0.25">
      <c r="F405" s="9" t="s">
        <v>20</v>
      </c>
      <c r="G405" t="s">
        <v>21</v>
      </c>
      <c r="H405" t="str">
        <f>"AF1202109218622"</f>
        <v>AF1202109218622</v>
      </c>
      <c r="I405" t="str">
        <f>"AFLAC INSURANCE"</f>
        <v>AFLAC INSURANCE</v>
      </c>
    </row>
    <row r="406" spans="6:9" x14ac:dyDescent="0.25">
      <c r="F406" s="9" t="s">
        <v>20</v>
      </c>
      <c r="G406" t="s">
        <v>21</v>
      </c>
      <c r="H406" t="str">
        <f>"AF1202110048624"</f>
        <v>AF1202110048624</v>
      </c>
      <c r="I406" t="str">
        <f>"AFLAC INSURANCE"</f>
        <v>AFLAC INSURANCE</v>
      </c>
    </row>
    <row r="407" spans="6:9" x14ac:dyDescent="0.25">
      <c r="F407" s="9" t="s">
        <v>20</v>
      </c>
      <c r="G407" t="s">
        <v>21</v>
      </c>
      <c r="H407" t="str">
        <f>"AF1202110198625"</f>
        <v>AF1202110198625</v>
      </c>
      <c r="I407" t="str">
        <f>"AFLAC INSURANCE"</f>
        <v>AFLAC INSURANCE</v>
      </c>
    </row>
    <row r="408" spans="6:9" x14ac:dyDescent="0.25">
      <c r="F408" s="9" t="s">
        <v>20</v>
      </c>
      <c r="G408" t="s">
        <v>21</v>
      </c>
      <c r="H408" t="str">
        <f>"AFS202109218622"</f>
        <v>AFS202109218622</v>
      </c>
      <c r="I408" t="str">
        <f>"AFLAC STD"</f>
        <v>AFLAC STD</v>
      </c>
    </row>
    <row r="409" spans="6:9" x14ac:dyDescent="0.25">
      <c r="F409" s="9" t="s">
        <v>20</v>
      </c>
      <c r="G409" t="s">
        <v>21</v>
      </c>
      <c r="H409" t="str">
        <f>"AFS202110048624"</f>
        <v>AFS202110048624</v>
      </c>
      <c r="I409" t="str">
        <f>"AFLAC STD"</f>
        <v>AFLAC STD</v>
      </c>
    </row>
    <row r="410" spans="6:9" x14ac:dyDescent="0.25">
      <c r="F410" s="9" t="s">
        <v>20</v>
      </c>
      <c r="G410" t="s">
        <v>21</v>
      </c>
      <c r="H410" t="str">
        <f>"AFS202110198625"</f>
        <v>AFS202110198625</v>
      </c>
      <c r="I410" t="str">
        <f>"AFLAC STD"</f>
        <v>AFLAC STD</v>
      </c>
    </row>
    <row r="411" spans="6:9" x14ac:dyDescent="0.25">
      <c r="F411" s="9" t="s">
        <v>20</v>
      </c>
      <c r="G411" t="s">
        <v>21</v>
      </c>
      <c r="H411" t="str">
        <f>"ASP202109218622"</f>
        <v>ASP202109218622</v>
      </c>
      <c r="I411" t="str">
        <f t="shared" ref="I411:I416" si="8">"AFLAC INSURANCE"</f>
        <v>AFLAC INSURANCE</v>
      </c>
    </row>
    <row r="412" spans="6:9" x14ac:dyDescent="0.25">
      <c r="F412" s="9" t="s">
        <v>20</v>
      </c>
      <c r="G412" t="s">
        <v>21</v>
      </c>
      <c r="H412" t="str">
        <f>"ASP202110048624"</f>
        <v>ASP202110048624</v>
      </c>
      <c r="I412" t="str">
        <f t="shared" si="8"/>
        <v>AFLAC INSURANCE</v>
      </c>
    </row>
    <row r="413" spans="6:9" x14ac:dyDescent="0.25">
      <c r="F413" s="9" t="s">
        <v>20</v>
      </c>
      <c r="G413" t="s">
        <v>21</v>
      </c>
      <c r="H413" t="str">
        <f>"ASP202110198625"</f>
        <v>ASP202110198625</v>
      </c>
      <c r="I413" t="str">
        <f t="shared" si="8"/>
        <v>AFLAC INSURANCE</v>
      </c>
    </row>
    <row r="414" spans="6:9" x14ac:dyDescent="0.25">
      <c r="F414" s="9" t="s">
        <v>20</v>
      </c>
      <c r="G414" t="s">
        <v>21</v>
      </c>
      <c r="H414" t="str">
        <f>"HCO202109218622"</f>
        <v>HCO202109218622</v>
      </c>
      <c r="I414" t="str">
        <f t="shared" si="8"/>
        <v>AFLAC INSURANCE</v>
      </c>
    </row>
    <row r="415" spans="6:9" x14ac:dyDescent="0.25">
      <c r="F415" s="9" t="s">
        <v>20</v>
      </c>
      <c r="G415" t="s">
        <v>21</v>
      </c>
      <c r="H415" t="str">
        <f>"HCO202110048624"</f>
        <v>HCO202110048624</v>
      </c>
      <c r="I415" t="str">
        <f t="shared" si="8"/>
        <v>AFLAC INSURANCE</v>
      </c>
    </row>
    <row r="416" spans="6:9" x14ac:dyDescent="0.25">
      <c r="F416" s="9" t="s">
        <v>20</v>
      </c>
      <c r="G416" t="s">
        <v>21</v>
      </c>
      <c r="H416" t="str">
        <f>"HCO202110198625"</f>
        <v>HCO202110198625</v>
      </c>
      <c r="I416" t="str">
        <f t="shared" si="8"/>
        <v>AFLAC INSURANCE</v>
      </c>
    </row>
    <row r="417" spans="1:9" x14ac:dyDescent="0.25">
      <c r="A417" s="6">
        <v>44501</v>
      </c>
      <c r="B417" t="s">
        <v>26</v>
      </c>
      <c r="C417">
        <v>67966</v>
      </c>
      <c r="D417" t="s">
        <v>95</v>
      </c>
      <c r="E417" s="7">
        <v>25.32</v>
      </c>
      <c r="F417" s="9" t="s">
        <v>20</v>
      </c>
      <c r="G417" t="s">
        <v>21</v>
      </c>
      <c r="H417" t="str">
        <f>"LEA202110048624"</f>
        <v>LEA202110048624</v>
      </c>
      <c r="I417" t="str">
        <f>"INSURANCE"</f>
        <v>INSURANCE</v>
      </c>
    </row>
    <row r="418" spans="1:9" x14ac:dyDescent="0.25">
      <c r="F418" s="9" t="s">
        <v>20</v>
      </c>
      <c r="G418" t="s">
        <v>21</v>
      </c>
      <c r="H418" t="str">
        <f>"LEA202110198625"</f>
        <v>LEA202110198625</v>
      </c>
      <c r="I418" t="str">
        <f>"INSURANCE"</f>
        <v>INSURANCE</v>
      </c>
    </row>
    <row r="419" spans="1:9" x14ac:dyDescent="0.25">
      <c r="A419" s="6">
        <v>44501</v>
      </c>
      <c r="B419" t="s">
        <v>26</v>
      </c>
      <c r="C419">
        <v>67967</v>
      </c>
      <c r="D419" t="s">
        <v>96</v>
      </c>
      <c r="E419" s="7">
        <v>225.24</v>
      </c>
      <c r="F419" s="9" t="s">
        <v>20</v>
      </c>
      <c r="G419" t="s">
        <v>21</v>
      </c>
      <c r="H419" t="str">
        <f>"PPL202110048624"</f>
        <v>PPL202110048624</v>
      </c>
      <c r="I419" t="str">
        <f>"INSURANCE"</f>
        <v>INSURANCE</v>
      </c>
    </row>
    <row r="420" spans="1:9" x14ac:dyDescent="0.25">
      <c r="F420" s="9" t="s">
        <v>20</v>
      </c>
      <c r="G420" t="s">
        <v>21</v>
      </c>
      <c r="H420" t="str">
        <f>"PPL202110198625"</f>
        <v>PPL202110198625</v>
      </c>
      <c r="I420" t="str">
        <f>"INSURANCE"</f>
        <v>INSURANCE</v>
      </c>
    </row>
    <row r="421" spans="1:9" x14ac:dyDescent="0.25">
      <c r="A421" s="6">
        <v>44501</v>
      </c>
      <c r="B421" t="s">
        <v>26</v>
      </c>
      <c r="C421">
        <v>67968</v>
      </c>
      <c r="D421" t="s">
        <v>97</v>
      </c>
      <c r="E421" s="7">
        <v>47854.85</v>
      </c>
      <c r="F421" s="9" t="s">
        <v>20</v>
      </c>
      <c r="G421" t="s">
        <v>329</v>
      </c>
      <c r="H421" t="str">
        <f>"NOVEMBER 2021"</f>
        <v>NOVEMBER 2021</v>
      </c>
      <c r="I421" t="str">
        <f>"HEALTH CARE SERVICE CORPORATIO"</f>
        <v>HEALTH CARE SERVICE CORPORATIO</v>
      </c>
    </row>
    <row r="422" spans="1:9" x14ac:dyDescent="0.25">
      <c r="F422" s="9" t="s">
        <v>20</v>
      </c>
      <c r="G422" t="s">
        <v>21</v>
      </c>
      <c r="H422" t="str">
        <f>"DEN202110048624"</f>
        <v>DEN202110048624</v>
      </c>
      <c r="I422" t="str">
        <f>"DENTAL INSURANCE"</f>
        <v>DENTAL INSURANCE</v>
      </c>
    </row>
    <row r="423" spans="1:9" x14ac:dyDescent="0.25">
      <c r="F423" s="9" t="s">
        <v>20</v>
      </c>
      <c r="G423" t="s">
        <v>21</v>
      </c>
      <c r="H423" t="str">
        <f>"DEN202110198625"</f>
        <v>DEN202110198625</v>
      </c>
      <c r="I423" t="str">
        <f>"DENTAL INSURANCE"</f>
        <v>DENTAL INSURANCE</v>
      </c>
    </row>
    <row r="424" spans="1:9" x14ac:dyDescent="0.25">
      <c r="F424" s="9" t="s">
        <v>20</v>
      </c>
      <c r="G424" t="s">
        <v>21</v>
      </c>
      <c r="H424" t="str">
        <f>"MED202110048624"</f>
        <v>MED202110048624</v>
      </c>
      <c r="I424" t="str">
        <f>"HEALTH &amp; DENTAL INSURANCE"</f>
        <v>HEALTH &amp; DENTAL INSURANCE</v>
      </c>
    </row>
    <row r="425" spans="1:9" x14ac:dyDescent="0.25">
      <c r="F425" s="9" t="s">
        <v>20</v>
      </c>
      <c r="G425" t="s">
        <v>21</v>
      </c>
      <c r="H425" t="str">
        <f>"MED202110198625"</f>
        <v>MED202110198625</v>
      </c>
      <c r="I425" t="str">
        <f>"HEALTH &amp; DENTAL INSURANCE"</f>
        <v>HEALTH &amp; DENTAL INSURANCE</v>
      </c>
    </row>
    <row r="426" spans="1:9" x14ac:dyDescent="0.25">
      <c r="A426" s="6">
        <v>44501</v>
      </c>
      <c r="B426" t="s">
        <v>26</v>
      </c>
      <c r="C426">
        <v>67973</v>
      </c>
      <c r="D426" t="s">
        <v>98</v>
      </c>
      <c r="E426" s="7">
        <v>4117.97</v>
      </c>
      <c r="F426" s="9" t="s">
        <v>20</v>
      </c>
      <c r="G426" t="s">
        <v>329</v>
      </c>
      <c r="H426" t="str">
        <f>"NOVEMBER 2021"</f>
        <v>NOVEMBER 2021</v>
      </c>
      <c r="I426" t="str">
        <f>"DEARBORN LIFE INSURANCE COMPAN"</f>
        <v>DEARBORN LIFE INSURANCE COMPAN</v>
      </c>
    </row>
    <row r="427" spans="1:9" x14ac:dyDescent="0.25">
      <c r="F427" s="9" t="s">
        <v>20</v>
      </c>
      <c r="G427" t="s">
        <v>21</v>
      </c>
      <c r="H427" t="str">
        <f>"STD202110048624"</f>
        <v>STD202110048624</v>
      </c>
      <c r="I427" t="str">
        <f>"SHORT TERM DISABILITY"</f>
        <v>SHORT TERM DISABILITY</v>
      </c>
    </row>
    <row r="428" spans="1:9" x14ac:dyDescent="0.25">
      <c r="F428" s="9" t="s">
        <v>20</v>
      </c>
      <c r="G428" t="s">
        <v>21</v>
      </c>
      <c r="H428" t="str">
        <f>"STD202110198625"</f>
        <v>STD202110198625</v>
      </c>
      <c r="I428" t="str">
        <f>"SHORT TERM DISABILITY"</f>
        <v>SHORT TERM DISABILITY</v>
      </c>
    </row>
    <row r="429" spans="1:9" x14ac:dyDescent="0.25">
      <c r="F429" s="9" t="s">
        <v>20</v>
      </c>
      <c r="G429" t="s">
        <v>21</v>
      </c>
      <c r="H429" t="str">
        <f>"VIS202110048624"</f>
        <v>VIS202110048624</v>
      </c>
      <c r="I429" t="str">
        <f>"VISION INSURANCE"</f>
        <v>VISION INSURANCE</v>
      </c>
    </row>
    <row r="430" spans="1:9" x14ac:dyDescent="0.25">
      <c r="F430" s="9" t="s">
        <v>20</v>
      </c>
      <c r="G430" t="s">
        <v>21</v>
      </c>
      <c r="H430" t="str">
        <f>"VIS202110198625"</f>
        <v>VIS202110198625</v>
      </c>
      <c r="I430" t="str">
        <f>"VISION INSURANCE"</f>
        <v>VISION INSURANCE</v>
      </c>
    </row>
    <row r="431" spans="1:9" x14ac:dyDescent="0.25">
      <c r="F431" s="9" t="s">
        <v>20</v>
      </c>
      <c r="G431" t="s">
        <v>21</v>
      </c>
      <c r="H431" t="str">
        <f>"VLC202110048624"</f>
        <v>VLC202110048624</v>
      </c>
      <c r="I431" t="str">
        <f>"CHILD LIFE INSURANCE"</f>
        <v>CHILD LIFE INSURANCE</v>
      </c>
    </row>
    <row r="432" spans="1:9" x14ac:dyDescent="0.25">
      <c r="F432" s="9" t="s">
        <v>20</v>
      </c>
      <c r="G432" t="s">
        <v>21</v>
      </c>
      <c r="H432" t="str">
        <f>"VLC202110198625"</f>
        <v>VLC202110198625</v>
      </c>
      <c r="I432" t="str">
        <f>"CHILD LIFE INSURANCE"</f>
        <v>CHILD LIFE INSURANCE</v>
      </c>
    </row>
    <row r="433" spans="1:9" x14ac:dyDescent="0.25">
      <c r="F433" s="9" t="s">
        <v>20</v>
      </c>
      <c r="G433" t="s">
        <v>21</v>
      </c>
      <c r="H433" t="str">
        <f>"VLS202110048624"</f>
        <v>VLS202110048624</v>
      </c>
      <c r="I433" t="str">
        <f>"SPOUSE LIFE"</f>
        <v>SPOUSE LIFE</v>
      </c>
    </row>
    <row r="434" spans="1:9" x14ac:dyDescent="0.25">
      <c r="F434" s="9" t="s">
        <v>20</v>
      </c>
      <c r="G434" t="s">
        <v>21</v>
      </c>
      <c r="H434" t="str">
        <f>"VLS202110198625"</f>
        <v>VLS202110198625</v>
      </c>
      <c r="I434" t="str">
        <f>"SPOUSE LIFE"</f>
        <v>SPOUSE LIFE</v>
      </c>
    </row>
    <row r="435" spans="1:9" x14ac:dyDescent="0.25">
      <c r="F435" s="9" t="s">
        <v>20</v>
      </c>
      <c r="G435" t="s">
        <v>21</v>
      </c>
      <c r="H435" t="str">
        <f>"VOE202110048624"</f>
        <v>VOE202110048624</v>
      </c>
      <c r="I435" t="str">
        <f>"EMPLOYEE LIFE"</f>
        <v>EMPLOYEE LIFE</v>
      </c>
    </row>
    <row r="436" spans="1:9" x14ac:dyDescent="0.25">
      <c r="F436" s="9" t="s">
        <v>20</v>
      </c>
      <c r="G436" t="s">
        <v>21</v>
      </c>
      <c r="H436" t="str">
        <f>"VOE202110198625"</f>
        <v>VOE202110198625</v>
      </c>
      <c r="I436" t="str">
        <f>"EMPLOYEE LIFE"</f>
        <v>EMPLOYEE LIFE</v>
      </c>
    </row>
    <row r="437" spans="1:9" x14ac:dyDescent="0.25">
      <c r="F437" s="9" t="s">
        <v>20</v>
      </c>
      <c r="G437" t="s">
        <v>21</v>
      </c>
      <c r="H437" t="str">
        <f>"VOL202110048624"</f>
        <v>VOL202110048624</v>
      </c>
      <c r="I437" t="str">
        <f>"LIFE"</f>
        <v>LIFE</v>
      </c>
    </row>
    <row r="438" spans="1:9" x14ac:dyDescent="0.25">
      <c r="F438" s="9" t="s">
        <v>20</v>
      </c>
      <c r="G438" t="s">
        <v>21</v>
      </c>
      <c r="H438" t="str">
        <f>"VOL202110198625"</f>
        <v>VOL202110198625</v>
      </c>
      <c r="I438" t="str">
        <f>"LIFE"</f>
        <v>LIFE</v>
      </c>
    </row>
    <row r="439" spans="1:9" x14ac:dyDescent="0.25">
      <c r="A439" s="6">
        <v>44501</v>
      </c>
      <c r="B439" t="s">
        <v>26</v>
      </c>
      <c r="C439">
        <v>67982</v>
      </c>
      <c r="D439" t="s">
        <v>106</v>
      </c>
      <c r="E439" s="7">
        <v>230.76</v>
      </c>
      <c r="F439" s="9" t="s">
        <v>20</v>
      </c>
      <c r="G439" t="s">
        <v>21</v>
      </c>
      <c r="H439" t="str">
        <f>"3RD QRTJULY-SEPT21"</f>
        <v>3RD QRTJULY-SEPT21</v>
      </c>
      <c r="I439" t="str">
        <f>"OMNIBASE SERVICES OF TEXAS"</f>
        <v>OMNIBASE SERVICES OF TEXAS</v>
      </c>
    </row>
    <row r="440" spans="1:9" x14ac:dyDescent="0.25">
      <c r="A440" s="6">
        <v>44501</v>
      </c>
      <c r="B440" t="s">
        <v>26</v>
      </c>
      <c r="C440">
        <v>67983</v>
      </c>
      <c r="D440" t="s">
        <v>80</v>
      </c>
      <c r="E440" s="7">
        <v>1500</v>
      </c>
      <c r="F440" s="9" t="s">
        <v>20</v>
      </c>
      <c r="G440" t="s">
        <v>21</v>
      </c>
      <c r="H440" t="str">
        <f>"1648-20211101-1"</f>
        <v>1648-20211101-1</v>
      </c>
      <c r="I440" t="str">
        <f>"LVWIFI.COM"</f>
        <v>LVWIFI.COM</v>
      </c>
    </row>
    <row r="441" spans="1:9" x14ac:dyDescent="0.25">
      <c r="F441" s="9" t="s">
        <v>20</v>
      </c>
      <c r="G441" t="s">
        <v>21</v>
      </c>
      <c r="H441" t="str">
        <f>"2313-20211101-1"</f>
        <v>2313-20211101-1</v>
      </c>
      <c r="I441" t="str">
        <f>"LVWIFI.COM"</f>
        <v>LVWIFI.COM</v>
      </c>
    </row>
    <row r="442" spans="1:9" x14ac:dyDescent="0.25">
      <c r="A442" s="6">
        <v>44501</v>
      </c>
      <c r="B442" t="s">
        <v>26</v>
      </c>
      <c r="C442">
        <v>67984</v>
      </c>
      <c r="D442" t="s">
        <v>85</v>
      </c>
      <c r="E442" s="7">
        <v>539.20000000000005</v>
      </c>
      <c r="F442" s="9" t="s">
        <v>20</v>
      </c>
      <c r="G442" t="s">
        <v>21</v>
      </c>
      <c r="H442" t="str">
        <f>"2162991 OCT2021"</f>
        <v>2162991 OCT2021</v>
      </c>
      <c r="I442" t="str">
        <f>"FRONTIER"</f>
        <v>FRONTIER</v>
      </c>
    </row>
    <row r="443" spans="1:9" x14ac:dyDescent="0.25">
      <c r="F443" s="9" t="s">
        <v>20</v>
      </c>
      <c r="G443" t="s">
        <v>21</v>
      </c>
      <c r="H443" t="str">
        <f>"8301970046 OCT2021"</f>
        <v>8301970046 OCT2021</v>
      </c>
      <c r="I443" t="str">
        <f>"FRONTIER"</f>
        <v>FRONTIER</v>
      </c>
    </row>
    <row r="444" spans="1:9" x14ac:dyDescent="0.25">
      <c r="A444" s="6">
        <v>44501</v>
      </c>
      <c r="B444" t="s">
        <v>26</v>
      </c>
      <c r="C444">
        <v>67985</v>
      </c>
      <c r="D444" t="s">
        <v>345</v>
      </c>
      <c r="E444" s="7">
        <v>319</v>
      </c>
      <c r="F444" s="9" t="s">
        <v>20</v>
      </c>
      <c r="G444" t="s">
        <v>21</v>
      </c>
      <c r="H444" t="str">
        <f>"11/1/2021"</f>
        <v>11/1/2021</v>
      </c>
      <c r="I444" t="str">
        <f>"MICHAEL ISAAC MARTINEZ"</f>
        <v>MICHAEL ISAAC MARTINEZ</v>
      </c>
    </row>
    <row r="445" spans="1:9" x14ac:dyDescent="0.25">
      <c r="A445" s="6">
        <v>44501</v>
      </c>
      <c r="B445" t="s">
        <v>26</v>
      </c>
      <c r="C445">
        <v>67986</v>
      </c>
      <c r="D445" t="s">
        <v>698</v>
      </c>
      <c r="E445" s="7">
        <v>93.55</v>
      </c>
      <c r="F445" s="9" t="s">
        <v>20</v>
      </c>
      <c r="G445" t="s">
        <v>21</v>
      </c>
      <c r="H445" t="str">
        <f>"10/30/2021"</f>
        <v>10/30/2021</v>
      </c>
      <c r="I445" t="str">
        <f>"TRACY ORTIZ"</f>
        <v>TRACY ORTIZ</v>
      </c>
    </row>
    <row r="446" spans="1:9" x14ac:dyDescent="0.25">
      <c r="A446" s="6">
        <v>44501</v>
      </c>
      <c r="B446" t="s">
        <v>26</v>
      </c>
      <c r="C446">
        <v>67987</v>
      </c>
      <c r="D446" t="s">
        <v>781</v>
      </c>
      <c r="E446" s="7">
        <v>93.55</v>
      </c>
      <c r="F446" s="9" t="s">
        <v>20</v>
      </c>
      <c r="G446" t="s">
        <v>21</v>
      </c>
      <c r="H446" t="str">
        <f>"10/30/2021"</f>
        <v>10/30/2021</v>
      </c>
      <c r="I446" t="str">
        <f>"ASHLEY MARTINEZ"</f>
        <v>ASHLEY MARTINEZ</v>
      </c>
    </row>
    <row r="447" spans="1:9" x14ac:dyDescent="0.25">
      <c r="A447" s="6">
        <v>44501</v>
      </c>
      <c r="B447" t="s">
        <v>26</v>
      </c>
      <c r="C447">
        <v>67988</v>
      </c>
      <c r="D447" t="s">
        <v>1130</v>
      </c>
      <c r="E447" s="7">
        <v>9692.39</v>
      </c>
      <c r="F447" s="9" t="s">
        <v>20</v>
      </c>
      <c r="G447" t="s">
        <v>21</v>
      </c>
      <c r="H447" t="str">
        <f>"151708"</f>
        <v>151708</v>
      </c>
      <c r="I447" t="str">
        <f t="shared" ref="I447:I455" si="9">"AZAVAR"</f>
        <v>AZAVAR</v>
      </c>
    </row>
    <row r="448" spans="1:9" x14ac:dyDescent="0.25">
      <c r="F448" s="9" t="s">
        <v>20</v>
      </c>
      <c r="G448" t="s">
        <v>21</v>
      </c>
      <c r="H448" t="str">
        <f>"152177"</f>
        <v>152177</v>
      </c>
      <c r="I448" t="str">
        <f t="shared" si="9"/>
        <v>AZAVAR</v>
      </c>
    </row>
    <row r="449" spans="1:9" x14ac:dyDescent="0.25">
      <c r="F449" s="9" t="s">
        <v>20</v>
      </c>
      <c r="G449" t="s">
        <v>21</v>
      </c>
      <c r="H449" t="str">
        <f>"152377"</f>
        <v>152377</v>
      </c>
      <c r="I449" t="str">
        <f t="shared" si="9"/>
        <v>AZAVAR</v>
      </c>
    </row>
    <row r="450" spans="1:9" x14ac:dyDescent="0.25">
      <c r="F450" s="9" t="s">
        <v>20</v>
      </c>
      <c r="G450" t="s">
        <v>21</v>
      </c>
      <c r="H450" t="str">
        <f>"152602"</f>
        <v>152602</v>
      </c>
      <c r="I450" t="str">
        <f t="shared" si="9"/>
        <v>AZAVAR</v>
      </c>
    </row>
    <row r="451" spans="1:9" x14ac:dyDescent="0.25">
      <c r="F451" s="9" t="s">
        <v>20</v>
      </c>
      <c r="G451" t="s">
        <v>21</v>
      </c>
      <c r="H451" t="str">
        <f>"152883"</f>
        <v>152883</v>
      </c>
      <c r="I451" t="str">
        <f t="shared" si="9"/>
        <v>AZAVAR</v>
      </c>
    </row>
    <row r="452" spans="1:9" x14ac:dyDescent="0.25">
      <c r="F452" s="9" t="s">
        <v>20</v>
      </c>
      <c r="G452" t="s">
        <v>21</v>
      </c>
      <c r="H452" t="str">
        <f>"153452"</f>
        <v>153452</v>
      </c>
      <c r="I452" t="str">
        <f t="shared" si="9"/>
        <v>AZAVAR</v>
      </c>
    </row>
    <row r="453" spans="1:9" x14ac:dyDescent="0.25">
      <c r="F453" s="9" t="s">
        <v>20</v>
      </c>
      <c r="G453" t="s">
        <v>21</v>
      </c>
      <c r="H453" t="str">
        <f>"153458"</f>
        <v>153458</v>
      </c>
      <c r="I453" t="str">
        <f t="shared" si="9"/>
        <v>AZAVAR</v>
      </c>
    </row>
    <row r="454" spans="1:9" x14ac:dyDescent="0.25">
      <c r="F454" s="9" t="s">
        <v>20</v>
      </c>
      <c r="G454" t="s">
        <v>21</v>
      </c>
      <c r="H454" t="str">
        <f>"154260"</f>
        <v>154260</v>
      </c>
      <c r="I454" t="str">
        <f t="shared" si="9"/>
        <v>AZAVAR</v>
      </c>
    </row>
    <row r="455" spans="1:9" x14ac:dyDescent="0.25">
      <c r="F455" s="9" t="s">
        <v>20</v>
      </c>
      <c r="G455" t="s">
        <v>21</v>
      </c>
      <c r="H455" t="str">
        <f>"154261"</f>
        <v>154261</v>
      </c>
      <c r="I455" t="str">
        <f t="shared" si="9"/>
        <v>AZAVAR</v>
      </c>
    </row>
    <row r="456" spans="1:9" x14ac:dyDescent="0.25">
      <c r="A456" s="6">
        <v>44501</v>
      </c>
      <c r="B456" t="s">
        <v>26</v>
      </c>
      <c r="C456">
        <v>67994</v>
      </c>
      <c r="D456" t="s">
        <v>51</v>
      </c>
      <c r="E456" s="7">
        <v>346.31</v>
      </c>
      <c r="F456" s="9" t="s">
        <v>20</v>
      </c>
      <c r="G456" t="s">
        <v>21</v>
      </c>
      <c r="H456" t="str">
        <f>"CLE202111018626"</f>
        <v>CLE202111018626</v>
      </c>
      <c r="I456" t="str">
        <f>"CLEAT ONLY DUES"</f>
        <v>CLEAT ONLY DUES</v>
      </c>
    </row>
    <row r="457" spans="1:9" x14ac:dyDescent="0.25">
      <c r="F457" s="9" t="s">
        <v>20</v>
      </c>
      <c r="G457" t="s">
        <v>21</v>
      </c>
      <c r="H457" t="str">
        <f>"PDD202111018626"</f>
        <v>PDD202111018626</v>
      </c>
      <c r="I457" t="str">
        <f>"POLICE OFFICERS ASSOC DUES"</f>
        <v>POLICE OFFICERS ASSOC DUES</v>
      </c>
    </row>
    <row r="458" spans="1:9" x14ac:dyDescent="0.25">
      <c r="A458" s="6">
        <v>44501</v>
      </c>
      <c r="B458" t="s">
        <v>26</v>
      </c>
      <c r="C458">
        <v>67995</v>
      </c>
      <c r="D458" t="s">
        <v>52</v>
      </c>
      <c r="E458" s="7">
        <v>991.16</v>
      </c>
      <c r="F458" s="9" t="s">
        <v>20</v>
      </c>
      <c r="G458" t="s">
        <v>21</v>
      </c>
      <c r="H458" t="str">
        <f>"CA1202111018626"</f>
        <v>CA1202111018626</v>
      </c>
      <c r="I458" t="str">
        <f>"K RAMIREZ 001200229510060343CV"</f>
        <v>K RAMIREZ 001200229510060343CV</v>
      </c>
    </row>
    <row r="459" spans="1:9" x14ac:dyDescent="0.25">
      <c r="F459" s="9" t="s">
        <v>20</v>
      </c>
      <c r="G459" t="s">
        <v>21</v>
      </c>
      <c r="H459" t="str">
        <f>"CA2202111018626"</f>
        <v>CA2202111018626</v>
      </c>
      <c r="I459" t="str">
        <f>"L HERNANDEZ 001016025203080354"</f>
        <v>L HERNANDEZ 001016025203080354</v>
      </c>
    </row>
    <row r="460" spans="1:9" x14ac:dyDescent="0.25">
      <c r="F460" s="9" t="s">
        <v>20</v>
      </c>
      <c r="G460" t="s">
        <v>21</v>
      </c>
      <c r="H460" t="str">
        <f>"CA3202111018626"</f>
        <v>CA3202111018626</v>
      </c>
      <c r="I460" t="str">
        <f>"00120788612011EM5023JOLENEGARC"</f>
        <v>00120788612011EM5023JOLENEGARC</v>
      </c>
    </row>
    <row r="461" spans="1:9" x14ac:dyDescent="0.25">
      <c r="F461" s="9" t="s">
        <v>20</v>
      </c>
      <c r="G461" t="s">
        <v>21</v>
      </c>
      <c r="H461" t="str">
        <f>"CSA202111018626"</f>
        <v>CSA202111018626</v>
      </c>
      <c r="I461" t="str">
        <f>"S RODRIGUEZ 001281730413050336"</f>
        <v>S RODRIGUEZ 001281730413050336</v>
      </c>
    </row>
    <row r="462" spans="1:9" x14ac:dyDescent="0.25">
      <c r="F462" s="9" t="s">
        <v>20</v>
      </c>
      <c r="G462" t="s">
        <v>21</v>
      </c>
      <c r="H462" t="str">
        <f>"CSI202111018626"</f>
        <v>CSI202111018626</v>
      </c>
      <c r="I462" t="str">
        <f>"KTRINIDAD0014071774CVW2000777"</f>
        <v>KTRINIDAD0014071774CVW2000777</v>
      </c>
    </row>
    <row r="463" spans="1:9" x14ac:dyDescent="0.25">
      <c r="F463" s="9" t="s">
        <v>20</v>
      </c>
      <c r="G463" t="s">
        <v>21</v>
      </c>
      <c r="H463" t="str">
        <f>"CSR202111018626"</f>
        <v>CSR202111018626</v>
      </c>
      <c r="I463" t="str">
        <f>"A BARRIENTE 14189017CVW2100560"</f>
        <v>A BARRIENTE 14189017CVW2100560</v>
      </c>
    </row>
    <row r="464" spans="1:9" x14ac:dyDescent="0.25">
      <c r="A464" s="6">
        <v>44501</v>
      </c>
      <c r="B464" t="s">
        <v>26</v>
      </c>
      <c r="C464">
        <v>67996</v>
      </c>
      <c r="D464" t="s">
        <v>54</v>
      </c>
      <c r="E464" s="7">
        <v>1133.6500000000001</v>
      </c>
      <c r="F464" s="9" t="s">
        <v>20</v>
      </c>
      <c r="G464" t="s">
        <v>21</v>
      </c>
      <c r="H464" t="str">
        <f>"BRE202111018626"</f>
        <v>BRE202111018626</v>
      </c>
      <c r="I464" t="str">
        <f>"CASE #180-60751 457B DEDUCT"</f>
        <v>CASE #180-60751 457B DEDUCT</v>
      </c>
    </row>
    <row r="465" spans="1:9" x14ac:dyDescent="0.25">
      <c r="A465" s="6">
        <v>44501</v>
      </c>
      <c r="B465" t="s">
        <v>26</v>
      </c>
      <c r="C465">
        <v>67997</v>
      </c>
      <c r="D465" t="s">
        <v>637</v>
      </c>
      <c r="E465" s="7">
        <v>75</v>
      </c>
      <c r="F465" s="9" t="s">
        <v>20</v>
      </c>
      <c r="G465" t="s">
        <v>21</v>
      </c>
      <c r="H465" t="str">
        <f>"11012021-COUNCIL"</f>
        <v>11012021-COUNCIL</v>
      </c>
      <c r="I465" t="str">
        <f>""</f>
        <v/>
      </c>
    </row>
    <row r="466" spans="1:9" x14ac:dyDescent="0.25">
      <c r="A466" s="6">
        <v>44501</v>
      </c>
      <c r="B466" t="s">
        <v>26</v>
      </c>
      <c r="C466">
        <v>67998</v>
      </c>
      <c r="D466" t="s">
        <v>81</v>
      </c>
      <c r="E466" s="7">
        <v>224.98</v>
      </c>
      <c r="F466" s="9" t="s">
        <v>20</v>
      </c>
      <c r="G466" t="s">
        <v>21</v>
      </c>
      <c r="H466" t="str">
        <f>"A.MONTOYA 11/1/21"</f>
        <v>A.MONTOYA 11/1/21</v>
      </c>
      <c r="I466" t="str">
        <f>"CITY OF FLORESVILLE -PETTY CAS"</f>
        <v>CITY OF FLORESVILLE -PETTY CAS</v>
      </c>
    </row>
    <row r="467" spans="1:9" x14ac:dyDescent="0.25">
      <c r="A467" s="6">
        <v>44501</v>
      </c>
      <c r="B467" t="s">
        <v>26</v>
      </c>
      <c r="C467">
        <v>68000</v>
      </c>
      <c r="D467" t="s">
        <v>36</v>
      </c>
      <c r="E467" s="7">
        <v>75</v>
      </c>
      <c r="F467" s="9" t="s">
        <v>20</v>
      </c>
      <c r="G467" t="s">
        <v>21</v>
      </c>
      <c r="H467" t="str">
        <f>"11012021-COUNCIL"</f>
        <v>11012021-COUNCIL</v>
      </c>
      <c r="I467" t="str">
        <f>""</f>
        <v/>
      </c>
    </row>
    <row r="468" spans="1:9" x14ac:dyDescent="0.25">
      <c r="A468" s="6">
        <v>44501</v>
      </c>
      <c r="B468" t="s">
        <v>26</v>
      </c>
      <c r="C468">
        <v>68001</v>
      </c>
      <c r="D468" t="s">
        <v>38</v>
      </c>
      <c r="E468" s="7">
        <v>100</v>
      </c>
      <c r="F468" s="9" t="s">
        <v>20</v>
      </c>
      <c r="G468" t="s">
        <v>21</v>
      </c>
      <c r="H468" t="str">
        <f>"11012021-COUNCIL"</f>
        <v>11012021-COUNCIL</v>
      </c>
      <c r="I468" t="str">
        <f>""</f>
        <v/>
      </c>
    </row>
    <row r="469" spans="1:9" x14ac:dyDescent="0.25">
      <c r="A469" s="6">
        <v>44501</v>
      </c>
      <c r="B469" t="s">
        <v>26</v>
      </c>
      <c r="C469">
        <v>68002</v>
      </c>
      <c r="D469" t="s">
        <v>558</v>
      </c>
      <c r="E469" s="7">
        <v>75</v>
      </c>
      <c r="F469" s="9" t="s">
        <v>20</v>
      </c>
      <c r="G469" t="s">
        <v>21</v>
      </c>
      <c r="H469" t="str">
        <f>"11012021-COUNCIL"</f>
        <v>11012021-COUNCIL</v>
      </c>
      <c r="I469" t="str">
        <f>"MONTHLY COUNCIL CHECKS"</f>
        <v>MONTHLY COUNCIL CHECKS</v>
      </c>
    </row>
    <row r="470" spans="1:9" x14ac:dyDescent="0.25">
      <c r="A470" s="6">
        <v>44501</v>
      </c>
      <c r="B470" t="s">
        <v>26</v>
      </c>
      <c r="C470">
        <v>68003</v>
      </c>
      <c r="D470" t="s">
        <v>889</v>
      </c>
      <c r="E470" s="7">
        <v>75</v>
      </c>
      <c r="F470" s="9" t="s">
        <v>20</v>
      </c>
      <c r="G470" t="s">
        <v>21</v>
      </c>
      <c r="H470" t="str">
        <f>"11012021-COUNCIL"</f>
        <v>11012021-COUNCIL</v>
      </c>
      <c r="I470" t="str">
        <f>""</f>
        <v/>
      </c>
    </row>
    <row r="471" spans="1:9" x14ac:dyDescent="0.25">
      <c r="A471" s="6">
        <v>44501</v>
      </c>
      <c r="B471" t="s">
        <v>26</v>
      </c>
      <c r="C471">
        <v>68004</v>
      </c>
      <c r="D471" t="s">
        <v>1011</v>
      </c>
      <c r="E471" s="7">
        <v>75</v>
      </c>
      <c r="F471" s="9" t="s">
        <v>20</v>
      </c>
      <c r="G471" t="s">
        <v>21</v>
      </c>
      <c r="H471" t="str">
        <f>"11012021-COUNCIL"</f>
        <v>11012021-COUNCIL</v>
      </c>
      <c r="I471" t="str">
        <f>""</f>
        <v/>
      </c>
    </row>
    <row r="472" spans="1:9" x14ac:dyDescent="0.25">
      <c r="A472" s="6">
        <v>44509</v>
      </c>
      <c r="B472" t="s">
        <v>26</v>
      </c>
      <c r="C472">
        <v>68005</v>
      </c>
      <c r="D472" t="s">
        <v>761</v>
      </c>
      <c r="E472" s="7">
        <v>94.59</v>
      </c>
      <c r="F472" s="9" t="s">
        <v>20</v>
      </c>
      <c r="G472" t="s">
        <v>21</v>
      </c>
      <c r="H472" t="str">
        <f>"100-147280"</f>
        <v>100-147280</v>
      </c>
      <c r="I472" t="str">
        <f>"ICE BAGS"</f>
        <v>ICE BAGS</v>
      </c>
    </row>
    <row r="473" spans="1:9" x14ac:dyDescent="0.25">
      <c r="A473" s="6">
        <v>44509</v>
      </c>
      <c r="B473" t="s">
        <v>26</v>
      </c>
      <c r="C473">
        <v>68006</v>
      </c>
      <c r="D473" t="s">
        <v>1131</v>
      </c>
      <c r="E473" s="7">
        <v>50</v>
      </c>
      <c r="F473" s="9" t="s">
        <v>20</v>
      </c>
      <c r="G473" t="s">
        <v>21</v>
      </c>
      <c r="H473" t="str">
        <f>"DEP.RFND 10/30/21"</f>
        <v>DEP.RFND 10/30/21</v>
      </c>
      <c r="I473" t="str">
        <f>"REFUND"</f>
        <v>REFUND</v>
      </c>
    </row>
    <row r="474" spans="1:9" x14ac:dyDescent="0.25">
      <c r="A474" s="6">
        <v>44509</v>
      </c>
      <c r="B474" t="s">
        <v>26</v>
      </c>
      <c r="C474">
        <v>68007</v>
      </c>
      <c r="D474" t="s">
        <v>654</v>
      </c>
      <c r="E474" s="7">
        <v>500</v>
      </c>
      <c r="F474" s="9" t="s">
        <v>20</v>
      </c>
      <c r="G474" t="s">
        <v>21</v>
      </c>
      <c r="H474" t="str">
        <f>"10/29/2021"</f>
        <v>10/29/2021</v>
      </c>
      <c r="I474" t="str">
        <f>"ALEXIS B. LOPEZ"</f>
        <v>ALEXIS B. LOPEZ</v>
      </c>
    </row>
    <row r="475" spans="1:9" x14ac:dyDescent="0.25">
      <c r="A475" s="6">
        <v>44509</v>
      </c>
      <c r="B475" t="s">
        <v>26</v>
      </c>
      <c r="C475">
        <v>68008</v>
      </c>
      <c r="D475" t="s">
        <v>1074</v>
      </c>
      <c r="E475" s="7">
        <v>230.89</v>
      </c>
      <c r="F475" s="9" t="s">
        <v>20</v>
      </c>
      <c r="G475" t="s">
        <v>21</v>
      </c>
      <c r="H475" t="str">
        <f>"1HNV-CDNP-CGW3"</f>
        <v>1HNV-CDNP-CGW3</v>
      </c>
      <c r="I475" t="str">
        <f>"PD UNIT 329"</f>
        <v>PD UNIT 329</v>
      </c>
    </row>
    <row r="476" spans="1:9" x14ac:dyDescent="0.25">
      <c r="F476" s="9" t="s">
        <v>20</v>
      </c>
      <c r="G476" t="s">
        <v>21</v>
      </c>
      <c r="H476" t="str">
        <f>"1HNV-CDNP-DFCD"</f>
        <v>1HNV-CDNP-DFCD</v>
      </c>
      <c r="I476" t="str">
        <f>"IPAD MINI CASES"</f>
        <v>IPAD MINI CASES</v>
      </c>
    </row>
    <row r="477" spans="1:9" x14ac:dyDescent="0.25">
      <c r="F477" s="9" t="s">
        <v>20</v>
      </c>
      <c r="G477" t="s">
        <v>21</v>
      </c>
      <c r="H477" t="str">
        <f>"1TDJ-3L6Q-9CPL"</f>
        <v>1TDJ-3L6Q-9CPL</v>
      </c>
      <c r="I477" t="str">
        <f>"BROTHER POWER CORDS"</f>
        <v>BROTHER POWER CORDS</v>
      </c>
    </row>
    <row r="478" spans="1:9" x14ac:dyDescent="0.25">
      <c r="A478" s="6">
        <v>44509</v>
      </c>
      <c r="B478" t="s">
        <v>26</v>
      </c>
      <c r="C478">
        <v>68009</v>
      </c>
      <c r="D478" t="s">
        <v>1121</v>
      </c>
      <c r="E478" s="7">
        <v>283.89</v>
      </c>
      <c r="F478" s="9" t="s">
        <v>20</v>
      </c>
      <c r="G478" t="s">
        <v>21</v>
      </c>
      <c r="H478" t="str">
        <f>"11/08/2021"</f>
        <v>11/08/2021</v>
      </c>
      <c r="I478" t="str">
        <f>"AMY MORENO"</f>
        <v>AMY MORENO</v>
      </c>
    </row>
    <row r="479" spans="1:9" x14ac:dyDescent="0.25">
      <c r="A479" s="6">
        <v>44509</v>
      </c>
      <c r="B479" t="s">
        <v>26</v>
      </c>
      <c r="C479">
        <v>68010</v>
      </c>
      <c r="D479" t="s">
        <v>179</v>
      </c>
      <c r="E479" s="7">
        <v>26387.03</v>
      </c>
      <c r="F479" s="9" t="s">
        <v>20</v>
      </c>
      <c r="G479" t="s">
        <v>21</v>
      </c>
      <c r="H479" t="str">
        <f>"264671"</f>
        <v>264671</v>
      </c>
      <c r="I479" t="str">
        <f>"2005 FORD F550 REPAIRS"</f>
        <v>2005 FORD F550 REPAIRS</v>
      </c>
    </row>
    <row r="480" spans="1:9" x14ac:dyDescent="0.25">
      <c r="A480" s="6">
        <v>44509</v>
      </c>
      <c r="B480" t="s">
        <v>26</v>
      </c>
      <c r="C480">
        <v>68011</v>
      </c>
      <c r="D480" t="s">
        <v>1029</v>
      </c>
      <c r="E480" s="7">
        <v>159.99</v>
      </c>
      <c r="F480" s="9" t="s">
        <v>20</v>
      </c>
      <c r="G480" t="s">
        <v>21</v>
      </c>
      <c r="H480" t="str">
        <f>"BOOT ALLOW. 11/21"</f>
        <v>BOOT ALLOW. 11/21</v>
      </c>
      <c r="I480" t="str">
        <f>"ANDY JOSLIN"</f>
        <v>ANDY JOSLIN</v>
      </c>
    </row>
    <row r="481" spans="1:9" x14ac:dyDescent="0.25">
      <c r="A481" s="6">
        <v>44509</v>
      </c>
      <c r="B481" t="s">
        <v>26</v>
      </c>
      <c r="C481">
        <v>68012</v>
      </c>
      <c r="D481" t="s">
        <v>139</v>
      </c>
      <c r="E481" s="7">
        <v>65</v>
      </c>
      <c r="F481" s="9" t="s">
        <v>20</v>
      </c>
      <c r="G481" t="s">
        <v>21</v>
      </c>
      <c r="H481" t="str">
        <f>"33831"</f>
        <v>33831</v>
      </c>
      <c r="I481" t="str">
        <f>"ANGEL FIRE &amp; SAFETY"</f>
        <v>ANGEL FIRE &amp; SAFETY</v>
      </c>
    </row>
    <row r="482" spans="1:9" x14ac:dyDescent="0.25">
      <c r="A482" s="6">
        <v>44509</v>
      </c>
      <c r="B482" t="s">
        <v>26</v>
      </c>
      <c r="C482">
        <v>68013</v>
      </c>
      <c r="D482" t="s">
        <v>878</v>
      </c>
      <c r="E482" s="7">
        <v>53.43</v>
      </c>
      <c r="F482" s="9" t="s">
        <v>20</v>
      </c>
      <c r="G482" t="s">
        <v>21</v>
      </c>
      <c r="H482" t="str">
        <f>"96741"</f>
        <v>96741</v>
      </c>
      <c r="I482" t="str">
        <f>"ANIMAL CARE EQUIPMENT &amp; SERVIC"</f>
        <v>ANIMAL CARE EQUIPMENT &amp; SERVIC</v>
      </c>
    </row>
    <row r="483" spans="1:9" x14ac:dyDescent="0.25">
      <c r="A483" s="6">
        <v>44509</v>
      </c>
      <c r="B483" t="s">
        <v>26</v>
      </c>
      <c r="C483">
        <v>68014</v>
      </c>
      <c r="D483" t="s">
        <v>83</v>
      </c>
      <c r="E483" s="7">
        <v>1080</v>
      </c>
      <c r="F483" s="9" t="s">
        <v>20</v>
      </c>
      <c r="G483" t="s">
        <v>21</v>
      </c>
      <c r="H483" t="str">
        <f>"1783692"</f>
        <v>1783692</v>
      </c>
      <c r="I483" t="str">
        <f>"APPRIVER"</f>
        <v>APPRIVER</v>
      </c>
    </row>
    <row r="484" spans="1:9" x14ac:dyDescent="0.25">
      <c r="A484" s="6">
        <v>44509</v>
      </c>
      <c r="B484" t="s">
        <v>26</v>
      </c>
      <c r="C484">
        <v>68015</v>
      </c>
      <c r="D484" t="s">
        <v>781</v>
      </c>
      <c r="E484" s="7">
        <v>60.52</v>
      </c>
      <c r="F484" s="9" t="s">
        <v>20</v>
      </c>
      <c r="G484" t="s">
        <v>21</v>
      </c>
      <c r="H484" t="str">
        <f>"11/08/2021"</f>
        <v>11/08/2021</v>
      </c>
      <c r="I484" t="str">
        <f>"ASHLEY MARTINEZ"</f>
        <v>ASHLEY MARTINEZ</v>
      </c>
    </row>
    <row r="485" spans="1:9" x14ac:dyDescent="0.25">
      <c r="A485" s="6">
        <v>44509</v>
      </c>
      <c r="B485" t="s">
        <v>26</v>
      </c>
      <c r="C485">
        <v>68016</v>
      </c>
      <c r="D485" t="s">
        <v>1052</v>
      </c>
      <c r="E485" s="7">
        <v>62.43</v>
      </c>
      <c r="F485" s="9" t="s">
        <v>20</v>
      </c>
      <c r="G485" t="s">
        <v>21</v>
      </c>
      <c r="H485" t="str">
        <f>"11/08/2021"</f>
        <v>11/08/2021</v>
      </c>
      <c r="I485" t="str">
        <f>"ASHTYN SVOBODA"</f>
        <v>ASHTYN SVOBODA</v>
      </c>
    </row>
    <row r="486" spans="1:9" x14ac:dyDescent="0.25">
      <c r="A486" s="6">
        <v>44509</v>
      </c>
      <c r="B486" t="s">
        <v>26</v>
      </c>
      <c r="C486">
        <v>68017</v>
      </c>
      <c r="D486" t="s">
        <v>115</v>
      </c>
      <c r="E486" s="7">
        <v>316.31</v>
      </c>
      <c r="F486" s="9" t="s">
        <v>20</v>
      </c>
      <c r="G486" t="s">
        <v>24</v>
      </c>
      <c r="H486" t="str">
        <f>"3547120115"</f>
        <v>3547120115</v>
      </c>
      <c r="I486" t="str">
        <f>"AUTOZONE"</f>
        <v>AUTOZONE</v>
      </c>
    </row>
    <row r="487" spans="1:9" x14ac:dyDescent="0.25">
      <c r="F487" s="9" t="s">
        <v>20</v>
      </c>
      <c r="G487" t="s">
        <v>21</v>
      </c>
      <c r="H487" t="str">
        <f>"3547120116"</f>
        <v>3547120116</v>
      </c>
      <c r="I487" t="str">
        <f>"OIL FILTER / DEF"</f>
        <v>OIL FILTER / DEF</v>
      </c>
    </row>
    <row r="488" spans="1:9" x14ac:dyDescent="0.25">
      <c r="F488" s="9" t="s">
        <v>20</v>
      </c>
      <c r="G488" t="s">
        <v>21</v>
      </c>
      <c r="H488" t="str">
        <f>"3547120117"</f>
        <v>3547120117</v>
      </c>
      <c r="I488" t="str">
        <f>"STREETS ROLLER"</f>
        <v>STREETS ROLLER</v>
      </c>
    </row>
    <row r="489" spans="1:9" x14ac:dyDescent="0.25">
      <c r="F489" s="9" t="s">
        <v>20</v>
      </c>
      <c r="G489" t="s">
        <v>21</v>
      </c>
      <c r="H489" t="str">
        <f>"3547123778"</f>
        <v>3547123778</v>
      </c>
      <c r="I489" t="str">
        <f>"CONTROL ARM PD UNIT 327"</f>
        <v>CONTROL ARM PD UNIT 327</v>
      </c>
    </row>
    <row r="490" spans="1:9" x14ac:dyDescent="0.25">
      <c r="A490" s="6">
        <v>44509</v>
      </c>
      <c r="B490" t="s">
        <v>91</v>
      </c>
      <c r="C490">
        <v>68018</v>
      </c>
      <c r="D490" t="s">
        <v>38</v>
      </c>
      <c r="E490" s="7">
        <v>100</v>
      </c>
      <c r="F490" s="9" t="s">
        <v>20</v>
      </c>
      <c r="G490" t="s">
        <v>21</v>
      </c>
      <c r="H490" t="str">
        <f>"NOV.2021-COUNCIL"</f>
        <v>NOV.2021-COUNCIL</v>
      </c>
      <c r="I490" t="str">
        <f>""</f>
        <v/>
      </c>
    </row>
    <row r="491" spans="1:9" x14ac:dyDescent="0.25">
      <c r="A491" s="6">
        <v>44509</v>
      </c>
      <c r="B491" t="s">
        <v>91</v>
      </c>
      <c r="C491">
        <v>68018</v>
      </c>
      <c r="D491" t="s">
        <v>38</v>
      </c>
      <c r="E491" s="7">
        <v>100</v>
      </c>
      <c r="F491" s="9" t="s">
        <v>20</v>
      </c>
      <c r="G491" t="s">
        <v>93</v>
      </c>
      <c r="H491" t="str">
        <f>"CHECK"</f>
        <v>CHECK</v>
      </c>
      <c r="I491" t="str">
        <f>""</f>
        <v/>
      </c>
    </row>
    <row r="492" spans="1:9" x14ac:dyDescent="0.25">
      <c r="A492" s="6">
        <v>44509</v>
      </c>
      <c r="B492" t="s">
        <v>26</v>
      </c>
      <c r="C492">
        <v>68019</v>
      </c>
      <c r="D492" t="s">
        <v>63</v>
      </c>
      <c r="E492" s="7">
        <v>556.1</v>
      </c>
      <c r="F492" s="9" t="s">
        <v>20</v>
      </c>
      <c r="G492" t="s">
        <v>21</v>
      </c>
      <c r="H492" t="str">
        <f>"8405376577"</f>
        <v>8405376577</v>
      </c>
      <c r="I492" t="str">
        <f>"CINTAS CORPORATION"</f>
        <v>CINTAS CORPORATION</v>
      </c>
    </row>
    <row r="493" spans="1:9" x14ac:dyDescent="0.25">
      <c r="F493" s="9" t="s">
        <v>20</v>
      </c>
      <c r="G493" t="s">
        <v>21</v>
      </c>
      <c r="H493" t="str">
        <f>"8405384621"</f>
        <v>8405384621</v>
      </c>
      <c r="I493" t="str">
        <f>"CINTAS CORPORATION"</f>
        <v>CINTAS CORPORATION</v>
      </c>
    </row>
    <row r="494" spans="1:9" x14ac:dyDescent="0.25">
      <c r="A494" s="6">
        <v>44509</v>
      </c>
      <c r="B494" t="s">
        <v>26</v>
      </c>
      <c r="C494">
        <v>68020</v>
      </c>
      <c r="D494" t="s">
        <v>71</v>
      </c>
      <c r="E494" s="7">
        <v>1322.86</v>
      </c>
      <c r="F494" s="9" t="s">
        <v>20</v>
      </c>
      <c r="G494" t="s">
        <v>21</v>
      </c>
      <c r="H494" t="str">
        <f>"4096295972"</f>
        <v>4096295972</v>
      </c>
      <c r="I494" t="str">
        <f t="shared" ref="I494:I501" si="10">"CINTAS CORPORATION #087"</f>
        <v>CINTAS CORPORATION #087</v>
      </c>
    </row>
    <row r="495" spans="1:9" x14ac:dyDescent="0.25">
      <c r="F495" s="9" t="s">
        <v>20</v>
      </c>
      <c r="G495" t="s">
        <v>21</v>
      </c>
      <c r="H495" t="str">
        <f>"4099651865"</f>
        <v>4099651865</v>
      </c>
      <c r="I495" t="str">
        <f t="shared" si="10"/>
        <v>CINTAS CORPORATION #087</v>
      </c>
    </row>
    <row r="496" spans="1:9" x14ac:dyDescent="0.25">
      <c r="F496" s="9" t="s">
        <v>20</v>
      </c>
      <c r="G496" t="s">
        <v>21</v>
      </c>
      <c r="H496" t="str">
        <f>"4099651876"</f>
        <v>4099651876</v>
      </c>
      <c r="I496" t="str">
        <f t="shared" si="10"/>
        <v>CINTAS CORPORATION #087</v>
      </c>
    </row>
    <row r="497" spans="1:9" x14ac:dyDescent="0.25">
      <c r="F497" s="9" t="s">
        <v>20</v>
      </c>
      <c r="G497" t="s">
        <v>21</v>
      </c>
      <c r="H497" t="str">
        <f>"4099651915"</f>
        <v>4099651915</v>
      </c>
      <c r="I497" t="str">
        <f t="shared" si="10"/>
        <v>CINTAS CORPORATION #087</v>
      </c>
    </row>
    <row r="498" spans="1:9" x14ac:dyDescent="0.25">
      <c r="F498" s="9" t="s">
        <v>20</v>
      </c>
      <c r="G498" t="s">
        <v>21</v>
      </c>
      <c r="H498" t="str">
        <f>"4099651928"</f>
        <v>4099651928</v>
      </c>
      <c r="I498" t="str">
        <f t="shared" si="10"/>
        <v>CINTAS CORPORATION #087</v>
      </c>
    </row>
    <row r="499" spans="1:9" x14ac:dyDescent="0.25">
      <c r="F499" s="9" t="s">
        <v>20</v>
      </c>
      <c r="G499" t="s">
        <v>21</v>
      </c>
      <c r="H499" t="str">
        <f>"4099651948"</f>
        <v>4099651948</v>
      </c>
      <c r="I499" t="str">
        <f t="shared" si="10"/>
        <v>CINTAS CORPORATION #087</v>
      </c>
    </row>
    <row r="500" spans="1:9" x14ac:dyDescent="0.25">
      <c r="F500" s="9" t="s">
        <v>20</v>
      </c>
      <c r="G500" t="s">
        <v>21</v>
      </c>
      <c r="H500" t="str">
        <f>"4099652074"</f>
        <v>4099652074</v>
      </c>
      <c r="I500" t="str">
        <f t="shared" si="10"/>
        <v>CINTAS CORPORATION #087</v>
      </c>
    </row>
    <row r="501" spans="1:9" x14ac:dyDescent="0.25">
      <c r="F501" s="9" t="s">
        <v>20</v>
      </c>
      <c r="G501" t="s">
        <v>21</v>
      </c>
      <c r="H501" t="str">
        <f>"4100349591"</f>
        <v>4100349591</v>
      </c>
      <c r="I501" t="str">
        <f t="shared" si="10"/>
        <v>CINTAS CORPORATION #087</v>
      </c>
    </row>
    <row r="502" spans="1:9" x14ac:dyDescent="0.25">
      <c r="A502" s="6">
        <v>44509</v>
      </c>
      <c r="B502" t="s">
        <v>26</v>
      </c>
      <c r="C502">
        <v>68022</v>
      </c>
      <c r="D502" t="s">
        <v>0</v>
      </c>
      <c r="E502" s="7">
        <v>2810.67</v>
      </c>
      <c r="F502" s="9" t="s">
        <v>20</v>
      </c>
      <c r="G502" t="s">
        <v>21</v>
      </c>
      <c r="H502" t="str">
        <f>"09/10-10/10/2021"</f>
        <v>09/10-10/10/2021</v>
      </c>
      <c r="I502" t="str">
        <f>"CITY OF FLORESVILLE"</f>
        <v>CITY OF FLORESVILLE</v>
      </c>
    </row>
    <row r="503" spans="1:9" x14ac:dyDescent="0.25">
      <c r="A503" s="6">
        <v>44509</v>
      </c>
      <c r="B503" t="s">
        <v>26</v>
      </c>
      <c r="C503">
        <v>68023</v>
      </c>
      <c r="D503" t="s">
        <v>58</v>
      </c>
      <c r="E503" s="7">
        <v>36</v>
      </c>
      <c r="F503" s="9" t="s">
        <v>20</v>
      </c>
      <c r="G503" t="s">
        <v>21</v>
      </c>
      <c r="H503" t="str">
        <f>"653969"</f>
        <v>653969</v>
      </c>
      <c r="I503" t="str">
        <f>"DEASON ANIMAL HOSPITAL"</f>
        <v>DEASON ANIMAL HOSPITAL</v>
      </c>
    </row>
    <row r="504" spans="1:9" x14ac:dyDescent="0.25">
      <c r="A504" s="6">
        <v>44509</v>
      </c>
      <c r="B504" t="s">
        <v>26</v>
      </c>
      <c r="C504">
        <v>68024</v>
      </c>
      <c r="D504" t="s">
        <v>1105</v>
      </c>
      <c r="E504" s="7">
        <v>9745.32</v>
      </c>
      <c r="F504" s="9" t="s">
        <v>20</v>
      </c>
      <c r="G504" t="s">
        <v>21</v>
      </c>
      <c r="H504" t="str">
        <f>"117196257"</f>
        <v>117196257</v>
      </c>
      <c r="I504" t="str">
        <f>"JOHN DEERE Z930M ZTRAK"</f>
        <v>JOHN DEERE Z930M ZTRAK</v>
      </c>
    </row>
    <row r="505" spans="1:9" x14ac:dyDescent="0.25">
      <c r="A505" s="6">
        <v>44509</v>
      </c>
      <c r="B505" t="s">
        <v>26</v>
      </c>
      <c r="C505">
        <v>68025</v>
      </c>
      <c r="D505" t="s">
        <v>180</v>
      </c>
      <c r="E505" s="7">
        <v>50</v>
      </c>
      <c r="F505" s="9" t="s">
        <v>20</v>
      </c>
      <c r="G505" t="s">
        <v>21</v>
      </c>
      <c r="H505" t="str">
        <f>"2110-132187"</f>
        <v>2110-132187</v>
      </c>
      <c r="I505" t="str">
        <f>"SINK FOR PD"</f>
        <v>SINK FOR PD</v>
      </c>
    </row>
    <row r="506" spans="1:9" x14ac:dyDescent="0.25">
      <c r="A506" s="6">
        <v>44509</v>
      </c>
      <c r="B506" t="s">
        <v>26</v>
      </c>
      <c r="C506">
        <v>68026</v>
      </c>
      <c r="D506" t="s">
        <v>77</v>
      </c>
      <c r="E506" s="7">
        <v>3511.98</v>
      </c>
      <c r="F506" s="9" t="s">
        <v>20</v>
      </c>
      <c r="G506" t="s">
        <v>21</v>
      </c>
      <c r="H506" t="str">
        <f>"857002347-21"</f>
        <v>857002347-21</v>
      </c>
      <c r="I506" t="str">
        <f>"CHLORINE FOR WWTP"</f>
        <v>CHLORINE FOR WWTP</v>
      </c>
    </row>
    <row r="507" spans="1:9" x14ac:dyDescent="0.25">
      <c r="F507" s="9" t="s">
        <v>20</v>
      </c>
      <c r="G507" t="s">
        <v>21</v>
      </c>
      <c r="H507" t="str">
        <f>"857002348-21"</f>
        <v>857002348-21</v>
      </c>
      <c r="I507" t="str">
        <f>"CHLORINE FOR WWTP"</f>
        <v>CHLORINE FOR WWTP</v>
      </c>
    </row>
    <row r="508" spans="1:9" x14ac:dyDescent="0.25">
      <c r="F508" s="9" t="s">
        <v>20</v>
      </c>
      <c r="G508" t="s">
        <v>21</v>
      </c>
      <c r="H508" t="str">
        <f>"857002349-21"</f>
        <v>857002349-21</v>
      </c>
      <c r="I508" t="str">
        <f>"CHLORINE FOR HOSPITAL ST"</f>
        <v>CHLORINE FOR HOSPITAL ST</v>
      </c>
    </row>
    <row r="509" spans="1:9" x14ac:dyDescent="0.25">
      <c r="A509" s="6">
        <v>44509</v>
      </c>
      <c r="B509" t="s">
        <v>26</v>
      </c>
      <c r="C509">
        <v>68027</v>
      </c>
      <c r="D509" t="s">
        <v>64</v>
      </c>
      <c r="E509" s="7">
        <v>4350</v>
      </c>
      <c r="F509" s="9" t="s">
        <v>20</v>
      </c>
      <c r="G509" t="s">
        <v>21</v>
      </c>
      <c r="H509" t="str">
        <f>"8659"</f>
        <v>8659</v>
      </c>
      <c r="I509" t="str">
        <f>"DREWA DESIGNS  INC."</f>
        <v>DREWA DESIGNS  INC.</v>
      </c>
    </row>
    <row r="510" spans="1:9" x14ac:dyDescent="0.25">
      <c r="A510" s="6">
        <v>44509</v>
      </c>
      <c r="B510" t="s">
        <v>26</v>
      </c>
      <c r="C510">
        <v>68028</v>
      </c>
      <c r="D510" t="s">
        <v>910</v>
      </c>
      <c r="E510" s="7">
        <v>239</v>
      </c>
      <c r="F510" s="9" t="s">
        <v>20</v>
      </c>
      <c r="G510" t="s">
        <v>21</v>
      </c>
      <c r="H510" t="str">
        <f>"F14447"</f>
        <v>F14447</v>
      </c>
      <c r="I510" t="str">
        <f>"WINDOW SCREENS FOR WIC"</f>
        <v>WINDOW SCREENS FOR WIC</v>
      </c>
    </row>
    <row r="511" spans="1:9" x14ac:dyDescent="0.25">
      <c r="A511" s="6">
        <v>44509</v>
      </c>
      <c r="B511" t="s">
        <v>91</v>
      </c>
      <c r="C511">
        <v>68029</v>
      </c>
      <c r="D511" t="s">
        <v>1011</v>
      </c>
      <c r="E511" s="7">
        <v>75</v>
      </c>
      <c r="F511" s="9" t="s">
        <v>20</v>
      </c>
      <c r="G511" t="s">
        <v>21</v>
      </c>
      <c r="H511" t="str">
        <f>"NOV.2021-COUNCIL"</f>
        <v>NOV.2021-COUNCIL</v>
      </c>
      <c r="I511" t="str">
        <f>""</f>
        <v/>
      </c>
    </row>
    <row r="512" spans="1:9" x14ac:dyDescent="0.25">
      <c r="A512" s="6">
        <v>44509</v>
      </c>
      <c r="B512" t="s">
        <v>91</v>
      </c>
      <c r="C512">
        <v>68029</v>
      </c>
      <c r="D512" t="s">
        <v>1011</v>
      </c>
      <c r="E512" s="7">
        <v>75</v>
      </c>
      <c r="F512" s="9" t="s">
        <v>20</v>
      </c>
      <c r="G512" t="s">
        <v>93</v>
      </c>
      <c r="H512" t="str">
        <f>"CHECK"</f>
        <v>CHECK</v>
      </c>
      <c r="I512" t="str">
        <f>""</f>
        <v/>
      </c>
    </row>
    <row r="513" spans="1:9" x14ac:dyDescent="0.25">
      <c r="A513" s="6">
        <v>44509</v>
      </c>
      <c r="B513" t="s">
        <v>26</v>
      </c>
      <c r="C513">
        <v>68030</v>
      </c>
      <c r="D513" t="s">
        <v>1132</v>
      </c>
      <c r="E513" s="7">
        <v>70</v>
      </c>
      <c r="F513" s="9" t="s">
        <v>20</v>
      </c>
      <c r="G513" t="s">
        <v>21</v>
      </c>
      <c r="H513" t="str">
        <f>"11/08/2021"</f>
        <v>11/08/2021</v>
      </c>
      <c r="I513" t="str">
        <f>"EUSEBIO VALERO"</f>
        <v>EUSEBIO VALERO</v>
      </c>
    </row>
    <row r="514" spans="1:9" x14ac:dyDescent="0.25">
      <c r="A514" s="6">
        <v>44509</v>
      </c>
      <c r="B514" t="s">
        <v>91</v>
      </c>
      <c r="C514">
        <v>68031</v>
      </c>
      <c r="D514" t="s">
        <v>69</v>
      </c>
      <c r="E514" s="7">
        <v>14847.31</v>
      </c>
      <c r="F514" s="9" t="s">
        <v>20</v>
      </c>
      <c r="G514" t="s">
        <v>329</v>
      </c>
      <c r="H514" t="str">
        <f>"D113571"</f>
        <v>D113571</v>
      </c>
      <c r="I514" t="str">
        <f>"EWALD KUBOTA  INC."</f>
        <v>EWALD KUBOTA  INC.</v>
      </c>
    </row>
    <row r="515" spans="1:9" x14ac:dyDescent="0.25">
      <c r="F515" s="9" t="s">
        <v>20</v>
      </c>
      <c r="G515" t="s">
        <v>21</v>
      </c>
      <c r="H515" t="str">
        <f>"3C13793"</f>
        <v>3C13793</v>
      </c>
      <c r="I515" t="str">
        <f>"BELT FOR PARK DEPT"</f>
        <v>BELT FOR PARK DEPT</v>
      </c>
    </row>
    <row r="516" spans="1:9" x14ac:dyDescent="0.25">
      <c r="A516" s="6">
        <v>44509</v>
      </c>
      <c r="B516" t="s">
        <v>91</v>
      </c>
      <c r="C516">
        <v>68031</v>
      </c>
      <c r="D516" t="s">
        <v>69</v>
      </c>
      <c r="E516" s="7">
        <v>14847.31</v>
      </c>
      <c r="F516" s="9" t="s">
        <v>20</v>
      </c>
      <c r="G516" t="s">
        <v>93</v>
      </c>
      <c r="H516" t="str">
        <f>"CHECK"</f>
        <v>CHECK</v>
      </c>
      <c r="I516" t="str">
        <f>""</f>
        <v/>
      </c>
    </row>
    <row r="517" spans="1:9" x14ac:dyDescent="0.25">
      <c r="A517" s="6">
        <v>44509</v>
      </c>
      <c r="B517" t="s">
        <v>26</v>
      </c>
      <c r="C517">
        <v>68032</v>
      </c>
      <c r="D517" t="s">
        <v>79</v>
      </c>
      <c r="E517" s="7">
        <v>77.27</v>
      </c>
      <c r="F517" s="9" t="s">
        <v>20</v>
      </c>
      <c r="G517" t="s">
        <v>21</v>
      </c>
      <c r="H517" t="str">
        <f>"7-547-07036"</f>
        <v>7-547-07036</v>
      </c>
      <c r="I517" t="str">
        <f>"FEDEX"</f>
        <v>FEDEX</v>
      </c>
    </row>
    <row r="518" spans="1:9" x14ac:dyDescent="0.25">
      <c r="A518" s="6">
        <v>44509</v>
      </c>
      <c r="B518" t="s">
        <v>26</v>
      </c>
      <c r="C518">
        <v>68033</v>
      </c>
      <c r="D518" t="s">
        <v>59</v>
      </c>
      <c r="E518" s="7">
        <v>1315.11</v>
      </c>
      <c r="F518" s="9" t="s">
        <v>20</v>
      </c>
      <c r="G518" t="s">
        <v>21</v>
      </c>
      <c r="H518" t="str">
        <f>"1144109"</f>
        <v>1144109</v>
      </c>
      <c r="I518" t="str">
        <f>"FERGUSON WATERWORKS - MUNICIPA"</f>
        <v>FERGUSON WATERWORKS - MUNICIPA</v>
      </c>
    </row>
    <row r="519" spans="1:9" x14ac:dyDescent="0.25">
      <c r="A519" s="6">
        <v>44509</v>
      </c>
      <c r="B519" t="s">
        <v>26</v>
      </c>
      <c r="C519">
        <v>68034</v>
      </c>
      <c r="D519" t="s">
        <v>85</v>
      </c>
      <c r="E519" s="7">
        <v>529.78</v>
      </c>
      <c r="F519" s="9" t="s">
        <v>20</v>
      </c>
      <c r="G519" t="s">
        <v>21</v>
      </c>
      <c r="H519" t="str">
        <f>"3933718 OCT.2021"</f>
        <v>3933718 OCT.2021</v>
      </c>
      <c r="I519" t="str">
        <f>"FRONTIER"</f>
        <v>FRONTIER</v>
      </c>
    </row>
    <row r="520" spans="1:9" x14ac:dyDescent="0.25">
      <c r="F520" s="9" t="s">
        <v>20</v>
      </c>
      <c r="G520" t="s">
        <v>21</v>
      </c>
      <c r="H520" t="str">
        <f>"3937070 OCT.2021"</f>
        <v>3937070 OCT.2021</v>
      </c>
      <c r="I520" t="str">
        <f>"FRONTIER"</f>
        <v>FRONTIER</v>
      </c>
    </row>
    <row r="521" spans="1:9" x14ac:dyDescent="0.25">
      <c r="A521" s="6">
        <v>44509</v>
      </c>
      <c r="B521" t="s">
        <v>26</v>
      </c>
      <c r="C521">
        <v>68035</v>
      </c>
      <c r="D521" t="s">
        <v>194</v>
      </c>
      <c r="E521" s="7">
        <v>88.4</v>
      </c>
      <c r="F521" s="9" t="s">
        <v>20</v>
      </c>
      <c r="G521" t="s">
        <v>21</v>
      </c>
      <c r="H521" t="str">
        <f>"019501220"</f>
        <v>019501220</v>
      </c>
      <c r="I521" t="str">
        <f>"GALLS  LLC-D.B.A. STERLING'S U"</f>
        <v>GALLS  LLC-D.B.A. STERLING'S U</v>
      </c>
    </row>
    <row r="522" spans="1:9" x14ac:dyDescent="0.25">
      <c r="A522" s="6">
        <v>44509</v>
      </c>
      <c r="B522" t="s">
        <v>26</v>
      </c>
      <c r="C522">
        <v>68036</v>
      </c>
      <c r="D522" t="s">
        <v>56</v>
      </c>
      <c r="E522" s="7">
        <v>24.95</v>
      </c>
      <c r="F522" s="9" t="s">
        <v>20</v>
      </c>
      <c r="G522" t="s">
        <v>21</v>
      </c>
      <c r="H522" t="str">
        <f>"196380"</f>
        <v>196380</v>
      </c>
      <c r="I522" t="str">
        <f>"DOG FOOD"</f>
        <v>DOG FOOD</v>
      </c>
    </row>
    <row r="523" spans="1:9" x14ac:dyDescent="0.25">
      <c r="A523" s="6">
        <v>44509</v>
      </c>
      <c r="B523" t="s">
        <v>91</v>
      </c>
      <c r="C523">
        <v>68037</v>
      </c>
      <c r="D523" t="s">
        <v>36</v>
      </c>
      <c r="E523" s="7">
        <v>75</v>
      </c>
      <c r="F523" s="9" t="s">
        <v>20</v>
      </c>
      <c r="G523" t="s">
        <v>21</v>
      </c>
      <c r="H523" t="str">
        <f>"NOV.2021-COUNCIL"</f>
        <v>NOV.2021-COUNCIL</v>
      </c>
      <c r="I523" t="str">
        <f>""</f>
        <v/>
      </c>
    </row>
    <row r="524" spans="1:9" x14ac:dyDescent="0.25">
      <c r="A524" s="6">
        <v>44509</v>
      </c>
      <c r="B524" t="s">
        <v>91</v>
      </c>
      <c r="C524">
        <v>68037</v>
      </c>
      <c r="D524" t="s">
        <v>36</v>
      </c>
      <c r="E524" s="7">
        <v>75</v>
      </c>
      <c r="F524" s="9" t="s">
        <v>20</v>
      </c>
      <c r="G524" t="s">
        <v>93</v>
      </c>
      <c r="H524" t="str">
        <f>"CHECK"</f>
        <v>CHECK</v>
      </c>
      <c r="I524" t="str">
        <f>""</f>
        <v/>
      </c>
    </row>
    <row r="525" spans="1:9" x14ac:dyDescent="0.25">
      <c r="A525" s="6">
        <v>44509</v>
      </c>
      <c r="B525" t="s">
        <v>91</v>
      </c>
      <c r="C525">
        <v>68038</v>
      </c>
      <c r="D525" t="s">
        <v>637</v>
      </c>
      <c r="E525" s="7">
        <v>75</v>
      </c>
      <c r="F525" s="9" t="s">
        <v>20</v>
      </c>
      <c r="G525" t="s">
        <v>21</v>
      </c>
      <c r="H525" t="str">
        <f>"NOV.2021-COUNCIL"</f>
        <v>NOV.2021-COUNCIL</v>
      </c>
      <c r="I525" t="str">
        <f>""</f>
        <v/>
      </c>
    </row>
    <row r="526" spans="1:9" x14ac:dyDescent="0.25">
      <c r="A526" s="6">
        <v>44509</v>
      </c>
      <c r="B526" t="s">
        <v>91</v>
      </c>
      <c r="C526">
        <v>68038</v>
      </c>
      <c r="D526" t="s">
        <v>637</v>
      </c>
      <c r="E526" s="7">
        <v>75</v>
      </c>
      <c r="F526" s="9" t="s">
        <v>20</v>
      </c>
      <c r="G526" t="s">
        <v>93</v>
      </c>
      <c r="H526" t="str">
        <f>"CHECK"</f>
        <v>CHECK</v>
      </c>
      <c r="I526" t="str">
        <f>""</f>
        <v/>
      </c>
    </row>
    <row r="527" spans="1:9" x14ac:dyDescent="0.25">
      <c r="A527" s="6">
        <v>44509</v>
      </c>
      <c r="B527" t="s">
        <v>91</v>
      </c>
      <c r="C527">
        <v>68039</v>
      </c>
      <c r="D527" t="s">
        <v>889</v>
      </c>
      <c r="E527" s="7">
        <v>75</v>
      </c>
      <c r="F527" s="9" t="s">
        <v>20</v>
      </c>
      <c r="G527" t="s">
        <v>21</v>
      </c>
      <c r="H527" t="str">
        <f>"NOV.2021-COUNCIL"</f>
        <v>NOV.2021-COUNCIL</v>
      </c>
      <c r="I527" t="str">
        <f>""</f>
        <v/>
      </c>
    </row>
    <row r="528" spans="1:9" x14ac:dyDescent="0.25">
      <c r="A528" s="6">
        <v>44509</v>
      </c>
      <c r="B528" t="s">
        <v>91</v>
      </c>
      <c r="C528">
        <v>68039</v>
      </c>
      <c r="D528" t="s">
        <v>889</v>
      </c>
      <c r="E528" s="7">
        <v>75</v>
      </c>
      <c r="F528" s="9" t="s">
        <v>20</v>
      </c>
      <c r="G528" t="s">
        <v>93</v>
      </c>
      <c r="H528" t="str">
        <f>"CHECK"</f>
        <v>CHECK</v>
      </c>
      <c r="I528" t="str">
        <f>""</f>
        <v/>
      </c>
    </row>
    <row r="529" spans="1:9" x14ac:dyDescent="0.25">
      <c r="A529" s="6">
        <v>44509</v>
      </c>
      <c r="B529" t="s">
        <v>26</v>
      </c>
      <c r="C529">
        <v>68040</v>
      </c>
      <c r="D529" t="s">
        <v>1018</v>
      </c>
      <c r="E529" s="7">
        <v>7525</v>
      </c>
      <c r="F529" s="9" t="s">
        <v>20</v>
      </c>
      <c r="G529" t="s">
        <v>21</v>
      </c>
      <c r="H529" t="str">
        <f>"10/1-10/31/2021"</f>
        <v>10/1-10/31/2021</v>
      </c>
      <c r="I529" t="str">
        <f>"LAW OFFICE OF JOSE GARZA"</f>
        <v>LAW OFFICE OF JOSE GARZA</v>
      </c>
    </row>
    <row r="530" spans="1:9" x14ac:dyDescent="0.25">
      <c r="A530" s="6">
        <v>44509</v>
      </c>
      <c r="B530" t="s">
        <v>26</v>
      </c>
      <c r="C530">
        <v>68041</v>
      </c>
      <c r="D530" t="s">
        <v>1032</v>
      </c>
      <c r="E530" s="7">
        <v>3000</v>
      </c>
      <c r="F530" s="9" t="s">
        <v>20</v>
      </c>
      <c r="G530" t="s">
        <v>21</v>
      </c>
      <c r="H530" t="str">
        <f>"10-21-2021"</f>
        <v>10-21-2021</v>
      </c>
      <c r="I530" t="str">
        <f>"LEAL &amp; CARTER  P.C."</f>
        <v>LEAL &amp; CARTER  P.C.</v>
      </c>
    </row>
    <row r="531" spans="1:9" x14ac:dyDescent="0.25">
      <c r="A531" s="6">
        <v>44509</v>
      </c>
      <c r="B531" t="s">
        <v>26</v>
      </c>
      <c r="C531">
        <v>68042</v>
      </c>
      <c r="D531" t="s">
        <v>107</v>
      </c>
      <c r="E531" s="7">
        <v>292.95</v>
      </c>
      <c r="F531" s="9" t="s">
        <v>20</v>
      </c>
      <c r="G531" t="s">
        <v>21</v>
      </c>
      <c r="H531" t="str">
        <f>"1166960-202109030"</f>
        <v>1166960-202109030</v>
      </c>
      <c r="I531" t="str">
        <f>"LEXISNEXIS RISK SOLUTIONS"</f>
        <v>LEXISNEXIS RISK SOLUTIONS</v>
      </c>
    </row>
    <row r="532" spans="1:9" x14ac:dyDescent="0.25">
      <c r="A532" s="6">
        <v>44509</v>
      </c>
      <c r="B532" t="s">
        <v>26</v>
      </c>
      <c r="C532">
        <v>68043</v>
      </c>
      <c r="D532" t="s">
        <v>117</v>
      </c>
      <c r="E532" s="7">
        <v>1393.66</v>
      </c>
      <c r="F532" s="9" t="s">
        <v>20</v>
      </c>
      <c r="G532" t="s">
        <v>21</v>
      </c>
      <c r="H532" t="str">
        <f>"SEPT.2021"</f>
        <v>SEPT.2021</v>
      </c>
      <c r="I532" t="str">
        <f>"LINEBARGER GOGGAN BLAIR &amp; SAMP"</f>
        <v>LINEBARGER GOGGAN BLAIR &amp; SAMP</v>
      </c>
    </row>
    <row r="533" spans="1:9" x14ac:dyDescent="0.25">
      <c r="A533" s="6">
        <v>44509</v>
      </c>
      <c r="B533" t="s">
        <v>91</v>
      </c>
      <c r="C533">
        <v>68044</v>
      </c>
      <c r="D533" t="s">
        <v>558</v>
      </c>
      <c r="E533" s="7">
        <v>75</v>
      </c>
      <c r="F533" s="9" t="s">
        <v>20</v>
      </c>
      <c r="G533" t="s">
        <v>21</v>
      </c>
      <c r="H533" t="str">
        <f>"NOV.2021-COUNCIL"</f>
        <v>NOV.2021-COUNCIL</v>
      </c>
      <c r="I533" t="str">
        <f>"MONTHLY COUNCIL CHECKS"</f>
        <v>MONTHLY COUNCIL CHECKS</v>
      </c>
    </row>
    <row r="534" spans="1:9" x14ac:dyDescent="0.25">
      <c r="A534" s="6">
        <v>44509</v>
      </c>
      <c r="B534" t="s">
        <v>91</v>
      </c>
      <c r="C534">
        <v>68044</v>
      </c>
      <c r="D534" t="s">
        <v>558</v>
      </c>
      <c r="E534" s="7">
        <v>75</v>
      </c>
      <c r="F534" s="9" t="s">
        <v>20</v>
      </c>
      <c r="G534" t="s">
        <v>93</v>
      </c>
      <c r="H534" t="str">
        <f>"CHECK"</f>
        <v>CHECK</v>
      </c>
      <c r="I534" t="str">
        <f>""</f>
        <v/>
      </c>
    </row>
    <row r="535" spans="1:9" x14ac:dyDescent="0.25">
      <c r="A535" s="6">
        <v>44509</v>
      </c>
      <c r="B535" t="s">
        <v>26</v>
      </c>
      <c r="C535">
        <v>68045</v>
      </c>
      <c r="D535" t="s">
        <v>345</v>
      </c>
      <c r="E535" s="7">
        <v>319</v>
      </c>
      <c r="F535" s="9" t="s">
        <v>20</v>
      </c>
      <c r="G535" t="s">
        <v>21</v>
      </c>
      <c r="H535" t="str">
        <f>"11/8/2021"</f>
        <v>11/8/2021</v>
      </c>
      <c r="I535" t="str">
        <f>"MICHAEL ISAAC MARTINEZ"</f>
        <v>MICHAEL ISAAC MARTINEZ</v>
      </c>
    </row>
    <row r="536" spans="1:9" x14ac:dyDescent="0.25">
      <c r="A536" s="6">
        <v>44509</v>
      </c>
      <c r="B536" t="s">
        <v>26</v>
      </c>
      <c r="C536">
        <v>68046</v>
      </c>
      <c r="D536" t="s">
        <v>240</v>
      </c>
      <c r="E536" s="7">
        <v>860.09</v>
      </c>
      <c r="F536" s="9" t="s">
        <v>20</v>
      </c>
      <c r="G536" t="s">
        <v>21</v>
      </c>
      <c r="H536" t="str">
        <f>"0218907-IN"</f>
        <v>0218907-IN</v>
      </c>
      <c r="I536" t="str">
        <f>"PD UNIFORM ALLOWANCE"</f>
        <v>PD UNIFORM ALLOWANCE</v>
      </c>
    </row>
    <row r="537" spans="1:9" x14ac:dyDescent="0.25">
      <c r="F537" s="9" t="s">
        <v>20</v>
      </c>
      <c r="G537" t="s">
        <v>21</v>
      </c>
      <c r="H537" t="str">
        <f>"0219111-IN"</f>
        <v>0219111-IN</v>
      </c>
      <c r="I537" t="str">
        <f>"UNIFORM ALLOWANCE"</f>
        <v>UNIFORM ALLOWANCE</v>
      </c>
    </row>
    <row r="538" spans="1:9" x14ac:dyDescent="0.25">
      <c r="A538" s="6">
        <v>44509</v>
      </c>
      <c r="B538" t="s">
        <v>26</v>
      </c>
      <c r="C538">
        <v>68047</v>
      </c>
      <c r="D538" t="s">
        <v>123</v>
      </c>
      <c r="E538" s="7">
        <v>747.04</v>
      </c>
      <c r="F538" s="9" t="s">
        <v>20</v>
      </c>
      <c r="G538" t="s">
        <v>21</v>
      </c>
      <c r="H538" t="str">
        <f>"201445130001"</f>
        <v>201445130001</v>
      </c>
      <c r="I538" t="str">
        <f>"SUPPLIES FOR PARKS DEPT"</f>
        <v>SUPPLIES FOR PARKS DEPT</v>
      </c>
    </row>
    <row r="539" spans="1:9" x14ac:dyDescent="0.25">
      <c r="F539" s="9" t="s">
        <v>20</v>
      </c>
      <c r="G539" t="s">
        <v>21</v>
      </c>
      <c r="H539" t="str">
        <f>"203788875001"</f>
        <v>203788875001</v>
      </c>
      <c r="I539" t="str">
        <f>"OFFICE SUPPLIES"</f>
        <v>OFFICE SUPPLIES</v>
      </c>
    </row>
    <row r="540" spans="1:9" x14ac:dyDescent="0.25">
      <c r="F540" s="9" t="s">
        <v>20</v>
      </c>
      <c r="G540" t="s">
        <v>21</v>
      </c>
      <c r="H540" t="str">
        <f>"205989166001"</f>
        <v>205989166001</v>
      </c>
      <c r="I540" t="str">
        <f>"OFFICE SUPPLIES"</f>
        <v>OFFICE SUPPLIES</v>
      </c>
    </row>
    <row r="541" spans="1:9" x14ac:dyDescent="0.25">
      <c r="A541" s="6">
        <v>44509</v>
      </c>
      <c r="B541" t="s">
        <v>26</v>
      </c>
      <c r="C541">
        <v>68049</v>
      </c>
      <c r="D541" t="s">
        <v>315</v>
      </c>
      <c r="E541" s="7">
        <v>499.99</v>
      </c>
      <c r="F541" s="9" t="s">
        <v>20</v>
      </c>
      <c r="G541" t="s">
        <v>21</v>
      </c>
      <c r="H541" t="str">
        <f>"888786"</f>
        <v>888786</v>
      </c>
      <c r="I541" t="str">
        <f>"PRIME TIME ADVERTISING"</f>
        <v>PRIME TIME ADVERTISING</v>
      </c>
    </row>
    <row r="542" spans="1:9" x14ac:dyDescent="0.25">
      <c r="A542" s="6">
        <v>44509</v>
      </c>
      <c r="B542" t="s">
        <v>26</v>
      </c>
      <c r="C542">
        <v>68050</v>
      </c>
      <c r="D542" t="s">
        <v>528</v>
      </c>
      <c r="E542" s="7">
        <v>427.43</v>
      </c>
      <c r="F542" s="9" t="s">
        <v>20</v>
      </c>
      <c r="G542" t="s">
        <v>21</v>
      </c>
      <c r="H542" t="str">
        <f>"10696794"</f>
        <v>10696794</v>
      </c>
      <c r="I542" t="str">
        <f>"PROSTAR SERVICES INC"</f>
        <v>PROSTAR SERVICES INC</v>
      </c>
    </row>
    <row r="543" spans="1:9" x14ac:dyDescent="0.25">
      <c r="A543" s="6">
        <v>44509</v>
      </c>
      <c r="B543" t="s">
        <v>26</v>
      </c>
      <c r="C543">
        <v>68051</v>
      </c>
      <c r="D543" t="s">
        <v>126</v>
      </c>
      <c r="E543" s="7">
        <v>92877.05</v>
      </c>
      <c r="F543" s="9" t="s">
        <v>20</v>
      </c>
      <c r="G543" t="s">
        <v>21</v>
      </c>
      <c r="H543" t="str">
        <f>"0859-002963297"</f>
        <v>0859-002963297</v>
      </c>
      <c r="I543" t="str">
        <f>"REPUBLIC SERVICES #859"</f>
        <v>REPUBLIC SERVICES #859</v>
      </c>
    </row>
    <row r="544" spans="1:9" x14ac:dyDescent="0.25">
      <c r="A544" s="6">
        <v>44509</v>
      </c>
      <c r="B544" t="s">
        <v>26</v>
      </c>
      <c r="C544">
        <v>68052</v>
      </c>
      <c r="D544" t="s">
        <v>273</v>
      </c>
      <c r="E544" s="7">
        <v>2463.29</v>
      </c>
      <c r="F544" s="9" t="s">
        <v>20</v>
      </c>
      <c r="G544" t="s">
        <v>21</v>
      </c>
      <c r="H544" t="str">
        <f>"5119-000099344"</f>
        <v>5119-000099344</v>
      </c>
      <c r="I544" t="str">
        <f>"REPUBLIC SERVICES TESSMAN ROAD"</f>
        <v>REPUBLIC SERVICES TESSMAN ROAD</v>
      </c>
    </row>
    <row r="545" spans="1:9" x14ac:dyDescent="0.25">
      <c r="A545" s="6">
        <v>44509</v>
      </c>
      <c r="B545" t="s">
        <v>26</v>
      </c>
      <c r="C545">
        <v>68053</v>
      </c>
      <c r="D545" t="s">
        <v>630</v>
      </c>
      <c r="E545" s="7">
        <v>2306.56</v>
      </c>
      <c r="F545" s="9" t="s">
        <v>20</v>
      </c>
      <c r="G545" t="s">
        <v>21</v>
      </c>
      <c r="H545" t="str">
        <f>"41234"</f>
        <v>41234</v>
      </c>
      <c r="I545" t="str">
        <f>"RG3 METER COMPANY"</f>
        <v>RG3 METER COMPANY</v>
      </c>
    </row>
    <row r="546" spans="1:9" x14ac:dyDescent="0.25">
      <c r="F546" s="9" t="s">
        <v>20</v>
      </c>
      <c r="G546" t="s">
        <v>21</v>
      </c>
      <c r="H546" t="str">
        <f>"41253"</f>
        <v>41253</v>
      </c>
      <c r="I546" t="str">
        <f>"RG3 METER COMPANY"</f>
        <v>RG3 METER COMPANY</v>
      </c>
    </row>
    <row r="547" spans="1:9" x14ac:dyDescent="0.25">
      <c r="A547" s="6">
        <v>44509</v>
      </c>
      <c r="B547" t="s">
        <v>26</v>
      </c>
      <c r="C547">
        <v>68054</v>
      </c>
      <c r="D547" t="s">
        <v>1133</v>
      </c>
      <c r="E547" s="7">
        <v>2308</v>
      </c>
      <c r="F547" s="9" t="s">
        <v>20</v>
      </c>
      <c r="G547" t="s">
        <v>21</v>
      </c>
      <c r="H547" t="str">
        <f>"72934818"</f>
        <v>72934818</v>
      </c>
      <c r="I547" t="str">
        <f>"Shafer- Anderson Holdings  LLC"</f>
        <v>Shafer- Anderson Holdings  LLC</v>
      </c>
    </row>
    <row r="548" spans="1:9" x14ac:dyDescent="0.25">
      <c r="A548" s="6">
        <v>44509</v>
      </c>
      <c r="B548" t="s">
        <v>26</v>
      </c>
      <c r="C548">
        <v>68055</v>
      </c>
      <c r="D548" t="s">
        <v>495</v>
      </c>
      <c r="E548" s="7">
        <v>340.27</v>
      </c>
      <c r="F548" s="9" t="s">
        <v>20</v>
      </c>
      <c r="G548" t="s">
        <v>21</v>
      </c>
      <c r="H548" t="str">
        <f>"0517441-IN"</f>
        <v>0517441-IN</v>
      </c>
      <c r="I548" t="str">
        <f>"SIRCHIE"</f>
        <v>SIRCHIE</v>
      </c>
    </row>
    <row r="549" spans="1:9" x14ac:dyDescent="0.25">
      <c r="A549" s="6">
        <v>44509</v>
      </c>
      <c r="B549" t="s">
        <v>26</v>
      </c>
      <c r="C549">
        <v>68056</v>
      </c>
      <c r="D549" t="s">
        <v>339</v>
      </c>
      <c r="E549" s="7">
        <v>2530.96</v>
      </c>
      <c r="F549" s="9" t="s">
        <v>20</v>
      </c>
      <c r="G549" t="s">
        <v>21</v>
      </c>
      <c r="H549" t="str">
        <f>"830617"</f>
        <v>830617</v>
      </c>
      <c r="I549" t="str">
        <f>" VEHICLES RADAR INSTALL"</f>
        <v xml:space="preserve"> VEHICLES RADAR INSTALL</v>
      </c>
    </row>
    <row r="550" spans="1:9" x14ac:dyDescent="0.25">
      <c r="A550" s="6">
        <v>44509</v>
      </c>
      <c r="B550" t="s">
        <v>26</v>
      </c>
      <c r="C550">
        <v>68057</v>
      </c>
      <c r="D550" t="s">
        <v>554</v>
      </c>
      <c r="E550" s="7">
        <v>74.95</v>
      </c>
      <c r="F550" s="9" t="s">
        <v>20</v>
      </c>
      <c r="G550" t="s">
        <v>21</v>
      </c>
      <c r="H550" t="str">
        <f>"AB55591"</f>
        <v>AB55591</v>
      </c>
      <c r="I550" t="str">
        <f>"TEXAS WIRED MUSIC"</f>
        <v>TEXAS WIRED MUSIC</v>
      </c>
    </row>
    <row r="551" spans="1:9" x14ac:dyDescent="0.25">
      <c r="A551" s="6">
        <v>44509</v>
      </c>
      <c r="B551" t="s">
        <v>26</v>
      </c>
      <c r="C551">
        <v>68058</v>
      </c>
      <c r="D551" t="s">
        <v>568</v>
      </c>
      <c r="E551" s="7">
        <v>110</v>
      </c>
      <c r="F551" s="9" t="s">
        <v>20</v>
      </c>
      <c r="G551" t="s">
        <v>21</v>
      </c>
      <c r="H551" t="str">
        <f>"23629802"</f>
        <v>23629802</v>
      </c>
      <c r="I551" t="str">
        <f>"TIRES FOR WATER BUFFALO"</f>
        <v>TIRES FOR WATER BUFFALO</v>
      </c>
    </row>
    <row r="552" spans="1:9" x14ac:dyDescent="0.25">
      <c r="A552" s="6">
        <v>44509</v>
      </c>
      <c r="B552" t="s">
        <v>26</v>
      </c>
      <c r="C552">
        <v>68059</v>
      </c>
      <c r="D552" t="s">
        <v>73</v>
      </c>
      <c r="E552" s="7">
        <v>4196</v>
      </c>
      <c r="F552" s="9" t="s">
        <v>20</v>
      </c>
      <c r="G552" t="s">
        <v>21</v>
      </c>
      <c r="H552" t="str">
        <f>"8027 11/01/2021"</f>
        <v>8027 11/01/2021</v>
      </c>
      <c r="I552" t="str">
        <f>"TML INTERGOVERNMENTAL RISK POO"</f>
        <v>TML INTERGOVERNMENTAL RISK POO</v>
      </c>
    </row>
    <row r="553" spans="1:9" x14ac:dyDescent="0.25">
      <c r="A553" s="6">
        <v>44509</v>
      </c>
      <c r="B553" t="s">
        <v>26</v>
      </c>
      <c r="C553">
        <v>68060</v>
      </c>
      <c r="D553" t="s">
        <v>75</v>
      </c>
      <c r="E553" s="7">
        <v>399.97</v>
      </c>
      <c r="F553" s="9" t="s">
        <v>20</v>
      </c>
      <c r="G553" t="s">
        <v>21</v>
      </c>
      <c r="H553" t="str">
        <f>"8184 11/23/2021"</f>
        <v>8184 11/23/2021</v>
      </c>
      <c r="I553" t="str">
        <f>"BOOTS WATER DEPT"</f>
        <v>BOOTS WATER DEPT</v>
      </c>
    </row>
    <row r="554" spans="1:9" x14ac:dyDescent="0.25">
      <c r="A554" s="6">
        <v>44509</v>
      </c>
      <c r="B554" t="s">
        <v>26</v>
      </c>
      <c r="C554">
        <v>68061</v>
      </c>
      <c r="D554" t="s">
        <v>698</v>
      </c>
      <c r="E554" s="7">
        <v>337.54</v>
      </c>
      <c r="F554" s="9" t="s">
        <v>20</v>
      </c>
      <c r="G554" t="s">
        <v>21</v>
      </c>
      <c r="H554" t="str">
        <f>"11/08/2021"</f>
        <v>11/08/2021</v>
      </c>
      <c r="I554" t="str">
        <f>"TRACY ORTIZ"</f>
        <v>TRACY ORTIZ</v>
      </c>
    </row>
    <row r="555" spans="1:9" x14ac:dyDescent="0.25">
      <c r="A555" s="6">
        <v>44509</v>
      </c>
      <c r="B555" t="s">
        <v>26</v>
      </c>
      <c r="C555">
        <v>68062</v>
      </c>
      <c r="D555" t="s">
        <v>1110</v>
      </c>
      <c r="E555" s="7">
        <v>10150</v>
      </c>
      <c r="F555" s="9" t="s">
        <v>20</v>
      </c>
      <c r="G555" t="s">
        <v>21</v>
      </c>
      <c r="H555" t="str">
        <f>"86621"</f>
        <v>86621</v>
      </c>
      <c r="I555" t="str">
        <f>"TRC"</f>
        <v>TRC</v>
      </c>
    </row>
    <row r="556" spans="1:9" x14ac:dyDescent="0.25">
      <c r="A556" s="6">
        <v>44509</v>
      </c>
      <c r="B556" t="s">
        <v>26</v>
      </c>
      <c r="C556">
        <v>68063</v>
      </c>
      <c r="D556" t="s">
        <v>644</v>
      </c>
      <c r="E556" s="7">
        <v>1158.56</v>
      </c>
      <c r="F556" s="9" t="s">
        <v>20</v>
      </c>
      <c r="G556" t="s">
        <v>21</v>
      </c>
      <c r="H556" t="str">
        <f>"8213655335"</f>
        <v>8213655335</v>
      </c>
      <c r="I556" t="str">
        <f t="shared" ref="I556:I567" si="11">"UNIFIRST CORPORATION"</f>
        <v>UNIFIRST CORPORATION</v>
      </c>
    </row>
    <row r="557" spans="1:9" x14ac:dyDescent="0.25">
      <c r="F557" s="9" t="s">
        <v>20</v>
      </c>
      <c r="G557" t="s">
        <v>21</v>
      </c>
      <c r="H557" t="str">
        <f>"8213655336"</f>
        <v>8213655336</v>
      </c>
      <c r="I557" t="str">
        <f t="shared" si="11"/>
        <v>UNIFIRST CORPORATION</v>
      </c>
    </row>
    <row r="558" spans="1:9" x14ac:dyDescent="0.25">
      <c r="F558" s="9" t="s">
        <v>20</v>
      </c>
      <c r="G558" t="s">
        <v>21</v>
      </c>
      <c r="H558" t="str">
        <f>"8213655337"</f>
        <v>8213655337</v>
      </c>
      <c r="I558" t="str">
        <f t="shared" si="11"/>
        <v>UNIFIRST CORPORATION</v>
      </c>
    </row>
    <row r="559" spans="1:9" x14ac:dyDescent="0.25">
      <c r="F559" s="9" t="s">
        <v>20</v>
      </c>
      <c r="G559" t="s">
        <v>21</v>
      </c>
      <c r="H559" t="str">
        <f>"8213655338"</f>
        <v>8213655338</v>
      </c>
      <c r="I559" t="str">
        <f t="shared" si="11"/>
        <v>UNIFIRST CORPORATION</v>
      </c>
    </row>
    <row r="560" spans="1:9" x14ac:dyDescent="0.25">
      <c r="F560" s="9" t="s">
        <v>20</v>
      </c>
      <c r="G560" t="s">
        <v>21</v>
      </c>
      <c r="H560" t="str">
        <f>"8213655340"</f>
        <v>8213655340</v>
      </c>
      <c r="I560" t="str">
        <f t="shared" si="11"/>
        <v>UNIFIRST CORPORATION</v>
      </c>
    </row>
    <row r="561" spans="1:9" x14ac:dyDescent="0.25">
      <c r="F561" s="9" t="s">
        <v>20</v>
      </c>
      <c r="G561" t="s">
        <v>21</v>
      </c>
      <c r="H561" t="str">
        <f>"8213655341"</f>
        <v>8213655341</v>
      </c>
      <c r="I561" t="str">
        <f t="shared" si="11"/>
        <v>UNIFIRST CORPORATION</v>
      </c>
    </row>
    <row r="562" spans="1:9" x14ac:dyDescent="0.25">
      <c r="F562" s="9" t="s">
        <v>20</v>
      </c>
      <c r="G562" t="s">
        <v>21</v>
      </c>
      <c r="H562" t="str">
        <f>"8213657883"</f>
        <v>8213657883</v>
      </c>
      <c r="I562" t="str">
        <f t="shared" si="11"/>
        <v>UNIFIRST CORPORATION</v>
      </c>
    </row>
    <row r="563" spans="1:9" x14ac:dyDescent="0.25">
      <c r="F563" s="9" t="s">
        <v>20</v>
      </c>
      <c r="G563" t="s">
        <v>21</v>
      </c>
      <c r="H563" t="str">
        <f>"8213657884"</f>
        <v>8213657884</v>
      </c>
      <c r="I563" t="str">
        <f t="shared" si="11"/>
        <v>UNIFIRST CORPORATION</v>
      </c>
    </row>
    <row r="564" spans="1:9" x14ac:dyDescent="0.25">
      <c r="F564" s="9" t="s">
        <v>20</v>
      </c>
      <c r="G564" t="s">
        <v>21</v>
      </c>
      <c r="H564" t="str">
        <f>"8213657885"</f>
        <v>8213657885</v>
      </c>
      <c r="I564" t="str">
        <f t="shared" si="11"/>
        <v>UNIFIRST CORPORATION</v>
      </c>
    </row>
    <row r="565" spans="1:9" x14ac:dyDescent="0.25">
      <c r="F565" s="9" t="s">
        <v>20</v>
      </c>
      <c r="G565" t="s">
        <v>21</v>
      </c>
      <c r="H565" t="str">
        <f>"8213657886"</f>
        <v>8213657886</v>
      </c>
      <c r="I565" t="str">
        <f t="shared" si="11"/>
        <v>UNIFIRST CORPORATION</v>
      </c>
    </row>
    <row r="566" spans="1:9" x14ac:dyDescent="0.25">
      <c r="F566" s="9" t="s">
        <v>20</v>
      </c>
      <c r="G566" t="s">
        <v>21</v>
      </c>
      <c r="H566" t="str">
        <f>"8213657888"</f>
        <v>8213657888</v>
      </c>
      <c r="I566" t="str">
        <f t="shared" si="11"/>
        <v>UNIFIRST CORPORATION</v>
      </c>
    </row>
    <row r="567" spans="1:9" x14ac:dyDescent="0.25">
      <c r="F567" s="9" t="s">
        <v>20</v>
      </c>
      <c r="G567" t="s">
        <v>21</v>
      </c>
      <c r="H567" t="str">
        <f>"8213657889"</f>
        <v>8213657889</v>
      </c>
      <c r="I567" t="str">
        <f t="shared" si="11"/>
        <v>UNIFIRST CORPORATION</v>
      </c>
    </row>
    <row r="568" spans="1:9" x14ac:dyDescent="0.25">
      <c r="A568" s="6">
        <v>44509</v>
      </c>
      <c r="B568" t="s">
        <v>26</v>
      </c>
      <c r="C568">
        <v>68066</v>
      </c>
      <c r="D568" t="s">
        <v>122</v>
      </c>
      <c r="E568" s="7">
        <v>130</v>
      </c>
      <c r="F568" s="9" t="s">
        <v>20</v>
      </c>
      <c r="G568" t="s">
        <v>21</v>
      </c>
      <c r="H568" t="str">
        <f>"856344"</f>
        <v>856344</v>
      </c>
      <c r="I568" t="str">
        <f>"VILLA TIRES"</f>
        <v>VILLA TIRES</v>
      </c>
    </row>
    <row r="569" spans="1:9" x14ac:dyDescent="0.25">
      <c r="F569" s="9" t="s">
        <v>20</v>
      </c>
      <c r="G569" t="s">
        <v>21</v>
      </c>
      <c r="H569" t="str">
        <f>"856346"</f>
        <v>856346</v>
      </c>
      <c r="I569" t="str">
        <f>"VILLA TIRES"</f>
        <v>VILLA TIRES</v>
      </c>
    </row>
    <row r="570" spans="1:9" x14ac:dyDescent="0.25">
      <c r="F570" s="9" t="s">
        <v>20</v>
      </c>
      <c r="G570" t="s">
        <v>21</v>
      </c>
      <c r="H570" t="str">
        <f>"856348"</f>
        <v>856348</v>
      </c>
      <c r="I570" t="str">
        <f>"VILLA TIRES"</f>
        <v>VILLA TIRES</v>
      </c>
    </row>
    <row r="571" spans="1:9" x14ac:dyDescent="0.25">
      <c r="A571" s="6">
        <v>44510</v>
      </c>
      <c r="B571" t="s">
        <v>26</v>
      </c>
      <c r="C571">
        <v>68067</v>
      </c>
      <c r="D571" t="s">
        <v>299</v>
      </c>
      <c r="E571" s="7">
        <v>367.2</v>
      </c>
      <c r="F571" s="9" t="s">
        <v>20</v>
      </c>
      <c r="G571" t="s">
        <v>21</v>
      </c>
      <c r="H571" t="str">
        <f>"TFEA"</f>
        <v>TFEA</v>
      </c>
      <c r="I571" t="str">
        <f>"CHEZARE PEREZ"</f>
        <v>CHEZARE PEREZ</v>
      </c>
    </row>
    <row r="572" spans="1:9" x14ac:dyDescent="0.25">
      <c r="A572" s="6">
        <v>44510</v>
      </c>
      <c r="B572" t="s">
        <v>26</v>
      </c>
      <c r="C572">
        <v>68068</v>
      </c>
      <c r="D572" t="s">
        <v>655</v>
      </c>
      <c r="E572" s="7">
        <v>675</v>
      </c>
      <c r="F572" s="9" t="s">
        <v>20</v>
      </c>
      <c r="G572" t="s">
        <v>21</v>
      </c>
      <c r="H572" t="str">
        <f>"HOTWELLS MTG"</f>
        <v>HOTWELLS MTG</v>
      </c>
      <c r="I572" t="str">
        <f>"ZELDA M. LOPEZ"</f>
        <v>ZELDA M. LOPEZ</v>
      </c>
    </row>
    <row r="573" spans="1:9" x14ac:dyDescent="0.25">
      <c r="A573" s="6">
        <v>44510</v>
      </c>
      <c r="B573" t="s">
        <v>26</v>
      </c>
      <c r="C573">
        <v>68069</v>
      </c>
      <c r="D573" t="s">
        <v>1134</v>
      </c>
      <c r="E573" s="7">
        <v>120</v>
      </c>
      <c r="F573" s="9" t="s">
        <v>20</v>
      </c>
      <c r="G573" t="s">
        <v>21</v>
      </c>
      <c r="H573" t="str">
        <f>"6494-1"</f>
        <v>6494-1</v>
      </c>
      <c r="I573" t="str">
        <f>"GUNS &amp; GLAMOUR BOUTIQUE"</f>
        <v>GUNS &amp; GLAMOUR BOUTIQUE</v>
      </c>
    </row>
    <row r="574" spans="1:9" x14ac:dyDescent="0.25">
      <c r="A574" s="6">
        <v>44510</v>
      </c>
      <c r="B574" t="s">
        <v>26</v>
      </c>
      <c r="C574">
        <v>68070</v>
      </c>
      <c r="D574" t="s">
        <v>1135</v>
      </c>
      <c r="E574" s="7">
        <v>225</v>
      </c>
      <c r="F574" s="9" t="s">
        <v>20</v>
      </c>
      <c r="G574" t="s">
        <v>21</v>
      </c>
      <c r="H574" t="str">
        <f>"REFUND 10/21/2021"</f>
        <v>REFUND 10/21/2021</v>
      </c>
      <c r="I574" t="str">
        <f>"REFUND"</f>
        <v>REFUND</v>
      </c>
    </row>
    <row r="575" spans="1:9" x14ac:dyDescent="0.25">
      <c r="A575" s="6">
        <v>44510</v>
      </c>
      <c r="B575" t="s">
        <v>26</v>
      </c>
      <c r="C575">
        <v>68071</v>
      </c>
      <c r="D575" t="s">
        <v>168</v>
      </c>
      <c r="E575" s="7">
        <v>3412</v>
      </c>
      <c r="F575" s="9" t="s">
        <v>20</v>
      </c>
      <c r="G575" t="s">
        <v>21</v>
      </c>
      <c r="H575" t="str">
        <f>"LI-7228"</f>
        <v>LI-7228</v>
      </c>
      <c r="I575" t="str">
        <f>"BEXAR COUNTY AUDITOR/ATTN:CRIM"</f>
        <v>BEXAR COUNTY AUDITOR/ATTN:CRIM</v>
      </c>
    </row>
    <row r="576" spans="1:9" x14ac:dyDescent="0.25">
      <c r="A576" s="6">
        <v>44510</v>
      </c>
      <c r="B576" t="s">
        <v>26</v>
      </c>
      <c r="C576">
        <v>68072</v>
      </c>
      <c r="D576" t="s">
        <v>148</v>
      </c>
      <c r="E576" s="7">
        <v>7058.34</v>
      </c>
      <c r="F576" s="9" t="s">
        <v>20</v>
      </c>
      <c r="G576" t="s">
        <v>21</v>
      </c>
      <c r="H576" t="str">
        <f>"CWQ0066164"</f>
        <v>CWQ0066164</v>
      </c>
      <c r="I576" t="str">
        <f>"TEXAS COMMISSION ON ENVIRONMEN"</f>
        <v>TEXAS COMMISSION ON ENVIRONMEN</v>
      </c>
    </row>
    <row r="577" spans="1:9" x14ac:dyDescent="0.25">
      <c r="F577" s="9" t="s">
        <v>20</v>
      </c>
      <c r="G577" t="s">
        <v>21</v>
      </c>
      <c r="H577" t="str">
        <f>"STX0049939"</f>
        <v>STX0049939</v>
      </c>
      <c r="I577" t="str">
        <f>"TEXAS COMMISSION ON ENVIRONMEN"</f>
        <v>TEXAS COMMISSION ON ENVIRONMEN</v>
      </c>
    </row>
    <row r="578" spans="1:9" x14ac:dyDescent="0.25">
      <c r="F578" s="9" t="s">
        <v>20</v>
      </c>
      <c r="G578" t="s">
        <v>21</v>
      </c>
      <c r="H578" t="str">
        <f>"STX0049940"</f>
        <v>STX0049940</v>
      </c>
      <c r="I578" t="str">
        <f>"TEXAS COMMISSION ON ENVIRONMEN"</f>
        <v>TEXAS COMMISSION ON ENVIRONMEN</v>
      </c>
    </row>
    <row r="579" spans="1:9" x14ac:dyDescent="0.25">
      <c r="A579" s="6">
        <v>44516</v>
      </c>
      <c r="B579" t="s">
        <v>26</v>
      </c>
      <c r="C579">
        <v>68073</v>
      </c>
      <c r="D579" t="s">
        <v>92</v>
      </c>
      <c r="E579" s="7">
        <v>38858.769999999997</v>
      </c>
      <c r="F579" s="9" t="s">
        <v>20</v>
      </c>
      <c r="G579" t="s">
        <v>21</v>
      </c>
      <c r="H579" t="str">
        <f>"RET202110048624"</f>
        <v>RET202110048624</v>
      </c>
      <c r="I579" t="str">
        <f>"TMRS CITY OF FLORESVILLE"</f>
        <v>TMRS CITY OF FLORESVILLE</v>
      </c>
    </row>
    <row r="580" spans="1:9" x14ac:dyDescent="0.25">
      <c r="F580" s="9" t="s">
        <v>20</v>
      </c>
      <c r="G580" t="s">
        <v>21</v>
      </c>
      <c r="H580" t="str">
        <f>"RET202110198625"</f>
        <v>RET202110198625</v>
      </c>
      <c r="I580" t="str">
        <f>"TMRS CITY OF FLORESVILLE"</f>
        <v>TMRS CITY OF FLORESVILLE</v>
      </c>
    </row>
    <row r="581" spans="1:9" x14ac:dyDescent="0.25">
      <c r="A581" s="6">
        <v>44516</v>
      </c>
      <c r="B581" t="s">
        <v>26</v>
      </c>
      <c r="C581">
        <v>68077</v>
      </c>
      <c r="D581" t="s">
        <v>115</v>
      </c>
      <c r="E581" s="7">
        <v>477.6</v>
      </c>
      <c r="F581" s="9" t="s">
        <v>20</v>
      </c>
      <c r="G581" t="s">
        <v>21</v>
      </c>
      <c r="H581" t="str">
        <f>"3547127808"</f>
        <v>3547127808</v>
      </c>
      <c r="I581" t="str">
        <f>"TOOLS FOR SHOP"</f>
        <v>TOOLS FOR SHOP</v>
      </c>
    </row>
    <row r="582" spans="1:9" x14ac:dyDescent="0.25">
      <c r="F582" s="9" t="s">
        <v>20</v>
      </c>
      <c r="G582" t="s">
        <v>21</v>
      </c>
      <c r="H582" t="str">
        <f>"3547128381"</f>
        <v>3547128381</v>
      </c>
      <c r="I582" t="str">
        <f>"PD UNIT 329"</f>
        <v>PD UNIT 329</v>
      </c>
    </row>
    <row r="583" spans="1:9" x14ac:dyDescent="0.25">
      <c r="F583" s="9" t="s">
        <v>20</v>
      </c>
      <c r="G583" t="s">
        <v>21</v>
      </c>
      <c r="H583" t="str">
        <f>"3547129097"</f>
        <v>3547129097</v>
      </c>
      <c r="I583" t="str">
        <f>"SHOP TOOL SUPPLIES"</f>
        <v>SHOP TOOL SUPPLIES</v>
      </c>
    </row>
    <row r="584" spans="1:9" x14ac:dyDescent="0.25">
      <c r="F584" s="9" t="s">
        <v>20</v>
      </c>
      <c r="G584" t="s">
        <v>21</v>
      </c>
      <c r="H584" t="str">
        <f>"3547132798"</f>
        <v>3547132798</v>
      </c>
      <c r="I584" t="str">
        <f>"SHOP SUPPLIES"</f>
        <v>SHOP SUPPLIES</v>
      </c>
    </row>
    <row r="585" spans="1:9" x14ac:dyDescent="0.25">
      <c r="F585" s="9" t="s">
        <v>20</v>
      </c>
      <c r="G585" t="s">
        <v>21</v>
      </c>
      <c r="H585" t="str">
        <f>"3547132812"</f>
        <v>3547132812</v>
      </c>
      <c r="I585" t="str">
        <f>"2010 FORD TRUCK F250"</f>
        <v>2010 FORD TRUCK F250</v>
      </c>
    </row>
    <row r="586" spans="1:9" x14ac:dyDescent="0.25">
      <c r="F586" s="9" t="s">
        <v>20</v>
      </c>
      <c r="G586" t="s">
        <v>21</v>
      </c>
      <c r="H586" t="str">
        <f>"3547133214"</f>
        <v>3547133214</v>
      </c>
      <c r="I586" t="str">
        <f>"WASTEWATER DEPT"</f>
        <v>WASTEWATER DEPT</v>
      </c>
    </row>
    <row r="587" spans="1:9" x14ac:dyDescent="0.25">
      <c r="A587" s="6">
        <v>44516</v>
      </c>
      <c r="B587" t="s">
        <v>26</v>
      </c>
      <c r="C587">
        <v>68079</v>
      </c>
      <c r="D587" t="s">
        <v>836</v>
      </c>
      <c r="E587" s="7">
        <v>5713.08</v>
      </c>
      <c r="F587" s="9" t="s">
        <v>20</v>
      </c>
      <c r="G587" t="s">
        <v>21</v>
      </c>
      <c r="H587" t="str">
        <f>"79536"</f>
        <v>79536</v>
      </c>
      <c r="I587" t="str">
        <f>"BARCOM TECHNOLOGY SOLUTIONS  I"</f>
        <v>BARCOM TECHNOLOGY SOLUTIONS  I</v>
      </c>
    </row>
    <row r="588" spans="1:9" x14ac:dyDescent="0.25">
      <c r="F588" s="9" t="s">
        <v>20</v>
      </c>
      <c r="G588" t="s">
        <v>21</v>
      </c>
      <c r="H588" t="str">
        <f>"79537"</f>
        <v>79537</v>
      </c>
      <c r="I588" t="str">
        <f>"BARCOM TECHNOLOGY SOLUTIONS  I"</f>
        <v>BARCOM TECHNOLOGY SOLUTIONS  I</v>
      </c>
    </row>
    <row r="589" spans="1:9" x14ac:dyDescent="0.25">
      <c r="A589" s="6">
        <v>44516</v>
      </c>
      <c r="B589" t="s">
        <v>26</v>
      </c>
      <c r="C589">
        <v>68081</v>
      </c>
      <c r="D589" t="s">
        <v>1031</v>
      </c>
      <c r="E589" s="7">
        <v>6211.72</v>
      </c>
      <c r="F589" s="9" t="s">
        <v>20</v>
      </c>
      <c r="G589" t="s">
        <v>21</v>
      </c>
      <c r="H589" t="str">
        <f>"126172"</f>
        <v>126172</v>
      </c>
      <c r="I589" t="str">
        <f>"BRAUNTEX MATERIALS  INC"</f>
        <v>BRAUNTEX MATERIALS  INC</v>
      </c>
    </row>
    <row r="590" spans="1:9" x14ac:dyDescent="0.25">
      <c r="A590" s="6">
        <v>44516</v>
      </c>
      <c r="B590" t="s">
        <v>26</v>
      </c>
      <c r="C590">
        <v>68082</v>
      </c>
      <c r="D590" t="s">
        <v>110</v>
      </c>
      <c r="E590" s="7">
        <v>7907.77</v>
      </c>
      <c r="F590" s="9" t="s">
        <v>20</v>
      </c>
      <c r="G590" t="s">
        <v>21</v>
      </c>
      <c r="H590" t="str">
        <f>"2021-020379-10"</f>
        <v>2021-020379-10</v>
      </c>
      <c r="I590" t="str">
        <f t="shared" ref="I590:I606" si="12">"BUREAU VERITAS NORTH AMERICA"</f>
        <v>BUREAU VERITAS NORTH AMERICA</v>
      </c>
    </row>
    <row r="591" spans="1:9" x14ac:dyDescent="0.25">
      <c r="F591" s="9" t="s">
        <v>20</v>
      </c>
      <c r="G591" t="s">
        <v>21</v>
      </c>
      <c r="H591" t="str">
        <f>"2021-020381-10"</f>
        <v>2021-020381-10</v>
      </c>
      <c r="I591" t="str">
        <f t="shared" si="12"/>
        <v>BUREAU VERITAS NORTH AMERICA</v>
      </c>
    </row>
    <row r="592" spans="1:9" x14ac:dyDescent="0.25">
      <c r="F592" s="9" t="s">
        <v>20</v>
      </c>
      <c r="G592" t="s">
        <v>21</v>
      </c>
      <c r="H592" t="str">
        <f>"2021-020383.10"</f>
        <v>2021-020383.10</v>
      </c>
      <c r="I592" t="str">
        <f t="shared" si="12"/>
        <v>BUREAU VERITAS NORTH AMERICA</v>
      </c>
    </row>
    <row r="593" spans="1:9" x14ac:dyDescent="0.25">
      <c r="F593" s="9" t="s">
        <v>20</v>
      </c>
      <c r="G593" t="s">
        <v>21</v>
      </c>
      <c r="H593" t="str">
        <f>"2021-020384.10"</f>
        <v>2021-020384.10</v>
      </c>
      <c r="I593" t="str">
        <f t="shared" si="12"/>
        <v>BUREAU VERITAS NORTH AMERICA</v>
      </c>
    </row>
    <row r="594" spans="1:9" x14ac:dyDescent="0.25">
      <c r="F594" s="9" t="s">
        <v>20</v>
      </c>
      <c r="G594" t="s">
        <v>21</v>
      </c>
      <c r="H594" t="str">
        <f>"2021-020508.10"</f>
        <v>2021-020508.10</v>
      </c>
      <c r="I594" t="str">
        <f t="shared" si="12"/>
        <v>BUREAU VERITAS NORTH AMERICA</v>
      </c>
    </row>
    <row r="595" spans="1:9" x14ac:dyDescent="0.25">
      <c r="F595" s="9" t="s">
        <v>20</v>
      </c>
      <c r="G595" t="s">
        <v>21</v>
      </c>
      <c r="H595" t="str">
        <f>"2021-020637.10"</f>
        <v>2021-020637.10</v>
      </c>
      <c r="I595" t="str">
        <f t="shared" si="12"/>
        <v>BUREAU VERITAS NORTH AMERICA</v>
      </c>
    </row>
    <row r="596" spans="1:9" x14ac:dyDescent="0.25">
      <c r="F596" s="9" t="s">
        <v>20</v>
      </c>
      <c r="G596" t="s">
        <v>21</v>
      </c>
      <c r="H596" t="str">
        <f>"2021-020835-10"</f>
        <v>2021-020835-10</v>
      </c>
      <c r="I596" t="str">
        <f t="shared" si="12"/>
        <v>BUREAU VERITAS NORTH AMERICA</v>
      </c>
    </row>
    <row r="597" spans="1:9" x14ac:dyDescent="0.25">
      <c r="F597" s="9" t="s">
        <v>20</v>
      </c>
      <c r="G597" t="s">
        <v>21</v>
      </c>
      <c r="H597" t="str">
        <f>"2021-020838.10"</f>
        <v>2021-020838.10</v>
      </c>
      <c r="I597" t="str">
        <f t="shared" si="12"/>
        <v>BUREAU VERITAS NORTH AMERICA</v>
      </c>
    </row>
    <row r="598" spans="1:9" x14ac:dyDescent="0.25">
      <c r="F598" s="9" t="s">
        <v>20</v>
      </c>
      <c r="G598" t="s">
        <v>21</v>
      </c>
      <c r="H598" t="str">
        <f>"2021-020839.10"</f>
        <v>2021-020839.10</v>
      </c>
      <c r="I598" t="str">
        <f t="shared" si="12"/>
        <v>BUREAU VERITAS NORTH AMERICA</v>
      </c>
    </row>
    <row r="599" spans="1:9" x14ac:dyDescent="0.25">
      <c r="F599" s="9" t="s">
        <v>20</v>
      </c>
      <c r="G599" t="s">
        <v>21</v>
      </c>
      <c r="H599" t="str">
        <f>"2021-021007.10"</f>
        <v>2021-021007.10</v>
      </c>
      <c r="I599" t="str">
        <f t="shared" si="12"/>
        <v>BUREAU VERITAS NORTH AMERICA</v>
      </c>
    </row>
    <row r="600" spans="1:9" x14ac:dyDescent="0.25">
      <c r="F600" s="9" t="s">
        <v>20</v>
      </c>
      <c r="G600" t="s">
        <v>21</v>
      </c>
      <c r="H600" t="str">
        <f>"2021-021009.10"</f>
        <v>2021-021009.10</v>
      </c>
      <c r="I600" t="str">
        <f t="shared" si="12"/>
        <v>BUREAU VERITAS NORTH AMERICA</v>
      </c>
    </row>
    <row r="601" spans="1:9" x14ac:dyDescent="0.25">
      <c r="F601" s="9" t="s">
        <v>20</v>
      </c>
      <c r="G601" t="s">
        <v>21</v>
      </c>
      <c r="H601" t="str">
        <f>"2021-021016.10"</f>
        <v>2021-021016.10</v>
      </c>
      <c r="I601" t="str">
        <f t="shared" si="12"/>
        <v>BUREAU VERITAS NORTH AMERICA</v>
      </c>
    </row>
    <row r="602" spans="1:9" x14ac:dyDescent="0.25">
      <c r="F602" s="9" t="s">
        <v>20</v>
      </c>
      <c r="G602" t="s">
        <v>21</v>
      </c>
      <c r="H602" t="str">
        <f>"2021-021069.10"</f>
        <v>2021-021069.10</v>
      </c>
      <c r="I602" t="str">
        <f t="shared" si="12"/>
        <v>BUREAU VERITAS NORTH AMERICA</v>
      </c>
    </row>
    <row r="603" spans="1:9" x14ac:dyDescent="0.25">
      <c r="F603" s="9" t="s">
        <v>20</v>
      </c>
      <c r="G603" t="s">
        <v>21</v>
      </c>
      <c r="H603" t="str">
        <f>"2021-021501.10"</f>
        <v>2021-021501.10</v>
      </c>
      <c r="I603" t="str">
        <f t="shared" si="12"/>
        <v>BUREAU VERITAS NORTH AMERICA</v>
      </c>
    </row>
    <row r="604" spans="1:9" x14ac:dyDescent="0.25">
      <c r="F604" s="9" t="s">
        <v>20</v>
      </c>
      <c r="G604" t="s">
        <v>21</v>
      </c>
      <c r="H604" t="str">
        <f>"2021-021951.10"</f>
        <v>2021-021951.10</v>
      </c>
      <c r="I604" t="str">
        <f t="shared" si="12"/>
        <v>BUREAU VERITAS NORTH AMERICA</v>
      </c>
    </row>
    <row r="605" spans="1:9" x14ac:dyDescent="0.25">
      <c r="F605" s="9" t="s">
        <v>20</v>
      </c>
      <c r="G605" t="s">
        <v>21</v>
      </c>
      <c r="H605" t="str">
        <f>"2021-022045.10"</f>
        <v>2021-022045.10</v>
      </c>
      <c r="I605" t="str">
        <f t="shared" si="12"/>
        <v>BUREAU VERITAS NORTH AMERICA</v>
      </c>
    </row>
    <row r="606" spans="1:9" x14ac:dyDescent="0.25">
      <c r="F606" s="9" t="s">
        <v>20</v>
      </c>
      <c r="G606" t="s">
        <v>21</v>
      </c>
      <c r="H606" t="str">
        <f>"2021-022148.10"</f>
        <v>2021-022148.10</v>
      </c>
      <c r="I606" t="str">
        <f t="shared" si="12"/>
        <v>BUREAU VERITAS NORTH AMERICA</v>
      </c>
    </row>
    <row r="607" spans="1:9" x14ac:dyDescent="0.25">
      <c r="A607" s="6">
        <v>44516</v>
      </c>
      <c r="B607" t="s">
        <v>26</v>
      </c>
      <c r="C607">
        <v>68085</v>
      </c>
      <c r="D607" t="s">
        <v>102</v>
      </c>
      <c r="E607" s="7">
        <v>121.35</v>
      </c>
      <c r="F607" s="9" t="s">
        <v>20</v>
      </c>
      <c r="G607" t="s">
        <v>21</v>
      </c>
      <c r="H607" t="str">
        <f>"1120 D.ST OCT.2021"</f>
        <v>1120 D.ST OCT.2021</v>
      </c>
      <c r="I607" t="str">
        <f>"CENTERPOINT ENERGY ENTEX"</f>
        <v>CENTERPOINT ENERGY ENTEX</v>
      </c>
    </row>
    <row r="608" spans="1:9" x14ac:dyDescent="0.25">
      <c r="F608" s="9" t="s">
        <v>20</v>
      </c>
      <c r="G608" t="s">
        <v>21</v>
      </c>
      <c r="H608" t="str">
        <f>"1200 1ST OCT.2021"</f>
        <v>1200 1ST OCT.2021</v>
      </c>
      <c r="I608" t="str">
        <f>"CENTERPOINT ENERGY ENTEX"</f>
        <v>CENTERPOINT ENERGY ENTEX</v>
      </c>
    </row>
    <row r="609" spans="1:9" x14ac:dyDescent="0.25">
      <c r="F609" s="9" t="s">
        <v>20</v>
      </c>
      <c r="G609" t="s">
        <v>21</v>
      </c>
      <c r="H609" t="str">
        <f>"920 C.ST OCT.2021"</f>
        <v>920 C.ST OCT.2021</v>
      </c>
      <c r="I609" t="str">
        <f>"CENTERPOINT ENERGY ENTEX"</f>
        <v>CENTERPOINT ENERGY ENTEX</v>
      </c>
    </row>
    <row r="610" spans="1:9" x14ac:dyDescent="0.25">
      <c r="A610" s="6">
        <v>44516</v>
      </c>
      <c r="B610" t="s">
        <v>26</v>
      </c>
      <c r="C610">
        <v>68086</v>
      </c>
      <c r="D610" t="s">
        <v>1012</v>
      </c>
      <c r="E610" s="7">
        <v>50</v>
      </c>
      <c r="F610" s="9" t="s">
        <v>20</v>
      </c>
      <c r="G610" t="s">
        <v>21</v>
      </c>
      <c r="H610" t="str">
        <f>"DEP. REFUND CANCEL"</f>
        <v>DEP. REFUND CANCEL</v>
      </c>
      <c r="I610" t="str">
        <f>"REFUN"</f>
        <v>REFUN</v>
      </c>
    </row>
    <row r="611" spans="1:9" x14ac:dyDescent="0.25">
      <c r="A611" s="6">
        <v>44516</v>
      </c>
      <c r="B611" t="s">
        <v>26</v>
      </c>
      <c r="C611">
        <v>68087</v>
      </c>
      <c r="D611" t="s">
        <v>71</v>
      </c>
      <c r="E611" s="7">
        <v>1218.04</v>
      </c>
      <c r="F611" s="9" t="s">
        <v>20</v>
      </c>
      <c r="G611" t="s">
        <v>21</v>
      </c>
      <c r="H611" t="str">
        <f>"4101027321"</f>
        <v>4101027321</v>
      </c>
      <c r="I611" t="str">
        <f t="shared" ref="I611:I616" si="13">"CINTAS CORPORATION #087"</f>
        <v>CINTAS CORPORATION #087</v>
      </c>
    </row>
    <row r="612" spans="1:9" x14ac:dyDescent="0.25">
      <c r="F612" s="9" t="s">
        <v>20</v>
      </c>
      <c r="G612" t="s">
        <v>21</v>
      </c>
      <c r="H612" t="str">
        <f>"4101027339"</f>
        <v>4101027339</v>
      </c>
      <c r="I612" t="str">
        <f t="shared" si="13"/>
        <v>CINTAS CORPORATION #087</v>
      </c>
    </row>
    <row r="613" spans="1:9" x14ac:dyDescent="0.25">
      <c r="F613" s="9" t="s">
        <v>20</v>
      </c>
      <c r="G613" t="s">
        <v>21</v>
      </c>
      <c r="H613" t="str">
        <f>"4101027376"</f>
        <v>4101027376</v>
      </c>
      <c r="I613" t="str">
        <f t="shared" si="13"/>
        <v>CINTAS CORPORATION #087</v>
      </c>
    </row>
    <row r="614" spans="1:9" x14ac:dyDescent="0.25">
      <c r="F614" s="9" t="s">
        <v>20</v>
      </c>
      <c r="G614" t="s">
        <v>21</v>
      </c>
      <c r="H614" t="str">
        <f>"4101027422"</f>
        <v>4101027422</v>
      </c>
      <c r="I614" t="str">
        <f t="shared" si="13"/>
        <v>CINTAS CORPORATION #087</v>
      </c>
    </row>
    <row r="615" spans="1:9" x14ac:dyDescent="0.25">
      <c r="F615" s="9" t="s">
        <v>20</v>
      </c>
      <c r="G615" t="s">
        <v>21</v>
      </c>
      <c r="H615" t="str">
        <f>"4101027440"</f>
        <v>4101027440</v>
      </c>
      <c r="I615" t="str">
        <f t="shared" si="13"/>
        <v>CINTAS CORPORATION #087</v>
      </c>
    </row>
    <row r="616" spans="1:9" x14ac:dyDescent="0.25">
      <c r="F616" s="9" t="s">
        <v>20</v>
      </c>
      <c r="G616" t="s">
        <v>21</v>
      </c>
      <c r="H616" t="str">
        <f>"4101027522"</f>
        <v>4101027522</v>
      </c>
      <c r="I616" t="str">
        <f t="shared" si="13"/>
        <v>CINTAS CORPORATION #087</v>
      </c>
    </row>
    <row r="617" spans="1:9" x14ac:dyDescent="0.25">
      <c r="A617" s="6">
        <v>44516</v>
      </c>
      <c r="B617" t="s">
        <v>26</v>
      </c>
      <c r="C617">
        <v>68089</v>
      </c>
      <c r="D617" t="s">
        <v>647</v>
      </c>
      <c r="E617" s="7">
        <v>5232.62</v>
      </c>
      <c r="F617" s="9" t="s">
        <v>20</v>
      </c>
      <c r="G617" t="s">
        <v>21</v>
      </c>
      <c r="H617" t="str">
        <f>"30444396"</f>
        <v>30444396</v>
      </c>
      <c r="I617" t="str">
        <f>"DOCUMATION  INC."</f>
        <v>DOCUMATION  INC.</v>
      </c>
    </row>
    <row r="618" spans="1:9" x14ac:dyDescent="0.25">
      <c r="A618" s="6">
        <v>44516</v>
      </c>
      <c r="B618" t="s">
        <v>26</v>
      </c>
      <c r="C618">
        <v>68090</v>
      </c>
      <c r="D618" t="s">
        <v>77</v>
      </c>
      <c r="E618" s="7">
        <v>320</v>
      </c>
      <c r="F618" s="9" t="s">
        <v>20</v>
      </c>
      <c r="G618" t="s">
        <v>21</v>
      </c>
      <c r="H618" t="str">
        <f>"DE85002459-21"</f>
        <v>DE85002459-21</v>
      </c>
      <c r="I618" t="str">
        <f>"DPC INDUSTRIES  INC."</f>
        <v>DPC INDUSTRIES  INC.</v>
      </c>
    </row>
    <row r="619" spans="1:9" x14ac:dyDescent="0.25">
      <c r="A619" s="6">
        <v>44516</v>
      </c>
      <c r="B619" t="s">
        <v>26</v>
      </c>
      <c r="C619">
        <v>68091</v>
      </c>
      <c r="D619" t="s">
        <v>69</v>
      </c>
      <c r="E619" s="7">
        <v>671.28</v>
      </c>
      <c r="F619" s="9" t="s">
        <v>20</v>
      </c>
      <c r="G619" t="s">
        <v>21</v>
      </c>
      <c r="H619" t="str">
        <f>"3C13951"</f>
        <v>3C13951</v>
      </c>
      <c r="I619" t="str">
        <f>"STREETS SUPPLIES"</f>
        <v>STREETS SUPPLIES</v>
      </c>
    </row>
    <row r="620" spans="1:9" x14ac:dyDescent="0.25">
      <c r="F620" s="9" t="s">
        <v>20</v>
      </c>
      <c r="G620" t="s">
        <v>21</v>
      </c>
      <c r="H620" t="str">
        <f>"3C13997"</f>
        <v>3C13997</v>
      </c>
      <c r="I620" t="str">
        <f>"STRING AND WEEDEATER FLUI"</f>
        <v>STRING AND WEEDEATER FLUI</v>
      </c>
    </row>
    <row r="621" spans="1:9" x14ac:dyDescent="0.25">
      <c r="F621" s="9" t="s">
        <v>20</v>
      </c>
      <c r="G621" t="s">
        <v>21</v>
      </c>
      <c r="H621" t="str">
        <f>"3C14220"</f>
        <v>3C14220</v>
      </c>
      <c r="I621" t="str">
        <f>"PARKS DEPT"</f>
        <v>PARKS DEPT</v>
      </c>
    </row>
    <row r="622" spans="1:9" x14ac:dyDescent="0.25">
      <c r="A622" s="6">
        <v>44516</v>
      </c>
      <c r="B622" t="s">
        <v>26</v>
      </c>
      <c r="C622">
        <v>68092</v>
      </c>
      <c r="D622" t="s">
        <v>57</v>
      </c>
      <c r="E622" s="7">
        <v>7400.86</v>
      </c>
      <c r="F622" s="9" t="s">
        <v>20</v>
      </c>
      <c r="G622" t="s">
        <v>21</v>
      </c>
      <c r="H622" t="str">
        <f>"4316 STK201031"</f>
        <v>4316 STK201031</v>
      </c>
      <c r="I622" t="str">
        <f>"B STREET WELL REPAIR"</f>
        <v>B STREET WELL REPAIR</v>
      </c>
    </row>
    <row r="623" spans="1:9" x14ac:dyDescent="0.25">
      <c r="A623" s="6">
        <v>44516</v>
      </c>
      <c r="B623" t="s">
        <v>26</v>
      </c>
      <c r="C623">
        <v>68093</v>
      </c>
      <c r="D623" t="s">
        <v>59</v>
      </c>
      <c r="E623" s="7">
        <v>1590.1</v>
      </c>
      <c r="F623" s="9" t="s">
        <v>20</v>
      </c>
      <c r="G623" t="s">
        <v>21</v>
      </c>
      <c r="H623" t="str">
        <f>"1144109-1"</f>
        <v>1144109-1</v>
      </c>
      <c r="I623" t="str">
        <f>"FERGUSON WATERWORKS - MUNICIPA"</f>
        <v>FERGUSON WATERWORKS - MUNICIPA</v>
      </c>
    </row>
    <row r="624" spans="1:9" x14ac:dyDescent="0.25">
      <c r="F624" s="9" t="s">
        <v>20</v>
      </c>
      <c r="G624" t="s">
        <v>21</v>
      </c>
      <c r="H624" t="str">
        <f>"1144109-2"</f>
        <v>1144109-2</v>
      </c>
      <c r="I624" t="str">
        <f>"FERGUSON WATERWORKS - MUNICIPA"</f>
        <v>FERGUSON WATERWORKS - MUNICIPA</v>
      </c>
    </row>
    <row r="625" spans="1:9" x14ac:dyDescent="0.25">
      <c r="F625" s="9" t="s">
        <v>20</v>
      </c>
      <c r="G625" t="s">
        <v>21</v>
      </c>
      <c r="H625" t="str">
        <f>"1146716"</f>
        <v>1146716</v>
      </c>
      <c r="I625" t="str">
        <f>"TITE SLD PIPE"</f>
        <v>TITE SLD PIPE</v>
      </c>
    </row>
    <row r="626" spans="1:9" x14ac:dyDescent="0.25">
      <c r="A626" s="6">
        <v>44516</v>
      </c>
      <c r="B626" t="s">
        <v>26</v>
      </c>
      <c r="C626">
        <v>68094</v>
      </c>
      <c r="D626" t="s">
        <v>85</v>
      </c>
      <c r="E626" s="7">
        <v>63.56</v>
      </c>
      <c r="F626" s="9" t="s">
        <v>20</v>
      </c>
      <c r="G626" t="s">
        <v>21</v>
      </c>
      <c r="H626" t="str">
        <f>"3939791 11/2021"</f>
        <v>3939791 11/2021</v>
      </c>
      <c r="I626" t="str">
        <f>"FRONTIER"</f>
        <v>FRONTIER</v>
      </c>
    </row>
    <row r="627" spans="1:9" x14ac:dyDescent="0.25">
      <c r="A627" s="6">
        <v>44516</v>
      </c>
      <c r="B627" t="s">
        <v>26</v>
      </c>
      <c r="C627">
        <v>68095</v>
      </c>
      <c r="D627" t="s">
        <v>532</v>
      </c>
      <c r="E627" s="7">
        <v>80</v>
      </c>
      <c r="F627" s="9" t="s">
        <v>20</v>
      </c>
      <c r="G627" t="s">
        <v>21</v>
      </c>
      <c r="H627" t="str">
        <f>"86159 RENEWAL"</f>
        <v>86159 RENEWAL</v>
      </c>
      <c r="I627" t="str">
        <f>"GOVERNMENT FINANCE OFFICERS AS"</f>
        <v>GOVERNMENT FINANCE OFFICERS AS</v>
      </c>
    </row>
    <row r="628" spans="1:9" x14ac:dyDescent="0.25">
      <c r="A628" s="6">
        <v>44516</v>
      </c>
      <c r="B628" t="s">
        <v>26</v>
      </c>
      <c r="C628">
        <v>68096</v>
      </c>
      <c r="D628" t="s">
        <v>302</v>
      </c>
      <c r="E628" s="7">
        <v>855.91</v>
      </c>
      <c r="F628" s="9" t="s">
        <v>20</v>
      </c>
      <c r="G628" t="s">
        <v>21</v>
      </c>
      <c r="H628" t="str">
        <f>"833139892-2"</f>
        <v>833139892-2</v>
      </c>
      <c r="I628" t="str">
        <f>"PRESSURE WASHER"</f>
        <v>PRESSURE WASHER</v>
      </c>
    </row>
    <row r="629" spans="1:9" x14ac:dyDescent="0.25">
      <c r="A629" s="6">
        <v>44516</v>
      </c>
      <c r="B629" t="s">
        <v>26</v>
      </c>
      <c r="C629">
        <v>68097</v>
      </c>
      <c r="D629" t="s">
        <v>125</v>
      </c>
      <c r="E629" s="7">
        <v>765</v>
      </c>
      <c r="F629" s="9" t="s">
        <v>20</v>
      </c>
      <c r="G629" t="s">
        <v>21</v>
      </c>
      <c r="H629" t="str">
        <f>"21-1006  OCT. 2021"</f>
        <v>21-1006  OCT. 2021</v>
      </c>
      <c r="I629" t="str">
        <f>"INTREPID SURVEYING CORPORATION"</f>
        <v>INTREPID SURVEYING CORPORATION</v>
      </c>
    </row>
    <row r="630" spans="1:9" x14ac:dyDescent="0.25">
      <c r="A630" s="6">
        <v>44516</v>
      </c>
      <c r="B630" t="s">
        <v>26</v>
      </c>
      <c r="C630">
        <v>68098</v>
      </c>
      <c r="D630" t="s">
        <v>927</v>
      </c>
      <c r="E630" s="7">
        <v>1370.37</v>
      </c>
      <c r="F630" s="9" t="s">
        <v>20</v>
      </c>
      <c r="G630" t="s">
        <v>21</v>
      </c>
      <c r="H630" t="str">
        <f>"0000002 CITY"</f>
        <v>0000002 CITY</v>
      </c>
      <c r="I630" t="str">
        <f>"JOELZ LAWN MOWING SERVICE"</f>
        <v>JOELZ LAWN MOWING SERVICE</v>
      </c>
    </row>
    <row r="631" spans="1:9" x14ac:dyDescent="0.25">
      <c r="A631" s="6">
        <v>44516</v>
      </c>
      <c r="B631" t="s">
        <v>26</v>
      </c>
      <c r="C631">
        <v>68099</v>
      </c>
      <c r="D631" t="s">
        <v>117</v>
      </c>
      <c r="E631" s="7">
        <v>672.81</v>
      </c>
      <c r="F631" s="9" t="s">
        <v>20</v>
      </c>
      <c r="G631" t="s">
        <v>21</v>
      </c>
      <c r="H631" t="str">
        <f>"OCTOBER 2021"</f>
        <v>OCTOBER 2021</v>
      </c>
      <c r="I631" t="str">
        <f>"LINEBARGER GOGGAN BLAIR &amp; SAMP"</f>
        <v>LINEBARGER GOGGAN BLAIR &amp; SAMP</v>
      </c>
    </row>
    <row r="632" spans="1:9" x14ac:dyDescent="0.25">
      <c r="A632" s="6">
        <v>44516</v>
      </c>
      <c r="B632" t="s">
        <v>26</v>
      </c>
      <c r="C632">
        <v>68100</v>
      </c>
      <c r="D632" t="s">
        <v>1136</v>
      </c>
      <c r="E632" s="7">
        <v>9631.4500000000007</v>
      </c>
      <c r="F632" s="9" t="s">
        <v>20</v>
      </c>
      <c r="G632" t="s">
        <v>21</v>
      </c>
      <c r="H632" t="str">
        <f>"INV0057"</f>
        <v>INV0057</v>
      </c>
      <c r="I632" t="str">
        <f>"LUX ELECTRIC LLC"</f>
        <v>LUX ELECTRIC LLC</v>
      </c>
    </row>
    <row r="633" spans="1:9" x14ac:dyDescent="0.25">
      <c r="F633" s="9" t="s">
        <v>20</v>
      </c>
      <c r="G633" t="s">
        <v>21</v>
      </c>
      <c r="H633" t="str">
        <f>"INV0068"</f>
        <v>INV0068</v>
      </c>
      <c r="I633" t="str">
        <f>"LUX ELECTRIC LLC"</f>
        <v>LUX ELECTRIC LLC</v>
      </c>
    </row>
    <row r="634" spans="1:9" x14ac:dyDescent="0.25">
      <c r="F634" s="9" t="s">
        <v>20</v>
      </c>
      <c r="G634" t="s">
        <v>21</v>
      </c>
      <c r="H634" t="str">
        <f>"INV0072"</f>
        <v>INV0072</v>
      </c>
      <c r="I634" t="str">
        <f>"LUX ELECTRIC LLC"</f>
        <v>LUX ELECTRIC LLC</v>
      </c>
    </row>
    <row r="635" spans="1:9" x14ac:dyDescent="0.25">
      <c r="F635" s="9" t="s">
        <v>20</v>
      </c>
      <c r="G635" t="s">
        <v>21</v>
      </c>
      <c r="H635" t="str">
        <f>"INV0073-1"</f>
        <v>INV0073-1</v>
      </c>
      <c r="I635" t="str">
        <f>"B STREET WATER WELL"</f>
        <v>B STREET WATER WELL</v>
      </c>
    </row>
    <row r="636" spans="1:9" x14ac:dyDescent="0.25">
      <c r="A636" s="6">
        <v>44516</v>
      </c>
      <c r="B636" t="s">
        <v>26</v>
      </c>
      <c r="C636">
        <v>68101</v>
      </c>
      <c r="D636" t="s">
        <v>124</v>
      </c>
      <c r="E636" s="7">
        <v>434.35</v>
      </c>
      <c r="F636" s="9" t="s">
        <v>20</v>
      </c>
      <c r="G636" t="s">
        <v>21</v>
      </c>
      <c r="H636" t="str">
        <f>"11112508"</f>
        <v>11112508</v>
      </c>
      <c r="I636" t="str">
        <f>"SUPPLIES FOR STREETS DEPT"</f>
        <v>SUPPLIES FOR STREETS DEPT</v>
      </c>
    </row>
    <row r="637" spans="1:9" x14ac:dyDescent="0.25">
      <c r="F637" s="9" t="s">
        <v>20</v>
      </c>
      <c r="G637" t="s">
        <v>21</v>
      </c>
      <c r="H637" t="str">
        <f>"11113343"</f>
        <v>11113343</v>
      </c>
      <c r="I637" t="str">
        <f>"WIC BUILDING REPAIR"</f>
        <v>WIC BUILDING REPAIR</v>
      </c>
    </row>
    <row r="638" spans="1:9" x14ac:dyDescent="0.25">
      <c r="A638" s="6">
        <v>44516</v>
      </c>
      <c r="B638" t="s">
        <v>26</v>
      </c>
      <c r="C638">
        <v>68102</v>
      </c>
      <c r="D638" t="s">
        <v>1137</v>
      </c>
      <c r="E638" s="7">
        <v>50</v>
      </c>
      <c r="F638" s="9" t="s">
        <v>20</v>
      </c>
      <c r="G638" t="s">
        <v>21</v>
      </c>
      <c r="H638" t="str">
        <f>"DEP. REFUND11/6/21"</f>
        <v>DEP. REFUND11/6/21</v>
      </c>
      <c r="I638" t="str">
        <f>"REFUND"</f>
        <v>REFUND</v>
      </c>
    </row>
    <row r="639" spans="1:9" x14ac:dyDescent="0.25">
      <c r="A639" s="6">
        <v>44516</v>
      </c>
      <c r="B639" t="s">
        <v>26</v>
      </c>
      <c r="C639">
        <v>68103</v>
      </c>
      <c r="D639" t="s">
        <v>345</v>
      </c>
      <c r="E639" s="7">
        <v>247.5</v>
      </c>
      <c r="F639" s="9" t="s">
        <v>20</v>
      </c>
      <c r="G639" t="s">
        <v>21</v>
      </c>
      <c r="H639" t="str">
        <f>"11/15/2021"</f>
        <v>11/15/2021</v>
      </c>
      <c r="I639" t="str">
        <f>"MICHAEL ISAAC MARTINEZ"</f>
        <v>MICHAEL ISAAC MARTINEZ</v>
      </c>
    </row>
    <row r="640" spans="1:9" x14ac:dyDescent="0.25">
      <c r="A640" s="6">
        <v>44516</v>
      </c>
      <c r="B640" t="s">
        <v>26</v>
      </c>
      <c r="C640">
        <v>68104</v>
      </c>
      <c r="D640" t="s">
        <v>1041</v>
      </c>
      <c r="E640" s="7">
        <v>12</v>
      </c>
      <c r="F640" s="9" t="s">
        <v>20</v>
      </c>
      <c r="G640" t="s">
        <v>21</v>
      </c>
      <c r="H640" t="str">
        <f>"632298"</f>
        <v>632298</v>
      </c>
      <c r="I640" t="str">
        <f>"MONARCH TROPHY STUDIO"</f>
        <v>MONARCH TROPHY STUDIO</v>
      </c>
    </row>
    <row r="641" spans="1:9" x14ac:dyDescent="0.25">
      <c r="A641" s="6">
        <v>44516</v>
      </c>
      <c r="B641" t="s">
        <v>26</v>
      </c>
      <c r="C641">
        <v>68105</v>
      </c>
      <c r="D641" t="s">
        <v>240</v>
      </c>
      <c r="E641" s="7">
        <v>225.98</v>
      </c>
      <c r="F641" s="9" t="s">
        <v>20</v>
      </c>
      <c r="G641" t="s">
        <v>21</v>
      </c>
      <c r="H641" t="str">
        <f>"0219275-IN"</f>
        <v>0219275-IN</v>
      </c>
      <c r="I641" t="str">
        <f>"LT. HERRERA PD ALLOWANCE"</f>
        <v>LT. HERRERA PD ALLOWANCE</v>
      </c>
    </row>
    <row r="642" spans="1:9" x14ac:dyDescent="0.25">
      <c r="A642" s="6">
        <v>44516</v>
      </c>
      <c r="B642" t="s">
        <v>26</v>
      </c>
      <c r="C642">
        <v>68106</v>
      </c>
      <c r="D642" t="s">
        <v>123</v>
      </c>
      <c r="E642" s="7">
        <v>57.92</v>
      </c>
      <c r="F642" s="9" t="s">
        <v>20</v>
      </c>
      <c r="G642" t="s">
        <v>21</v>
      </c>
      <c r="H642" t="str">
        <f>"20691425001"</f>
        <v>20691425001</v>
      </c>
      <c r="I642" t="str">
        <f>"OFFICE SUPPLIES HR/SHOP"</f>
        <v>OFFICE SUPPLIES HR/SHOP</v>
      </c>
    </row>
    <row r="643" spans="1:9" x14ac:dyDescent="0.25">
      <c r="A643" s="6">
        <v>44516</v>
      </c>
      <c r="B643" t="s">
        <v>26</v>
      </c>
      <c r="C643">
        <v>68107</v>
      </c>
      <c r="D643" t="s">
        <v>1081</v>
      </c>
      <c r="E643" s="7">
        <v>1369.88</v>
      </c>
      <c r="F643" s="9" t="s">
        <v>20</v>
      </c>
      <c r="G643" t="s">
        <v>21</v>
      </c>
      <c r="H643" t="str">
        <f>"28090"</f>
        <v>28090</v>
      </c>
      <c r="I643" t="str">
        <f>"PINNACLE PEST DEFENSE"</f>
        <v>PINNACLE PEST DEFENSE</v>
      </c>
    </row>
    <row r="644" spans="1:9" x14ac:dyDescent="0.25">
      <c r="F644" s="9" t="s">
        <v>20</v>
      </c>
      <c r="G644" t="s">
        <v>21</v>
      </c>
      <c r="H644" t="str">
        <f>"28112"</f>
        <v>28112</v>
      </c>
      <c r="I644" t="str">
        <f>"PINNACLE PEST DEFENSE"</f>
        <v>PINNACLE PEST DEFENSE</v>
      </c>
    </row>
    <row r="645" spans="1:9" x14ac:dyDescent="0.25">
      <c r="F645" s="9" t="s">
        <v>20</v>
      </c>
      <c r="G645" t="s">
        <v>21</v>
      </c>
      <c r="H645" t="str">
        <f>"28526"</f>
        <v>28526</v>
      </c>
      <c r="I645" t="str">
        <f>"PINNACLE PEST DEFENSE"</f>
        <v>PINNACLE PEST DEFENSE</v>
      </c>
    </row>
    <row r="646" spans="1:9" x14ac:dyDescent="0.25">
      <c r="A646" s="6">
        <v>44516</v>
      </c>
      <c r="B646" t="s">
        <v>26</v>
      </c>
      <c r="C646">
        <v>68108</v>
      </c>
      <c r="D646" t="s">
        <v>166</v>
      </c>
      <c r="E646" s="7">
        <v>659.47</v>
      </c>
      <c r="F646" s="9" t="s">
        <v>20</v>
      </c>
      <c r="G646" t="s">
        <v>21</v>
      </c>
      <c r="H646" t="str">
        <f>"9567  11/15/2021"</f>
        <v>9567  11/15/2021</v>
      </c>
      <c r="I646" t="str">
        <f>"PITNEY BOWES PURCHASE POWER"</f>
        <v>PITNEY BOWES PURCHASE POWER</v>
      </c>
    </row>
    <row r="647" spans="1:9" x14ac:dyDescent="0.25">
      <c r="A647" s="6">
        <v>44516</v>
      </c>
      <c r="B647" t="s">
        <v>26</v>
      </c>
      <c r="C647">
        <v>68109</v>
      </c>
      <c r="D647" t="s">
        <v>62</v>
      </c>
      <c r="E647" s="7">
        <v>225.25</v>
      </c>
      <c r="F647" s="9" t="s">
        <v>20</v>
      </c>
      <c r="G647" t="s">
        <v>21</v>
      </c>
      <c r="H647" t="str">
        <f>"76300"</f>
        <v>76300</v>
      </c>
      <c r="I647" t="str">
        <f>"PROFICIENT BENEFIT SOLUTIONS"</f>
        <v>PROFICIENT BENEFIT SOLUTIONS</v>
      </c>
    </row>
    <row r="648" spans="1:9" x14ac:dyDescent="0.25">
      <c r="A648" s="6">
        <v>44516</v>
      </c>
      <c r="B648" t="s">
        <v>26</v>
      </c>
      <c r="C648">
        <v>68110</v>
      </c>
      <c r="D648" t="s">
        <v>1138</v>
      </c>
      <c r="E648" s="7">
        <v>475</v>
      </c>
      <c r="F648" s="9" t="s">
        <v>20</v>
      </c>
      <c r="G648" t="s">
        <v>21</v>
      </c>
      <c r="H648" t="str">
        <f>"722127"</f>
        <v>722127</v>
      </c>
      <c r="I648" t="str">
        <f>"PROTECH PEST SERVICES"</f>
        <v>PROTECH PEST SERVICES</v>
      </c>
    </row>
    <row r="649" spans="1:9" x14ac:dyDescent="0.25">
      <c r="A649" s="6">
        <v>44516</v>
      </c>
      <c r="B649" t="s">
        <v>26</v>
      </c>
      <c r="C649">
        <v>68111</v>
      </c>
      <c r="D649" t="s">
        <v>126</v>
      </c>
      <c r="E649" s="7">
        <v>1057.92</v>
      </c>
      <c r="F649" s="9" t="s">
        <v>20</v>
      </c>
      <c r="G649" t="s">
        <v>21</v>
      </c>
      <c r="H649" t="str">
        <f>"0859-002957595"</f>
        <v>0859-002957595</v>
      </c>
      <c r="I649" t="str">
        <f>"REPUBLIC SERVICES #859"</f>
        <v>REPUBLIC SERVICES #859</v>
      </c>
    </row>
    <row r="650" spans="1:9" x14ac:dyDescent="0.25">
      <c r="A650" s="6">
        <v>44516</v>
      </c>
      <c r="B650" t="s">
        <v>26</v>
      </c>
      <c r="C650">
        <v>68112</v>
      </c>
      <c r="D650" t="s">
        <v>630</v>
      </c>
      <c r="E650" s="7">
        <v>3646.04</v>
      </c>
      <c r="F650" s="9" t="s">
        <v>20</v>
      </c>
      <c r="G650" t="s">
        <v>21</v>
      </c>
      <c r="H650" t="str">
        <f>"41291"</f>
        <v>41291</v>
      </c>
      <c r="I650" t="str">
        <f>"RG3 METER COMPANY"</f>
        <v>RG3 METER COMPANY</v>
      </c>
    </row>
    <row r="651" spans="1:9" x14ac:dyDescent="0.25">
      <c r="F651" s="9" t="s">
        <v>20</v>
      </c>
      <c r="G651" t="s">
        <v>21</v>
      </c>
      <c r="H651" t="str">
        <f>"41336"</f>
        <v>41336</v>
      </c>
      <c r="I651" t="str">
        <f>"WATER METER"</f>
        <v>WATER METER</v>
      </c>
    </row>
    <row r="652" spans="1:9" x14ac:dyDescent="0.25">
      <c r="A652" s="6">
        <v>44516</v>
      </c>
      <c r="B652" t="s">
        <v>26</v>
      </c>
      <c r="C652">
        <v>68113</v>
      </c>
      <c r="D652" t="s">
        <v>1139</v>
      </c>
      <c r="E652" s="7">
        <v>643.82000000000005</v>
      </c>
      <c r="F652" s="9" t="s">
        <v>20</v>
      </c>
      <c r="G652" t="s">
        <v>21</v>
      </c>
      <c r="H652" t="str">
        <f>"960808-00"</f>
        <v>960808-00</v>
      </c>
      <c r="I652" t="str">
        <f>"GLOVES FOR WWTP"</f>
        <v>GLOVES FOR WWTP</v>
      </c>
    </row>
    <row r="653" spans="1:9" x14ac:dyDescent="0.25">
      <c r="A653" s="6">
        <v>44516</v>
      </c>
      <c r="B653" t="s">
        <v>26</v>
      </c>
      <c r="C653">
        <v>68114</v>
      </c>
      <c r="D653" t="s">
        <v>132</v>
      </c>
      <c r="E653" s="7">
        <v>109.4</v>
      </c>
      <c r="F653" s="9" t="s">
        <v>20</v>
      </c>
      <c r="G653" t="s">
        <v>21</v>
      </c>
      <c r="H653" t="str">
        <f>"16992887  110421"</f>
        <v>16992887  110421</v>
      </c>
      <c r="I653" t="str">
        <f>"SPARKLETTS &amp; SIERRA SPRINGS"</f>
        <v>SPARKLETTS &amp; SIERRA SPRINGS</v>
      </c>
    </row>
    <row r="654" spans="1:9" x14ac:dyDescent="0.25">
      <c r="A654" s="6">
        <v>44516</v>
      </c>
      <c r="B654" t="s">
        <v>26</v>
      </c>
      <c r="C654">
        <v>68115</v>
      </c>
      <c r="D654" t="s">
        <v>84</v>
      </c>
      <c r="E654" s="7">
        <v>1750</v>
      </c>
      <c r="F654" s="9" t="s">
        <v>20</v>
      </c>
      <c r="G654" t="s">
        <v>21</v>
      </c>
      <c r="H654" t="str">
        <f>"1854196"</f>
        <v>1854196</v>
      </c>
      <c r="I654" t="str">
        <f>"STANTEC CONSULTING SERVICES IN"</f>
        <v>STANTEC CONSULTING SERVICES IN</v>
      </c>
    </row>
    <row r="655" spans="1:9" x14ac:dyDescent="0.25">
      <c r="F655" s="9" t="s">
        <v>20</v>
      </c>
      <c r="G655" t="s">
        <v>21</v>
      </c>
      <c r="H655" t="str">
        <f>"1854197"</f>
        <v>1854197</v>
      </c>
      <c r="I655" t="str">
        <f>"STANTEC CONSULTING SERVICES IN"</f>
        <v>STANTEC CONSULTING SERVICES IN</v>
      </c>
    </row>
    <row r="656" spans="1:9" x14ac:dyDescent="0.25">
      <c r="A656" s="6">
        <v>44516</v>
      </c>
      <c r="B656" t="s">
        <v>26</v>
      </c>
      <c r="C656">
        <v>68116</v>
      </c>
      <c r="D656" t="s">
        <v>346</v>
      </c>
      <c r="E656" s="7">
        <v>13750</v>
      </c>
      <c r="F656" s="9" t="s">
        <v>20</v>
      </c>
      <c r="G656" t="s">
        <v>21</v>
      </c>
      <c r="H656" t="str">
        <f>"10/11-11/11/2021"</f>
        <v>10/11-11/11/2021</v>
      </c>
      <c r="I656" t="str">
        <f>"SYLVIA RODRIGUEZ"</f>
        <v>SYLVIA RODRIGUEZ</v>
      </c>
    </row>
    <row r="657" spans="1:9" x14ac:dyDescent="0.25">
      <c r="A657" s="6">
        <v>44516</v>
      </c>
      <c r="B657" t="s">
        <v>26</v>
      </c>
      <c r="C657">
        <v>68117</v>
      </c>
      <c r="D657" t="s">
        <v>975</v>
      </c>
      <c r="E657" s="7">
        <v>14.66</v>
      </c>
      <c r="F657" s="9" t="s">
        <v>20</v>
      </c>
      <c r="G657" t="s">
        <v>21</v>
      </c>
      <c r="H657" t="str">
        <f>"P93591"</f>
        <v>P93591</v>
      </c>
      <c r="I657" t="str">
        <f>"PARTS FOR ZERO TURN"</f>
        <v>PARTS FOR ZERO TURN</v>
      </c>
    </row>
    <row r="658" spans="1:9" x14ac:dyDescent="0.25">
      <c r="A658" s="6">
        <v>44516</v>
      </c>
      <c r="B658" t="s">
        <v>26</v>
      </c>
      <c r="C658">
        <v>68118</v>
      </c>
      <c r="D658" t="s">
        <v>982</v>
      </c>
      <c r="E658" s="7">
        <v>100</v>
      </c>
      <c r="F658" s="9" t="s">
        <v>20</v>
      </c>
      <c r="G658" t="s">
        <v>21</v>
      </c>
      <c r="H658" t="str">
        <f>"M2470 CO-OP RENEWA"</f>
        <v>M2470 CO-OP RENEWA</v>
      </c>
      <c r="I658" t="str">
        <f>"TEXAS COMPTROLLER OF PUBLIC AC"</f>
        <v>TEXAS COMPTROLLER OF PUBLIC AC</v>
      </c>
    </row>
    <row r="659" spans="1:9" x14ac:dyDescent="0.25">
      <c r="A659" s="6">
        <v>44516</v>
      </c>
      <c r="B659" t="s">
        <v>26</v>
      </c>
      <c r="C659">
        <v>68119</v>
      </c>
      <c r="D659" t="s">
        <v>31</v>
      </c>
      <c r="E659" s="7">
        <v>2000</v>
      </c>
      <c r="F659" s="9" t="s">
        <v>20</v>
      </c>
      <c r="G659" t="s">
        <v>21</v>
      </c>
      <c r="H659" t="str">
        <f>"2021281"</f>
        <v>2021281</v>
      </c>
      <c r="I659" t="str">
        <f>"THE LAW OFFICE OF TOM CALDWELL"</f>
        <v>THE LAW OFFICE OF TOM CALDWELL</v>
      </c>
    </row>
    <row r="660" spans="1:9" x14ac:dyDescent="0.25">
      <c r="A660" s="6">
        <v>44516</v>
      </c>
      <c r="B660" t="s">
        <v>26</v>
      </c>
      <c r="C660">
        <v>68120</v>
      </c>
      <c r="D660" t="s">
        <v>644</v>
      </c>
      <c r="E660" s="7">
        <v>579.28</v>
      </c>
      <c r="F660" s="9" t="s">
        <v>20</v>
      </c>
      <c r="G660" t="s">
        <v>21</v>
      </c>
      <c r="H660" t="str">
        <f>"8213660493"</f>
        <v>8213660493</v>
      </c>
      <c r="I660" t="str">
        <f t="shared" ref="I660:I665" si="14">"UNIFIRST CORPORATION"</f>
        <v>UNIFIRST CORPORATION</v>
      </c>
    </row>
    <row r="661" spans="1:9" x14ac:dyDescent="0.25">
      <c r="F661" s="9" t="s">
        <v>20</v>
      </c>
      <c r="G661" t="s">
        <v>21</v>
      </c>
      <c r="H661" t="str">
        <f>"8213660494"</f>
        <v>8213660494</v>
      </c>
      <c r="I661" t="str">
        <f t="shared" si="14"/>
        <v>UNIFIRST CORPORATION</v>
      </c>
    </row>
    <row r="662" spans="1:9" x14ac:dyDescent="0.25">
      <c r="F662" s="9" t="s">
        <v>20</v>
      </c>
      <c r="G662" t="s">
        <v>21</v>
      </c>
      <c r="H662" t="str">
        <f>"8213660495"</f>
        <v>8213660495</v>
      </c>
      <c r="I662" t="str">
        <f t="shared" si="14"/>
        <v>UNIFIRST CORPORATION</v>
      </c>
    </row>
    <row r="663" spans="1:9" x14ac:dyDescent="0.25">
      <c r="F663" s="9" t="s">
        <v>20</v>
      </c>
      <c r="G663" t="s">
        <v>21</v>
      </c>
      <c r="H663" t="str">
        <f>"8213660496"</f>
        <v>8213660496</v>
      </c>
      <c r="I663" t="str">
        <f t="shared" si="14"/>
        <v>UNIFIRST CORPORATION</v>
      </c>
    </row>
    <row r="664" spans="1:9" x14ac:dyDescent="0.25">
      <c r="F664" s="9" t="s">
        <v>20</v>
      </c>
      <c r="G664" t="s">
        <v>21</v>
      </c>
      <c r="H664" t="str">
        <f>"8213660498"</f>
        <v>8213660498</v>
      </c>
      <c r="I664" t="str">
        <f t="shared" si="14"/>
        <v>UNIFIRST CORPORATION</v>
      </c>
    </row>
    <row r="665" spans="1:9" x14ac:dyDescent="0.25">
      <c r="F665" s="9" t="s">
        <v>20</v>
      </c>
      <c r="G665" t="s">
        <v>21</v>
      </c>
      <c r="H665" t="str">
        <f>"8213660499"</f>
        <v>8213660499</v>
      </c>
      <c r="I665" t="str">
        <f t="shared" si="14"/>
        <v>UNIFIRST CORPORATION</v>
      </c>
    </row>
    <row r="666" spans="1:9" x14ac:dyDescent="0.25">
      <c r="A666" s="6">
        <v>44516</v>
      </c>
      <c r="B666" t="s">
        <v>26</v>
      </c>
      <c r="C666">
        <v>68122</v>
      </c>
      <c r="D666" t="s">
        <v>74</v>
      </c>
      <c r="E666" s="7">
        <v>4016.69</v>
      </c>
      <c r="F666" s="9" t="s">
        <v>20</v>
      </c>
      <c r="G666" t="s">
        <v>21</v>
      </c>
      <c r="H666" t="str">
        <f>"9891343696"</f>
        <v>9891343696</v>
      </c>
      <c r="I666" t="str">
        <f>"VERIZON WIRELESS"</f>
        <v>VERIZON WIRELESS</v>
      </c>
    </row>
    <row r="667" spans="1:9" x14ac:dyDescent="0.25">
      <c r="A667" s="6">
        <v>44516</v>
      </c>
      <c r="B667" t="s">
        <v>26</v>
      </c>
      <c r="C667">
        <v>68124</v>
      </c>
      <c r="D667" t="s">
        <v>122</v>
      </c>
      <c r="E667" s="7">
        <v>54</v>
      </c>
      <c r="F667" s="9" t="s">
        <v>20</v>
      </c>
      <c r="G667" t="s">
        <v>21</v>
      </c>
      <c r="H667" t="str">
        <f>"016955"</f>
        <v>016955</v>
      </c>
      <c r="I667" t="str">
        <f>"VILLA TIRES"</f>
        <v>VILLA TIRES</v>
      </c>
    </row>
    <row r="668" spans="1:9" x14ac:dyDescent="0.25">
      <c r="F668" s="9" t="s">
        <v>20</v>
      </c>
      <c r="G668" t="s">
        <v>21</v>
      </c>
      <c r="H668" t="str">
        <f>"016957"</f>
        <v>016957</v>
      </c>
      <c r="I668" t="str">
        <f>"VILLA TIRES"</f>
        <v>VILLA TIRES</v>
      </c>
    </row>
    <row r="669" spans="1:9" x14ac:dyDescent="0.25">
      <c r="F669" s="9" t="s">
        <v>20</v>
      </c>
      <c r="G669" t="s">
        <v>21</v>
      </c>
      <c r="H669" t="str">
        <f>"856349"</f>
        <v>856349</v>
      </c>
      <c r="I669" t="str">
        <f>"VILLA TIRES"</f>
        <v>VILLA TIRES</v>
      </c>
    </row>
    <row r="670" spans="1:9" x14ac:dyDescent="0.25">
      <c r="A670" s="6">
        <v>44516</v>
      </c>
      <c r="B670" t="s">
        <v>26</v>
      </c>
      <c r="C670">
        <v>68125</v>
      </c>
      <c r="D670" t="s">
        <v>186</v>
      </c>
      <c r="E670" s="7">
        <v>9931.51</v>
      </c>
      <c r="F670" s="9" t="s">
        <v>20</v>
      </c>
      <c r="G670" t="s">
        <v>21</v>
      </c>
      <c r="H670" t="str">
        <f>"1/1-3/31/21 1STQRT"</f>
        <v>1/1-3/31/21 1STQRT</v>
      </c>
      <c r="I670" t="str">
        <f>"WILSON COUNTY APPRAISAL DISTRI"</f>
        <v>WILSON COUNTY APPRAISAL DISTRI</v>
      </c>
    </row>
    <row r="671" spans="1:9" x14ac:dyDescent="0.25">
      <c r="A671" s="6">
        <v>44516</v>
      </c>
      <c r="B671" t="s">
        <v>26</v>
      </c>
      <c r="C671">
        <v>68126</v>
      </c>
      <c r="D671" t="s">
        <v>104</v>
      </c>
      <c r="E671" s="7">
        <v>89.04</v>
      </c>
      <c r="F671" s="9" t="s">
        <v>20</v>
      </c>
      <c r="G671" t="s">
        <v>21</v>
      </c>
      <c r="H671" t="str">
        <f>"21525"</f>
        <v>21525</v>
      </c>
      <c r="I671" t="str">
        <f>"WILSON COUNTY NEWS"</f>
        <v>WILSON COUNTY NEWS</v>
      </c>
    </row>
    <row r="672" spans="1:9" x14ac:dyDescent="0.25">
      <c r="A672" s="6">
        <v>44516</v>
      </c>
      <c r="B672" t="s">
        <v>26</v>
      </c>
      <c r="C672">
        <v>68132</v>
      </c>
      <c r="D672" t="s">
        <v>51</v>
      </c>
      <c r="E672" s="7">
        <v>327.84</v>
      </c>
      <c r="F672" s="9" t="s">
        <v>20</v>
      </c>
      <c r="G672" t="s">
        <v>21</v>
      </c>
      <c r="H672" t="str">
        <f>"CLE202111168628"</f>
        <v>CLE202111168628</v>
      </c>
      <c r="I672" t="str">
        <f>"CLEAT ONLY DUES"</f>
        <v>CLEAT ONLY DUES</v>
      </c>
    </row>
    <row r="673" spans="1:9" x14ac:dyDescent="0.25">
      <c r="F673" s="9" t="s">
        <v>20</v>
      </c>
      <c r="G673" t="s">
        <v>21</v>
      </c>
      <c r="H673" t="str">
        <f>"PDD202111168628"</f>
        <v>PDD202111168628</v>
      </c>
      <c r="I673" t="str">
        <f>"POLICE OFFICERS ASSOC DUES"</f>
        <v>POLICE OFFICERS ASSOC DUES</v>
      </c>
    </row>
    <row r="674" spans="1:9" x14ac:dyDescent="0.25">
      <c r="A674" s="6">
        <v>44516</v>
      </c>
      <c r="B674" t="s">
        <v>26</v>
      </c>
      <c r="C674">
        <v>68133</v>
      </c>
      <c r="D674" t="s">
        <v>52</v>
      </c>
      <c r="E674" s="7">
        <v>991.16</v>
      </c>
      <c r="F674" s="9" t="s">
        <v>20</v>
      </c>
      <c r="G674" t="s">
        <v>21</v>
      </c>
      <c r="H674" t="str">
        <f>"CA1202111168628"</f>
        <v>CA1202111168628</v>
      </c>
      <c r="I674" t="str">
        <f>"K RAMIREZ 001200229510060343CV"</f>
        <v>K RAMIREZ 001200229510060343CV</v>
      </c>
    </row>
    <row r="675" spans="1:9" x14ac:dyDescent="0.25">
      <c r="F675" s="9" t="s">
        <v>20</v>
      </c>
      <c r="G675" t="s">
        <v>21</v>
      </c>
      <c r="H675" t="str">
        <f>"CA2202111168628"</f>
        <v>CA2202111168628</v>
      </c>
      <c r="I675" t="str">
        <f>"L HERNANDEZ 001016025203080354"</f>
        <v>L HERNANDEZ 001016025203080354</v>
      </c>
    </row>
    <row r="676" spans="1:9" x14ac:dyDescent="0.25">
      <c r="F676" s="9" t="s">
        <v>20</v>
      </c>
      <c r="G676" t="s">
        <v>21</v>
      </c>
      <c r="H676" t="str">
        <f>"CA3202111168628"</f>
        <v>CA3202111168628</v>
      </c>
      <c r="I676" t="str">
        <f>"00120788612011EM5023JOLENEGARC"</f>
        <v>00120788612011EM5023JOLENEGARC</v>
      </c>
    </row>
    <row r="677" spans="1:9" x14ac:dyDescent="0.25">
      <c r="F677" s="9" t="s">
        <v>20</v>
      </c>
      <c r="G677" t="s">
        <v>21</v>
      </c>
      <c r="H677" t="str">
        <f>"CSA202111168628"</f>
        <v>CSA202111168628</v>
      </c>
      <c r="I677" t="str">
        <f>"S RODRIGUEZ 001281730413050336"</f>
        <v>S RODRIGUEZ 001281730413050336</v>
      </c>
    </row>
    <row r="678" spans="1:9" x14ac:dyDescent="0.25">
      <c r="F678" s="9" t="s">
        <v>20</v>
      </c>
      <c r="G678" t="s">
        <v>21</v>
      </c>
      <c r="H678" t="str">
        <f>"CSI202111168628"</f>
        <v>CSI202111168628</v>
      </c>
      <c r="I678" t="str">
        <f>"KTRINIDAD0014071774CVW2000777"</f>
        <v>KTRINIDAD0014071774CVW2000777</v>
      </c>
    </row>
    <row r="679" spans="1:9" x14ac:dyDescent="0.25">
      <c r="F679" s="9" t="s">
        <v>20</v>
      </c>
      <c r="G679" t="s">
        <v>21</v>
      </c>
      <c r="H679" t="str">
        <f>"CSR202111168628"</f>
        <v>CSR202111168628</v>
      </c>
      <c r="I679" t="str">
        <f>"A BARRIENTE 14189017CVW2100560"</f>
        <v>A BARRIENTE 14189017CVW2100560</v>
      </c>
    </row>
    <row r="680" spans="1:9" x14ac:dyDescent="0.25">
      <c r="A680" s="6">
        <v>44516</v>
      </c>
      <c r="B680" t="s">
        <v>26</v>
      </c>
      <c r="C680">
        <v>68134</v>
      </c>
      <c r="D680" t="s">
        <v>54</v>
      </c>
      <c r="E680" s="7">
        <v>881.57</v>
      </c>
      <c r="F680" s="9" t="s">
        <v>20</v>
      </c>
      <c r="G680" t="s">
        <v>21</v>
      </c>
      <c r="H680" t="str">
        <f>"BRE202111168628"</f>
        <v>BRE202111168628</v>
      </c>
      <c r="I680" t="str">
        <f>"CASE #180-60751 457B DEDUCT"</f>
        <v>CASE #180-60751 457B DEDUCT</v>
      </c>
    </row>
    <row r="681" spans="1:9" x14ac:dyDescent="0.25">
      <c r="A681" s="6">
        <v>44518</v>
      </c>
      <c r="B681" t="s">
        <v>26</v>
      </c>
      <c r="C681">
        <v>68135</v>
      </c>
      <c r="D681" t="s">
        <v>205</v>
      </c>
      <c r="E681" s="7">
        <v>758.6</v>
      </c>
      <c r="F681" s="9" t="s">
        <v>20</v>
      </c>
      <c r="G681" t="s">
        <v>21</v>
      </c>
      <c r="H681" t="str">
        <f>"11.19.2021"</f>
        <v>11.19.2021</v>
      </c>
      <c r="I681" t="str">
        <f>"SILVER EAGLE DISTRIBUTORS"</f>
        <v>SILVER EAGLE DISTRIBUTORS</v>
      </c>
    </row>
    <row r="682" spans="1:9" x14ac:dyDescent="0.25">
      <c r="A682" s="6">
        <v>44519</v>
      </c>
      <c r="B682" t="s">
        <v>26</v>
      </c>
      <c r="C682">
        <v>68136</v>
      </c>
      <c r="D682" t="s">
        <v>157</v>
      </c>
      <c r="E682" s="7">
        <v>379.2</v>
      </c>
      <c r="F682" s="9" t="s">
        <v>20</v>
      </c>
      <c r="G682" t="s">
        <v>21</v>
      </c>
      <c r="H682" t="str">
        <f>"11.19.2021"</f>
        <v>11.19.2021</v>
      </c>
      <c r="I682" t="str">
        <f>"GLAZIERS"</f>
        <v>GLAZIERS</v>
      </c>
    </row>
    <row r="683" spans="1:9" x14ac:dyDescent="0.25">
      <c r="A683" s="6">
        <v>44523</v>
      </c>
      <c r="B683" t="s">
        <v>26</v>
      </c>
      <c r="C683">
        <v>68137</v>
      </c>
      <c r="D683" t="s">
        <v>189</v>
      </c>
      <c r="E683" s="7">
        <v>2509.9699999999998</v>
      </c>
      <c r="F683" s="9" t="s">
        <v>20</v>
      </c>
      <c r="G683" t="s">
        <v>21</v>
      </c>
      <c r="H683" t="str">
        <f>"SWO202570-1"</f>
        <v>SWO202570-1</v>
      </c>
      <c r="I683" t="str">
        <f>"FRONT LOADER REPAIR"</f>
        <v>FRONT LOADER REPAIR</v>
      </c>
    </row>
    <row r="684" spans="1:9" x14ac:dyDescent="0.25">
      <c r="A684" s="6">
        <v>44523</v>
      </c>
      <c r="B684" t="s">
        <v>26</v>
      </c>
      <c r="C684">
        <v>68138</v>
      </c>
      <c r="D684" t="s">
        <v>821</v>
      </c>
      <c r="E684" s="7">
        <v>160</v>
      </c>
      <c r="F684" s="9" t="s">
        <v>20</v>
      </c>
      <c r="G684" t="s">
        <v>21</v>
      </c>
      <c r="H684" t="str">
        <f>"FRI9455"</f>
        <v>FRI9455</v>
      </c>
      <c r="I684" t="str">
        <f>"HOSPITAL BLVD WELL"</f>
        <v>HOSPITAL BLVD WELL</v>
      </c>
    </row>
    <row r="685" spans="1:9" x14ac:dyDescent="0.25">
      <c r="A685" s="6">
        <v>44523</v>
      </c>
      <c r="B685" t="s">
        <v>26</v>
      </c>
      <c r="C685">
        <v>68139</v>
      </c>
      <c r="D685" t="s">
        <v>115</v>
      </c>
      <c r="E685" s="7">
        <v>538.80999999999995</v>
      </c>
      <c r="F685" s="9" t="s">
        <v>20</v>
      </c>
      <c r="G685" t="s">
        <v>21</v>
      </c>
      <c r="H685" t="str">
        <f>"3547138507"</f>
        <v>3547138507</v>
      </c>
      <c r="I685" t="str">
        <f>"PD UNIT #329"</f>
        <v>PD UNIT #329</v>
      </c>
    </row>
    <row r="686" spans="1:9" x14ac:dyDescent="0.25">
      <c r="F686" s="9" t="s">
        <v>20</v>
      </c>
      <c r="G686" t="s">
        <v>21</v>
      </c>
      <c r="H686" t="str">
        <f>"3547138509"</f>
        <v>3547138509</v>
      </c>
      <c r="I686" t="str">
        <f>"2010 FORD TRUCK STREETS"</f>
        <v>2010 FORD TRUCK STREETS</v>
      </c>
    </row>
    <row r="687" spans="1:9" x14ac:dyDescent="0.25">
      <c r="F687" s="9" t="s">
        <v>20</v>
      </c>
      <c r="G687" t="s">
        <v>21</v>
      </c>
      <c r="H687" t="str">
        <f>"3547139202"</f>
        <v>3547139202</v>
      </c>
      <c r="I687" t="str">
        <f>"STREET BOXTRUCK"</f>
        <v>STREET BOXTRUCK</v>
      </c>
    </row>
    <row r="688" spans="1:9" x14ac:dyDescent="0.25">
      <c r="A688" s="6">
        <v>44523</v>
      </c>
      <c r="B688" t="s">
        <v>26</v>
      </c>
      <c r="C688">
        <v>68140</v>
      </c>
      <c r="D688" t="s">
        <v>836</v>
      </c>
      <c r="E688" s="7">
        <v>1378.5</v>
      </c>
      <c r="F688" s="9" t="s">
        <v>20</v>
      </c>
      <c r="G688" t="s">
        <v>21</v>
      </c>
      <c r="H688" t="str">
        <f>"76733"</f>
        <v>76733</v>
      </c>
      <c r="I688" t="str">
        <f>"BARCOM TECHNOLOGY SOLUTIONS  I"</f>
        <v>BARCOM TECHNOLOGY SOLUTIONS  I</v>
      </c>
    </row>
    <row r="689" spans="1:9" x14ac:dyDescent="0.25">
      <c r="A689" s="6">
        <v>44523</v>
      </c>
      <c r="B689" t="s">
        <v>26</v>
      </c>
      <c r="C689">
        <v>68141</v>
      </c>
      <c r="D689" t="s">
        <v>867</v>
      </c>
      <c r="E689" s="7">
        <v>226.72</v>
      </c>
      <c r="F689" s="9" t="s">
        <v>20</v>
      </c>
      <c r="G689" t="s">
        <v>21</v>
      </c>
      <c r="H689" t="str">
        <f>"38686"</f>
        <v>38686</v>
      </c>
      <c r="I689" t="str">
        <f>"SAFETY GEAR"</f>
        <v>SAFETY GEAR</v>
      </c>
    </row>
    <row r="690" spans="1:9" x14ac:dyDescent="0.25">
      <c r="A690" s="6">
        <v>44523</v>
      </c>
      <c r="B690" t="s">
        <v>26</v>
      </c>
      <c r="C690">
        <v>68142</v>
      </c>
      <c r="D690" t="s">
        <v>305</v>
      </c>
      <c r="E690" s="7">
        <v>1250</v>
      </c>
      <c r="F690" s="9" t="s">
        <v>20</v>
      </c>
      <c r="G690" t="s">
        <v>21</v>
      </c>
      <c r="H690" t="str">
        <f>"6025"</f>
        <v>6025</v>
      </c>
      <c r="I690" t="str">
        <f>"CHEM EQUIPMENT"</f>
        <v>CHEM EQUIPMENT</v>
      </c>
    </row>
    <row r="691" spans="1:9" x14ac:dyDescent="0.25">
      <c r="A691" s="6">
        <v>44523</v>
      </c>
      <c r="B691" t="s">
        <v>26</v>
      </c>
      <c r="C691">
        <v>68143</v>
      </c>
      <c r="D691" t="s">
        <v>63</v>
      </c>
      <c r="E691" s="7">
        <v>475</v>
      </c>
      <c r="F691" s="9" t="s">
        <v>20</v>
      </c>
      <c r="G691" t="s">
        <v>21</v>
      </c>
      <c r="H691" t="str">
        <f>"8405405527"</f>
        <v>8405405527</v>
      </c>
      <c r="I691" t="str">
        <f>"CINTAS CORPORATION"</f>
        <v>CINTAS CORPORATION</v>
      </c>
    </row>
    <row r="692" spans="1:9" x14ac:dyDescent="0.25">
      <c r="A692" s="6">
        <v>44523</v>
      </c>
      <c r="B692" t="s">
        <v>26</v>
      </c>
      <c r="C692">
        <v>68144</v>
      </c>
      <c r="D692" t="s">
        <v>71</v>
      </c>
      <c r="E692" s="7">
        <v>512.38</v>
      </c>
      <c r="F692" s="9" t="s">
        <v>20</v>
      </c>
      <c r="G692" t="s">
        <v>21</v>
      </c>
      <c r="H692" t="str">
        <f>"4101749719"</f>
        <v>4101749719</v>
      </c>
      <c r="I692" t="str">
        <f>"CINTAS CORPORATION #087"</f>
        <v>CINTAS CORPORATION #087</v>
      </c>
    </row>
    <row r="693" spans="1:9" x14ac:dyDescent="0.25">
      <c r="F693" s="9" t="s">
        <v>20</v>
      </c>
      <c r="G693" t="s">
        <v>21</v>
      </c>
      <c r="H693" t="str">
        <f>"4101749760"</f>
        <v>4101749760</v>
      </c>
      <c r="I693" t="str">
        <f>"CINTAS CORPORATION #087"</f>
        <v>CINTAS CORPORATION #087</v>
      </c>
    </row>
    <row r="694" spans="1:9" x14ac:dyDescent="0.25">
      <c r="F694" s="9" t="s">
        <v>20</v>
      </c>
      <c r="G694" t="s">
        <v>21</v>
      </c>
      <c r="H694" t="str">
        <f>"4101749834"</f>
        <v>4101749834</v>
      </c>
      <c r="I694" t="str">
        <f>"CINTAS CORPORATION #087"</f>
        <v>CINTAS CORPORATION #087</v>
      </c>
    </row>
    <row r="695" spans="1:9" x14ac:dyDescent="0.25">
      <c r="F695" s="9" t="s">
        <v>20</v>
      </c>
      <c r="G695" t="s">
        <v>21</v>
      </c>
      <c r="H695" t="str">
        <f>"4101749874"</f>
        <v>4101749874</v>
      </c>
      <c r="I695" t="str">
        <f>"CINTAS CORPORATION #087"</f>
        <v>CINTAS CORPORATION #087</v>
      </c>
    </row>
    <row r="696" spans="1:9" x14ac:dyDescent="0.25">
      <c r="F696" s="9" t="s">
        <v>20</v>
      </c>
      <c r="G696" t="s">
        <v>21</v>
      </c>
      <c r="H696" t="str">
        <f>"4101749972"</f>
        <v>4101749972</v>
      </c>
      <c r="I696" t="str">
        <f>"CINTAS CORPORATION #087"</f>
        <v>CINTAS CORPORATION #087</v>
      </c>
    </row>
    <row r="697" spans="1:9" x14ac:dyDescent="0.25">
      <c r="A697" s="6">
        <v>44523</v>
      </c>
      <c r="B697" t="s">
        <v>26</v>
      </c>
      <c r="C697">
        <v>68146</v>
      </c>
      <c r="D697" t="s">
        <v>661</v>
      </c>
      <c r="E697" s="7">
        <v>460.41</v>
      </c>
      <c r="F697" s="9" t="s">
        <v>20</v>
      </c>
      <c r="G697" t="s">
        <v>21</v>
      </c>
      <c r="H697" t="str">
        <f>"8405394965"</f>
        <v>8405394965</v>
      </c>
      <c r="I697" t="str">
        <f>"CINTAS FAS LOCKBOX 631025"</f>
        <v>CINTAS FAS LOCKBOX 631025</v>
      </c>
    </row>
    <row r="698" spans="1:9" x14ac:dyDescent="0.25">
      <c r="A698" s="6">
        <v>44523</v>
      </c>
      <c r="B698" t="s">
        <v>26</v>
      </c>
      <c r="C698">
        <v>68147</v>
      </c>
      <c r="D698" t="s">
        <v>633</v>
      </c>
      <c r="E698" s="7">
        <v>3021.05</v>
      </c>
      <c r="F698" s="9" t="s">
        <v>20</v>
      </c>
      <c r="G698" t="s">
        <v>21</v>
      </c>
      <c r="H698" t="str">
        <f>"0096557207"</f>
        <v>0096557207</v>
      </c>
      <c r="I698" t="str">
        <f>"CINTAS FIRE 636525"</f>
        <v>CINTAS FIRE 636525</v>
      </c>
    </row>
    <row r="699" spans="1:9" x14ac:dyDescent="0.25">
      <c r="F699" s="9" t="s">
        <v>20</v>
      </c>
      <c r="G699" t="s">
        <v>21</v>
      </c>
      <c r="H699" t="str">
        <f>"0096557241"</f>
        <v>0096557241</v>
      </c>
      <c r="I699" t="str">
        <f>"CINTAS FIRE 636525"</f>
        <v>CINTAS FIRE 636525</v>
      </c>
    </row>
    <row r="700" spans="1:9" x14ac:dyDescent="0.25">
      <c r="A700" s="6">
        <v>44523</v>
      </c>
      <c r="B700" t="s">
        <v>26</v>
      </c>
      <c r="C700">
        <v>68148</v>
      </c>
      <c r="D700" t="s">
        <v>81</v>
      </c>
      <c r="E700" s="7">
        <v>386.29</v>
      </c>
      <c r="F700" s="9" t="s">
        <v>20</v>
      </c>
      <c r="G700" t="s">
        <v>21</v>
      </c>
      <c r="H700" t="str">
        <f>"C.PEREZ 11/22/21"</f>
        <v>C.PEREZ 11/22/21</v>
      </c>
      <c r="I700" t="str">
        <f>"CITY OF FLORESVILLE -PETTY CAS"</f>
        <v>CITY OF FLORESVILLE -PETTY CAS</v>
      </c>
    </row>
    <row r="701" spans="1:9" x14ac:dyDescent="0.25">
      <c r="A701" s="6">
        <v>44523</v>
      </c>
      <c r="B701" t="s">
        <v>26</v>
      </c>
      <c r="C701">
        <v>68149</v>
      </c>
      <c r="D701" t="s">
        <v>77</v>
      </c>
      <c r="E701" s="7">
        <v>2635.23</v>
      </c>
      <c r="F701" s="9" t="s">
        <v>20</v>
      </c>
      <c r="G701" t="s">
        <v>21</v>
      </c>
      <c r="H701" t="str">
        <f>"857002546-21"</f>
        <v>857002546-21</v>
      </c>
      <c r="I701" t="str">
        <f>"CALCIUM HYPO 68% GRAN"</f>
        <v>CALCIUM HYPO 68% GRAN</v>
      </c>
    </row>
    <row r="702" spans="1:9" x14ac:dyDescent="0.25">
      <c r="F702" s="9" t="s">
        <v>20</v>
      </c>
      <c r="G702" t="s">
        <v>21</v>
      </c>
      <c r="H702" t="str">
        <f>"857002557-21"</f>
        <v>857002557-21</v>
      </c>
      <c r="I702" t="str">
        <f>"CHLORINE -WWTP"</f>
        <v>CHLORINE -WWTP</v>
      </c>
    </row>
    <row r="703" spans="1:9" x14ac:dyDescent="0.25">
      <c r="F703" s="9" t="s">
        <v>20</v>
      </c>
      <c r="G703" t="s">
        <v>21</v>
      </c>
      <c r="H703" t="str">
        <f>"857002571-21"</f>
        <v>857002571-21</v>
      </c>
      <c r="I703" t="str">
        <f>"CHLORINE HOSPITAL WELL"</f>
        <v>CHLORINE HOSPITAL WELL</v>
      </c>
    </row>
    <row r="704" spans="1:9" x14ac:dyDescent="0.25">
      <c r="A704" s="6">
        <v>44523</v>
      </c>
      <c r="B704" t="s">
        <v>26</v>
      </c>
      <c r="C704">
        <v>68150</v>
      </c>
      <c r="D704" t="s">
        <v>69</v>
      </c>
      <c r="E704" s="7">
        <v>78.72</v>
      </c>
      <c r="F704" s="9" t="s">
        <v>20</v>
      </c>
      <c r="G704" t="s">
        <v>21</v>
      </c>
      <c r="H704" t="str">
        <f>"3C14295"</f>
        <v>3C14295</v>
      </c>
      <c r="I704" t="str">
        <f>"PARTS FOR SCAGG"</f>
        <v>PARTS FOR SCAGG</v>
      </c>
    </row>
    <row r="705" spans="1:9" x14ac:dyDescent="0.25">
      <c r="A705" s="6">
        <v>44523</v>
      </c>
      <c r="B705" t="s">
        <v>26</v>
      </c>
      <c r="C705">
        <v>68151</v>
      </c>
      <c r="D705" t="s">
        <v>103</v>
      </c>
      <c r="E705" s="7">
        <v>108647.83</v>
      </c>
      <c r="F705" s="9" t="s">
        <v>20</v>
      </c>
      <c r="G705" t="s">
        <v>21</v>
      </c>
      <c r="H705" t="str">
        <f>"SALES TAX NOV2021"</f>
        <v>SALES TAX NOV2021</v>
      </c>
      <c r="I705" t="str">
        <f>"F. E. D. C."</f>
        <v>F. E. D. C.</v>
      </c>
    </row>
    <row r="706" spans="1:9" x14ac:dyDescent="0.25">
      <c r="A706" s="6">
        <v>44523</v>
      </c>
      <c r="B706" t="s">
        <v>26</v>
      </c>
      <c r="C706">
        <v>68152</v>
      </c>
      <c r="D706" t="s">
        <v>1010</v>
      </c>
      <c r="E706" s="7">
        <v>137</v>
      </c>
      <c r="F706" s="9" t="s">
        <v>20</v>
      </c>
      <c r="G706" t="s">
        <v>21</v>
      </c>
      <c r="H706" t="str">
        <f>"161834"</f>
        <v>161834</v>
      </c>
      <c r="I706" t="str">
        <f>"BOOTS FOR ART"</f>
        <v>BOOTS FOR ART</v>
      </c>
    </row>
    <row r="707" spans="1:9" x14ac:dyDescent="0.25">
      <c r="A707" s="6">
        <v>44523</v>
      </c>
      <c r="B707" t="s">
        <v>26</v>
      </c>
      <c r="C707">
        <v>68153</v>
      </c>
      <c r="D707" t="s">
        <v>79</v>
      </c>
      <c r="E707" s="7">
        <v>73.260000000000005</v>
      </c>
      <c r="F707" s="9" t="s">
        <v>20</v>
      </c>
      <c r="G707" t="s">
        <v>21</v>
      </c>
      <c r="H707" t="str">
        <f>"7-562-33438"</f>
        <v>7-562-33438</v>
      </c>
      <c r="I707" t="str">
        <f>"FEDEX"</f>
        <v>FEDEX</v>
      </c>
    </row>
    <row r="708" spans="1:9" x14ac:dyDescent="0.25">
      <c r="A708" s="6">
        <v>44523</v>
      </c>
      <c r="B708" t="s">
        <v>26</v>
      </c>
      <c r="C708">
        <v>68154</v>
      </c>
      <c r="D708" t="s">
        <v>59</v>
      </c>
      <c r="E708" s="7">
        <v>831.6</v>
      </c>
      <c r="F708" s="9" t="s">
        <v>20</v>
      </c>
      <c r="G708" t="s">
        <v>21</v>
      </c>
      <c r="H708" t="str">
        <f>"1147321"</f>
        <v>1147321</v>
      </c>
      <c r="I708" t="str">
        <f>"MISC STOCK"</f>
        <v>MISC STOCK</v>
      </c>
    </row>
    <row r="709" spans="1:9" x14ac:dyDescent="0.25">
      <c r="A709" s="6">
        <v>44523</v>
      </c>
      <c r="B709" t="s">
        <v>26</v>
      </c>
      <c r="C709">
        <v>68155</v>
      </c>
      <c r="D709" t="s">
        <v>85</v>
      </c>
      <c r="E709" s="7">
        <v>373.13</v>
      </c>
      <c r="F709" s="9" t="s">
        <v>20</v>
      </c>
      <c r="G709" t="s">
        <v>21</v>
      </c>
      <c r="H709" t="str">
        <f>"2162733 DEC.2021"</f>
        <v>2162733 DEC.2021</v>
      </c>
      <c r="I709" t="str">
        <f t="shared" ref="I709:I714" si="15">"FRONTIER"</f>
        <v>FRONTIER</v>
      </c>
    </row>
    <row r="710" spans="1:9" x14ac:dyDescent="0.25">
      <c r="F710" s="9" t="s">
        <v>20</v>
      </c>
      <c r="G710" t="s">
        <v>21</v>
      </c>
      <c r="H710" t="str">
        <f>"2162755 DEC2021"</f>
        <v>2162755 DEC2021</v>
      </c>
      <c r="I710" t="str">
        <f t="shared" si="15"/>
        <v>FRONTIER</v>
      </c>
    </row>
    <row r="711" spans="1:9" x14ac:dyDescent="0.25">
      <c r="F711" s="9" t="s">
        <v>20</v>
      </c>
      <c r="G711" t="s">
        <v>21</v>
      </c>
      <c r="H711" t="str">
        <f>"3932804 DEC.2021"</f>
        <v>3932804 DEC.2021</v>
      </c>
      <c r="I711" t="str">
        <f t="shared" si="15"/>
        <v>FRONTIER</v>
      </c>
    </row>
    <row r="712" spans="1:9" x14ac:dyDescent="0.25">
      <c r="F712" s="9" t="s">
        <v>20</v>
      </c>
      <c r="G712" t="s">
        <v>21</v>
      </c>
      <c r="H712" t="str">
        <f>"3933108 DEC.2021"</f>
        <v>3933108 DEC.2021</v>
      </c>
      <c r="I712" t="str">
        <f t="shared" si="15"/>
        <v>FRONTIER</v>
      </c>
    </row>
    <row r="713" spans="1:9" x14ac:dyDescent="0.25">
      <c r="F713" s="9" t="s">
        <v>20</v>
      </c>
      <c r="G713" t="s">
        <v>21</v>
      </c>
      <c r="H713" t="str">
        <f>"3936794 DEC.2021"</f>
        <v>3936794 DEC.2021</v>
      </c>
      <c r="I713" t="str">
        <f t="shared" si="15"/>
        <v>FRONTIER</v>
      </c>
    </row>
    <row r="714" spans="1:9" x14ac:dyDescent="0.25">
      <c r="F714" s="9" t="s">
        <v>20</v>
      </c>
      <c r="G714" t="s">
        <v>21</v>
      </c>
      <c r="H714" t="str">
        <f>"3938193 CED.2021"</f>
        <v>3938193 CED.2021</v>
      </c>
      <c r="I714" t="str">
        <f t="shared" si="15"/>
        <v>FRONTIER</v>
      </c>
    </row>
    <row r="715" spans="1:9" x14ac:dyDescent="0.25">
      <c r="A715" s="6">
        <v>44523</v>
      </c>
      <c r="B715" t="s">
        <v>26</v>
      </c>
      <c r="C715">
        <v>68156</v>
      </c>
      <c r="D715" t="s">
        <v>398</v>
      </c>
      <c r="E715" s="7">
        <v>56.5</v>
      </c>
      <c r="F715" s="9" t="s">
        <v>20</v>
      </c>
      <c r="G715" t="s">
        <v>21</v>
      </c>
      <c r="H715" t="str">
        <f>"20211105"</f>
        <v>20211105</v>
      </c>
      <c r="I715" t="str">
        <f>"INTERCEPTOR TECHNOLOGY GROUP L"</f>
        <v>INTERCEPTOR TECHNOLOGY GROUP L</v>
      </c>
    </row>
    <row r="716" spans="1:9" x14ac:dyDescent="0.25">
      <c r="A716" s="6">
        <v>44523</v>
      </c>
      <c r="B716" t="s">
        <v>26</v>
      </c>
      <c r="C716">
        <v>68157</v>
      </c>
      <c r="D716" t="s">
        <v>258</v>
      </c>
      <c r="E716" s="7">
        <v>696.54</v>
      </c>
      <c r="F716" s="9" t="s">
        <v>20</v>
      </c>
      <c r="G716" t="s">
        <v>21</v>
      </c>
      <c r="H716" t="str">
        <f>"156211"</f>
        <v>156211</v>
      </c>
      <c r="I716" t="str">
        <f>"GAS FOR GENERATOR"</f>
        <v>GAS FOR GENERATOR</v>
      </c>
    </row>
    <row r="717" spans="1:9" x14ac:dyDescent="0.25">
      <c r="A717" s="6">
        <v>44523</v>
      </c>
      <c r="B717" t="s">
        <v>26</v>
      </c>
      <c r="C717">
        <v>68158</v>
      </c>
      <c r="D717" t="s">
        <v>116</v>
      </c>
      <c r="E717" s="7">
        <v>72</v>
      </c>
      <c r="F717" s="9" t="s">
        <v>20</v>
      </c>
      <c r="G717" t="s">
        <v>21</v>
      </c>
      <c r="H717" t="str">
        <f>"INV001132685"</f>
        <v>INV001132685</v>
      </c>
      <c r="I717" t="str">
        <f>"KIEFER AQUATICS/THE LIFEGUARD"</f>
        <v>KIEFER AQUATICS/THE LIFEGUARD</v>
      </c>
    </row>
    <row r="718" spans="1:9" x14ac:dyDescent="0.25">
      <c r="A718" s="6">
        <v>44523</v>
      </c>
      <c r="B718" t="s">
        <v>26</v>
      </c>
      <c r="C718">
        <v>68159</v>
      </c>
      <c r="D718" t="s">
        <v>328</v>
      </c>
      <c r="E718" s="7">
        <v>1250</v>
      </c>
      <c r="F718" s="9" t="s">
        <v>20</v>
      </c>
      <c r="G718" t="s">
        <v>21</v>
      </c>
      <c r="H718" t="str">
        <f>"7021082"</f>
        <v>7021082</v>
      </c>
      <c r="I718" t="str">
        <f>"KOLOGIK"</f>
        <v>KOLOGIK</v>
      </c>
    </row>
    <row r="719" spans="1:9" x14ac:dyDescent="0.25">
      <c r="A719" s="6">
        <v>44523</v>
      </c>
      <c r="B719" t="s">
        <v>26</v>
      </c>
      <c r="C719">
        <v>68160</v>
      </c>
      <c r="D719" t="s">
        <v>1136</v>
      </c>
      <c r="E719" s="7">
        <v>7101.45</v>
      </c>
      <c r="F719" s="9" t="s">
        <v>20</v>
      </c>
      <c r="G719" t="s">
        <v>21</v>
      </c>
      <c r="H719" t="str">
        <f>"INV0073-2"</f>
        <v>INV0073-2</v>
      </c>
      <c r="I719" t="str">
        <f>"LUX ELECTRIC LLC"</f>
        <v>LUX ELECTRIC LLC</v>
      </c>
    </row>
    <row r="720" spans="1:9" x14ac:dyDescent="0.25">
      <c r="F720" s="9" t="s">
        <v>20</v>
      </c>
      <c r="G720" t="s">
        <v>21</v>
      </c>
      <c r="H720" t="str">
        <f>"INV0076"</f>
        <v>INV0076</v>
      </c>
      <c r="I720" t="str">
        <f>"LUX ELECTRIC LLC"</f>
        <v>LUX ELECTRIC LLC</v>
      </c>
    </row>
    <row r="721" spans="1:9" x14ac:dyDescent="0.25">
      <c r="A721" s="6">
        <v>44523</v>
      </c>
      <c r="B721" t="s">
        <v>26</v>
      </c>
      <c r="C721">
        <v>68161</v>
      </c>
      <c r="D721" t="s">
        <v>124</v>
      </c>
      <c r="E721" s="7">
        <v>58.14</v>
      </c>
      <c r="F721" s="9" t="s">
        <v>20</v>
      </c>
      <c r="G721" t="s">
        <v>21</v>
      </c>
      <c r="H721" t="str">
        <f>"11113499"</f>
        <v>11113499</v>
      </c>
      <c r="I721" t="str">
        <f>"LIGHTS FOR SHOP"</f>
        <v>LIGHTS FOR SHOP</v>
      </c>
    </row>
    <row r="722" spans="1:9" x14ac:dyDescent="0.25">
      <c r="A722" s="6">
        <v>44523</v>
      </c>
      <c r="B722" t="s">
        <v>26</v>
      </c>
      <c r="C722">
        <v>68162</v>
      </c>
      <c r="D722" t="s">
        <v>123</v>
      </c>
      <c r="E722" s="7">
        <v>162.41</v>
      </c>
      <c r="F722" s="9" t="s">
        <v>20</v>
      </c>
      <c r="G722" t="s">
        <v>21</v>
      </c>
      <c r="H722" t="str">
        <f>"206295916001"</f>
        <v>206295916001</v>
      </c>
      <c r="I722" t="str">
        <f>"OFFICE DEPOT  INC."</f>
        <v>OFFICE DEPOT  INC.</v>
      </c>
    </row>
    <row r="723" spans="1:9" x14ac:dyDescent="0.25">
      <c r="F723" s="9" t="s">
        <v>20</v>
      </c>
      <c r="G723" t="s">
        <v>21</v>
      </c>
      <c r="H723" t="str">
        <f>"208481616001"</f>
        <v>208481616001</v>
      </c>
      <c r="I723" t="str">
        <f>"OFFICE DEPOT  INC."</f>
        <v>OFFICE DEPOT  INC.</v>
      </c>
    </row>
    <row r="724" spans="1:9" x14ac:dyDescent="0.25">
      <c r="F724" s="9" t="s">
        <v>20</v>
      </c>
      <c r="G724" t="s">
        <v>21</v>
      </c>
      <c r="H724" t="str">
        <f>"208483393001"</f>
        <v>208483393001</v>
      </c>
      <c r="I724" t="str">
        <f>"OFFICE DEPOT  INC."</f>
        <v>OFFICE DEPOT  INC.</v>
      </c>
    </row>
    <row r="725" spans="1:9" x14ac:dyDescent="0.25">
      <c r="A725" s="6">
        <v>44523</v>
      </c>
      <c r="B725" t="s">
        <v>26</v>
      </c>
      <c r="C725">
        <v>68163</v>
      </c>
      <c r="D725" t="s">
        <v>137</v>
      </c>
      <c r="E725" s="7">
        <v>121.9</v>
      </c>
      <c r="F725" s="9" t="s">
        <v>20</v>
      </c>
      <c r="G725" t="s">
        <v>21</v>
      </c>
      <c r="H725" t="str">
        <f>"30739"</f>
        <v>30739</v>
      </c>
      <c r="I725" t="str">
        <f>"OMNIBUS-M  INC.D.B.A."</f>
        <v>OMNIBUS-M  INC.D.B.A.</v>
      </c>
    </row>
    <row r="726" spans="1:9" x14ac:dyDescent="0.25">
      <c r="F726" s="9" t="s">
        <v>20</v>
      </c>
      <c r="G726" t="s">
        <v>21</v>
      </c>
      <c r="H726" t="str">
        <f>"30740"</f>
        <v>30740</v>
      </c>
      <c r="I726" t="str">
        <f>"OMNIBUS-M  INC.D.B.A."</f>
        <v>OMNIBUS-M  INC.D.B.A.</v>
      </c>
    </row>
    <row r="727" spans="1:9" x14ac:dyDescent="0.25">
      <c r="A727" s="6">
        <v>44523</v>
      </c>
      <c r="B727" t="s">
        <v>26</v>
      </c>
      <c r="C727">
        <v>68164</v>
      </c>
      <c r="D727" t="s">
        <v>1081</v>
      </c>
      <c r="E727" s="7">
        <v>866</v>
      </c>
      <c r="F727" s="9" t="s">
        <v>20</v>
      </c>
      <c r="G727" t="s">
        <v>21</v>
      </c>
      <c r="H727" t="str">
        <f>"26162"</f>
        <v>26162</v>
      </c>
      <c r="I727" t="str">
        <f>"PINNACLE PEST DEFENSE"</f>
        <v>PINNACLE PEST DEFENSE</v>
      </c>
    </row>
    <row r="728" spans="1:9" x14ac:dyDescent="0.25">
      <c r="F728" s="9" t="s">
        <v>20</v>
      </c>
      <c r="G728" t="s">
        <v>21</v>
      </c>
      <c r="H728" t="str">
        <f>"28081"</f>
        <v>28081</v>
      </c>
      <c r="I728" t="str">
        <f>"PINNACLE PEST DEFENSE"</f>
        <v>PINNACLE PEST DEFENSE</v>
      </c>
    </row>
    <row r="729" spans="1:9" x14ac:dyDescent="0.25">
      <c r="A729" s="6">
        <v>44523</v>
      </c>
      <c r="B729" t="s">
        <v>26</v>
      </c>
      <c r="C729">
        <v>68165</v>
      </c>
      <c r="D729" t="s">
        <v>323</v>
      </c>
      <c r="E729" s="7">
        <v>630</v>
      </c>
      <c r="F729" s="9" t="s">
        <v>20</v>
      </c>
      <c r="G729" t="s">
        <v>21</v>
      </c>
      <c r="H729" t="str">
        <f>"9614"</f>
        <v>9614</v>
      </c>
      <c r="I729" t="str">
        <f>"POLLOK SELF STORAGE LLC"</f>
        <v>POLLOK SELF STORAGE LLC</v>
      </c>
    </row>
    <row r="730" spans="1:9" x14ac:dyDescent="0.25">
      <c r="A730" s="6">
        <v>44523</v>
      </c>
      <c r="B730" t="s">
        <v>26</v>
      </c>
      <c r="C730">
        <v>68166</v>
      </c>
      <c r="D730" t="s">
        <v>62</v>
      </c>
      <c r="E730" s="7">
        <v>5662.41</v>
      </c>
      <c r="F730" s="9" t="s">
        <v>20</v>
      </c>
      <c r="G730" t="s">
        <v>21</v>
      </c>
      <c r="H730" t="str">
        <f>"11/22/2021"</f>
        <v>11/22/2021</v>
      </c>
      <c r="I730" t="str">
        <f>"PROFICIENT BENEFIT SOLUTIONS"</f>
        <v>PROFICIENT BENEFIT SOLUTIONS</v>
      </c>
    </row>
    <row r="731" spans="1:9" x14ac:dyDescent="0.25">
      <c r="A731" s="6">
        <v>44523</v>
      </c>
      <c r="B731" t="s">
        <v>26</v>
      </c>
      <c r="C731">
        <v>68167</v>
      </c>
      <c r="D731" t="s">
        <v>630</v>
      </c>
      <c r="E731" s="7">
        <v>359.71</v>
      </c>
      <c r="F731" s="9" t="s">
        <v>20</v>
      </c>
      <c r="G731" t="s">
        <v>21</v>
      </c>
      <c r="H731" t="str">
        <f>"41395"</f>
        <v>41395</v>
      </c>
      <c r="I731" t="str">
        <f>"REGISTER HOUSING STOCK"</f>
        <v>REGISTER HOUSING STOCK</v>
      </c>
    </row>
    <row r="732" spans="1:9" x14ac:dyDescent="0.25">
      <c r="A732" s="6">
        <v>44523</v>
      </c>
      <c r="B732" t="s">
        <v>26</v>
      </c>
      <c r="C732">
        <v>68168</v>
      </c>
      <c r="D732" t="s">
        <v>218</v>
      </c>
      <c r="E732" s="7">
        <v>85</v>
      </c>
      <c r="F732" s="9" t="s">
        <v>20</v>
      </c>
      <c r="G732" t="s">
        <v>21</v>
      </c>
      <c r="H732" t="str">
        <f>"5823"</f>
        <v>5823</v>
      </c>
      <c r="I732" t="str">
        <f>"TOWING FOR BOX TRUCK"</f>
        <v>TOWING FOR BOX TRUCK</v>
      </c>
    </row>
    <row r="733" spans="1:9" x14ac:dyDescent="0.25">
      <c r="A733" s="6">
        <v>44523</v>
      </c>
      <c r="B733" t="s">
        <v>26</v>
      </c>
      <c r="C733">
        <v>68169</v>
      </c>
      <c r="D733" t="s">
        <v>1033</v>
      </c>
      <c r="E733" s="7">
        <v>1945.4</v>
      </c>
      <c r="F733" s="9" t="s">
        <v>20</v>
      </c>
      <c r="G733" t="s">
        <v>21</v>
      </c>
      <c r="H733" t="str">
        <f>"1225"</f>
        <v>1225</v>
      </c>
      <c r="I733" t="str">
        <f>"TEN/28 COLLISION REPAIR AND RE"</f>
        <v>TEN/28 COLLISION REPAIR AND RE</v>
      </c>
    </row>
    <row r="734" spans="1:9" x14ac:dyDescent="0.25">
      <c r="A734" s="6">
        <v>44523</v>
      </c>
      <c r="B734" t="s">
        <v>26</v>
      </c>
      <c r="C734">
        <v>68170</v>
      </c>
      <c r="D734" t="s">
        <v>644</v>
      </c>
      <c r="E734" s="7">
        <v>583.83000000000004</v>
      </c>
      <c r="F734" s="9" t="s">
        <v>20</v>
      </c>
      <c r="G734" t="s">
        <v>21</v>
      </c>
      <c r="H734" t="str">
        <f>"8213663117"</f>
        <v>8213663117</v>
      </c>
      <c r="I734" t="str">
        <f t="shared" ref="I734:I739" si="16">"UNIFIRST CORPORATION"</f>
        <v>UNIFIRST CORPORATION</v>
      </c>
    </row>
    <row r="735" spans="1:9" x14ac:dyDescent="0.25">
      <c r="F735" s="9" t="s">
        <v>20</v>
      </c>
      <c r="G735" t="s">
        <v>21</v>
      </c>
      <c r="H735" t="str">
        <f>"8213663118"</f>
        <v>8213663118</v>
      </c>
      <c r="I735" t="str">
        <f t="shared" si="16"/>
        <v>UNIFIRST CORPORATION</v>
      </c>
    </row>
    <row r="736" spans="1:9" x14ac:dyDescent="0.25">
      <c r="F736" s="9" t="s">
        <v>20</v>
      </c>
      <c r="G736" t="s">
        <v>21</v>
      </c>
      <c r="H736" t="str">
        <f>"8213663119"</f>
        <v>8213663119</v>
      </c>
      <c r="I736" t="str">
        <f t="shared" si="16"/>
        <v>UNIFIRST CORPORATION</v>
      </c>
    </row>
    <row r="737" spans="1:9" x14ac:dyDescent="0.25">
      <c r="F737" s="9" t="s">
        <v>20</v>
      </c>
      <c r="G737" t="s">
        <v>21</v>
      </c>
      <c r="H737" t="str">
        <f>"8213663120"</f>
        <v>8213663120</v>
      </c>
      <c r="I737" t="str">
        <f t="shared" si="16"/>
        <v>UNIFIRST CORPORATION</v>
      </c>
    </row>
    <row r="738" spans="1:9" x14ac:dyDescent="0.25">
      <c r="F738" s="9" t="s">
        <v>20</v>
      </c>
      <c r="G738" t="s">
        <v>21</v>
      </c>
      <c r="H738" t="str">
        <f>"8213663122"</f>
        <v>8213663122</v>
      </c>
      <c r="I738" t="str">
        <f t="shared" si="16"/>
        <v>UNIFIRST CORPORATION</v>
      </c>
    </row>
    <row r="739" spans="1:9" x14ac:dyDescent="0.25">
      <c r="F739" s="9" t="s">
        <v>20</v>
      </c>
      <c r="G739" t="s">
        <v>21</v>
      </c>
      <c r="H739" t="str">
        <f>"8213663123"</f>
        <v>8213663123</v>
      </c>
      <c r="I739" t="str">
        <f t="shared" si="16"/>
        <v>UNIFIRST CORPORATION</v>
      </c>
    </row>
    <row r="740" spans="1:9" x14ac:dyDescent="0.25">
      <c r="A740" s="6">
        <v>44523</v>
      </c>
      <c r="B740" t="s">
        <v>26</v>
      </c>
      <c r="C740">
        <v>68172</v>
      </c>
      <c r="D740" t="s">
        <v>203</v>
      </c>
      <c r="E740" s="7">
        <v>659.59</v>
      </c>
      <c r="F740" s="9" t="s">
        <v>20</v>
      </c>
      <c r="G740" t="s">
        <v>21</v>
      </c>
      <c r="H740" t="str">
        <f>"785524"</f>
        <v>785524</v>
      </c>
      <c r="I740" t="str">
        <f>"USA BLUEBOOK"</f>
        <v>USA BLUEBOOK</v>
      </c>
    </row>
    <row r="741" spans="1:9" x14ac:dyDescent="0.25">
      <c r="F741" s="9" t="s">
        <v>20</v>
      </c>
      <c r="G741" t="s">
        <v>21</v>
      </c>
      <c r="H741" t="str">
        <f>"785678"</f>
        <v>785678</v>
      </c>
      <c r="I741" t="str">
        <f>"USA BLUEBOOK"</f>
        <v>USA BLUEBOOK</v>
      </c>
    </row>
    <row r="742" spans="1:9" x14ac:dyDescent="0.25">
      <c r="A742" s="6">
        <v>44523</v>
      </c>
      <c r="B742" t="s">
        <v>26</v>
      </c>
      <c r="C742">
        <v>68173</v>
      </c>
      <c r="D742" t="s">
        <v>202</v>
      </c>
      <c r="E742" s="7">
        <v>964.23</v>
      </c>
      <c r="F742" s="9" t="s">
        <v>20</v>
      </c>
      <c r="G742" t="s">
        <v>21</v>
      </c>
      <c r="H742" t="str">
        <f>"62381544"</f>
        <v>62381544</v>
      </c>
      <c r="I742" t="str">
        <f>"2 LOADS OF A-2 BASE"</f>
        <v>2 LOADS OF A-2 BASE</v>
      </c>
    </row>
    <row r="743" spans="1:9" x14ac:dyDescent="0.25">
      <c r="A743" s="6">
        <v>44523</v>
      </c>
      <c r="B743" t="s">
        <v>26</v>
      </c>
      <c r="C743">
        <v>68174</v>
      </c>
      <c r="D743" t="s">
        <v>81</v>
      </c>
      <c r="E743" s="7">
        <v>97.56</v>
      </c>
      <c r="F743" s="9" t="s">
        <v>20</v>
      </c>
      <c r="G743" t="s">
        <v>21</v>
      </c>
      <c r="H743" t="str">
        <f>"J.MONTOYA 11/22/21"</f>
        <v>J.MONTOYA 11/22/21</v>
      </c>
      <c r="I743" t="str">
        <f>"CITY OF FLORESVILLE -PETTY CAS"</f>
        <v>CITY OF FLORESVILLE -PETTY CAS</v>
      </c>
    </row>
    <row r="744" spans="1:9" x14ac:dyDescent="0.25">
      <c r="A744" s="6">
        <v>44523</v>
      </c>
      <c r="B744" t="s">
        <v>26</v>
      </c>
      <c r="C744">
        <v>68175</v>
      </c>
      <c r="D744" t="s">
        <v>824</v>
      </c>
      <c r="E744" s="7">
        <v>96.87</v>
      </c>
      <c r="F744" s="9" t="s">
        <v>20</v>
      </c>
      <c r="G744" t="s">
        <v>21</v>
      </c>
      <c r="H744" t="str">
        <f>"11/22/2021"</f>
        <v>11/22/2021</v>
      </c>
      <c r="I744" t="str">
        <f>"MALLORY R. NELSON"</f>
        <v>MALLORY R. NELSON</v>
      </c>
    </row>
    <row r="745" spans="1:9" x14ac:dyDescent="0.25">
      <c r="A745" s="6">
        <v>44523</v>
      </c>
      <c r="B745" t="s">
        <v>26</v>
      </c>
      <c r="C745">
        <v>68176</v>
      </c>
      <c r="D745" t="s">
        <v>345</v>
      </c>
      <c r="E745" s="7">
        <v>319</v>
      </c>
      <c r="F745" s="9" t="s">
        <v>20</v>
      </c>
      <c r="G745" t="s">
        <v>21</v>
      </c>
      <c r="H745" t="str">
        <f>"11/22/2021"</f>
        <v>11/22/2021</v>
      </c>
      <c r="I745" t="str">
        <f>"MICHAEL ISAAC MARTINEZ"</f>
        <v>MICHAEL ISAAC MARTINEZ</v>
      </c>
    </row>
    <row r="746" spans="1:9" x14ac:dyDescent="0.25">
      <c r="A746" s="6">
        <v>44523</v>
      </c>
      <c r="B746" t="s">
        <v>26</v>
      </c>
      <c r="C746">
        <v>68177</v>
      </c>
      <c r="D746" t="s">
        <v>1140</v>
      </c>
      <c r="E746" s="7">
        <v>96.87</v>
      </c>
      <c r="F746" s="9" t="s">
        <v>20</v>
      </c>
      <c r="G746" t="s">
        <v>21</v>
      </c>
      <c r="H746" t="str">
        <f>"11/22/2021"</f>
        <v>11/22/2021</v>
      </c>
      <c r="I746" t="str">
        <f>"MIRANDA ESTRADA"</f>
        <v>MIRANDA ESTRADA</v>
      </c>
    </row>
    <row r="747" spans="1:9" x14ac:dyDescent="0.25">
      <c r="A747" s="6">
        <v>44523</v>
      </c>
      <c r="B747" t="s">
        <v>26</v>
      </c>
      <c r="C747">
        <v>68179</v>
      </c>
      <c r="D747" t="s">
        <v>81</v>
      </c>
      <c r="E747" s="7">
        <v>217.92</v>
      </c>
      <c r="F747" s="9" t="s">
        <v>20</v>
      </c>
      <c r="G747" t="s">
        <v>21</v>
      </c>
      <c r="H747" t="str">
        <f>"A.MARTINEZ11/22/21"</f>
        <v>A.MARTINEZ11/22/21</v>
      </c>
      <c r="I747" t="str">
        <f>"CITY OF FLORESVILLE -PETTY CAS"</f>
        <v>CITY OF FLORESVILLE -PETTY CAS</v>
      </c>
    </row>
    <row r="748" spans="1:9" x14ac:dyDescent="0.25">
      <c r="A748" s="6">
        <v>44523</v>
      </c>
      <c r="B748" t="s">
        <v>26</v>
      </c>
      <c r="C748">
        <v>68180</v>
      </c>
      <c r="D748" t="s">
        <v>1141</v>
      </c>
      <c r="E748" s="7">
        <v>2556.12</v>
      </c>
      <c r="F748" s="9" t="s">
        <v>20</v>
      </c>
      <c r="G748" t="s">
        <v>21</v>
      </c>
      <c r="H748" t="str">
        <f>"SSI-SS11918"</f>
        <v>SSI-SS11918</v>
      </c>
      <c r="I748" t="str">
        <f t="shared" ref="I748:I756" si="17">"TEXAS LANDFILL MANAGEMENT  LLC"</f>
        <v>TEXAS LANDFILL MANAGEMENT  LLC</v>
      </c>
    </row>
    <row r="749" spans="1:9" x14ac:dyDescent="0.25">
      <c r="F749" s="9" t="s">
        <v>20</v>
      </c>
      <c r="G749" t="s">
        <v>21</v>
      </c>
      <c r="H749" t="str">
        <f>"SSI-SS11927"</f>
        <v>SSI-SS11927</v>
      </c>
      <c r="I749" t="str">
        <f t="shared" si="17"/>
        <v>TEXAS LANDFILL MANAGEMENT  LLC</v>
      </c>
    </row>
    <row r="750" spans="1:9" x14ac:dyDescent="0.25">
      <c r="F750" s="9" t="s">
        <v>20</v>
      </c>
      <c r="G750" t="s">
        <v>21</v>
      </c>
      <c r="H750" t="str">
        <f>"SSI-SS11933"</f>
        <v>SSI-SS11933</v>
      </c>
      <c r="I750" t="str">
        <f t="shared" si="17"/>
        <v>TEXAS LANDFILL MANAGEMENT  LLC</v>
      </c>
    </row>
    <row r="751" spans="1:9" x14ac:dyDescent="0.25">
      <c r="F751" s="9" t="s">
        <v>20</v>
      </c>
      <c r="G751" t="s">
        <v>21</v>
      </c>
      <c r="H751" t="str">
        <f>"SSI-SS11934"</f>
        <v>SSI-SS11934</v>
      </c>
      <c r="I751" t="str">
        <f t="shared" si="17"/>
        <v>TEXAS LANDFILL MANAGEMENT  LLC</v>
      </c>
    </row>
    <row r="752" spans="1:9" x14ac:dyDescent="0.25">
      <c r="F752" s="9" t="s">
        <v>20</v>
      </c>
      <c r="G752" t="s">
        <v>21</v>
      </c>
      <c r="H752" t="str">
        <f>"SSI-SS11935"</f>
        <v>SSI-SS11935</v>
      </c>
      <c r="I752" t="str">
        <f t="shared" si="17"/>
        <v>TEXAS LANDFILL MANAGEMENT  LLC</v>
      </c>
    </row>
    <row r="753" spans="1:9" x14ac:dyDescent="0.25">
      <c r="F753" s="9" t="s">
        <v>20</v>
      </c>
      <c r="G753" t="s">
        <v>21</v>
      </c>
      <c r="H753" t="str">
        <f>"SSI-SS11938"</f>
        <v>SSI-SS11938</v>
      </c>
      <c r="I753" t="str">
        <f t="shared" si="17"/>
        <v>TEXAS LANDFILL MANAGEMENT  LLC</v>
      </c>
    </row>
    <row r="754" spans="1:9" x14ac:dyDescent="0.25">
      <c r="F754" s="9" t="s">
        <v>20</v>
      </c>
      <c r="G754" t="s">
        <v>21</v>
      </c>
      <c r="H754" t="str">
        <f>"SSI-SS11947"</f>
        <v>SSI-SS11947</v>
      </c>
      <c r="I754" t="str">
        <f t="shared" si="17"/>
        <v>TEXAS LANDFILL MANAGEMENT  LLC</v>
      </c>
    </row>
    <row r="755" spans="1:9" x14ac:dyDescent="0.25">
      <c r="F755" s="9" t="s">
        <v>20</v>
      </c>
      <c r="G755" t="s">
        <v>21</v>
      </c>
      <c r="H755" t="str">
        <f>"SSI-SS11961"</f>
        <v>SSI-SS11961</v>
      </c>
      <c r="I755" t="str">
        <f t="shared" si="17"/>
        <v>TEXAS LANDFILL MANAGEMENT  LLC</v>
      </c>
    </row>
    <row r="756" spans="1:9" x14ac:dyDescent="0.25">
      <c r="F756" s="9" t="s">
        <v>20</v>
      </c>
      <c r="G756" t="s">
        <v>21</v>
      </c>
      <c r="H756" t="str">
        <f>"SSI-SS11990"</f>
        <v>SSI-SS11990</v>
      </c>
      <c r="I756" t="str">
        <f t="shared" si="17"/>
        <v>TEXAS LANDFILL MANAGEMENT  LLC</v>
      </c>
    </row>
    <row r="757" spans="1:9" x14ac:dyDescent="0.25">
      <c r="A757" s="6">
        <v>44530</v>
      </c>
      <c r="B757" t="s">
        <v>26</v>
      </c>
      <c r="C757">
        <v>68186</v>
      </c>
      <c r="D757" t="s">
        <v>51</v>
      </c>
      <c r="E757" s="7">
        <v>309.37</v>
      </c>
      <c r="F757" s="9" t="s">
        <v>20</v>
      </c>
      <c r="G757" t="s">
        <v>21</v>
      </c>
      <c r="H757" t="str">
        <f>"CLE202111308630"</f>
        <v>CLE202111308630</v>
      </c>
      <c r="I757" t="str">
        <f>"CLEAT ONLY DUES"</f>
        <v>CLEAT ONLY DUES</v>
      </c>
    </row>
    <row r="758" spans="1:9" x14ac:dyDescent="0.25">
      <c r="F758" s="9" t="s">
        <v>20</v>
      </c>
      <c r="G758" t="s">
        <v>21</v>
      </c>
      <c r="H758" t="str">
        <f>"PDD202111308630"</f>
        <v>PDD202111308630</v>
      </c>
      <c r="I758" t="str">
        <f>"POLICE OFFICERS ASSOC DUES"</f>
        <v>POLICE OFFICERS ASSOC DUES</v>
      </c>
    </row>
    <row r="759" spans="1:9" x14ac:dyDescent="0.25">
      <c r="A759" s="6">
        <v>44530</v>
      </c>
      <c r="B759" t="s">
        <v>26</v>
      </c>
      <c r="C759">
        <v>68187</v>
      </c>
      <c r="D759" t="s">
        <v>52</v>
      </c>
      <c r="E759" s="7">
        <v>991.16</v>
      </c>
      <c r="F759" s="9" t="s">
        <v>20</v>
      </c>
      <c r="G759" t="s">
        <v>21</v>
      </c>
      <c r="H759" t="str">
        <f>"CA1202111308630"</f>
        <v>CA1202111308630</v>
      </c>
      <c r="I759" t="str">
        <f>"K RAMIREZ 001200229510060343CV"</f>
        <v>K RAMIREZ 001200229510060343CV</v>
      </c>
    </row>
    <row r="760" spans="1:9" x14ac:dyDescent="0.25">
      <c r="F760" s="9" t="s">
        <v>20</v>
      </c>
      <c r="G760" t="s">
        <v>21</v>
      </c>
      <c r="H760" t="str">
        <f>"CA2202111308630"</f>
        <v>CA2202111308630</v>
      </c>
      <c r="I760" t="str">
        <f>"L HERNANDEZ 001016025203080354"</f>
        <v>L HERNANDEZ 001016025203080354</v>
      </c>
    </row>
    <row r="761" spans="1:9" x14ac:dyDescent="0.25">
      <c r="F761" s="9" t="s">
        <v>20</v>
      </c>
      <c r="G761" t="s">
        <v>21</v>
      </c>
      <c r="H761" t="str">
        <f>"CA3202111308630"</f>
        <v>CA3202111308630</v>
      </c>
      <c r="I761" t="str">
        <f>"00120788612011EM5023JOLENEGARC"</f>
        <v>00120788612011EM5023JOLENEGARC</v>
      </c>
    </row>
    <row r="762" spans="1:9" x14ac:dyDescent="0.25">
      <c r="F762" s="9" t="s">
        <v>20</v>
      </c>
      <c r="G762" t="s">
        <v>21</v>
      </c>
      <c r="H762" t="str">
        <f>"CSA202111308630"</f>
        <v>CSA202111308630</v>
      </c>
      <c r="I762" t="str">
        <f>"S RODRIGUEZ 001281730413050336"</f>
        <v>S RODRIGUEZ 001281730413050336</v>
      </c>
    </row>
    <row r="763" spans="1:9" x14ac:dyDescent="0.25">
      <c r="F763" s="9" t="s">
        <v>20</v>
      </c>
      <c r="G763" t="s">
        <v>21</v>
      </c>
      <c r="H763" t="str">
        <f>"CSI202111308630"</f>
        <v>CSI202111308630</v>
      </c>
      <c r="I763" t="str">
        <f>"KTRINIDAD0014071774CVW2000777"</f>
        <v>KTRINIDAD0014071774CVW2000777</v>
      </c>
    </row>
    <row r="764" spans="1:9" x14ac:dyDescent="0.25">
      <c r="F764" s="9" t="s">
        <v>20</v>
      </c>
      <c r="G764" t="s">
        <v>21</v>
      </c>
      <c r="H764" t="str">
        <f>"CSR202111308630"</f>
        <v>CSR202111308630</v>
      </c>
      <c r="I764" t="str">
        <f>"A BARRIENTE 14189017CVW2100560"</f>
        <v>A BARRIENTE 14189017CVW2100560</v>
      </c>
    </row>
    <row r="765" spans="1:9" x14ac:dyDescent="0.25">
      <c r="A765" s="6">
        <v>44530</v>
      </c>
      <c r="B765" t="s">
        <v>26</v>
      </c>
      <c r="C765">
        <v>68188</v>
      </c>
      <c r="D765" t="s">
        <v>54</v>
      </c>
      <c r="E765" s="7">
        <v>881.57</v>
      </c>
      <c r="F765" s="9" t="s">
        <v>20</v>
      </c>
      <c r="G765" t="s">
        <v>21</v>
      </c>
      <c r="H765" t="str">
        <f>"BRE202111308630"</f>
        <v>BRE202111308630</v>
      </c>
      <c r="I765" t="str">
        <f>"CASE #180-60751 457B DEDUCT"</f>
        <v>CASE #180-60751 457B DEDUCT</v>
      </c>
    </row>
    <row r="766" spans="1:9" x14ac:dyDescent="0.25">
      <c r="A766" s="6">
        <v>44531</v>
      </c>
      <c r="B766" t="s">
        <v>26</v>
      </c>
      <c r="C766">
        <v>68189</v>
      </c>
      <c r="D766" t="s">
        <v>339</v>
      </c>
      <c r="E766" s="7">
        <v>3395</v>
      </c>
      <c r="F766" s="9" t="s">
        <v>20</v>
      </c>
      <c r="G766" t="s">
        <v>21</v>
      </c>
      <c r="H766" t="str">
        <f>"831938"</f>
        <v>831938</v>
      </c>
      <c r="I766" t="str">
        <f>"SOUTHWEST PUBLIC SAFETY"</f>
        <v>SOUTHWEST PUBLIC SAFETY</v>
      </c>
    </row>
    <row r="767" spans="1:9" x14ac:dyDescent="0.25">
      <c r="F767" s="9" t="s">
        <v>20</v>
      </c>
      <c r="G767" t="s">
        <v>21</v>
      </c>
      <c r="H767" t="str">
        <f>"832288"</f>
        <v>832288</v>
      </c>
      <c r="I767" t="str">
        <f>"SOUTHWEST PUBLIC SAFETY"</f>
        <v>SOUTHWEST PUBLIC SAFETY</v>
      </c>
    </row>
    <row r="768" spans="1:9" x14ac:dyDescent="0.25">
      <c r="A768" s="6">
        <v>44531</v>
      </c>
      <c r="B768" t="s">
        <v>26</v>
      </c>
      <c r="C768">
        <v>68190</v>
      </c>
      <c r="D768" t="s">
        <v>240</v>
      </c>
      <c r="E768" s="7">
        <v>59.99</v>
      </c>
      <c r="F768" s="9" t="s">
        <v>20</v>
      </c>
      <c r="G768" t="s">
        <v>21</v>
      </c>
      <c r="H768" t="str">
        <f>"0220171-IN"</f>
        <v>0220171-IN</v>
      </c>
      <c r="I768" t="str">
        <f>"NARDIS PUBLIC SAFETY"</f>
        <v>NARDIS PUBLIC SAFETY</v>
      </c>
    </row>
    <row r="769" spans="1:9" x14ac:dyDescent="0.25">
      <c r="A769" s="6">
        <v>44531</v>
      </c>
      <c r="B769" t="s">
        <v>26</v>
      </c>
      <c r="C769">
        <v>68191</v>
      </c>
      <c r="D769" t="s">
        <v>1142</v>
      </c>
      <c r="E769" s="7">
        <v>75</v>
      </c>
      <c r="F769" s="9" t="s">
        <v>20</v>
      </c>
      <c r="G769" t="s">
        <v>21</v>
      </c>
      <c r="H769" t="str">
        <f>"CUT IN REFUND"</f>
        <v>CUT IN REFUND</v>
      </c>
      <c r="I769" t="str">
        <f>"REFUND"</f>
        <v>REFUND</v>
      </c>
    </row>
    <row r="770" spans="1:9" x14ac:dyDescent="0.25">
      <c r="A770" s="6">
        <v>44531</v>
      </c>
      <c r="B770" t="s">
        <v>26</v>
      </c>
      <c r="C770">
        <v>68192</v>
      </c>
      <c r="D770" t="s">
        <v>61</v>
      </c>
      <c r="E770" s="7">
        <v>188</v>
      </c>
      <c r="F770" s="9" t="s">
        <v>20</v>
      </c>
      <c r="G770" t="s">
        <v>21</v>
      </c>
      <c r="H770" t="str">
        <f>"025-358452"</f>
        <v>025-358452</v>
      </c>
      <c r="I770" t="str">
        <f>"TYLER TECHNOLOGIES  INC."</f>
        <v>TYLER TECHNOLOGIES  INC.</v>
      </c>
    </row>
    <row r="771" spans="1:9" x14ac:dyDescent="0.25">
      <c r="A771" s="6">
        <v>44531</v>
      </c>
      <c r="B771" t="s">
        <v>26</v>
      </c>
      <c r="C771">
        <v>68193</v>
      </c>
      <c r="D771" t="s">
        <v>63</v>
      </c>
      <c r="E771" s="7">
        <v>397</v>
      </c>
      <c r="F771" s="9" t="s">
        <v>20</v>
      </c>
      <c r="G771" t="s">
        <v>21</v>
      </c>
      <c r="H771" t="str">
        <f>"8405423077"</f>
        <v>8405423077</v>
      </c>
      <c r="I771" t="str">
        <f>"CINTAS CORPORATION"</f>
        <v>CINTAS CORPORATION</v>
      </c>
    </row>
    <row r="772" spans="1:9" x14ac:dyDescent="0.25">
      <c r="A772" s="6">
        <v>44531</v>
      </c>
      <c r="B772" t="s">
        <v>26</v>
      </c>
      <c r="C772">
        <v>68194</v>
      </c>
      <c r="D772" t="s">
        <v>189</v>
      </c>
      <c r="E772" s="7">
        <v>1545.88</v>
      </c>
      <c r="F772" s="9" t="s">
        <v>20</v>
      </c>
      <c r="G772" t="s">
        <v>21</v>
      </c>
      <c r="H772" t="str">
        <f>"SWO204832-1"</f>
        <v>SWO204832-1</v>
      </c>
      <c r="I772" t="str">
        <f>"BACKHOE REPAIR"</f>
        <v>BACKHOE REPAIR</v>
      </c>
    </row>
    <row r="773" spans="1:9" x14ac:dyDescent="0.25">
      <c r="A773" s="6">
        <v>44531</v>
      </c>
      <c r="B773" t="s">
        <v>26</v>
      </c>
      <c r="C773">
        <v>68195</v>
      </c>
      <c r="D773" t="s">
        <v>71</v>
      </c>
      <c r="E773" s="7">
        <v>2463.0100000000002</v>
      </c>
      <c r="F773" s="9" t="s">
        <v>20</v>
      </c>
      <c r="G773" t="s">
        <v>21</v>
      </c>
      <c r="H773" t="str">
        <f>"4100341286"</f>
        <v>4100341286</v>
      </c>
      <c r="I773" t="str">
        <f t="shared" ref="I773:I782" si="18">"CINTAS CORPORATION #087"</f>
        <v>CINTAS CORPORATION #087</v>
      </c>
    </row>
    <row r="774" spans="1:9" x14ac:dyDescent="0.25">
      <c r="F774" s="9" t="s">
        <v>20</v>
      </c>
      <c r="G774" t="s">
        <v>21</v>
      </c>
      <c r="H774" t="str">
        <f>"4100341327"</f>
        <v>4100341327</v>
      </c>
      <c r="I774" t="str">
        <f t="shared" si="18"/>
        <v>CINTAS CORPORATION #087</v>
      </c>
    </row>
    <row r="775" spans="1:9" x14ac:dyDescent="0.25">
      <c r="F775" s="9" t="s">
        <v>20</v>
      </c>
      <c r="G775" t="s">
        <v>21</v>
      </c>
      <c r="H775" t="str">
        <f>"4100349654"</f>
        <v>4100349654</v>
      </c>
      <c r="I775" t="str">
        <f t="shared" si="18"/>
        <v>CINTAS CORPORATION #087</v>
      </c>
    </row>
    <row r="776" spans="1:9" x14ac:dyDescent="0.25">
      <c r="F776" s="9" t="s">
        <v>20</v>
      </c>
      <c r="G776" t="s">
        <v>21</v>
      </c>
      <c r="H776" t="str">
        <f>"4101749893"</f>
        <v>4101749893</v>
      </c>
      <c r="I776" t="str">
        <f t="shared" si="18"/>
        <v>CINTAS CORPORATION #087</v>
      </c>
    </row>
    <row r="777" spans="1:9" x14ac:dyDescent="0.25">
      <c r="F777" s="9" t="s">
        <v>20</v>
      </c>
      <c r="G777" t="s">
        <v>21</v>
      </c>
      <c r="H777" t="str">
        <f>"4102512278"</f>
        <v>4102512278</v>
      </c>
      <c r="I777" t="str">
        <f t="shared" si="18"/>
        <v>CINTAS CORPORATION #087</v>
      </c>
    </row>
    <row r="778" spans="1:9" x14ac:dyDescent="0.25">
      <c r="F778" s="9" t="s">
        <v>20</v>
      </c>
      <c r="G778" t="s">
        <v>21</v>
      </c>
      <c r="H778" t="str">
        <f>"4102512279"</f>
        <v>4102512279</v>
      </c>
      <c r="I778" t="str">
        <f t="shared" si="18"/>
        <v>CINTAS CORPORATION #087</v>
      </c>
    </row>
    <row r="779" spans="1:9" x14ac:dyDescent="0.25">
      <c r="F779" s="9" t="s">
        <v>20</v>
      </c>
      <c r="G779" t="s">
        <v>21</v>
      </c>
      <c r="H779" t="str">
        <f>"4102512304"</f>
        <v>4102512304</v>
      </c>
      <c r="I779" t="str">
        <f t="shared" si="18"/>
        <v>CINTAS CORPORATION #087</v>
      </c>
    </row>
    <row r="780" spans="1:9" x14ac:dyDescent="0.25">
      <c r="F780" s="9" t="s">
        <v>20</v>
      </c>
      <c r="G780" t="s">
        <v>21</v>
      </c>
      <c r="H780" t="str">
        <f>"4102512306"</f>
        <v>4102512306</v>
      </c>
      <c r="I780" t="str">
        <f t="shared" si="18"/>
        <v>CINTAS CORPORATION #087</v>
      </c>
    </row>
    <row r="781" spans="1:9" x14ac:dyDescent="0.25">
      <c r="F781" s="9" t="s">
        <v>20</v>
      </c>
      <c r="G781" t="s">
        <v>21</v>
      </c>
      <c r="H781" t="str">
        <f>"4102512410"</f>
        <v>4102512410</v>
      </c>
      <c r="I781" t="str">
        <f t="shared" si="18"/>
        <v>CINTAS CORPORATION #087</v>
      </c>
    </row>
    <row r="782" spans="1:9" x14ac:dyDescent="0.25">
      <c r="F782" s="9" t="s">
        <v>20</v>
      </c>
      <c r="G782" t="s">
        <v>21</v>
      </c>
      <c r="H782" t="str">
        <f>"4102512436"</f>
        <v>4102512436</v>
      </c>
      <c r="I782" t="str">
        <f t="shared" si="18"/>
        <v>CINTAS CORPORATION #087</v>
      </c>
    </row>
    <row r="783" spans="1:9" x14ac:dyDescent="0.25">
      <c r="A783" s="6">
        <v>44531</v>
      </c>
      <c r="B783" t="s">
        <v>26</v>
      </c>
      <c r="C783">
        <v>68198</v>
      </c>
      <c r="D783" t="s">
        <v>305</v>
      </c>
      <c r="E783" s="7">
        <v>4167</v>
      </c>
      <c r="F783" s="9" t="s">
        <v>20</v>
      </c>
      <c r="G783" t="s">
        <v>21</v>
      </c>
      <c r="H783" t="str">
        <f>"6033"</f>
        <v>6033</v>
      </c>
      <c r="I783" t="str">
        <f>"NEW REGULATORS WWTP"</f>
        <v>NEW REGULATORS WWTP</v>
      </c>
    </row>
    <row r="784" spans="1:9" x14ac:dyDescent="0.25">
      <c r="F784" s="9" t="s">
        <v>20</v>
      </c>
      <c r="G784" t="s">
        <v>21</v>
      </c>
      <c r="H784" t="str">
        <f>"6036"</f>
        <v>6036</v>
      </c>
      <c r="I784" t="str">
        <f>"HOSPITAL WELL"</f>
        <v>HOSPITAL WELL</v>
      </c>
    </row>
    <row r="785" spans="1:9" x14ac:dyDescent="0.25">
      <c r="F785" s="9" t="s">
        <v>20</v>
      </c>
      <c r="G785" t="s">
        <v>21</v>
      </c>
      <c r="H785" t="str">
        <f>"6037"</f>
        <v>6037</v>
      </c>
      <c r="I785" t="str">
        <f>"B STREET WELL"</f>
        <v>B STREET WELL</v>
      </c>
    </row>
    <row r="786" spans="1:9" x14ac:dyDescent="0.25">
      <c r="A786" s="6">
        <v>44531</v>
      </c>
      <c r="B786" t="s">
        <v>26</v>
      </c>
      <c r="C786">
        <v>68199</v>
      </c>
      <c r="D786" t="s">
        <v>77</v>
      </c>
      <c r="E786" s="7">
        <v>566.08000000000004</v>
      </c>
      <c r="F786" s="9" t="s">
        <v>20</v>
      </c>
      <c r="G786" t="s">
        <v>21</v>
      </c>
      <c r="H786" t="str">
        <f>"857002572-21"</f>
        <v>857002572-21</v>
      </c>
      <c r="I786" t="str">
        <f>"CHLORINE"</f>
        <v>CHLORINE</v>
      </c>
    </row>
    <row r="787" spans="1:9" x14ac:dyDescent="0.25">
      <c r="A787" s="6">
        <v>44531</v>
      </c>
      <c r="B787" t="s">
        <v>26</v>
      </c>
      <c r="C787">
        <v>68200</v>
      </c>
      <c r="D787" t="s">
        <v>124</v>
      </c>
      <c r="E787" s="7">
        <v>91.03</v>
      </c>
      <c r="F787" s="9" t="s">
        <v>20</v>
      </c>
      <c r="G787" t="s">
        <v>21</v>
      </c>
      <c r="H787" t="str">
        <f>"11113157"</f>
        <v>11113157</v>
      </c>
      <c r="I787" t="str">
        <f>"WWTP SUPPLIES"</f>
        <v>WWTP SUPPLIES</v>
      </c>
    </row>
    <row r="788" spans="1:9" x14ac:dyDescent="0.25">
      <c r="A788" s="6">
        <v>44531</v>
      </c>
      <c r="B788" t="s">
        <v>26</v>
      </c>
      <c r="C788">
        <v>68201</v>
      </c>
      <c r="D788" t="s">
        <v>190</v>
      </c>
      <c r="E788" s="7">
        <v>39</v>
      </c>
      <c r="F788" s="9" t="s">
        <v>20</v>
      </c>
      <c r="G788" t="s">
        <v>21</v>
      </c>
      <c r="H788" t="str">
        <f>"18357"</f>
        <v>18357</v>
      </c>
      <c r="I788" t="str">
        <f>"NASASP"</f>
        <v>NASASP</v>
      </c>
    </row>
    <row r="789" spans="1:9" x14ac:dyDescent="0.25">
      <c r="A789" s="6">
        <v>44531</v>
      </c>
      <c r="B789" t="s">
        <v>26</v>
      </c>
      <c r="C789">
        <v>68202</v>
      </c>
      <c r="D789" t="s">
        <v>79</v>
      </c>
      <c r="E789" s="7">
        <v>62.36</v>
      </c>
      <c r="F789" s="9" t="s">
        <v>20</v>
      </c>
      <c r="G789" t="s">
        <v>21</v>
      </c>
      <c r="H789" t="str">
        <f>"7-570-14876"</f>
        <v>7-570-14876</v>
      </c>
      <c r="I789" t="str">
        <f>"FEDEX"</f>
        <v>FEDEX</v>
      </c>
    </row>
    <row r="790" spans="1:9" x14ac:dyDescent="0.25">
      <c r="A790" s="6">
        <v>44531</v>
      </c>
      <c r="B790" t="s">
        <v>26</v>
      </c>
      <c r="C790">
        <v>68203</v>
      </c>
      <c r="D790" t="s">
        <v>80</v>
      </c>
      <c r="E790" s="7">
        <v>1500</v>
      </c>
      <c r="F790" s="9" t="s">
        <v>20</v>
      </c>
      <c r="G790" t="s">
        <v>21</v>
      </c>
      <c r="H790" t="str">
        <f>"1648-20211201-1"</f>
        <v>1648-20211201-1</v>
      </c>
      <c r="I790" t="str">
        <f>"LVWIFI.COM"</f>
        <v>LVWIFI.COM</v>
      </c>
    </row>
    <row r="791" spans="1:9" x14ac:dyDescent="0.25">
      <c r="F791" s="9" t="s">
        <v>20</v>
      </c>
      <c r="G791" t="s">
        <v>21</v>
      </c>
      <c r="H791" t="str">
        <f>"2313-20211201-1"</f>
        <v>2313-20211201-1</v>
      </c>
      <c r="I791" t="str">
        <f>"LVWIFI.COM"</f>
        <v>LVWIFI.COM</v>
      </c>
    </row>
    <row r="792" spans="1:9" x14ac:dyDescent="0.25">
      <c r="A792" s="6">
        <v>44531</v>
      </c>
      <c r="B792" t="s">
        <v>26</v>
      </c>
      <c r="C792">
        <v>68204</v>
      </c>
      <c r="D792" t="s">
        <v>633</v>
      </c>
      <c r="E792" s="7">
        <v>778.08</v>
      </c>
      <c r="F792" s="9" t="s">
        <v>20</v>
      </c>
      <c r="G792" t="s">
        <v>21</v>
      </c>
      <c r="H792" t="str">
        <f>"0096557195"</f>
        <v>0096557195</v>
      </c>
      <c r="I792" t="str">
        <f>"CINTAS FIRE 636525"</f>
        <v>CINTAS FIRE 636525</v>
      </c>
    </row>
    <row r="793" spans="1:9" x14ac:dyDescent="0.25">
      <c r="F793" s="9" t="s">
        <v>20</v>
      </c>
      <c r="G793" t="s">
        <v>21</v>
      </c>
      <c r="H793" t="str">
        <f>"0096557265"</f>
        <v>0096557265</v>
      </c>
      <c r="I793" t="str">
        <f>"CINTAS FIRE 636525"</f>
        <v>CINTAS FIRE 636525</v>
      </c>
    </row>
    <row r="794" spans="1:9" x14ac:dyDescent="0.25">
      <c r="A794" s="6">
        <v>44531</v>
      </c>
      <c r="B794" t="s">
        <v>26</v>
      </c>
      <c r="C794">
        <v>68205</v>
      </c>
      <c r="D794" t="s">
        <v>148</v>
      </c>
      <c r="E794" s="7">
        <v>6533.6</v>
      </c>
      <c r="F794" s="9" t="s">
        <v>20</v>
      </c>
      <c r="G794" t="s">
        <v>21</v>
      </c>
      <c r="H794" t="str">
        <f>"PHS0205947"</f>
        <v>PHS0205947</v>
      </c>
      <c r="I794" t="str">
        <f>"TEXAS COMMISSION ON ENVIRONMEN"</f>
        <v>TEXAS COMMISSION ON ENVIRONMEN</v>
      </c>
    </row>
    <row r="795" spans="1:9" x14ac:dyDescent="0.25">
      <c r="A795" s="6">
        <v>44531</v>
      </c>
      <c r="B795" t="s">
        <v>26</v>
      </c>
      <c r="C795">
        <v>68206</v>
      </c>
      <c r="D795" t="s">
        <v>85</v>
      </c>
      <c r="E795" s="7">
        <v>3315.62</v>
      </c>
      <c r="F795" s="9" t="s">
        <v>20</v>
      </c>
      <c r="G795" t="s">
        <v>21</v>
      </c>
      <c r="H795" t="str">
        <f>"3932056 NOV.2021"</f>
        <v>3932056 NOV.2021</v>
      </c>
      <c r="I795" t="str">
        <f t="shared" ref="I795:I801" si="19">"FRONTIER"</f>
        <v>FRONTIER</v>
      </c>
    </row>
    <row r="796" spans="1:9" x14ac:dyDescent="0.25">
      <c r="F796" s="9" t="s">
        <v>20</v>
      </c>
      <c r="G796" t="s">
        <v>21</v>
      </c>
      <c r="H796" t="str">
        <f>"3933105 NOV.2021"</f>
        <v>3933105 NOV.2021</v>
      </c>
      <c r="I796" t="str">
        <f t="shared" si="19"/>
        <v>FRONTIER</v>
      </c>
    </row>
    <row r="797" spans="1:9" x14ac:dyDescent="0.25">
      <c r="F797" s="9" t="s">
        <v>20</v>
      </c>
      <c r="G797" t="s">
        <v>21</v>
      </c>
      <c r="H797" t="str">
        <f>"3933186 NOV.2021"</f>
        <v>3933186 NOV.2021</v>
      </c>
      <c r="I797" t="str">
        <f t="shared" si="19"/>
        <v>FRONTIER</v>
      </c>
    </row>
    <row r="798" spans="1:9" x14ac:dyDescent="0.25">
      <c r="F798" s="9" t="s">
        <v>20</v>
      </c>
      <c r="G798" t="s">
        <v>21</v>
      </c>
      <c r="H798" t="str">
        <f>"3934055 NOV.2021"</f>
        <v>3934055 NOV.2021</v>
      </c>
      <c r="I798" t="str">
        <f t="shared" si="19"/>
        <v>FRONTIER</v>
      </c>
    </row>
    <row r="799" spans="1:9" x14ac:dyDescent="0.25">
      <c r="F799" s="9" t="s">
        <v>20</v>
      </c>
      <c r="G799" t="s">
        <v>21</v>
      </c>
      <c r="H799" t="str">
        <f>"3936616 NOV.2021"</f>
        <v>3936616 NOV.2021</v>
      </c>
      <c r="I799" t="str">
        <f t="shared" si="19"/>
        <v>FRONTIER</v>
      </c>
    </row>
    <row r="800" spans="1:9" x14ac:dyDescent="0.25">
      <c r="F800" s="9" t="s">
        <v>20</v>
      </c>
      <c r="G800" t="s">
        <v>21</v>
      </c>
      <c r="H800" t="str">
        <f>"3939456 NOV.2021"</f>
        <v>3939456 NOV.2021</v>
      </c>
      <c r="I800" t="str">
        <f t="shared" si="19"/>
        <v>FRONTIER</v>
      </c>
    </row>
    <row r="801" spans="1:9" x14ac:dyDescent="0.25">
      <c r="F801" s="9" t="s">
        <v>20</v>
      </c>
      <c r="G801" t="s">
        <v>21</v>
      </c>
      <c r="H801" t="str">
        <f>"8301970025 NOV2021"</f>
        <v>8301970025 NOV2021</v>
      </c>
      <c r="I801" t="str">
        <f t="shared" si="19"/>
        <v>FRONTIER</v>
      </c>
    </row>
    <row r="802" spans="1:9" x14ac:dyDescent="0.25">
      <c r="A802" s="6">
        <v>44531</v>
      </c>
      <c r="B802" t="s">
        <v>26</v>
      </c>
      <c r="C802">
        <v>68208</v>
      </c>
      <c r="D802" t="s">
        <v>194</v>
      </c>
      <c r="E802" s="7">
        <v>498.57</v>
      </c>
      <c r="F802" s="9" t="s">
        <v>20</v>
      </c>
      <c r="G802" t="s">
        <v>21</v>
      </c>
      <c r="H802" t="str">
        <f>"019648821"</f>
        <v>019648821</v>
      </c>
      <c r="I802" t="str">
        <f>"ROMERO UNIFORM ALLOWANCE"</f>
        <v>ROMERO UNIFORM ALLOWANCE</v>
      </c>
    </row>
    <row r="803" spans="1:9" x14ac:dyDescent="0.25">
      <c r="F803" s="9" t="s">
        <v>20</v>
      </c>
      <c r="G803" t="s">
        <v>21</v>
      </c>
      <c r="H803" t="str">
        <f>"019662696"</f>
        <v>019662696</v>
      </c>
      <c r="I803" t="str">
        <f>"ROMERO UNIFORM ALLOWANCE"</f>
        <v>ROMERO UNIFORM ALLOWANCE</v>
      </c>
    </row>
    <row r="804" spans="1:9" x14ac:dyDescent="0.25">
      <c r="A804" s="6">
        <v>44531</v>
      </c>
      <c r="B804" t="s">
        <v>26</v>
      </c>
      <c r="C804">
        <v>68209</v>
      </c>
      <c r="D804" t="s">
        <v>345</v>
      </c>
      <c r="E804" s="7">
        <v>308</v>
      </c>
      <c r="F804" s="9" t="s">
        <v>20</v>
      </c>
      <c r="G804" t="s">
        <v>21</v>
      </c>
      <c r="H804" t="str">
        <f>"11/29/2021"</f>
        <v>11/29/2021</v>
      </c>
      <c r="I804" t="str">
        <f>"MICHAEL ISAAC MARTINEZ"</f>
        <v>MICHAEL ISAAC MARTINEZ</v>
      </c>
    </row>
    <row r="805" spans="1:9" x14ac:dyDescent="0.25">
      <c r="A805" s="6">
        <v>44531</v>
      </c>
      <c r="B805" t="s">
        <v>26</v>
      </c>
      <c r="C805">
        <v>68210</v>
      </c>
      <c r="D805" t="s">
        <v>644</v>
      </c>
      <c r="E805" s="7">
        <v>579.28</v>
      </c>
      <c r="F805" s="9" t="s">
        <v>20</v>
      </c>
      <c r="G805" t="s">
        <v>21</v>
      </c>
      <c r="H805" t="str">
        <f>"8213665721"</f>
        <v>8213665721</v>
      </c>
      <c r="I805" t="str">
        <f t="shared" ref="I805:I810" si="20">"UNIFIRST CORPORATION"</f>
        <v>UNIFIRST CORPORATION</v>
      </c>
    </row>
    <row r="806" spans="1:9" x14ac:dyDescent="0.25">
      <c r="F806" s="9" t="s">
        <v>20</v>
      </c>
      <c r="G806" t="s">
        <v>21</v>
      </c>
      <c r="H806" t="str">
        <f>"8213665722"</f>
        <v>8213665722</v>
      </c>
      <c r="I806" t="str">
        <f t="shared" si="20"/>
        <v>UNIFIRST CORPORATION</v>
      </c>
    </row>
    <row r="807" spans="1:9" x14ac:dyDescent="0.25">
      <c r="F807" s="9" t="s">
        <v>20</v>
      </c>
      <c r="G807" t="s">
        <v>21</v>
      </c>
      <c r="H807" t="str">
        <f>"8213665723"</f>
        <v>8213665723</v>
      </c>
      <c r="I807" t="str">
        <f t="shared" si="20"/>
        <v>UNIFIRST CORPORATION</v>
      </c>
    </row>
    <row r="808" spans="1:9" x14ac:dyDescent="0.25">
      <c r="F808" s="9" t="s">
        <v>20</v>
      </c>
      <c r="G808" t="s">
        <v>21</v>
      </c>
      <c r="H808" t="str">
        <f>"8213665724"</f>
        <v>8213665724</v>
      </c>
      <c r="I808" t="str">
        <f t="shared" si="20"/>
        <v>UNIFIRST CORPORATION</v>
      </c>
    </row>
    <row r="809" spans="1:9" x14ac:dyDescent="0.25">
      <c r="F809" s="9" t="s">
        <v>20</v>
      </c>
      <c r="G809" t="s">
        <v>21</v>
      </c>
      <c r="H809" t="str">
        <f>"8213665726"</f>
        <v>8213665726</v>
      </c>
      <c r="I809" t="str">
        <f t="shared" si="20"/>
        <v>UNIFIRST CORPORATION</v>
      </c>
    </row>
    <row r="810" spans="1:9" x14ac:dyDescent="0.25">
      <c r="F810" s="9" t="s">
        <v>20</v>
      </c>
      <c r="G810" t="s">
        <v>21</v>
      </c>
      <c r="H810" t="str">
        <f>"8213665727"</f>
        <v>8213665727</v>
      </c>
      <c r="I810" t="str">
        <f t="shared" si="20"/>
        <v>UNIFIRST CORPORATION</v>
      </c>
    </row>
    <row r="811" spans="1:9" x14ac:dyDescent="0.25">
      <c r="A811" s="6">
        <v>44531</v>
      </c>
      <c r="B811" t="s">
        <v>26</v>
      </c>
      <c r="C811">
        <v>68212</v>
      </c>
      <c r="D811" t="s">
        <v>739</v>
      </c>
      <c r="E811" s="7">
        <v>1530.25</v>
      </c>
      <c r="F811" s="9" t="s">
        <v>20</v>
      </c>
      <c r="G811" t="s">
        <v>21</v>
      </c>
      <c r="H811" t="str">
        <f>"5284X10272021"</f>
        <v>5284X10272021</v>
      </c>
      <c r="I811" t="str">
        <f>"FIRSTNET/AT&amp;T MOBILITY LLC"</f>
        <v>FIRSTNET/AT&amp;T MOBILITY LLC</v>
      </c>
    </row>
    <row r="812" spans="1:9" x14ac:dyDescent="0.25">
      <c r="A812" s="6">
        <v>44531</v>
      </c>
      <c r="B812" t="s">
        <v>26</v>
      </c>
      <c r="C812">
        <v>68213</v>
      </c>
      <c r="D812" t="s">
        <v>824</v>
      </c>
      <c r="E812" s="7">
        <v>82.32</v>
      </c>
      <c r="F812" s="9" t="s">
        <v>20</v>
      </c>
      <c r="G812" t="s">
        <v>21</v>
      </c>
      <c r="H812" t="str">
        <f>"11/27/2021"</f>
        <v>11/27/2021</v>
      </c>
      <c r="I812" t="str">
        <f>"MALLORY R. NELSON"</f>
        <v>MALLORY R. NELSON</v>
      </c>
    </row>
    <row r="813" spans="1:9" x14ac:dyDescent="0.25">
      <c r="A813" s="6">
        <v>44531</v>
      </c>
      <c r="B813" t="s">
        <v>26</v>
      </c>
      <c r="C813">
        <v>68214</v>
      </c>
      <c r="D813" t="s">
        <v>949</v>
      </c>
      <c r="E813" s="7">
        <v>100</v>
      </c>
      <c r="F813" s="9" t="s">
        <v>20</v>
      </c>
      <c r="G813" t="s">
        <v>21</v>
      </c>
      <c r="H813" t="str">
        <f>"18764"</f>
        <v>18764</v>
      </c>
      <c r="I813" t="str">
        <f>"CLOSED SIGNS"</f>
        <v>CLOSED SIGNS</v>
      </c>
    </row>
    <row r="814" spans="1:9" x14ac:dyDescent="0.25">
      <c r="A814" s="6">
        <v>44531</v>
      </c>
      <c r="B814" t="s">
        <v>26</v>
      </c>
      <c r="C814">
        <v>68215</v>
      </c>
      <c r="D814" t="s">
        <v>937</v>
      </c>
      <c r="E814" s="7">
        <v>636.92999999999995</v>
      </c>
      <c r="F814" s="9" t="s">
        <v>20</v>
      </c>
      <c r="G814" t="s">
        <v>21</v>
      </c>
      <c r="H814" t="str">
        <f>"88-74181-01"</f>
        <v>88-74181-01</v>
      </c>
      <c r="I814" t="str">
        <f>"ELLIOTT ELECTRIC SUPPLY  INC"</f>
        <v>ELLIOTT ELECTRIC SUPPLY  INC</v>
      </c>
    </row>
    <row r="815" spans="1:9" x14ac:dyDescent="0.25">
      <c r="A815" s="6">
        <v>44531</v>
      </c>
      <c r="B815" t="s">
        <v>26</v>
      </c>
      <c r="C815">
        <v>68216</v>
      </c>
      <c r="D815" t="s">
        <v>1140</v>
      </c>
      <c r="E815" s="7">
        <v>82.32</v>
      </c>
      <c r="F815" s="9" t="s">
        <v>20</v>
      </c>
      <c r="G815" t="s">
        <v>21</v>
      </c>
      <c r="H815" t="str">
        <f>"11/27/2021"</f>
        <v>11/27/2021</v>
      </c>
      <c r="I815" t="str">
        <f>"MIRANDA ESTRADA"</f>
        <v>MIRANDA ESTRADA</v>
      </c>
    </row>
    <row r="816" spans="1:9" x14ac:dyDescent="0.25">
      <c r="A816" s="6">
        <v>44531</v>
      </c>
      <c r="B816" t="s">
        <v>91</v>
      </c>
      <c r="C816">
        <v>68217</v>
      </c>
      <c r="D816" t="s">
        <v>170</v>
      </c>
      <c r="E816" s="7">
        <v>3194.15</v>
      </c>
      <c r="F816" s="9" t="s">
        <v>20</v>
      </c>
      <c r="G816" t="s">
        <v>21</v>
      </c>
      <c r="H816" t="str">
        <f>"0000034127"</f>
        <v>0000034127</v>
      </c>
      <c r="I816" t="str">
        <f>"BARRETT &amp; SONS  INC."</f>
        <v>BARRETT &amp; SONS  INC.</v>
      </c>
    </row>
    <row r="817" spans="1:9" x14ac:dyDescent="0.25">
      <c r="F817" s="9" t="s">
        <v>20</v>
      </c>
      <c r="G817" t="s">
        <v>21</v>
      </c>
      <c r="H817" t="str">
        <f>"0000034185"</f>
        <v>0000034185</v>
      </c>
      <c r="I817" t="str">
        <f>"BARRETT &amp; SONS  INC."</f>
        <v>BARRETT &amp; SONS  INC.</v>
      </c>
    </row>
    <row r="818" spans="1:9" x14ac:dyDescent="0.25">
      <c r="A818" s="6">
        <v>44531</v>
      </c>
      <c r="B818" t="s">
        <v>91</v>
      </c>
      <c r="C818">
        <v>68217</v>
      </c>
      <c r="D818" t="s">
        <v>170</v>
      </c>
      <c r="E818" s="7">
        <v>3194.15</v>
      </c>
      <c r="F818" s="9" t="s">
        <v>20</v>
      </c>
      <c r="G818" t="s">
        <v>93</v>
      </c>
      <c r="H818" t="str">
        <f>"CHECK"</f>
        <v>CHECK</v>
      </c>
      <c r="I818" t="str">
        <f>""</f>
        <v/>
      </c>
    </row>
    <row r="819" spans="1:9" x14ac:dyDescent="0.25">
      <c r="A819" s="6">
        <v>44536</v>
      </c>
      <c r="B819" t="s">
        <v>26</v>
      </c>
      <c r="C819">
        <v>68218</v>
      </c>
      <c r="D819" t="s">
        <v>90</v>
      </c>
      <c r="E819" s="7">
        <v>1772.9</v>
      </c>
      <c r="F819" s="9" t="s">
        <v>20</v>
      </c>
      <c r="G819" t="s">
        <v>24</v>
      </c>
      <c r="H819" t="str">
        <f>"030564"</f>
        <v>030564</v>
      </c>
      <c r="I819" t="str">
        <f>"AFLAC"</f>
        <v>AFLAC</v>
      </c>
    </row>
    <row r="820" spans="1:9" x14ac:dyDescent="0.25">
      <c r="F820" s="9" t="s">
        <v>20</v>
      </c>
      <c r="G820" t="s">
        <v>21</v>
      </c>
      <c r="H820" t="str">
        <f>"ACA202111018626"</f>
        <v>ACA202111018626</v>
      </c>
      <c r="I820" t="str">
        <f>"AFLAC INSURANCE"</f>
        <v>AFLAC INSURANCE</v>
      </c>
    </row>
    <row r="821" spans="1:9" x14ac:dyDescent="0.25">
      <c r="F821" s="9" t="s">
        <v>20</v>
      </c>
      <c r="G821" t="s">
        <v>21</v>
      </c>
      <c r="H821" t="str">
        <f>"ACA202111168628"</f>
        <v>ACA202111168628</v>
      </c>
      <c r="I821" t="str">
        <f>"AFLAC INSURANCE"</f>
        <v>AFLAC INSURANCE</v>
      </c>
    </row>
    <row r="822" spans="1:9" x14ac:dyDescent="0.25">
      <c r="F822" s="9" t="s">
        <v>20</v>
      </c>
      <c r="G822" t="s">
        <v>21</v>
      </c>
      <c r="H822" t="str">
        <f>"ADR202111018626"</f>
        <v>ADR202111018626</v>
      </c>
      <c r="I822" t="str">
        <f>"INSURANCE"</f>
        <v>INSURANCE</v>
      </c>
    </row>
    <row r="823" spans="1:9" x14ac:dyDescent="0.25">
      <c r="F823" s="9" t="s">
        <v>20</v>
      </c>
      <c r="G823" t="s">
        <v>21</v>
      </c>
      <c r="H823" t="str">
        <f>"ADR202111168628"</f>
        <v>ADR202111168628</v>
      </c>
      <c r="I823" t="str">
        <f>"INSURANCE"</f>
        <v>INSURANCE</v>
      </c>
    </row>
    <row r="824" spans="1:9" x14ac:dyDescent="0.25">
      <c r="F824" s="9" t="s">
        <v>20</v>
      </c>
      <c r="G824" t="s">
        <v>21</v>
      </c>
      <c r="H824" t="str">
        <f>"AF1202111018626"</f>
        <v>AF1202111018626</v>
      </c>
      <c r="I824" t="str">
        <f>"AFLAC INSURANCE"</f>
        <v>AFLAC INSURANCE</v>
      </c>
    </row>
    <row r="825" spans="1:9" x14ac:dyDescent="0.25">
      <c r="F825" s="9" t="s">
        <v>20</v>
      </c>
      <c r="G825" t="s">
        <v>21</v>
      </c>
      <c r="H825" t="str">
        <f>"AF1202111168628"</f>
        <v>AF1202111168628</v>
      </c>
      <c r="I825" t="str">
        <f>"AFLAC INSURANCE"</f>
        <v>AFLAC INSURANCE</v>
      </c>
    </row>
    <row r="826" spans="1:9" x14ac:dyDescent="0.25">
      <c r="F826" s="9" t="s">
        <v>20</v>
      </c>
      <c r="G826" t="s">
        <v>21</v>
      </c>
      <c r="H826" t="str">
        <f>"AFS202111018626"</f>
        <v>AFS202111018626</v>
      </c>
      <c r="I826" t="str">
        <f>"AFLAC STD"</f>
        <v>AFLAC STD</v>
      </c>
    </row>
    <row r="827" spans="1:9" x14ac:dyDescent="0.25">
      <c r="F827" s="9" t="s">
        <v>20</v>
      </c>
      <c r="G827" t="s">
        <v>21</v>
      </c>
      <c r="H827" t="str">
        <f>"AFS202111168628"</f>
        <v>AFS202111168628</v>
      </c>
      <c r="I827" t="str">
        <f>"AFLAC STD"</f>
        <v>AFLAC STD</v>
      </c>
    </row>
    <row r="828" spans="1:9" x14ac:dyDescent="0.25">
      <c r="F828" s="9" t="s">
        <v>20</v>
      </c>
      <c r="G828" t="s">
        <v>21</v>
      </c>
      <c r="H828" t="str">
        <f>"ASP202111018626"</f>
        <v>ASP202111018626</v>
      </c>
      <c r="I828" t="str">
        <f>"AFLAC INSURANCE"</f>
        <v>AFLAC INSURANCE</v>
      </c>
    </row>
    <row r="829" spans="1:9" x14ac:dyDescent="0.25">
      <c r="F829" s="9" t="s">
        <v>20</v>
      </c>
      <c r="G829" t="s">
        <v>21</v>
      </c>
      <c r="H829" t="str">
        <f>"ASP202111168628"</f>
        <v>ASP202111168628</v>
      </c>
      <c r="I829" t="str">
        <f>"AFLAC INSURANCE"</f>
        <v>AFLAC INSURANCE</v>
      </c>
    </row>
    <row r="830" spans="1:9" x14ac:dyDescent="0.25">
      <c r="F830" s="9" t="s">
        <v>20</v>
      </c>
      <c r="G830" t="s">
        <v>21</v>
      </c>
      <c r="H830" t="str">
        <f>"HCO202111018626"</f>
        <v>HCO202111018626</v>
      </c>
      <c r="I830" t="str">
        <f>"AFLAC INSURANCE"</f>
        <v>AFLAC INSURANCE</v>
      </c>
    </row>
    <row r="831" spans="1:9" x14ac:dyDescent="0.25">
      <c r="F831" s="9" t="s">
        <v>20</v>
      </c>
      <c r="G831" t="s">
        <v>21</v>
      </c>
      <c r="H831" t="str">
        <f>"HCO202111168628"</f>
        <v>HCO202111168628</v>
      </c>
      <c r="I831" t="str">
        <f>"AFLAC INSURANCE"</f>
        <v>AFLAC INSURANCE</v>
      </c>
    </row>
    <row r="832" spans="1:9" x14ac:dyDescent="0.25">
      <c r="A832" s="6">
        <v>44536</v>
      </c>
      <c r="B832" t="s">
        <v>26</v>
      </c>
      <c r="C832">
        <v>68223</v>
      </c>
      <c r="D832" t="s">
        <v>98</v>
      </c>
      <c r="E832" s="7">
        <v>3522.7</v>
      </c>
      <c r="F832" s="9" t="s">
        <v>20</v>
      </c>
      <c r="G832" t="s">
        <v>24</v>
      </c>
      <c r="H832" t="str">
        <f>"DEC. 2021"</f>
        <v>DEC. 2021</v>
      </c>
      <c r="I832" t="str">
        <f>"DEARBORN LIFE INSURANCE COMPAN"</f>
        <v>DEARBORN LIFE INSURANCE COMPAN</v>
      </c>
    </row>
    <row r="833" spans="1:9" x14ac:dyDescent="0.25">
      <c r="F833" s="9" t="s">
        <v>20</v>
      </c>
      <c r="G833" t="s">
        <v>21</v>
      </c>
      <c r="H833" t="str">
        <f>"STD202111018626"</f>
        <v>STD202111018626</v>
      </c>
      <c r="I833" t="str">
        <f>"SHORT TERM DISABILITY"</f>
        <v>SHORT TERM DISABILITY</v>
      </c>
    </row>
    <row r="834" spans="1:9" x14ac:dyDescent="0.25">
      <c r="F834" s="9" t="s">
        <v>20</v>
      </c>
      <c r="G834" t="s">
        <v>21</v>
      </c>
      <c r="H834" t="str">
        <f>"STD202111168628"</f>
        <v>STD202111168628</v>
      </c>
      <c r="I834" t="str">
        <f>"SHORT TERM DISABILITY"</f>
        <v>SHORT TERM DISABILITY</v>
      </c>
    </row>
    <row r="835" spans="1:9" x14ac:dyDescent="0.25">
      <c r="F835" s="9" t="s">
        <v>20</v>
      </c>
      <c r="G835" t="s">
        <v>21</v>
      </c>
      <c r="H835" t="str">
        <f>"VIS202111018626"</f>
        <v>VIS202111018626</v>
      </c>
      <c r="I835" t="str">
        <f>"VISION INSURANCE"</f>
        <v>VISION INSURANCE</v>
      </c>
    </row>
    <row r="836" spans="1:9" x14ac:dyDescent="0.25">
      <c r="F836" s="9" t="s">
        <v>20</v>
      </c>
      <c r="G836" t="s">
        <v>21</v>
      </c>
      <c r="H836" t="str">
        <f>"VIS202111168628"</f>
        <v>VIS202111168628</v>
      </c>
      <c r="I836" t="str">
        <f>"VISION INSURANCE"</f>
        <v>VISION INSURANCE</v>
      </c>
    </row>
    <row r="837" spans="1:9" x14ac:dyDescent="0.25">
      <c r="F837" s="9" t="s">
        <v>20</v>
      </c>
      <c r="G837" t="s">
        <v>21</v>
      </c>
      <c r="H837" t="str">
        <f>"VLC202111018626"</f>
        <v>VLC202111018626</v>
      </c>
      <c r="I837" t="str">
        <f>"CHILD LIFE INSURANCE"</f>
        <v>CHILD LIFE INSURANCE</v>
      </c>
    </row>
    <row r="838" spans="1:9" x14ac:dyDescent="0.25">
      <c r="F838" s="9" t="s">
        <v>20</v>
      </c>
      <c r="G838" t="s">
        <v>21</v>
      </c>
      <c r="H838" t="str">
        <f>"VLC202111168628"</f>
        <v>VLC202111168628</v>
      </c>
      <c r="I838" t="str">
        <f>"CHILD LIFE INSURANCE"</f>
        <v>CHILD LIFE INSURANCE</v>
      </c>
    </row>
    <row r="839" spans="1:9" x14ac:dyDescent="0.25">
      <c r="F839" s="9" t="s">
        <v>20</v>
      </c>
      <c r="G839" t="s">
        <v>21</v>
      </c>
      <c r="H839" t="str">
        <f>"VLS202111018626"</f>
        <v>VLS202111018626</v>
      </c>
      <c r="I839" t="str">
        <f>"SPOUSE LIFE"</f>
        <v>SPOUSE LIFE</v>
      </c>
    </row>
    <row r="840" spans="1:9" x14ac:dyDescent="0.25">
      <c r="F840" s="9" t="s">
        <v>20</v>
      </c>
      <c r="G840" t="s">
        <v>21</v>
      </c>
      <c r="H840" t="str">
        <f>"VLS202111168628"</f>
        <v>VLS202111168628</v>
      </c>
      <c r="I840" t="str">
        <f>"SPOUSE LIFE"</f>
        <v>SPOUSE LIFE</v>
      </c>
    </row>
    <row r="841" spans="1:9" x14ac:dyDescent="0.25">
      <c r="F841" s="9" t="s">
        <v>20</v>
      </c>
      <c r="G841" t="s">
        <v>21</v>
      </c>
      <c r="H841" t="str">
        <f>"VOE202111018626"</f>
        <v>VOE202111018626</v>
      </c>
      <c r="I841" t="str">
        <f>"EMPLOYEE LIFE"</f>
        <v>EMPLOYEE LIFE</v>
      </c>
    </row>
    <row r="842" spans="1:9" x14ac:dyDescent="0.25">
      <c r="F842" s="9" t="s">
        <v>20</v>
      </c>
      <c r="G842" t="s">
        <v>21</v>
      </c>
      <c r="H842" t="str">
        <f>"VOE202111168628"</f>
        <v>VOE202111168628</v>
      </c>
      <c r="I842" t="str">
        <f>"EMPLOYEE LIFE"</f>
        <v>EMPLOYEE LIFE</v>
      </c>
    </row>
    <row r="843" spans="1:9" x14ac:dyDescent="0.25">
      <c r="F843" s="9" t="s">
        <v>20</v>
      </c>
      <c r="G843" t="s">
        <v>21</v>
      </c>
      <c r="H843" t="str">
        <f>"VOL202111018626"</f>
        <v>VOL202111018626</v>
      </c>
      <c r="I843" t="str">
        <f>"LIFE"</f>
        <v>LIFE</v>
      </c>
    </row>
    <row r="844" spans="1:9" x14ac:dyDescent="0.25">
      <c r="F844" s="9" t="s">
        <v>20</v>
      </c>
      <c r="G844" t="s">
        <v>21</v>
      </c>
      <c r="H844" t="str">
        <f>"VOL202111168628"</f>
        <v>VOL202111168628</v>
      </c>
      <c r="I844" t="str">
        <f>"LIFE"</f>
        <v>LIFE</v>
      </c>
    </row>
    <row r="845" spans="1:9" x14ac:dyDescent="0.25">
      <c r="A845" s="6">
        <v>44536</v>
      </c>
      <c r="B845" t="s">
        <v>26</v>
      </c>
      <c r="C845">
        <v>68233</v>
      </c>
      <c r="D845" t="s">
        <v>97</v>
      </c>
      <c r="E845" s="7">
        <v>46110.15</v>
      </c>
      <c r="F845" s="9" t="s">
        <v>20</v>
      </c>
      <c r="G845" t="s">
        <v>24</v>
      </c>
      <c r="H845" t="str">
        <f>"DECEMBER 2021"</f>
        <v>DECEMBER 2021</v>
      </c>
      <c r="I845" t="str">
        <f>"HEALTH CARE SERVICE CORPORATIO"</f>
        <v>HEALTH CARE SERVICE CORPORATIO</v>
      </c>
    </row>
    <row r="846" spans="1:9" x14ac:dyDescent="0.25">
      <c r="F846" s="9" t="s">
        <v>20</v>
      </c>
      <c r="G846" t="s">
        <v>21</v>
      </c>
      <c r="H846" t="str">
        <f>"DEN202111018626"</f>
        <v>DEN202111018626</v>
      </c>
      <c r="I846" t="str">
        <f>"DENTAL INSURANCE"</f>
        <v>DENTAL INSURANCE</v>
      </c>
    </row>
    <row r="847" spans="1:9" x14ac:dyDescent="0.25">
      <c r="F847" s="9" t="s">
        <v>20</v>
      </c>
      <c r="G847" t="s">
        <v>21</v>
      </c>
      <c r="H847" t="str">
        <f>"DEN202111168628"</f>
        <v>DEN202111168628</v>
      </c>
      <c r="I847" t="str">
        <f>"DENTAL INSURANCE"</f>
        <v>DENTAL INSURANCE</v>
      </c>
    </row>
    <row r="848" spans="1:9" x14ac:dyDescent="0.25">
      <c r="F848" s="9" t="s">
        <v>20</v>
      </c>
      <c r="G848" t="s">
        <v>21</v>
      </c>
      <c r="H848" t="str">
        <f>"MED202111018626"</f>
        <v>MED202111018626</v>
      </c>
      <c r="I848" t="str">
        <f>"HEALTH &amp; DENTAL INSURANCE"</f>
        <v>HEALTH &amp; DENTAL INSURANCE</v>
      </c>
    </row>
    <row r="849" spans="1:9" x14ac:dyDescent="0.25">
      <c r="F849" s="9" t="s">
        <v>20</v>
      </c>
      <c r="G849" t="s">
        <v>21</v>
      </c>
      <c r="H849" t="str">
        <f>"MED202111168628"</f>
        <v>MED202111168628</v>
      </c>
      <c r="I849" t="str">
        <f>"HEALTH &amp; DENTAL INSURANCE"</f>
        <v>HEALTH &amp; DENTAL INSURANCE</v>
      </c>
    </row>
    <row r="850" spans="1:9" x14ac:dyDescent="0.25">
      <c r="A850" s="6">
        <v>44536</v>
      </c>
      <c r="B850" t="s">
        <v>26</v>
      </c>
      <c r="C850">
        <v>68238</v>
      </c>
      <c r="D850" t="s">
        <v>95</v>
      </c>
      <c r="E850" s="7">
        <v>25.32</v>
      </c>
      <c r="F850" s="9" t="s">
        <v>20</v>
      </c>
      <c r="G850" t="s">
        <v>21</v>
      </c>
      <c r="H850" t="str">
        <f>"LEA202111018626"</f>
        <v>LEA202111018626</v>
      </c>
      <c r="I850" t="str">
        <f>"INSURANCE"</f>
        <v>INSURANCE</v>
      </c>
    </row>
    <row r="851" spans="1:9" x14ac:dyDescent="0.25">
      <c r="F851" s="9" t="s">
        <v>20</v>
      </c>
      <c r="G851" t="s">
        <v>21</v>
      </c>
      <c r="H851" t="str">
        <f>"LEA202111168628"</f>
        <v>LEA202111168628</v>
      </c>
      <c r="I851" t="str">
        <f>"INSURANCE"</f>
        <v>INSURANCE</v>
      </c>
    </row>
    <row r="852" spans="1:9" x14ac:dyDescent="0.25">
      <c r="A852" s="6">
        <v>44536</v>
      </c>
      <c r="B852" t="s">
        <v>26</v>
      </c>
      <c r="C852">
        <v>68239</v>
      </c>
      <c r="D852" t="s">
        <v>96</v>
      </c>
      <c r="E852" s="7">
        <v>225.24</v>
      </c>
      <c r="F852" s="9" t="s">
        <v>20</v>
      </c>
      <c r="G852" t="s">
        <v>21</v>
      </c>
      <c r="H852" t="str">
        <f>"PPL202111018626"</f>
        <v>PPL202111018626</v>
      </c>
      <c r="I852" t="str">
        <f>"INSURANCE"</f>
        <v>INSURANCE</v>
      </c>
    </row>
    <row r="853" spans="1:9" x14ac:dyDescent="0.25">
      <c r="F853" s="9" t="s">
        <v>20</v>
      </c>
      <c r="G853" t="s">
        <v>21</v>
      </c>
      <c r="H853" t="str">
        <f>"PPL202111168628"</f>
        <v>PPL202111168628</v>
      </c>
      <c r="I853" t="str">
        <f>"INSURANCE"</f>
        <v>INSURANCE</v>
      </c>
    </row>
    <row r="854" spans="1:9" x14ac:dyDescent="0.25">
      <c r="A854" s="6">
        <v>44537</v>
      </c>
      <c r="B854" t="s">
        <v>26</v>
      </c>
      <c r="C854">
        <v>68240</v>
      </c>
      <c r="D854" t="s">
        <v>1074</v>
      </c>
      <c r="E854" s="7">
        <v>737.84</v>
      </c>
      <c r="F854" s="9" t="s">
        <v>20</v>
      </c>
      <c r="G854" t="s">
        <v>21</v>
      </c>
      <c r="H854" t="str">
        <f>"119Q-QTQF-JMTQ"</f>
        <v>119Q-QTQF-JMTQ</v>
      </c>
      <c r="I854" t="str">
        <f>"BATTERIES"</f>
        <v>BATTERIES</v>
      </c>
    </row>
    <row r="855" spans="1:9" x14ac:dyDescent="0.25">
      <c r="F855" s="9" t="s">
        <v>20</v>
      </c>
      <c r="G855" t="s">
        <v>21</v>
      </c>
      <c r="H855" t="str">
        <f>"119Q-QTQF-LFLC"</f>
        <v>119Q-QTQF-LFLC</v>
      </c>
      <c r="I855" t="str">
        <f>"AMAZON CAPITAL SERVICES"</f>
        <v>AMAZON CAPITAL SERVICES</v>
      </c>
    </row>
    <row r="856" spans="1:9" x14ac:dyDescent="0.25">
      <c r="F856" s="9" t="s">
        <v>20</v>
      </c>
      <c r="G856" t="s">
        <v>21</v>
      </c>
      <c r="H856" t="str">
        <f>"119Q-QTQF-MFRR"</f>
        <v>119Q-QTQF-MFRR</v>
      </c>
      <c r="I856" t="str">
        <f>"WATER DEPT BOOTS"</f>
        <v>WATER DEPT BOOTS</v>
      </c>
    </row>
    <row r="857" spans="1:9" x14ac:dyDescent="0.25">
      <c r="F857" s="9" t="s">
        <v>20</v>
      </c>
      <c r="G857" t="s">
        <v>21</v>
      </c>
      <c r="H857" t="str">
        <f>"1KRD-GVQ6-PMQ4"</f>
        <v>1KRD-GVQ6-PMQ4</v>
      </c>
      <c r="I857" t="str">
        <f>"AMAZON CAPITAL SERVICES"</f>
        <v>AMAZON CAPITAL SERVICES</v>
      </c>
    </row>
    <row r="858" spans="1:9" x14ac:dyDescent="0.25">
      <c r="F858" s="9" t="s">
        <v>20</v>
      </c>
      <c r="G858" t="s">
        <v>21</v>
      </c>
      <c r="H858" t="str">
        <f>"1MRX-6MFG-QQ6P"</f>
        <v>1MRX-6MFG-QQ6P</v>
      </c>
      <c r="I858" t="str">
        <f>"OFFICE SUPPLIES"</f>
        <v>OFFICE SUPPLIES</v>
      </c>
    </row>
    <row r="859" spans="1:9" x14ac:dyDescent="0.25">
      <c r="F859" s="9" t="s">
        <v>20</v>
      </c>
      <c r="G859" t="s">
        <v>21</v>
      </c>
      <c r="H859" t="str">
        <f>"1QTF-97RR-PYDL"</f>
        <v>1QTF-97RR-PYDL</v>
      </c>
      <c r="I859" t="str">
        <f>"AMAZON CAPITAL SERVICES"</f>
        <v>AMAZON CAPITAL SERVICES</v>
      </c>
    </row>
    <row r="860" spans="1:9" x14ac:dyDescent="0.25">
      <c r="F860" s="9" t="s">
        <v>20</v>
      </c>
      <c r="G860" t="s">
        <v>21</v>
      </c>
      <c r="H860" t="str">
        <f>"1QTF-97RR-Q1MT"</f>
        <v>1QTF-97RR-Q1MT</v>
      </c>
      <c r="I860" t="str">
        <f>"AMAZON CAPITAL SERVICES"</f>
        <v>AMAZON CAPITAL SERVICES</v>
      </c>
    </row>
    <row r="861" spans="1:9" x14ac:dyDescent="0.25">
      <c r="A861" s="6">
        <v>44537</v>
      </c>
      <c r="B861" t="s">
        <v>26</v>
      </c>
      <c r="C861">
        <v>68243</v>
      </c>
      <c r="D861" t="s">
        <v>83</v>
      </c>
      <c r="E861" s="7">
        <v>2160</v>
      </c>
      <c r="F861" s="9" t="s">
        <v>20</v>
      </c>
      <c r="G861" t="s">
        <v>21</v>
      </c>
      <c r="H861" t="str">
        <f>"18202090"</f>
        <v>18202090</v>
      </c>
      <c r="I861" t="str">
        <f>"APPRIVER"</f>
        <v>APPRIVER</v>
      </c>
    </row>
    <row r="862" spans="1:9" x14ac:dyDescent="0.25">
      <c r="F862" s="9" t="s">
        <v>20</v>
      </c>
      <c r="G862" t="s">
        <v>21</v>
      </c>
      <c r="H862" t="str">
        <f>"1820290"</f>
        <v>1820290</v>
      </c>
      <c r="I862" t="str">
        <f>"APPRIVER"</f>
        <v>APPRIVER</v>
      </c>
    </row>
    <row r="863" spans="1:9" x14ac:dyDescent="0.25">
      <c r="A863" s="6">
        <v>44537</v>
      </c>
      <c r="B863" t="s">
        <v>26</v>
      </c>
      <c r="C863">
        <v>68244</v>
      </c>
      <c r="D863" t="s">
        <v>781</v>
      </c>
      <c r="E863" s="7">
        <v>90</v>
      </c>
      <c r="F863" s="9" t="s">
        <v>20</v>
      </c>
      <c r="G863" t="s">
        <v>21</v>
      </c>
      <c r="H863" t="str">
        <f>"12/05/2021"</f>
        <v>12/05/2021</v>
      </c>
      <c r="I863" t="str">
        <f>"ASHLEY MARTINEZ"</f>
        <v>ASHLEY MARTINEZ</v>
      </c>
    </row>
    <row r="864" spans="1:9" x14ac:dyDescent="0.25">
      <c r="A864" s="6">
        <v>44537</v>
      </c>
      <c r="B864" t="s">
        <v>91</v>
      </c>
      <c r="C864">
        <v>68245</v>
      </c>
      <c r="D864" t="s">
        <v>115</v>
      </c>
      <c r="E864" s="7">
        <v>38.58</v>
      </c>
      <c r="F864" s="9" t="s">
        <v>20</v>
      </c>
      <c r="G864" t="s">
        <v>21</v>
      </c>
      <c r="H864" t="str">
        <f>"3547145144"</f>
        <v>3547145144</v>
      </c>
      <c r="I864" t="str">
        <f>"2016 FORD TRUCK PD 333"</f>
        <v>2016 FORD TRUCK PD 333</v>
      </c>
    </row>
    <row r="865" spans="1:9" x14ac:dyDescent="0.25">
      <c r="A865" s="6">
        <v>44537</v>
      </c>
      <c r="B865" t="s">
        <v>91</v>
      </c>
      <c r="C865">
        <v>68245</v>
      </c>
      <c r="D865" t="s">
        <v>115</v>
      </c>
      <c r="E865" s="7">
        <v>38.58</v>
      </c>
      <c r="F865" s="9" t="s">
        <v>20</v>
      </c>
      <c r="G865" t="s">
        <v>93</v>
      </c>
      <c r="H865" t="str">
        <f>"CHECK"</f>
        <v>CHECK</v>
      </c>
      <c r="I865" t="str">
        <f>""</f>
        <v/>
      </c>
    </row>
    <row r="866" spans="1:9" x14ac:dyDescent="0.25">
      <c r="A866" s="6">
        <v>44537</v>
      </c>
      <c r="B866" t="s">
        <v>26</v>
      </c>
      <c r="C866">
        <v>68246</v>
      </c>
      <c r="D866" t="s">
        <v>71</v>
      </c>
      <c r="E866" s="7">
        <v>965.98</v>
      </c>
      <c r="F866" s="9" t="s">
        <v>20</v>
      </c>
      <c r="G866" t="s">
        <v>21</v>
      </c>
      <c r="H866" t="str">
        <f>"4103090257"</f>
        <v>4103090257</v>
      </c>
      <c r="I866" t="str">
        <f t="shared" ref="I866:I871" si="21">"CINTAS CORPORATION #087"</f>
        <v>CINTAS CORPORATION #087</v>
      </c>
    </row>
    <row r="867" spans="1:9" x14ac:dyDescent="0.25">
      <c r="F867" s="9" t="s">
        <v>20</v>
      </c>
      <c r="G867" t="s">
        <v>21</v>
      </c>
      <c r="H867" t="str">
        <f>"4103090264"</f>
        <v>4103090264</v>
      </c>
      <c r="I867" t="str">
        <f t="shared" si="21"/>
        <v>CINTAS CORPORATION #087</v>
      </c>
    </row>
    <row r="868" spans="1:9" x14ac:dyDescent="0.25">
      <c r="F868" s="9" t="s">
        <v>20</v>
      </c>
      <c r="G868" t="s">
        <v>21</v>
      </c>
      <c r="H868" t="str">
        <f>"4103090295"</f>
        <v>4103090295</v>
      </c>
      <c r="I868" t="str">
        <f t="shared" si="21"/>
        <v>CINTAS CORPORATION #087</v>
      </c>
    </row>
    <row r="869" spans="1:9" x14ac:dyDescent="0.25">
      <c r="F869" s="9" t="s">
        <v>20</v>
      </c>
      <c r="G869" t="s">
        <v>21</v>
      </c>
      <c r="H869" t="str">
        <f>"4103090303"</f>
        <v>4103090303</v>
      </c>
      <c r="I869" t="str">
        <f t="shared" si="21"/>
        <v>CINTAS CORPORATION #087</v>
      </c>
    </row>
    <row r="870" spans="1:9" x14ac:dyDescent="0.25">
      <c r="F870" s="9" t="s">
        <v>20</v>
      </c>
      <c r="G870" t="s">
        <v>21</v>
      </c>
      <c r="H870" t="str">
        <f>"4103090321"</f>
        <v>4103090321</v>
      </c>
      <c r="I870" t="str">
        <f t="shared" si="21"/>
        <v>CINTAS CORPORATION #087</v>
      </c>
    </row>
    <row r="871" spans="1:9" x14ac:dyDescent="0.25">
      <c r="F871" s="9" t="s">
        <v>20</v>
      </c>
      <c r="G871" t="s">
        <v>21</v>
      </c>
      <c r="H871" t="str">
        <f>"4103090392"</f>
        <v>4103090392</v>
      </c>
      <c r="I871" t="str">
        <f t="shared" si="21"/>
        <v>CINTAS CORPORATION #087</v>
      </c>
    </row>
    <row r="872" spans="1:9" x14ac:dyDescent="0.25">
      <c r="A872" s="6">
        <v>44537</v>
      </c>
      <c r="B872" t="s">
        <v>26</v>
      </c>
      <c r="C872">
        <v>68248</v>
      </c>
      <c r="D872" t="s">
        <v>661</v>
      </c>
      <c r="E872" s="7">
        <v>260.22000000000003</v>
      </c>
      <c r="F872" s="9" t="s">
        <v>20</v>
      </c>
      <c r="G872" t="s">
        <v>21</v>
      </c>
      <c r="H872" t="str">
        <f>"8405438502"</f>
        <v>8405438502</v>
      </c>
      <c r="I872" t="str">
        <f>"CINTAS FAS LOCKBOX 631025"</f>
        <v>CINTAS FAS LOCKBOX 631025</v>
      </c>
    </row>
    <row r="873" spans="1:9" x14ac:dyDescent="0.25">
      <c r="A873" s="6">
        <v>44537</v>
      </c>
      <c r="B873" t="s">
        <v>26</v>
      </c>
      <c r="C873">
        <v>68249</v>
      </c>
      <c r="D873" t="s">
        <v>0</v>
      </c>
      <c r="E873" s="7">
        <v>2198.9699999999998</v>
      </c>
      <c r="F873" s="9" t="s">
        <v>20</v>
      </c>
      <c r="G873" t="s">
        <v>21</v>
      </c>
      <c r="H873" t="str">
        <f>"10/10-11/10/2021"</f>
        <v>10/10-11/10/2021</v>
      </c>
      <c r="I873" t="str">
        <f>"CITY OF FLORESVILLE"</f>
        <v>CITY OF FLORESVILLE</v>
      </c>
    </row>
    <row r="874" spans="1:9" x14ac:dyDescent="0.25">
      <c r="A874" s="6">
        <v>44537</v>
      </c>
      <c r="B874" t="s">
        <v>26</v>
      </c>
      <c r="C874">
        <v>68250</v>
      </c>
      <c r="D874" t="s">
        <v>180</v>
      </c>
      <c r="E874" s="7">
        <v>39.979999999999997</v>
      </c>
      <c r="F874" s="9" t="s">
        <v>20</v>
      </c>
      <c r="G874" t="s">
        <v>21</v>
      </c>
      <c r="H874" t="str">
        <f>"2111-147354"</f>
        <v>2111-147354</v>
      </c>
      <c r="I874" t="str">
        <f>"BULBS FOR SHOP"</f>
        <v>BULBS FOR SHOP</v>
      </c>
    </row>
    <row r="875" spans="1:9" x14ac:dyDescent="0.25">
      <c r="A875" s="6">
        <v>44537</v>
      </c>
      <c r="B875" t="s">
        <v>26</v>
      </c>
      <c r="C875">
        <v>68251</v>
      </c>
      <c r="D875" t="s">
        <v>79</v>
      </c>
      <c r="E875" s="7">
        <v>28.1</v>
      </c>
      <c r="F875" s="9" t="s">
        <v>20</v>
      </c>
      <c r="G875" t="s">
        <v>21</v>
      </c>
      <c r="H875" t="str">
        <f>"7-578-22105"</f>
        <v>7-578-22105</v>
      </c>
      <c r="I875" t="str">
        <f>"FEDEX"</f>
        <v>FEDEX</v>
      </c>
    </row>
    <row r="876" spans="1:9" x14ac:dyDescent="0.25">
      <c r="A876" s="6">
        <v>44537</v>
      </c>
      <c r="B876" t="s">
        <v>26</v>
      </c>
      <c r="C876">
        <v>68252</v>
      </c>
      <c r="D876" t="s">
        <v>59</v>
      </c>
      <c r="E876" s="7">
        <v>1326.14</v>
      </c>
      <c r="F876" s="9" t="s">
        <v>20</v>
      </c>
      <c r="G876" t="s">
        <v>21</v>
      </c>
      <c r="H876" t="str">
        <f>"1149108"</f>
        <v>1149108</v>
      </c>
      <c r="I876" t="str">
        <f>"6 VLV"</f>
        <v>6 VLV</v>
      </c>
    </row>
    <row r="877" spans="1:9" x14ac:dyDescent="0.25">
      <c r="A877" s="6">
        <v>44537</v>
      </c>
      <c r="B877" t="s">
        <v>26</v>
      </c>
      <c r="C877">
        <v>68253</v>
      </c>
      <c r="D877" t="s">
        <v>739</v>
      </c>
      <c r="E877" s="7">
        <v>1529.05</v>
      </c>
      <c r="F877" s="9" t="s">
        <v>20</v>
      </c>
      <c r="G877" t="s">
        <v>21</v>
      </c>
      <c r="H877" t="str">
        <f>"5286X11272021"</f>
        <v>5286X11272021</v>
      </c>
      <c r="I877" t="str">
        <f>"FIRSTNET/AT&amp;T MOBILITY LLC"</f>
        <v>FIRSTNET/AT&amp;T MOBILITY LLC</v>
      </c>
    </row>
    <row r="878" spans="1:9" x14ac:dyDescent="0.25">
      <c r="A878" s="6">
        <v>44537</v>
      </c>
      <c r="B878" t="s">
        <v>26</v>
      </c>
      <c r="C878">
        <v>68254</v>
      </c>
      <c r="D878" t="s">
        <v>85</v>
      </c>
      <c r="E878" s="7">
        <v>582.30999999999995</v>
      </c>
      <c r="F878" s="9" t="s">
        <v>20</v>
      </c>
      <c r="G878" t="s">
        <v>21</v>
      </c>
      <c r="H878" t="str">
        <f>"2162691 NOV.2021"</f>
        <v>2162691 NOV.2021</v>
      </c>
      <c r="I878" t="str">
        <f>"FRONTIER"</f>
        <v>FRONTIER</v>
      </c>
    </row>
    <row r="879" spans="1:9" x14ac:dyDescent="0.25">
      <c r="F879" s="9" t="s">
        <v>20</v>
      </c>
      <c r="G879" t="s">
        <v>21</v>
      </c>
      <c r="H879" t="str">
        <f>"3933718 NOV.2021"</f>
        <v>3933718 NOV.2021</v>
      </c>
      <c r="I879" t="str">
        <f>"FRONTIER"</f>
        <v>FRONTIER</v>
      </c>
    </row>
    <row r="880" spans="1:9" x14ac:dyDescent="0.25">
      <c r="F880" s="9" t="s">
        <v>20</v>
      </c>
      <c r="G880" t="s">
        <v>21</v>
      </c>
      <c r="H880" t="str">
        <f>"8301970046 NOV2021"</f>
        <v>8301970046 NOV2021</v>
      </c>
      <c r="I880" t="str">
        <f>"FRONTIER"</f>
        <v>FRONTIER</v>
      </c>
    </row>
    <row r="881" spans="1:9" x14ac:dyDescent="0.25">
      <c r="A881" s="6">
        <v>44537</v>
      </c>
      <c r="B881" t="s">
        <v>26</v>
      </c>
      <c r="C881">
        <v>68255</v>
      </c>
      <c r="D881" t="s">
        <v>56</v>
      </c>
      <c r="E881" s="7">
        <v>272</v>
      </c>
      <c r="F881" s="9" t="s">
        <v>20</v>
      </c>
      <c r="G881" t="s">
        <v>21</v>
      </c>
      <c r="H881" t="str">
        <f>"196425"</f>
        <v>196425</v>
      </c>
      <c r="I881" t="str">
        <f>"CHEMICALS FOR WWTP"</f>
        <v>CHEMICALS FOR WWTP</v>
      </c>
    </row>
    <row r="882" spans="1:9" x14ac:dyDescent="0.25">
      <c r="F882" s="9" t="s">
        <v>20</v>
      </c>
      <c r="G882" t="s">
        <v>21</v>
      </c>
      <c r="H882" t="str">
        <f>"196917"</f>
        <v>196917</v>
      </c>
      <c r="I882" t="str">
        <f>"DOG FOOD"</f>
        <v>DOG FOOD</v>
      </c>
    </row>
    <row r="883" spans="1:9" x14ac:dyDescent="0.25">
      <c r="F883" s="9" t="s">
        <v>20</v>
      </c>
      <c r="G883" t="s">
        <v>21</v>
      </c>
      <c r="H883" t="str">
        <f>"196984"</f>
        <v>196984</v>
      </c>
      <c r="I883" t="str">
        <f>"REMEDY FOR STREETS"</f>
        <v>REMEDY FOR STREETS</v>
      </c>
    </row>
    <row r="884" spans="1:9" x14ac:dyDescent="0.25">
      <c r="A884" s="6">
        <v>44537</v>
      </c>
      <c r="B884" t="s">
        <v>26</v>
      </c>
      <c r="C884">
        <v>68256</v>
      </c>
      <c r="D884" t="s">
        <v>398</v>
      </c>
      <c r="E884" s="7">
        <v>56.5</v>
      </c>
      <c r="F884" s="9" t="s">
        <v>20</v>
      </c>
      <c r="G884" t="s">
        <v>21</v>
      </c>
      <c r="H884" t="str">
        <f>"20211204"</f>
        <v>20211204</v>
      </c>
      <c r="I884" t="str">
        <f>"INTERCEPTOR TECHNOLOGY GROUP L"</f>
        <v>INTERCEPTOR TECHNOLOGY GROUP L</v>
      </c>
    </row>
    <row r="885" spans="1:9" x14ac:dyDescent="0.25">
      <c r="A885" s="6">
        <v>44537</v>
      </c>
      <c r="B885" t="s">
        <v>26</v>
      </c>
      <c r="C885">
        <v>68257</v>
      </c>
      <c r="D885" t="s">
        <v>927</v>
      </c>
      <c r="E885" s="7">
        <v>1370.37</v>
      </c>
      <c r="F885" s="9" t="s">
        <v>20</v>
      </c>
      <c r="G885" t="s">
        <v>21</v>
      </c>
      <c r="H885" t="str">
        <f>"0000003 CITY"</f>
        <v>0000003 CITY</v>
      </c>
      <c r="I885" t="str">
        <f>"JOELZ LAWN MOWING SERVICE"</f>
        <v>JOELZ LAWN MOWING SERVICE</v>
      </c>
    </row>
    <row r="886" spans="1:9" x14ac:dyDescent="0.25">
      <c r="A886" s="6">
        <v>44537</v>
      </c>
      <c r="B886" t="s">
        <v>26</v>
      </c>
      <c r="C886">
        <v>68258</v>
      </c>
      <c r="D886" t="s">
        <v>258</v>
      </c>
      <c r="E886" s="7">
        <v>856</v>
      </c>
      <c r="F886" s="9" t="s">
        <v>20</v>
      </c>
      <c r="G886" t="s">
        <v>21</v>
      </c>
      <c r="H886" t="str">
        <f>"156238"</f>
        <v>156238</v>
      </c>
      <c r="I886" t="str">
        <f>"OIL/DIESEL"</f>
        <v>OIL/DIESEL</v>
      </c>
    </row>
    <row r="887" spans="1:9" x14ac:dyDescent="0.25">
      <c r="F887" s="9" t="s">
        <v>20</v>
      </c>
      <c r="G887" t="s">
        <v>21</v>
      </c>
      <c r="H887" t="str">
        <f>"156272"</f>
        <v>156272</v>
      </c>
      <c r="I887" t="str">
        <f>"OIL/DIESEL"</f>
        <v>OIL/DIESEL</v>
      </c>
    </row>
    <row r="888" spans="1:9" x14ac:dyDescent="0.25">
      <c r="A888" s="6">
        <v>44537</v>
      </c>
      <c r="B888" t="s">
        <v>26</v>
      </c>
      <c r="C888">
        <v>68259</v>
      </c>
      <c r="D888" t="s">
        <v>345</v>
      </c>
      <c r="E888" s="7">
        <v>396</v>
      </c>
      <c r="F888" s="9" t="s">
        <v>20</v>
      </c>
      <c r="G888" t="s">
        <v>21</v>
      </c>
      <c r="H888" t="str">
        <f>"12/06/2021"</f>
        <v>12/06/2021</v>
      </c>
      <c r="I888" t="str">
        <f>"MICHAEL ISAAC MARTINEZ"</f>
        <v>MICHAEL ISAAC MARTINEZ</v>
      </c>
    </row>
    <row r="889" spans="1:9" x14ac:dyDescent="0.25">
      <c r="A889" s="6">
        <v>44537</v>
      </c>
      <c r="B889" t="s">
        <v>26</v>
      </c>
      <c r="C889">
        <v>68260</v>
      </c>
      <c r="D889" t="s">
        <v>123</v>
      </c>
      <c r="E889" s="7">
        <v>31.28</v>
      </c>
      <c r="F889" s="9" t="s">
        <v>20</v>
      </c>
      <c r="G889" t="s">
        <v>21</v>
      </c>
      <c r="H889" t="str">
        <f>"208483394001"</f>
        <v>208483394001</v>
      </c>
      <c r="I889" t="str">
        <f>"OFFICE SUPPLIES"</f>
        <v>OFFICE SUPPLIES</v>
      </c>
    </row>
    <row r="890" spans="1:9" x14ac:dyDescent="0.25">
      <c r="A890" s="6">
        <v>44537</v>
      </c>
      <c r="B890" t="s">
        <v>26</v>
      </c>
      <c r="C890">
        <v>68261</v>
      </c>
      <c r="D890" t="s">
        <v>184</v>
      </c>
      <c r="E890" s="7">
        <v>1080</v>
      </c>
      <c r="F890" s="9" t="s">
        <v>20</v>
      </c>
      <c r="G890" t="s">
        <v>21</v>
      </c>
      <c r="H890" t="str">
        <f>"1065-252"</f>
        <v>1065-252</v>
      </c>
      <c r="I890" t="str">
        <f>"POLLUTION CONTROL SERVICES"</f>
        <v>POLLUTION CONTROL SERVICES</v>
      </c>
    </row>
    <row r="891" spans="1:9" x14ac:dyDescent="0.25">
      <c r="F891" s="9" t="s">
        <v>20</v>
      </c>
      <c r="G891" t="s">
        <v>21</v>
      </c>
      <c r="H891" t="str">
        <f>"1065-253"</f>
        <v>1065-253</v>
      </c>
      <c r="I891" t="str">
        <f>"POLLUTION CONTROL SERVICES"</f>
        <v>POLLUTION CONTROL SERVICES</v>
      </c>
    </row>
    <row r="892" spans="1:9" x14ac:dyDescent="0.25">
      <c r="A892" s="6">
        <v>44537</v>
      </c>
      <c r="B892" t="s">
        <v>26</v>
      </c>
      <c r="C892">
        <v>68262</v>
      </c>
      <c r="D892" t="s">
        <v>62</v>
      </c>
      <c r="E892" s="7">
        <v>225.25</v>
      </c>
      <c r="F892" s="9" t="s">
        <v>20</v>
      </c>
      <c r="G892" t="s">
        <v>21</v>
      </c>
      <c r="H892" t="str">
        <f>"76813"</f>
        <v>76813</v>
      </c>
      <c r="I892" t="str">
        <f>"PROFICIENT BENEFIT SOLUTIONS"</f>
        <v>PROFICIENT BENEFIT SOLUTIONS</v>
      </c>
    </row>
    <row r="893" spans="1:9" x14ac:dyDescent="0.25">
      <c r="A893" s="6">
        <v>44537</v>
      </c>
      <c r="B893" t="s">
        <v>26</v>
      </c>
      <c r="C893">
        <v>68263</v>
      </c>
      <c r="D893" t="s">
        <v>213</v>
      </c>
      <c r="E893" s="7">
        <v>440589.05</v>
      </c>
      <c r="F893" s="9" t="s">
        <v>20</v>
      </c>
      <c r="G893" t="s">
        <v>21</v>
      </c>
      <c r="H893" t="str">
        <f>"NOVEMBER 2021"</f>
        <v>NOVEMBER 2021</v>
      </c>
      <c r="I893" t="str">
        <f>"RIVER BEND COMMUNITY DEVELOPME"</f>
        <v>RIVER BEND COMMUNITY DEVELOPME</v>
      </c>
    </row>
    <row r="894" spans="1:9" x14ac:dyDescent="0.25">
      <c r="A894" s="6">
        <v>44537</v>
      </c>
      <c r="B894" t="s">
        <v>26</v>
      </c>
      <c r="C894">
        <v>68264</v>
      </c>
      <c r="D894" t="s">
        <v>554</v>
      </c>
      <c r="E894" s="7">
        <v>74.95</v>
      </c>
      <c r="F894" s="9" t="s">
        <v>20</v>
      </c>
      <c r="G894" t="s">
        <v>21</v>
      </c>
      <c r="H894" t="str">
        <f>"AB59615"</f>
        <v>AB59615</v>
      </c>
      <c r="I894" t="str">
        <f>"TEXAS WIRED MUSIC"</f>
        <v>TEXAS WIRED MUSIC</v>
      </c>
    </row>
    <row r="895" spans="1:9" x14ac:dyDescent="0.25">
      <c r="A895" s="6">
        <v>44537</v>
      </c>
      <c r="B895" t="s">
        <v>26</v>
      </c>
      <c r="C895">
        <v>68265</v>
      </c>
      <c r="D895" t="s">
        <v>698</v>
      </c>
      <c r="E895" s="7">
        <v>90</v>
      </c>
      <c r="F895" s="9" t="s">
        <v>20</v>
      </c>
      <c r="G895" t="s">
        <v>21</v>
      </c>
      <c r="H895" t="str">
        <f>"12/05/2021"</f>
        <v>12/05/2021</v>
      </c>
      <c r="I895" t="str">
        <f>"TRACY ORTIZ"</f>
        <v>TRACY ORTIZ</v>
      </c>
    </row>
    <row r="896" spans="1:9" x14ac:dyDescent="0.25">
      <c r="A896" s="6">
        <v>44537</v>
      </c>
      <c r="B896" t="s">
        <v>26</v>
      </c>
      <c r="C896">
        <v>68266</v>
      </c>
      <c r="D896" t="s">
        <v>644</v>
      </c>
      <c r="E896" s="7">
        <v>677.01</v>
      </c>
      <c r="F896" s="9" t="s">
        <v>20</v>
      </c>
      <c r="G896" t="s">
        <v>21</v>
      </c>
      <c r="H896" t="str">
        <f>"8213668418"</f>
        <v>8213668418</v>
      </c>
      <c r="I896" t="str">
        <f t="shared" ref="I896:I901" si="22">"UNIFIRST CORPORATION"</f>
        <v>UNIFIRST CORPORATION</v>
      </c>
    </row>
    <row r="897" spans="1:9" x14ac:dyDescent="0.25">
      <c r="F897" s="9" t="s">
        <v>20</v>
      </c>
      <c r="G897" t="s">
        <v>21</v>
      </c>
      <c r="H897" t="str">
        <f>"8213668419"</f>
        <v>8213668419</v>
      </c>
      <c r="I897" t="str">
        <f t="shared" si="22"/>
        <v>UNIFIRST CORPORATION</v>
      </c>
    </row>
    <row r="898" spans="1:9" x14ac:dyDescent="0.25">
      <c r="F898" s="9" t="s">
        <v>20</v>
      </c>
      <c r="G898" t="s">
        <v>21</v>
      </c>
      <c r="H898" t="str">
        <f>"8213668420"</f>
        <v>8213668420</v>
      </c>
      <c r="I898" t="str">
        <f t="shared" si="22"/>
        <v>UNIFIRST CORPORATION</v>
      </c>
    </row>
    <row r="899" spans="1:9" x14ac:dyDescent="0.25">
      <c r="F899" s="9" t="s">
        <v>20</v>
      </c>
      <c r="G899" t="s">
        <v>21</v>
      </c>
      <c r="H899" t="str">
        <f>"8213668421"</f>
        <v>8213668421</v>
      </c>
      <c r="I899" t="str">
        <f t="shared" si="22"/>
        <v>UNIFIRST CORPORATION</v>
      </c>
    </row>
    <row r="900" spans="1:9" x14ac:dyDescent="0.25">
      <c r="F900" s="9" t="s">
        <v>20</v>
      </c>
      <c r="G900" t="s">
        <v>21</v>
      </c>
      <c r="H900" t="str">
        <f>"8213668423"</f>
        <v>8213668423</v>
      </c>
      <c r="I900" t="str">
        <f t="shared" si="22"/>
        <v>UNIFIRST CORPORATION</v>
      </c>
    </row>
    <row r="901" spans="1:9" x14ac:dyDescent="0.25">
      <c r="F901" s="9" t="s">
        <v>20</v>
      </c>
      <c r="G901" t="s">
        <v>21</v>
      </c>
      <c r="H901" t="str">
        <f>"8213668424"</f>
        <v>8213668424</v>
      </c>
      <c r="I901" t="str">
        <f t="shared" si="22"/>
        <v>UNIFIRST CORPORATION</v>
      </c>
    </row>
    <row r="902" spans="1:9" x14ac:dyDescent="0.25">
      <c r="A902" s="6">
        <v>44537</v>
      </c>
      <c r="B902" t="s">
        <v>26</v>
      </c>
      <c r="C902">
        <v>68268</v>
      </c>
      <c r="D902" t="s">
        <v>203</v>
      </c>
      <c r="E902" s="7">
        <v>660.59</v>
      </c>
      <c r="F902" s="9" t="s">
        <v>20</v>
      </c>
      <c r="G902" t="s">
        <v>21</v>
      </c>
      <c r="H902" t="str">
        <f>"794540"</f>
        <v>794540</v>
      </c>
      <c r="I902" t="str">
        <f>"DPD FOR WATER DEPT"</f>
        <v>DPD FOR WATER DEPT</v>
      </c>
    </row>
    <row r="903" spans="1:9" x14ac:dyDescent="0.25">
      <c r="F903" s="9" t="s">
        <v>20</v>
      </c>
      <c r="G903" t="s">
        <v>21</v>
      </c>
      <c r="H903" t="str">
        <f>"794542"</f>
        <v>794542</v>
      </c>
      <c r="I903" t="str">
        <f>"WWTP SUPPLIES"</f>
        <v>WWTP SUPPLIES</v>
      </c>
    </row>
    <row r="904" spans="1:9" x14ac:dyDescent="0.25">
      <c r="F904" s="9" t="s">
        <v>20</v>
      </c>
      <c r="G904" t="s">
        <v>21</v>
      </c>
      <c r="H904" t="str">
        <f>"795459"</f>
        <v>795459</v>
      </c>
      <c r="I904" t="str">
        <f>"USA BLUEBOOK"</f>
        <v>USA BLUEBOOK</v>
      </c>
    </row>
    <row r="905" spans="1:9" x14ac:dyDescent="0.25">
      <c r="A905" s="6">
        <v>44537</v>
      </c>
      <c r="B905" t="s">
        <v>26</v>
      </c>
      <c r="C905">
        <v>68269</v>
      </c>
      <c r="D905" t="s">
        <v>74</v>
      </c>
      <c r="E905" s="7">
        <v>868.78</v>
      </c>
      <c r="F905" s="9" t="s">
        <v>20</v>
      </c>
      <c r="G905" t="s">
        <v>21</v>
      </c>
      <c r="H905" t="str">
        <f>"9891343699"</f>
        <v>9891343699</v>
      </c>
      <c r="I905" t="str">
        <f>"VERIZON WIRELESS"</f>
        <v>VERIZON WIRELESS</v>
      </c>
    </row>
    <row r="906" spans="1:9" x14ac:dyDescent="0.25">
      <c r="A906" s="6">
        <v>44537</v>
      </c>
      <c r="B906" t="s">
        <v>26</v>
      </c>
      <c r="C906">
        <v>68270</v>
      </c>
      <c r="D906" t="s">
        <v>122</v>
      </c>
      <c r="E906" s="7">
        <v>110</v>
      </c>
      <c r="F906" s="9" t="s">
        <v>20</v>
      </c>
      <c r="G906" t="s">
        <v>21</v>
      </c>
      <c r="H906" t="str">
        <f>"016963"</f>
        <v>016963</v>
      </c>
      <c r="I906" t="str">
        <f>"VILLA TIRES"</f>
        <v>VILLA TIRES</v>
      </c>
    </row>
    <row r="907" spans="1:9" x14ac:dyDescent="0.25">
      <c r="F907" s="9" t="s">
        <v>20</v>
      </c>
      <c r="G907" t="s">
        <v>21</v>
      </c>
      <c r="H907" t="str">
        <f>"016970"</f>
        <v>016970</v>
      </c>
      <c r="I907" t="str">
        <f>"VILLA TIRES"</f>
        <v>VILLA TIRES</v>
      </c>
    </row>
    <row r="908" spans="1:9" x14ac:dyDescent="0.25">
      <c r="A908" s="6">
        <v>44537</v>
      </c>
      <c r="B908" t="s">
        <v>26</v>
      </c>
      <c r="C908">
        <v>68271</v>
      </c>
      <c r="D908" t="s">
        <v>76</v>
      </c>
      <c r="E908" s="7">
        <v>3012.15</v>
      </c>
      <c r="F908" s="9" t="s">
        <v>20</v>
      </c>
      <c r="G908" t="s">
        <v>21</v>
      </c>
      <c r="H908" t="str">
        <f>"1223  1ST QRT"</f>
        <v>1223  1ST QRT</v>
      </c>
      <c r="I908" t="str">
        <f>"WILSON COUNTY TAX COLLECTOR"</f>
        <v>WILSON COUNTY TAX COLLECTOR</v>
      </c>
    </row>
    <row r="909" spans="1:9" x14ac:dyDescent="0.25">
      <c r="A909" s="6">
        <v>44537</v>
      </c>
      <c r="B909" t="s">
        <v>26</v>
      </c>
      <c r="C909">
        <v>68272</v>
      </c>
      <c r="D909" t="s">
        <v>74</v>
      </c>
      <c r="E909" s="7">
        <v>2345.6799999999998</v>
      </c>
      <c r="F909" s="9" t="s">
        <v>20</v>
      </c>
      <c r="G909" t="s">
        <v>21</v>
      </c>
      <c r="H909" t="str">
        <f>"9893558105"</f>
        <v>9893558105</v>
      </c>
      <c r="I909" t="str">
        <f>"VERIZON WIRELESS"</f>
        <v>VERIZON WIRELESS</v>
      </c>
    </row>
    <row r="910" spans="1:9" x14ac:dyDescent="0.25">
      <c r="A910" s="6">
        <v>44537</v>
      </c>
      <c r="B910" t="s">
        <v>26</v>
      </c>
      <c r="C910">
        <v>68274</v>
      </c>
      <c r="D910" t="s">
        <v>157</v>
      </c>
      <c r="E910" s="7">
        <v>771.2</v>
      </c>
      <c r="F910" s="9" t="s">
        <v>20</v>
      </c>
      <c r="G910" t="s">
        <v>21</v>
      </c>
      <c r="H910" t="str">
        <f>"12/08/2021"</f>
        <v>12/08/2021</v>
      </c>
      <c r="I910" t="str">
        <f>"GLAZIERS"</f>
        <v>GLAZIERS</v>
      </c>
    </row>
    <row r="911" spans="1:9" x14ac:dyDescent="0.25">
      <c r="A911" s="6">
        <v>44537</v>
      </c>
      <c r="B911" t="s">
        <v>26</v>
      </c>
      <c r="C911">
        <v>68275</v>
      </c>
      <c r="D911" t="s">
        <v>1116</v>
      </c>
      <c r="E911" s="7">
        <v>2175</v>
      </c>
      <c r="F911" s="9" t="s">
        <v>20</v>
      </c>
      <c r="G911" t="s">
        <v>21</v>
      </c>
      <c r="H911" t="str">
        <f>"00002"</f>
        <v>00002</v>
      </c>
      <c r="I911" t="str">
        <f>"TARA LYNN MAZUR"</f>
        <v>TARA LYNN MAZUR</v>
      </c>
    </row>
    <row r="912" spans="1:9" x14ac:dyDescent="0.25">
      <c r="A912" s="6">
        <v>44537</v>
      </c>
      <c r="B912" t="s">
        <v>26</v>
      </c>
      <c r="C912">
        <v>68276</v>
      </c>
      <c r="D912" t="s">
        <v>1143</v>
      </c>
      <c r="E912" s="7">
        <v>45.47</v>
      </c>
      <c r="F912" s="9" t="s">
        <v>20</v>
      </c>
      <c r="G912" t="s">
        <v>21</v>
      </c>
      <c r="H912" t="str">
        <f>"REIMBSTMT 12/3/21"</f>
        <v>REIMBSTMT 12/3/21</v>
      </c>
      <c r="I912" t="str">
        <f>"RUEBEN GARCIA"</f>
        <v>RUEBEN GARCIA</v>
      </c>
    </row>
    <row r="913" spans="1:9" x14ac:dyDescent="0.25">
      <c r="A913" s="6">
        <v>44537</v>
      </c>
      <c r="B913" t="s">
        <v>26</v>
      </c>
      <c r="C913">
        <v>68277</v>
      </c>
      <c r="D913" t="s">
        <v>1144</v>
      </c>
      <c r="E913" s="7">
        <v>700</v>
      </c>
      <c r="F913" s="9" t="s">
        <v>20</v>
      </c>
      <c r="G913" t="s">
        <v>21</v>
      </c>
      <c r="H913" t="str">
        <f>"1000"</f>
        <v>1000</v>
      </c>
      <c r="I913" t="str">
        <f>"MINI MUNOZ"</f>
        <v>MINI MUNOZ</v>
      </c>
    </row>
    <row r="914" spans="1:9" x14ac:dyDescent="0.25">
      <c r="A914" s="6">
        <v>44537</v>
      </c>
      <c r="B914" t="s">
        <v>26</v>
      </c>
      <c r="C914">
        <v>68278</v>
      </c>
      <c r="D914" t="s">
        <v>57</v>
      </c>
      <c r="E914" s="7">
        <v>55.11</v>
      </c>
      <c r="F914" s="9" t="s">
        <v>20</v>
      </c>
      <c r="G914" t="s">
        <v>21</v>
      </c>
      <c r="H914" t="str">
        <f>"11617-046"</f>
        <v>11617-046</v>
      </c>
      <c r="I914" t="str">
        <f>"F.E.L.P.S."</f>
        <v>F.E.L.P.S.</v>
      </c>
    </row>
    <row r="915" spans="1:9" x14ac:dyDescent="0.25">
      <c r="A915" s="6">
        <v>44537</v>
      </c>
      <c r="B915" t="s">
        <v>26</v>
      </c>
      <c r="C915">
        <v>68279</v>
      </c>
      <c r="D915" t="s">
        <v>97</v>
      </c>
      <c r="E915" s="7">
        <v>1238.98</v>
      </c>
      <c r="F915" s="9" t="s">
        <v>20</v>
      </c>
      <c r="G915" t="s">
        <v>21</v>
      </c>
      <c r="H915" t="str">
        <f>"COBRA JEVINS 12/21"</f>
        <v>COBRA JEVINS 12/21</v>
      </c>
      <c r="I915" t="str">
        <f>"HEALTH CARE SERVICE CORPORATIO"</f>
        <v>HEALTH CARE SERVICE CORPORATIO</v>
      </c>
    </row>
    <row r="916" spans="1:9" x14ac:dyDescent="0.25">
      <c r="A916" s="6">
        <v>44537</v>
      </c>
      <c r="B916" t="s">
        <v>26</v>
      </c>
      <c r="C916">
        <v>68280</v>
      </c>
      <c r="D916" t="s">
        <v>92</v>
      </c>
      <c r="E916" s="7">
        <v>36313.050000000003</v>
      </c>
      <c r="F916" s="9" t="s">
        <v>20</v>
      </c>
      <c r="G916" t="s">
        <v>21</v>
      </c>
      <c r="H916" t="str">
        <f>"RET202111018626"</f>
        <v>RET202111018626</v>
      </c>
      <c r="I916" t="str">
        <f>"TMRS CITY OF FLORESVILLE"</f>
        <v>TMRS CITY OF FLORESVILLE</v>
      </c>
    </row>
    <row r="917" spans="1:9" x14ac:dyDescent="0.25">
      <c r="F917" s="9" t="s">
        <v>20</v>
      </c>
      <c r="G917" t="s">
        <v>21</v>
      </c>
      <c r="H917" t="str">
        <f>"RET202111168628"</f>
        <v>RET202111168628</v>
      </c>
      <c r="I917" t="str">
        <f>"TMRS CITY OF FLORESVILLE"</f>
        <v>TMRS CITY OF FLORESVILLE</v>
      </c>
    </row>
    <row r="918" spans="1:9" x14ac:dyDescent="0.25">
      <c r="A918" s="6">
        <v>44538</v>
      </c>
      <c r="B918" t="s">
        <v>26</v>
      </c>
      <c r="C918">
        <v>68284</v>
      </c>
      <c r="D918" t="s">
        <v>637</v>
      </c>
      <c r="E918" s="7">
        <v>75</v>
      </c>
      <c r="F918" s="9" t="s">
        <v>20</v>
      </c>
      <c r="G918" t="s">
        <v>21</v>
      </c>
      <c r="H918" t="str">
        <f t="shared" ref="H918:H923" si="23">"12/2021-COUNCIL"</f>
        <v>12/2021-COUNCIL</v>
      </c>
      <c r="I918" t="str">
        <f>""</f>
        <v/>
      </c>
    </row>
    <row r="919" spans="1:9" x14ac:dyDescent="0.25">
      <c r="A919" s="6">
        <v>44538</v>
      </c>
      <c r="B919" t="s">
        <v>26</v>
      </c>
      <c r="C919">
        <v>68285</v>
      </c>
      <c r="D919" t="s">
        <v>36</v>
      </c>
      <c r="E919" s="7">
        <v>75</v>
      </c>
      <c r="F919" s="9" t="s">
        <v>20</v>
      </c>
      <c r="G919" t="s">
        <v>21</v>
      </c>
      <c r="H919" t="str">
        <f t="shared" si="23"/>
        <v>12/2021-COUNCIL</v>
      </c>
      <c r="I919" t="str">
        <f>""</f>
        <v/>
      </c>
    </row>
    <row r="920" spans="1:9" x14ac:dyDescent="0.25">
      <c r="A920" s="6">
        <v>44538</v>
      </c>
      <c r="B920" t="s">
        <v>26</v>
      </c>
      <c r="C920">
        <v>68286</v>
      </c>
      <c r="D920" t="s">
        <v>38</v>
      </c>
      <c r="E920" s="7">
        <v>100</v>
      </c>
      <c r="F920" s="9" t="s">
        <v>20</v>
      </c>
      <c r="G920" t="s">
        <v>21</v>
      </c>
      <c r="H920" t="str">
        <f t="shared" si="23"/>
        <v>12/2021-COUNCIL</v>
      </c>
      <c r="I920" t="str">
        <f>""</f>
        <v/>
      </c>
    </row>
    <row r="921" spans="1:9" x14ac:dyDescent="0.25">
      <c r="A921" s="6">
        <v>44538</v>
      </c>
      <c r="B921" t="s">
        <v>26</v>
      </c>
      <c r="C921">
        <v>68287</v>
      </c>
      <c r="D921" t="s">
        <v>558</v>
      </c>
      <c r="E921" s="7">
        <v>75</v>
      </c>
      <c r="F921" s="9" t="s">
        <v>20</v>
      </c>
      <c r="G921" t="s">
        <v>21</v>
      </c>
      <c r="H921" t="str">
        <f t="shared" si="23"/>
        <v>12/2021-COUNCIL</v>
      </c>
      <c r="I921" t="str">
        <f>"MONTHLY COUNCIL CHECKS"</f>
        <v>MONTHLY COUNCIL CHECKS</v>
      </c>
    </row>
    <row r="922" spans="1:9" x14ac:dyDescent="0.25">
      <c r="A922" s="6">
        <v>44538</v>
      </c>
      <c r="B922" t="s">
        <v>26</v>
      </c>
      <c r="C922">
        <v>68288</v>
      </c>
      <c r="D922" t="s">
        <v>889</v>
      </c>
      <c r="E922" s="7">
        <v>75</v>
      </c>
      <c r="F922" s="9" t="s">
        <v>20</v>
      </c>
      <c r="G922" t="s">
        <v>21</v>
      </c>
      <c r="H922" t="str">
        <f t="shared" si="23"/>
        <v>12/2021-COUNCIL</v>
      </c>
      <c r="I922" t="str">
        <f>""</f>
        <v/>
      </c>
    </row>
    <row r="923" spans="1:9" x14ac:dyDescent="0.25">
      <c r="A923" s="6">
        <v>44538</v>
      </c>
      <c r="B923" t="s">
        <v>26</v>
      </c>
      <c r="C923">
        <v>68289</v>
      </c>
      <c r="D923" t="s">
        <v>1011</v>
      </c>
      <c r="E923" s="7">
        <v>75</v>
      </c>
      <c r="F923" s="9" t="s">
        <v>20</v>
      </c>
      <c r="G923" t="s">
        <v>21</v>
      </c>
      <c r="H923" t="str">
        <f t="shared" si="23"/>
        <v>12/2021-COUNCIL</v>
      </c>
      <c r="I923" t="str">
        <f>""</f>
        <v/>
      </c>
    </row>
    <row r="924" spans="1:9" x14ac:dyDescent="0.25">
      <c r="A924" s="6">
        <v>44539</v>
      </c>
      <c r="B924" t="s">
        <v>26</v>
      </c>
      <c r="C924">
        <v>68290</v>
      </c>
      <c r="D924" t="s">
        <v>816</v>
      </c>
      <c r="E924" s="7">
        <v>40</v>
      </c>
      <c r="F924" s="9" t="s">
        <v>20</v>
      </c>
      <c r="G924" t="s">
        <v>21</v>
      </c>
      <c r="H924" t="str">
        <f>"GAS REIMBSMT 12/21"</f>
        <v>GAS REIMBSMT 12/21</v>
      </c>
      <c r="I924" t="str">
        <f>"MEGAN K ANDERSON"</f>
        <v>MEGAN K ANDERSON</v>
      </c>
    </row>
    <row r="925" spans="1:9" x14ac:dyDescent="0.25">
      <c r="A925" s="6">
        <v>44539</v>
      </c>
      <c r="B925" t="s">
        <v>26</v>
      </c>
      <c r="C925">
        <v>68291</v>
      </c>
      <c r="D925" t="s">
        <v>205</v>
      </c>
      <c r="E925" s="7">
        <v>401.4</v>
      </c>
      <c r="F925" s="9" t="s">
        <v>20</v>
      </c>
      <c r="G925" t="s">
        <v>21</v>
      </c>
      <c r="H925" t="str">
        <f>"12/10/2021"</f>
        <v>12/10/2021</v>
      </c>
      <c r="I925" t="str">
        <f>"SILVER EAGLE DISTRIBUTORS"</f>
        <v>SILVER EAGLE DISTRIBUTORS</v>
      </c>
    </row>
    <row r="926" spans="1:9" x14ac:dyDescent="0.25">
      <c r="A926" s="6">
        <v>44540</v>
      </c>
      <c r="B926" t="s">
        <v>26</v>
      </c>
      <c r="C926">
        <v>68292</v>
      </c>
      <c r="D926" t="s">
        <v>1013</v>
      </c>
      <c r="E926" s="7">
        <v>18350</v>
      </c>
      <c r="F926" s="9" t="s">
        <v>20</v>
      </c>
      <c r="G926" t="s">
        <v>21</v>
      </c>
      <c r="H926" t="str">
        <f>"168"</f>
        <v>168</v>
      </c>
      <c r="I926" t="str">
        <f>"NEW BEGINNING CONSTRUCTION LIM"</f>
        <v>NEW BEGINNING CONSTRUCTION LIM</v>
      </c>
    </row>
    <row r="927" spans="1:9" x14ac:dyDescent="0.25">
      <c r="A927" s="6">
        <v>44544</v>
      </c>
      <c r="B927" t="s">
        <v>26</v>
      </c>
      <c r="C927">
        <v>68357</v>
      </c>
      <c r="D927" t="s">
        <v>51</v>
      </c>
      <c r="E927" s="7">
        <v>327.84</v>
      </c>
      <c r="F927" s="9" t="s">
        <v>20</v>
      </c>
      <c r="G927" t="s">
        <v>21</v>
      </c>
      <c r="H927" t="str">
        <f>"CLE202112148633"</f>
        <v>CLE202112148633</v>
      </c>
      <c r="I927" t="str">
        <f>"CLEAT ONLY DUES"</f>
        <v>CLEAT ONLY DUES</v>
      </c>
    </row>
    <row r="928" spans="1:9" x14ac:dyDescent="0.25">
      <c r="F928" s="9" t="s">
        <v>20</v>
      </c>
      <c r="G928" t="s">
        <v>21</v>
      </c>
      <c r="H928" t="str">
        <f>"PDD202112148633"</f>
        <v>PDD202112148633</v>
      </c>
      <c r="I928" t="str">
        <f>"POLICE OFFICERS ASSOC DUES"</f>
        <v>POLICE OFFICERS ASSOC DUES</v>
      </c>
    </row>
    <row r="929" spans="1:9" x14ac:dyDescent="0.25">
      <c r="A929" s="6">
        <v>44544</v>
      </c>
      <c r="B929" t="s">
        <v>26</v>
      </c>
      <c r="C929">
        <v>68358</v>
      </c>
      <c r="D929" t="s">
        <v>52</v>
      </c>
      <c r="E929" s="7">
        <v>991.16</v>
      </c>
      <c r="F929" s="9" t="s">
        <v>20</v>
      </c>
      <c r="G929" t="s">
        <v>21</v>
      </c>
      <c r="H929" t="str">
        <f>"CA1202112148633"</f>
        <v>CA1202112148633</v>
      </c>
      <c r="I929" t="str">
        <f>"K RAMIREZ 001200229510060343CV"</f>
        <v>K RAMIREZ 001200229510060343CV</v>
      </c>
    </row>
    <row r="930" spans="1:9" x14ac:dyDescent="0.25">
      <c r="F930" s="9" t="s">
        <v>20</v>
      </c>
      <c r="G930" t="s">
        <v>21</v>
      </c>
      <c r="H930" t="str">
        <f>"CA2202112148633"</f>
        <v>CA2202112148633</v>
      </c>
      <c r="I930" t="str">
        <f>"L HERNANDEZ 001016025203080354"</f>
        <v>L HERNANDEZ 001016025203080354</v>
      </c>
    </row>
    <row r="931" spans="1:9" x14ac:dyDescent="0.25">
      <c r="F931" s="9" t="s">
        <v>20</v>
      </c>
      <c r="G931" t="s">
        <v>21</v>
      </c>
      <c r="H931" t="str">
        <f>"CA3202112148633"</f>
        <v>CA3202112148633</v>
      </c>
      <c r="I931" t="str">
        <f>"00120788612011EM5023JOLENEGARC"</f>
        <v>00120788612011EM5023JOLENEGARC</v>
      </c>
    </row>
    <row r="932" spans="1:9" x14ac:dyDescent="0.25">
      <c r="F932" s="9" t="s">
        <v>20</v>
      </c>
      <c r="G932" t="s">
        <v>21</v>
      </c>
      <c r="H932" t="str">
        <f>"CSA202112148633"</f>
        <v>CSA202112148633</v>
      </c>
      <c r="I932" t="str">
        <f>"S RODRIGUEZ 001281730413050336"</f>
        <v>S RODRIGUEZ 001281730413050336</v>
      </c>
    </row>
    <row r="933" spans="1:9" x14ac:dyDescent="0.25">
      <c r="F933" s="9" t="s">
        <v>20</v>
      </c>
      <c r="G933" t="s">
        <v>21</v>
      </c>
      <c r="H933" t="str">
        <f>"CSI202112148633"</f>
        <v>CSI202112148633</v>
      </c>
      <c r="I933" t="str">
        <f>"KTRINIDAD0014071774CVW2000777"</f>
        <v>KTRINIDAD0014071774CVW2000777</v>
      </c>
    </row>
    <row r="934" spans="1:9" x14ac:dyDescent="0.25">
      <c r="F934" s="9" t="s">
        <v>20</v>
      </c>
      <c r="G934" t="s">
        <v>21</v>
      </c>
      <c r="H934" t="str">
        <f>"CSR202112148633"</f>
        <v>CSR202112148633</v>
      </c>
      <c r="I934" t="str">
        <f>"A BARRIENTE 14189017CVW2100560"</f>
        <v>A BARRIENTE 14189017CVW2100560</v>
      </c>
    </row>
    <row r="935" spans="1:9" x14ac:dyDescent="0.25">
      <c r="A935" s="6">
        <v>44544</v>
      </c>
      <c r="B935" t="s">
        <v>26</v>
      </c>
      <c r="C935">
        <v>68359</v>
      </c>
      <c r="D935" t="s">
        <v>54</v>
      </c>
      <c r="E935" s="7">
        <v>881.57</v>
      </c>
      <c r="F935" s="9" t="s">
        <v>20</v>
      </c>
      <c r="G935" t="s">
        <v>21</v>
      </c>
      <c r="H935" t="str">
        <f>"BRE202112148633"</f>
        <v>BRE202112148633</v>
      </c>
      <c r="I935" t="str">
        <f>"CASE #180-60751 457B DEDUCT"</f>
        <v>CASE #180-60751 457B DEDUCT</v>
      </c>
    </row>
    <row r="936" spans="1:9" x14ac:dyDescent="0.25">
      <c r="A936" s="6">
        <v>44545</v>
      </c>
      <c r="B936" t="s">
        <v>26</v>
      </c>
      <c r="C936">
        <v>68360</v>
      </c>
      <c r="D936" t="s">
        <v>1145</v>
      </c>
      <c r="E936" s="7">
        <v>1339</v>
      </c>
      <c r="F936" s="9" t="s">
        <v>20</v>
      </c>
      <c r="G936" t="s">
        <v>21</v>
      </c>
      <c r="H936" t="str">
        <f>"1   2021-064-02"</f>
        <v>1   2021-064-02</v>
      </c>
      <c r="I936" t="str">
        <f>"6S ENGINEERING  INC"</f>
        <v>6S ENGINEERING  INC</v>
      </c>
    </row>
    <row r="937" spans="1:9" x14ac:dyDescent="0.25">
      <c r="A937" s="6">
        <v>44545</v>
      </c>
      <c r="B937" t="s">
        <v>26</v>
      </c>
      <c r="C937">
        <v>68361</v>
      </c>
      <c r="D937" t="s">
        <v>781</v>
      </c>
      <c r="E937" s="7">
        <v>108.8</v>
      </c>
      <c r="F937" s="9" t="s">
        <v>20</v>
      </c>
      <c r="G937" t="s">
        <v>21</v>
      </c>
      <c r="H937" t="str">
        <f>"12/11/2021"</f>
        <v>12/11/2021</v>
      </c>
      <c r="I937" t="str">
        <f>"ASHLEY MARTINEZ"</f>
        <v>ASHLEY MARTINEZ</v>
      </c>
    </row>
    <row r="938" spans="1:9" x14ac:dyDescent="0.25">
      <c r="A938" s="6">
        <v>44545</v>
      </c>
      <c r="B938" t="s">
        <v>26</v>
      </c>
      <c r="C938">
        <v>68362</v>
      </c>
      <c r="D938" t="s">
        <v>949</v>
      </c>
      <c r="E938" s="7">
        <v>39</v>
      </c>
      <c r="F938" s="9" t="s">
        <v>20</v>
      </c>
      <c r="G938" t="s">
        <v>21</v>
      </c>
      <c r="H938" t="str">
        <f>"18784"</f>
        <v>18784</v>
      </c>
      <c r="I938" t="str">
        <f>"AUTO GRAPHICS &amp; SIGN CO.  LLC"</f>
        <v>AUTO GRAPHICS &amp; SIGN CO.  LLC</v>
      </c>
    </row>
    <row r="939" spans="1:9" x14ac:dyDescent="0.25">
      <c r="A939" s="6">
        <v>44545</v>
      </c>
      <c r="B939" t="s">
        <v>26</v>
      </c>
      <c r="C939">
        <v>68363</v>
      </c>
      <c r="D939" t="s">
        <v>102</v>
      </c>
      <c r="E939" s="7">
        <v>146.31</v>
      </c>
      <c r="F939" s="9" t="s">
        <v>20</v>
      </c>
      <c r="G939" t="s">
        <v>21</v>
      </c>
      <c r="H939" t="str">
        <f>"1120 D ST DEC.2021"</f>
        <v>1120 D ST DEC.2021</v>
      </c>
      <c r="I939" t="str">
        <f>"CENTERPOINT ENERGY ENTEX"</f>
        <v>CENTERPOINT ENERGY ENTEX</v>
      </c>
    </row>
    <row r="940" spans="1:9" x14ac:dyDescent="0.25">
      <c r="F940" s="9" t="s">
        <v>20</v>
      </c>
      <c r="G940" t="s">
        <v>21</v>
      </c>
      <c r="H940" t="str">
        <f>"1200 D. ST DEC.202"</f>
        <v>1200 D. ST DEC.202</v>
      </c>
      <c r="I940" t="str">
        <f>"CENTERPOINT ENERGY ENTEX"</f>
        <v>CENTERPOINT ENERGY ENTEX</v>
      </c>
    </row>
    <row r="941" spans="1:9" x14ac:dyDescent="0.25">
      <c r="F941" s="9" t="s">
        <v>20</v>
      </c>
      <c r="G941" t="s">
        <v>21</v>
      </c>
      <c r="H941" t="str">
        <f>"920 C ST DEC.2021"</f>
        <v>920 C ST DEC.2021</v>
      </c>
      <c r="I941" t="str">
        <f>"CENTERPOINT ENERGY ENTEX"</f>
        <v>CENTERPOINT ENERGY ENTEX</v>
      </c>
    </row>
    <row r="942" spans="1:9" x14ac:dyDescent="0.25">
      <c r="A942" s="6">
        <v>44545</v>
      </c>
      <c r="B942" t="s">
        <v>26</v>
      </c>
      <c r="C942">
        <v>68364</v>
      </c>
      <c r="D942" t="s">
        <v>647</v>
      </c>
      <c r="E942" s="7">
        <v>3483.81</v>
      </c>
      <c r="F942" s="9" t="s">
        <v>20</v>
      </c>
      <c r="G942" t="s">
        <v>21</v>
      </c>
      <c r="H942" t="str">
        <f>"30631711"</f>
        <v>30631711</v>
      </c>
      <c r="I942" t="str">
        <f>"DOCUMATION  INC."</f>
        <v>DOCUMATION  INC.</v>
      </c>
    </row>
    <row r="943" spans="1:9" x14ac:dyDescent="0.25">
      <c r="A943" s="6">
        <v>44545</v>
      </c>
      <c r="B943" t="s">
        <v>26</v>
      </c>
      <c r="C943">
        <v>68365</v>
      </c>
      <c r="D943" t="s">
        <v>64</v>
      </c>
      <c r="E943" s="7">
        <v>1848</v>
      </c>
      <c r="F943" s="9" t="s">
        <v>20</v>
      </c>
      <c r="G943" t="s">
        <v>21</v>
      </c>
      <c r="H943" t="str">
        <f>"8678"</f>
        <v>8678</v>
      </c>
      <c r="I943" t="str">
        <f>"DREWA DESIGNS  INC."</f>
        <v>DREWA DESIGNS  INC.</v>
      </c>
    </row>
    <row r="944" spans="1:9" x14ac:dyDescent="0.25">
      <c r="A944" s="6">
        <v>44545</v>
      </c>
      <c r="B944" t="s">
        <v>26</v>
      </c>
      <c r="C944">
        <v>68366</v>
      </c>
      <c r="D944" t="s">
        <v>264</v>
      </c>
      <c r="E944" s="7">
        <v>35</v>
      </c>
      <c r="F944" s="9" t="s">
        <v>20</v>
      </c>
      <c r="G944" t="s">
        <v>21</v>
      </c>
      <c r="H944" t="str">
        <f>"ANNUAL FEE 2022"</f>
        <v>ANNUAL FEE 2022</v>
      </c>
      <c r="I944" t="str">
        <f>"ERS - TEXAS SOCIAL SECURITY PR"</f>
        <v>ERS - TEXAS SOCIAL SECURITY PR</v>
      </c>
    </row>
    <row r="945" spans="1:9" x14ac:dyDescent="0.25">
      <c r="A945" s="6">
        <v>44545</v>
      </c>
      <c r="B945" t="s">
        <v>26</v>
      </c>
      <c r="C945">
        <v>68367</v>
      </c>
      <c r="D945" t="s">
        <v>103</v>
      </c>
      <c r="E945" s="7">
        <v>76032.13</v>
      </c>
      <c r="F945" s="9" t="s">
        <v>20</v>
      </c>
      <c r="G945" t="s">
        <v>21</v>
      </c>
      <c r="H945" t="str">
        <f>"FEDC SALES TAX"</f>
        <v>FEDC SALES TAX</v>
      </c>
      <c r="I945" t="str">
        <f>"F. E. D. C."</f>
        <v>F. E. D. C.</v>
      </c>
    </row>
    <row r="946" spans="1:9" x14ac:dyDescent="0.25">
      <c r="A946" s="6">
        <v>44545</v>
      </c>
      <c r="B946" t="s">
        <v>26</v>
      </c>
      <c r="C946">
        <v>68368</v>
      </c>
      <c r="D946" t="s">
        <v>1146</v>
      </c>
      <c r="E946" s="7">
        <v>50</v>
      </c>
      <c r="F946" s="9" t="s">
        <v>20</v>
      </c>
      <c r="G946" t="s">
        <v>21</v>
      </c>
      <c r="H946" t="str">
        <f>"DEP.REFUND 11/7/21"</f>
        <v>DEP.REFUND 11/7/21</v>
      </c>
      <c r="I946" t="str">
        <f>"REFUND"</f>
        <v>REFUND</v>
      </c>
    </row>
    <row r="947" spans="1:9" x14ac:dyDescent="0.25">
      <c r="A947" s="6">
        <v>44545</v>
      </c>
      <c r="B947" t="s">
        <v>26</v>
      </c>
      <c r="C947">
        <v>68369</v>
      </c>
      <c r="D947" t="s">
        <v>85</v>
      </c>
      <c r="E947" s="7">
        <v>769.74</v>
      </c>
      <c r="F947" s="9" t="s">
        <v>20</v>
      </c>
      <c r="G947" t="s">
        <v>21</v>
      </c>
      <c r="H947" t="str">
        <f>"3930579 NOV2021"</f>
        <v>3930579 NOV2021</v>
      </c>
      <c r="I947" t="str">
        <f>"FRONTIER"</f>
        <v>FRONTIER</v>
      </c>
    </row>
    <row r="948" spans="1:9" x14ac:dyDescent="0.25">
      <c r="F948" s="9" t="s">
        <v>20</v>
      </c>
      <c r="G948" t="s">
        <v>21</v>
      </c>
      <c r="H948" t="str">
        <f>"3933108 12/2021"</f>
        <v>3933108 12/2021</v>
      </c>
      <c r="I948" t="str">
        <f>"FRONTIER"</f>
        <v>FRONTIER</v>
      </c>
    </row>
    <row r="949" spans="1:9" x14ac:dyDescent="0.25">
      <c r="F949" s="9" t="s">
        <v>20</v>
      </c>
      <c r="G949" t="s">
        <v>21</v>
      </c>
      <c r="H949" t="str">
        <f>"3937070 NOV.2021"</f>
        <v>3937070 NOV.2021</v>
      </c>
      <c r="I949" t="str">
        <f>"FRONTIER"</f>
        <v>FRONTIER</v>
      </c>
    </row>
    <row r="950" spans="1:9" x14ac:dyDescent="0.25">
      <c r="F950" s="9" t="s">
        <v>20</v>
      </c>
      <c r="G950" t="s">
        <v>21</v>
      </c>
      <c r="H950" t="str">
        <f>"3939791 DEC.2021"</f>
        <v>3939791 DEC.2021</v>
      </c>
      <c r="I950" t="str">
        <f>"FRONTIER"</f>
        <v>FRONTIER</v>
      </c>
    </row>
    <row r="951" spans="1:9" x14ac:dyDescent="0.25">
      <c r="A951" s="6">
        <v>44545</v>
      </c>
      <c r="B951" t="s">
        <v>26</v>
      </c>
      <c r="C951">
        <v>68370</v>
      </c>
      <c r="D951" t="s">
        <v>1032</v>
      </c>
      <c r="E951" s="7">
        <v>3000</v>
      </c>
      <c r="F951" s="9" t="s">
        <v>20</v>
      </c>
      <c r="G951" t="s">
        <v>21</v>
      </c>
      <c r="H951" t="str">
        <f>"11-21-17792"</f>
        <v>11-21-17792</v>
      </c>
      <c r="I951" t="str">
        <f>"LEAL &amp; CARTER  P.C."</f>
        <v>LEAL &amp; CARTER  P.C.</v>
      </c>
    </row>
    <row r="952" spans="1:9" x14ac:dyDescent="0.25">
      <c r="A952" s="6">
        <v>44545</v>
      </c>
      <c r="B952" t="s">
        <v>26</v>
      </c>
      <c r="C952">
        <v>68371</v>
      </c>
      <c r="D952" t="s">
        <v>117</v>
      </c>
      <c r="E952" s="7">
        <v>1650.41</v>
      </c>
      <c r="F952" s="9" t="s">
        <v>20</v>
      </c>
      <c r="G952" t="s">
        <v>21</v>
      </c>
      <c r="H952" t="str">
        <f>"NOVEMBER 2021"</f>
        <v>NOVEMBER 2021</v>
      </c>
      <c r="I952" t="str">
        <f>"LINEBARGER GOGGAN BLAIR &amp; SAMP"</f>
        <v>LINEBARGER GOGGAN BLAIR &amp; SAMP</v>
      </c>
    </row>
    <row r="953" spans="1:9" x14ac:dyDescent="0.25">
      <c r="A953" s="6">
        <v>44545</v>
      </c>
      <c r="B953" t="s">
        <v>26</v>
      </c>
      <c r="C953">
        <v>68372</v>
      </c>
      <c r="D953" t="s">
        <v>824</v>
      </c>
      <c r="E953" s="7">
        <v>108.8</v>
      </c>
      <c r="F953" s="9" t="s">
        <v>20</v>
      </c>
      <c r="G953" t="s">
        <v>21</v>
      </c>
      <c r="H953" t="str">
        <f>"12/11/2021"</f>
        <v>12/11/2021</v>
      </c>
      <c r="I953" t="str">
        <f>"MALLORY R. NELSON"</f>
        <v>MALLORY R. NELSON</v>
      </c>
    </row>
    <row r="954" spans="1:9" x14ac:dyDescent="0.25">
      <c r="A954" s="6">
        <v>44545</v>
      </c>
      <c r="B954" t="s">
        <v>26</v>
      </c>
      <c r="C954">
        <v>68373</v>
      </c>
      <c r="D954" t="s">
        <v>345</v>
      </c>
      <c r="E954" s="7">
        <v>346.5</v>
      </c>
      <c r="F954" s="9" t="s">
        <v>20</v>
      </c>
      <c r="G954" t="s">
        <v>21</v>
      </c>
      <c r="H954" t="str">
        <f>"12/13/2021"</f>
        <v>12/13/2021</v>
      </c>
      <c r="I954" t="str">
        <f>"MICHAEL ISAAC MARTINEZ"</f>
        <v>MICHAEL ISAAC MARTINEZ</v>
      </c>
    </row>
    <row r="955" spans="1:9" x14ac:dyDescent="0.25">
      <c r="A955" s="6">
        <v>44545</v>
      </c>
      <c r="B955" t="s">
        <v>26</v>
      </c>
      <c r="C955">
        <v>68374</v>
      </c>
      <c r="D955" t="s">
        <v>1140</v>
      </c>
      <c r="E955" s="7">
        <v>108.8</v>
      </c>
      <c r="F955" s="9" t="s">
        <v>20</v>
      </c>
      <c r="G955" t="s">
        <v>21</v>
      </c>
      <c r="H955" t="str">
        <f>"12/11/2021"</f>
        <v>12/11/2021</v>
      </c>
      <c r="I955" t="str">
        <f>"MIRANDA ESTRADA"</f>
        <v>MIRANDA ESTRADA</v>
      </c>
    </row>
    <row r="956" spans="1:9" x14ac:dyDescent="0.25">
      <c r="A956" s="6">
        <v>44545</v>
      </c>
      <c r="B956" t="s">
        <v>26</v>
      </c>
      <c r="C956">
        <v>68375</v>
      </c>
      <c r="D956" t="s">
        <v>240</v>
      </c>
      <c r="E956" s="7">
        <v>406.06</v>
      </c>
      <c r="F956" s="9" t="s">
        <v>20</v>
      </c>
      <c r="G956" t="s">
        <v>21</v>
      </c>
      <c r="H956" t="str">
        <f>"0220836-IN"</f>
        <v>0220836-IN</v>
      </c>
      <c r="I956" t="str">
        <f>"PD UNIFORM ALLOWANCE"</f>
        <v>PD UNIFORM ALLOWANCE</v>
      </c>
    </row>
    <row r="957" spans="1:9" x14ac:dyDescent="0.25">
      <c r="A957" s="6">
        <v>44545</v>
      </c>
      <c r="B957" t="s">
        <v>91</v>
      </c>
      <c r="C957">
        <v>68376</v>
      </c>
      <c r="D957" t="s">
        <v>123</v>
      </c>
      <c r="E957" s="7">
        <v>97.92</v>
      </c>
      <c r="F957" s="9" t="s">
        <v>20</v>
      </c>
      <c r="G957" t="s">
        <v>21</v>
      </c>
      <c r="H957" t="str">
        <f>"212474920001"</f>
        <v>212474920001</v>
      </c>
      <c r="I957" t="str">
        <f>"OFFICE DEPOT  INC."</f>
        <v>OFFICE DEPOT  INC.</v>
      </c>
    </row>
    <row r="958" spans="1:9" x14ac:dyDescent="0.25">
      <c r="A958" s="6">
        <v>44545</v>
      </c>
      <c r="B958" t="s">
        <v>91</v>
      </c>
      <c r="C958">
        <v>68376</v>
      </c>
      <c r="D958" t="s">
        <v>123</v>
      </c>
      <c r="E958" s="7">
        <v>97.92</v>
      </c>
      <c r="F958" s="9" t="s">
        <v>20</v>
      </c>
      <c r="G958" t="s">
        <v>93</v>
      </c>
      <c r="H958" t="str">
        <f>"CHECK"</f>
        <v>CHECK</v>
      </c>
      <c r="I958" t="str">
        <f>""</f>
        <v/>
      </c>
    </row>
    <row r="959" spans="1:9" x14ac:dyDescent="0.25">
      <c r="A959" s="6">
        <v>44545</v>
      </c>
      <c r="B959" t="s">
        <v>26</v>
      </c>
      <c r="C959">
        <v>68377</v>
      </c>
      <c r="D959" t="s">
        <v>693</v>
      </c>
      <c r="E959" s="7">
        <v>3451.46</v>
      </c>
      <c r="F959" s="9" t="s">
        <v>20</v>
      </c>
      <c r="G959" t="s">
        <v>21</v>
      </c>
      <c r="H959" t="str">
        <f>"REMBSMT BLUESANTA"</f>
        <v>REMBSMT BLUESANTA</v>
      </c>
      <c r="I959" t="str">
        <f>"OLGA RAMIREZ"</f>
        <v>OLGA RAMIREZ</v>
      </c>
    </row>
    <row r="960" spans="1:9" x14ac:dyDescent="0.25">
      <c r="A960" s="6">
        <v>44545</v>
      </c>
      <c r="B960" t="s">
        <v>26</v>
      </c>
      <c r="C960">
        <v>68378</v>
      </c>
      <c r="D960" t="s">
        <v>1081</v>
      </c>
      <c r="E960" s="7">
        <v>783</v>
      </c>
      <c r="F960" s="9" t="s">
        <v>20</v>
      </c>
      <c r="G960" t="s">
        <v>21</v>
      </c>
      <c r="H960" t="str">
        <f>"29362"</f>
        <v>29362</v>
      </c>
      <c r="I960" t="str">
        <f>"PINNACLE PEST DEFENSE"</f>
        <v>PINNACLE PEST DEFENSE</v>
      </c>
    </row>
    <row r="961" spans="1:9" x14ac:dyDescent="0.25">
      <c r="F961" s="9" t="s">
        <v>20</v>
      </c>
      <c r="G961" t="s">
        <v>21</v>
      </c>
      <c r="H961" t="str">
        <f>"49361"</f>
        <v>49361</v>
      </c>
      <c r="I961" t="str">
        <f>"PINNACLE PEST DEFENSE"</f>
        <v>PINNACLE PEST DEFENSE</v>
      </c>
    </row>
    <row r="962" spans="1:9" x14ac:dyDescent="0.25">
      <c r="A962" s="6">
        <v>44545</v>
      </c>
      <c r="B962" t="s">
        <v>26</v>
      </c>
      <c r="C962">
        <v>68379</v>
      </c>
      <c r="D962" t="s">
        <v>108</v>
      </c>
      <c r="E962" s="7">
        <v>22348.44</v>
      </c>
      <c r="F962" s="9" t="s">
        <v>20</v>
      </c>
      <c r="G962" t="s">
        <v>21</v>
      </c>
      <c r="H962" t="str">
        <f>"041295692340"</f>
        <v>041295692340</v>
      </c>
      <c r="I962" t="str">
        <f>"POOLSURE"</f>
        <v>POOLSURE</v>
      </c>
    </row>
    <row r="963" spans="1:9" x14ac:dyDescent="0.25">
      <c r="A963" s="6">
        <v>44545</v>
      </c>
      <c r="B963" t="s">
        <v>26</v>
      </c>
      <c r="C963">
        <v>68380</v>
      </c>
      <c r="D963" t="s">
        <v>126</v>
      </c>
      <c r="E963" s="7">
        <v>95053.57</v>
      </c>
      <c r="F963" s="9" t="s">
        <v>20</v>
      </c>
      <c r="G963" t="s">
        <v>21</v>
      </c>
      <c r="H963" t="str">
        <f>"0859-002977920"</f>
        <v>0859-002977920</v>
      </c>
      <c r="I963" t="str">
        <f>"REPUBLIC SERVICES #859"</f>
        <v>REPUBLIC SERVICES #859</v>
      </c>
    </row>
    <row r="964" spans="1:9" x14ac:dyDescent="0.25">
      <c r="F964" s="9" t="s">
        <v>20</v>
      </c>
      <c r="G964" t="s">
        <v>21</v>
      </c>
      <c r="H964" t="str">
        <f>"0859-002982146"</f>
        <v>0859-002982146</v>
      </c>
      <c r="I964" t="str">
        <f>"REPUBLIC SERVICES #859"</f>
        <v>REPUBLIC SERVICES #859</v>
      </c>
    </row>
    <row r="965" spans="1:9" x14ac:dyDescent="0.25">
      <c r="A965" s="6">
        <v>44545</v>
      </c>
      <c r="B965" t="s">
        <v>26</v>
      </c>
      <c r="C965">
        <v>68381</v>
      </c>
      <c r="D965" t="s">
        <v>132</v>
      </c>
      <c r="E965" s="7">
        <v>76.010000000000005</v>
      </c>
      <c r="F965" s="9" t="s">
        <v>20</v>
      </c>
      <c r="G965" t="s">
        <v>21</v>
      </c>
      <c r="H965" t="str">
        <f>"16992887-120221"</f>
        <v>16992887-120221</v>
      </c>
      <c r="I965" t="str">
        <f>"SPARKLETTS &amp; SIERRA SPRINGS"</f>
        <v>SPARKLETTS &amp; SIERRA SPRINGS</v>
      </c>
    </row>
    <row r="966" spans="1:9" x14ac:dyDescent="0.25">
      <c r="A966" s="6">
        <v>44545</v>
      </c>
      <c r="B966" t="s">
        <v>26</v>
      </c>
      <c r="C966">
        <v>68382</v>
      </c>
      <c r="D966" t="s">
        <v>84</v>
      </c>
      <c r="E966" s="7">
        <v>6000</v>
      </c>
      <c r="F966" s="9" t="s">
        <v>20</v>
      </c>
      <c r="G966" t="s">
        <v>21</v>
      </c>
      <c r="H966" t="str">
        <f>"1864615"</f>
        <v>1864615</v>
      </c>
      <c r="I966" t="str">
        <f>"STANTEC CONSULTING SERVICES IN"</f>
        <v>STANTEC CONSULTING SERVICES IN</v>
      </c>
    </row>
    <row r="967" spans="1:9" x14ac:dyDescent="0.25">
      <c r="A967" s="6">
        <v>44545</v>
      </c>
      <c r="B967" t="s">
        <v>26</v>
      </c>
      <c r="C967">
        <v>68383</v>
      </c>
      <c r="D967" t="s">
        <v>346</v>
      </c>
      <c r="E967" s="7">
        <v>13750</v>
      </c>
      <c r="F967" s="9" t="s">
        <v>20</v>
      </c>
      <c r="G967" t="s">
        <v>21</v>
      </c>
      <c r="H967" t="str">
        <f>"11/11-12/11/2021"</f>
        <v>11/11-12/11/2021</v>
      </c>
      <c r="I967" t="str">
        <f>"SYLVIA RODRIGUEZ"</f>
        <v>SYLVIA RODRIGUEZ</v>
      </c>
    </row>
    <row r="968" spans="1:9" x14ac:dyDescent="0.25">
      <c r="A968" s="6">
        <v>44545</v>
      </c>
      <c r="B968" t="s">
        <v>26</v>
      </c>
      <c r="C968">
        <v>68384</v>
      </c>
      <c r="D968" t="s">
        <v>1141</v>
      </c>
      <c r="E968" s="7">
        <v>852.76</v>
      </c>
      <c r="F968" s="9" t="s">
        <v>20</v>
      </c>
      <c r="G968" t="s">
        <v>21</v>
      </c>
      <c r="H968" t="str">
        <f>"SSI-SS12058"</f>
        <v>SSI-SS12058</v>
      </c>
      <c r="I968" t="str">
        <f>"TEXAS LANDFILL MANAGEMENT  LLC"</f>
        <v>TEXAS LANDFILL MANAGEMENT  LLC</v>
      </c>
    </row>
    <row r="969" spans="1:9" x14ac:dyDescent="0.25">
      <c r="F969" s="9" t="s">
        <v>20</v>
      </c>
      <c r="G969" t="s">
        <v>21</v>
      </c>
      <c r="H969" t="str">
        <f>"SSI-SS12070"</f>
        <v>SSI-SS12070</v>
      </c>
      <c r="I969" t="str">
        <f>"TEXAS LANDFILL MANAGEMENT  LLC"</f>
        <v>TEXAS LANDFILL MANAGEMENT  LLC</v>
      </c>
    </row>
    <row r="970" spans="1:9" x14ac:dyDescent="0.25">
      <c r="F970" s="9" t="s">
        <v>20</v>
      </c>
      <c r="G970" t="s">
        <v>21</v>
      </c>
      <c r="H970" t="str">
        <f>"SSI-SS12138"</f>
        <v>SSI-SS12138</v>
      </c>
      <c r="I970" t="str">
        <f>"TEXAS LANDFILL MANAGEMENT  LLC"</f>
        <v>TEXAS LANDFILL MANAGEMENT  LLC</v>
      </c>
    </row>
    <row r="971" spans="1:9" x14ac:dyDescent="0.25">
      <c r="A971" s="6">
        <v>44545</v>
      </c>
      <c r="B971" t="s">
        <v>26</v>
      </c>
      <c r="C971">
        <v>68385</v>
      </c>
      <c r="D971" t="s">
        <v>31</v>
      </c>
      <c r="E971" s="7">
        <v>2000</v>
      </c>
      <c r="F971" s="9" t="s">
        <v>20</v>
      </c>
      <c r="G971" t="s">
        <v>21</v>
      </c>
      <c r="H971" t="str">
        <f>"202184"</f>
        <v>202184</v>
      </c>
      <c r="I971" t="str">
        <f>"THE LAW OFFICE OF TOM CALDWELL"</f>
        <v>THE LAW OFFICE OF TOM CALDWELL</v>
      </c>
    </row>
    <row r="972" spans="1:9" x14ac:dyDescent="0.25">
      <c r="A972" s="6">
        <v>44545</v>
      </c>
      <c r="B972" t="s">
        <v>26</v>
      </c>
      <c r="C972">
        <v>68386</v>
      </c>
      <c r="D972" t="s">
        <v>73</v>
      </c>
      <c r="E972" s="7">
        <v>11225</v>
      </c>
      <c r="F972" s="9" t="s">
        <v>20</v>
      </c>
      <c r="G972" t="s">
        <v>21</v>
      </c>
      <c r="H972" t="str">
        <f>"8027 DEC.2021"</f>
        <v>8027 DEC.2021</v>
      </c>
      <c r="I972" t="str">
        <f>"TML INTERGOVERNMENTAL RISK POO"</f>
        <v>TML INTERGOVERNMENTAL RISK POO</v>
      </c>
    </row>
    <row r="973" spans="1:9" x14ac:dyDescent="0.25">
      <c r="A973" s="6">
        <v>44545</v>
      </c>
      <c r="B973" t="s">
        <v>26</v>
      </c>
      <c r="C973">
        <v>68387</v>
      </c>
      <c r="D973" t="s">
        <v>75</v>
      </c>
      <c r="E973" s="7">
        <v>1722.84</v>
      </c>
      <c r="F973" s="9" t="s">
        <v>20</v>
      </c>
      <c r="G973" t="s">
        <v>21</v>
      </c>
      <c r="H973" t="str">
        <f>"8184 12/24/2021"</f>
        <v>8184 12/24/2021</v>
      </c>
      <c r="I973" t="str">
        <f>"BOOTS FOR STEVE"</f>
        <v>BOOTS FOR STEVE</v>
      </c>
    </row>
    <row r="974" spans="1:9" x14ac:dyDescent="0.25">
      <c r="A974" s="6">
        <v>44545</v>
      </c>
      <c r="B974" t="s">
        <v>26</v>
      </c>
      <c r="C974">
        <v>68389</v>
      </c>
      <c r="D974" t="s">
        <v>698</v>
      </c>
      <c r="E974" s="7">
        <v>198.8</v>
      </c>
      <c r="F974" s="9" t="s">
        <v>20</v>
      </c>
      <c r="G974" t="s">
        <v>21</v>
      </c>
      <c r="H974" t="str">
        <f>"12/12/2021"</f>
        <v>12/12/2021</v>
      </c>
      <c r="I974" t="str">
        <f>"TRACY ORTIZ"</f>
        <v>TRACY ORTIZ</v>
      </c>
    </row>
    <row r="975" spans="1:9" x14ac:dyDescent="0.25">
      <c r="A975" s="6">
        <v>44545</v>
      </c>
      <c r="B975" t="s">
        <v>26</v>
      </c>
      <c r="C975">
        <v>68390</v>
      </c>
      <c r="D975" t="s">
        <v>644</v>
      </c>
      <c r="E975" s="7">
        <v>581.57000000000005</v>
      </c>
      <c r="F975" s="9" t="s">
        <v>20</v>
      </c>
      <c r="G975" t="s">
        <v>21</v>
      </c>
      <c r="H975" t="str">
        <f>"8213671000"</f>
        <v>8213671000</v>
      </c>
      <c r="I975" t="str">
        <f t="shared" ref="I975:I980" si="24">"UNIFIRST CORPORATION"</f>
        <v>UNIFIRST CORPORATION</v>
      </c>
    </row>
    <row r="976" spans="1:9" x14ac:dyDescent="0.25">
      <c r="F976" s="9" t="s">
        <v>20</v>
      </c>
      <c r="G976" t="s">
        <v>21</v>
      </c>
      <c r="H976" t="str">
        <f>"8213671001"</f>
        <v>8213671001</v>
      </c>
      <c r="I976" t="str">
        <f t="shared" si="24"/>
        <v>UNIFIRST CORPORATION</v>
      </c>
    </row>
    <row r="977" spans="1:9" x14ac:dyDescent="0.25">
      <c r="F977" s="9" t="s">
        <v>20</v>
      </c>
      <c r="G977" t="s">
        <v>21</v>
      </c>
      <c r="H977" t="str">
        <f>"8213671002"</f>
        <v>8213671002</v>
      </c>
      <c r="I977" t="str">
        <f t="shared" si="24"/>
        <v>UNIFIRST CORPORATION</v>
      </c>
    </row>
    <row r="978" spans="1:9" x14ac:dyDescent="0.25">
      <c r="F978" s="9" t="s">
        <v>20</v>
      </c>
      <c r="G978" t="s">
        <v>21</v>
      </c>
      <c r="H978" t="str">
        <f>"8213671003"</f>
        <v>8213671003</v>
      </c>
      <c r="I978" t="str">
        <f t="shared" si="24"/>
        <v>UNIFIRST CORPORATION</v>
      </c>
    </row>
    <row r="979" spans="1:9" x14ac:dyDescent="0.25">
      <c r="F979" s="9" t="s">
        <v>20</v>
      </c>
      <c r="G979" t="s">
        <v>21</v>
      </c>
      <c r="H979" t="str">
        <f>"8213671005"</f>
        <v>8213671005</v>
      </c>
      <c r="I979" t="str">
        <f t="shared" si="24"/>
        <v>UNIFIRST CORPORATION</v>
      </c>
    </row>
    <row r="980" spans="1:9" x14ac:dyDescent="0.25">
      <c r="F980" s="9" t="s">
        <v>20</v>
      </c>
      <c r="G980" t="s">
        <v>21</v>
      </c>
      <c r="H980" t="str">
        <f>"8213671006"</f>
        <v>8213671006</v>
      </c>
      <c r="I980" t="str">
        <f t="shared" si="24"/>
        <v>UNIFIRST CORPORATION</v>
      </c>
    </row>
    <row r="981" spans="1:9" x14ac:dyDescent="0.25">
      <c r="A981" s="6">
        <v>44545</v>
      </c>
      <c r="B981" t="s">
        <v>26</v>
      </c>
      <c r="C981">
        <v>68392</v>
      </c>
      <c r="D981" t="s">
        <v>104</v>
      </c>
      <c r="E981" s="7">
        <v>2249.13</v>
      </c>
      <c r="F981" s="9" t="s">
        <v>20</v>
      </c>
      <c r="G981" t="s">
        <v>21</v>
      </c>
      <c r="H981" t="str">
        <f>"23131"</f>
        <v>23131</v>
      </c>
      <c r="I981" t="str">
        <f>"WILSON COUNTY NEWS"</f>
        <v>WILSON COUNTY NEWS</v>
      </c>
    </row>
    <row r="982" spans="1:9" x14ac:dyDescent="0.25">
      <c r="F982" s="9" t="s">
        <v>20</v>
      </c>
      <c r="G982" t="s">
        <v>21</v>
      </c>
      <c r="H982" t="str">
        <f>"23132"</f>
        <v>23132</v>
      </c>
      <c r="I982" t="str">
        <f>"WILSON COUNTY NEWS"</f>
        <v>WILSON COUNTY NEWS</v>
      </c>
    </row>
    <row r="983" spans="1:9" x14ac:dyDescent="0.25">
      <c r="F983" s="9" t="s">
        <v>20</v>
      </c>
      <c r="G983" t="s">
        <v>21</v>
      </c>
      <c r="H983" t="str">
        <f>"23698"</f>
        <v>23698</v>
      </c>
      <c r="I983" t="str">
        <f>"WILSON COUNTY NEWS"</f>
        <v>WILSON COUNTY NEWS</v>
      </c>
    </row>
    <row r="984" spans="1:9" x14ac:dyDescent="0.25">
      <c r="F984" s="9" t="s">
        <v>20</v>
      </c>
      <c r="G984" t="s">
        <v>21</v>
      </c>
      <c r="H984" t="str">
        <f>"24320"</f>
        <v>24320</v>
      </c>
      <c r="I984" t="str">
        <f>"WILSON COUNTY NEWS"</f>
        <v>WILSON COUNTY NEWS</v>
      </c>
    </row>
    <row r="985" spans="1:9" x14ac:dyDescent="0.25">
      <c r="F985" s="9" t="s">
        <v>20</v>
      </c>
      <c r="G985" t="s">
        <v>21</v>
      </c>
      <c r="H985" t="str">
        <f>"24788"</f>
        <v>24788</v>
      </c>
      <c r="I985" t="str">
        <f>"WILSON COUNTY NEWS"</f>
        <v>WILSON COUNTY NEWS</v>
      </c>
    </row>
    <row r="986" spans="1:9" x14ac:dyDescent="0.25">
      <c r="F986" s="9" t="s">
        <v>20</v>
      </c>
      <c r="G986" t="s">
        <v>21</v>
      </c>
      <c r="H986" t="str">
        <f>"45408"</f>
        <v>45408</v>
      </c>
      <c r="I986" t="str">
        <f>"RED TAGS"</f>
        <v>RED TAGS</v>
      </c>
    </row>
    <row r="987" spans="1:9" x14ac:dyDescent="0.25">
      <c r="A987" s="6">
        <v>44545</v>
      </c>
      <c r="B987" t="s">
        <v>26</v>
      </c>
      <c r="C987">
        <v>68393</v>
      </c>
      <c r="D987" t="s">
        <v>633</v>
      </c>
      <c r="E987" s="7">
        <v>2093.96</v>
      </c>
      <c r="F987" s="9" t="s">
        <v>20</v>
      </c>
      <c r="G987" t="s">
        <v>21</v>
      </c>
      <c r="H987" t="str">
        <f>"0096557242"</f>
        <v>0096557242</v>
      </c>
      <c r="I987" t="str">
        <f>"CINTAS FIRE 636525"</f>
        <v>CINTAS FIRE 636525</v>
      </c>
    </row>
    <row r="988" spans="1:9" x14ac:dyDescent="0.25">
      <c r="F988" s="9" t="s">
        <v>20</v>
      </c>
      <c r="G988" t="s">
        <v>21</v>
      </c>
      <c r="H988" t="str">
        <f>"0096557264"</f>
        <v>0096557264</v>
      </c>
      <c r="I988" t="str">
        <f>"CINTAS FIRE 636525"</f>
        <v>CINTAS FIRE 636525</v>
      </c>
    </row>
    <row r="989" spans="1:9" x14ac:dyDescent="0.25">
      <c r="A989" s="6">
        <v>44546</v>
      </c>
      <c r="B989" t="s">
        <v>26</v>
      </c>
      <c r="C989">
        <v>68394</v>
      </c>
      <c r="D989" t="s">
        <v>81</v>
      </c>
      <c r="E989" s="7">
        <v>193.46</v>
      </c>
      <c r="F989" s="9" t="s">
        <v>20</v>
      </c>
      <c r="G989" t="s">
        <v>21</v>
      </c>
      <c r="H989" t="str">
        <f>"A.MONTOYA 12/16/21"</f>
        <v>A.MONTOYA 12/16/21</v>
      </c>
      <c r="I989" t="str">
        <f>"CITY OF FLORESVILLE -PETTY CAS"</f>
        <v>CITY OF FLORESVILLE -PETTY CAS</v>
      </c>
    </row>
    <row r="990" spans="1:9" x14ac:dyDescent="0.25">
      <c r="A990" s="6">
        <v>44546</v>
      </c>
      <c r="B990" t="s">
        <v>26</v>
      </c>
      <c r="C990">
        <v>68396</v>
      </c>
      <c r="D990" t="s">
        <v>1144</v>
      </c>
      <c r="E990" s="7">
        <v>700</v>
      </c>
      <c r="F990" s="9" t="s">
        <v>20</v>
      </c>
      <c r="G990" t="s">
        <v>21</v>
      </c>
      <c r="H990" t="str">
        <f>"FINAL PAY 12/16/21"</f>
        <v>FINAL PAY 12/16/21</v>
      </c>
      <c r="I990" t="str">
        <f>"ZOILA MUNOZ"</f>
        <v>ZOILA MUNOZ</v>
      </c>
    </row>
    <row r="991" spans="1:9" x14ac:dyDescent="0.25">
      <c r="A991" s="6">
        <v>44551</v>
      </c>
      <c r="B991" t="s">
        <v>26</v>
      </c>
      <c r="C991">
        <v>68398</v>
      </c>
      <c r="D991" t="s">
        <v>139</v>
      </c>
      <c r="E991" s="7">
        <v>65</v>
      </c>
      <c r="F991" s="9" t="s">
        <v>20</v>
      </c>
      <c r="G991" t="s">
        <v>21</v>
      </c>
      <c r="H991" t="str">
        <f>"34154"</f>
        <v>34154</v>
      </c>
      <c r="I991" t="str">
        <f>"ANGEL FIRE &amp; SAFETY"</f>
        <v>ANGEL FIRE &amp; SAFETY</v>
      </c>
    </row>
    <row r="992" spans="1:9" x14ac:dyDescent="0.25">
      <c r="A992" s="6">
        <v>44551</v>
      </c>
      <c r="B992" t="s">
        <v>26</v>
      </c>
      <c r="C992">
        <v>68399</v>
      </c>
      <c r="D992" t="s">
        <v>195</v>
      </c>
      <c r="E992" s="7">
        <v>1399.46</v>
      </c>
      <c r="F992" s="9" t="s">
        <v>20</v>
      </c>
      <c r="G992" t="s">
        <v>21</v>
      </c>
      <c r="H992" t="str">
        <f>"INV-AIS-0004212"</f>
        <v>INV-AIS-0004212</v>
      </c>
      <c r="I992" t="str">
        <f>"ARISTA INFORMATION SYSTEMS  IN"</f>
        <v>ARISTA INFORMATION SYSTEMS  IN</v>
      </c>
    </row>
    <row r="993" spans="1:9" x14ac:dyDescent="0.25">
      <c r="A993" s="6">
        <v>44551</v>
      </c>
      <c r="B993" t="s">
        <v>26</v>
      </c>
      <c r="C993">
        <v>68400</v>
      </c>
      <c r="D993" t="s">
        <v>821</v>
      </c>
      <c r="E993" s="7">
        <v>1101.93</v>
      </c>
      <c r="F993" s="9" t="s">
        <v>20</v>
      </c>
      <c r="G993" t="s">
        <v>21</v>
      </c>
      <c r="H993" t="str">
        <f>"NSI13158"</f>
        <v>NSI13158</v>
      </c>
      <c r="I993" t="str">
        <f>"WW LIFT STATION #2 SUPPLI"</f>
        <v>WW LIFT STATION #2 SUPPLI</v>
      </c>
    </row>
    <row r="994" spans="1:9" x14ac:dyDescent="0.25">
      <c r="A994" s="6">
        <v>44551</v>
      </c>
      <c r="B994" t="s">
        <v>26</v>
      </c>
      <c r="C994">
        <v>68401</v>
      </c>
      <c r="D994" t="s">
        <v>115</v>
      </c>
      <c r="E994" s="7">
        <v>130</v>
      </c>
      <c r="F994" s="9" t="s">
        <v>20</v>
      </c>
      <c r="G994" t="s">
        <v>21</v>
      </c>
      <c r="H994" t="str">
        <f>"3547153785"</f>
        <v>3547153785</v>
      </c>
      <c r="I994" t="str">
        <f>"2017 FORD - PD"</f>
        <v>2017 FORD - PD</v>
      </c>
    </row>
    <row r="995" spans="1:9" x14ac:dyDescent="0.25">
      <c r="F995" s="9" t="s">
        <v>20</v>
      </c>
      <c r="G995" t="s">
        <v>21</v>
      </c>
      <c r="H995" t="str">
        <f>"3547155229"</f>
        <v>3547155229</v>
      </c>
      <c r="I995" t="str">
        <f>"MOBIL 1 FS 0W20"</f>
        <v>MOBIL 1 FS 0W20</v>
      </c>
    </row>
    <row r="996" spans="1:9" x14ac:dyDescent="0.25">
      <c r="F996" s="9" t="s">
        <v>20</v>
      </c>
      <c r="G996" t="s">
        <v>21</v>
      </c>
      <c r="H996" t="str">
        <f>"3547156412"</f>
        <v>3547156412</v>
      </c>
      <c r="I996" t="str">
        <f>"AUTOZONE"</f>
        <v>AUTOZONE</v>
      </c>
    </row>
    <row r="997" spans="1:9" x14ac:dyDescent="0.25">
      <c r="A997" s="6">
        <v>44551</v>
      </c>
      <c r="B997" t="s">
        <v>26</v>
      </c>
      <c r="C997">
        <v>68402</v>
      </c>
      <c r="D997" t="s">
        <v>836</v>
      </c>
      <c r="E997" s="7">
        <v>6224.76</v>
      </c>
      <c r="F997" s="9" t="s">
        <v>20</v>
      </c>
      <c r="G997" t="s">
        <v>21</v>
      </c>
      <c r="H997" t="str">
        <f>"80392"</f>
        <v>80392</v>
      </c>
      <c r="I997" t="str">
        <f>"BARCOM TECHNOLOGY SOLUTIONS  I"</f>
        <v>BARCOM TECHNOLOGY SOLUTIONS  I</v>
      </c>
    </row>
    <row r="998" spans="1:9" x14ac:dyDescent="0.25">
      <c r="F998" s="9" t="s">
        <v>20</v>
      </c>
      <c r="G998" t="s">
        <v>21</v>
      </c>
      <c r="H998" t="str">
        <f>"80393"</f>
        <v>80393</v>
      </c>
      <c r="I998" t="str">
        <f>"BARCOM TECHNOLOGY SOLUTIONS  I"</f>
        <v>BARCOM TECHNOLOGY SOLUTIONS  I</v>
      </c>
    </row>
    <row r="999" spans="1:9" x14ac:dyDescent="0.25">
      <c r="F999" s="9" t="s">
        <v>20</v>
      </c>
      <c r="G999" t="s">
        <v>21</v>
      </c>
      <c r="H999" t="str">
        <f>"81037"</f>
        <v>81037</v>
      </c>
      <c r="I999" t="str">
        <f>"BARCOM TECHNOLOGY SOLUTIONS  I"</f>
        <v>BARCOM TECHNOLOGY SOLUTIONS  I</v>
      </c>
    </row>
    <row r="1000" spans="1:9" x14ac:dyDescent="0.25">
      <c r="F1000" s="9" t="s">
        <v>20</v>
      </c>
      <c r="G1000" t="s">
        <v>21</v>
      </c>
      <c r="H1000" t="str">
        <f>"81038"</f>
        <v>81038</v>
      </c>
      <c r="I1000" t="str">
        <f>"BARCOM TECHNOLOGY SOLUTIONS  I"</f>
        <v>BARCOM TECHNOLOGY SOLUTIONS  I</v>
      </c>
    </row>
    <row r="1001" spans="1:9" x14ac:dyDescent="0.25">
      <c r="A1001" s="6">
        <v>44551</v>
      </c>
      <c r="B1001" t="s">
        <v>26</v>
      </c>
      <c r="C1001">
        <v>68404</v>
      </c>
      <c r="D1001" t="s">
        <v>63</v>
      </c>
      <c r="E1001" s="7">
        <v>475</v>
      </c>
      <c r="F1001" s="9" t="s">
        <v>20</v>
      </c>
      <c r="G1001" t="s">
        <v>21</v>
      </c>
      <c r="H1001" t="str">
        <f>"8405448143"</f>
        <v>8405448143</v>
      </c>
      <c r="I1001" t="str">
        <f>"CINTAS CORPORATION"</f>
        <v>CINTAS CORPORATION</v>
      </c>
    </row>
    <row r="1002" spans="1:9" x14ac:dyDescent="0.25">
      <c r="A1002" s="6">
        <v>44551</v>
      </c>
      <c r="B1002" t="s">
        <v>26</v>
      </c>
      <c r="C1002">
        <v>68405</v>
      </c>
      <c r="D1002" t="s">
        <v>71</v>
      </c>
      <c r="E1002" s="7">
        <v>2223.63</v>
      </c>
      <c r="F1002" s="9" t="s">
        <v>20</v>
      </c>
      <c r="G1002" t="s">
        <v>21</v>
      </c>
      <c r="H1002" t="str">
        <f>"408422666"</f>
        <v>408422666</v>
      </c>
      <c r="I1002" t="str">
        <f t="shared" ref="I1002:I1018" si="25">"CINTAS CORPORATION #087"</f>
        <v>CINTAS CORPORATION #087</v>
      </c>
    </row>
    <row r="1003" spans="1:9" x14ac:dyDescent="0.25">
      <c r="F1003" s="9" t="s">
        <v>20</v>
      </c>
      <c r="G1003" t="s">
        <v>21</v>
      </c>
      <c r="H1003" t="str">
        <f>"4085162722"</f>
        <v>4085162722</v>
      </c>
      <c r="I1003" t="str">
        <f t="shared" si="25"/>
        <v>CINTAS CORPORATION #087</v>
      </c>
    </row>
    <row r="1004" spans="1:9" x14ac:dyDescent="0.25">
      <c r="F1004" s="9" t="s">
        <v>20</v>
      </c>
      <c r="G1004" t="s">
        <v>21</v>
      </c>
      <c r="H1004" t="str">
        <f>"4100341206"</f>
        <v>4100341206</v>
      </c>
      <c r="I1004" t="str">
        <f t="shared" si="25"/>
        <v>CINTAS CORPORATION #087</v>
      </c>
    </row>
    <row r="1005" spans="1:9" x14ac:dyDescent="0.25">
      <c r="F1005" s="9" t="s">
        <v>20</v>
      </c>
      <c r="G1005" t="s">
        <v>21</v>
      </c>
      <c r="H1005" t="str">
        <f>"4100341221"</f>
        <v>4100341221</v>
      </c>
      <c r="I1005" t="str">
        <f t="shared" si="25"/>
        <v>CINTAS CORPORATION #087</v>
      </c>
    </row>
    <row r="1006" spans="1:9" x14ac:dyDescent="0.25">
      <c r="F1006" s="9" t="s">
        <v>20</v>
      </c>
      <c r="G1006" t="s">
        <v>21</v>
      </c>
      <c r="H1006" t="str">
        <f>"4100341247"</f>
        <v>4100341247</v>
      </c>
      <c r="I1006" t="str">
        <f t="shared" si="25"/>
        <v>CINTAS CORPORATION #087</v>
      </c>
    </row>
    <row r="1007" spans="1:9" x14ac:dyDescent="0.25">
      <c r="F1007" s="9" t="s">
        <v>20</v>
      </c>
      <c r="G1007" t="s">
        <v>21</v>
      </c>
      <c r="H1007" t="str">
        <f>"4103097559"</f>
        <v>4103097559</v>
      </c>
      <c r="I1007" t="str">
        <f t="shared" si="25"/>
        <v>CINTAS CORPORATION #087</v>
      </c>
    </row>
    <row r="1008" spans="1:9" x14ac:dyDescent="0.25">
      <c r="F1008" s="9" t="s">
        <v>20</v>
      </c>
      <c r="G1008" t="s">
        <v>21</v>
      </c>
      <c r="H1008" t="str">
        <f>"4103750439"</f>
        <v>4103750439</v>
      </c>
      <c r="I1008" t="str">
        <f t="shared" si="25"/>
        <v>CINTAS CORPORATION #087</v>
      </c>
    </row>
    <row r="1009" spans="1:9" x14ac:dyDescent="0.25">
      <c r="F1009" s="9" t="s">
        <v>20</v>
      </c>
      <c r="G1009" t="s">
        <v>21</v>
      </c>
      <c r="H1009" t="str">
        <f>"4103750456"</f>
        <v>4103750456</v>
      </c>
      <c r="I1009" t="str">
        <f t="shared" si="25"/>
        <v>CINTAS CORPORATION #087</v>
      </c>
    </row>
    <row r="1010" spans="1:9" x14ac:dyDescent="0.25">
      <c r="F1010" s="9" t="s">
        <v>20</v>
      </c>
      <c r="G1010" t="s">
        <v>21</v>
      </c>
      <c r="H1010" t="str">
        <f>"4103750499"</f>
        <v>4103750499</v>
      </c>
      <c r="I1010" t="str">
        <f t="shared" si="25"/>
        <v>CINTAS CORPORATION #087</v>
      </c>
    </row>
    <row r="1011" spans="1:9" x14ac:dyDescent="0.25">
      <c r="F1011" s="9" t="s">
        <v>20</v>
      </c>
      <c r="G1011" t="s">
        <v>21</v>
      </c>
      <c r="H1011" t="str">
        <f>"4103750554"</f>
        <v>4103750554</v>
      </c>
      <c r="I1011" t="str">
        <f t="shared" si="25"/>
        <v>CINTAS CORPORATION #087</v>
      </c>
    </row>
    <row r="1012" spans="1:9" x14ac:dyDescent="0.25">
      <c r="F1012" s="9" t="s">
        <v>20</v>
      </c>
      <c r="G1012" t="s">
        <v>21</v>
      </c>
      <c r="H1012" t="str">
        <f>"4103750598"</f>
        <v>4103750598</v>
      </c>
      <c r="I1012" t="str">
        <f t="shared" si="25"/>
        <v>CINTAS CORPORATION #087</v>
      </c>
    </row>
    <row r="1013" spans="1:9" x14ac:dyDescent="0.25">
      <c r="F1013" s="9" t="s">
        <v>20</v>
      </c>
      <c r="G1013" t="s">
        <v>21</v>
      </c>
      <c r="H1013" t="str">
        <f>"4103750714"</f>
        <v>4103750714</v>
      </c>
      <c r="I1013" t="str">
        <f t="shared" si="25"/>
        <v>CINTAS CORPORATION #087</v>
      </c>
    </row>
    <row r="1014" spans="1:9" x14ac:dyDescent="0.25">
      <c r="F1014" s="9" t="s">
        <v>20</v>
      </c>
      <c r="G1014" t="s">
        <v>21</v>
      </c>
      <c r="H1014" t="str">
        <f>"4104441085"</f>
        <v>4104441085</v>
      </c>
      <c r="I1014" t="str">
        <f t="shared" si="25"/>
        <v>CINTAS CORPORATION #087</v>
      </c>
    </row>
    <row r="1015" spans="1:9" x14ac:dyDescent="0.25">
      <c r="F1015" s="9" t="s">
        <v>20</v>
      </c>
      <c r="G1015" t="s">
        <v>21</v>
      </c>
      <c r="H1015" t="str">
        <f>"4104441135"</f>
        <v>4104441135</v>
      </c>
      <c r="I1015" t="str">
        <f t="shared" si="25"/>
        <v>CINTAS CORPORATION #087</v>
      </c>
    </row>
    <row r="1016" spans="1:9" x14ac:dyDescent="0.25">
      <c r="F1016" s="9" t="s">
        <v>20</v>
      </c>
      <c r="G1016" t="s">
        <v>21</v>
      </c>
      <c r="H1016" t="str">
        <f>"4104441138"</f>
        <v>4104441138</v>
      </c>
      <c r="I1016" t="str">
        <f t="shared" si="25"/>
        <v>CINTAS CORPORATION #087</v>
      </c>
    </row>
    <row r="1017" spans="1:9" x14ac:dyDescent="0.25">
      <c r="F1017" s="9" t="s">
        <v>20</v>
      </c>
      <c r="G1017" t="s">
        <v>21</v>
      </c>
      <c r="H1017" t="str">
        <f>"4104441196"</f>
        <v>4104441196</v>
      </c>
      <c r="I1017" t="str">
        <f t="shared" si="25"/>
        <v>CINTAS CORPORATION #087</v>
      </c>
    </row>
    <row r="1018" spans="1:9" x14ac:dyDescent="0.25">
      <c r="F1018" s="9" t="s">
        <v>20</v>
      </c>
      <c r="G1018" t="s">
        <v>21</v>
      </c>
      <c r="H1018" t="str">
        <f>"4104441304"</f>
        <v>4104441304</v>
      </c>
      <c r="I1018" t="str">
        <f t="shared" si="25"/>
        <v>CINTAS CORPORATION #087</v>
      </c>
    </row>
    <row r="1019" spans="1:9" x14ac:dyDescent="0.25">
      <c r="A1019" s="6">
        <v>44551</v>
      </c>
      <c r="B1019" t="s">
        <v>26</v>
      </c>
      <c r="C1019">
        <v>68409</v>
      </c>
      <c r="D1019" t="s">
        <v>633</v>
      </c>
      <c r="E1019" s="7">
        <v>149.63999999999999</v>
      </c>
      <c r="F1019" s="9" t="s">
        <v>20</v>
      </c>
      <c r="G1019" t="s">
        <v>21</v>
      </c>
      <c r="H1019" t="str">
        <f>"0096557202"</f>
        <v>0096557202</v>
      </c>
      <c r="I1019" t="str">
        <f>"CINTAS FIRE 636525"</f>
        <v>CINTAS FIRE 636525</v>
      </c>
    </row>
    <row r="1020" spans="1:9" x14ac:dyDescent="0.25">
      <c r="A1020" s="6">
        <v>44551</v>
      </c>
      <c r="B1020" t="s">
        <v>26</v>
      </c>
      <c r="C1020">
        <v>68410</v>
      </c>
      <c r="D1020" t="s">
        <v>58</v>
      </c>
      <c r="E1020" s="7">
        <v>33</v>
      </c>
      <c r="F1020" s="9" t="s">
        <v>20</v>
      </c>
      <c r="G1020" t="s">
        <v>21</v>
      </c>
      <c r="H1020" t="str">
        <f>"657400"</f>
        <v>657400</v>
      </c>
      <c r="I1020" t="str">
        <f>"DEASON ANIMAL HOSPITAL"</f>
        <v>DEASON ANIMAL HOSPITAL</v>
      </c>
    </row>
    <row r="1021" spans="1:9" x14ac:dyDescent="0.25">
      <c r="A1021" s="6">
        <v>44551</v>
      </c>
      <c r="B1021" t="s">
        <v>26</v>
      </c>
      <c r="C1021">
        <v>68411</v>
      </c>
      <c r="D1021" t="s">
        <v>77</v>
      </c>
      <c r="E1021" s="7">
        <v>320</v>
      </c>
      <c r="F1021" s="9" t="s">
        <v>20</v>
      </c>
      <c r="G1021" t="s">
        <v>21</v>
      </c>
      <c r="H1021" t="str">
        <f>"DE85002703-21"</f>
        <v>DE85002703-21</v>
      </c>
      <c r="I1021" t="str">
        <f>"DPC INDUSTRIES  INC."</f>
        <v>DPC INDUSTRIES  INC.</v>
      </c>
    </row>
    <row r="1022" spans="1:9" x14ac:dyDescent="0.25">
      <c r="A1022" s="6">
        <v>44551</v>
      </c>
      <c r="B1022" t="s">
        <v>26</v>
      </c>
      <c r="C1022">
        <v>68412</v>
      </c>
      <c r="D1022" t="s">
        <v>910</v>
      </c>
      <c r="E1022" s="7">
        <v>195</v>
      </c>
      <c r="F1022" s="9" t="s">
        <v>20</v>
      </c>
      <c r="G1022" t="s">
        <v>21</v>
      </c>
      <c r="H1022" t="str">
        <f>"F14554"</f>
        <v>F14554</v>
      </c>
      <c r="I1022" t="str">
        <f>"FRONT DOOR REPAIR"</f>
        <v>FRONT DOOR REPAIR</v>
      </c>
    </row>
    <row r="1023" spans="1:9" x14ac:dyDescent="0.25">
      <c r="A1023" s="6">
        <v>44551</v>
      </c>
      <c r="B1023" t="s">
        <v>26</v>
      </c>
      <c r="C1023">
        <v>68413</v>
      </c>
      <c r="D1023" t="s">
        <v>143</v>
      </c>
      <c r="E1023" s="7">
        <v>398.52</v>
      </c>
      <c r="F1023" s="9" t="s">
        <v>20</v>
      </c>
      <c r="G1023" t="s">
        <v>21</v>
      </c>
      <c r="H1023" t="str">
        <f>"9402615076"</f>
        <v>9402615076</v>
      </c>
      <c r="I1023" t="str">
        <f>"200 GAL OIL"</f>
        <v>200 GAL OIL</v>
      </c>
    </row>
    <row r="1024" spans="1:9" x14ac:dyDescent="0.25">
      <c r="A1024" s="6">
        <v>44551</v>
      </c>
      <c r="B1024" t="s">
        <v>26</v>
      </c>
      <c r="C1024">
        <v>68414</v>
      </c>
      <c r="D1024" t="s">
        <v>69</v>
      </c>
      <c r="E1024" s="7">
        <v>1493.58</v>
      </c>
      <c r="F1024" s="9" t="s">
        <v>20</v>
      </c>
      <c r="G1024" t="s">
        <v>21</v>
      </c>
      <c r="H1024" t="str">
        <f>"3C14722"</f>
        <v>3C14722</v>
      </c>
      <c r="I1024" t="str">
        <f>"DAVID MARTINEZ"</f>
        <v>DAVID MARTINEZ</v>
      </c>
    </row>
    <row r="1025" spans="1:9" x14ac:dyDescent="0.25">
      <c r="F1025" s="9" t="s">
        <v>20</v>
      </c>
      <c r="G1025" t="s">
        <v>21</v>
      </c>
      <c r="H1025" t="str">
        <f>"3C14835"</f>
        <v>3C14835</v>
      </c>
      <c r="I1025" t="str">
        <f>"PARKS POLESAW"</f>
        <v>PARKS POLESAW</v>
      </c>
    </row>
    <row r="1026" spans="1:9" x14ac:dyDescent="0.25">
      <c r="A1026" s="6">
        <v>44551</v>
      </c>
      <c r="B1026" t="s">
        <v>26</v>
      </c>
      <c r="C1026">
        <v>68416</v>
      </c>
      <c r="D1026" t="s">
        <v>79</v>
      </c>
      <c r="E1026" s="7">
        <v>41.6</v>
      </c>
      <c r="F1026" s="9" t="s">
        <v>20</v>
      </c>
      <c r="G1026" t="s">
        <v>21</v>
      </c>
      <c r="H1026" t="str">
        <f>"7-591-79613"</f>
        <v>7-591-79613</v>
      </c>
      <c r="I1026" t="str">
        <f>"FEDEX"</f>
        <v>FEDEX</v>
      </c>
    </row>
    <row r="1027" spans="1:9" x14ac:dyDescent="0.25">
      <c r="A1027" s="6">
        <v>44551</v>
      </c>
      <c r="B1027" t="s">
        <v>26</v>
      </c>
      <c r="C1027">
        <v>68417</v>
      </c>
      <c r="D1027" t="s">
        <v>59</v>
      </c>
      <c r="E1027" s="7">
        <v>1772.57</v>
      </c>
      <c r="F1027" s="9" t="s">
        <v>20</v>
      </c>
      <c r="G1027" t="s">
        <v>21</v>
      </c>
      <c r="H1027" t="str">
        <f>"1145526"</f>
        <v>1145526</v>
      </c>
      <c r="I1027" t="str">
        <f>"FERGUSON WATERWORKS - MUNICIPA"</f>
        <v>FERGUSON WATERWORKS - MUNICIPA</v>
      </c>
    </row>
    <row r="1028" spans="1:9" x14ac:dyDescent="0.25">
      <c r="F1028" s="9" t="s">
        <v>20</v>
      </c>
      <c r="G1028" t="s">
        <v>21</v>
      </c>
      <c r="H1028" t="str">
        <f>"1149911"</f>
        <v>1149911</v>
      </c>
      <c r="I1028" t="str">
        <f>"MISC STOCK"</f>
        <v>MISC STOCK</v>
      </c>
    </row>
    <row r="1029" spans="1:9" x14ac:dyDescent="0.25">
      <c r="F1029" s="9" t="s">
        <v>20</v>
      </c>
      <c r="G1029" t="s">
        <v>21</v>
      </c>
      <c r="H1029" t="str">
        <f>"1151105"</f>
        <v>1151105</v>
      </c>
      <c r="I1029" t="str">
        <f>"DRAINAGE"</f>
        <v>DRAINAGE</v>
      </c>
    </row>
    <row r="1030" spans="1:9" x14ac:dyDescent="0.25">
      <c r="A1030" s="6">
        <v>44551</v>
      </c>
      <c r="B1030" t="s">
        <v>26</v>
      </c>
      <c r="C1030">
        <v>68418</v>
      </c>
      <c r="D1030" t="s">
        <v>85</v>
      </c>
      <c r="E1030" s="7">
        <v>775.9</v>
      </c>
      <c r="F1030" s="9" t="s">
        <v>20</v>
      </c>
      <c r="G1030" t="s">
        <v>21</v>
      </c>
      <c r="H1030" t="str">
        <f>"2162733 12/2021"</f>
        <v>2162733 12/2021</v>
      </c>
      <c r="I1030" t="str">
        <f>"FRONTIER"</f>
        <v>FRONTIER</v>
      </c>
    </row>
    <row r="1031" spans="1:9" x14ac:dyDescent="0.25">
      <c r="F1031" s="9" t="s">
        <v>20</v>
      </c>
      <c r="G1031" t="s">
        <v>21</v>
      </c>
      <c r="H1031" t="str">
        <f>"2162745 12/2021"</f>
        <v>2162745 12/2021</v>
      </c>
      <c r="I1031" t="str">
        <f>"FRONTIER"</f>
        <v>FRONTIER</v>
      </c>
    </row>
    <row r="1032" spans="1:9" x14ac:dyDescent="0.25">
      <c r="F1032" s="9" t="s">
        <v>20</v>
      </c>
      <c r="G1032" t="s">
        <v>21</v>
      </c>
      <c r="H1032" t="str">
        <f>"2162755 12/2021"</f>
        <v>2162755 12/2021</v>
      </c>
      <c r="I1032" t="str">
        <f>"FRONTIER"</f>
        <v>FRONTIER</v>
      </c>
    </row>
    <row r="1033" spans="1:9" x14ac:dyDescent="0.25">
      <c r="F1033" s="9" t="s">
        <v>20</v>
      </c>
      <c r="G1033" t="s">
        <v>21</v>
      </c>
      <c r="H1033" t="str">
        <f>"3932804  12/2021"</f>
        <v>3932804  12/2021</v>
      </c>
      <c r="I1033" t="str">
        <f>"FRONTIER"</f>
        <v>FRONTIER</v>
      </c>
    </row>
    <row r="1034" spans="1:9" x14ac:dyDescent="0.25">
      <c r="F1034" s="9" t="s">
        <v>20</v>
      </c>
      <c r="G1034" t="s">
        <v>21</v>
      </c>
      <c r="H1034" t="str">
        <f>"3936794  12/2021"</f>
        <v>3936794  12/2021</v>
      </c>
      <c r="I1034" t="str">
        <f>"FRONTIER"</f>
        <v>FRONTIER</v>
      </c>
    </row>
    <row r="1035" spans="1:9" x14ac:dyDescent="0.25">
      <c r="A1035" s="6">
        <v>44551</v>
      </c>
      <c r="B1035" t="s">
        <v>26</v>
      </c>
      <c r="C1035">
        <v>68420</v>
      </c>
      <c r="D1035" t="s">
        <v>398</v>
      </c>
      <c r="E1035" s="7">
        <v>825</v>
      </c>
      <c r="F1035" s="9" t="s">
        <v>20</v>
      </c>
      <c r="G1035" t="s">
        <v>21</v>
      </c>
      <c r="H1035" t="str">
        <f>"2243"</f>
        <v>2243</v>
      </c>
      <c r="I1035" t="str">
        <f>"INTERCEPTOR TECHNOLOGY GROUP L"</f>
        <v>INTERCEPTOR TECHNOLOGY GROUP L</v>
      </c>
    </row>
    <row r="1036" spans="1:9" x14ac:dyDescent="0.25">
      <c r="F1036" s="9" t="s">
        <v>20</v>
      </c>
      <c r="G1036" t="s">
        <v>21</v>
      </c>
      <c r="H1036" t="str">
        <f>"2250"</f>
        <v>2250</v>
      </c>
      <c r="I1036" t="str">
        <f>"INTERCEPTOR TECHNOLOGY GROUP L"</f>
        <v>INTERCEPTOR TECHNOLOGY GROUP L</v>
      </c>
    </row>
    <row r="1037" spans="1:9" x14ac:dyDescent="0.25">
      <c r="A1037" s="6">
        <v>44551</v>
      </c>
      <c r="B1037" t="s">
        <v>26</v>
      </c>
      <c r="C1037">
        <v>68421</v>
      </c>
      <c r="D1037" t="s">
        <v>125</v>
      </c>
      <c r="E1037" s="7">
        <v>1350</v>
      </c>
      <c r="F1037" s="9" t="s">
        <v>20</v>
      </c>
      <c r="G1037" t="s">
        <v>21</v>
      </c>
      <c r="H1037" t="str">
        <f>"21-1050 NOV.2021"</f>
        <v>21-1050 NOV.2021</v>
      </c>
      <c r="I1037" t="str">
        <f>"INTREPID SURVEYING CORPORATION"</f>
        <v>INTREPID SURVEYING CORPORATION</v>
      </c>
    </row>
    <row r="1038" spans="1:9" x14ac:dyDescent="0.25">
      <c r="A1038" s="6">
        <v>44551</v>
      </c>
      <c r="B1038" t="s">
        <v>26</v>
      </c>
      <c r="C1038">
        <v>68422</v>
      </c>
      <c r="D1038" t="s">
        <v>1147</v>
      </c>
      <c r="E1038" s="7">
        <v>2700</v>
      </c>
      <c r="F1038" s="9" t="s">
        <v>20</v>
      </c>
      <c r="G1038" t="s">
        <v>21</v>
      </c>
      <c r="H1038" t="str">
        <f>"100"</f>
        <v>100</v>
      </c>
      <c r="I1038" t="str">
        <f>"JUSTIN ROSAS"</f>
        <v>JUSTIN ROSAS</v>
      </c>
    </row>
    <row r="1039" spans="1:9" x14ac:dyDescent="0.25">
      <c r="A1039" s="6">
        <v>44551</v>
      </c>
      <c r="B1039" t="s">
        <v>26</v>
      </c>
      <c r="C1039">
        <v>68423</v>
      </c>
      <c r="D1039" t="s">
        <v>560</v>
      </c>
      <c r="E1039" s="7">
        <v>381.6</v>
      </c>
      <c r="F1039" s="9" t="s">
        <v>20</v>
      </c>
      <c r="G1039" t="s">
        <v>21</v>
      </c>
      <c r="H1039" t="str">
        <f>"WS01359"</f>
        <v>WS01359</v>
      </c>
      <c r="I1039" t="str">
        <f>"CAMERA REPAIR"</f>
        <v>CAMERA REPAIR</v>
      </c>
    </row>
    <row r="1040" spans="1:9" x14ac:dyDescent="0.25">
      <c r="A1040" s="6">
        <v>44551</v>
      </c>
      <c r="B1040" t="s">
        <v>26</v>
      </c>
      <c r="C1040">
        <v>68424</v>
      </c>
      <c r="D1040" t="s">
        <v>328</v>
      </c>
      <c r="E1040" s="7">
        <v>1250</v>
      </c>
      <c r="F1040" s="9" t="s">
        <v>20</v>
      </c>
      <c r="G1040" t="s">
        <v>21</v>
      </c>
      <c r="H1040" t="str">
        <f>"7021379"</f>
        <v>7021379</v>
      </c>
      <c r="I1040" t="str">
        <f>"KOLOGIK"</f>
        <v>KOLOGIK</v>
      </c>
    </row>
    <row r="1041" spans="1:9" x14ac:dyDescent="0.25">
      <c r="A1041" s="6">
        <v>44551</v>
      </c>
      <c r="B1041" t="s">
        <v>26</v>
      </c>
      <c r="C1041">
        <v>68425</v>
      </c>
      <c r="D1041" t="s">
        <v>282</v>
      </c>
      <c r="E1041" s="7">
        <v>3200</v>
      </c>
      <c r="F1041" s="9" t="s">
        <v>20</v>
      </c>
      <c r="G1041" t="s">
        <v>21</v>
      </c>
      <c r="H1041" t="str">
        <f>"4246"</f>
        <v>4246</v>
      </c>
      <c r="I1041" t="str">
        <f>"LANGFORD COMMUNITY MANAGEMENT"</f>
        <v>LANGFORD COMMUNITY MANAGEMENT</v>
      </c>
    </row>
    <row r="1042" spans="1:9" x14ac:dyDescent="0.25">
      <c r="A1042" s="6">
        <v>44551</v>
      </c>
      <c r="B1042" t="s">
        <v>26</v>
      </c>
      <c r="C1042">
        <v>68426</v>
      </c>
      <c r="D1042" t="s">
        <v>105</v>
      </c>
      <c r="E1042" s="7">
        <v>7</v>
      </c>
      <c r="F1042" s="9" t="s">
        <v>20</v>
      </c>
      <c r="G1042" t="s">
        <v>21</v>
      </c>
      <c r="H1042" t="str">
        <f>"406872"</f>
        <v>406872</v>
      </c>
      <c r="I1042" t="str">
        <f>"PD #339 INSPECTION"</f>
        <v>PD #339 INSPECTION</v>
      </c>
    </row>
    <row r="1043" spans="1:9" x14ac:dyDescent="0.25">
      <c r="A1043" s="6">
        <v>44551</v>
      </c>
      <c r="B1043" t="s">
        <v>26</v>
      </c>
      <c r="C1043">
        <v>68427</v>
      </c>
      <c r="D1043" t="s">
        <v>824</v>
      </c>
      <c r="E1043" s="7">
        <v>99.5</v>
      </c>
      <c r="F1043" s="9" t="s">
        <v>20</v>
      </c>
      <c r="G1043" t="s">
        <v>21</v>
      </c>
      <c r="H1043" t="str">
        <f>"12/17-18/2021"</f>
        <v>12/17-18/2021</v>
      </c>
      <c r="I1043" t="str">
        <f>"MALLORY R. NELSON"</f>
        <v>MALLORY R. NELSON</v>
      </c>
    </row>
    <row r="1044" spans="1:9" x14ac:dyDescent="0.25">
      <c r="A1044" s="6">
        <v>44551</v>
      </c>
      <c r="B1044" t="s">
        <v>26</v>
      </c>
      <c r="C1044">
        <v>68428</v>
      </c>
      <c r="D1044" t="s">
        <v>345</v>
      </c>
      <c r="E1044" s="7">
        <v>275</v>
      </c>
      <c r="F1044" s="9" t="s">
        <v>20</v>
      </c>
      <c r="G1044" t="s">
        <v>21</v>
      </c>
      <c r="H1044" t="str">
        <f>"12/20/2021"</f>
        <v>12/20/2021</v>
      </c>
      <c r="I1044" t="str">
        <f>"MICHAEL ISAAC MARTINEZ"</f>
        <v>MICHAEL ISAAC MARTINEZ</v>
      </c>
    </row>
    <row r="1045" spans="1:9" x14ac:dyDescent="0.25">
      <c r="A1045" s="6">
        <v>44551</v>
      </c>
      <c r="B1045" t="s">
        <v>26</v>
      </c>
      <c r="C1045">
        <v>68429</v>
      </c>
      <c r="D1045" t="s">
        <v>1140</v>
      </c>
      <c r="E1045" s="7">
        <v>69.5</v>
      </c>
      <c r="F1045" s="9" t="s">
        <v>20</v>
      </c>
      <c r="G1045" t="s">
        <v>21</v>
      </c>
      <c r="H1045" t="str">
        <f>"12/18/2021"</f>
        <v>12/18/2021</v>
      </c>
      <c r="I1045" t="str">
        <f>"MIRANDA ESTRADA"</f>
        <v>MIRANDA ESTRADA</v>
      </c>
    </row>
    <row r="1046" spans="1:9" x14ac:dyDescent="0.25">
      <c r="A1046" s="6">
        <v>44551</v>
      </c>
      <c r="B1046" t="s">
        <v>26</v>
      </c>
      <c r="C1046">
        <v>68430</v>
      </c>
      <c r="D1046" t="s">
        <v>369</v>
      </c>
      <c r="E1046" s="7">
        <v>1295</v>
      </c>
      <c r="F1046" s="9" t="s">
        <v>20</v>
      </c>
      <c r="G1046" t="s">
        <v>21</v>
      </c>
      <c r="H1046" t="str">
        <f>"00367752"</f>
        <v>00367752</v>
      </c>
      <c r="I1046" t="str">
        <f>"MUNICODE"</f>
        <v>MUNICODE</v>
      </c>
    </row>
    <row r="1047" spans="1:9" x14ac:dyDescent="0.25">
      <c r="A1047" s="6">
        <v>44551</v>
      </c>
      <c r="B1047" t="s">
        <v>26</v>
      </c>
      <c r="C1047">
        <v>68431</v>
      </c>
      <c r="D1047" t="s">
        <v>123</v>
      </c>
      <c r="E1047" s="7">
        <v>50.48</v>
      </c>
      <c r="F1047" s="9" t="s">
        <v>20</v>
      </c>
      <c r="G1047" t="s">
        <v>21</v>
      </c>
      <c r="H1047" t="str">
        <f>"210039716001"</f>
        <v>210039716001</v>
      </c>
      <c r="I1047" t="str">
        <f>"OFFICE DEPOT  INC."</f>
        <v>OFFICE DEPOT  INC.</v>
      </c>
    </row>
    <row r="1048" spans="1:9" x14ac:dyDescent="0.25">
      <c r="F1048" s="9" t="s">
        <v>20</v>
      </c>
      <c r="G1048" t="s">
        <v>21</v>
      </c>
      <c r="H1048" t="str">
        <f>"210202547001"</f>
        <v>210202547001</v>
      </c>
      <c r="I1048" t="str">
        <f>"OFFICE DEPOT  INC."</f>
        <v>OFFICE DEPOT  INC.</v>
      </c>
    </row>
    <row r="1049" spans="1:9" x14ac:dyDescent="0.25">
      <c r="A1049" s="6">
        <v>44551</v>
      </c>
      <c r="B1049" t="s">
        <v>26</v>
      </c>
      <c r="C1049">
        <v>68432</v>
      </c>
      <c r="D1049" t="s">
        <v>137</v>
      </c>
      <c r="E1049" s="7">
        <v>51.95</v>
      </c>
      <c r="F1049" s="9" t="s">
        <v>20</v>
      </c>
      <c r="G1049" t="s">
        <v>21</v>
      </c>
      <c r="H1049" t="str">
        <f>"31696"</f>
        <v>31696</v>
      </c>
      <c r="I1049" t="str">
        <f>"OMNIBUS-M  INC.D.B.A."</f>
        <v>OMNIBUS-M  INC.D.B.A.</v>
      </c>
    </row>
    <row r="1050" spans="1:9" x14ac:dyDescent="0.25">
      <c r="A1050" s="6">
        <v>44551</v>
      </c>
      <c r="B1050" t="s">
        <v>26</v>
      </c>
      <c r="C1050">
        <v>68433</v>
      </c>
      <c r="D1050" t="s">
        <v>166</v>
      </c>
      <c r="E1050" s="7">
        <v>62.52</v>
      </c>
      <c r="F1050" s="9" t="s">
        <v>20</v>
      </c>
      <c r="G1050" t="s">
        <v>21</v>
      </c>
      <c r="H1050" t="str">
        <f>"9567 12/30/2021"</f>
        <v>9567 12/30/2021</v>
      </c>
      <c r="I1050" t="str">
        <f>"PITNEY BOWES PURCHASE POWER"</f>
        <v>PITNEY BOWES PURCHASE POWER</v>
      </c>
    </row>
    <row r="1051" spans="1:9" x14ac:dyDescent="0.25">
      <c r="A1051" s="6">
        <v>44551</v>
      </c>
      <c r="B1051" t="s">
        <v>26</v>
      </c>
      <c r="C1051">
        <v>68434</v>
      </c>
      <c r="D1051" t="s">
        <v>528</v>
      </c>
      <c r="E1051" s="7">
        <v>251.16</v>
      </c>
      <c r="F1051" s="9" t="s">
        <v>20</v>
      </c>
      <c r="G1051" t="s">
        <v>21</v>
      </c>
      <c r="H1051" t="str">
        <f>"10714863"</f>
        <v>10714863</v>
      </c>
      <c r="I1051" t="str">
        <f>"PROSTAR SERVICES INC"</f>
        <v>PROSTAR SERVICES INC</v>
      </c>
    </row>
    <row r="1052" spans="1:9" x14ac:dyDescent="0.25">
      <c r="A1052" s="6">
        <v>44551</v>
      </c>
      <c r="B1052" t="s">
        <v>26</v>
      </c>
      <c r="C1052">
        <v>68435</v>
      </c>
      <c r="D1052" t="s">
        <v>554</v>
      </c>
      <c r="E1052" s="7">
        <v>405</v>
      </c>
      <c r="F1052" s="9" t="s">
        <v>20</v>
      </c>
      <c r="G1052" t="s">
        <v>21</v>
      </c>
      <c r="H1052" t="str">
        <f>"CONTR. PAYOUT"</f>
        <v>CONTR. PAYOUT</v>
      </c>
      <c r="I1052" t="str">
        <f>"TEXAS WIRED MUSIC"</f>
        <v>TEXAS WIRED MUSIC</v>
      </c>
    </row>
    <row r="1053" spans="1:9" x14ac:dyDescent="0.25">
      <c r="A1053" s="6">
        <v>44551</v>
      </c>
      <c r="B1053" t="s">
        <v>26</v>
      </c>
      <c r="C1053">
        <v>68436</v>
      </c>
      <c r="D1053" t="s">
        <v>644</v>
      </c>
      <c r="E1053" s="7">
        <v>612.37</v>
      </c>
      <c r="F1053" s="9" t="s">
        <v>20</v>
      </c>
      <c r="G1053" t="s">
        <v>21</v>
      </c>
      <c r="H1053" t="str">
        <f>"8213673556"</f>
        <v>8213673556</v>
      </c>
      <c r="I1053" t="str">
        <f t="shared" ref="I1053:I1058" si="26">"UNIFIRST CORPORATION"</f>
        <v>UNIFIRST CORPORATION</v>
      </c>
    </row>
    <row r="1054" spans="1:9" x14ac:dyDescent="0.25">
      <c r="F1054" s="9" t="s">
        <v>20</v>
      </c>
      <c r="G1054" t="s">
        <v>21</v>
      </c>
      <c r="H1054" t="str">
        <f>"8213673557"</f>
        <v>8213673557</v>
      </c>
      <c r="I1054" t="str">
        <f t="shared" si="26"/>
        <v>UNIFIRST CORPORATION</v>
      </c>
    </row>
    <row r="1055" spans="1:9" x14ac:dyDescent="0.25">
      <c r="F1055" s="9" t="s">
        <v>20</v>
      </c>
      <c r="G1055" t="s">
        <v>21</v>
      </c>
      <c r="H1055" t="str">
        <f>"8213673558"</f>
        <v>8213673558</v>
      </c>
      <c r="I1055" t="str">
        <f t="shared" si="26"/>
        <v>UNIFIRST CORPORATION</v>
      </c>
    </row>
    <row r="1056" spans="1:9" x14ac:dyDescent="0.25">
      <c r="F1056" s="9" t="s">
        <v>20</v>
      </c>
      <c r="G1056" t="s">
        <v>21</v>
      </c>
      <c r="H1056" t="str">
        <f>"8213673559"</f>
        <v>8213673559</v>
      </c>
      <c r="I1056" t="str">
        <f t="shared" si="26"/>
        <v>UNIFIRST CORPORATION</v>
      </c>
    </row>
    <row r="1057" spans="1:9" x14ac:dyDescent="0.25">
      <c r="F1057" s="9" t="s">
        <v>20</v>
      </c>
      <c r="G1057" t="s">
        <v>21</v>
      </c>
      <c r="H1057" t="str">
        <f>"8213673561"</f>
        <v>8213673561</v>
      </c>
      <c r="I1057" t="str">
        <f t="shared" si="26"/>
        <v>UNIFIRST CORPORATION</v>
      </c>
    </row>
    <row r="1058" spans="1:9" x14ac:dyDescent="0.25">
      <c r="F1058" s="9" t="s">
        <v>20</v>
      </c>
      <c r="G1058" t="s">
        <v>21</v>
      </c>
      <c r="H1058" t="str">
        <f>"8213673562"</f>
        <v>8213673562</v>
      </c>
      <c r="I1058" t="str">
        <f t="shared" si="26"/>
        <v>UNIFIRST CORPORATION</v>
      </c>
    </row>
    <row r="1059" spans="1:9" x14ac:dyDescent="0.25">
      <c r="A1059" s="6">
        <v>44551</v>
      </c>
      <c r="B1059" t="s">
        <v>26</v>
      </c>
      <c r="C1059">
        <v>68438</v>
      </c>
      <c r="D1059" t="s">
        <v>203</v>
      </c>
      <c r="E1059" s="7">
        <v>131.19</v>
      </c>
      <c r="F1059" s="9" t="s">
        <v>20</v>
      </c>
      <c r="G1059" t="s">
        <v>21</v>
      </c>
      <c r="H1059" t="str">
        <f>"810439"</f>
        <v>810439</v>
      </c>
      <c r="I1059" t="str">
        <f>"WWTP SUPPLIES"</f>
        <v>WWTP SUPPLIES</v>
      </c>
    </row>
    <row r="1060" spans="1:9" x14ac:dyDescent="0.25">
      <c r="A1060" s="6">
        <v>44551</v>
      </c>
      <c r="B1060" t="s">
        <v>26</v>
      </c>
      <c r="C1060">
        <v>68439</v>
      </c>
      <c r="D1060" t="s">
        <v>122</v>
      </c>
      <c r="E1060" s="7">
        <v>10</v>
      </c>
      <c r="F1060" s="9" t="s">
        <v>20</v>
      </c>
      <c r="G1060" t="s">
        <v>21</v>
      </c>
      <c r="H1060" t="str">
        <f>"016986"</f>
        <v>016986</v>
      </c>
      <c r="I1060" t="str">
        <f>"VILLA TIRES"</f>
        <v>VILLA TIRES</v>
      </c>
    </row>
    <row r="1061" spans="1:9" x14ac:dyDescent="0.25">
      <c r="A1061" s="6">
        <v>44551</v>
      </c>
      <c r="B1061" t="s">
        <v>26</v>
      </c>
      <c r="C1061">
        <v>68440</v>
      </c>
      <c r="D1061" t="s">
        <v>1136</v>
      </c>
      <c r="E1061" s="7">
        <v>500</v>
      </c>
      <c r="F1061" s="9" t="s">
        <v>20</v>
      </c>
      <c r="G1061" t="s">
        <v>21</v>
      </c>
      <c r="H1061" t="str">
        <f>"INV0086"</f>
        <v>INV0086</v>
      </c>
      <c r="I1061" t="str">
        <f>"LIGHTNING PROGRAM"</f>
        <v>LIGHTNING PROGRAM</v>
      </c>
    </row>
    <row r="1062" spans="1:9" x14ac:dyDescent="0.25">
      <c r="A1062" s="6">
        <v>44551</v>
      </c>
      <c r="B1062" t="s">
        <v>26</v>
      </c>
      <c r="C1062">
        <v>68441</v>
      </c>
      <c r="D1062" t="s">
        <v>85</v>
      </c>
      <c r="E1062" s="7">
        <v>2556.66</v>
      </c>
      <c r="F1062" s="9" t="s">
        <v>20</v>
      </c>
      <c r="G1062" t="s">
        <v>21</v>
      </c>
      <c r="H1062" t="str">
        <f>"3934055 12/2021"</f>
        <v>3934055 12/2021</v>
      </c>
      <c r="I1062" t="str">
        <f>"FRONTIER"</f>
        <v>FRONTIER</v>
      </c>
    </row>
    <row r="1063" spans="1:9" x14ac:dyDescent="0.25">
      <c r="F1063" s="9" t="s">
        <v>20</v>
      </c>
      <c r="G1063" t="s">
        <v>21</v>
      </c>
      <c r="H1063" t="str">
        <f>"8301970025 12/21"</f>
        <v>8301970025 12/21</v>
      </c>
      <c r="I1063" t="str">
        <f>"FRONTIER"</f>
        <v>FRONTIER</v>
      </c>
    </row>
    <row r="1064" spans="1:9" x14ac:dyDescent="0.25">
      <c r="F1064" s="9" t="s">
        <v>20</v>
      </c>
      <c r="G1064" t="s">
        <v>21</v>
      </c>
      <c r="H1064" t="str">
        <f>"8301970102 12/21"</f>
        <v>8301970102 12/21</v>
      </c>
      <c r="I1064" t="str">
        <f>"FRONTIER"</f>
        <v>FRONTIER</v>
      </c>
    </row>
    <row r="1065" spans="1:9" x14ac:dyDescent="0.25">
      <c r="A1065" s="6">
        <v>44552</v>
      </c>
      <c r="B1065" t="s">
        <v>26</v>
      </c>
      <c r="C1065">
        <v>68443</v>
      </c>
      <c r="D1065" t="s">
        <v>71</v>
      </c>
      <c r="E1065" s="7">
        <v>262.8</v>
      </c>
      <c r="F1065" s="9" t="s">
        <v>20</v>
      </c>
      <c r="G1065" t="s">
        <v>21</v>
      </c>
      <c r="H1065" t="str">
        <f>"4093653563"</f>
        <v>4093653563</v>
      </c>
      <c r="I1065" t="str">
        <f>"CINTAS CORPORATION #087"</f>
        <v>CINTAS CORPORATION #087</v>
      </c>
    </row>
    <row r="1066" spans="1:9" x14ac:dyDescent="0.25">
      <c r="A1066" s="6">
        <v>44552</v>
      </c>
      <c r="B1066" t="s">
        <v>26</v>
      </c>
      <c r="C1066">
        <v>68444</v>
      </c>
      <c r="D1066" t="s">
        <v>71</v>
      </c>
      <c r="E1066" s="7">
        <v>155.83000000000001</v>
      </c>
      <c r="F1066" s="9" t="s">
        <v>20</v>
      </c>
      <c r="G1066" t="s">
        <v>21</v>
      </c>
      <c r="H1066" t="str">
        <f>"4100341300"</f>
        <v>4100341300</v>
      </c>
      <c r="I1066" t="str">
        <f>"CINTAS CORPORATION #087"</f>
        <v>CINTAS CORPORATION #087</v>
      </c>
    </row>
    <row r="1067" spans="1:9" x14ac:dyDescent="0.25">
      <c r="A1067" s="6">
        <v>44558</v>
      </c>
      <c r="B1067" t="s">
        <v>26</v>
      </c>
      <c r="C1067">
        <v>68445</v>
      </c>
      <c r="D1067" t="s">
        <v>238</v>
      </c>
      <c r="E1067" s="7">
        <v>510</v>
      </c>
      <c r="F1067" s="9" t="s">
        <v>20</v>
      </c>
      <c r="G1067" t="s">
        <v>21</v>
      </c>
      <c r="H1067" t="str">
        <f>"3427"</f>
        <v>3427</v>
      </c>
      <c r="I1067" t="str">
        <f>"TESTING BACKFLOW TEST"</f>
        <v>TESTING BACKFLOW TEST</v>
      </c>
    </row>
    <row r="1068" spans="1:9" x14ac:dyDescent="0.25">
      <c r="A1068" s="6">
        <v>44558</v>
      </c>
      <c r="B1068" t="s">
        <v>26</v>
      </c>
      <c r="C1068">
        <v>68446</v>
      </c>
      <c r="D1068" t="s">
        <v>1074</v>
      </c>
      <c r="E1068" s="7">
        <v>428.47</v>
      </c>
      <c r="F1068" s="9" t="s">
        <v>20</v>
      </c>
      <c r="G1068" t="s">
        <v>21</v>
      </c>
      <c r="H1068" t="str">
        <f>"1CCX-PMTM-M79Y"</f>
        <v>1CCX-PMTM-M79Y</v>
      </c>
      <c r="I1068" t="str">
        <f>"AMAZON CAPITAL SERVICES"</f>
        <v>AMAZON CAPITAL SERVICES</v>
      </c>
    </row>
    <row r="1069" spans="1:9" x14ac:dyDescent="0.25">
      <c r="F1069" s="9" t="s">
        <v>20</v>
      </c>
      <c r="G1069" t="s">
        <v>21</v>
      </c>
      <c r="H1069" t="str">
        <f>"1Q47-VF7P-LHWM"</f>
        <v>1Q47-VF7P-LHWM</v>
      </c>
      <c r="I1069" t="str">
        <f>"AMAZON CAPITAL SERVICES"</f>
        <v>AMAZON CAPITAL SERVICES</v>
      </c>
    </row>
    <row r="1070" spans="1:9" x14ac:dyDescent="0.25">
      <c r="F1070" s="9" t="s">
        <v>20</v>
      </c>
      <c r="G1070" t="s">
        <v>21</v>
      </c>
      <c r="H1070" t="str">
        <f>"I9N7-TT-KT9Y"</f>
        <v>I9N7-TT-KT9Y</v>
      </c>
      <c r="I1070" t="str">
        <f>"AMAZON CAPITAL SERVICES"</f>
        <v>AMAZON CAPITAL SERVICES</v>
      </c>
    </row>
    <row r="1071" spans="1:9" x14ac:dyDescent="0.25">
      <c r="F1071" s="9" t="s">
        <v>20</v>
      </c>
      <c r="G1071" t="s">
        <v>21</v>
      </c>
      <c r="H1071" t="str">
        <f>"IGPY-XQN7-KG9H"</f>
        <v>IGPY-XQN7-KG9H</v>
      </c>
      <c r="I1071" t="str">
        <f>"AMAZON CAPITAL SERVICES"</f>
        <v>AMAZON CAPITAL SERVICES</v>
      </c>
    </row>
    <row r="1072" spans="1:9" x14ac:dyDescent="0.25">
      <c r="F1072" s="9" t="s">
        <v>20</v>
      </c>
      <c r="G1072" t="s">
        <v>21</v>
      </c>
      <c r="H1072" t="str">
        <f>"IQ47-VF7P-LHWM"</f>
        <v>IQ47-VF7P-LHWM</v>
      </c>
      <c r="I1072" t="str">
        <f>"OFFICE SUPPLIES"</f>
        <v>OFFICE SUPPLIES</v>
      </c>
    </row>
    <row r="1073" spans="1:9" x14ac:dyDescent="0.25">
      <c r="A1073" s="6">
        <v>44558</v>
      </c>
      <c r="B1073" t="s">
        <v>26</v>
      </c>
      <c r="C1073">
        <v>68447</v>
      </c>
      <c r="D1073" t="s">
        <v>878</v>
      </c>
      <c r="E1073" s="7">
        <v>57.73</v>
      </c>
      <c r="F1073" s="9" t="s">
        <v>20</v>
      </c>
      <c r="G1073" t="s">
        <v>21</v>
      </c>
      <c r="H1073" t="str">
        <f>"97950"</f>
        <v>97950</v>
      </c>
      <c r="I1073" t="str">
        <f>"ANIMAL CARE EQUIPMENT &amp; SERVIC"</f>
        <v>ANIMAL CARE EQUIPMENT &amp; SERVIC</v>
      </c>
    </row>
    <row r="1074" spans="1:9" x14ac:dyDescent="0.25">
      <c r="A1074" s="6">
        <v>44558</v>
      </c>
      <c r="B1074" t="s">
        <v>26</v>
      </c>
      <c r="C1074">
        <v>68448</v>
      </c>
      <c r="D1074" t="s">
        <v>83</v>
      </c>
      <c r="E1074" s="7">
        <v>1080</v>
      </c>
      <c r="F1074" s="9" t="s">
        <v>20</v>
      </c>
      <c r="G1074" t="s">
        <v>21</v>
      </c>
      <c r="H1074" t="str">
        <f>"1857661"</f>
        <v>1857661</v>
      </c>
      <c r="I1074" t="str">
        <f>"APPRIVER"</f>
        <v>APPRIVER</v>
      </c>
    </row>
    <row r="1075" spans="1:9" x14ac:dyDescent="0.25">
      <c r="A1075" s="6">
        <v>44558</v>
      </c>
      <c r="B1075" t="s">
        <v>26</v>
      </c>
      <c r="C1075">
        <v>68449</v>
      </c>
      <c r="D1075" t="s">
        <v>949</v>
      </c>
      <c r="E1075" s="7">
        <v>283.5</v>
      </c>
      <c r="F1075" s="9" t="s">
        <v>20</v>
      </c>
      <c r="G1075" t="s">
        <v>21</v>
      </c>
      <c r="H1075" t="str">
        <f>"18900"</f>
        <v>18900</v>
      </c>
      <c r="I1075" t="str">
        <f>"EMPLOYEE PLAQUES"</f>
        <v>EMPLOYEE PLAQUES</v>
      </c>
    </row>
    <row r="1076" spans="1:9" x14ac:dyDescent="0.25">
      <c r="A1076" s="6">
        <v>44558</v>
      </c>
      <c r="B1076" t="s">
        <v>26</v>
      </c>
      <c r="C1076">
        <v>68450</v>
      </c>
      <c r="D1076" t="s">
        <v>71</v>
      </c>
      <c r="E1076" s="7">
        <v>315.92</v>
      </c>
      <c r="F1076" s="9" t="s">
        <v>20</v>
      </c>
      <c r="G1076" t="s">
        <v>21</v>
      </c>
      <c r="H1076" t="str">
        <f>"4100349639"</f>
        <v>4100349639</v>
      </c>
      <c r="I1076" t="str">
        <f>"CINTAS CORPORATION #087"</f>
        <v>CINTAS CORPORATION #087</v>
      </c>
    </row>
    <row r="1077" spans="1:9" x14ac:dyDescent="0.25">
      <c r="F1077" s="9" t="s">
        <v>20</v>
      </c>
      <c r="G1077" t="s">
        <v>21</v>
      </c>
      <c r="H1077" t="str">
        <f>"4103097613"</f>
        <v>4103097613</v>
      </c>
      <c r="I1077" t="str">
        <f>"CINTAS CORPORATION #087"</f>
        <v>CINTAS CORPORATION #087</v>
      </c>
    </row>
    <row r="1078" spans="1:9" x14ac:dyDescent="0.25">
      <c r="A1078" s="6">
        <v>44558</v>
      </c>
      <c r="B1078" t="s">
        <v>26</v>
      </c>
      <c r="C1078">
        <v>68451</v>
      </c>
      <c r="D1078" t="s">
        <v>69</v>
      </c>
      <c r="E1078" s="7">
        <v>77.59</v>
      </c>
      <c r="F1078" s="9" t="s">
        <v>20</v>
      </c>
      <c r="G1078" t="s">
        <v>21</v>
      </c>
      <c r="H1078" t="str">
        <f>"3C14971"</f>
        <v>3C14971</v>
      </c>
      <c r="I1078" t="str">
        <f>"PARKS DEPT"</f>
        <v>PARKS DEPT</v>
      </c>
    </row>
    <row r="1079" spans="1:9" x14ac:dyDescent="0.25">
      <c r="A1079" s="6">
        <v>44558</v>
      </c>
      <c r="B1079" t="s">
        <v>26</v>
      </c>
      <c r="C1079">
        <v>68452</v>
      </c>
      <c r="D1079" t="s">
        <v>562</v>
      </c>
      <c r="E1079" s="7">
        <v>253.98</v>
      </c>
      <c r="F1079" s="9" t="s">
        <v>20</v>
      </c>
      <c r="G1079" t="s">
        <v>21</v>
      </c>
      <c r="H1079" t="str">
        <f>"REG.CLERK SEMINAR"</f>
        <v>REG.CLERK SEMINAR</v>
      </c>
      <c r="I1079" t="str">
        <f>"FONDA KELLNER"</f>
        <v>FONDA KELLNER</v>
      </c>
    </row>
    <row r="1080" spans="1:9" x14ac:dyDescent="0.25">
      <c r="A1080" s="6">
        <v>44558</v>
      </c>
      <c r="B1080" t="s">
        <v>26</v>
      </c>
      <c r="C1080">
        <v>68453</v>
      </c>
      <c r="D1080" t="s">
        <v>85</v>
      </c>
      <c r="E1080" s="7">
        <v>282.17</v>
      </c>
      <c r="F1080" s="9" t="s">
        <v>20</v>
      </c>
      <c r="G1080" t="s">
        <v>21</v>
      </c>
      <c r="H1080" t="str">
        <f>"3932056 DEC 2021"</f>
        <v>3932056 DEC 2021</v>
      </c>
      <c r="I1080" t="str">
        <f>"FRONTIER"</f>
        <v>FRONTIER</v>
      </c>
    </row>
    <row r="1081" spans="1:9" x14ac:dyDescent="0.25">
      <c r="F1081" s="9" t="s">
        <v>20</v>
      </c>
      <c r="G1081" t="s">
        <v>21</v>
      </c>
      <c r="H1081" t="str">
        <f>"3933186 DEC 2021"</f>
        <v>3933186 DEC 2021</v>
      </c>
      <c r="I1081" t="str">
        <f>"FRONTIER"</f>
        <v>FRONTIER</v>
      </c>
    </row>
    <row r="1082" spans="1:9" x14ac:dyDescent="0.25">
      <c r="F1082" s="9" t="s">
        <v>20</v>
      </c>
      <c r="G1082" t="s">
        <v>21</v>
      </c>
      <c r="H1082" t="str">
        <f>"3936616 DEC 2021"</f>
        <v>3936616 DEC 2021</v>
      </c>
      <c r="I1082" t="str">
        <f>"FRONTIER"</f>
        <v>FRONTIER</v>
      </c>
    </row>
    <row r="1083" spans="1:9" x14ac:dyDescent="0.25">
      <c r="F1083" s="9" t="s">
        <v>20</v>
      </c>
      <c r="G1083" t="s">
        <v>21</v>
      </c>
      <c r="H1083" t="str">
        <f>"3938193 DEC 2021"</f>
        <v>3938193 DEC 2021</v>
      </c>
      <c r="I1083" t="str">
        <f>"FRONTIER"</f>
        <v>FRONTIER</v>
      </c>
    </row>
    <row r="1084" spans="1:9" x14ac:dyDescent="0.25">
      <c r="F1084" s="9" t="s">
        <v>20</v>
      </c>
      <c r="G1084" t="s">
        <v>21</v>
      </c>
      <c r="H1084" t="str">
        <f>"3939456 DEC 2021"</f>
        <v>3939456 DEC 2021</v>
      </c>
      <c r="I1084" t="str">
        <f>"FRONTIER"</f>
        <v>FRONTIER</v>
      </c>
    </row>
    <row r="1085" spans="1:9" x14ac:dyDescent="0.25">
      <c r="A1085" s="6">
        <v>44558</v>
      </c>
      <c r="B1085" t="s">
        <v>26</v>
      </c>
      <c r="C1085">
        <v>68454</v>
      </c>
      <c r="D1085" t="s">
        <v>194</v>
      </c>
      <c r="E1085" s="7">
        <v>1769.02</v>
      </c>
      <c r="F1085" s="9" t="s">
        <v>20</v>
      </c>
      <c r="G1085" t="s">
        <v>21</v>
      </c>
      <c r="H1085" t="str">
        <f>"019778190"</f>
        <v>019778190</v>
      </c>
      <c r="I1085" t="str">
        <f>"GALLS  LLC-D.B.A. STERLING'S U"</f>
        <v>GALLS  LLC-D.B.A. STERLING'S U</v>
      </c>
    </row>
    <row r="1086" spans="1:9" x14ac:dyDescent="0.25">
      <c r="F1086" s="9" t="s">
        <v>20</v>
      </c>
      <c r="G1086" t="s">
        <v>21</v>
      </c>
      <c r="H1086" t="str">
        <f>"019791710"</f>
        <v>019791710</v>
      </c>
      <c r="I1086" t="str">
        <f>"GALLS  LLC-D.B.A. STERLING'S U"</f>
        <v>GALLS  LLC-D.B.A. STERLING'S U</v>
      </c>
    </row>
    <row r="1087" spans="1:9" x14ac:dyDescent="0.25">
      <c r="F1087" s="9" t="s">
        <v>20</v>
      </c>
      <c r="G1087" t="s">
        <v>21</v>
      </c>
      <c r="H1087" t="str">
        <f>"019847895"</f>
        <v>019847895</v>
      </c>
      <c r="I1087" t="str">
        <f>"GALLS  LLC-D.B.A. STERLING'S U"</f>
        <v>GALLS  LLC-D.B.A. STERLING'S U</v>
      </c>
    </row>
    <row r="1088" spans="1:9" x14ac:dyDescent="0.25">
      <c r="F1088" s="9" t="s">
        <v>20</v>
      </c>
      <c r="G1088" t="s">
        <v>21</v>
      </c>
      <c r="H1088" t="str">
        <f>"019882548"</f>
        <v>019882548</v>
      </c>
      <c r="I1088" t="str">
        <f>"SGT. ORTIZ PD UNIFORM"</f>
        <v>SGT. ORTIZ PD UNIFORM</v>
      </c>
    </row>
    <row r="1089" spans="1:9" x14ac:dyDescent="0.25">
      <c r="F1089" s="9" t="s">
        <v>20</v>
      </c>
      <c r="G1089" t="s">
        <v>21</v>
      </c>
      <c r="H1089" t="str">
        <f>"019882558"</f>
        <v>019882558</v>
      </c>
      <c r="I1089" t="str">
        <f>"SGT. ORTIZ PD UNIFORM"</f>
        <v>SGT. ORTIZ PD UNIFORM</v>
      </c>
    </row>
    <row r="1090" spans="1:9" x14ac:dyDescent="0.25">
      <c r="F1090" s="9" t="s">
        <v>20</v>
      </c>
      <c r="G1090" t="s">
        <v>21</v>
      </c>
      <c r="H1090" t="str">
        <f>"019911048"</f>
        <v>019911048</v>
      </c>
      <c r="I1090" t="str">
        <f>"SGT. ORTIZ PD UNIFORM"</f>
        <v>SGT. ORTIZ PD UNIFORM</v>
      </c>
    </row>
    <row r="1091" spans="1:9" x14ac:dyDescent="0.25">
      <c r="F1091" s="9" t="s">
        <v>20</v>
      </c>
      <c r="G1091" t="s">
        <v>21</v>
      </c>
      <c r="H1091" t="str">
        <f>"019941984"</f>
        <v>019941984</v>
      </c>
      <c r="I1091" t="str">
        <f>"SGT. KEEN UNIFORM ALLOWAN"</f>
        <v>SGT. KEEN UNIFORM ALLOWAN</v>
      </c>
    </row>
    <row r="1092" spans="1:9" x14ac:dyDescent="0.25">
      <c r="F1092" s="9" t="s">
        <v>20</v>
      </c>
      <c r="G1092" t="s">
        <v>21</v>
      </c>
      <c r="H1092" t="str">
        <f>"019985304"</f>
        <v>019985304</v>
      </c>
      <c r="I1092" t="str">
        <f>"RODRIUEZ PD UNIFORM"</f>
        <v>RODRIUEZ PD UNIFORM</v>
      </c>
    </row>
    <row r="1093" spans="1:9" x14ac:dyDescent="0.25">
      <c r="F1093" s="9" t="s">
        <v>20</v>
      </c>
      <c r="G1093" t="s">
        <v>21</v>
      </c>
      <c r="H1093" t="str">
        <f>"19651470"</f>
        <v>19651470</v>
      </c>
      <c r="I1093" t="str">
        <f>"SGT. ORTIZ PD UNIFORM"</f>
        <v>SGT. ORTIZ PD UNIFORM</v>
      </c>
    </row>
    <row r="1094" spans="1:9" x14ac:dyDescent="0.25">
      <c r="A1094" s="6">
        <v>44558</v>
      </c>
      <c r="B1094" t="s">
        <v>26</v>
      </c>
      <c r="C1094">
        <v>68456</v>
      </c>
      <c r="D1094" t="s">
        <v>56</v>
      </c>
      <c r="E1094" s="7">
        <v>24.95</v>
      </c>
      <c r="F1094" s="9" t="s">
        <v>20</v>
      </c>
      <c r="G1094" t="s">
        <v>21</v>
      </c>
      <c r="H1094" t="str">
        <f>"197340"</f>
        <v>197340</v>
      </c>
      <c r="I1094" t="str">
        <f>"DOG FOOD"</f>
        <v>DOG FOOD</v>
      </c>
    </row>
    <row r="1095" spans="1:9" x14ac:dyDescent="0.25">
      <c r="A1095" s="6">
        <v>44558</v>
      </c>
      <c r="B1095" t="s">
        <v>26</v>
      </c>
      <c r="C1095">
        <v>68457</v>
      </c>
      <c r="D1095" t="s">
        <v>927</v>
      </c>
      <c r="E1095" s="7">
        <v>1370.37</v>
      </c>
      <c r="F1095" s="9" t="s">
        <v>20</v>
      </c>
      <c r="G1095" t="s">
        <v>21</v>
      </c>
      <c r="H1095" t="str">
        <f>"CITY 0000004"</f>
        <v>CITY 0000004</v>
      </c>
      <c r="I1095" t="str">
        <f>"JOELZ LAWN MOWING SERVICE"</f>
        <v>JOELZ LAWN MOWING SERVICE</v>
      </c>
    </row>
    <row r="1096" spans="1:9" x14ac:dyDescent="0.25">
      <c r="A1096" s="6">
        <v>44558</v>
      </c>
      <c r="B1096" t="s">
        <v>26</v>
      </c>
      <c r="C1096">
        <v>68458</v>
      </c>
      <c r="D1096" t="s">
        <v>986</v>
      </c>
      <c r="E1096" s="7">
        <v>138</v>
      </c>
      <c r="F1096" s="9" t="s">
        <v>20</v>
      </c>
      <c r="G1096" t="s">
        <v>21</v>
      </c>
      <c r="H1096" t="str">
        <f>"ELEC. LAW 1/12-14"</f>
        <v>ELEC. LAW 1/12-14</v>
      </c>
      <c r="I1096" t="str">
        <f>"KERRY L. ESQUIVEL"</f>
        <v>KERRY L. ESQUIVEL</v>
      </c>
    </row>
    <row r="1097" spans="1:9" x14ac:dyDescent="0.25">
      <c r="A1097" s="6">
        <v>44558</v>
      </c>
      <c r="B1097" t="s">
        <v>26</v>
      </c>
      <c r="C1097">
        <v>68459</v>
      </c>
      <c r="D1097" t="s">
        <v>1148</v>
      </c>
      <c r="E1097" s="7">
        <v>40099</v>
      </c>
      <c r="F1097" s="9" t="s">
        <v>20</v>
      </c>
      <c r="G1097" t="s">
        <v>21</v>
      </c>
      <c r="H1097" t="str">
        <f>"3380719  12/1/2021"</f>
        <v>3380719  12/1/2021</v>
      </c>
      <c r="I1097" t="str">
        <f>"KS STATEBANK GOVERNMENT FINANC"</f>
        <v>KS STATEBANK GOVERNMENT FINANC</v>
      </c>
    </row>
    <row r="1098" spans="1:9" x14ac:dyDescent="0.25">
      <c r="A1098" s="6">
        <v>44558</v>
      </c>
      <c r="B1098" t="s">
        <v>26</v>
      </c>
      <c r="C1098">
        <v>68460</v>
      </c>
      <c r="D1098" t="s">
        <v>105</v>
      </c>
      <c r="E1098" s="7">
        <v>7</v>
      </c>
      <c r="F1098" s="9" t="s">
        <v>20</v>
      </c>
      <c r="G1098" t="s">
        <v>21</v>
      </c>
      <c r="H1098" t="str">
        <f>"407098"</f>
        <v>407098</v>
      </c>
      <c r="I1098" t="str">
        <f>"INSPECTION UNIT 203 WATER"</f>
        <v>INSPECTION UNIT 203 WATER</v>
      </c>
    </row>
    <row r="1099" spans="1:9" x14ac:dyDescent="0.25">
      <c r="A1099" s="6">
        <v>44558</v>
      </c>
      <c r="B1099" t="s">
        <v>26</v>
      </c>
      <c r="C1099">
        <v>68461</v>
      </c>
      <c r="D1099" t="s">
        <v>124</v>
      </c>
      <c r="E1099" s="7">
        <v>44.44</v>
      </c>
      <c r="F1099" s="9" t="s">
        <v>20</v>
      </c>
      <c r="G1099" t="s">
        <v>21</v>
      </c>
      <c r="H1099" t="str">
        <f>"11114794"</f>
        <v>11114794</v>
      </c>
      <c r="I1099" t="str">
        <f>"MOVIE NIGHT SUPPLIES"</f>
        <v>MOVIE NIGHT SUPPLIES</v>
      </c>
    </row>
    <row r="1100" spans="1:9" x14ac:dyDescent="0.25">
      <c r="A1100" s="6">
        <v>44558</v>
      </c>
      <c r="B1100" t="s">
        <v>26</v>
      </c>
      <c r="C1100">
        <v>68462</v>
      </c>
      <c r="D1100" t="s">
        <v>44</v>
      </c>
      <c r="E1100" s="7">
        <v>512.67999999999995</v>
      </c>
      <c r="F1100" s="9" t="s">
        <v>20</v>
      </c>
      <c r="G1100" t="s">
        <v>21</v>
      </c>
      <c r="H1100" t="str">
        <f>"ELECT. LAW 1/12-14"</f>
        <v>ELECT. LAW 1/12-14</v>
      </c>
      <c r="I1100" t="str">
        <f>"MONICA VELIZ"</f>
        <v>MONICA VELIZ</v>
      </c>
    </row>
    <row r="1101" spans="1:9" x14ac:dyDescent="0.25">
      <c r="A1101" s="6">
        <v>44558</v>
      </c>
      <c r="B1101" t="s">
        <v>26</v>
      </c>
      <c r="C1101">
        <v>68463</v>
      </c>
      <c r="D1101" t="s">
        <v>240</v>
      </c>
      <c r="E1101" s="7">
        <v>2206.4899999999998</v>
      </c>
      <c r="F1101" s="9" t="s">
        <v>20</v>
      </c>
      <c r="G1101" t="s">
        <v>21</v>
      </c>
      <c r="H1101" t="str">
        <f>"0220557-IN"</f>
        <v>0220557-IN</v>
      </c>
      <c r="I1101" t="str">
        <f>"NARDIS PUBLIC SAFETY"</f>
        <v>NARDIS PUBLIC SAFETY</v>
      </c>
    </row>
    <row r="1102" spans="1:9" x14ac:dyDescent="0.25">
      <c r="F1102" s="9" t="s">
        <v>20</v>
      </c>
      <c r="G1102" t="s">
        <v>21</v>
      </c>
      <c r="H1102" t="str">
        <f>"0220588-IN"</f>
        <v>0220588-IN</v>
      </c>
      <c r="I1102" t="str">
        <f>"NARDIS PUBLIC SAFETY"</f>
        <v>NARDIS PUBLIC SAFETY</v>
      </c>
    </row>
    <row r="1103" spans="1:9" x14ac:dyDescent="0.25">
      <c r="F1103" s="9" t="s">
        <v>20</v>
      </c>
      <c r="G1103" t="s">
        <v>21</v>
      </c>
      <c r="H1103" t="str">
        <f>"0221392-IN"</f>
        <v>0221392-IN</v>
      </c>
      <c r="I1103" t="str">
        <f>"NARDIS PUBLIC SAFETY"</f>
        <v>NARDIS PUBLIC SAFETY</v>
      </c>
    </row>
    <row r="1104" spans="1:9" x14ac:dyDescent="0.25">
      <c r="F1104" s="9" t="s">
        <v>20</v>
      </c>
      <c r="G1104" t="s">
        <v>21</v>
      </c>
      <c r="H1104" t="str">
        <f>"0221397-IN"</f>
        <v>0221397-IN</v>
      </c>
      <c r="I1104" t="str">
        <f>"OFC. PENA PD UNIFORM"</f>
        <v>OFC. PENA PD UNIFORM</v>
      </c>
    </row>
    <row r="1105" spans="1:9" x14ac:dyDescent="0.25">
      <c r="F1105" s="9" t="s">
        <v>20</v>
      </c>
      <c r="G1105" t="s">
        <v>21</v>
      </c>
      <c r="H1105" t="str">
        <f>"0221528-IN"</f>
        <v>0221528-IN</v>
      </c>
      <c r="I1105" t="str">
        <f>"NARDIS PUBLIC SAFETY"</f>
        <v>NARDIS PUBLIC SAFETY</v>
      </c>
    </row>
    <row r="1106" spans="1:9" x14ac:dyDescent="0.25">
      <c r="F1106" s="9" t="s">
        <v>20</v>
      </c>
      <c r="G1106" t="s">
        <v>21</v>
      </c>
      <c r="H1106" t="str">
        <f>"0221536-IN"</f>
        <v>0221536-IN</v>
      </c>
      <c r="I1106" t="str">
        <f>"NARDIS PUBLIC SAFETY"</f>
        <v>NARDIS PUBLIC SAFETY</v>
      </c>
    </row>
    <row r="1107" spans="1:9" x14ac:dyDescent="0.25">
      <c r="A1107" s="6">
        <v>44558</v>
      </c>
      <c r="B1107" t="s">
        <v>26</v>
      </c>
      <c r="C1107">
        <v>68464</v>
      </c>
      <c r="D1107" t="s">
        <v>1081</v>
      </c>
      <c r="E1107" s="7">
        <v>433</v>
      </c>
      <c r="F1107" s="9" t="s">
        <v>20</v>
      </c>
      <c r="G1107" t="s">
        <v>21</v>
      </c>
      <c r="H1107" t="str">
        <f>"30384"</f>
        <v>30384</v>
      </c>
      <c r="I1107" t="str">
        <f>"PINNACLE PEST DEFENSE"</f>
        <v>PINNACLE PEST DEFENSE</v>
      </c>
    </row>
    <row r="1108" spans="1:9" x14ac:dyDescent="0.25">
      <c r="A1108" s="6">
        <v>44558</v>
      </c>
      <c r="B1108" t="s">
        <v>26</v>
      </c>
      <c r="C1108">
        <v>68465</v>
      </c>
      <c r="D1108" t="s">
        <v>248</v>
      </c>
      <c r="E1108" s="7">
        <v>180</v>
      </c>
      <c r="F1108" s="9" t="s">
        <v>20</v>
      </c>
      <c r="G1108" t="s">
        <v>21</v>
      </c>
      <c r="H1108" t="str">
        <f>"1019631134"</f>
        <v>1019631134</v>
      </c>
      <c r="I1108" t="str">
        <f>"PITNEY BOWES"</f>
        <v>PITNEY BOWES</v>
      </c>
    </row>
    <row r="1109" spans="1:9" x14ac:dyDescent="0.25">
      <c r="A1109" s="6">
        <v>44558</v>
      </c>
      <c r="B1109" t="s">
        <v>26</v>
      </c>
      <c r="C1109">
        <v>68466</v>
      </c>
      <c r="D1109" t="s">
        <v>169</v>
      </c>
      <c r="E1109" s="7">
        <v>35.159999999999997</v>
      </c>
      <c r="F1109" s="9" t="s">
        <v>20</v>
      </c>
      <c r="G1109" t="s">
        <v>21</v>
      </c>
      <c r="H1109" t="str">
        <f>"156709"</f>
        <v>156709</v>
      </c>
      <c r="I1109" t="str">
        <f>"THE POLICE AND SHERIFFS PRESS"</f>
        <v>THE POLICE AND SHERIFFS PRESS</v>
      </c>
    </row>
    <row r="1110" spans="1:9" x14ac:dyDescent="0.25">
      <c r="A1110" s="6">
        <v>44558</v>
      </c>
      <c r="B1110" t="s">
        <v>26</v>
      </c>
      <c r="C1110">
        <v>68467</v>
      </c>
      <c r="D1110" t="s">
        <v>323</v>
      </c>
      <c r="E1110" s="7">
        <v>630</v>
      </c>
      <c r="F1110" s="9" t="s">
        <v>20</v>
      </c>
      <c r="G1110" t="s">
        <v>21</v>
      </c>
      <c r="H1110" t="str">
        <f>"9874"</f>
        <v>9874</v>
      </c>
      <c r="I1110" t="str">
        <f>"POLLOK SELF STORAGE LLC"</f>
        <v>POLLOK SELF STORAGE LLC</v>
      </c>
    </row>
    <row r="1111" spans="1:9" x14ac:dyDescent="0.25">
      <c r="A1111" s="6">
        <v>44558</v>
      </c>
      <c r="B1111" t="s">
        <v>26</v>
      </c>
      <c r="C1111">
        <v>68468</v>
      </c>
      <c r="D1111" t="s">
        <v>218</v>
      </c>
      <c r="E1111" s="7">
        <v>180</v>
      </c>
      <c r="F1111" s="9" t="s">
        <v>20</v>
      </c>
      <c r="G1111" t="s">
        <v>21</v>
      </c>
      <c r="H1111" t="str">
        <f>"2189"</f>
        <v>2189</v>
      </c>
      <c r="I1111" t="str">
        <f>"TOWING FOR SWEEPER"</f>
        <v>TOWING FOR SWEEPER</v>
      </c>
    </row>
    <row r="1112" spans="1:9" x14ac:dyDescent="0.25">
      <c r="A1112" s="6">
        <v>44558</v>
      </c>
      <c r="B1112" t="s">
        <v>26</v>
      </c>
      <c r="C1112">
        <v>68469</v>
      </c>
      <c r="D1112" t="s">
        <v>339</v>
      </c>
      <c r="E1112" s="7">
        <v>727.26</v>
      </c>
      <c r="F1112" s="9" t="s">
        <v>20</v>
      </c>
      <c r="G1112" t="s">
        <v>21</v>
      </c>
      <c r="H1112" t="str">
        <f>"830167"</f>
        <v>830167</v>
      </c>
      <c r="I1112" t="str">
        <f>"SOUTHWEST PUBLIC SAFETY"</f>
        <v>SOUTHWEST PUBLIC SAFETY</v>
      </c>
    </row>
    <row r="1113" spans="1:9" x14ac:dyDescent="0.25">
      <c r="F1113" s="9" t="s">
        <v>20</v>
      </c>
      <c r="G1113" t="s">
        <v>21</v>
      </c>
      <c r="H1113" t="str">
        <f>"832837"</f>
        <v>832837</v>
      </c>
      <c r="I1113" t="str">
        <f>"SOUTHWEST PUBLIC SAFETY"</f>
        <v>SOUTHWEST PUBLIC SAFETY</v>
      </c>
    </row>
    <row r="1114" spans="1:9" x14ac:dyDescent="0.25">
      <c r="A1114" s="6">
        <v>44558</v>
      </c>
      <c r="B1114" t="s">
        <v>26</v>
      </c>
      <c r="C1114">
        <v>68470</v>
      </c>
      <c r="D1114" t="s">
        <v>1110</v>
      </c>
      <c r="E1114" s="7">
        <v>1350</v>
      </c>
      <c r="F1114" s="9" t="s">
        <v>20</v>
      </c>
      <c r="G1114" t="s">
        <v>21</v>
      </c>
      <c r="H1114" t="str">
        <f>"87571"</f>
        <v>87571</v>
      </c>
      <c r="I1114" t="str">
        <f>"TRC"</f>
        <v>TRC</v>
      </c>
    </row>
    <row r="1115" spans="1:9" x14ac:dyDescent="0.25">
      <c r="A1115" s="6">
        <v>44558</v>
      </c>
      <c r="B1115" t="s">
        <v>26</v>
      </c>
      <c r="C1115">
        <v>68471</v>
      </c>
      <c r="D1115" t="s">
        <v>644</v>
      </c>
      <c r="E1115" s="7">
        <v>748.48</v>
      </c>
      <c r="F1115" s="9" t="s">
        <v>20</v>
      </c>
      <c r="G1115" t="s">
        <v>21</v>
      </c>
      <c r="H1115" t="str">
        <f>"8213639825"</f>
        <v>8213639825</v>
      </c>
      <c r="I1115" t="str">
        <f t="shared" ref="I1115:I1122" si="27">"UNIFIRST CORPORATION"</f>
        <v>UNIFIRST CORPORATION</v>
      </c>
    </row>
    <row r="1116" spans="1:9" x14ac:dyDescent="0.25">
      <c r="F1116" s="9" t="s">
        <v>20</v>
      </c>
      <c r="G1116" t="s">
        <v>21</v>
      </c>
      <c r="H1116" t="str">
        <f>"8213647558"</f>
        <v>8213647558</v>
      </c>
      <c r="I1116" t="str">
        <f t="shared" si="27"/>
        <v>UNIFIRST CORPORATION</v>
      </c>
    </row>
    <row r="1117" spans="1:9" x14ac:dyDescent="0.25">
      <c r="F1117" s="9" t="s">
        <v>20</v>
      </c>
      <c r="G1117" t="s">
        <v>21</v>
      </c>
      <c r="H1117" t="str">
        <f>"8213676141"</f>
        <v>8213676141</v>
      </c>
      <c r="I1117" t="str">
        <f t="shared" si="27"/>
        <v>UNIFIRST CORPORATION</v>
      </c>
    </row>
    <row r="1118" spans="1:9" x14ac:dyDescent="0.25">
      <c r="F1118" s="9" t="s">
        <v>20</v>
      </c>
      <c r="G1118" t="s">
        <v>21</v>
      </c>
      <c r="H1118" t="str">
        <f>"8213676142"</f>
        <v>8213676142</v>
      </c>
      <c r="I1118" t="str">
        <f t="shared" si="27"/>
        <v>UNIFIRST CORPORATION</v>
      </c>
    </row>
    <row r="1119" spans="1:9" x14ac:dyDescent="0.25">
      <c r="F1119" s="9" t="s">
        <v>20</v>
      </c>
      <c r="G1119" t="s">
        <v>21</v>
      </c>
      <c r="H1119" t="str">
        <f>"8213676143"</f>
        <v>8213676143</v>
      </c>
      <c r="I1119" t="str">
        <f t="shared" si="27"/>
        <v>UNIFIRST CORPORATION</v>
      </c>
    </row>
    <row r="1120" spans="1:9" x14ac:dyDescent="0.25">
      <c r="F1120" s="9" t="s">
        <v>20</v>
      </c>
      <c r="G1120" t="s">
        <v>21</v>
      </c>
      <c r="H1120" t="str">
        <f>"8213676144"</f>
        <v>8213676144</v>
      </c>
      <c r="I1120" t="str">
        <f t="shared" si="27"/>
        <v>UNIFIRST CORPORATION</v>
      </c>
    </row>
    <row r="1121" spans="1:9" x14ac:dyDescent="0.25">
      <c r="F1121" s="9" t="s">
        <v>20</v>
      </c>
      <c r="G1121" t="s">
        <v>21</v>
      </c>
      <c r="H1121" t="str">
        <f>"8213676146"</f>
        <v>8213676146</v>
      </c>
      <c r="I1121" t="str">
        <f t="shared" si="27"/>
        <v>UNIFIRST CORPORATION</v>
      </c>
    </row>
    <row r="1122" spans="1:9" x14ac:dyDescent="0.25">
      <c r="F1122" s="9" t="s">
        <v>20</v>
      </c>
      <c r="G1122" t="s">
        <v>21</v>
      </c>
      <c r="H1122" t="str">
        <f>"8213676147"</f>
        <v>8213676147</v>
      </c>
      <c r="I1122" t="str">
        <f t="shared" si="27"/>
        <v>UNIFIRST CORPORATION</v>
      </c>
    </row>
    <row r="1123" spans="1:9" x14ac:dyDescent="0.25">
      <c r="A1123" s="6">
        <v>44558</v>
      </c>
      <c r="B1123" t="s">
        <v>26</v>
      </c>
      <c r="C1123">
        <v>68473</v>
      </c>
      <c r="D1123" t="s">
        <v>203</v>
      </c>
      <c r="E1123" s="7">
        <v>5255.07</v>
      </c>
      <c r="F1123" s="9" t="s">
        <v>20</v>
      </c>
      <c r="G1123" t="s">
        <v>21</v>
      </c>
      <c r="H1123" t="str">
        <f>"814409"</f>
        <v>814409</v>
      </c>
      <c r="I1123" t="str">
        <f>"WW MAINT."</f>
        <v>WW MAINT.</v>
      </c>
    </row>
    <row r="1124" spans="1:9" x14ac:dyDescent="0.25">
      <c r="A1124" s="6">
        <v>44558</v>
      </c>
      <c r="B1124" t="s">
        <v>26</v>
      </c>
      <c r="C1124">
        <v>68478</v>
      </c>
      <c r="D1124" t="s">
        <v>54</v>
      </c>
      <c r="E1124" s="7">
        <v>881.57</v>
      </c>
      <c r="F1124" s="9" t="s">
        <v>20</v>
      </c>
      <c r="G1124" t="s">
        <v>21</v>
      </c>
      <c r="H1124" t="str">
        <f>"BRE202112288636"</f>
        <v>BRE202112288636</v>
      </c>
      <c r="I1124" t="str">
        <f>"CASE #180-60751 457B DEDUCT"</f>
        <v>CASE #180-60751 457B DEDUCT</v>
      </c>
    </row>
    <row r="1125" spans="1:9" x14ac:dyDescent="0.25">
      <c r="A1125" s="6">
        <v>44558</v>
      </c>
      <c r="B1125" t="s">
        <v>26</v>
      </c>
      <c r="C1125">
        <v>68479</v>
      </c>
      <c r="D1125" t="s">
        <v>61</v>
      </c>
      <c r="E1125" s="7">
        <v>2333</v>
      </c>
      <c r="F1125" s="9" t="s">
        <v>20</v>
      </c>
      <c r="G1125" t="s">
        <v>21</v>
      </c>
      <c r="H1125" t="str">
        <f>"025-0360792"</f>
        <v>025-0360792</v>
      </c>
      <c r="I1125" t="str">
        <f>"TYLER TECHNOLOGIES  INC."</f>
        <v>TYLER TECHNOLOGIES  INC.</v>
      </c>
    </row>
    <row r="1126" spans="1:9" x14ac:dyDescent="0.25">
      <c r="F1126" s="9" t="s">
        <v>20</v>
      </c>
      <c r="G1126" t="s">
        <v>21</v>
      </c>
      <c r="H1126" t="str">
        <f>"025-360791"</f>
        <v>025-360791</v>
      </c>
      <c r="I1126" t="str">
        <f>"TYLER TECHNOLOGIES  INC."</f>
        <v>TYLER TECHNOLOGIES  INC.</v>
      </c>
    </row>
    <row r="1127" spans="1:9" x14ac:dyDescent="0.25">
      <c r="A1127" s="6">
        <v>44558</v>
      </c>
      <c r="B1127" t="s">
        <v>26</v>
      </c>
      <c r="C1127">
        <v>68480</v>
      </c>
      <c r="D1127" t="s">
        <v>254</v>
      </c>
      <c r="E1127" s="7">
        <v>957.9</v>
      </c>
      <c r="F1127" s="9" t="s">
        <v>20</v>
      </c>
      <c r="G1127" t="s">
        <v>21</v>
      </c>
      <c r="H1127" t="str">
        <f>"2ND QWRT"</f>
        <v>2ND QWRT</v>
      </c>
      <c r="I1127" t="str">
        <f>"TEXAS WORKFORCE COMMISSION"</f>
        <v>TEXAS WORKFORCE COMMISSION</v>
      </c>
    </row>
    <row r="1128" spans="1:9" x14ac:dyDescent="0.25">
      <c r="A1128" s="6">
        <v>44558</v>
      </c>
      <c r="B1128" t="s">
        <v>26</v>
      </c>
      <c r="C1128">
        <v>68481</v>
      </c>
      <c r="D1128" t="s">
        <v>29</v>
      </c>
      <c r="E1128" s="7">
        <v>3230</v>
      </c>
      <c r="F1128" s="9" t="s">
        <v>20</v>
      </c>
      <c r="G1128" t="s">
        <v>21</v>
      </c>
      <c r="H1128" t="str">
        <f>"54889"</f>
        <v>54889</v>
      </c>
      <c r="I1128" t="str">
        <f>"M &amp; S ENGINEERING  LLC"</f>
        <v>M &amp; S ENGINEERING  LLC</v>
      </c>
    </row>
    <row r="1129" spans="1:9" x14ac:dyDescent="0.25">
      <c r="A1129" s="6">
        <v>44558</v>
      </c>
      <c r="B1129" t="s">
        <v>26</v>
      </c>
      <c r="C1129">
        <v>68482</v>
      </c>
      <c r="D1129" t="s">
        <v>345</v>
      </c>
      <c r="E1129" s="7">
        <v>308</v>
      </c>
      <c r="F1129" s="9" t="s">
        <v>20</v>
      </c>
      <c r="G1129" t="s">
        <v>21</v>
      </c>
      <c r="H1129" t="str">
        <f>"12/27/2021"</f>
        <v>12/27/2021</v>
      </c>
      <c r="I1129" t="str">
        <f>"MICHAEL ISAAC MARTINEZ"</f>
        <v>MICHAEL ISAAC MARTINEZ</v>
      </c>
    </row>
    <row r="1130" spans="1:9" x14ac:dyDescent="0.25">
      <c r="A1130" s="6">
        <v>44558</v>
      </c>
      <c r="B1130" t="s">
        <v>26</v>
      </c>
      <c r="C1130">
        <v>68483</v>
      </c>
      <c r="D1130" t="s">
        <v>836</v>
      </c>
      <c r="E1130" s="7">
        <v>600</v>
      </c>
      <c r="F1130" s="9" t="s">
        <v>20</v>
      </c>
      <c r="G1130" t="s">
        <v>21</v>
      </c>
      <c r="H1130" t="str">
        <f>"81129"</f>
        <v>81129</v>
      </c>
      <c r="I1130" t="str">
        <f>"BARCOM TECHNOLOGY SOLUTIONS  I"</f>
        <v>BARCOM TECHNOLOGY SOLUTIONS  I</v>
      </c>
    </row>
    <row r="1131" spans="1:9" x14ac:dyDescent="0.25">
      <c r="A1131" s="6">
        <v>44558</v>
      </c>
      <c r="B1131" t="s">
        <v>26</v>
      </c>
      <c r="C1131">
        <v>68484</v>
      </c>
      <c r="D1131" t="s">
        <v>81</v>
      </c>
      <c r="E1131" s="7">
        <v>200.81</v>
      </c>
      <c r="F1131" s="9" t="s">
        <v>20</v>
      </c>
      <c r="G1131" t="s">
        <v>21</v>
      </c>
      <c r="H1131" t="str">
        <f>"A.MONTOYA 12/28/21"</f>
        <v>A.MONTOYA 12/28/21</v>
      </c>
      <c r="I1131" t="str">
        <f>"CITY OF FLORESVILLE -PETTY CAS"</f>
        <v>CITY OF FLORESVILLE -PETTY CAS</v>
      </c>
    </row>
    <row r="1132" spans="1:9" x14ac:dyDescent="0.25">
      <c r="A1132" s="6">
        <v>44572</v>
      </c>
      <c r="B1132" t="s">
        <v>18</v>
      </c>
      <c r="C1132">
        <v>143</v>
      </c>
      <c r="D1132" t="s">
        <v>19</v>
      </c>
      <c r="E1132" s="7">
        <v>11763.46</v>
      </c>
      <c r="F1132" t="s">
        <v>20</v>
      </c>
      <c r="G1132" t="s">
        <v>21</v>
      </c>
      <c r="H1132" t="str">
        <f>"T1 202201118638"</f>
        <v>T1 202201118638</v>
      </c>
      <c r="I1132" t="str">
        <f>"FED WITHHOLDINGS"</f>
        <v>FED WITHHOLDINGS</v>
      </c>
    </row>
    <row r="1133" spans="1:9" x14ac:dyDescent="0.25">
      <c r="A1133" s="6">
        <v>44572</v>
      </c>
      <c r="B1133" t="s">
        <v>18</v>
      </c>
      <c r="C1133">
        <v>143</v>
      </c>
      <c r="D1133" t="s">
        <v>19</v>
      </c>
      <c r="E1133" s="7">
        <v>15084.72</v>
      </c>
      <c r="F1133" t="s">
        <v>20</v>
      </c>
      <c r="G1133" t="s">
        <v>21</v>
      </c>
      <c r="H1133" t="str">
        <f>"T3 202201118638"</f>
        <v>T3 202201118638</v>
      </c>
      <c r="I1133" t="str">
        <f>"FICA WITHHOLDINGS"</f>
        <v>FICA WITHHOLDINGS</v>
      </c>
    </row>
    <row r="1134" spans="1:9" x14ac:dyDescent="0.25">
      <c r="A1134" s="6">
        <v>44572</v>
      </c>
      <c r="B1134" t="s">
        <v>18</v>
      </c>
      <c r="C1134">
        <v>143</v>
      </c>
      <c r="D1134" t="s">
        <v>19</v>
      </c>
      <c r="E1134" s="7">
        <v>3527.84</v>
      </c>
      <c r="F1134" t="s">
        <v>20</v>
      </c>
      <c r="G1134" t="s">
        <v>21</v>
      </c>
      <c r="H1134" t="str">
        <f>"T4 202201118638"</f>
        <v>T4 202201118638</v>
      </c>
      <c r="I1134" t="str">
        <f>"MEDICARE WITHHOLDINGS"</f>
        <v>MEDICARE WITHHOLDINGS</v>
      </c>
    </row>
    <row r="1135" spans="1:9" x14ac:dyDescent="0.25">
      <c r="A1135" s="6">
        <v>44586</v>
      </c>
      <c r="B1135" t="s">
        <v>18</v>
      </c>
      <c r="C1135">
        <v>144</v>
      </c>
      <c r="D1135" t="s">
        <v>19</v>
      </c>
      <c r="E1135" s="7">
        <v>10716.1</v>
      </c>
      <c r="F1135" t="s">
        <v>20</v>
      </c>
      <c r="G1135" t="s">
        <v>21</v>
      </c>
      <c r="H1135" t="str">
        <f>"T1 202201258639"</f>
        <v>T1 202201258639</v>
      </c>
      <c r="I1135" t="str">
        <f>"FED WITHHOLDINGS"</f>
        <v>FED WITHHOLDINGS</v>
      </c>
    </row>
    <row r="1136" spans="1:9" x14ac:dyDescent="0.25">
      <c r="A1136" s="6">
        <v>44586</v>
      </c>
      <c r="B1136" t="s">
        <v>18</v>
      </c>
      <c r="C1136">
        <v>144</v>
      </c>
      <c r="D1136" t="s">
        <v>19</v>
      </c>
      <c r="E1136" s="7">
        <v>14478.4</v>
      </c>
      <c r="F1136" t="s">
        <v>20</v>
      </c>
      <c r="G1136" t="s">
        <v>21</v>
      </c>
      <c r="H1136" t="str">
        <f>"T3 202201258639"</f>
        <v>T3 202201258639</v>
      </c>
      <c r="I1136" t="str">
        <f>"FICA WITHHOLDINGS"</f>
        <v>FICA WITHHOLDINGS</v>
      </c>
    </row>
    <row r="1137" spans="1:9" x14ac:dyDescent="0.25">
      <c r="A1137" s="6">
        <v>44586</v>
      </c>
      <c r="B1137" t="s">
        <v>18</v>
      </c>
      <c r="C1137">
        <v>144</v>
      </c>
      <c r="D1137" t="s">
        <v>19</v>
      </c>
      <c r="E1137" s="7">
        <v>3386.04</v>
      </c>
      <c r="F1137" t="s">
        <v>20</v>
      </c>
      <c r="G1137" t="s">
        <v>21</v>
      </c>
      <c r="H1137" t="str">
        <f>"T4 202201258639"</f>
        <v>T4 202201258639</v>
      </c>
      <c r="I1137" t="str">
        <f>"MEDICARE WITHHOLDINGS"</f>
        <v>MEDICARE WITHHOLDINGS</v>
      </c>
    </row>
    <row r="1138" spans="1:9" x14ac:dyDescent="0.25">
      <c r="A1138" s="6">
        <v>44600</v>
      </c>
      <c r="B1138" t="s">
        <v>18</v>
      </c>
      <c r="C1138">
        <v>145</v>
      </c>
      <c r="D1138" t="s">
        <v>19</v>
      </c>
      <c r="E1138" s="7">
        <v>10468.620000000001</v>
      </c>
      <c r="F1138" t="s">
        <v>20</v>
      </c>
      <c r="G1138" t="s">
        <v>21</v>
      </c>
      <c r="H1138" t="str">
        <f>"T1 202202088640"</f>
        <v>T1 202202088640</v>
      </c>
      <c r="I1138" t="str">
        <f>"FED WITHHOLDINGS"</f>
        <v>FED WITHHOLDINGS</v>
      </c>
    </row>
    <row r="1139" spans="1:9" x14ac:dyDescent="0.25">
      <c r="A1139" s="6">
        <v>44600</v>
      </c>
      <c r="B1139" t="s">
        <v>18</v>
      </c>
      <c r="C1139">
        <v>145</v>
      </c>
      <c r="D1139" t="s">
        <v>19</v>
      </c>
      <c r="E1139" s="7">
        <v>14551.24</v>
      </c>
      <c r="F1139" t="s">
        <v>20</v>
      </c>
      <c r="G1139" t="s">
        <v>21</v>
      </c>
      <c r="H1139" t="str">
        <f>"T3 202202088640"</f>
        <v>T3 202202088640</v>
      </c>
      <c r="I1139" t="str">
        <f>"FICA WITHHOLDINGS"</f>
        <v>FICA WITHHOLDINGS</v>
      </c>
    </row>
    <row r="1140" spans="1:9" x14ac:dyDescent="0.25">
      <c r="A1140" s="6">
        <v>44600</v>
      </c>
      <c r="B1140" t="s">
        <v>18</v>
      </c>
      <c r="C1140">
        <v>145</v>
      </c>
      <c r="D1140" t="s">
        <v>19</v>
      </c>
      <c r="E1140" s="7">
        <v>3403.1</v>
      </c>
      <c r="F1140" t="s">
        <v>20</v>
      </c>
      <c r="G1140" t="s">
        <v>21</v>
      </c>
      <c r="H1140" t="str">
        <f>"T4 202202088640"</f>
        <v>T4 202202088640</v>
      </c>
      <c r="I1140" t="str">
        <f>"MEDICARE WITHHOLDINGS"</f>
        <v>MEDICARE WITHHOLDINGS</v>
      </c>
    </row>
    <row r="1141" spans="1:9" x14ac:dyDescent="0.25">
      <c r="A1141" s="6">
        <v>44615</v>
      </c>
      <c r="B1141" t="s">
        <v>18</v>
      </c>
      <c r="C1141">
        <v>146</v>
      </c>
      <c r="D1141" t="s">
        <v>19</v>
      </c>
      <c r="E1141" s="7">
        <v>10697.29</v>
      </c>
      <c r="F1141" t="s">
        <v>20</v>
      </c>
      <c r="G1141" t="s">
        <v>21</v>
      </c>
      <c r="H1141" t="str">
        <f>"T1 202202238641"</f>
        <v>T1 202202238641</v>
      </c>
      <c r="I1141" t="str">
        <f>"FED WITHHOLDINGS"</f>
        <v>FED WITHHOLDINGS</v>
      </c>
    </row>
    <row r="1142" spans="1:9" x14ac:dyDescent="0.25">
      <c r="A1142" s="6">
        <v>44615</v>
      </c>
      <c r="B1142" t="s">
        <v>18</v>
      </c>
      <c r="C1142">
        <v>146</v>
      </c>
      <c r="D1142" t="s">
        <v>19</v>
      </c>
      <c r="E1142" s="7">
        <v>14792.82</v>
      </c>
      <c r="F1142" t="s">
        <v>20</v>
      </c>
      <c r="G1142" t="s">
        <v>21</v>
      </c>
      <c r="H1142" t="str">
        <f>"T3 202202238641"</f>
        <v>T3 202202238641</v>
      </c>
      <c r="I1142" t="str">
        <f>"FICA WITHHOLDINGS"</f>
        <v>FICA WITHHOLDINGS</v>
      </c>
    </row>
    <row r="1143" spans="1:9" x14ac:dyDescent="0.25">
      <c r="A1143" s="6">
        <v>44615</v>
      </c>
      <c r="B1143" t="s">
        <v>18</v>
      </c>
      <c r="C1143">
        <v>146</v>
      </c>
      <c r="D1143" t="s">
        <v>19</v>
      </c>
      <c r="E1143" s="7">
        <v>3459.6</v>
      </c>
      <c r="F1143" t="s">
        <v>20</v>
      </c>
      <c r="G1143" t="s">
        <v>21</v>
      </c>
      <c r="H1143" t="str">
        <f>"T4 202202238641"</f>
        <v>T4 202202238641</v>
      </c>
      <c r="I1143" t="str">
        <f>"MEDICARE WITHHOLDINGS"</f>
        <v>MEDICARE WITHHOLDINGS</v>
      </c>
    </row>
    <row r="1144" spans="1:9" x14ac:dyDescent="0.25">
      <c r="A1144" s="6">
        <v>44628</v>
      </c>
      <c r="B1144" t="s">
        <v>18</v>
      </c>
      <c r="C1144">
        <v>147</v>
      </c>
      <c r="D1144" t="s">
        <v>19</v>
      </c>
      <c r="E1144" s="7">
        <v>11175.72</v>
      </c>
      <c r="F1144" t="s">
        <v>20</v>
      </c>
      <c r="G1144" t="s">
        <v>21</v>
      </c>
      <c r="H1144" t="str">
        <f>"T1 202203088642"</f>
        <v>T1 202203088642</v>
      </c>
      <c r="I1144" t="str">
        <f>"FED WITHHOLDINGS"</f>
        <v>FED WITHHOLDINGS</v>
      </c>
    </row>
    <row r="1145" spans="1:9" x14ac:dyDescent="0.25">
      <c r="A1145" s="6">
        <v>44628</v>
      </c>
      <c r="B1145" t="s">
        <v>18</v>
      </c>
      <c r="C1145">
        <v>147</v>
      </c>
      <c r="D1145" t="s">
        <v>19</v>
      </c>
      <c r="E1145" s="7">
        <v>15173.28</v>
      </c>
      <c r="F1145" t="s">
        <v>20</v>
      </c>
      <c r="G1145" t="s">
        <v>21</v>
      </c>
      <c r="H1145" t="str">
        <f>"T3 202203088642"</f>
        <v>T3 202203088642</v>
      </c>
      <c r="I1145" t="str">
        <f>"FICA WITHHOLDINGS"</f>
        <v>FICA WITHHOLDINGS</v>
      </c>
    </row>
    <row r="1146" spans="1:9" x14ac:dyDescent="0.25">
      <c r="A1146" s="6">
        <v>44628</v>
      </c>
      <c r="B1146" t="s">
        <v>18</v>
      </c>
      <c r="C1146">
        <v>147</v>
      </c>
      <c r="D1146" t="s">
        <v>19</v>
      </c>
      <c r="E1146" s="7">
        <v>3548.6</v>
      </c>
      <c r="F1146" t="s">
        <v>20</v>
      </c>
      <c r="G1146" t="s">
        <v>21</v>
      </c>
      <c r="H1146" t="str">
        <f>"T4 202203088642"</f>
        <v>T4 202203088642</v>
      </c>
      <c r="I1146" t="str">
        <f>"MEDICARE WITHHOLDINGS"</f>
        <v>MEDICARE WITHHOLDINGS</v>
      </c>
    </row>
    <row r="1147" spans="1:9" x14ac:dyDescent="0.25">
      <c r="A1147" s="6">
        <v>44629</v>
      </c>
      <c r="B1147" t="s">
        <v>18</v>
      </c>
      <c r="C1147">
        <v>148</v>
      </c>
      <c r="D1147" t="s">
        <v>19</v>
      </c>
      <c r="E1147" s="7">
        <v>44.28</v>
      </c>
      <c r="F1147" t="s">
        <v>20</v>
      </c>
      <c r="G1147" t="s">
        <v>21</v>
      </c>
      <c r="H1147" t="str">
        <f>"T3 202203098643"</f>
        <v>T3 202203098643</v>
      </c>
      <c r="I1147" t="str">
        <f>"FICA WITHHOLDINGS"</f>
        <v>FICA WITHHOLDINGS</v>
      </c>
    </row>
    <row r="1148" spans="1:9" x14ac:dyDescent="0.25">
      <c r="A1148" s="6">
        <v>44629</v>
      </c>
      <c r="B1148" t="s">
        <v>18</v>
      </c>
      <c r="C1148">
        <v>148</v>
      </c>
      <c r="D1148" t="s">
        <v>19</v>
      </c>
      <c r="E1148" s="7">
        <v>10.36</v>
      </c>
      <c r="F1148" t="s">
        <v>20</v>
      </c>
      <c r="G1148" t="s">
        <v>21</v>
      </c>
      <c r="H1148" t="str">
        <f>"T4 202203098643"</f>
        <v>T4 202203098643</v>
      </c>
      <c r="I1148" t="str">
        <f>"MEDICARE WITHHOLDINGS"</f>
        <v>MEDICARE WITHHOLDINGS</v>
      </c>
    </row>
    <row r="1149" spans="1:9" x14ac:dyDescent="0.25">
      <c r="A1149" s="6">
        <v>44631</v>
      </c>
      <c r="B1149" t="s">
        <v>18</v>
      </c>
      <c r="C1149">
        <v>149</v>
      </c>
      <c r="D1149" t="s">
        <v>19</v>
      </c>
      <c r="E1149" s="7">
        <v>188.87</v>
      </c>
      <c r="F1149" t="s">
        <v>20</v>
      </c>
      <c r="G1149" t="s">
        <v>21</v>
      </c>
      <c r="H1149" t="str">
        <f>"T1 202203118644"</f>
        <v>T1 202203118644</v>
      </c>
      <c r="I1149" t="str">
        <f>"FED WITHHOLDINGS"</f>
        <v>FED WITHHOLDINGS</v>
      </c>
    </row>
    <row r="1150" spans="1:9" x14ac:dyDescent="0.25">
      <c r="A1150" s="6">
        <v>44631</v>
      </c>
      <c r="B1150" t="s">
        <v>18</v>
      </c>
      <c r="C1150">
        <v>149</v>
      </c>
      <c r="D1150" t="s">
        <v>19</v>
      </c>
      <c r="E1150" s="7">
        <v>294</v>
      </c>
      <c r="F1150" t="s">
        <v>20</v>
      </c>
      <c r="G1150" t="s">
        <v>21</v>
      </c>
      <c r="H1150" t="str">
        <f>"T3 202203118644"</f>
        <v>T3 202203118644</v>
      </c>
      <c r="I1150" t="str">
        <f>"FICA WITHHOLDINGS"</f>
        <v>FICA WITHHOLDINGS</v>
      </c>
    </row>
    <row r="1151" spans="1:9" x14ac:dyDescent="0.25">
      <c r="A1151" s="6">
        <v>44631</v>
      </c>
      <c r="B1151" t="s">
        <v>18</v>
      </c>
      <c r="C1151">
        <v>149</v>
      </c>
      <c r="D1151" t="s">
        <v>19</v>
      </c>
      <c r="E1151" s="7">
        <v>68.760000000000005</v>
      </c>
      <c r="F1151" t="s">
        <v>20</v>
      </c>
      <c r="G1151" t="s">
        <v>21</v>
      </c>
      <c r="H1151" t="str">
        <f>"T4 202203118644"</f>
        <v>T4 202203118644</v>
      </c>
      <c r="I1151" t="str">
        <f>"MEDICARE WITHHOLDINGS"</f>
        <v>MEDICARE WITHHOLDINGS</v>
      </c>
    </row>
    <row r="1152" spans="1:9" x14ac:dyDescent="0.25">
      <c r="A1152" s="6">
        <v>44636</v>
      </c>
      <c r="B1152" t="s">
        <v>18</v>
      </c>
      <c r="C1152">
        <v>150</v>
      </c>
      <c r="D1152" t="s">
        <v>19</v>
      </c>
      <c r="E1152" s="7">
        <v>130.22999999999999</v>
      </c>
      <c r="F1152" t="s">
        <v>20</v>
      </c>
      <c r="G1152" t="s">
        <v>21</v>
      </c>
      <c r="H1152" t="str">
        <f>"T1 202203168645"</f>
        <v>T1 202203168645</v>
      </c>
      <c r="I1152" t="str">
        <f>"FED WITHHOLDINGS"</f>
        <v>FED WITHHOLDINGS</v>
      </c>
    </row>
    <row r="1153" spans="1:9" x14ac:dyDescent="0.25">
      <c r="A1153" s="6">
        <v>44636</v>
      </c>
      <c r="B1153" t="s">
        <v>18</v>
      </c>
      <c r="C1153">
        <v>150</v>
      </c>
      <c r="D1153" t="s">
        <v>19</v>
      </c>
      <c r="E1153" s="7">
        <v>163.47999999999999</v>
      </c>
      <c r="F1153" t="s">
        <v>20</v>
      </c>
      <c r="G1153" t="s">
        <v>21</v>
      </c>
      <c r="H1153" t="str">
        <f>"T3 202203168645"</f>
        <v>T3 202203168645</v>
      </c>
      <c r="I1153" t="str">
        <f>"FICA WITHHOLDINGS"</f>
        <v>FICA WITHHOLDINGS</v>
      </c>
    </row>
    <row r="1154" spans="1:9" x14ac:dyDescent="0.25">
      <c r="A1154" s="6">
        <v>44636</v>
      </c>
      <c r="B1154" t="s">
        <v>18</v>
      </c>
      <c r="C1154">
        <v>150</v>
      </c>
      <c r="D1154" t="s">
        <v>19</v>
      </c>
      <c r="E1154" s="7">
        <v>38.24</v>
      </c>
      <c r="F1154" t="s">
        <v>20</v>
      </c>
      <c r="G1154" t="s">
        <v>21</v>
      </c>
      <c r="H1154" t="str">
        <f>"T4 202203168645"</f>
        <v>T4 202203168645</v>
      </c>
      <c r="I1154" t="str">
        <f>"MEDICARE WITHHOLDINGS"</f>
        <v>MEDICARE WITHHOLDINGS</v>
      </c>
    </row>
    <row r="1155" spans="1:9" x14ac:dyDescent="0.25">
      <c r="A1155" s="6">
        <v>44642</v>
      </c>
      <c r="B1155" t="s">
        <v>18</v>
      </c>
      <c r="C1155">
        <v>151</v>
      </c>
      <c r="D1155" t="s">
        <v>19</v>
      </c>
      <c r="E1155" s="7">
        <v>10719.42</v>
      </c>
      <c r="F1155" t="s">
        <v>20</v>
      </c>
      <c r="G1155" t="s">
        <v>21</v>
      </c>
      <c r="H1155" t="str">
        <f>"T1 202203228646"</f>
        <v>T1 202203228646</v>
      </c>
      <c r="I1155" t="str">
        <f>"FED WITHHOLDINGS"</f>
        <v>FED WITHHOLDINGS</v>
      </c>
    </row>
    <row r="1156" spans="1:9" x14ac:dyDescent="0.25">
      <c r="A1156" s="6">
        <v>44642</v>
      </c>
      <c r="B1156" t="s">
        <v>18</v>
      </c>
      <c r="C1156">
        <v>151</v>
      </c>
      <c r="D1156" t="s">
        <v>19</v>
      </c>
      <c r="E1156" s="7">
        <v>14782.38</v>
      </c>
      <c r="F1156" t="s">
        <v>20</v>
      </c>
      <c r="G1156" t="s">
        <v>21</v>
      </c>
      <c r="H1156" t="str">
        <f>"T3 202203228646"</f>
        <v>T3 202203228646</v>
      </c>
      <c r="I1156" t="str">
        <f>"FICA WITHHOLDINGS"</f>
        <v>FICA WITHHOLDINGS</v>
      </c>
    </row>
    <row r="1157" spans="1:9" x14ac:dyDescent="0.25">
      <c r="A1157" s="6">
        <v>44642</v>
      </c>
      <c r="B1157" t="s">
        <v>18</v>
      </c>
      <c r="C1157">
        <v>151</v>
      </c>
      <c r="D1157" t="s">
        <v>19</v>
      </c>
      <c r="E1157" s="7">
        <v>3457.18</v>
      </c>
      <c r="F1157" t="s">
        <v>20</v>
      </c>
      <c r="G1157" t="s">
        <v>21</v>
      </c>
      <c r="H1157" t="str">
        <f>"T4 202203228646"</f>
        <v>T4 202203228646</v>
      </c>
      <c r="I1157" t="str">
        <f>"MEDICARE WITHHOLDINGS"</f>
        <v>MEDICARE WITHHOLDINGS</v>
      </c>
    </row>
    <row r="1158" spans="1:9" x14ac:dyDescent="0.25">
      <c r="A1158" s="6">
        <v>44656</v>
      </c>
      <c r="B1158" t="s">
        <v>18</v>
      </c>
      <c r="C1158">
        <v>152</v>
      </c>
      <c r="D1158" t="s">
        <v>19</v>
      </c>
      <c r="E1158" s="7">
        <v>52.51</v>
      </c>
      <c r="F1158" t="s">
        <v>20</v>
      </c>
      <c r="G1158" t="s">
        <v>21</v>
      </c>
      <c r="H1158" t="str">
        <f>"T1 202203298647"</f>
        <v>T1 202203298647</v>
      </c>
      <c r="I1158" t="str">
        <f>"FED WITHHOLDINGS"</f>
        <v>FED WITHHOLDINGS</v>
      </c>
    </row>
    <row r="1159" spans="1:9" x14ac:dyDescent="0.25">
      <c r="A1159" s="6">
        <v>44656</v>
      </c>
      <c r="B1159" t="s">
        <v>18</v>
      </c>
      <c r="C1159">
        <v>152</v>
      </c>
      <c r="D1159" t="s">
        <v>19</v>
      </c>
      <c r="E1159" s="7">
        <v>83.18</v>
      </c>
      <c r="F1159" t="s">
        <v>20</v>
      </c>
      <c r="G1159" t="s">
        <v>21</v>
      </c>
      <c r="H1159" t="str">
        <f>"T3 202203298647"</f>
        <v>T3 202203298647</v>
      </c>
      <c r="I1159" t="str">
        <f>"FICA WITHHOLDINGS"</f>
        <v>FICA WITHHOLDINGS</v>
      </c>
    </row>
    <row r="1160" spans="1:9" x14ac:dyDescent="0.25">
      <c r="A1160" s="6">
        <v>44656</v>
      </c>
      <c r="B1160" t="s">
        <v>18</v>
      </c>
      <c r="C1160">
        <v>152</v>
      </c>
      <c r="D1160" t="s">
        <v>19</v>
      </c>
      <c r="E1160" s="7">
        <v>19.46</v>
      </c>
      <c r="F1160" t="s">
        <v>20</v>
      </c>
      <c r="G1160" t="s">
        <v>21</v>
      </c>
      <c r="H1160" t="str">
        <f>"T4 202203298647"</f>
        <v>T4 202203298647</v>
      </c>
      <c r="I1160" t="str">
        <f>"MEDICARE WITHHOLDINGS"</f>
        <v>MEDICARE WITHHOLDINGS</v>
      </c>
    </row>
    <row r="1161" spans="1:9" x14ac:dyDescent="0.25">
      <c r="A1161" s="6">
        <v>44656</v>
      </c>
      <c r="B1161" t="s">
        <v>18</v>
      </c>
      <c r="C1161">
        <v>153</v>
      </c>
      <c r="D1161" t="s">
        <v>19</v>
      </c>
      <c r="E1161" s="7">
        <v>10554.43</v>
      </c>
      <c r="F1161" t="s">
        <v>20</v>
      </c>
      <c r="G1161" t="s">
        <v>21</v>
      </c>
      <c r="H1161" t="str">
        <f>"T1 202204058648"</f>
        <v>T1 202204058648</v>
      </c>
      <c r="I1161" t="str">
        <f>"FED WITHHOLDINGS"</f>
        <v>FED WITHHOLDINGS</v>
      </c>
    </row>
    <row r="1162" spans="1:9" x14ac:dyDescent="0.25">
      <c r="A1162" s="6">
        <v>44656</v>
      </c>
      <c r="B1162" t="s">
        <v>18</v>
      </c>
      <c r="C1162">
        <v>153</v>
      </c>
      <c r="D1162" t="s">
        <v>19</v>
      </c>
      <c r="E1162" s="7">
        <v>14830.8</v>
      </c>
      <c r="F1162" t="s">
        <v>20</v>
      </c>
      <c r="G1162" t="s">
        <v>21</v>
      </c>
      <c r="H1162" t="str">
        <f>"T3 202204058648"</f>
        <v>T3 202204058648</v>
      </c>
      <c r="I1162" t="str">
        <f>"FICA WITHHOLDINGS"</f>
        <v>FICA WITHHOLDINGS</v>
      </c>
    </row>
    <row r="1163" spans="1:9" x14ac:dyDescent="0.25">
      <c r="A1163" s="6">
        <v>44656</v>
      </c>
      <c r="B1163" t="s">
        <v>18</v>
      </c>
      <c r="C1163">
        <v>153</v>
      </c>
      <c r="D1163" t="s">
        <v>19</v>
      </c>
      <c r="E1163" s="7">
        <v>3468.52</v>
      </c>
      <c r="F1163" t="s">
        <v>20</v>
      </c>
      <c r="G1163" t="s">
        <v>21</v>
      </c>
      <c r="H1163" t="str">
        <f>"T4 202204058648"</f>
        <v>T4 202204058648</v>
      </c>
      <c r="I1163" t="str">
        <f>"MEDICARE WITHHOLDINGS"</f>
        <v>MEDICARE WITHHOLDINGS</v>
      </c>
    </row>
    <row r="1164" spans="1:9" x14ac:dyDescent="0.25">
      <c r="A1164" s="6">
        <v>44659</v>
      </c>
      <c r="B1164" t="s">
        <v>18</v>
      </c>
      <c r="C1164">
        <v>154</v>
      </c>
      <c r="D1164" t="s">
        <v>19</v>
      </c>
      <c r="E1164" s="7">
        <v>59.52</v>
      </c>
      <c r="F1164" t="s">
        <v>20</v>
      </c>
      <c r="G1164" t="s">
        <v>21</v>
      </c>
      <c r="H1164" t="str">
        <f>"T3 202204088649"</f>
        <v>T3 202204088649</v>
      </c>
      <c r="I1164" t="str">
        <f>"FICA WITHHOLDINGS"</f>
        <v>FICA WITHHOLDINGS</v>
      </c>
    </row>
    <row r="1165" spans="1:9" x14ac:dyDescent="0.25">
      <c r="A1165" s="6">
        <v>44659</v>
      </c>
      <c r="B1165" t="s">
        <v>18</v>
      </c>
      <c r="C1165">
        <v>154</v>
      </c>
      <c r="D1165" t="s">
        <v>19</v>
      </c>
      <c r="E1165" s="7">
        <v>13.92</v>
      </c>
      <c r="F1165" t="s">
        <v>20</v>
      </c>
      <c r="G1165" t="s">
        <v>21</v>
      </c>
      <c r="H1165" t="str">
        <f>"T4 202204088649"</f>
        <v>T4 202204088649</v>
      </c>
      <c r="I1165" t="str">
        <f>"MEDICARE WITHHOLDINGS"</f>
        <v>MEDICARE WITHHOLDINGS</v>
      </c>
    </row>
    <row r="1166" spans="1:9" x14ac:dyDescent="0.25">
      <c r="A1166" s="6">
        <v>44670</v>
      </c>
      <c r="B1166" t="s">
        <v>18</v>
      </c>
      <c r="C1166">
        <v>155</v>
      </c>
      <c r="D1166" t="s">
        <v>19</v>
      </c>
      <c r="E1166" s="7">
        <v>10835.07</v>
      </c>
      <c r="F1166" t="s">
        <v>20</v>
      </c>
      <c r="G1166" t="s">
        <v>21</v>
      </c>
      <c r="H1166" t="str">
        <f>"T1 202204198650"</f>
        <v>T1 202204198650</v>
      </c>
      <c r="I1166" t="str">
        <f>"FED WITHHOLDINGS"</f>
        <v>FED WITHHOLDINGS</v>
      </c>
    </row>
    <row r="1167" spans="1:9" x14ac:dyDescent="0.25">
      <c r="A1167" s="6">
        <v>44670</v>
      </c>
      <c r="B1167" t="s">
        <v>18</v>
      </c>
      <c r="C1167">
        <v>155</v>
      </c>
      <c r="D1167" t="s">
        <v>19</v>
      </c>
      <c r="E1167" s="7">
        <v>14929.46</v>
      </c>
      <c r="F1167" t="s">
        <v>20</v>
      </c>
      <c r="G1167" t="s">
        <v>21</v>
      </c>
      <c r="H1167" t="str">
        <f>"T3 202204198650"</f>
        <v>T3 202204198650</v>
      </c>
      <c r="I1167" t="str">
        <f>"FICA WITHHOLDINGS"</f>
        <v>FICA WITHHOLDINGS</v>
      </c>
    </row>
    <row r="1168" spans="1:9" x14ac:dyDescent="0.25">
      <c r="A1168" s="6">
        <v>44670</v>
      </c>
      <c r="B1168" t="s">
        <v>18</v>
      </c>
      <c r="C1168">
        <v>155</v>
      </c>
      <c r="D1168" t="s">
        <v>19</v>
      </c>
      <c r="E1168" s="7">
        <v>3491.54</v>
      </c>
      <c r="F1168" t="s">
        <v>20</v>
      </c>
      <c r="G1168" t="s">
        <v>21</v>
      </c>
      <c r="H1168" t="str">
        <f>"T4 202204198650"</f>
        <v>T4 202204198650</v>
      </c>
      <c r="I1168" t="str">
        <f>"MEDICARE WITHHOLDINGS"</f>
        <v>MEDICARE WITHHOLDINGS</v>
      </c>
    </row>
    <row r="1169" spans="1:9" x14ac:dyDescent="0.25">
      <c r="A1169" s="6">
        <v>44676</v>
      </c>
      <c r="B1169" t="s">
        <v>18</v>
      </c>
      <c r="C1169">
        <v>156</v>
      </c>
      <c r="D1169" t="s">
        <v>19</v>
      </c>
      <c r="E1169" s="7">
        <v>14.88</v>
      </c>
      <c r="F1169" t="s">
        <v>20</v>
      </c>
      <c r="G1169" t="s">
        <v>21</v>
      </c>
      <c r="H1169" t="str">
        <f>"T3 202204258653"</f>
        <v>T3 202204258653</v>
      </c>
      <c r="I1169" t="str">
        <f>"FICA WITHHOLDINGS"</f>
        <v>FICA WITHHOLDINGS</v>
      </c>
    </row>
    <row r="1170" spans="1:9" x14ac:dyDescent="0.25">
      <c r="A1170" s="6">
        <v>44676</v>
      </c>
      <c r="B1170" t="s">
        <v>18</v>
      </c>
      <c r="C1170">
        <v>156</v>
      </c>
      <c r="D1170" t="s">
        <v>19</v>
      </c>
      <c r="E1170" s="7">
        <v>3.48</v>
      </c>
      <c r="F1170" t="s">
        <v>20</v>
      </c>
      <c r="G1170" t="s">
        <v>21</v>
      </c>
      <c r="H1170" t="str">
        <f>"T4 202204258653"</f>
        <v>T4 202204258653</v>
      </c>
      <c r="I1170" t="str">
        <f>"MEDICARE WITHHOLDINGS"</f>
        <v>MEDICARE WITHHOLDINGS</v>
      </c>
    </row>
    <row r="1171" spans="1:9" x14ac:dyDescent="0.25">
      <c r="A1171" s="6">
        <v>44684</v>
      </c>
      <c r="B1171" t="s">
        <v>18</v>
      </c>
      <c r="C1171">
        <v>157</v>
      </c>
      <c r="D1171" t="s">
        <v>19</v>
      </c>
      <c r="E1171" s="7">
        <v>10201.049999999999</v>
      </c>
      <c r="F1171" t="s">
        <v>20</v>
      </c>
      <c r="G1171" t="s">
        <v>21</v>
      </c>
      <c r="H1171" t="str">
        <f>"T1 202205038654"</f>
        <v>T1 202205038654</v>
      </c>
      <c r="I1171" t="str">
        <f>"FED WITHHOLDINGS"</f>
        <v>FED WITHHOLDINGS</v>
      </c>
    </row>
    <row r="1172" spans="1:9" x14ac:dyDescent="0.25">
      <c r="A1172" s="6">
        <v>44684</v>
      </c>
      <c r="B1172" t="s">
        <v>18</v>
      </c>
      <c r="C1172">
        <v>157</v>
      </c>
      <c r="D1172" t="s">
        <v>19</v>
      </c>
      <c r="E1172" s="7">
        <v>14430.14</v>
      </c>
      <c r="F1172" t="s">
        <v>20</v>
      </c>
      <c r="G1172" t="s">
        <v>21</v>
      </c>
      <c r="H1172" t="str">
        <f>"T3 202205038654"</f>
        <v>T3 202205038654</v>
      </c>
      <c r="I1172" t="str">
        <f>"FICA WITHHOLDINGS"</f>
        <v>FICA WITHHOLDINGS</v>
      </c>
    </row>
    <row r="1173" spans="1:9" x14ac:dyDescent="0.25">
      <c r="A1173" s="6">
        <v>44684</v>
      </c>
      <c r="B1173" t="s">
        <v>18</v>
      </c>
      <c r="C1173">
        <v>157</v>
      </c>
      <c r="D1173" t="s">
        <v>19</v>
      </c>
      <c r="E1173" s="7">
        <v>3374.76</v>
      </c>
      <c r="F1173" t="s">
        <v>20</v>
      </c>
      <c r="G1173" t="s">
        <v>21</v>
      </c>
      <c r="H1173" t="str">
        <f>"T4 202205038654"</f>
        <v>T4 202205038654</v>
      </c>
      <c r="I1173" t="str">
        <f>"MEDICARE WITHHOLDINGS"</f>
        <v>MEDICARE WITHHOLDINGS</v>
      </c>
    </row>
    <row r="1174" spans="1:9" x14ac:dyDescent="0.25">
      <c r="A1174" s="6">
        <v>44698</v>
      </c>
      <c r="B1174" t="s">
        <v>18</v>
      </c>
      <c r="C1174">
        <v>158</v>
      </c>
      <c r="D1174" t="s">
        <v>19</v>
      </c>
      <c r="E1174" s="7">
        <v>155.04</v>
      </c>
      <c r="F1174" t="s">
        <v>20</v>
      </c>
      <c r="G1174" t="s">
        <v>21</v>
      </c>
      <c r="H1174" t="str">
        <f>"T1 202205038656"</f>
        <v>T1 202205038656</v>
      </c>
      <c r="I1174" t="str">
        <f>"FED WITHHOLDINGS"</f>
        <v>FED WITHHOLDINGS</v>
      </c>
    </row>
    <row r="1175" spans="1:9" x14ac:dyDescent="0.25">
      <c r="A1175" s="6">
        <v>44698</v>
      </c>
      <c r="B1175" t="s">
        <v>18</v>
      </c>
      <c r="C1175">
        <v>158</v>
      </c>
      <c r="D1175" t="s">
        <v>19</v>
      </c>
      <c r="E1175" s="7">
        <v>189.12</v>
      </c>
      <c r="F1175" t="s">
        <v>20</v>
      </c>
      <c r="G1175" t="s">
        <v>21</v>
      </c>
      <c r="H1175" t="str">
        <f>"T3 202205038656"</f>
        <v>T3 202205038656</v>
      </c>
      <c r="I1175" t="str">
        <f>"FICA WITHHOLDINGS"</f>
        <v>FICA WITHHOLDINGS</v>
      </c>
    </row>
    <row r="1176" spans="1:9" x14ac:dyDescent="0.25">
      <c r="A1176" s="6">
        <v>44698</v>
      </c>
      <c r="B1176" t="s">
        <v>18</v>
      </c>
      <c r="C1176">
        <v>158</v>
      </c>
      <c r="D1176" t="s">
        <v>19</v>
      </c>
      <c r="E1176" s="7">
        <v>44.24</v>
      </c>
      <c r="F1176" t="s">
        <v>20</v>
      </c>
      <c r="G1176" t="s">
        <v>21</v>
      </c>
      <c r="H1176" t="str">
        <f>"T4 202205038656"</f>
        <v>T4 202205038656</v>
      </c>
      <c r="I1176" t="str">
        <f>"MEDICARE WITHHOLDINGS"</f>
        <v>MEDICARE WITHHOLDINGS</v>
      </c>
    </row>
    <row r="1177" spans="1:9" x14ac:dyDescent="0.25">
      <c r="A1177" s="6">
        <v>44698</v>
      </c>
      <c r="B1177" t="s">
        <v>18</v>
      </c>
      <c r="C1177">
        <v>159</v>
      </c>
      <c r="D1177" t="s">
        <v>19</v>
      </c>
      <c r="E1177" s="7">
        <v>10250.27</v>
      </c>
      <c r="F1177" t="s">
        <v>20</v>
      </c>
      <c r="G1177" t="s">
        <v>21</v>
      </c>
      <c r="H1177" t="str">
        <f>"T1 202205178657"</f>
        <v>T1 202205178657</v>
      </c>
      <c r="I1177" t="str">
        <f>"FED WITHHOLDINGS"</f>
        <v>FED WITHHOLDINGS</v>
      </c>
    </row>
    <row r="1178" spans="1:9" x14ac:dyDescent="0.25">
      <c r="A1178" s="6">
        <v>44698</v>
      </c>
      <c r="B1178" t="s">
        <v>18</v>
      </c>
      <c r="C1178">
        <v>159</v>
      </c>
      <c r="D1178" t="s">
        <v>19</v>
      </c>
      <c r="E1178" s="7">
        <v>14374.94</v>
      </c>
      <c r="F1178" t="s">
        <v>20</v>
      </c>
      <c r="G1178" t="s">
        <v>21</v>
      </c>
      <c r="H1178" t="str">
        <f>"T3 202205178657"</f>
        <v>T3 202205178657</v>
      </c>
      <c r="I1178" t="str">
        <f>"FICA WITHHOLDINGS"</f>
        <v>FICA WITHHOLDINGS</v>
      </c>
    </row>
    <row r="1179" spans="1:9" x14ac:dyDescent="0.25">
      <c r="A1179" s="6">
        <v>44698</v>
      </c>
      <c r="B1179" t="s">
        <v>18</v>
      </c>
      <c r="C1179">
        <v>159</v>
      </c>
      <c r="D1179" t="s">
        <v>19</v>
      </c>
      <c r="E1179" s="7">
        <v>3361.88</v>
      </c>
      <c r="F1179" t="s">
        <v>20</v>
      </c>
      <c r="G1179" t="s">
        <v>21</v>
      </c>
      <c r="H1179" t="str">
        <f>"T4 202205178657"</f>
        <v>T4 202205178657</v>
      </c>
      <c r="I1179" t="str">
        <f>"MEDICARE WITHHOLDINGS"</f>
        <v>MEDICARE WITHHOLDINGS</v>
      </c>
    </row>
    <row r="1180" spans="1:9" x14ac:dyDescent="0.25">
      <c r="A1180" s="6">
        <v>44712</v>
      </c>
      <c r="B1180" t="s">
        <v>18</v>
      </c>
      <c r="C1180">
        <v>160</v>
      </c>
      <c r="D1180" t="s">
        <v>19</v>
      </c>
      <c r="E1180" s="7">
        <v>10430</v>
      </c>
      <c r="F1180" t="s">
        <v>20</v>
      </c>
      <c r="G1180" t="s">
        <v>21</v>
      </c>
      <c r="H1180" t="str">
        <f>"T1 202205318658"</f>
        <v>T1 202205318658</v>
      </c>
      <c r="I1180" t="str">
        <f>"FED WITHHOLDINGS"</f>
        <v>FED WITHHOLDINGS</v>
      </c>
    </row>
    <row r="1181" spans="1:9" x14ac:dyDescent="0.25">
      <c r="A1181" s="6">
        <v>44712</v>
      </c>
      <c r="B1181" t="s">
        <v>18</v>
      </c>
      <c r="C1181">
        <v>160</v>
      </c>
      <c r="D1181" t="s">
        <v>19</v>
      </c>
      <c r="E1181" s="7">
        <v>14818.78</v>
      </c>
      <c r="F1181" t="s">
        <v>20</v>
      </c>
      <c r="G1181" t="s">
        <v>21</v>
      </c>
      <c r="H1181" t="str">
        <f>"T3 202205318658"</f>
        <v>T3 202205318658</v>
      </c>
      <c r="I1181" t="str">
        <f>"FICA WITHHOLDINGS"</f>
        <v>FICA WITHHOLDINGS</v>
      </c>
    </row>
    <row r="1182" spans="1:9" x14ac:dyDescent="0.25">
      <c r="A1182" s="6">
        <v>44712</v>
      </c>
      <c r="B1182" t="s">
        <v>18</v>
      </c>
      <c r="C1182">
        <v>160</v>
      </c>
      <c r="D1182" t="s">
        <v>19</v>
      </c>
      <c r="E1182" s="7">
        <v>3465.68</v>
      </c>
      <c r="F1182" t="s">
        <v>20</v>
      </c>
      <c r="G1182" t="s">
        <v>21</v>
      </c>
      <c r="H1182" t="str">
        <f>"T4 202205318658"</f>
        <v>T4 202205318658</v>
      </c>
      <c r="I1182" t="str">
        <f>"MEDICARE WITHHOLDINGS"</f>
        <v>MEDICARE WITHHOLDINGS</v>
      </c>
    </row>
    <row r="1183" spans="1:9" x14ac:dyDescent="0.25">
      <c r="A1183" s="6">
        <v>44726</v>
      </c>
      <c r="B1183" t="s">
        <v>18</v>
      </c>
      <c r="C1183">
        <v>161</v>
      </c>
      <c r="D1183" t="s">
        <v>19</v>
      </c>
      <c r="E1183" s="7">
        <v>12398.69</v>
      </c>
      <c r="F1183" t="s">
        <v>20</v>
      </c>
      <c r="G1183" t="s">
        <v>21</v>
      </c>
      <c r="H1183" t="str">
        <f>"T1 202206148660"</f>
        <v>T1 202206148660</v>
      </c>
      <c r="I1183" t="str">
        <f>"FED WITHHOLDINGS"</f>
        <v>FED WITHHOLDINGS</v>
      </c>
    </row>
    <row r="1184" spans="1:9" x14ac:dyDescent="0.25">
      <c r="A1184" s="6">
        <v>44726</v>
      </c>
      <c r="B1184" t="s">
        <v>18</v>
      </c>
      <c r="C1184">
        <v>161</v>
      </c>
      <c r="D1184" t="s">
        <v>19</v>
      </c>
      <c r="E1184" s="7">
        <v>16628.8</v>
      </c>
      <c r="F1184" t="s">
        <v>20</v>
      </c>
      <c r="G1184" t="s">
        <v>21</v>
      </c>
      <c r="H1184" t="str">
        <f>"T3 202206148660"</f>
        <v>T3 202206148660</v>
      </c>
      <c r="I1184" t="str">
        <f>"FICA WITHHOLDINGS"</f>
        <v>FICA WITHHOLDINGS</v>
      </c>
    </row>
    <row r="1185" spans="1:9" x14ac:dyDescent="0.25">
      <c r="A1185" s="6">
        <v>44726</v>
      </c>
      <c r="B1185" t="s">
        <v>18</v>
      </c>
      <c r="C1185">
        <v>161</v>
      </c>
      <c r="D1185" t="s">
        <v>19</v>
      </c>
      <c r="E1185" s="7">
        <v>3889.02</v>
      </c>
      <c r="F1185" t="s">
        <v>20</v>
      </c>
      <c r="G1185" t="s">
        <v>21</v>
      </c>
      <c r="H1185" t="str">
        <f>"T4 202206148660"</f>
        <v>T4 202206148660</v>
      </c>
      <c r="I1185" t="str">
        <f>"MEDICARE WITHHOLDINGS"</f>
        <v>MEDICARE WITHHOLDINGS</v>
      </c>
    </row>
    <row r="1186" spans="1:9" x14ac:dyDescent="0.25">
      <c r="A1186" s="6">
        <v>44740</v>
      </c>
      <c r="B1186" t="s">
        <v>18</v>
      </c>
      <c r="C1186">
        <v>162</v>
      </c>
      <c r="D1186" t="s">
        <v>19</v>
      </c>
      <c r="E1186" s="7">
        <v>12107.13</v>
      </c>
      <c r="F1186" t="s">
        <v>20</v>
      </c>
      <c r="G1186" t="s">
        <v>21</v>
      </c>
      <c r="H1186" t="str">
        <f>"T1 202206288661"</f>
        <v>T1 202206288661</v>
      </c>
      <c r="I1186" t="str">
        <f>"FED WITHHOLDINGS"</f>
        <v>FED WITHHOLDINGS</v>
      </c>
    </row>
    <row r="1187" spans="1:9" x14ac:dyDescent="0.25">
      <c r="A1187" s="6">
        <v>44740</v>
      </c>
      <c r="B1187" t="s">
        <v>18</v>
      </c>
      <c r="C1187">
        <v>162</v>
      </c>
      <c r="D1187" t="s">
        <v>19</v>
      </c>
      <c r="E1187" s="7">
        <v>16770.919999999998</v>
      </c>
      <c r="F1187" t="s">
        <v>20</v>
      </c>
      <c r="G1187" t="s">
        <v>21</v>
      </c>
      <c r="H1187" t="str">
        <f>"T3 202206288661"</f>
        <v>T3 202206288661</v>
      </c>
      <c r="I1187" t="str">
        <f>"FICA WITHHOLDINGS"</f>
        <v>FICA WITHHOLDINGS</v>
      </c>
    </row>
    <row r="1188" spans="1:9" x14ac:dyDescent="0.25">
      <c r="A1188" s="6">
        <v>44740</v>
      </c>
      <c r="B1188" t="s">
        <v>18</v>
      </c>
      <c r="C1188">
        <v>162</v>
      </c>
      <c r="D1188" t="s">
        <v>19</v>
      </c>
      <c r="E1188" s="7">
        <v>3922.2</v>
      </c>
      <c r="F1188" t="s">
        <v>20</v>
      </c>
      <c r="G1188" t="s">
        <v>21</v>
      </c>
      <c r="H1188" t="str">
        <f>"T4 202206288661"</f>
        <v>T4 202206288661</v>
      </c>
      <c r="I1188" t="str">
        <f>"MEDICARE WITHHOLDINGS"</f>
        <v>MEDICARE WITHHOLDINGS</v>
      </c>
    </row>
    <row r="1189" spans="1:9" x14ac:dyDescent="0.25">
      <c r="A1189" s="6">
        <v>44757</v>
      </c>
      <c r="B1189" t="s">
        <v>18</v>
      </c>
      <c r="C1189">
        <v>163</v>
      </c>
      <c r="D1189" t="s">
        <v>19</v>
      </c>
      <c r="E1189" s="7">
        <v>12519</v>
      </c>
      <c r="F1189" t="s">
        <v>20</v>
      </c>
      <c r="G1189" t="s">
        <v>21</v>
      </c>
      <c r="H1189" t="str">
        <f>"T1 202207128662"</f>
        <v>T1 202207128662</v>
      </c>
      <c r="I1189" t="str">
        <f>"FED WITHHOLDINGS"</f>
        <v>FED WITHHOLDINGS</v>
      </c>
    </row>
    <row r="1190" spans="1:9" x14ac:dyDescent="0.25">
      <c r="A1190" s="6">
        <v>44757</v>
      </c>
      <c r="B1190" t="s">
        <v>18</v>
      </c>
      <c r="C1190">
        <v>163</v>
      </c>
      <c r="D1190" t="s">
        <v>19</v>
      </c>
      <c r="E1190" s="7">
        <v>17062.04</v>
      </c>
      <c r="F1190" t="s">
        <v>20</v>
      </c>
      <c r="G1190" t="s">
        <v>21</v>
      </c>
      <c r="H1190" t="str">
        <f>"T3 202207128662"</f>
        <v>T3 202207128662</v>
      </c>
      <c r="I1190" t="str">
        <f>"FICA WITHHOLDINGS"</f>
        <v>FICA WITHHOLDINGS</v>
      </c>
    </row>
    <row r="1191" spans="1:9" x14ac:dyDescent="0.25">
      <c r="A1191" s="6">
        <v>44757</v>
      </c>
      <c r="B1191" t="s">
        <v>18</v>
      </c>
      <c r="C1191">
        <v>163</v>
      </c>
      <c r="D1191" t="s">
        <v>19</v>
      </c>
      <c r="E1191" s="7">
        <v>3990.38</v>
      </c>
      <c r="F1191" t="s">
        <v>20</v>
      </c>
      <c r="G1191" t="s">
        <v>21</v>
      </c>
      <c r="H1191" t="str">
        <f>"T4 202207128662"</f>
        <v>T4 202207128662</v>
      </c>
      <c r="I1191" t="str">
        <f>"MEDICARE WITHHOLDINGS"</f>
        <v>MEDICARE WITHHOLDINGS</v>
      </c>
    </row>
    <row r="1192" spans="1:9" x14ac:dyDescent="0.25">
      <c r="A1192" s="6">
        <v>44768</v>
      </c>
      <c r="B1192" t="s">
        <v>18</v>
      </c>
      <c r="C1192">
        <v>164</v>
      </c>
      <c r="D1192" t="s">
        <v>19</v>
      </c>
      <c r="E1192" s="7">
        <v>15869.54</v>
      </c>
      <c r="F1192" t="s">
        <v>20</v>
      </c>
      <c r="G1192" t="s">
        <v>21</v>
      </c>
      <c r="H1192" t="str">
        <f>"T1 202207268664"</f>
        <v>T1 202207268664</v>
      </c>
      <c r="I1192" t="str">
        <f>"FED WITHHOLDINGS"</f>
        <v>FED WITHHOLDINGS</v>
      </c>
    </row>
    <row r="1193" spans="1:9" x14ac:dyDescent="0.25">
      <c r="A1193" s="6">
        <v>44768</v>
      </c>
      <c r="B1193" t="s">
        <v>18</v>
      </c>
      <c r="C1193">
        <v>164</v>
      </c>
      <c r="D1193" t="s">
        <v>19</v>
      </c>
      <c r="E1193" s="7">
        <v>18502</v>
      </c>
      <c r="F1193" t="s">
        <v>20</v>
      </c>
      <c r="G1193" t="s">
        <v>21</v>
      </c>
      <c r="H1193" t="str">
        <f>"T3 202207268664"</f>
        <v>T3 202207268664</v>
      </c>
      <c r="I1193" t="str">
        <f>"FICA WITHHOLDINGS"</f>
        <v>FICA WITHHOLDINGS</v>
      </c>
    </row>
    <row r="1194" spans="1:9" x14ac:dyDescent="0.25">
      <c r="A1194" s="6">
        <v>44768</v>
      </c>
      <c r="B1194" t="s">
        <v>18</v>
      </c>
      <c r="C1194">
        <v>164</v>
      </c>
      <c r="D1194" t="s">
        <v>19</v>
      </c>
      <c r="E1194" s="7">
        <v>4327.1000000000004</v>
      </c>
      <c r="F1194" t="s">
        <v>20</v>
      </c>
      <c r="G1194" t="s">
        <v>21</v>
      </c>
      <c r="H1194" t="str">
        <f>"T4 202207268664"</f>
        <v>T4 202207268664</v>
      </c>
      <c r="I1194" t="str">
        <f>"MEDICARE WITHHOLDINGS"</f>
        <v>MEDICARE WITHHOLDINGS</v>
      </c>
    </row>
    <row r="1195" spans="1:9" x14ac:dyDescent="0.25">
      <c r="A1195" s="6">
        <v>44782</v>
      </c>
      <c r="B1195" t="s">
        <v>18</v>
      </c>
      <c r="C1195">
        <v>165</v>
      </c>
      <c r="D1195" t="s">
        <v>19</v>
      </c>
      <c r="E1195" s="7">
        <v>12173.79</v>
      </c>
      <c r="F1195" t="s">
        <v>20</v>
      </c>
      <c r="G1195" t="s">
        <v>21</v>
      </c>
      <c r="H1195" t="str">
        <f>"T1 202208098665"</f>
        <v>T1 202208098665</v>
      </c>
      <c r="I1195" t="str">
        <f>"FED WITHHOLDINGS"</f>
        <v>FED WITHHOLDINGS</v>
      </c>
    </row>
    <row r="1196" spans="1:9" x14ac:dyDescent="0.25">
      <c r="A1196" s="6">
        <v>44782</v>
      </c>
      <c r="B1196" t="s">
        <v>18</v>
      </c>
      <c r="C1196">
        <v>165</v>
      </c>
      <c r="D1196" t="s">
        <v>19</v>
      </c>
      <c r="E1196" s="7">
        <v>16641.22</v>
      </c>
      <c r="F1196" t="s">
        <v>20</v>
      </c>
      <c r="G1196" t="s">
        <v>21</v>
      </c>
      <c r="H1196" t="str">
        <f>"T3 202208098665"</f>
        <v>T3 202208098665</v>
      </c>
      <c r="I1196" t="str">
        <f>"FICA WITHHOLDINGS"</f>
        <v>FICA WITHHOLDINGS</v>
      </c>
    </row>
    <row r="1197" spans="1:9" x14ac:dyDescent="0.25">
      <c r="A1197" s="6">
        <v>44782</v>
      </c>
      <c r="B1197" t="s">
        <v>18</v>
      </c>
      <c r="C1197">
        <v>165</v>
      </c>
      <c r="D1197" t="s">
        <v>19</v>
      </c>
      <c r="E1197" s="7">
        <v>3891.94</v>
      </c>
      <c r="F1197" t="s">
        <v>20</v>
      </c>
      <c r="G1197" t="s">
        <v>21</v>
      </c>
      <c r="H1197" t="str">
        <f>"T4 202208098665"</f>
        <v>T4 202208098665</v>
      </c>
      <c r="I1197" t="str">
        <f>"MEDICARE WITHHOLDINGS"</f>
        <v>MEDICARE WITHHOLDINGS</v>
      </c>
    </row>
    <row r="1198" spans="1:9" x14ac:dyDescent="0.25">
      <c r="A1198" s="6">
        <v>44785</v>
      </c>
      <c r="B1198" t="s">
        <v>18</v>
      </c>
      <c r="C1198">
        <v>166</v>
      </c>
      <c r="D1198" t="s">
        <v>19</v>
      </c>
      <c r="E1198" s="7">
        <v>559.66999999999996</v>
      </c>
      <c r="F1198" t="s">
        <v>20</v>
      </c>
      <c r="G1198" t="s">
        <v>21</v>
      </c>
      <c r="H1198" t="str">
        <f>"T1 202208128666"</f>
        <v>T1 202208128666</v>
      </c>
      <c r="I1198" t="str">
        <f>"FED WITHHOLDINGS"</f>
        <v>FED WITHHOLDINGS</v>
      </c>
    </row>
    <row r="1199" spans="1:9" x14ac:dyDescent="0.25">
      <c r="A1199" s="6">
        <v>44785</v>
      </c>
      <c r="B1199" t="s">
        <v>18</v>
      </c>
      <c r="C1199">
        <v>166</v>
      </c>
      <c r="D1199" t="s">
        <v>19</v>
      </c>
      <c r="E1199" s="7">
        <v>547.76</v>
      </c>
      <c r="F1199" t="s">
        <v>20</v>
      </c>
      <c r="G1199" t="s">
        <v>21</v>
      </c>
      <c r="H1199" t="str">
        <f>"T3 202208128666"</f>
        <v>T3 202208128666</v>
      </c>
      <c r="I1199" t="str">
        <f>"FICA WITHHOLDINGS"</f>
        <v>FICA WITHHOLDINGS</v>
      </c>
    </row>
    <row r="1200" spans="1:9" x14ac:dyDescent="0.25">
      <c r="A1200" s="6">
        <v>44785</v>
      </c>
      <c r="B1200" t="s">
        <v>18</v>
      </c>
      <c r="C1200">
        <v>166</v>
      </c>
      <c r="D1200" t="s">
        <v>19</v>
      </c>
      <c r="E1200" s="7">
        <v>128.1</v>
      </c>
      <c r="F1200" t="s">
        <v>20</v>
      </c>
      <c r="G1200" t="s">
        <v>21</v>
      </c>
      <c r="H1200" t="str">
        <f>"T4 202208128666"</f>
        <v>T4 202208128666</v>
      </c>
      <c r="I1200" t="str">
        <f>"MEDICARE WITHHOLDINGS"</f>
        <v>MEDICARE WITHHOLDINGS</v>
      </c>
    </row>
    <row r="1201" spans="1:9" x14ac:dyDescent="0.25">
      <c r="A1201" s="6">
        <v>44796</v>
      </c>
      <c r="B1201" t="s">
        <v>18</v>
      </c>
      <c r="C1201">
        <v>167</v>
      </c>
      <c r="D1201" t="s">
        <v>19</v>
      </c>
      <c r="E1201" s="7">
        <v>11299.02</v>
      </c>
      <c r="F1201" t="s">
        <v>20</v>
      </c>
      <c r="G1201" t="s">
        <v>21</v>
      </c>
      <c r="H1201" t="str">
        <f>"T1 202208238667"</f>
        <v>T1 202208238667</v>
      </c>
      <c r="I1201" t="str">
        <f>"FED WITHHOLDINGS"</f>
        <v>FED WITHHOLDINGS</v>
      </c>
    </row>
    <row r="1202" spans="1:9" x14ac:dyDescent="0.25">
      <c r="A1202" s="6">
        <v>44796</v>
      </c>
      <c r="B1202" t="s">
        <v>18</v>
      </c>
      <c r="C1202">
        <v>167</v>
      </c>
      <c r="D1202" t="s">
        <v>19</v>
      </c>
      <c r="E1202" s="7">
        <v>15697.02</v>
      </c>
      <c r="F1202" t="s">
        <v>20</v>
      </c>
      <c r="G1202" t="s">
        <v>21</v>
      </c>
      <c r="H1202" t="str">
        <f>"T3 202208238667"</f>
        <v>T3 202208238667</v>
      </c>
      <c r="I1202" t="str">
        <f>"FICA WITHHOLDINGS"</f>
        <v>FICA WITHHOLDINGS</v>
      </c>
    </row>
    <row r="1203" spans="1:9" x14ac:dyDescent="0.25">
      <c r="A1203" s="6">
        <v>44796</v>
      </c>
      <c r="B1203" t="s">
        <v>18</v>
      </c>
      <c r="C1203">
        <v>167</v>
      </c>
      <c r="D1203" t="s">
        <v>19</v>
      </c>
      <c r="E1203" s="7">
        <v>3671.08</v>
      </c>
      <c r="F1203" t="s">
        <v>20</v>
      </c>
      <c r="G1203" t="s">
        <v>21</v>
      </c>
      <c r="H1203" t="str">
        <f>"T4 202208238667"</f>
        <v>T4 202208238667</v>
      </c>
      <c r="I1203" t="str">
        <f>"MEDICARE WITHHOLDINGS"</f>
        <v>MEDICARE WITHHOLDINGS</v>
      </c>
    </row>
    <row r="1204" spans="1:9" x14ac:dyDescent="0.25">
      <c r="A1204" s="6">
        <v>44810</v>
      </c>
      <c r="B1204" t="s">
        <v>18</v>
      </c>
      <c r="C1204">
        <v>168</v>
      </c>
      <c r="D1204" t="s">
        <v>19</v>
      </c>
      <c r="E1204" s="7">
        <v>11144.62</v>
      </c>
      <c r="F1204" t="s">
        <v>20</v>
      </c>
      <c r="G1204" t="s">
        <v>21</v>
      </c>
      <c r="H1204" t="str">
        <f>"T1 202209068668"</f>
        <v>T1 202209068668</v>
      </c>
      <c r="I1204" t="str">
        <f>"FED WITHHOLDINGS"</f>
        <v>FED WITHHOLDINGS</v>
      </c>
    </row>
    <row r="1205" spans="1:9" x14ac:dyDescent="0.25">
      <c r="A1205" s="6">
        <v>44810</v>
      </c>
      <c r="B1205" t="s">
        <v>18</v>
      </c>
      <c r="C1205">
        <v>168</v>
      </c>
      <c r="D1205" t="s">
        <v>19</v>
      </c>
      <c r="E1205" s="7">
        <v>15411.32</v>
      </c>
      <c r="F1205" t="s">
        <v>20</v>
      </c>
      <c r="G1205" t="s">
        <v>21</v>
      </c>
      <c r="H1205" t="str">
        <f>"T3 202209068668"</f>
        <v>T3 202209068668</v>
      </c>
      <c r="I1205" t="str">
        <f>"FICA WITHHOLDINGS"</f>
        <v>FICA WITHHOLDINGS</v>
      </c>
    </row>
    <row r="1206" spans="1:9" x14ac:dyDescent="0.25">
      <c r="A1206" s="6">
        <v>44810</v>
      </c>
      <c r="B1206" t="s">
        <v>18</v>
      </c>
      <c r="C1206">
        <v>168</v>
      </c>
      <c r="D1206" t="s">
        <v>19</v>
      </c>
      <c r="E1206" s="7">
        <v>3604.28</v>
      </c>
      <c r="F1206" t="s">
        <v>20</v>
      </c>
      <c r="G1206" t="s">
        <v>21</v>
      </c>
      <c r="H1206" t="str">
        <f>"T4 202209068668"</f>
        <v>T4 202209068668</v>
      </c>
      <c r="I1206" t="str">
        <f>"MEDICARE WITHHOLDINGS"</f>
        <v>MEDICARE WITHHOLDINGS</v>
      </c>
    </row>
    <row r="1207" spans="1:9" x14ac:dyDescent="0.25">
      <c r="A1207" s="6">
        <v>44824</v>
      </c>
      <c r="B1207" t="s">
        <v>18</v>
      </c>
      <c r="C1207">
        <v>169</v>
      </c>
      <c r="D1207" t="s">
        <v>19</v>
      </c>
      <c r="E1207" s="7">
        <v>11799.45</v>
      </c>
      <c r="F1207" t="s">
        <v>20</v>
      </c>
      <c r="G1207" t="s">
        <v>21</v>
      </c>
      <c r="H1207" t="str">
        <f>"T1 202209208669"</f>
        <v>T1 202209208669</v>
      </c>
      <c r="I1207" t="str">
        <f>"FED WITHHOLDINGS"</f>
        <v>FED WITHHOLDINGS</v>
      </c>
    </row>
    <row r="1208" spans="1:9" x14ac:dyDescent="0.25">
      <c r="A1208" s="6">
        <v>44824</v>
      </c>
      <c r="B1208" t="s">
        <v>18</v>
      </c>
      <c r="C1208">
        <v>169</v>
      </c>
      <c r="D1208" t="s">
        <v>19</v>
      </c>
      <c r="E1208" s="7">
        <v>15817.34</v>
      </c>
      <c r="F1208" t="s">
        <v>20</v>
      </c>
      <c r="G1208" t="s">
        <v>21</v>
      </c>
      <c r="H1208" t="str">
        <f>"T3 202209208669"</f>
        <v>T3 202209208669</v>
      </c>
      <c r="I1208" t="str">
        <f>"FICA WITHHOLDINGS"</f>
        <v>FICA WITHHOLDINGS</v>
      </c>
    </row>
    <row r="1209" spans="1:9" x14ac:dyDescent="0.25">
      <c r="A1209" s="6">
        <v>44824</v>
      </c>
      <c r="B1209" t="s">
        <v>18</v>
      </c>
      <c r="C1209">
        <v>169</v>
      </c>
      <c r="D1209" t="s">
        <v>19</v>
      </c>
      <c r="E1209" s="7">
        <v>3699.2</v>
      </c>
      <c r="F1209" t="s">
        <v>20</v>
      </c>
      <c r="G1209" t="s">
        <v>21</v>
      </c>
      <c r="H1209" t="str">
        <f>"T4 202209208669"</f>
        <v>T4 202209208669</v>
      </c>
      <c r="I1209" t="str">
        <f>"MEDICARE WITHHOLDINGS"</f>
        <v>MEDICARE WITHHOLDINGS</v>
      </c>
    </row>
    <row r="1210" spans="1:9" x14ac:dyDescent="0.25">
      <c r="A1210" s="6">
        <v>44834</v>
      </c>
      <c r="B1210" t="s">
        <v>18</v>
      </c>
      <c r="C1210">
        <v>171</v>
      </c>
      <c r="D1210" t="s">
        <v>19</v>
      </c>
      <c r="E1210" s="7">
        <v>725.39</v>
      </c>
      <c r="F1210" t="s">
        <v>20</v>
      </c>
      <c r="G1210" t="s">
        <v>21</v>
      </c>
      <c r="H1210" t="str">
        <f>"T1 202210038673"</f>
        <v>T1 202210038673</v>
      </c>
      <c r="I1210" t="str">
        <f>"FED WITHHOLDINGS"</f>
        <v>FED WITHHOLDINGS</v>
      </c>
    </row>
    <row r="1211" spans="1:9" x14ac:dyDescent="0.25">
      <c r="A1211" s="6">
        <v>44834</v>
      </c>
      <c r="B1211" t="s">
        <v>18</v>
      </c>
      <c r="C1211">
        <v>171</v>
      </c>
      <c r="D1211" t="s">
        <v>19</v>
      </c>
      <c r="E1211" s="7">
        <v>548.72</v>
      </c>
      <c r="F1211" t="s">
        <v>20</v>
      </c>
      <c r="G1211" t="s">
        <v>21</v>
      </c>
      <c r="H1211" t="str">
        <f>"T3 202210038673"</f>
        <v>T3 202210038673</v>
      </c>
      <c r="I1211" t="str">
        <f>"FICA WITHHOLDINGS"</f>
        <v>FICA WITHHOLDINGS</v>
      </c>
    </row>
    <row r="1212" spans="1:9" x14ac:dyDescent="0.25">
      <c r="A1212" s="6">
        <v>44834</v>
      </c>
      <c r="B1212" t="s">
        <v>18</v>
      </c>
      <c r="C1212">
        <v>171</v>
      </c>
      <c r="D1212" t="s">
        <v>19</v>
      </c>
      <c r="E1212" s="7">
        <v>128.32</v>
      </c>
      <c r="F1212" t="s">
        <v>20</v>
      </c>
      <c r="G1212" t="s">
        <v>21</v>
      </c>
      <c r="H1212" t="str">
        <f>"T4 202210038673"</f>
        <v>T4 202210038673</v>
      </c>
      <c r="I1212" t="str">
        <f>"MEDICARE WITHHOLDINGS"</f>
        <v>MEDICARE WITHHOLDINGS</v>
      </c>
    </row>
    <row r="1213" spans="1:9" x14ac:dyDescent="0.25">
      <c r="A1213" s="6">
        <v>44565</v>
      </c>
      <c r="B1213" t="s">
        <v>26</v>
      </c>
      <c r="C1213">
        <v>68485</v>
      </c>
      <c r="D1213" t="s">
        <v>90</v>
      </c>
      <c r="E1213" s="7">
        <v>-124.9</v>
      </c>
      <c r="F1213" t="s">
        <v>20</v>
      </c>
      <c r="G1213" t="s">
        <v>24</v>
      </c>
      <c r="H1213" t="str">
        <f>"419069"</f>
        <v>419069</v>
      </c>
      <c r="I1213" t="str">
        <f>"AFLAC"</f>
        <v>AFLAC</v>
      </c>
    </row>
    <row r="1214" spans="1:9" x14ac:dyDescent="0.25">
      <c r="A1214" s="6">
        <v>44565</v>
      </c>
      <c r="B1214" t="s">
        <v>26</v>
      </c>
      <c r="C1214">
        <v>68485</v>
      </c>
      <c r="D1214" t="s">
        <v>90</v>
      </c>
      <c r="E1214" s="7">
        <v>100.8</v>
      </c>
      <c r="F1214" t="s">
        <v>20</v>
      </c>
      <c r="G1214" t="s">
        <v>21</v>
      </c>
      <c r="H1214" t="str">
        <f>"ACA202111308630"</f>
        <v>ACA202111308630</v>
      </c>
      <c r="I1214" t="str">
        <f>"AFLAC INSURANCE"</f>
        <v>AFLAC INSURANCE</v>
      </c>
    </row>
    <row r="1215" spans="1:9" x14ac:dyDescent="0.25">
      <c r="A1215" s="6">
        <v>44565</v>
      </c>
      <c r="B1215" t="s">
        <v>26</v>
      </c>
      <c r="C1215">
        <v>68485</v>
      </c>
      <c r="D1215" t="s">
        <v>90</v>
      </c>
      <c r="E1215" s="7">
        <v>100.8</v>
      </c>
      <c r="F1215" t="s">
        <v>20</v>
      </c>
      <c r="G1215" t="s">
        <v>21</v>
      </c>
      <c r="H1215" t="str">
        <f>"ACA202112148633"</f>
        <v>ACA202112148633</v>
      </c>
      <c r="I1215" t="str">
        <f>"AFLAC INSURANCE"</f>
        <v>AFLAC INSURANCE</v>
      </c>
    </row>
    <row r="1216" spans="1:9" x14ac:dyDescent="0.25">
      <c r="A1216" s="6">
        <v>44565</v>
      </c>
      <c r="B1216" t="s">
        <v>26</v>
      </c>
      <c r="C1216">
        <v>68485</v>
      </c>
      <c r="D1216" t="s">
        <v>90</v>
      </c>
      <c r="E1216" s="7">
        <v>15.06</v>
      </c>
      <c r="F1216" t="s">
        <v>20</v>
      </c>
      <c r="G1216" t="s">
        <v>21</v>
      </c>
      <c r="H1216" t="str">
        <f>"ADR202111308630"</f>
        <v>ADR202111308630</v>
      </c>
      <c r="I1216" t="str">
        <f>"INSURANCE"</f>
        <v>INSURANCE</v>
      </c>
    </row>
    <row r="1217" spans="1:9" x14ac:dyDescent="0.25">
      <c r="A1217" s="6">
        <v>44565</v>
      </c>
      <c r="B1217" t="s">
        <v>26</v>
      </c>
      <c r="C1217">
        <v>68485</v>
      </c>
      <c r="D1217" t="s">
        <v>90</v>
      </c>
      <c r="E1217" s="7">
        <v>15.06</v>
      </c>
      <c r="F1217" t="s">
        <v>20</v>
      </c>
      <c r="G1217" t="s">
        <v>21</v>
      </c>
      <c r="H1217" t="str">
        <f>"ADR202112148633"</f>
        <v>ADR202112148633</v>
      </c>
      <c r="I1217" t="str">
        <f>"INSURANCE"</f>
        <v>INSURANCE</v>
      </c>
    </row>
    <row r="1218" spans="1:9" x14ac:dyDescent="0.25">
      <c r="A1218" s="6">
        <v>44565</v>
      </c>
      <c r="B1218" t="s">
        <v>26</v>
      </c>
      <c r="C1218">
        <v>68485</v>
      </c>
      <c r="D1218" t="s">
        <v>90</v>
      </c>
      <c r="E1218" s="7">
        <v>503.28</v>
      </c>
      <c r="F1218" t="s">
        <v>20</v>
      </c>
      <c r="G1218" t="s">
        <v>21</v>
      </c>
      <c r="H1218" t="str">
        <f>"AF1202111308630"</f>
        <v>AF1202111308630</v>
      </c>
      <c r="I1218" t="str">
        <f>"AFLAC INSURANCE"</f>
        <v>AFLAC INSURANCE</v>
      </c>
    </row>
    <row r="1219" spans="1:9" x14ac:dyDescent="0.25">
      <c r="A1219" s="6">
        <v>44565</v>
      </c>
      <c r="B1219" t="s">
        <v>26</v>
      </c>
      <c r="C1219">
        <v>68485</v>
      </c>
      <c r="D1219" t="s">
        <v>90</v>
      </c>
      <c r="E1219" s="7">
        <v>503.28</v>
      </c>
      <c r="F1219" t="s">
        <v>20</v>
      </c>
      <c r="G1219" t="s">
        <v>21</v>
      </c>
      <c r="H1219" t="str">
        <f>"AF1202112148633"</f>
        <v>AF1202112148633</v>
      </c>
      <c r="I1219" t="str">
        <f>"AFLAC INSURANCE"</f>
        <v>AFLAC INSURANCE</v>
      </c>
    </row>
    <row r="1220" spans="1:9" x14ac:dyDescent="0.25">
      <c r="A1220" s="6">
        <v>44565</v>
      </c>
      <c r="B1220" t="s">
        <v>26</v>
      </c>
      <c r="C1220">
        <v>68485</v>
      </c>
      <c r="D1220" t="s">
        <v>90</v>
      </c>
      <c r="E1220" s="7">
        <v>102.24</v>
      </c>
      <c r="F1220" t="s">
        <v>20</v>
      </c>
      <c r="G1220" t="s">
        <v>21</v>
      </c>
      <c r="H1220" t="str">
        <f>"AFS202111308630"</f>
        <v>AFS202111308630</v>
      </c>
      <c r="I1220" t="str">
        <f>"AFLAC STD"</f>
        <v>AFLAC STD</v>
      </c>
    </row>
    <row r="1221" spans="1:9" x14ac:dyDescent="0.25">
      <c r="A1221" s="6">
        <v>44565</v>
      </c>
      <c r="B1221" t="s">
        <v>26</v>
      </c>
      <c r="C1221">
        <v>68485</v>
      </c>
      <c r="D1221" t="s">
        <v>90</v>
      </c>
      <c r="E1221" s="7">
        <v>102.24</v>
      </c>
      <c r="F1221" t="s">
        <v>20</v>
      </c>
      <c r="G1221" t="s">
        <v>21</v>
      </c>
      <c r="H1221" t="str">
        <f>"AFS202112148633"</f>
        <v>AFS202112148633</v>
      </c>
      <c r="I1221" t="str">
        <f>"AFLAC STD"</f>
        <v>AFLAC STD</v>
      </c>
    </row>
    <row r="1222" spans="1:9" x14ac:dyDescent="0.25">
      <c r="A1222" s="6">
        <v>44565</v>
      </c>
      <c r="B1222" t="s">
        <v>26</v>
      </c>
      <c r="C1222">
        <v>68485</v>
      </c>
      <c r="D1222" t="s">
        <v>90</v>
      </c>
      <c r="E1222" s="7">
        <v>34.86</v>
      </c>
      <c r="F1222" t="s">
        <v>20</v>
      </c>
      <c r="G1222" t="s">
        <v>21</v>
      </c>
      <c r="H1222" t="str">
        <f>"ASP202111308630"</f>
        <v>ASP202111308630</v>
      </c>
      <c r="I1222" t="str">
        <f>"AFLAC INSURANCE"</f>
        <v>AFLAC INSURANCE</v>
      </c>
    </row>
    <row r="1223" spans="1:9" x14ac:dyDescent="0.25">
      <c r="A1223" s="6">
        <v>44565</v>
      </c>
      <c r="B1223" t="s">
        <v>26</v>
      </c>
      <c r="C1223">
        <v>68485</v>
      </c>
      <c r="D1223" t="s">
        <v>90</v>
      </c>
      <c r="E1223" s="7">
        <v>34.86</v>
      </c>
      <c r="F1223" t="s">
        <v>20</v>
      </c>
      <c r="G1223" t="s">
        <v>21</v>
      </c>
      <c r="H1223" t="str">
        <f>"ASP202112148633"</f>
        <v>ASP202112148633</v>
      </c>
      <c r="I1223" t="str">
        <f>"AFLAC INSURANCE"</f>
        <v>AFLAC INSURANCE</v>
      </c>
    </row>
    <row r="1224" spans="1:9" x14ac:dyDescent="0.25">
      <c r="A1224" s="6">
        <v>44565</v>
      </c>
      <c r="B1224" t="s">
        <v>26</v>
      </c>
      <c r="C1224">
        <v>68485</v>
      </c>
      <c r="D1224" t="s">
        <v>90</v>
      </c>
      <c r="E1224" s="7">
        <v>170.52</v>
      </c>
      <c r="F1224" t="s">
        <v>20</v>
      </c>
      <c r="G1224" t="s">
        <v>21</v>
      </c>
      <c r="H1224" t="str">
        <f>"HCO202111308630"</f>
        <v>HCO202111308630</v>
      </c>
      <c r="I1224" t="str">
        <f>"AFLAC INSURANCE"</f>
        <v>AFLAC INSURANCE</v>
      </c>
    </row>
    <row r="1225" spans="1:9" x14ac:dyDescent="0.25">
      <c r="A1225" s="6">
        <v>44565</v>
      </c>
      <c r="B1225" t="s">
        <v>26</v>
      </c>
      <c r="C1225">
        <v>68485</v>
      </c>
      <c r="D1225" t="s">
        <v>90</v>
      </c>
      <c r="E1225" s="7">
        <v>170.52</v>
      </c>
      <c r="F1225" t="s">
        <v>20</v>
      </c>
      <c r="G1225" t="s">
        <v>21</v>
      </c>
      <c r="H1225" t="str">
        <f>"HCO202112148633"</f>
        <v>HCO202112148633</v>
      </c>
      <c r="I1225" t="str">
        <f>"AFLAC INSURANCE"</f>
        <v>AFLAC INSURANCE</v>
      </c>
    </row>
    <row r="1226" spans="1:9" x14ac:dyDescent="0.25">
      <c r="A1226" s="6">
        <v>44565</v>
      </c>
      <c r="B1226" t="s">
        <v>26</v>
      </c>
      <c r="C1226">
        <v>68490</v>
      </c>
      <c r="D1226" t="s">
        <v>98</v>
      </c>
      <c r="E1226" s="7">
        <v>144.07</v>
      </c>
      <c r="F1226" t="s">
        <v>20</v>
      </c>
      <c r="G1226" t="s">
        <v>329</v>
      </c>
      <c r="H1226" t="str">
        <f>"1/1-1/31/2022"</f>
        <v>1/1-1/31/2022</v>
      </c>
      <c r="I1226" t="str">
        <f>"DEARBORN LIFE INSURANCE COMPAN"</f>
        <v>DEARBORN LIFE INSURANCE COMPAN</v>
      </c>
    </row>
    <row r="1227" spans="1:9" x14ac:dyDescent="0.25">
      <c r="A1227" s="6">
        <v>44565</v>
      </c>
      <c r="B1227" t="s">
        <v>26</v>
      </c>
      <c r="C1227">
        <v>68490</v>
      </c>
      <c r="D1227" t="s">
        <v>98</v>
      </c>
      <c r="E1227" s="7">
        <v>402.94</v>
      </c>
      <c r="F1227" t="s">
        <v>20</v>
      </c>
      <c r="G1227" t="s">
        <v>21</v>
      </c>
      <c r="H1227" t="str">
        <f>"STD202111308630"</f>
        <v>STD202111308630</v>
      </c>
      <c r="I1227" t="str">
        <f>"SHORT TERM DISABILITY"</f>
        <v>SHORT TERM DISABILITY</v>
      </c>
    </row>
    <row r="1228" spans="1:9" x14ac:dyDescent="0.25">
      <c r="A1228" s="6">
        <v>44565</v>
      </c>
      <c r="B1228" t="s">
        <v>26</v>
      </c>
      <c r="C1228">
        <v>68490</v>
      </c>
      <c r="D1228" t="s">
        <v>98</v>
      </c>
      <c r="E1228" s="7">
        <v>402.94</v>
      </c>
      <c r="F1228" t="s">
        <v>20</v>
      </c>
      <c r="G1228" t="s">
        <v>21</v>
      </c>
      <c r="H1228" t="str">
        <f>"STD202112148633"</f>
        <v>STD202112148633</v>
      </c>
      <c r="I1228" t="str">
        <f>"SHORT TERM DISABILITY"</f>
        <v>SHORT TERM DISABILITY</v>
      </c>
    </row>
    <row r="1229" spans="1:9" x14ac:dyDescent="0.25">
      <c r="A1229" s="6">
        <v>44565</v>
      </c>
      <c r="B1229" t="s">
        <v>26</v>
      </c>
      <c r="C1229">
        <v>68490</v>
      </c>
      <c r="D1229" t="s">
        <v>98</v>
      </c>
      <c r="E1229" s="7">
        <v>299.7</v>
      </c>
      <c r="F1229" t="s">
        <v>20</v>
      </c>
      <c r="G1229" t="s">
        <v>21</v>
      </c>
      <c r="H1229" t="str">
        <f>"VIS202111308630"</f>
        <v>VIS202111308630</v>
      </c>
      <c r="I1229" t="str">
        <f>"VISION INSURANCE"</f>
        <v>VISION INSURANCE</v>
      </c>
    </row>
    <row r="1230" spans="1:9" x14ac:dyDescent="0.25">
      <c r="A1230" s="6">
        <v>44565</v>
      </c>
      <c r="B1230" t="s">
        <v>26</v>
      </c>
      <c r="C1230">
        <v>68490</v>
      </c>
      <c r="D1230" t="s">
        <v>98</v>
      </c>
      <c r="E1230" s="7">
        <v>309.51</v>
      </c>
      <c r="F1230" t="s">
        <v>20</v>
      </c>
      <c r="G1230" t="s">
        <v>21</v>
      </c>
      <c r="H1230" t="str">
        <f>"VIS202112148633"</f>
        <v>VIS202112148633</v>
      </c>
      <c r="I1230" t="str">
        <f>"VISION INSURANCE"</f>
        <v>VISION INSURANCE</v>
      </c>
    </row>
    <row r="1231" spans="1:9" x14ac:dyDescent="0.25">
      <c r="A1231" s="6">
        <v>44565</v>
      </c>
      <c r="B1231" t="s">
        <v>26</v>
      </c>
      <c r="C1231">
        <v>68490</v>
      </c>
      <c r="D1231" t="s">
        <v>98</v>
      </c>
      <c r="E1231" s="7">
        <v>66.13</v>
      </c>
      <c r="F1231" t="s">
        <v>20</v>
      </c>
      <c r="G1231" t="s">
        <v>21</v>
      </c>
      <c r="H1231" t="str">
        <f>"VLC202111308630"</f>
        <v>VLC202111308630</v>
      </c>
      <c r="I1231" t="str">
        <f>"CHILD LIFE INSURANCE"</f>
        <v>CHILD LIFE INSURANCE</v>
      </c>
    </row>
    <row r="1232" spans="1:9" x14ac:dyDescent="0.25">
      <c r="A1232" s="6">
        <v>44565</v>
      </c>
      <c r="B1232" t="s">
        <v>26</v>
      </c>
      <c r="C1232">
        <v>68490</v>
      </c>
      <c r="D1232" t="s">
        <v>98</v>
      </c>
      <c r="E1232" s="7">
        <v>66.13</v>
      </c>
      <c r="F1232" t="s">
        <v>20</v>
      </c>
      <c r="G1232" t="s">
        <v>21</v>
      </c>
      <c r="H1232" t="str">
        <f>"VLC202112148633"</f>
        <v>VLC202112148633</v>
      </c>
      <c r="I1232" t="str">
        <f>"CHILD LIFE INSURANCE"</f>
        <v>CHILD LIFE INSURANCE</v>
      </c>
    </row>
    <row r="1233" spans="1:9" x14ac:dyDescent="0.25">
      <c r="A1233" s="6">
        <v>44565</v>
      </c>
      <c r="B1233" t="s">
        <v>26</v>
      </c>
      <c r="C1233">
        <v>68490</v>
      </c>
      <c r="D1233" t="s">
        <v>98</v>
      </c>
      <c r="E1233" s="7">
        <v>124.73</v>
      </c>
      <c r="F1233" t="s">
        <v>20</v>
      </c>
      <c r="G1233" t="s">
        <v>21</v>
      </c>
      <c r="H1233" t="str">
        <f>"VLS202111308630"</f>
        <v>VLS202111308630</v>
      </c>
      <c r="I1233" t="str">
        <f>"SPOUSE LIFE"</f>
        <v>SPOUSE LIFE</v>
      </c>
    </row>
    <row r="1234" spans="1:9" x14ac:dyDescent="0.25">
      <c r="A1234" s="6">
        <v>44565</v>
      </c>
      <c r="B1234" t="s">
        <v>26</v>
      </c>
      <c r="C1234">
        <v>68490</v>
      </c>
      <c r="D1234" t="s">
        <v>98</v>
      </c>
      <c r="E1234" s="7">
        <v>124.73</v>
      </c>
      <c r="F1234" t="s">
        <v>20</v>
      </c>
      <c r="G1234" t="s">
        <v>21</v>
      </c>
      <c r="H1234" t="str">
        <f>"VLS202112148633"</f>
        <v>VLS202112148633</v>
      </c>
      <c r="I1234" t="str">
        <f>"SPOUSE LIFE"</f>
        <v>SPOUSE LIFE</v>
      </c>
    </row>
    <row r="1235" spans="1:9" x14ac:dyDescent="0.25">
      <c r="A1235" s="6">
        <v>44565</v>
      </c>
      <c r="B1235" t="s">
        <v>26</v>
      </c>
      <c r="C1235">
        <v>68490</v>
      </c>
      <c r="D1235" t="s">
        <v>98</v>
      </c>
      <c r="E1235" s="7">
        <v>86.07</v>
      </c>
      <c r="F1235" t="s">
        <v>20</v>
      </c>
      <c r="G1235" t="s">
        <v>21</v>
      </c>
      <c r="H1235" t="str">
        <f>"VOE202111308630"</f>
        <v>VOE202111308630</v>
      </c>
      <c r="I1235" t="str">
        <f>"EMPLOYEE LIFE"</f>
        <v>EMPLOYEE LIFE</v>
      </c>
    </row>
    <row r="1236" spans="1:9" x14ac:dyDescent="0.25">
      <c r="A1236" s="6">
        <v>44565</v>
      </c>
      <c r="B1236" t="s">
        <v>26</v>
      </c>
      <c r="C1236">
        <v>68490</v>
      </c>
      <c r="D1236" t="s">
        <v>98</v>
      </c>
      <c r="E1236" s="7">
        <v>86.07</v>
      </c>
      <c r="F1236" t="s">
        <v>20</v>
      </c>
      <c r="G1236" t="s">
        <v>21</v>
      </c>
      <c r="H1236" t="str">
        <f>"VOE202112148633"</f>
        <v>VOE202112148633</v>
      </c>
      <c r="I1236" t="str">
        <f>"EMPLOYEE LIFE"</f>
        <v>EMPLOYEE LIFE</v>
      </c>
    </row>
    <row r="1237" spans="1:9" x14ac:dyDescent="0.25">
      <c r="A1237" s="6">
        <v>44565</v>
      </c>
      <c r="B1237" t="s">
        <v>26</v>
      </c>
      <c r="C1237">
        <v>68490</v>
      </c>
      <c r="D1237" t="s">
        <v>98</v>
      </c>
      <c r="E1237" s="7">
        <v>717.21</v>
      </c>
      <c r="F1237" t="s">
        <v>20</v>
      </c>
      <c r="G1237" t="s">
        <v>21</v>
      </c>
      <c r="H1237" t="str">
        <f>"VOL202111308630"</f>
        <v>VOL202111308630</v>
      </c>
      <c r="I1237" t="str">
        <f>"LIFE"</f>
        <v>LIFE</v>
      </c>
    </row>
    <row r="1238" spans="1:9" x14ac:dyDescent="0.25">
      <c r="A1238" s="6">
        <v>44565</v>
      </c>
      <c r="B1238" t="s">
        <v>26</v>
      </c>
      <c r="C1238">
        <v>68490</v>
      </c>
      <c r="D1238" t="s">
        <v>98</v>
      </c>
      <c r="E1238" s="7">
        <v>717.21</v>
      </c>
      <c r="F1238" t="s">
        <v>20</v>
      </c>
      <c r="G1238" t="s">
        <v>21</v>
      </c>
      <c r="H1238" t="str">
        <f>"VOL202112148633"</f>
        <v>VOL202112148633</v>
      </c>
      <c r="I1238" t="str">
        <f>"LIFE"</f>
        <v>LIFE</v>
      </c>
    </row>
    <row r="1239" spans="1:9" x14ac:dyDescent="0.25">
      <c r="A1239" s="6">
        <v>44565</v>
      </c>
      <c r="B1239" t="s">
        <v>26</v>
      </c>
      <c r="C1239">
        <v>68499</v>
      </c>
      <c r="D1239" t="s">
        <v>97</v>
      </c>
      <c r="E1239" s="7">
        <v>25.31</v>
      </c>
      <c r="F1239" t="s">
        <v>20</v>
      </c>
      <c r="G1239" t="s">
        <v>329</v>
      </c>
      <c r="H1239" t="str">
        <f>"1/1-2/1/20222"</f>
        <v>1/1-2/1/20222</v>
      </c>
      <c r="I1239" t="str">
        <f>"HEALTH CARE SERVICE CORPORATIO"</f>
        <v>HEALTH CARE SERVICE CORPORATIO</v>
      </c>
    </row>
    <row r="1240" spans="1:9" x14ac:dyDescent="0.25">
      <c r="A1240" s="6">
        <v>44565</v>
      </c>
      <c r="B1240" t="s">
        <v>26</v>
      </c>
      <c r="C1240">
        <v>68499</v>
      </c>
      <c r="D1240" t="s">
        <v>97</v>
      </c>
      <c r="E1240" s="7">
        <v>1189.72</v>
      </c>
      <c r="F1240" t="s">
        <v>20</v>
      </c>
      <c r="G1240" t="s">
        <v>21</v>
      </c>
      <c r="H1240" t="str">
        <f>"DEN202111308630"</f>
        <v>DEN202111308630</v>
      </c>
      <c r="I1240" t="str">
        <f>"DENTAL INSURANCE"</f>
        <v>DENTAL INSURANCE</v>
      </c>
    </row>
    <row r="1241" spans="1:9" x14ac:dyDescent="0.25">
      <c r="A1241" s="6">
        <v>44565</v>
      </c>
      <c r="B1241" t="s">
        <v>26</v>
      </c>
      <c r="C1241">
        <v>68499</v>
      </c>
      <c r="D1241" t="s">
        <v>97</v>
      </c>
      <c r="E1241" s="7">
        <v>1189.72</v>
      </c>
      <c r="F1241" t="s">
        <v>20</v>
      </c>
      <c r="G1241" t="s">
        <v>21</v>
      </c>
      <c r="H1241" t="str">
        <f>"DEN202112148633"</f>
        <v>DEN202112148633</v>
      </c>
      <c r="I1241" t="str">
        <f>"DENTAL INSURANCE"</f>
        <v>DENTAL INSURANCE</v>
      </c>
    </row>
    <row r="1242" spans="1:9" x14ac:dyDescent="0.25">
      <c r="A1242" s="6">
        <v>44565</v>
      </c>
      <c r="B1242" t="s">
        <v>26</v>
      </c>
      <c r="C1242">
        <v>68499</v>
      </c>
      <c r="D1242" t="s">
        <v>97</v>
      </c>
      <c r="E1242" s="7">
        <v>20987.9</v>
      </c>
      <c r="F1242" t="s">
        <v>20</v>
      </c>
      <c r="G1242" t="s">
        <v>21</v>
      </c>
      <c r="H1242" t="str">
        <f>"MED202111308630"</f>
        <v>MED202111308630</v>
      </c>
      <c r="I1242" t="str">
        <f>"HEALTH &amp; DENTAL INSURANCE"</f>
        <v>HEALTH &amp; DENTAL INSURANCE</v>
      </c>
    </row>
    <row r="1243" spans="1:9" x14ac:dyDescent="0.25">
      <c r="A1243" s="6">
        <v>44565</v>
      </c>
      <c r="B1243" t="s">
        <v>26</v>
      </c>
      <c r="C1243">
        <v>68499</v>
      </c>
      <c r="D1243" t="s">
        <v>97</v>
      </c>
      <c r="E1243" s="7">
        <v>20987.9</v>
      </c>
      <c r="F1243" t="s">
        <v>20</v>
      </c>
      <c r="G1243" t="s">
        <v>21</v>
      </c>
      <c r="H1243" t="str">
        <f>"MED202112148633"</f>
        <v>MED202112148633</v>
      </c>
      <c r="I1243" t="str">
        <f>"HEALTH &amp; DENTAL INSURANCE"</f>
        <v>HEALTH &amp; DENTAL INSURANCE</v>
      </c>
    </row>
    <row r="1244" spans="1:9" x14ac:dyDescent="0.25">
      <c r="A1244" s="6">
        <v>44565</v>
      </c>
      <c r="B1244" t="s">
        <v>26</v>
      </c>
      <c r="C1244">
        <v>68504</v>
      </c>
      <c r="D1244" t="s">
        <v>95</v>
      </c>
      <c r="E1244" s="7">
        <v>12.66</v>
      </c>
      <c r="F1244" t="s">
        <v>20</v>
      </c>
      <c r="G1244" t="s">
        <v>21</v>
      </c>
      <c r="H1244" t="str">
        <f>"LEA202111308630"</f>
        <v>LEA202111308630</v>
      </c>
      <c r="I1244" t="str">
        <f>"INSURANCE"</f>
        <v>INSURANCE</v>
      </c>
    </row>
    <row r="1245" spans="1:9" x14ac:dyDescent="0.25">
      <c r="A1245" s="6">
        <v>44565</v>
      </c>
      <c r="B1245" t="s">
        <v>26</v>
      </c>
      <c r="C1245">
        <v>68504</v>
      </c>
      <c r="D1245" t="s">
        <v>95</v>
      </c>
      <c r="E1245" s="7">
        <v>12.66</v>
      </c>
      <c r="F1245" t="s">
        <v>20</v>
      </c>
      <c r="G1245" t="s">
        <v>21</v>
      </c>
      <c r="H1245" t="str">
        <f>"LEA202112148633"</f>
        <v>LEA202112148633</v>
      </c>
      <c r="I1245" t="str">
        <f>"INSURANCE"</f>
        <v>INSURANCE</v>
      </c>
    </row>
    <row r="1246" spans="1:9" x14ac:dyDescent="0.25">
      <c r="A1246" s="6">
        <v>44565</v>
      </c>
      <c r="B1246" t="s">
        <v>26</v>
      </c>
      <c r="C1246">
        <v>68505</v>
      </c>
      <c r="D1246" t="s">
        <v>96</v>
      </c>
      <c r="E1246" s="7">
        <v>112.62</v>
      </c>
      <c r="F1246" t="s">
        <v>20</v>
      </c>
      <c r="G1246" t="s">
        <v>21</v>
      </c>
      <c r="H1246" t="str">
        <f>"PPL202111308630"</f>
        <v>PPL202111308630</v>
      </c>
      <c r="I1246" t="str">
        <f>"INSURANCE"</f>
        <v>INSURANCE</v>
      </c>
    </row>
    <row r="1247" spans="1:9" x14ac:dyDescent="0.25">
      <c r="A1247" s="6">
        <v>44565</v>
      </c>
      <c r="B1247" t="s">
        <v>26</v>
      </c>
      <c r="C1247">
        <v>68505</v>
      </c>
      <c r="D1247" t="s">
        <v>96</v>
      </c>
      <c r="E1247" s="7">
        <v>112.62</v>
      </c>
      <c r="F1247" t="s">
        <v>20</v>
      </c>
      <c r="G1247" t="s">
        <v>21</v>
      </c>
      <c r="H1247" t="str">
        <f>"PPL202112148633"</f>
        <v>PPL202112148633</v>
      </c>
      <c r="I1247" t="str">
        <f>"INSURANCE"</f>
        <v>INSURANCE</v>
      </c>
    </row>
    <row r="1248" spans="1:9" x14ac:dyDescent="0.25">
      <c r="A1248" s="6">
        <v>44566</v>
      </c>
      <c r="B1248" t="s">
        <v>26</v>
      </c>
      <c r="C1248">
        <v>68506</v>
      </c>
      <c r="D1248" t="s">
        <v>941</v>
      </c>
      <c r="E1248" s="7">
        <v>9106.92</v>
      </c>
      <c r="F1248" t="s">
        <v>20</v>
      </c>
      <c r="G1248" t="s">
        <v>21</v>
      </c>
      <c r="H1248" t="str">
        <f>"20117"</f>
        <v>20117</v>
      </c>
      <c r="I1248" t="str">
        <f>"ADCOMP SYSTEMS  INC"</f>
        <v>ADCOMP SYSTEMS  INC</v>
      </c>
    </row>
    <row r="1249" spans="1:9" x14ac:dyDescent="0.25">
      <c r="A1249" s="6">
        <v>44566</v>
      </c>
      <c r="B1249" t="s">
        <v>26</v>
      </c>
      <c r="C1249">
        <v>68507</v>
      </c>
      <c r="D1249" t="s">
        <v>1074</v>
      </c>
      <c r="E1249" s="7">
        <v>153.82</v>
      </c>
      <c r="F1249" t="s">
        <v>20</v>
      </c>
      <c r="G1249" t="s">
        <v>21</v>
      </c>
      <c r="H1249" t="str">
        <f>"1GPY-XGN7-L4DJ"</f>
        <v>1GPY-XGN7-L4DJ</v>
      </c>
      <c r="I1249" t="str">
        <f>"AMAZON CAPITAL SERVICES"</f>
        <v>AMAZON CAPITAL SERVICES</v>
      </c>
    </row>
    <row r="1250" spans="1:9" x14ac:dyDescent="0.25">
      <c r="A1250" s="6">
        <v>44566</v>
      </c>
      <c r="B1250" t="s">
        <v>26</v>
      </c>
      <c r="C1250">
        <v>68508</v>
      </c>
      <c r="D1250" t="s">
        <v>115</v>
      </c>
      <c r="E1250" s="7">
        <v>100.74</v>
      </c>
      <c r="F1250" t="s">
        <v>20</v>
      </c>
      <c r="G1250" t="s">
        <v>21</v>
      </c>
      <c r="H1250" t="str">
        <f>"3547158331"</f>
        <v>3547158331</v>
      </c>
      <c r="I1250" t="str">
        <f>"AUTOZONE"</f>
        <v>AUTOZONE</v>
      </c>
    </row>
    <row r="1251" spans="1:9" x14ac:dyDescent="0.25">
      <c r="A1251" s="6">
        <v>44566</v>
      </c>
      <c r="B1251" t="s">
        <v>26</v>
      </c>
      <c r="C1251">
        <v>68509</v>
      </c>
      <c r="D1251" t="s">
        <v>836</v>
      </c>
      <c r="E1251" s="7">
        <v>4454</v>
      </c>
      <c r="F1251" t="s">
        <v>20</v>
      </c>
      <c r="G1251" t="s">
        <v>21</v>
      </c>
      <c r="H1251" t="str">
        <f>"81336"</f>
        <v>81336</v>
      </c>
      <c r="I1251" t="str">
        <f>"BARCOM TECHNOLOGY SOLUTIONS  I"</f>
        <v>BARCOM TECHNOLOGY SOLUTIONS  I</v>
      </c>
    </row>
    <row r="1252" spans="1:9" x14ac:dyDescent="0.25">
      <c r="A1252" s="6">
        <v>44566</v>
      </c>
      <c r="B1252" t="s">
        <v>26</v>
      </c>
      <c r="C1252">
        <v>68509</v>
      </c>
      <c r="D1252" t="s">
        <v>836</v>
      </c>
      <c r="E1252" s="7">
        <v>1392.64</v>
      </c>
      <c r="F1252" t="s">
        <v>20</v>
      </c>
      <c r="G1252" t="s">
        <v>21</v>
      </c>
      <c r="H1252" t="str">
        <f>"81337"</f>
        <v>81337</v>
      </c>
      <c r="I1252" t="str">
        <f>"BARCOM TECHNOLOGY SOLUTIONS  I"</f>
        <v>BARCOM TECHNOLOGY SOLUTIONS  I</v>
      </c>
    </row>
    <row r="1253" spans="1:9" x14ac:dyDescent="0.25">
      <c r="A1253" s="6">
        <v>44566</v>
      </c>
      <c r="B1253" t="s">
        <v>26</v>
      </c>
      <c r="C1253">
        <v>68511</v>
      </c>
      <c r="D1253" t="s">
        <v>63</v>
      </c>
      <c r="E1253" s="7">
        <v>202.04</v>
      </c>
      <c r="F1253" t="s">
        <v>20</v>
      </c>
      <c r="G1253" t="s">
        <v>21</v>
      </c>
      <c r="H1253" t="str">
        <f>"8405465041"</f>
        <v>8405465041</v>
      </c>
      <c r="I1253" t="str">
        <f>"CINTAS CORPORATION"</f>
        <v>CINTAS CORPORATION</v>
      </c>
    </row>
    <row r="1254" spans="1:9" x14ac:dyDescent="0.25">
      <c r="A1254" s="6">
        <v>44566</v>
      </c>
      <c r="B1254" t="s">
        <v>26</v>
      </c>
      <c r="C1254">
        <v>68512</v>
      </c>
      <c r="D1254" t="s">
        <v>71</v>
      </c>
      <c r="E1254" s="7">
        <v>144.01</v>
      </c>
      <c r="F1254" t="s">
        <v>20</v>
      </c>
      <c r="G1254" t="s">
        <v>21</v>
      </c>
      <c r="H1254" t="str">
        <f>"4103097622"</f>
        <v>4103097622</v>
      </c>
      <c r="I1254" t="str">
        <f t="shared" ref="I1254:I1260" si="28">"CINTAS CORPORATION #087"</f>
        <v>CINTAS CORPORATION #087</v>
      </c>
    </row>
    <row r="1255" spans="1:9" x14ac:dyDescent="0.25">
      <c r="A1255" s="6">
        <v>44566</v>
      </c>
      <c r="B1255" t="s">
        <v>26</v>
      </c>
      <c r="C1255">
        <v>68512</v>
      </c>
      <c r="D1255" t="s">
        <v>71</v>
      </c>
      <c r="E1255" s="7">
        <v>600.36</v>
      </c>
      <c r="F1255" t="s">
        <v>20</v>
      </c>
      <c r="G1255" t="s">
        <v>21</v>
      </c>
      <c r="H1255" t="str">
        <f>"4104441206"</f>
        <v>4104441206</v>
      </c>
      <c r="I1255" t="str">
        <f t="shared" si="28"/>
        <v>CINTAS CORPORATION #087</v>
      </c>
    </row>
    <row r="1256" spans="1:9" x14ac:dyDescent="0.25">
      <c r="A1256" s="6">
        <v>44566</v>
      </c>
      <c r="B1256" t="s">
        <v>26</v>
      </c>
      <c r="C1256">
        <v>68512</v>
      </c>
      <c r="D1256" t="s">
        <v>71</v>
      </c>
      <c r="E1256" s="7">
        <v>30.26</v>
      </c>
      <c r="F1256" t="s">
        <v>20</v>
      </c>
      <c r="G1256" t="s">
        <v>21</v>
      </c>
      <c r="H1256" t="str">
        <f>"4105146267"</f>
        <v>4105146267</v>
      </c>
      <c r="I1256" t="str">
        <f t="shared" si="28"/>
        <v>CINTAS CORPORATION #087</v>
      </c>
    </row>
    <row r="1257" spans="1:9" x14ac:dyDescent="0.25">
      <c r="A1257" s="6">
        <v>44566</v>
      </c>
      <c r="B1257" t="s">
        <v>26</v>
      </c>
      <c r="C1257">
        <v>68512</v>
      </c>
      <c r="D1257" t="s">
        <v>71</v>
      </c>
      <c r="E1257" s="7">
        <v>8.9</v>
      </c>
      <c r="F1257" t="s">
        <v>20</v>
      </c>
      <c r="G1257" t="s">
        <v>21</v>
      </c>
      <c r="H1257" t="str">
        <f>"4105146330"</f>
        <v>4105146330</v>
      </c>
      <c r="I1257" t="str">
        <f t="shared" si="28"/>
        <v>CINTAS CORPORATION #087</v>
      </c>
    </row>
    <row r="1258" spans="1:9" x14ac:dyDescent="0.25">
      <c r="A1258" s="6">
        <v>44566</v>
      </c>
      <c r="B1258" t="s">
        <v>26</v>
      </c>
      <c r="C1258">
        <v>68512</v>
      </c>
      <c r="D1258" t="s">
        <v>71</v>
      </c>
      <c r="E1258" s="7">
        <v>54.76</v>
      </c>
      <c r="F1258" t="s">
        <v>20</v>
      </c>
      <c r="G1258" t="s">
        <v>21</v>
      </c>
      <c r="H1258" t="str">
        <f>"4105146333"</f>
        <v>4105146333</v>
      </c>
      <c r="I1258" t="str">
        <f t="shared" si="28"/>
        <v>CINTAS CORPORATION #087</v>
      </c>
    </row>
    <row r="1259" spans="1:9" x14ac:dyDescent="0.25">
      <c r="A1259" s="6">
        <v>44566</v>
      </c>
      <c r="B1259" t="s">
        <v>26</v>
      </c>
      <c r="C1259">
        <v>68512</v>
      </c>
      <c r="D1259" t="s">
        <v>71</v>
      </c>
      <c r="E1259" s="7">
        <v>32.18</v>
      </c>
      <c r="F1259" t="s">
        <v>20</v>
      </c>
      <c r="G1259" t="s">
        <v>21</v>
      </c>
      <c r="H1259" t="str">
        <f>"4105146338"</f>
        <v>4105146338</v>
      </c>
      <c r="I1259" t="str">
        <f t="shared" si="28"/>
        <v>CINTAS CORPORATION #087</v>
      </c>
    </row>
    <row r="1260" spans="1:9" x14ac:dyDescent="0.25">
      <c r="A1260" s="6">
        <v>44566</v>
      </c>
      <c r="B1260" t="s">
        <v>26</v>
      </c>
      <c r="C1260">
        <v>68512</v>
      </c>
      <c r="D1260" t="s">
        <v>71</v>
      </c>
      <c r="E1260" s="7">
        <v>193.33</v>
      </c>
      <c r="F1260" t="s">
        <v>20</v>
      </c>
      <c r="G1260" t="s">
        <v>21</v>
      </c>
      <c r="H1260" t="str">
        <f>"4105146410"</f>
        <v>4105146410</v>
      </c>
      <c r="I1260" t="str">
        <f t="shared" si="28"/>
        <v>CINTAS CORPORATION #087</v>
      </c>
    </row>
    <row r="1261" spans="1:9" x14ac:dyDescent="0.25">
      <c r="A1261" s="6">
        <v>44566</v>
      </c>
      <c r="B1261" t="s">
        <v>26</v>
      </c>
      <c r="C1261">
        <v>68514</v>
      </c>
      <c r="D1261" t="s">
        <v>0</v>
      </c>
      <c r="E1261" s="7">
        <v>2873.39</v>
      </c>
      <c r="F1261" t="s">
        <v>20</v>
      </c>
      <c r="G1261" t="s">
        <v>21</v>
      </c>
      <c r="H1261" t="str">
        <f>"11/10-12/10/2021"</f>
        <v>11/10-12/10/2021</v>
      </c>
      <c r="I1261" t="str">
        <f>"CITY OF FLORESVILLE"</f>
        <v>CITY OF FLORESVILLE</v>
      </c>
    </row>
    <row r="1262" spans="1:9" x14ac:dyDescent="0.25">
      <c r="A1262" s="6">
        <v>44566</v>
      </c>
      <c r="B1262" t="s">
        <v>26</v>
      </c>
      <c r="C1262">
        <v>68515</v>
      </c>
      <c r="D1262" t="s">
        <v>180</v>
      </c>
      <c r="E1262" s="7">
        <v>155.58000000000001</v>
      </c>
      <c r="F1262" t="s">
        <v>20</v>
      </c>
      <c r="G1262" t="s">
        <v>21</v>
      </c>
      <c r="H1262" t="str">
        <f>"2112-152706"</f>
        <v>2112-152706</v>
      </c>
      <c r="I1262" t="str">
        <f>"DITTMAR LUMBER CO."</f>
        <v>DITTMAR LUMBER CO.</v>
      </c>
    </row>
    <row r="1263" spans="1:9" x14ac:dyDescent="0.25">
      <c r="A1263" s="6">
        <v>44566</v>
      </c>
      <c r="B1263" t="s">
        <v>26</v>
      </c>
      <c r="C1263">
        <v>68515</v>
      </c>
      <c r="D1263" t="s">
        <v>180</v>
      </c>
      <c r="E1263" s="7">
        <v>39.950000000000003</v>
      </c>
      <c r="F1263" t="s">
        <v>20</v>
      </c>
      <c r="G1263" t="s">
        <v>21</v>
      </c>
      <c r="H1263" t="str">
        <f>"2112-155916"</f>
        <v>2112-155916</v>
      </c>
      <c r="I1263" t="str">
        <f>"DITTMAR LUMBER CO."</f>
        <v>DITTMAR LUMBER CO.</v>
      </c>
    </row>
    <row r="1264" spans="1:9" x14ac:dyDescent="0.25">
      <c r="A1264" s="6">
        <v>44566</v>
      </c>
      <c r="B1264" t="s">
        <v>26</v>
      </c>
      <c r="C1264">
        <v>68516</v>
      </c>
      <c r="D1264" t="s">
        <v>214</v>
      </c>
      <c r="E1264" s="7">
        <v>120</v>
      </c>
      <c r="F1264" t="s">
        <v>20</v>
      </c>
      <c r="G1264" t="s">
        <v>21</v>
      </c>
      <c r="H1264" t="str">
        <f>"0041892-IN"</f>
        <v>0041892-IN</v>
      </c>
      <c r="I1264" t="str">
        <f>"FLAG"</f>
        <v>FLAG</v>
      </c>
    </row>
    <row r="1265" spans="1:9" x14ac:dyDescent="0.25">
      <c r="A1265" s="6">
        <v>44566</v>
      </c>
      <c r="B1265" t="s">
        <v>26</v>
      </c>
      <c r="C1265">
        <v>68517</v>
      </c>
      <c r="D1265" t="s">
        <v>980</v>
      </c>
      <c r="E1265" s="7">
        <v>228</v>
      </c>
      <c r="F1265" t="s">
        <v>20</v>
      </c>
      <c r="G1265" t="s">
        <v>21</v>
      </c>
      <c r="H1265" t="str">
        <f>"2/1-1/31/2023"</f>
        <v>2/1-1/31/2023</v>
      </c>
      <c r="I1265" t="str">
        <f>"DOMAIN LISTINGS"</f>
        <v>DOMAIN LISTINGS</v>
      </c>
    </row>
    <row r="1266" spans="1:9" x14ac:dyDescent="0.25">
      <c r="A1266" s="6">
        <v>44566</v>
      </c>
      <c r="B1266" t="s">
        <v>26</v>
      </c>
      <c r="C1266">
        <v>68518</v>
      </c>
      <c r="D1266" t="s">
        <v>79</v>
      </c>
      <c r="E1266" s="7">
        <v>33.68</v>
      </c>
      <c r="F1266" t="s">
        <v>20</v>
      </c>
      <c r="G1266" t="s">
        <v>21</v>
      </c>
      <c r="H1266" t="str">
        <f>"7-607-94209"</f>
        <v>7-607-94209</v>
      </c>
      <c r="I1266" t="str">
        <f>"FEDEX"</f>
        <v>FEDEX</v>
      </c>
    </row>
    <row r="1267" spans="1:9" x14ac:dyDescent="0.25">
      <c r="A1267" s="6">
        <v>44566</v>
      </c>
      <c r="B1267" t="s">
        <v>26</v>
      </c>
      <c r="C1267">
        <v>68519</v>
      </c>
      <c r="D1267" t="s">
        <v>85</v>
      </c>
      <c r="E1267" s="7">
        <v>59.2</v>
      </c>
      <c r="F1267" t="s">
        <v>20</v>
      </c>
      <c r="G1267" t="s">
        <v>21</v>
      </c>
      <c r="H1267" t="str">
        <f>"2162691 12/2021"</f>
        <v>2162691 12/2021</v>
      </c>
      <c r="I1267" t="str">
        <f>"FRONTIER"</f>
        <v>FRONTIER</v>
      </c>
    </row>
    <row r="1268" spans="1:9" x14ac:dyDescent="0.25">
      <c r="A1268" s="6">
        <v>44566</v>
      </c>
      <c r="B1268" t="s">
        <v>26</v>
      </c>
      <c r="C1268">
        <v>68519</v>
      </c>
      <c r="D1268" t="s">
        <v>85</v>
      </c>
      <c r="E1268" s="7">
        <v>43.11</v>
      </c>
      <c r="F1268" t="s">
        <v>20</v>
      </c>
      <c r="G1268" t="s">
        <v>21</v>
      </c>
      <c r="H1268" t="str">
        <f>"3933718 12/2021"</f>
        <v>3933718 12/2021</v>
      </c>
      <c r="I1268" t="str">
        <f>"FRONTIER"</f>
        <v>FRONTIER</v>
      </c>
    </row>
    <row r="1269" spans="1:9" x14ac:dyDescent="0.25">
      <c r="A1269" s="6">
        <v>44566</v>
      </c>
      <c r="B1269" t="s">
        <v>26</v>
      </c>
      <c r="C1269">
        <v>68519</v>
      </c>
      <c r="D1269" t="s">
        <v>85</v>
      </c>
      <c r="E1269" s="7">
        <v>480</v>
      </c>
      <c r="F1269" t="s">
        <v>20</v>
      </c>
      <c r="G1269" t="s">
        <v>21</v>
      </c>
      <c r="H1269" t="str">
        <f>"8301970046 12/2021"</f>
        <v>8301970046 12/2021</v>
      </c>
      <c r="I1269" t="str">
        <f>"FRONTIER"</f>
        <v>FRONTIER</v>
      </c>
    </row>
    <row r="1270" spans="1:9" x14ac:dyDescent="0.25">
      <c r="A1270" s="6">
        <v>44566</v>
      </c>
      <c r="B1270" t="s">
        <v>26</v>
      </c>
      <c r="C1270">
        <v>68520</v>
      </c>
      <c r="D1270" t="s">
        <v>56</v>
      </c>
      <c r="E1270" s="7">
        <v>170</v>
      </c>
      <c r="F1270" t="s">
        <v>20</v>
      </c>
      <c r="G1270" t="s">
        <v>21</v>
      </c>
      <c r="H1270" t="str">
        <f>"197437"</f>
        <v>197437</v>
      </c>
      <c r="I1270" t="str">
        <f>"GLYPHOSATE"</f>
        <v>GLYPHOSATE</v>
      </c>
    </row>
    <row r="1271" spans="1:9" x14ac:dyDescent="0.25">
      <c r="A1271" s="6">
        <v>44566</v>
      </c>
      <c r="B1271" t="s">
        <v>26</v>
      </c>
      <c r="C1271">
        <v>68521</v>
      </c>
      <c r="D1271" t="s">
        <v>398</v>
      </c>
      <c r="E1271" s="7">
        <v>56.5</v>
      </c>
      <c r="F1271" t="s">
        <v>20</v>
      </c>
      <c r="G1271" t="s">
        <v>21</v>
      </c>
      <c r="H1271" t="str">
        <f>"20220108"</f>
        <v>20220108</v>
      </c>
      <c r="I1271" t="str">
        <f>"INTERCEPTOR TECHNOLOGY GROUP L"</f>
        <v>INTERCEPTOR TECHNOLOGY GROUP L</v>
      </c>
    </row>
    <row r="1272" spans="1:9" x14ac:dyDescent="0.25">
      <c r="A1272" s="6">
        <v>44566</v>
      </c>
      <c r="B1272" t="s">
        <v>26</v>
      </c>
      <c r="C1272">
        <v>68522</v>
      </c>
      <c r="D1272" t="s">
        <v>107</v>
      </c>
      <c r="E1272" s="7">
        <v>193.75</v>
      </c>
      <c r="F1272" t="s">
        <v>20</v>
      </c>
      <c r="G1272" t="s">
        <v>21</v>
      </c>
      <c r="H1272" t="str">
        <f>"1166960-20211130"</f>
        <v>1166960-20211130</v>
      </c>
      <c r="I1272" t="str">
        <f>"LEXISNEXIS RISK SOLUTIONS"</f>
        <v>LEXISNEXIS RISK SOLUTIONS</v>
      </c>
    </row>
    <row r="1273" spans="1:9" x14ac:dyDescent="0.25">
      <c r="A1273" s="6">
        <v>44566</v>
      </c>
      <c r="B1273" t="s">
        <v>26</v>
      </c>
      <c r="C1273">
        <v>68523</v>
      </c>
      <c r="D1273" t="s">
        <v>1136</v>
      </c>
      <c r="E1273" s="7">
        <v>480</v>
      </c>
      <c r="F1273" t="s">
        <v>20</v>
      </c>
      <c r="G1273" t="s">
        <v>21</v>
      </c>
      <c r="H1273" t="str">
        <f>"INV0083"</f>
        <v>INV0083</v>
      </c>
      <c r="I1273" t="str">
        <f>"LUX ELECTRIC LLC"</f>
        <v>LUX ELECTRIC LLC</v>
      </c>
    </row>
    <row r="1274" spans="1:9" x14ac:dyDescent="0.25">
      <c r="A1274" s="6">
        <v>44566</v>
      </c>
      <c r="B1274" t="s">
        <v>26</v>
      </c>
      <c r="C1274">
        <v>68524</v>
      </c>
      <c r="D1274" t="s">
        <v>80</v>
      </c>
      <c r="E1274" s="7">
        <v>750</v>
      </c>
      <c r="F1274" t="s">
        <v>20</v>
      </c>
      <c r="G1274" t="s">
        <v>21</v>
      </c>
      <c r="H1274" t="str">
        <f>"1648-20220101-1"</f>
        <v>1648-20220101-1</v>
      </c>
      <c r="I1274" t="str">
        <f>"LVWIFI.COM"</f>
        <v>LVWIFI.COM</v>
      </c>
    </row>
    <row r="1275" spans="1:9" x14ac:dyDescent="0.25">
      <c r="A1275" s="6">
        <v>44566</v>
      </c>
      <c r="B1275" t="s">
        <v>26</v>
      </c>
      <c r="C1275">
        <v>68524</v>
      </c>
      <c r="D1275" t="s">
        <v>80</v>
      </c>
      <c r="E1275" s="7">
        <v>750</v>
      </c>
      <c r="F1275" t="s">
        <v>20</v>
      </c>
      <c r="G1275" t="s">
        <v>21</v>
      </c>
      <c r="H1275" t="str">
        <f>"2313-20220101-1"</f>
        <v>2313-20220101-1</v>
      </c>
      <c r="I1275" t="str">
        <f>"LVWIFI.COM"</f>
        <v>LVWIFI.COM</v>
      </c>
    </row>
    <row r="1276" spans="1:9" x14ac:dyDescent="0.25">
      <c r="A1276" s="6">
        <v>44566</v>
      </c>
      <c r="B1276" t="s">
        <v>26</v>
      </c>
      <c r="C1276">
        <v>68525</v>
      </c>
      <c r="D1276" t="s">
        <v>326</v>
      </c>
      <c r="E1276" s="7">
        <v>47</v>
      </c>
      <c r="F1276" t="s">
        <v>20</v>
      </c>
      <c r="G1276" t="s">
        <v>21</v>
      </c>
      <c r="H1276" t="str">
        <f>"0024840975"</f>
        <v>0024840975</v>
      </c>
      <c r="I1276" t="str">
        <f>"MATHESON TRI-GAS INC"</f>
        <v>MATHESON TRI-GAS INC</v>
      </c>
    </row>
    <row r="1277" spans="1:9" x14ac:dyDescent="0.25">
      <c r="A1277" s="6">
        <v>44566</v>
      </c>
      <c r="B1277" t="s">
        <v>26</v>
      </c>
      <c r="C1277">
        <v>68526</v>
      </c>
      <c r="D1277" t="s">
        <v>345</v>
      </c>
      <c r="E1277" s="7">
        <v>264</v>
      </c>
      <c r="F1277" t="s">
        <v>20</v>
      </c>
      <c r="G1277" t="s">
        <v>21</v>
      </c>
      <c r="H1277" t="str">
        <f>"01/04/2022"</f>
        <v>01/04/2022</v>
      </c>
      <c r="I1277" t="str">
        <f>"MICHAEL ISAAC MARTINEZ"</f>
        <v>MICHAEL ISAAC MARTINEZ</v>
      </c>
    </row>
    <row r="1278" spans="1:9" x14ac:dyDescent="0.25">
      <c r="A1278" s="6">
        <v>44566</v>
      </c>
      <c r="B1278" t="s">
        <v>26</v>
      </c>
      <c r="C1278">
        <v>68527</v>
      </c>
      <c r="D1278" t="s">
        <v>240</v>
      </c>
      <c r="E1278" s="7">
        <v>578.92999999999995</v>
      </c>
      <c r="F1278" t="s">
        <v>20</v>
      </c>
      <c r="G1278" t="s">
        <v>21</v>
      </c>
      <c r="H1278" t="str">
        <f>"0221906-IN"</f>
        <v>0221906-IN</v>
      </c>
      <c r="I1278" t="str">
        <f>"NEW OFFICER UNIFORMS"</f>
        <v>NEW OFFICER UNIFORMS</v>
      </c>
    </row>
    <row r="1279" spans="1:9" x14ac:dyDescent="0.25">
      <c r="A1279" s="6">
        <v>44566</v>
      </c>
      <c r="B1279" t="s">
        <v>26</v>
      </c>
      <c r="C1279">
        <v>68527</v>
      </c>
      <c r="D1279" t="s">
        <v>240</v>
      </c>
      <c r="E1279" s="7">
        <v>276.92</v>
      </c>
      <c r="F1279" t="s">
        <v>20</v>
      </c>
      <c r="G1279" t="s">
        <v>21</v>
      </c>
      <c r="H1279" t="str">
        <f>"0221922-IN"</f>
        <v>0221922-IN</v>
      </c>
      <c r="I1279" t="str">
        <f>"NARDIS PUBLIC SAFETY"</f>
        <v>NARDIS PUBLIC SAFETY</v>
      </c>
    </row>
    <row r="1280" spans="1:9" x14ac:dyDescent="0.25">
      <c r="A1280" s="6">
        <v>44566</v>
      </c>
      <c r="B1280" t="s">
        <v>26</v>
      </c>
      <c r="C1280">
        <v>68527</v>
      </c>
      <c r="D1280" t="s">
        <v>240</v>
      </c>
      <c r="E1280" s="7">
        <v>266.81</v>
      </c>
      <c r="F1280" t="s">
        <v>20</v>
      </c>
      <c r="G1280" t="s">
        <v>21</v>
      </c>
      <c r="H1280" t="str">
        <f>"0221924-IN"</f>
        <v>0221924-IN</v>
      </c>
      <c r="I1280" t="str">
        <f>"NARDIS PUBLIC SAFETY"</f>
        <v>NARDIS PUBLIC SAFETY</v>
      </c>
    </row>
    <row r="1281" spans="1:9" x14ac:dyDescent="0.25">
      <c r="A1281" s="6">
        <v>44566</v>
      </c>
      <c r="B1281" t="s">
        <v>26</v>
      </c>
      <c r="C1281">
        <v>68528</v>
      </c>
      <c r="D1281" t="s">
        <v>184</v>
      </c>
      <c r="E1281" s="7">
        <v>1004</v>
      </c>
      <c r="F1281" t="s">
        <v>20</v>
      </c>
      <c r="G1281" t="s">
        <v>21</v>
      </c>
      <c r="H1281" t="str">
        <f>"1065-501"</f>
        <v>1065-501</v>
      </c>
      <c r="I1281" t="str">
        <f>"POLLUTION CONTROL SERVICES"</f>
        <v>POLLUTION CONTROL SERVICES</v>
      </c>
    </row>
    <row r="1282" spans="1:9" x14ac:dyDescent="0.25">
      <c r="A1282" s="6">
        <v>44566</v>
      </c>
      <c r="B1282" t="s">
        <v>26</v>
      </c>
      <c r="C1282">
        <v>68528</v>
      </c>
      <c r="D1282" t="s">
        <v>184</v>
      </c>
      <c r="E1282" s="7">
        <v>252</v>
      </c>
      <c r="F1282" t="s">
        <v>20</v>
      </c>
      <c r="G1282" t="s">
        <v>21</v>
      </c>
      <c r="H1282" t="str">
        <f>"1065-502"</f>
        <v>1065-502</v>
      </c>
      <c r="I1282" t="str">
        <f>"POLLUTION CONTROL SERVICES"</f>
        <v>POLLUTION CONTROL SERVICES</v>
      </c>
    </row>
    <row r="1283" spans="1:9" x14ac:dyDescent="0.25">
      <c r="A1283" s="6">
        <v>44566</v>
      </c>
      <c r="B1283" t="s">
        <v>26</v>
      </c>
      <c r="C1283">
        <v>68529</v>
      </c>
      <c r="D1283" t="s">
        <v>119</v>
      </c>
      <c r="E1283" s="7">
        <v>47.5</v>
      </c>
      <c r="F1283" t="s">
        <v>20</v>
      </c>
      <c r="G1283" t="s">
        <v>21</v>
      </c>
      <c r="H1283" t="str">
        <f>"85281"</f>
        <v>85281</v>
      </c>
      <c r="I1283" t="str">
        <f>"PRUSKI'S TIRE SHOP  L.L.C."</f>
        <v>PRUSKI'S TIRE SHOP  L.L.C.</v>
      </c>
    </row>
    <row r="1284" spans="1:9" x14ac:dyDescent="0.25">
      <c r="A1284" s="6">
        <v>44566</v>
      </c>
      <c r="B1284" t="s">
        <v>26</v>
      </c>
      <c r="C1284">
        <v>68530</v>
      </c>
      <c r="D1284" t="s">
        <v>630</v>
      </c>
      <c r="E1284" s="7">
        <v>157.65</v>
      </c>
      <c r="F1284" t="s">
        <v>20</v>
      </c>
      <c r="G1284" t="s">
        <v>21</v>
      </c>
      <c r="H1284" t="str">
        <f>"41502"</f>
        <v>41502</v>
      </c>
      <c r="I1284" t="str">
        <f>"RG3 METER COMPANY"</f>
        <v>RG3 METER COMPANY</v>
      </c>
    </row>
    <row r="1285" spans="1:9" x14ac:dyDescent="0.25">
      <c r="A1285" s="6">
        <v>44566</v>
      </c>
      <c r="B1285" t="s">
        <v>26</v>
      </c>
      <c r="C1285">
        <v>68531</v>
      </c>
      <c r="D1285" t="s">
        <v>61</v>
      </c>
      <c r="E1285" s="7">
        <v>188</v>
      </c>
      <c r="F1285" t="s">
        <v>20</v>
      </c>
      <c r="G1285" t="s">
        <v>21</v>
      </c>
      <c r="H1285" t="str">
        <f>"025-361570"</f>
        <v>025-361570</v>
      </c>
      <c r="I1285" t="str">
        <f>"TYLER TECHNOLOGIES  INC."</f>
        <v>TYLER TECHNOLOGIES  INC.</v>
      </c>
    </row>
    <row r="1286" spans="1:9" x14ac:dyDescent="0.25">
      <c r="A1286" s="6">
        <v>44566</v>
      </c>
      <c r="B1286" t="s">
        <v>26</v>
      </c>
      <c r="C1286">
        <v>68532</v>
      </c>
      <c r="D1286" t="s">
        <v>395</v>
      </c>
      <c r="E1286" s="7">
        <v>221.08</v>
      </c>
      <c r="F1286" t="s">
        <v>20</v>
      </c>
      <c r="G1286" t="s">
        <v>21</v>
      </c>
      <c r="H1286" t="str">
        <f>"142856457"</f>
        <v>142856457</v>
      </c>
      <c r="I1286" t="str">
        <f>"WWTP SUPPLIES"</f>
        <v>WWTP SUPPLIES</v>
      </c>
    </row>
    <row r="1287" spans="1:9" x14ac:dyDescent="0.25">
      <c r="A1287" s="6">
        <v>44566</v>
      </c>
      <c r="B1287" t="s">
        <v>26</v>
      </c>
      <c r="C1287">
        <v>68533</v>
      </c>
      <c r="D1287" t="s">
        <v>644</v>
      </c>
      <c r="E1287" s="7">
        <v>130.55000000000001</v>
      </c>
      <c r="F1287" t="s">
        <v>20</v>
      </c>
      <c r="G1287" t="s">
        <v>21</v>
      </c>
      <c r="H1287" t="str">
        <f>"8213678847"</f>
        <v>8213678847</v>
      </c>
      <c r="I1287" t="str">
        <f t="shared" ref="I1287:I1292" si="29">"UNIFIRST CORPORATION"</f>
        <v>UNIFIRST CORPORATION</v>
      </c>
    </row>
    <row r="1288" spans="1:9" x14ac:dyDescent="0.25">
      <c r="A1288" s="6">
        <v>44566</v>
      </c>
      <c r="B1288" t="s">
        <v>26</v>
      </c>
      <c r="C1288">
        <v>68533</v>
      </c>
      <c r="D1288" t="s">
        <v>644</v>
      </c>
      <c r="E1288" s="7">
        <v>26.49</v>
      </c>
      <c r="F1288" t="s">
        <v>20</v>
      </c>
      <c r="G1288" t="s">
        <v>21</v>
      </c>
      <c r="H1288" t="str">
        <f>"8213678848"</f>
        <v>8213678848</v>
      </c>
      <c r="I1288" t="str">
        <f t="shared" si="29"/>
        <v>UNIFIRST CORPORATION</v>
      </c>
    </row>
    <row r="1289" spans="1:9" x14ac:dyDescent="0.25">
      <c r="A1289" s="6">
        <v>44566</v>
      </c>
      <c r="B1289" t="s">
        <v>26</v>
      </c>
      <c r="C1289">
        <v>68533</v>
      </c>
      <c r="D1289" t="s">
        <v>644</v>
      </c>
      <c r="E1289" s="7">
        <v>144.56</v>
      </c>
      <c r="F1289" t="s">
        <v>20</v>
      </c>
      <c r="G1289" t="s">
        <v>21</v>
      </c>
      <c r="H1289" t="str">
        <f>"8213678849"</f>
        <v>8213678849</v>
      </c>
      <c r="I1289" t="str">
        <f t="shared" si="29"/>
        <v>UNIFIRST CORPORATION</v>
      </c>
    </row>
    <row r="1290" spans="1:9" x14ac:dyDescent="0.25">
      <c r="A1290" s="6">
        <v>44566</v>
      </c>
      <c r="B1290" t="s">
        <v>26</v>
      </c>
      <c r="C1290">
        <v>68533</v>
      </c>
      <c r="D1290" t="s">
        <v>644</v>
      </c>
      <c r="E1290" s="7">
        <v>154.33000000000001</v>
      </c>
      <c r="F1290" t="s">
        <v>20</v>
      </c>
      <c r="G1290" t="s">
        <v>21</v>
      </c>
      <c r="H1290" t="str">
        <f>"8213678850"</f>
        <v>8213678850</v>
      </c>
      <c r="I1290" t="str">
        <f t="shared" si="29"/>
        <v>UNIFIRST CORPORATION</v>
      </c>
    </row>
    <row r="1291" spans="1:9" x14ac:dyDescent="0.25">
      <c r="A1291" s="6">
        <v>44566</v>
      </c>
      <c r="B1291" t="s">
        <v>26</v>
      </c>
      <c r="C1291">
        <v>68533</v>
      </c>
      <c r="D1291" t="s">
        <v>644</v>
      </c>
      <c r="E1291" s="7">
        <v>95.04</v>
      </c>
      <c r="F1291" t="s">
        <v>20</v>
      </c>
      <c r="G1291" t="s">
        <v>21</v>
      </c>
      <c r="H1291" t="str">
        <f>"8213678852"</f>
        <v>8213678852</v>
      </c>
      <c r="I1291" t="str">
        <f t="shared" si="29"/>
        <v>UNIFIRST CORPORATION</v>
      </c>
    </row>
    <row r="1292" spans="1:9" x14ac:dyDescent="0.25">
      <c r="A1292" s="6">
        <v>44566</v>
      </c>
      <c r="B1292" t="s">
        <v>26</v>
      </c>
      <c r="C1292">
        <v>68533</v>
      </c>
      <c r="D1292" t="s">
        <v>644</v>
      </c>
      <c r="E1292" s="7">
        <v>26.49</v>
      </c>
      <c r="F1292" t="s">
        <v>20</v>
      </c>
      <c r="G1292" t="s">
        <v>21</v>
      </c>
      <c r="H1292" t="str">
        <f>"8213678853"</f>
        <v>8213678853</v>
      </c>
      <c r="I1292" t="str">
        <f t="shared" si="29"/>
        <v>UNIFIRST CORPORATION</v>
      </c>
    </row>
    <row r="1293" spans="1:9" x14ac:dyDescent="0.25">
      <c r="A1293" s="6">
        <v>44566</v>
      </c>
      <c r="B1293" t="s">
        <v>26</v>
      </c>
      <c r="C1293">
        <v>68535</v>
      </c>
      <c r="D1293" t="s">
        <v>122</v>
      </c>
      <c r="E1293" s="7">
        <v>30.3</v>
      </c>
      <c r="F1293" t="s">
        <v>20</v>
      </c>
      <c r="G1293" t="s">
        <v>21</v>
      </c>
      <c r="H1293" t="str">
        <f>"017701"</f>
        <v>017701</v>
      </c>
      <c r="I1293" t="str">
        <f>"VILLA TIRES"</f>
        <v>VILLA TIRES</v>
      </c>
    </row>
    <row r="1294" spans="1:9" x14ac:dyDescent="0.25">
      <c r="A1294" s="6">
        <v>44566</v>
      </c>
      <c r="B1294" t="s">
        <v>26</v>
      </c>
      <c r="C1294">
        <v>68536</v>
      </c>
      <c r="D1294" t="s">
        <v>202</v>
      </c>
      <c r="E1294" s="7">
        <v>498.76</v>
      </c>
      <c r="F1294" t="s">
        <v>20</v>
      </c>
      <c r="G1294" t="s">
        <v>21</v>
      </c>
      <c r="H1294" t="str">
        <f>"62400536"</f>
        <v>62400536</v>
      </c>
      <c r="I1294" t="str">
        <f>"A-2 BASE AND TYPE D COLD"</f>
        <v>A-2 BASE AND TYPE D COLD</v>
      </c>
    </row>
    <row r="1295" spans="1:9" x14ac:dyDescent="0.25">
      <c r="A1295" s="6">
        <v>44572</v>
      </c>
      <c r="B1295" t="s">
        <v>26</v>
      </c>
      <c r="C1295">
        <v>68537</v>
      </c>
      <c r="D1295" t="s">
        <v>92</v>
      </c>
      <c r="E1295" s="7">
        <v>18022.29</v>
      </c>
      <c r="F1295" t="s">
        <v>20</v>
      </c>
      <c r="G1295" t="s">
        <v>21</v>
      </c>
      <c r="H1295" t="str">
        <f>"RET202111308630"</f>
        <v>RET202111308630</v>
      </c>
      <c r="I1295" t="str">
        <f>"TMRS CITY OF FLORESVILLE"</f>
        <v>TMRS CITY OF FLORESVILLE</v>
      </c>
    </row>
    <row r="1296" spans="1:9" x14ac:dyDescent="0.25">
      <c r="A1296" s="6">
        <v>44572</v>
      </c>
      <c r="B1296" t="s">
        <v>26</v>
      </c>
      <c r="C1296">
        <v>68537</v>
      </c>
      <c r="D1296" t="s">
        <v>92</v>
      </c>
      <c r="E1296" s="7">
        <v>9871.68</v>
      </c>
      <c r="F1296" t="s">
        <v>20</v>
      </c>
      <c r="G1296" t="s">
        <v>21</v>
      </c>
      <c r="H1296" t="str">
        <f>"RET202112138632"</f>
        <v>RET202112138632</v>
      </c>
      <c r="I1296" t="str">
        <f>"TMRS CITY OF FLORESVILLE"</f>
        <v>TMRS CITY OF FLORESVILLE</v>
      </c>
    </row>
    <row r="1297" spans="1:9" x14ac:dyDescent="0.25">
      <c r="A1297" s="6">
        <v>44572</v>
      </c>
      <c r="B1297" t="s">
        <v>26</v>
      </c>
      <c r="C1297">
        <v>68537</v>
      </c>
      <c r="D1297" t="s">
        <v>92</v>
      </c>
      <c r="E1297" s="7">
        <v>17492.669999999998</v>
      </c>
      <c r="F1297" t="s">
        <v>20</v>
      </c>
      <c r="G1297" t="s">
        <v>21</v>
      </c>
      <c r="H1297" t="str">
        <f>"RET202112148633"</f>
        <v>RET202112148633</v>
      </c>
      <c r="I1297" t="str">
        <f>"TMRS CITY OF FLORESVILLE"</f>
        <v>TMRS CITY OF FLORESVILLE</v>
      </c>
    </row>
    <row r="1298" spans="1:9" x14ac:dyDescent="0.25">
      <c r="A1298" s="6">
        <v>44572</v>
      </c>
      <c r="B1298" t="s">
        <v>26</v>
      </c>
      <c r="C1298">
        <v>68537</v>
      </c>
      <c r="D1298" t="s">
        <v>92</v>
      </c>
      <c r="E1298" s="7">
        <v>17486.57</v>
      </c>
      <c r="F1298" t="s">
        <v>20</v>
      </c>
      <c r="G1298" t="s">
        <v>21</v>
      </c>
      <c r="H1298" t="str">
        <f>"RET202112288636"</f>
        <v>RET202112288636</v>
      </c>
      <c r="I1298" t="str">
        <f>"TMRS CITY OF FLORESVILLE"</f>
        <v>TMRS CITY OF FLORESVILLE</v>
      </c>
    </row>
    <row r="1299" spans="1:9" x14ac:dyDescent="0.25">
      <c r="A1299" s="6">
        <v>44572</v>
      </c>
      <c r="B1299" t="s">
        <v>26</v>
      </c>
      <c r="C1299">
        <v>68548</v>
      </c>
      <c r="D1299" t="s">
        <v>51</v>
      </c>
      <c r="E1299" s="7">
        <v>13.85</v>
      </c>
      <c r="F1299" t="s">
        <v>20</v>
      </c>
      <c r="G1299" t="s">
        <v>21</v>
      </c>
      <c r="H1299" t="str">
        <f>"CLE202201118638"</f>
        <v>CLE202201118638</v>
      </c>
      <c r="I1299" t="str">
        <f>"CLEAT ONLY DUES"</f>
        <v>CLEAT ONLY DUES</v>
      </c>
    </row>
    <row r="1300" spans="1:9" x14ac:dyDescent="0.25">
      <c r="A1300" s="6">
        <v>44572</v>
      </c>
      <c r="B1300" t="s">
        <v>26</v>
      </c>
      <c r="C1300">
        <v>68548</v>
      </c>
      <c r="D1300" t="s">
        <v>51</v>
      </c>
      <c r="E1300" s="7">
        <v>295.52</v>
      </c>
      <c r="F1300" t="s">
        <v>20</v>
      </c>
      <c r="G1300" t="s">
        <v>21</v>
      </c>
      <c r="H1300" t="str">
        <f>"PDD202201118638"</f>
        <v>PDD202201118638</v>
      </c>
      <c r="I1300" t="str">
        <f>"POLICE OFFICERS ASSOC DUES"</f>
        <v>POLICE OFFICERS ASSOC DUES</v>
      </c>
    </row>
    <row r="1301" spans="1:9" x14ac:dyDescent="0.25">
      <c r="A1301" s="6">
        <v>44572</v>
      </c>
      <c r="B1301" t="s">
        <v>26</v>
      </c>
      <c r="C1301">
        <v>68549</v>
      </c>
      <c r="D1301" t="s">
        <v>52</v>
      </c>
      <c r="E1301" s="7">
        <v>101.25</v>
      </c>
      <c r="F1301" t="s">
        <v>20</v>
      </c>
      <c r="G1301" t="s">
        <v>21</v>
      </c>
      <c r="H1301" t="str">
        <f>"CA1202201118638"</f>
        <v>CA1202201118638</v>
      </c>
      <c r="I1301" t="str">
        <f>"K RAMIREZ 001200229510060343CV"</f>
        <v>K RAMIREZ 001200229510060343CV</v>
      </c>
    </row>
    <row r="1302" spans="1:9" x14ac:dyDescent="0.25">
      <c r="A1302" s="6">
        <v>44572</v>
      </c>
      <c r="B1302" t="s">
        <v>26</v>
      </c>
      <c r="C1302">
        <v>68549</v>
      </c>
      <c r="D1302" t="s">
        <v>52</v>
      </c>
      <c r="E1302" s="7">
        <v>101.25</v>
      </c>
      <c r="F1302" t="s">
        <v>20</v>
      </c>
      <c r="G1302" t="s">
        <v>21</v>
      </c>
      <c r="H1302" t="str">
        <f>"CA2202201118638"</f>
        <v>CA2202201118638</v>
      </c>
      <c r="I1302" t="str">
        <f>"L HERNANDEZ 001016025203080354"</f>
        <v>L HERNANDEZ 001016025203080354</v>
      </c>
    </row>
    <row r="1303" spans="1:9" x14ac:dyDescent="0.25">
      <c r="A1303" s="6">
        <v>44572</v>
      </c>
      <c r="B1303" t="s">
        <v>26</v>
      </c>
      <c r="C1303">
        <v>68549</v>
      </c>
      <c r="D1303" t="s">
        <v>52</v>
      </c>
      <c r="E1303" s="7">
        <v>101.25</v>
      </c>
      <c r="F1303" t="s">
        <v>20</v>
      </c>
      <c r="G1303" t="s">
        <v>21</v>
      </c>
      <c r="H1303" t="str">
        <f>"CA3202201118638"</f>
        <v>CA3202201118638</v>
      </c>
      <c r="I1303" t="str">
        <f>"00120788612011EM5023JOLENEGARC"</f>
        <v>00120788612011EM5023JOLENEGARC</v>
      </c>
    </row>
    <row r="1304" spans="1:9" x14ac:dyDescent="0.25">
      <c r="A1304" s="6">
        <v>44572</v>
      </c>
      <c r="B1304" t="s">
        <v>26</v>
      </c>
      <c r="C1304">
        <v>68549</v>
      </c>
      <c r="D1304" t="s">
        <v>52</v>
      </c>
      <c r="E1304" s="7">
        <v>101.25</v>
      </c>
      <c r="F1304" t="s">
        <v>20</v>
      </c>
      <c r="G1304" t="s">
        <v>21</v>
      </c>
      <c r="H1304" t="str">
        <f>"CSA202201118638"</f>
        <v>CSA202201118638</v>
      </c>
      <c r="I1304" t="str">
        <f>"S RODRIGUEZ 001281730413050336"</f>
        <v>S RODRIGUEZ 001281730413050336</v>
      </c>
    </row>
    <row r="1305" spans="1:9" x14ac:dyDescent="0.25">
      <c r="A1305" s="6">
        <v>44572</v>
      </c>
      <c r="B1305" t="s">
        <v>26</v>
      </c>
      <c r="C1305">
        <v>68549</v>
      </c>
      <c r="D1305" t="s">
        <v>52</v>
      </c>
      <c r="E1305" s="7">
        <v>521.54</v>
      </c>
      <c r="F1305" t="s">
        <v>20</v>
      </c>
      <c r="G1305" t="s">
        <v>21</v>
      </c>
      <c r="H1305" t="str">
        <f>"CSI202201118638"</f>
        <v>CSI202201118638</v>
      </c>
      <c r="I1305" t="str">
        <f>"KTRINIDAD0014071774CVW2000777"</f>
        <v>KTRINIDAD0014071774CVW2000777</v>
      </c>
    </row>
    <row r="1306" spans="1:9" x14ac:dyDescent="0.25">
      <c r="A1306" s="6">
        <v>44572</v>
      </c>
      <c r="B1306" t="s">
        <v>26</v>
      </c>
      <c r="C1306">
        <v>68550</v>
      </c>
      <c r="D1306" t="s">
        <v>54</v>
      </c>
      <c r="E1306" s="7">
        <v>881.57</v>
      </c>
      <c r="F1306" t="s">
        <v>20</v>
      </c>
      <c r="G1306" t="s">
        <v>21</v>
      </c>
      <c r="H1306" t="str">
        <f>"BRE202201118638"</f>
        <v>BRE202201118638</v>
      </c>
      <c r="I1306" t="str">
        <f>"CASE #180-60751 457B DEDUCT"</f>
        <v>CASE #180-60751 457B DEDUCT</v>
      </c>
    </row>
    <row r="1307" spans="1:9" x14ac:dyDescent="0.25">
      <c r="A1307" s="6">
        <v>44574</v>
      </c>
      <c r="B1307" t="s">
        <v>26</v>
      </c>
      <c r="C1307">
        <v>68551</v>
      </c>
      <c r="D1307" t="s">
        <v>273</v>
      </c>
      <c r="E1307" s="7">
        <v>1153.55</v>
      </c>
      <c r="F1307" t="s">
        <v>20</v>
      </c>
      <c r="G1307" t="s">
        <v>21</v>
      </c>
      <c r="H1307" t="str">
        <f>"5119-000100074"</f>
        <v>5119-000100074</v>
      </c>
      <c r="I1307" t="str">
        <f>"REPUBLIC SERVICES TESSMAN ROAD"</f>
        <v>REPUBLIC SERVICES TESSMAN ROAD</v>
      </c>
    </row>
    <row r="1308" spans="1:9" x14ac:dyDescent="0.25">
      <c r="A1308" s="6">
        <v>44574</v>
      </c>
      <c r="B1308" t="s">
        <v>26</v>
      </c>
      <c r="C1308">
        <v>68552</v>
      </c>
      <c r="D1308" t="s">
        <v>637</v>
      </c>
      <c r="E1308" s="7">
        <v>75</v>
      </c>
      <c r="F1308" t="s">
        <v>20</v>
      </c>
      <c r="G1308" t="s">
        <v>21</v>
      </c>
      <c r="H1308" t="str">
        <f>"JAN 2022-COUNCIL"</f>
        <v>JAN 2022-COUNCIL</v>
      </c>
      <c r="I1308" t="str">
        <f>""</f>
        <v/>
      </c>
    </row>
    <row r="1309" spans="1:9" x14ac:dyDescent="0.25">
      <c r="A1309" s="6">
        <v>44574</v>
      </c>
      <c r="B1309" t="s">
        <v>26</v>
      </c>
      <c r="C1309">
        <v>68553</v>
      </c>
      <c r="D1309" t="s">
        <v>1149</v>
      </c>
      <c r="E1309" s="7">
        <v>50</v>
      </c>
      <c r="F1309" t="s">
        <v>20</v>
      </c>
      <c r="G1309" t="s">
        <v>21</v>
      </c>
      <c r="H1309" t="str">
        <f>"DPST RFND 12/19/21"</f>
        <v>DPST RFND 12/19/21</v>
      </c>
      <c r="I1309" t="str">
        <f>"REFUND"</f>
        <v>REFUND</v>
      </c>
    </row>
    <row r="1310" spans="1:9" x14ac:dyDescent="0.25">
      <c r="A1310" s="6">
        <v>44574</v>
      </c>
      <c r="B1310" t="s">
        <v>26</v>
      </c>
      <c r="C1310">
        <v>68554</v>
      </c>
      <c r="D1310" t="s">
        <v>213</v>
      </c>
      <c r="E1310" s="7">
        <v>10722.08</v>
      </c>
      <c r="F1310" t="s">
        <v>20</v>
      </c>
      <c r="G1310" t="s">
        <v>21</v>
      </c>
      <c r="H1310" t="str">
        <f>"DECEMBER 2021"</f>
        <v>DECEMBER 2021</v>
      </c>
      <c r="I1310" t="str">
        <f>"RIVER BEND COMMUNITY DEVELOPME"</f>
        <v>RIVER BEND COMMUNITY DEVELOPME</v>
      </c>
    </row>
    <row r="1311" spans="1:9" x14ac:dyDescent="0.25">
      <c r="A1311" s="6">
        <v>44574</v>
      </c>
      <c r="B1311" t="s">
        <v>26</v>
      </c>
      <c r="C1311">
        <v>68555</v>
      </c>
      <c r="D1311" t="s">
        <v>74</v>
      </c>
      <c r="E1311" s="7">
        <v>887.74</v>
      </c>
      <c r="F1311" t="s">
        <v>20</v>
      </c>
      <c r="G1311" t="s">
        <v>21</v>
      </c>
      <c r="H1311" t="str">
        <f>"9895798028"</f>
        <v>9895798028</v>
      </c>
      <c r="I1311" t="str">
        <f>"VERIZON WIRELESS"</f>
        <v>VERIZON WIRELESS</v>
      </c>
    </row>
    <row r="1312" spans="1:9" x14ac:dyDescent="0.25">
      <c r="A1312" s="6">
        <v>44574</v>
      </c>
      <c r="B1312" t="s">
        <v>26</v>
      </c>
      <c r="C1312">
        <v>68555</v>
      </c>
      <c r="D1312" t="s">
        <v>74</v>
      </c>
      <c r="E1312" s="7">
        <v>2522.3200000000002</v>
      </c>
      <c r="F1312" t="s">
        <v>20</v>
      </c>
      <c r="G1312" t="s">
        <v>21</v>
      </c>
      <c r="H1312" t="str">
        <f>"9895798029"</f>
        <v>9895798029</v>
      </c>
      <c r="I1312" t="str">
        <f>"VERIZON WIRELESS"</f>
        <v>VERIZON WIRELESS</v>
      </c>
    </row>
    <row r="1313" spans="1:9" x14ac:dyDescent="0.25">
      <c r="A1313" s="6">
        <v>44574</v>
      </c>
      <c r="B1313" t="s">
        <v>26</v>
      </c>
      <c r="C1313">
        <v>68557</v>
      </c>
      <c r="D1313" t="s">
        <v>170</v>
      </c>
      <c r="E1313" s="7">
        <v>3194.15</v>
      </c>
      <c r="F1313" t="s">
        <v>20</v>
      </c>
      <c r="G1313" t="s">
        <v>21</v>
      </c>
      <c r="H1313" t="str">
        <f>"REISSUE CK#68217"</f>
        <v>REISSUE CK#68217</v>
      </c>
      <c r="I1313" t="str">
        <f>"BARRETT &amp; SONS  INC."</f>
        <v>BARRETT &amp; SONS  INC.</v>
      </c>
    </row>
    <row r="1314" spans="1:9" x14ac:dyDescent="0.25">
      <c r="A1314" s="6">
        <v>44574</v>
      </c>
      <c r="B1314" t="s">
        <v>26</v>
      </c>
      <c r="C1314">
        <v>68558</v>
      </c>
      <c r="D1314" t="s">
        <v>123</v>
      </c>
      <c r="E1314" s="7">
        <v>31.28</v>
      </c>
      <c r="F1314" t="s">
        <v>20</v>
      </c>
      <c r="G1314" t="s">
        <v>21</v>
      </c>
      <c r="H1314" t="str">
        <f>"211495065001"</f>
        <v>211495065001</v>
      </c>
      <c r="I1314" t="str">
        <f>"OFFICE SUPPLIES"</f>
        <v>OFFICE SUPPLIES</v>
      </c>
    </row>
    <row r="1315" spans="1:9" x14ac:dyDescent="0.25">
      <c r="A1315" s="6">
        <v>44574</v>
      </c>
      <c r="B1315" t="s">
        <v>26</v>
      </c>
      <c r="C1315">
        <v>68558</v>
      </c>
      <c r="D1315" t="s">
        <v>123</v>
      </c>
      <c r="E1315" s="7">
        <v>49.24</v>
      </c>
      <c r="F1315" t="s">
        <v>20</v>
      </c>
      <c r="G1315" t="s">
        <v>21</v>
      </c>
      <c r="H1315" t="str">
        <f>"211502480001"</f>
        <v>211502480001</v>
      </c>
      <c r="I1315" t="str">
        <f>"OFFICE SUPPLIES"</f>
        <v>OFFICE SUPPLIES</v>
      </c>
    </row>
    <row r="1316" spans="1:9" x14ac:dyDescent="0.25">
      <c r="A1316" s="6">
        <v>44574</v>
      </c>
      <c r="B1316" t="s">
        <v>26</v>
      </c>
      <c r="C1316">
        <v>68558</v>
      </c>
      <c r="D1316" t="s">
        <v>123</v>
      </c>
      <c r="E1316" s="7">
        <v>55.35</v>
      </c>
      <c r="F1316" t="s">
        <v>20</v>
      </c>
      <c r="G1316" t="s">
        <v>21</v>
      </c>
      <c r="H1316" t="str">
        <f>"212753188001"</f>
        <v>212753188001</v>
      </c>
      <c r="I1316" t="str">
        <f>"OFFICE SUPPLIES"</f>
        <v>OFFICE SUPPLIES</v>
      </c>
    </row>
    <row r="1317" spans="1:9" x14ac:dyDescent="0.25">
      <c r="A1317" s="6">
        <v>44574</v>
      </c>
      <c r="B1317" t="s">
        <v>26</v>
      </c>
      <c r="C1317">
        <v>68558</v>
      </c>
      <c r="D1317" t="s">
        <v>123</v>
      </c>
      <c r="E1317" s="7">
        <v>12.19</v>
      </c>
      <c r="F1317" t="s">
        <v>20</v>
      </c>
      <c r="G1317" t="s">
        <v>21</v>
      </c>
      <c r="H1317" t="str">
        <f>"212757562001"</f>
        <v>212757562001</v>
      </c>
      <c r="I1317" t="str">
        <f>"OFFICE SUPPLIES"</f>
        <v>OFFICE SUPPLIES</v>
      </c>
    </row>
    <row r="1318" spans="1:9" x14ac:dyDescent="0.25">
      <c r="A1318" s="6">
        <v>44574</v>
      </c>
      <c r="B1318" t="s">
        <v>26</v>
      </c>
      <c r="C1318">
        <v>68558</v>
      </c>
      <c r="D1318" t="s">
        <v>123</v>
      </c>
      <c r="E1318" s="7">
        <v>119.99</v>
      </c>
      <c r="F1318" t="s">
        <v>20</v>
      </c>
      <c r="G1318" t="s">
        <v>21</v>
      </c>
      <c r="H1318" t="str">
        <f>"212757563001"</f>
        <v>212757563001</v>
      </c>
      <c r="I1318" t="str">
        <f>"OFFICE SUPPLIES"</f>
        <v>OFFICE SUPPLIES</v>
      </c>
    </row>
    <row r="1319" spans="1:9" x14ac:dyDescent="0.25">
      <c r="A1319" s="6">
        <v>44574</v>
      </c>
      <c r="B1319" t="s">
        <v>26</v>
      </c>
      <c r="C1319">
        <v>68558</v>
      </c>
      <c r="D1319" t="s">
        <v>123</v>
      </c>
      <c r="E1319" s="7">
        <v>122.32</v>
      </c>
      <c r="F1319" t="s">
        <v>20</v>
      </c>
      <c r="G1319" t="s">
        <v>21</v>
      </c>
      <c r="H1319" t="str">
        <f>"213145781001"</f>
        <v>213145781001</v>
      </c>
      <c r="I1319" t="str">
        <f>"ENVELOPES"</f>
        <v>ENVELOPES</v>
      </c>
    </row>
    <row r="1320" spans="1:9" x14ac:dyDescent="0.25">
      <c r="A1320" s="6">
        <v>44574</v>
      </c>
      <c r="B1320" t="s">
        <v>26</v>
      </c>
      <c r="C1320">
        <v>68558</v>
      </c>
      <c r="D1320" t="s">
        <v>123</v>
      </c>
      <c r="E1320" s="7">
        <v>106.37</v>
      </c>
      <c r="F1320" t="s">
        <v>20</v>
      </c>
      <c r="G1320" t="s">
        <v>21</v>
      </c>
      <c r="H1320" t="str">
        <f>"215472253001"</f>
        <v>215472253001</v>
      </c>
      <c r="I1320" t="str">
        <f t="shared" ref="I1320:I1325" si="30">"OFFICE SUPPLIES"</f>
        <v>OFFICE SUPPLIES</v>
      </c>
    </row>
    <row r="1321" spans="1:9" x14ac:dyDescent="0.25">
      <c r="A1321" s="6">
        <v>44574</v>
      </c>
      <c r="B1321" t="s">
        <v>26</v>
      </c>
      <c r="C1321">
        <v>68558</v>
      </c>
      <c r="D1321" t="s">
        <v>123</v>
      </c>
      <c r="E1321" s="7">
        <v>29.77</v>
      </c>
      <c r="F1321" t="s">
        <v>20</v>
      </c>
      <c r="G1321" t="s">
        <v>21</v>
      </c>
      <c r="H1321" t="str">
        <f>"215474662001"</f>
        <v>215474662001</v>
      </c>
      <c r="I1321" t="str">
        <f t="shared" si="30"/>
        <v>OFFICE SUPPLIES</v>
      </c>
    </row>
    <row r="1322" spans="1:9" x14ac:dyDescent="0.25">
      <c r="A1322" s="6">
        <v>44574</v>
      </c>
      <c r="B1322" t="s">
        <v>26</v>
      </c>
      <c r="C1322">
        <v>68558</v>
      </c>
      <c r="D1322" t="s">
        <v>123</v>
      </c>
      <c r="E1322" s="7">
        <v>181.31</v>
      </c>
      <c r="F1322" t="s">
        <v>20</v>
      </c>
      <c r="G1322" t="s">
        <v>21</v>
      </c>
      <c r="H1322" t="str">
        <f>"216593720001"</f>
        <v>216593720001</v>
      </c>
      <c r="I1322" t="str">
        <f t="shared" si="30"/>
        <v>OFFICE SUPPLIES</v>
      </c>
    </row>
    <row r="1323" spans="1:9" x14ac:dyDescent="0.25">
      <c r="A1323" s="6">
        <v>44574</v>
      </c>
      <c r="B1323" t="s">
        <v>26</v>
      </c>
      <c r="C1323">
        <v>68558</v>
      </c>
      <c r="D1323" t="s">
        <v>123</v>
      </c>
      <c r="E1323" s="7">
        <v>20.78</v>
      </c>
      <c r="F1323" t="s">
        <v>20</v>
      </c>
      <c r="G1323" t="s">
        <v>21</v>
      </c>
      <c r="H1323" t="str">
        <f>"216615047001"</f>
        <v>216615047001</v>
      </c>
      <c r="I1323" t="str">
        <f t="shared" si="30"/>
        <v>OFFICE SUPPLIES</v>
      </c>
    </row>
    <row r="1324" spans="1:9" x14ac:dyDescent="0.25">
      <c r="A1324" s="6">
        <v>44574</v>
      </c>
      <c r="B1324" t="s">
        <v>26</v>
      </c>
      <c r="C1324">
        <v>68558</v>
      </c>
      <c r="D1324" t="s">
        <v>123</v>
      </c>
      <c r="E1324" s="7">
        <v>8.19</v>
      </c>
      <c r="F1324" t="s">
        <v>20</v>
      </c>
      <c r="G1324" t="s">
        <v>21</v>
      </c>
      <c r="H1324" t="str">
        <f>"216615048001"</f>
        <v>216615048001</v>
      </c>
      <c r="I1324" t="str">
        <f t="shared" si="30"/>
        <v>OFFICE SUPPLIES</v>
      </c>
    </row>
    <row r="1325" spans="1:9" x14ac:dyDescent="0.25">
      <c r="A1325" s="6">
        <v>44574</v>
      </c>
      <c r="B1325" t="s">
        <v>26</v>
      </c>
      <c r="C1325">
        <v>68558</v>
      </c>
      <c r="D1325" t="s">
        <v>123</v>
      </c>
      <c r="E1325" s="7">
        <v>16.989999999999998</v>
      </c>
      <c r="F1325" t="s">
        <v>20</v>
      </c>
      <c r="G1325" t="s">
        <v>21</v>
      </c>
      <c r="H1325" t="str">
        <f>"216615049001"</f>
        <v>216615049001</v>
      </c>
      <c r="I1325" t="str">
        <f t="shared" si="30"/>
        <v>OFFICE SUPPLIES</v>
      </c>
    </row>
    <row r="1326" spans="1:9" x14ac:dyDescent="0.25">
      <c r="A1326" s="6">
        <v>44574</v>
      </c>
      <c r="B1326" t="s">
        <v>26</v>
      </c>
      <c r="C1326">
        <v>68558</v>
      </c>
      <c r="D1326" t="s">
        <v>123</v>
      </c>
      <c r="E1326" s="7">
        <v>67.36</v>
      </c>
      <c r="F1326" t="s">
        <v>20</v>
      </c>
      <c r="G1326" t="s">
        <v>21</v>
      </c>
      <c r="H1326" t="str">
        <f>"216676960001"</f>
        <v>216676960001</v>
      </c>
      <c r="I1326" t="str">
        <f>"SHOP/ CITY SUPPLIES"</f>
        <v>SHOP/ CITY SUPPLIES</v>
      </c>
    </row>
    <row r="1327" spans="1:9" x14ac:dyDescent="0.25">
      <c r="A1327" s="6">
        <v>44574</v>
      </c>
      <c r="B1327" t="s">
        <v>26</v>
      </c>
      <c r="C1327">
        <v>68558</v>
      </c>
      <c r="D1327" t="s">
        <v>123</v>
      </c>
      <c r="E1327" s="7">
        <v>18.98</v>
      </c>
      <c r="F1327" t="s">
        <v>20</v>
      </c>
      <c r="G1327" t="s">
        <v>21</v>
      </c>
      <c r="H1327" t="str">
        <f>"216677722001"</f>
        <v>216677722001</v>
      </c>
      <c r="I1327" t="str">
        <f>"SHOP/ CITY SUPPLIES"</f>
        <v>SHOP/ CITY SUPPLIES</v>
      </c>
    </row>
    <row r="1328" spans="1:9" x14ac:dyDescent="0.25">
      <c r="A1328" s="6">
        <v>44574</v>
      </c>
      <c r="B1328" t="s">
        <v>26</v>
      </c>
      <c r="C1328">
        <v>68558</v>
      </c>
      <c r="D1328" t="s">
        <v>123</v>
      </c>
      <c r="E1328" s="7">
        <v>476.4</v>
      </c>
      <c r="F1328" t="s">
        <v>20</v>
      </c>
      <c r="G1328" t="s">
        <v>21</v>
      </c>
      <c r="H1328" t="str">
        <f>"216792024001"</f>
        <v>216792024001</v>
      </c>
      <c r="I1328" t="str">
        <f t="shared" ref="I1328:I1333" si="31">"OFFICE SUPPLIES FOR PD"</f>
        <v>OFFICE SUPPLIES FOR PD</v>
      </c>
    </row>
    <row r="1329" spans="1:9" x14ac:dyDescent="0.25">
      <c r="A1329" s="6">
        <v>44574</v>
      </c>
      <c r="B1329" t="s">
        <v>26</v>
      </c>
      <c r="C1329">
        <v>68558</v>
      </c>
      <c r="D1329" t="s">
        <v>123</v>
      </c>
      <c r="E1329" s="7">
        <v>14.97</v>
      </c>
      <c r="F1329" t="s">
        <v>20</v>
      </c>
      <c r="G1329" t="s">
        <v>21</v>
      </c>
      <c r="H1329" t="str">
        <f>"216858300001"</f>
        <v>216858300001</v>
      </c>
      <c r="I1329" t="str">
        <f t="shared" si="31"/>
        <v>OFFICE SUPPLIES FOR PD</v>
      </c>
    </row>
    <row r="1330" spans="1:9" x14ac:dyDescent="0.25">
      <c r="A1330" s="6">
        <v>44574</v>
      </c>
      <c r="B1330" t="s">
        <v>26</v>
      </c>
      <c r="C1330">
        <v>68558</v>
      </c>
      <c r="D1330" t="s">
        <v>123</v>
      </c>
      <c r="E1330" s="7">
        <v>65.099999999999994</v>
      </c>
      <c r="F1330" t="s">
        <v>20</v>
      </c>
      <c r="G1330" t="s">
        <v>21</v>
      </c>
      <c r="H1330" t="str">
        <f>"216858302001"</f>
        <v>216858302001</v>
      </c>
      <c r="I1330" t="str">
        <f t="shared" si="31"/>
        <v>OFFICE SUPPLIES FOR PD</v>
      </c>
    </row>
    <row r="1331" spans="1:9" x14ac:dyDescent="0.25">
      <c r="A1331" s="6">
        <v>44574</v>
      </c>
      <c r="B1331" t="s">
        <v>26</v>
      </c>
      <c r="C1331">
        <v>68558</v>
      </c>
      <c r="D1331" t="s">
        <v>123</v>
      </c>
      <c r="E1331" s="7">
        <v>88.65</v>
      </c>
      <c r="F1331" t="s">
        <v>20</v>
      </c>
      <c r="G1331" t="s">
        <v>21</v>
      </c>
      <c r="H1331" t="str">
        <f>"216858304001"</f>
        <v>216858304001</v>
      </c>
      <c r="I1331" t="str">
        <f t="shared" si="31"/>
        <v>OFFICE SUPPLIES FOR PD</v>
      </c>
    </row>
    <row r="1332" spans="1:9" x14ac:dyDescent="0.25">
      <c r="A1332" s="6">
        <v>44574</v>
      </c>
      <c r="B1332" t="s">
        <v>26</v>
      </c>
      <c r="C1332">
        <v>68558</v>
      </c>
      <c r="D1332" t="s">
        <v>123</v>
      </c>
      <c r="E1332" s="7">
        <v>36.58</v>
      </c>
      <c r="F1332" t="s">
        <v>20</v>
      </c>
      <c r="G1332" t="s">
        <v>21</v>
      </c>
      <c r="H1332" t="str">
        <f>"216858307001"</f>
        <v>216858307001</v>
      </c>
      <c r="I1332" t="str">
        <f t="shared" si="31"/>
        <v>OFFICE SUPPLIES FOR PD</v>
      </c>
    </row>
    <row r="1333" spans="1:9" x14ac:dyDescent="0.25">
      <c r="A1333" s="6">
        <v>44574</v>
      </c>
      <c r="B1333" t="s">
        <v>26</v>
      </c>
      <c r="C1333">
        <v>68558</v>
      </c>
      <c r="D1333" t="s">
        <v>123</v>
      </c>
      <c r="E1333" s="7">
        <v>611.44000000000005</v>
      </c>
      <c r="F1333" t="s">
        <v>20</v>
      </c>
      <c r="G1333" t="s">
        <v>21</v>
      </c>
      <c r="H1333" t="str">
        <f>"216858308001"</f>
        <v>216858308001</v>
      </c>
      <c r="I1333" t="str">
        <f t="shared" si="31"/>
        <v>OFFICE SUPPLIES FOR PD</v>
      </c>
    </row>
    <row r="1334" spans="1:9" x14ac:dyDescent="0.25">
      <c r="A1334" s="6">
        <v>44574</v>
      </c>
      <c r="B1334" t="s">
        <v>91</v>
      </c>
      <c r="C1334">
        <v>68565</v>
      </c>
      <c r="D1334" t="s">
        <v>130</v>
      </c>
      <c r="E1334" s="7">
        <v>683</v>
      </c>
      <c r="F1334" t="s">
        <v>20</v>
      </c>
      <c r="G1334" t="s">
        <v>21</v>
      </c>
      <c r="H1334" t="str">
        <f>"INV879367"</f>
        <v>INV879367</v>
      </c>
      <c r="I1334" t="str">
        <f>"DOCUMATION"</f>
        <v>DOCUMATION</v>
      </c>
    </row>
    <row r="1335" spans="1:9" x14ac:dyDescent="0.25">
      <c r="A1335" s="6">
        <v>44574</v>
      </c>
      <c r="B1335" t="s">
        <v>91</v>
      </c>
      <c r="C1335">
        <v>68565</v>
      </c>
      <c r="D1335" t="s">
        <v>130</v>
      </c>
      <c r="E1335" s="7">
        <v>683</v>
      </c>
      <c r="F1335" t="s">
        <v>20</v>
      </c>
      <c r="G1335" t="s">
        <v>93</v>
      </c>
      <c r="H1335" t="str">
        <f>"CHECK"</f>
        <v>CHECK</v>
      </c>
      <c r="I1335" t="str">
        <f>""</f>
        <v/>
      </c>
    </row>
    <row r="1336" spans="1:9" x14ac:dyDescent="0.25">
      <c r="A1336" s="6">
        <v>44574</v>
      </c>
      <c r="B1336" t="s">
        <v>26</v>
      </c>
      <c r="C1336">
        <v>68566</v>
      </c>
      <c r="D1336" t="s">
        <v>84</v>
      </c>
      <c r="E1336" s="7">
        <v>3600</v>
      </c>
      <c r="F1336" t="s">
        <v>20</v>
      </c>
      <c r="G1336" t="s">
        <v>21</v>
      </c>
      <c r="H1336" t="str">
        <f>"1839302"</f>
        <v>1839302</v>
      </c>
      <c r="I1336" t="str">
        <f>"STANTEC CONSULTING SERVICES IN"</f>
        <v>STANTEC CONSULTING SERVICES IN</v>
      </c>
    </row>
    <row r="1337" spans="1:9" x14ac:dyDescent="0.25">
      <c r="A1337" s="6">
        <v>44574</v>
      </c>
      <c r="B1337" t="s">
        <v>26</v>
      </c>
      <c r="C1337">
        <v>68566</v>
      </c>
      <c r="D1337" t="s">
        <v>84</v>
      </c>
      <c r="E1337" s="7">
        <v>250</v>
      </c>
      <c r="F1337" t="s">
        <v>20</v>
      </c>
      <c r="G1337" t="s">
        <v>21</v>
      </c>
      <c r="H1337" t="str">
        <f>"1839303"</f>
        <v>1839303</v>
      </c>
      <c r="I1337" t="str">
        <f>"STANTEC CONSULTING SERVICES IN"</f>
        <v>STANTEC CONSULTING SERVICES IN</v>
      </c>
    </row>
    <row r="1338" spans="1:9" x14ac:dyDescent="0.25">
      <c r="A1338" s="6">
        <v>44574</v>
      </c>
      <c r="B1338" t="s">
        <v>26</v>
      </c>
      <c r="C1338">
        <v>68566</v>
      </c>
      <c r="D1338" t="s">
        <v>84</v>
      </c>
      <c r="E1338" s="7">
        <v>250</v>
      </c>
      <c r="F1338" t="s">
        <v>20</v>
      </c>
      <c r="G1338" t="s">
        <v>21</v>
      </c>
      <c r="H1338" t="str">
        <f>"1839304"</f>
        <v>1839304</v>
      </c>
      <c r="I1338" t="str">
        <f>"STANTEC CONSULTING SERVICES IN"</f>
        <v>STANTEC CONSULTING SERVICES IN</v>
      </c>
    </row>
    <row r="1339" spans="1:9" x14ac:dyDescent="0.25">
      <c r="A1339" s="6">
        <v>44574</v>
      </c>
      <c r="B1339" t="s">
        <v>26</v>
      </c>
      <c r="C1339">
        <v>68566</v>
      </c>
      <c r="D1339" t="s">
        <v>84</v>
      </c>
      <c r="E1339" s="7">
        <v>250</v>
      </c>
      <c r="F1339" t="s">
        <v>20</v>
      </c>
      <c r="G1339" t="s">
        <v>21</v>
      </c>
      <c r="H1339" t="str">
        <f>"1839305"</f>
        <v>1839305</v>
      </c>
      <c r="I1339" t="str">
        <f>"STANTEC CONSULTING SERVICES IN"</f>
        <v>STANTEC CONSULTING SERVICES IN</v>
      </c>
    </row>
    <row r="1340" spans="1:9" x14ac:dyDescent="0.25">
      <c r="A1340" s="6">
        <v>44574</v>
      </c>
      <c r="B1340" t="s">
        <v>26</v>
      </c>
      <c r="C1340">
        <v>68566</v>
      </c>
      <c r="D1340" t="s">
        <v>84</v>
      </c>
      <c r="E1340" s="7">
        <v>1491.92</v>
      </c>
      <c r="F1340" t="s">
        <v>20</v>
      </c>
      <c r="G1340" t="s">
        <v>21</v>
      </c>
      <c r="H1340" t="str">
        <f>"6"</f>
        <v>6</v>
      </c>
      <c r="I1340" t="str">
        <f>"STANTEC CONSULTING SERVICES IN"</f>
        <v>STANTEC CONSULTING SERVICES IN</v>
      </c>
    </row>
    <row r="1341" spans="1:9" x14ac:dyDescent="0.25">
      <c r="A1341" s="6">
        <v>44574</v>
      </c>
      <c r="B1341" t="s">
        <v>26</v>
      </c>
      <c r="C1341">
        <v>68567</v>
      </c>
      <c r="D1341" t="s">
        <v>85</v>
      </c>
      <c r="E1341" s="7">
        <v>352.22</v>
      </c>
      <c r="F1341" t="s">
        <v>20</v>
      </c>
      <c r="G1341" t="s">
        <v>21</v>
      </c>
      <c r="H1341" t="str">
        <f>"3937050 12/2021"</f>
        <v>3937050 12/2021</v>
      </c>
      <c r="I1341" t="str">
        <f>"FRONTIER"</f>
        <v>FRONTIER</v>
      </c>
    </row>
    <row r="1342" spans="1:9" x14ac:dyDescent="0.25">
      <c r="A1342" s="6">
        <v>44574</v>
      </c>
      <c r="B1342" t="s">
        <v>26</v>
      </c>
      <c r="C1342">
        <v>68567</v>
      </c>
      <c r="D1342" t="s">
        <v>85</v>
      </c>
      <c r="E1342" s="7">
        <v>139.44</v>
      </c>
      <c r="F1342" t="s">
        <v>20</v>
      </c>
      <c r="G1342" t="s">
        <v>21</v>
      </c>
      <c r="H1342" t="str">
        <f>"3937070  12/2021"</f>
        <v>3937070  12/2021</v>
      </c>
      <c r="I1342" t="str">
        <f>"FRONTIER"</f>
        <v>FRONTIER</v>
      </c>
    </row>
    <row r="1343" spans="1:9" x14ac:dyDescent="0.25">
      <c r="A1343" s="6">
        <v>44574</v>
      </c>
      <c r="B1343" t="s">
        <v>26</v>
      </c>
      <c r="C1343">
        <v>68568</v>
      </c>
      <c r="D1343" t="s">
        <v>36</v>
      </c>
      <c r="E1343" s="7">
        <v>75</v>
      </c>
      <c r="F1343" t="s">
        <v>20</v>
      </c>
      <c r="G1343" t="s">
        <v>21</v>
      </c>
      <c r="H1343" t="str">
        <f>"JAN 2022-COUNCIL"</f>
        <v>JAN 2022-COUNCIL</v>
      </c>
      <c r="I1343" t="str">
        <f>""</f>
        <v/>
      </c>
    </row>
    <row r="1344" spans="1:9" x14ac:dyDescent="0.25">
      <c r="A1344" s="6">
        <v>44574</v>
      </c>
      <c r="B1344" t="s">
        <v>26</v>
      </c>
      <c r="C1344">
        <v>68569</v>
      </c>
      <c r="D1344" t="s">
        <v>38</v>
      </c>
      <c r="E1344" s="7">
        <v>100</v>
      </c>
      <c r="F1344" t="s">
        <v>20</v>
      </c>
      <c r="G1344" t="s">
        <v>21</v>
      </c>
      <c r="H1344" t="str">
        <f>"JAN 2022-COUNCIL"</f>
        <v>JAN 2022-COUNCIL</v>
      </c>
      <c r="I1344" t="str">
        <f>""</f>
        <v/>
      </c>
    </row>
    <row r="1345" spans="1:9" x14ac:dyDescent="0.25">
      <c r="A1345" s="6">
        <v>44574</v>
      </c>
      <c r="B1345" t="s">
        <v>26</v>
      </c>
      <c r="C1345">
        <v>68570</v>
      </c>
      <c r="D1345" t="s">
        <v>345</v>
      </c>
      <c r="E1345" s="7">
        <v>319</v>
      </c>
      <c r="F1345" t="s">
        <v>20</v>
      </c>
      <c r="G1345" t="s">
        <v>21</v>
      </c>
      <c r="H1345" t="str">
        <f>"1/10/2022"</f>
        <v>1/10/2022</v>
      </c>
      <c r="I1345" t="str">
        <f>"MICHAEL ISAAC MARTINEZ"</f>
        <v>MICHAEL ISAAC MARTINEZ</v>
      </c>
    </row>
    <row r="1346" spans="1:9" x14ac:dyDescent="0.25">
      <c r="A1346" s="6">
        <v>44574</v>
      </c>
      <c r="B1346" t="s">
        <v>26</v>
      </c>
      <c r="C1346">
        <v>68571</v>
      </c>
      <c r="D1346" t="s">
        <v>48</v>
      </c>
      <c r="E1346" s="7">
        <v>2097.67</v>
      </c>
      <c r="F1346" t="s">
        <v>20</v>
      </c>
      <c r="G1346" t="s">
        <v>21</v>
      </c>
      <c r="H1346" t="str">
        <f>"1976"</f>
        <v>1976</v>
      </c>
      <c r="I1346" t="str">
        <f>"RANDY HOLLAR  LLC"</f>
        <v>RANDY HOLLAR  LLC</v>
      </c>
    </row>
    <row r="1347" spans="1:9" x14ac:dyDescent="0.25">
      <c r="A1347" s="6">
        <v>44574</v>
      </c>
      <c r="B1347" t="s">
        <v>26</v>
      </c>
      <c r="C1347">
        <v>68572</v>
      </c>
      <c r="D1347" t="s">
        <v>328</v>
      </c>
      <c r="E1347" s="7">
        <v>1250</v>
      </c>
      <c r="F1347" t="s">
        <v>20</v>
      </c>
      <c r="G1347" t="s">
        <v>21</v>
      </c>
      <c r="H1347" t="str">
        <f>"7020959"</f>
        <v>7020959</v>
      </c>
      <c r="I1347" t="str">
        <f>"KOLOGIK"</f>
        <v>KOLOGIK</v>
      </c>
    </row>
    <row r="1348" spans="1:9" x14ac:dyDescent="0.25">
      <c r="A1348" s="6">
        <v>44574</v>
      </c>
      <c r="B1348" t="s">
        <v>26</v>
      </c>
      <c r="C1348">
        <v>68572</v>
      </c>
      <c r="D1348" t="s">
        <v>328</v>
      </c>
      <c r="E1348" s="7">
        <v>1250</v>
      </c>
      <c r="F1348" t="s">
        <v>20</v>
      </c>
      <c r="G1348" t="s">
        <v>21</v>
      </c>
      <c r="H1348" t="str">
        <f>"7021227"</f>
        <v>7021227</v>
      </c>
      <c r="I1348" t="str">
        <f>"KOLOGIK"</f>
        <v>KOLOGIK</v>
      </c>
    </row>
    <row r="1349" spans="1:9" x14ac:dyDescent="0.25">
      <c r="A1349" s="6">
        <v>44574</v>
      </c>
      <c r="B1349" t="s">
        <v>26</v>
      </c>
      <c r="C1349">
        <v>68573</v>
      </c>
      <c r="D1349" t="s">
        <v>558</v>
      </c>
      <c r="E1349" s="7">
        <v>75</v>
      </c>
      <c r="F1349" t="s">
        <v>20</v>
      </c>
      <c r="G1349" t="s">
        <v>21</v>
      </c>
      <c r="H1349" t="str">
        <f>"JAN 2022-COUNCIL"</f>
        <v>JAN 2022-COUNCIL</v>
      </c>
      <c r="I1349" t="str">
        <f>"MONTHLY COUNCIL CHECKS"</f>
        <v>MONTHLY COUNCIL CHECKS</v>
      </c>
    </row>
    <row r="1350" spans="1:9" x14ac:dyDescent="0.25">
      <c r="A1350" s="6">
        <v>44574</v>
      </c>
      <c r="B1350" t="s">
        <v>26</v>
      </c>
      <c r="C1350">
        <v>68574</v>
      </c>
      <c r="D1350" t="s">
        <v>824</v>
      </c>
      <c r="E1350" s="7">
        <v>80</v>
      </c>
      <c r="F1350" t="s">
        <v>20</v>
      </c>
      <c r="G1350" t="s">
        <v>21</v>
      </c>
      <c r="H1350" t="str">
        <f>"12/30/2021"</f>
        <v>12/30/2021</v>
      </c>
      <c r="I1350" t="str">
        <f>"MALLORY R. NELSON"</f>
        <v>MALLORY R. NELSON</v>
      </c>
    </row>
    <row r="1351" spans="1:9" x14ac:dyDescent="0.25">
      <c r="A1351" s="6">
        <v>44574</v>
      </c>
      <c r="B1351" t="s">
        <v>26</v>
      </c>
      <c r="C1351">
        <v>68575</v>
      </c>
      <c r="D1351" t="s">
        <v>889</v>
      </c>
      <c r="E1351" s="7">
        <v>75</v>
      </c>
      <c r="F1351" t="s">
        <v>20</v>
      </c>
      <c r="G1351" t="s">
        <v>21</v>
      </c>
      <c r="H1351" t="str">
        <f>"JAN 2022-COUNCIL"</f>
        <v>JAN 2022-COUNCIL</v>
      </c>
      <c r="I1351" t="str">
        <f>""</f>
        <v/>
      </c>
    </row>
    <row r="1352" spans="1:9" x14ac:dyDescent="0.25">
      <c r="A1352" s="6">
        <v>44574</v>
      </c>
      <c r="B1352" t="s">
        <v>26</v>
      </c>
      <c r="C1352">
        <v>68576</v>
      </c>
      <c r="D1352" t="s">
        <v>896</v>
      </c>
      <c r="E1352" s="7">
        <v>150</v>
      </c>
      <c r="F1352" t="s">
        <v>20</v>
      </c>
      <c r="G1352" t="s">
        <v>21</v>
      </c>
      <c r="H1352" t="str">
        <f>"CSI-01-2022"</f>
        <v>CSI-01-2022</v>
      </c>
      <c r="I1352" t="str">
        <f>"VICTOR FAVELLA CLASS"</f>
        <v>VICTOR FAVELLA CLASS</v>
      </c>
    </row>
    <row r="1353" spans="1:9" x14ac:dyDescent="0.25">
      <c r="A1353" s="6">
        <v>44574</v>
      </c>
      <c r="B1353" t="s">
        <v>26</v>
      </c>
      <c r="C1353">
        <v>68577</v>
      </c>
      <c r="D1353" t="s">
        <v>1011</v>
      </c>
      <c r="E1353" s="7">
        <v>75</v>
      </c>
      <c r="F1353" t="s">
        <v>20</v>
      </c>
      <c r="G1353" t="s">
        <v>21</v>
      </c>
      <c r="H1353" t="str">
        <f>"JAN 2022-COUNCIL"</f>
        <v>JAN 2022-COUNCIL</v>
      </c>
      <c r="I1353" t="str">
        <f>""</f>
        <v/>
      </c>
    </row>
    <row r="1354" spans="1:9" x14ac:dyDescent="0.25">
      <c r="A1354" s="6">
        <v>44574</v>
      </c>
      <c r="B1354" t="s">
        <v>26</v>
      </c>
      <c r="C1354">
        <v>68578</v>
      </c>
      <c r="D1354" t="s">
        <v>1140</v>
      </c>
      <c r="E1354" s="7">
        <v>80</v>
      </c>
      <c r="F1354" t="s">
        <v>20</v>
      </c>
      <c r="G1354" t="s">
        <v>21</v>
      </c>
      <c r="H1354" t="str">
        <f>"12/30/2021"</f>
        <v>12/30/2021</v>
      </c>
      <c r="I1354" t="str">
        <f>"MIRANDA ESTRADA"</f>
        <v>MIRANDA ESTRADA</v>
      </c>
    </row>
    <row r="1355" spans="1:9" x14ac:dyDescent="0.25">
      <c r="A1355" s="6">
        <v>44574</v>
      </c>
      <c r="B1355" t="s">
        <v>26</v>
      </c>
      <c r="C1355">
        <v>68579</v>
      </c>
      <c r="D1355" t="s">
        <v>1148</v>
      </c>
      <c r="E1355" s="7">
        <v>12000</v>
      </c>
      <c r="F1355" t="s">
        <v>20</v>
      </c>
      <c r="G1355" t="s">
        <v>21</v>
      </c>
      <c r="H1355" t="str">
        <f>"80719-12-2021"</f>
        <v>80719-12-2021</v>
      </c>
      <c r="I1355" t="str">
        <f>"KS STATEBANK GOVERNMENT FINANC"</f>
        <v>KS STATEBANK GOVERNMENT FINANC</v>
      </c>
    </row>
    <row r="1356" spans="1:9" x14ac:dyDescent="0.25">
      <c r="A1356" s="6">
        <v>44580</v>
      </c>
      <c r="B1356" t="s">
        <v>26</v>
      </c>
      <c r="C1356">
        <v>68580</v>
      </c>
      <c r="D1356" t="s">
        <v>1145</v>
      </c>
      <c r="E1356" s="7">
        <v>535.6</v>
      </c>
      <c r="F1356" t="s">
        <v>20</v>
      </c>
      <c r="G1356" t="s">
        <v>21</v>
      </c>
      <c r="H1356" t="str">
        <f>"2021-064-02"</f>
        <v>2021-064-02</v>
      </c>
      <c r="I1356" t="str">
        <f>"6S ENGINEERING  INC"</f>
        <v>6S ENGINEERING  INC</v>
      </c>
    </row>
    <row r="1357" spans="1:9" x14ac:dyDescent="0.25">
      <c r="A1357" s="6">
        <v>44580</v>
      </c>
      <c r="B1357" t="s">
        <v>26</v>
      </c>
      <c r="C1357">
        <v>68580</v>
      </c>
      <c r="D1357" t="s">
        <v>1145</v>
      </c>
      <c r="E1357" s="7">
        <v>627.79999999999995</v>
      </c>
      <c r="F1357" t="s">
        <v>20</v>
      </c>
      <c r="G1357" t="s">
        <v>21</v>
      </c>
      <c r="H1357" t="str">
        <f>"2021-064-04"</f>
        <v>2021-064-04</v>
      </c>
      <c r="I1357" t="str">
        <f>"6S ENGINEERING  INC"</f>
        <v>6S ENGINEERING  INC</v>
      </c>
    </row>
    <row r="1358" spans="1:9" x14ac:dyDescent="0.25">
      <c r="A1358" s="6">
        <v>44580</v>
      </c>
      <c r="B1358" t="s">
        <v>26</v>
      </c>
      <c r="C1358">
        <v>68581</v>
      </c>
      <c r="D1358" t="s">
        <v>991</v>
      </c>
      <c r="E1358" s="7">
        <v>400</v>
      </c>
      <c r="F1358" t="s">
        <v>20</v>
      </c>
      <c r="G1358" t="s">
        <v>21</v>
      </c>
      <c r="H1358" t="str">
        <f>"218469"</f>
        <v>218469</v>
      </c>
      <c r="I1358" t="str">
        <f>"RALLY TOWELS -FLORESVILLE"</f>
        <v>RALLY TOWELS -FLORESVILLE</v>
      </c>
    </row>
    <row r="1359" spans="1:9" x14ac:dyDescent="0.25">
      <c r="A1359" s="6">
        <v>44580</v>
      </c>
      <c r="B1359" t="s">
        <v>26</v>
      </c>
      <c r="C1359">
        <v>68581</v>
      </c>
      <c r="D1359" t="s">
        <v>991</v>
      </c>
      <c r="E1359" s="7">
        <v>400</v>
      </c>
      <c r="F1359" t="s">
        <v>20</v>
      </c>
      <c r="G1359" t="s">
        <v>21</v>
      </c>
      <c r="H1359" t="str">
        <f>"218471"</f>
        <v>218471</v>
      </c>
      <c r="I1359" t="str">
        <f>"RALLY TOWELS-STOCKDALE"</f>
        <v>RALLY TOWELS-STOCKDALE</v>
      </c>
    </row>
    <row r="1360" spans="1:9" x14ac:dyDescent="0.25">
      <c r="A1360" s="6">
        <v>44580</v>
      </c>
      <c r="B1360" t="s">
        <v>26</v>
      </c>
      <c r="C1360">
        <v>68581</v>
      </c>
      <c r="D1360" t="s">
        <v>991</v>
      </c>
      <c r="E1360" s="7">
        <v>400</v>
      </c>
      <c r="F1360" t="s">
        <v>20</v>
      </c>
      <c r="G1360" t="s">
        <v>21</v>
      </c>
      <c r="H1360" t="str">
        <f>"218472"</f>
        <v>218472</v>
      </c>
      <c r="I1360" t="str">
        <f>"RALLY TOWELS - POTH"</f>
        <v>RALLY TOWELS - POTH</v>
      </c>
    </row>
    <row r="1361" spans="1:9" x14ac:dyDescent="0.25">
      <c r="A1361" s="6">
        <v>44580</v>
      </c>
      <c r="B1361" t="s">
        <v>26</v>
      </c>
      <c r="C1361">
        <v>68581</v>
      </c>
      <c r="D1361" t="s">
        <v>991</v>
      </c>
      <c r="E1361" s="7">
        <v>400</v>
      </c>
      <c r="F1361" t="s">
        <v>20</v>
      </c>
      <c r="G1361" t="s">
        <v>21</v>
      </c>
      <c r="H1361" t="str">
        <f>"218473"</f>
        <v>218473</v>
      </c>
      <c r="I1361" t="str">
        <f>"RALLY TOWELS-LA VERNIA"</f>
        <v>RALLY TOWELS-LA VERNIA</v>
      </c>
    </row>
    <row r="1362" spans="1:9" x14ac:dyDescent="0.25">
      <c r="A1362" s="6">
        <v>44580</v>
      </c>
      <c r="B1362" t="s">
        <v>26</v>
      </c>
      <c r="C1362">
        <v>68582</v>
      </c>
      <c r="D1362" t="s">
        <v>1150</v>
      </c>
      <c r="E1362" s="7">
        <v>700</v>
      </c>
      <c r="F1362" t="s">
        <v>20</v>
      </c>
      <c r="G1362" t="s">
        <v>21</v>
      </c>
      <c r="H1362" t="str">
        <f>"INV-0602"</f>
        <v>INV-0602</v>
      </c>
      <c r="I1362" t="str">
        <f>"FIRST AID CPR"</f>
        <v>FIRST AID CPR</v>
      </c>
    </row>
    <row r="1363" spans="1:9" x14ac:dyDescent="0.25">
      <c r="A1363" s="6">
        <v>44580</v>
      </c>
      <c r="B1363" t="s">
        <v>26</v>
      </c>
      <c r="C1363">
        <v>68584</v>
      </c>
      <c r="D1363" t="s">
        <v>139</v>
      </c>
      <c r="E1363" s="7">
        <v>65</v>
      </c>
      <c r="F1363" t="s">
        <v>20</v>
      </c>
      <c r="G1363" t="s">
        <v>21</v>
      </c>
      <c r="H1363" t="str">
        <f>"34477"</f>
        <v>34477</v>
      </c>
      <c r="I1363" t="str">
        <f>"ANGEL FIRE &amp; SAFETY"</f>
        <v>ANGEL FIRE &amp; SAFETY</v>
      </c>
    </row>
    <row r="1364" spans="1:9" x14ac:dyDescent="0.25">
      <c r="A1364" s="6">
        <v>44580</v>
      </c>
      <c r="B1364" t="s">
        <v>91</v>
      </c>
      <c r="C1364">
        <v>68585</v>
      </c>
      <c r="D1364" t="s">
        <v>195</v>
      </c>
      <c r="E1364" s="7">
        <v>4861.8100000000004</v>
      </c>
      <c r="F1364" t="s">
        <v>20</v>
      </c>
      <c r="G1364" t="s">
        <v>21</v>
      </c>
      <c r="H1364" t="str">
        <f>"INV-AIS-004389"</f>
        <v>INV-AIS-004389</v>
      </c>
      <c r="I1364" t="str">
        <f>"ARISTA INFORMATION SYSTEMS  IN"</f>
        <v>ARISTA INFORMATION SYSTEMS  IN</v>
      </c>
    </row>
    <row r="1365" spans="1:9" x14ac:dyDescent="0.25">
      <c r="A1365" s="6">
        <v>44580</v>
      </c>
      <c r="B1365" t="s">
        <v>91</v>
      </c>
      <c r="C1365">
        <v>68585</v>
      </c>
      <c r="D1365" t="s">
        <v>195</v>
      </c>
      <c r="E1365" s="7">
        <v>4861.8100000000004</v>
      </c>
      <c r="F1365" t="s">
        <v>20</v>
      </c>
      <c r="G1365" t="s">
        <v>93</v>
      </c>
      <c r="H1365" t="str">
        <f>"CHECK"</f>
        <v>CHECK</v>
      </c>
      <c r="I1365" t="str">
        <f>""</f>
        <v/>
      </c>
    </row>
    <row r="1366" spans="1:9" x14ac:dyDescent="0.25">
      <c r="A1366" s="6">
        <v>44580</v>
      </c>
      <c r="B1366" t="s">
        <v>26</v>
      </c>
      <c r="C1366">
        <v>68586</v>
      </c>
      <c r="D1366" t="s">
        <v>189</v>
      </c>
      <c r="E1366" s="7">
        <v>4137.62</v>
      </c>
      <c r="F1366" t="s">
        <v>20</v>
      </c>
      <c r="G1366" t="s">
        <v>21</v>
      </c>
      <c r="H1366" t="str">
        <f>"SWO207897-1"</f>
        <v>SWO207897-1</v>
      </c>
      <c r="I1366" t="str">
        <f>"ASCO"</f>
        <v>ASCO</v>
      </c>
    </row>
    <row r="1367" spans="1:9" x14ac:dyDescent="0.25">
      <c r="A1367" s="6">
        <v>44580</v>
      </c>
      <c r="B1367" t="s">
        <v>26</v>
      </c>
      <c r="C1367">
        <v>68587</v>
      </c>
      <c r="D1367" t="s">
        <v>821</v>
      </c>
      <c r="E1367" s="7">
        <v>2250</v>
      </c>
      <c r="F1367" t="s">
        <v>20</v>
      </c>
      <c r="G1367" t="s">
        <v>21</v>
      </c>
      <c r="H1367" t="str">
        <f>"FRI9455*"</f>
        <v>FRI9455*</v>
      </c>
      <c r="I1367" t="str">
        <f>"HOSPITAL BLVD WELL"</f>
        <v>HOSPITAL BLVD WELL</v>
      </c>
    </row>
    <row r="1368" spans="1:9" x14ac:dyDescent="0.25">
      <c r="A1368" s="6">
        <v>44580</v>
      </c>
      <c r="B1368" t="s">
        <v>26</v>
      </c>
      <c r="C1368">
        <v>68587</v>
      </c>
      <c r="D1368" t="s">
        <v>821</v>
      </c>
      <c r="E1368" s="7">
        <v>9377</v>
      </c>
      <c r="F1368" t="s">
        <v>20</v>
      </c>
      <c r="G1368" t="s">
        <v>21</v>
      </c>
      <c r="H1368" t="str">
        <f>"NSI12866"</f>
        <v>NSI12866</v>
      </c>
      <c r="I1368" t="str">
        <f>"AUSTIN ARMATURE WORKS  LP"</f>
        <v>AUSTIN ARMATURE WORKS  LP</v>
      </c>
    </row>
    <row r="1369" spans="1:9" x14ac:dyDescent="0.25">
      <c r="A1369" s="6">
        <v>44580</v>
      </c>
      <c r="B1369" t="s">
        <v>26</v>
      </c>
      <c r="C1369">
        <v>68588</v>
      </c>
      <c r="D1369" t="s">
        <v>115</v>
      </c>
      <c r="E1369" s="7">
        <v>41.98</v>
      </c>
      <c r="F1369" t="s">
        <v>20</v>
      </c>
      <c r="G1369" t="s">
        <v>21</v>
      </c>
      <c r="H1369" t="str">
        <f>"3547168015"</f>
        <v>3547168015</v>
      </c>
      <c r="I1369" t="str">
        <f>"PEAK OET ORANGE"</f>
        <v>PEAK OET ORANGE</v>
      </c>
    </row>
    <row r="1370" spans="1:9" x14ac:dyDescent="0.25">
      <c r="A1370" s="6">
        <v>44580</v>
      </c>
      <c r="B1370" t="s">
        <v>26</v>
      </c>
      <c r="C1370">
        <v>68588</v>
      </c>
      <c r="D1370" t="s">
        <v>115</v>
      </c>
      <c r="E1370" s="7">
        <v>170.98</v>
      </c>
      <c r="F1370" t="s">
        <v>20</v>
      </c>
      <c r="G1370" t="s">
        <v>21</v>
      </c>
      <c r="H1370" t="str">
        <f>"3547170146"</f>
        <v>3547170146</v>
      </c>
      <c r="I1370" t="str">
        <f>"LOADER-STREETS"</f>
        <v>LOADER-STREETS</v>
      </c>
    </row>
    <row r="1371" spans="1:9" x14ac:dyDescent="0.25">
      <c r="A1371" s="6">
        <v>44580</v>
      </c>
      <c r="B1371" t="s">
        <v>26</v>
      </c>
      <c r="C1371">
        <v>68588</v>
      </c>
      <c r="D1371" t="s">
        <v>115</v>
      </c>
      <c r="E1371" s="7">
        <v>96.09</v>
      </c>
      <c r="F1371" t="s">
        <v>20</v>
      </c>
      <c r="G1371" t="s">
        <v>21</v>
      </c>
      <c r="H1371" t="str">
        <f>"3547174624"</f>
        <v>3547174624</v>
      </c>
      <c r="I1371" t="str">
        <f>"WATER PUMP"</f>
        <v>WATER PUMP</v>
      </c>
    </row>
    <row r="1372" spans="1:9" x14ac:dyDescent="0.25">
      <c r="A1372" s="6">
        <v>44580</v>
      </c>
      <c r="B1372" t="s">
        <v>26</v>
      </c>
      <c r="C1372">
        <v>68589</v>
      </c>
      <c r="D1372" t="s">
        <v>288</v>
      </c>
      <c r="E1372" s="7">
        <v>249.24</v>
      </c>
      <c r="F1372" t="s">
        <v>20</v>
      </c>
      <c r="G1372" t="s">
        <v>21</v>
      </c>
      <c r="H1372" t="str">
        <f>"INUS043566"</f>
        <v>INUS043566</v>
      </c>
      <c r="I1372" t="str">
        <f>"POWER MAGAZINE"</f>
        <v>POWER MAGAZINE</v>
      </c>
    </row>
    <row r="1373" spans="1:9" x14ac:dyDescent="0.25">
      <c r="A1373" s="6">
        <v>44580</v>
      </c>
      <c r="B1373" t="s">
        <v>26</v>
      </c>
      <c r="C1373">
        <v>68590</v>
      </c>
      <c r="D1373" t="s">
        <v>836</v>
      </c>
      <c r="E1373" s="7">
        <v>300</v>
      </c>
      <c r="F1373" t="s">
        <v>20</v>
      </c>
      <c r="G1373" t="s">
        <v>21</v>
      </c>
      <c r="H1373" t="str">
        <f>"81039"</f>
        <v>81039</v>
      </c>
      <c r="I1373" t="str">
        <f>"BARCOM TECHNOLOGY SOLUTIONS  I"</f>
        <v>BARCOM TECHNOLOGY SOLUTIONS  I</v>
      </c>
    </row>
    <row r="1374" spans="1:9" x14ac:dyDescent="0.25">
      <c r="A1374" s="6">
        <v>44580</v>
      </c>
      <c r="B1374" t="s">
        <v>26</v>
      </c>
      <c r="C1374">
        <v>68591</v>
      </c>
      <c r="D1374" t="s">
        <v>336</v>
      </c>
      <c r="E1374" s="7">
        <v>240.34</v>
      </c>
      <c r="F1374" t="s">
        <v>20</v>
      </c>
      <c r="G1374" t="s">
        <v>21</v>
      </c>
      <c r="H1374" t="str">
        <f>"INTER. AFFAIR INV."</f>
        <v>INTER. AFFAIR INV.</v>
      </c>
      <c r="I1374" t="str">
        <f>"BILLY HERRERA"</f>
        <v>BILLY HERRERA</v>
      </c>
    </row>
    <row r="1375" spans="1:9" x14ac:dyDescent="0.25">
      <c r="A1375" s="6">
        <v>44580</v>
      </c>
      <c r="B1375" t="s">
        <v>26</v>
      </c>
      <c r="C1375">
        <v>68592</v>
      </c>
      <c r="D1375" t="s">
        <v>102</v>
      </c>
      <c r="E1375" s="7">
        <v>70.81</v>
      </c>
      <c r="F1375" t="s">
        <v>20</v>
      </c>
      <c r="G1375" t="s">
        <v>21</v>
      </c>
      <c r="H1375" t="str">
        <f>"1120 D ST 1/2022"</f>
        <v>1120 D ST 1/2022</v>
      </c>
      <c r="I1375" t="str">
        <f>"CENTERPOINT ENERGY ENTEX"</f>
        <v>CENTERPOINT ENERGY ENTEX</v>
      </c>
    </row>
    <row r="1376" spans="1:9" x14ac:dyDescent="0.25">
      <c r="A1376" s="6">
        <v>44580</v>
      </c>
      <c r="B1376" t="s">
        <v>26</v>
      </c>
      <c r="C1376">
        <v>68592</v>
      </c>
      <c r="D1376" t="s">
        <v>102</v>
      </c>
      <c r="E1376" s="7">
        <v>38.47</v>
      </c>
      <c r="F1376" t="s">
        <v>20</v>
      </c>
      <c r="G1376" t="s">
        <v>21</v>
      </c>
      <c r="H1376" t="str">
        <f>"1200 1ST 1/2022"</f>
        <v>1200 1ST 1/2022</v>
      </c>
      <c r="I1376" t="str">
        <f>"CENTERPOINT ENERGY ENTEX"</f>
        <v>CENTERPOINT ENERGY ENTEX</v>
      </c>
    </row>
    <row r="1377" spans="1:9" x14ac:dyDescent="0.25">
      <c r="A1377" s="6">
        <v>44580</v>
      </c>
      <c r="B1377" t="s">
        <v>26</v>
      </c>
      <c r="C1377">
        <v>68592</v>
      </c>
      <c r="D1377" t="s">
        <v>102</v>
      </c>
      <c r="E1377" s="7">
        <v>41.64</v>
      </c>
      <c r="F1377" t="s">
        <v>20</v>
      </c>
      <c r="G1377" t="s">
        <v>21</v>
      </c>
      <c r="H1377" t="str">
        <f>"920 C ST. 1/2022"</f>
        <v>920 C ST. 1/2022</v>
      </c>
      <c r="I1377" t="str">
        <f>"CENTERPOINT ENERGY ENTEX"</f>
        <v>CENTERPOINT ENERGY ENTEX</v>
      </c>
    </row>
    <row r="1378" spans="1:9" x14ac:dyDescent="0.25">
      <c r="A1378" s="6">
        <v>44580</v>
      </c>
      <c r="B1378" t="s">
        <v>26</v>
      </c>
      <c r="C1378">
        <v>68593</v>
      </c>
      <c r="D1378" t="s">
        <v>63</v>
      </c>
      <c r="E1378" s="7">
        <v>107.75</v>
      </c>
      <c r="F1378" t="s">
        <v>20</v>
      </c>
      <c r="G1378" t="s">
        <v>21</v>
      </c>
      <c r="H1378" t="str">
        <f>"8405472404"</f>
        <v>8405472404</v>
      </c>
      <c r="I1378" t="str">
        <f>"CINTAS CORPORATION"</f>
        <v>CINTAS CORPORATION</v>
      </c>
    </row>
    <row r="1379" spans="1:9" x14ac:dyDescent="0.25">
      <c r="A1379" s="6">
        <v>44580</v>
      </c>
      <c r="B1379" t="s">
        <v>26</v>
      </c>
      <c r="C1379">
        <v>68594</v>
      </c>
      <c r="D1379" t="s">
        <v>71</v>
      </c>
      <c r="E1379" s="7">
        <v>129.43</v>
      </c>
      <c r="F1379" t="s">
        <v>20</v>
      </c>
      <c r="G1379" t="s">
        <v>21</v>
      </c>
      <c r="H1379" t="str">
        <f>"4105795040"</f>
        <v>4105795040</v>
      </c>
      <c r="I1379" t="str">
        <f t="shared" ref="I1379:I1396" si="32">"CINTAS CORPORATION #087"</f>
        <v>CINTAS CORPORATION #087</v>
      </c>
    </row>
    <row r="1380" spans="1:9" x14ac:dyDescent="0.25">
      <c r="A1380" s="6">
        <v>44580</v>
      </c>
      <c r="B1380" t="s">
        <v>26</v>
      </c>
      <c r="C1380">
        <v>68594</v>
      </c>
      <c r="D1380" t="s">
        <v>71</v>
      </c>
      <c r="E1380" s="7">
        <v>155.83000000000001</v>
      </c>
      <c r="F1380" t="s">
        <v>20</v>
      </c>
      <c r="G1380" t="s">
        <v>21</v>
      </c>
      <c r="H1380" t="str">
        <f>"4105795051"</f>
        <v>4105795051</v>
      </c>
      <c r="I1380" t="str">
        <f t="shared" si="32"/>
        <v>CINTAS CORPORATION #087</v>
      </c>
    </row>
    <row r="1381" spans="1:9" x14ac:dyDescent="0.25">
      <c r="A1381" s="6">
        <v>44580</v>
      </c>
      <c r="B1381" t="s">
        <v>26</v>
      </c>
      <c r="C1381">
        <v>68594</v>
      </c>
      <c r="D1381" t="s">
        <v>71</v>
      </c>
      <c r="E1381" s="7">
        <v>30.26</v>
      </c>
      <c r="F1381" t="s">
        <v>20</v>
      </c>
      <c r="G1381" t="s">
        <v>21</v>
      </c>
      <c r="H1381" t="str">
        <f>"4105795077"</f>
        <v>4105795077</v>
      </c>
      <c r="I1381" t="str">
        <f t="shared" si="32"/>
        <v>CINTAS CORPORATION #087</v>
      </c>
    </row>
    <row r="1382" spans="1:9" x14ac:dyDescent="0.25">
      <c r="A1382" s="6">
        <v>44580</v>
      </c>
      <c r="B1382" t="s">
        <v>26</v>
      </c>
      <c r="C1382">
        <v>68594</v>
      </c>
      <c r="D1382" t="s">
        <v>71</v>
      </c>
      <c r="E1382" s="7">
        <v>112.71</v>
      </c>
      <c r="F1382" t="s">
        <v>20</v>
      </c>
      <c r="G1382" t="s">
        <v>21</v>
      </c>
      <c r="H1382" t="str">
        <f>"4105795078"</f>
        <v>4105795078</v>
      </c>
      <c r="I1382" t="str">
        <f t="shared" si="32"/>
        <v>CINTAS CORPORATION #087</v>
      </c>
    </row>
    <row r="1383" spans="1:9" x14ac:dyDescent="0.25">
      <c r="A1383" s="6">
        <v>44580</v>
      </c>
      <c r="B1383" t="s">
        <v>26</v>
      </c>
      <c r="C1383">
        <v>68594</v>
      </c>
      <c r="D1383" t="s">
        <v>71</v>
      </c>
      <c r="E1383" s="7">
        <v>85.8</v>
      </c>
      <c r="F1383" t="s">
        <v>20</v>
      </c>
      <c r="G1383" t="s">
        <v>21</v>
      </c>
      <c r="H1383" t="str">
        <f>"4105795104"</f>
        <v>4105795104</v>
      </c>
      <c r="I1383" t="str">
        <f t="shared" si="32"/>
        <v>CINTAS CORPORATION #087</v>
      </c>
    </row>
    <row r="1384" spans="1:9" x14ac:dyDescent="0.25">
      <c r="A1384" s="6">
        <v>44580</v>
      </c>
      <c r="B1384" t="s">
        <v>26</v>
      </c>
      <c r="C1384">
        <v>68594</v>
      </c>
      <c r="D1384" t="s">
        <v>71</v>
      </c>
      <c r="E1384" s="7">
        <v>267.33999999999997</v>
      </c>
      <c r="F1384" t="s">
        <v>20</v>
      </c>
      <c r="G1384" t="s">
        <v>21</v>
      </c>
      <c r="H1384" t="str">
        <f>"4105795174"</f>
        <v>4105795174</v>
      </c>
      <c r="I1384" t="str">
        <f t="shared" si="32"/>
        <v>CINTAS CORPORATION #087</v>
      </c>
    </row>
    <row r="1385" spans="1:9" x14ac:dyDescent="0.25">
      <c r="A1385" s="6">
        <v>44580</v>
      </c>
      <c r="B1385" t="s">
        <v>26</v>
      </c>
      <c r="C1385">
        <v>68594</v>
      </c>
      <c r="D1385" t="s">
        <v>71</v>
      </c>
      <c r="E1385" s="7">
        <v>54.76</v>
      </c>
      <c r="F1385" t="s">
        <v>20</v>
      </c>
      <c r="G1385" t="s">
        <v>21</v>
      </c>
      <c r="H1385" t="str">
        <f>"4106513601"</f>
        <v>4106513601</v>
      </c>
      <c r="I1385" t="str">
        <f t="shared" si="32"/>
        <v>CINTAS CORPORATION #087</v>
      </c>
    </row>
    <row r="1386" spans="1:9" x14ac:dyDescent="0.25">
      <c r="A1386" s="6">
        <v>44580</v>
      </c>
      <c r="B1386" t="s">
        <v>26</v>
      </c>
      <c r="C1386">
        <v>68594</v>
      </c>
      <c r="D1386" t="s">
        <v>71</v>
      </c>
      <c r="E1386" s="7">
        <v>30.26</v>
      </c>
      <c r="F1386" t="s">
        <v>20</v>
      </c>
      <c r="G1386" t="s">
        <v>21</v>
      </c>
      <c r="H1386" t="str">
        <f>"4106513646"</f>
        <v>4106513646</v>
      </c>
      <c r="I1386" t="str">
        <f t="shared" si="32"/>
        <v>CINTAS CORPORATION #087</v>
      </c>
    </row>
    <row r="1387" spans="1:9" x14ac:dyDescent="0.25">
      <c r="A1387" s="6">
        <v>44580</v>
      </c>
      <c r="B1387" t="s">
        <v>26</v>
      </c>
      <c r="C1387">
        <v>68594</v>
      </c>
      <c r="D1387" t="s">
        <v>71</v>
      </c>
      <c r="E1387" s="7">
        <v>155.83000000000001</v>
      </c>
      <c r="F1387" t="s">
        <v>20</v>
      </c>
      <c r="G1387" t="s">
        <v>21</v>
      </c>
      <c r="H1387" t="str">
        <f>"4106513658"</f>
        <v>4106513658</v>
      </c>
      <c r="I1387" t="str">
        <f t="shared" si="32"/>
        <v>CINTAS CORPORATION #087</v>
      </c>
    </row>
    <row r="1388" spans="1:9" x14ac:dyDescent="0.25">
      <c r="A1388" s="6">
        <v>44580</v>
      </c>
      <c r="B1388" t="s">
        <v>26</v>
      </c>
      <c r="C1388">
        <v>68594</v>
      </c>
      <c r="D1388" t="s">
        <v>71</v>
      </c>
      <c r="E1388" s="7">
        <v>8.9</v>
      </c>
      <c r="F1388" t="s">
        <v>20</v>
      </c>
      <c r="G1388" t="s">
        <v>21</v>
      </c>
      <c r="H1388" t="str">
        <f>"4106513662"</f>
        <v>4106513662</v>
      </c>
      <c r="I1388" t="str">
        <f t="shared" si="32"/>
        <v>CINTAS CORPORATION #087</v>
      </c>
    </row>
    <row r="1389" spans="1:9" x14ac:dyDescent="0.25">
      <c r="A1389" s="6">
        <v>44580</v>
      </c>
      <c r="B1389" t="s">
        <v>26</v>
      </c>
      <c r="C1389">
        <v>68594</v>
      </c>
      <c r="D1389" t="s">
        <v>71</v>
      </c>
      <c r="E1389" s="7">
        <v>32.18</v>
      </c>
      <c r="F1389" t="s">
        <v>20</v>
      </c>
      <c r="G1389" t="s">
        <v>21</v>
      </c>
      <c r="H1389" t="str">
        <f>"4106513672"</f>
        <v>4106513672</v>
      </c>
      <c r="I1389" t="str">
        <f t="shared" si="32"/>
        <v>CINTAS CORPORATION #087</v>
      </c>
    </row>
    <row r="1390" spans="1:9" x14ac:dyDescent="0.25">
      <c r="A1390" s="6">
        <v>44580</v>
      </c>
      <c r="B1390" t="s">
        <v>26</v>
      </c>
      <c r="C1390">
        <v>68594</v>
      </c>
      <c r="D1390" t="s">
        <v>71</v>
      </c>
      <c r="E1390" s="7">
        <v>710.38</v>
      </c>
      <c r="F1390" t="s">
        <v>20</v>
      </c>
      <c r="G1390" t="s">
        <v>21</v>
      </c>
      <c r="H1390" t="str">
        <f>"4106513718"</f>
        <v>4106513718</v>
      </c>
      <c r="I1390" t="str">
        <f t="shared" si="32"/>
        <v>CINTAS CORPORATION #087</v>
      </c>
    </row>
    <row r="1391" spans="1:9" x14ac:dyDescent="0.25">
      <c r="A1391" s="6">
        <v>44580</v>
      </c>
      <c r="B1391" t="s">
        <v>26</v>
      </c>
      <c r="C1391">
        <v>68594</v>
      </c>
      <c r="D1391" t="s">
        <v>71</v>
      </c>
      <c r="E1391" s="7">
        <v>30.26</v>
      </c>
      <c r="F1391" t="s">
        <v>20</v>
      </c>
      <c r="G1391" t="s">
        <v>21</v>
      </c>
      <c r="H1391" t="str">
        <f>"4107136940"</f>
        <v>4107136940</v>
      </c>
      <c r="I1391" t="str">
        <f t="shared" si="32"/>
        <v>CINTAS CORPORATION #087</v>
      </c>
    </row>
    <row r="1392" spans="1:9" x14ac:dyDescent="0.25">
      <c r="A1392" s="6">
        <v>44580</v>
      </c>
      <c r="B1392" t="s">
        <v>26</v>
      </c>
      <c r="C1392">
        <v>68594</v>
      </c>
      <c r="D1392" t="s">
        <v>71</v>
      </c>
      <c r="E1392" s="7">
        <v>112.71</v>
      </c>
      <c r="F1392" t="s">
        <v>20</v>
      </c>
      <c r="G1392" t="s">
        <v>21</v>
      </c>
      <c r="H1392" t="str">
        <f>"4107136987"</f>
        <v>4107136987</v>
      </c>
      <c r="I1392" t="str">
        <f t="shared" si="32"/>
        <v>CINTAS CORPORATION #087</v>
      </c>
    </row>
    <row r="1393" spans="1:9" x14ac:dyDescent="0.25">
      <c r="A1393" s="6">
        <v>44580</v>
      </c>
      <c r="B1393" t="s">
        <v>26</v>
      </c>
      <c r="C1393">
        <v>68594</v>
      </c>
      <c r="D1393" t="s">
        <v>71</v>
      </c>
      <c r="E1393" s="7">
        <v>127.78</v>
      </c>
      <c r="F1393" t="s">
        <v>20</v>
      </c>
      <c r="G1393" t="s">
        <v>21</v>
      </c>
      <c r="H1393" t="str">
        <f>"4107137009"</f>
        <v>4107137009</v>
      </c>
      <c r="I1393" t="str">
        <f t="shared" si="32"/>
        <v>CINTAS CORPORATION #087</v>
      </c>
    </row>
    <row r="1394" spans="1:9" x14ac:dyDescent="0.25">
      <c r="A1394" s="6">
        <v>44580</v>
      </c>
      <c r="B1394" t="s">
        <v>26</v>
      </c>
      <c r="C1394">
        <v>68594</v>
      </c>
      <c r="D1394" t="s">
        <v>71</v>
      </c>
      <c r="E1394" s="7">
        <v>85.8</v>
      </c>
      <c r="F1394" t="s">
        <v>20</v>
      </c>
      <c r="G1394" t="s">
        <v>21</v>
      </c>
      <c r="H1394" t="str">
        <f>"4107137082"</f>
        <v>4107137082</v>
      </c>
      <c r="I1394" t="str">
        <f t="shared" si="32"/>
        <v>CINTAS CORPORATION #087</v>
      </c>
    </row>
    <row r="1395" spans="1:9" x14ac:dyDescent="0.25">
      <c r="A1395" s="6">
        <v>44580</v>
      </c>
      <c r="B1395" t="s">
        <v>26</v>
      </c>
      <c r="C1395">
        <v>68594</v>
      </c>
      <c r="D1395" t="s">
        <v>71</v>
      </c>
      <c r="E1395" s="7">
        <v>267.33999999999997</v>
      </c>
      <c r="F1395" t="s">
        <v>20</v>
      </c>
      <c r="G1395" t="s">
        <v>21</v>
      </c>
      <c r="H1395" t="str">
        <f>"4107137085"</f>
        <v>4107137085</v>
      </c>
      <c r="I1395" t="str">
        <f t="shared" si="32"/>
        <v>CINTAS CORPORATION #087</v>
      </c>
    </row>
    <row r="1396" spans="1:9" x14ac:dyDescent="0.25">
      <c r="A1396" s="6">
        <v>44580</v>
      </c>
      <c r="B1396" t="s">
        <v>26</v>
      </c>
      <c r="C1396">
        <v>68594</v>
      </c>
      <c r="D1396" t="s">
        <v>71</v>
      </c>
      <c r="E1396" s="7">
        <v>155.83000000000001</v>
      </c>
      <c r="F1396" t="s">
        <v>20</v>
      </c>
      <c r="G1396" t="s">
        <v>21</v>
      </c>
      <c r="H1396" t="str">
        <f>"4107137162"</f>
        <v>4107137162</v>
      </c>
      <c r="I1396" t="str">
        <f t="shared" si="32"/>
        <v>CINTAS CORPORATION #087</v>
      </c>
    </row>
    <row r="1397" spans="1:9" x14ac:dyDescent="0.25">
      <c r="A1397" s="6">
        <v>44580</v>
      </c>
      <c r="B1397" t="s">
        <v>26</v>
      </c>
      <c r="C1397">
        <v>68599</v>
      </c>
      <c r="D1397" t="s">
        <v>81</v>
      </c>
      <c r="E1397" s="7">
        <v>200.37</v>
      </c>
      <c r="F1397" t="s">
        <v>20</v>
      </c>
      <c r="G1397" t="s">
        <v>21</v>
      </c>
      <c r="H1397" t="str">
        <f>"A.MARTINEZ 1/18/22"</f>
        <v>A.MARTINEZ 1/18/22</v>
      </c>
      <c r="I1397" t="str">
        <f>"CITY OF FLORESVILLE -PETTY CAS"</f>
        <v>CITY OF FLORESVILLE -PETTY CAS</v>
      </c>
    </row>
    <row r="1398" spans="1:9" x14ac:dyDescent="0.25">
      <c r="A1398" s="6">
        <v>44580</v>
      </c>
      <c r="B1398" t="s">
        <v>26</v>
      </c>
      <c r="C1398">
        <v>68600</v>
      </c>
      <c r="D1398" t="s">
        <v>884</v>
      </c>
      <c r="E1398" s="7">
        <v>30</v>
      </c>
      <c r="F1398" t="s">
        <v>20</v>
      </c>
      <c r="G1398" t="s">
        <v>21</v>
      </c>
      <c r="H1398" t="str">
        <f>"REIMBSTMT TCEQ"</f>
        <v>REIMBSTMT TCEQ</v>
      </c>
      <c r="I1398" t="str">
        <f>"DAVID PAINTER"</f>
        <v>DAVID PAINTER</v>
      </c>
    </row>
    <row r="1399" spans="1:9" x14ac:dyDescent="0.25">
      <c r="A1399" s="6">
        <v>44580</v>
      </c>
      <c r="B1399" t="s">
        <v>26</v>
      </c>
      <c r="C1399">
        <v>68601</v>
      </c>
      <c r="D1399" t="s">
        <v>58</v>
      </c>
      <c r="E1399" s="7">
        <v>33</v>
      </c>
      <c r="F1399" t="s">
        <v>20</v>
      </c>
      <c r="G1399" t="s">
        <v>21</v>
      </c>
      <c r="H1399" t="str">
        <f>"660112"</f>
        <v>660112</v>
      </c>
      <c r="I1399" t="str">
        <f>"DEASON ANIMAL HOSPITAL"</f>
        <v>DEASON ANIMAL HOSPITAL</v>
      </c>
    </row>
    <row r="1400" spans="1:9" x14ac:dyDescent="0.25">
      <c r="A1400" s="6">
        <v>44580</v>
      </c>
      <c r="B1400" t="s">
        <v>26</v>
      </c>
      <c r="C1400">
        <v>68602</v>
      </c>
      <c r="D1400" t="s">
        <v>647</v>
      </c>
      <c r="E1400" s="7">
        <v>3483.81</v>
      </c>
      <c r="F1400" t="s">
        <v>20</v>
      </c>
      <c r="G1400" t="s">
        <v>21</v>
      </c>
      <c r="H1400" t="str">
        <f>"30825609"</f>
        <v>30825609</v>
      </c>
      <c r="I1400" t="str">
        <f>"DOCUMATION  INC."</f>
        <v>DOCUMATION  INC.</v>
      </c>
    </row>
    <row r="1401" spans="1:9" x14ac:dyDescent="0.25">
      <c r="A1401" s="6">
        <v>44580</v>
      </c>
      <c r="B1401" t="s">
        <v>26</v>
      </c>
      <c r="C1401">
        <v>68603</v>
      </c>
      <c r="D1401" t="s">
        <v>77</v>
      </c>
      <c r="E1401" s="7">
        <v>566.08000000000004</v>
      </c>
      <c r="F1401" t="s">
        <v>20</v>
      </c>
      <c r="G1401" t="s">
        <v>21</v>
      </c>
      <c r="H1401" t="str">
        <f>"857002852-21"</f>
        <v>857002852-21</v>
      </c>
      <c r="I1401" t="str">
        <f>"CHLORINE"</f>
        <v>CHLORINE</v>
      </c>
    </row>
    <row r="1402" spans="1:9" x14ac:dyDescent="0.25">
      <c r="A1402" s="6">
        <v>44580</v>
      </c>
      <c r="B1402" t="s">
        <v>26</v>
      </c>
      <c r="C1402">
        <v>68603</v>
      </c>
      <c r="D1402" t="s">
        <v>77</v>
      </c>
      <c r="E1402" s="7">
        <v>1403.19</v>
      </c>
      <c r="F1402" t="s">
        <v>20</v>
      </c>
      <c r="G1402" t="s">
        <v>21</v>
      </c>
      <c r="H1402" t="str">
        <f>"857002853-21"</f>
        <v>857002853-21</v>
      </c>
      <c r="I1402" t="str">
        <f>"CHLORINE WWTP"</f>
        <v>CHLORINE WWTP</v>
      </c>
    </row>
    <row r="1403" spans="1:9" x14ac:dyDescent="0.25">
      <c r="A1403" s="6">
        <v>44580</v>
      </c>
      <c r="B1403" t="s">
        <v>26</v>
      </c>
      <c r="C1403">
        <v>68603</v>
      </c>
      <c r="D1403" t="s">
        <v>77</v>
      </c>
      <c r="E1403" s="7">
        <v>705.6</v>
      </c>
      <c r="F1403" t="s">
        <v>20</v>
      </c>
      <c r="G1403" t="s">
        <v>21</v>
      </c>
      <c r="H1403" t="str">
        <f>"857002854-21"</f>
        <v>857002854-21</v>
      </c>
      <c r="I1403" t="str">
        <f>"CHLORINE"</f>
        <v>CHLORINE</v>
      </c>
    </row>
    <row r="1404" spans="1:9" x14ac:dyDescent="0.25">
      <c r="A1404" s="6">
        <v>44580</v>
      </c>
      <c r="B1404" t="s">
        <v>26</v>
      </c>
      <c r="C1404">
        <v>68604</v>
      </c>
      <c r="D1404" t="s">
        <v>69</v>
      </c>
      <c r="E1404" s="7">
        <v>8168</v>
      </c>
      <c r="F1404" t="s">
        <v>20</v>
      </c>
      <c r="G1404" t="s">
        <v>21</v>
      </c>
      <c r="H1404" t="str">
        <f>"C02809"</f>
        <v>C02809</v>
      </c>
      <c r="I1404" t="str">
        <f>"ZERO TURN MOWER"</f>
        <v>ZERO TURN MOWER</v>
      </c>
    </row>
    <row r="1405" spans="1:9" x14ac:dyDescent="0.25">
      <c r="A1405" s="6">
        <v>44580</v>
      </c>
      <c r="B1405" t="s">
        <v>26</v>
      </c>
      <c r="C1405">
        <v>68605</v>
      </c>
      <c r="D1405" t="s">
        <v>103</v>
      </c>
      <c r="E1405" s="7">
        <v>97563.61</v>
      </c>
      <c r="F1405" t="s">
        <v>20</v>
      </c>
      <c r="G1405" t="s">
        <v>21</v>
      </c>
      <c r="H1405" t="str">
        <f>"SALESTAX JAN.2022"</f>
        <v>SALESTAX JAN.2022</v>
      </c>
      <c r="I1405" t="str">
        <f>"F. E. D. C."</f>
        <v>F. E. D. C.</v>
      </c>
    </row>
    <row r="1406" spans="1:9" x14ac:dyDescent="0.25">
      <c r="A1406" s="6">
        <v>44580</v>
      </c>
      <c r="B1406" t="s">
        <v>26</v>
      </c>
      <c r="C1406">
        <v>68606</v>
      </c>
      <c r="D1406" t="s">
        <v>59</v>
      </c>
      <c r="E1406" s="7">
        <v>1297.04</v>
      </c>
      <c r="F1406" t="s">
        <v>20</v>
      </c>
      <c r="G1406" t="s">
        <v>21</v>
      </c>
      <c r="H1406" t="str">
        <f>"1152390"</f>
        <v>1152390</v>
      </c>
      <c r="I1406" t="str">
        <f>"FIRE HYD"</f>
        <v>FIRE HYD</v>
      </c>
    </row>
    <row r="1407" spans="1:9" x14ac:dyDescent="0.25">
      <c r="A1407" s="6">
        <v>44580</v>
      </c>
      <c r="B1407" t="s">
        <v>26</v>
      </c>
      <c r="C1407">
        <v>68606</v>
      </c>
      <c r="D1407" t="s">
        <v>59</v>
      </c>
      <c r="E1407" s="7">
        <v>8166.57</v>
      </c>
      <c r="F1407" t="s">
        <v>20</v>
      </c>
      <c r="G1407" t="s">
        <v>21</v>
      </c>
      <c r="H1407" t="str">
        <f>"1153459"</f>
        <v>1153459</v>
      </c>
      <c r="I1407" t="str">
        <f>"MISC STOCK"</f>
        <v>MISC STOCK</v>
      </c>
    </row>
    <row r="1408" spans="1:9" x14ac:dyDescent="0.25">
      <c r="A1408" s="6">
        <v>44580</v>
      </c>
      <c r="B1408" t="s">
        <v>26</v>
      </c>
      <c r="C1408">
        <v>68606</v>
      </c>
      <c r="D1408" t="s">
        <v>59</v>
      </c>
      <c r="E1408" s="7">
        <v>65.900000000000006</v>
      </c>
      <c r="F1408" t="s">
        <v>20</v>
      </c>
      <c r="G1408" t="s">
        <v>21</v>
      </c>
      <c r="H1408" t="str">
        <f>"1155809"</f>
        <v>1155809</v>
      </c>
      <c r="I1408" t="str">
        <f>"FERGUSON WATERWORKS - MUNICIPA"</f>
        <v>FERGUSON WATERWORKS - MUNICIPA</v>
      </c>
    </row>
    <row r="1409" spans="1:9" x14ac:dyDescent="0.25">
      <c r="A1409" s="6">
        <v>44580</v>
      </c>
      <c r="B1409" t="s">
        <v>26</v>
      </c>
      <c r="C1409">
        <v>68607</v>
      </c>
      <c r="D1409" t="s">
        <v>739</v>
      </c>
      <c r="E1409" s="7">
        <v>1485.53</v>
      </c>
      <c r="F1409" t="s">
        <v>20</v>
      </c>
      <c r="G1409" t="s">
        <v>21</v>
      </c>
      <c r="H1409" t="str">
        <f>"5286X12272021"</f>
        <v>5286X12272021</v>
      </c>
      <c r="I1409" t="str">
        <f>"FIRSTNET/AT&amp;T MOBILITY LLC"</f>
        <v>FIRSTNET/AT&amp;T MOBILITY LLC</v>
      </c>
    </row>
    <row r="1410" spans="1:9" x14ac:dyDescent="0.25">
      <c r="A1410" s="6">
        <v>44580</v>
      </c>
      <c r="B1410" t="s">
        <v>26</v>
      </c>
      <c r="C1410">
        <v>68608</v>
      </c>
      <c r="D1410" t="s">
        <v>450</v>
      </c>
      <c r="E1410" s="7">
        <v>400</v>
      </c>
      <c r="F1410" t="s">
        <v>20</v>
      </c>
      <c r="G1410" t="s">
        <v>21</v>
      </c>
      <c r="H1410" t="str">
        <f>"12202021"</f>
        <v>12202021</v>
      </c>
      <c r="I1410" t="str">
        <f>"LIGHTING FOR EVENT CENTER"</f>
        <v>LIGHTING FOR EVENT CENTER</v>
      </c>
    </row>
    <row r="1411" spans="1:9" x14ac:dyDescent="0.25">
      <c r="A1411" s="6">
        <v>44580</v>
      </c>
      <c r="B1411" t="s">
        <v>26</v>
      </c>
      <c r="C1411">
        <v>68609</v>
      </c>
      <c r="D1411" t="s">
        <v>85</v>
      </c>
      <c r="E1411" s="7">
        <v>82.79</v>
      </c>
      <c r="F1411" t="s">
        <v>20</v>
      </c>
      <c r="G1411" t="s">
        <v>21</v>
      </c>
      <c r="H1411" t="str">
        <f>"3930579 12/2021"</f>
        <v>3930579 12/2021</v>
      </c>
      <c r="I1411" t="str">
        <f>"FRONTIER"</f>
        <v>FRONTIER</v>
      </c>
    </row>
    <row r="1412" spans="1:9" x14ac:dyDescent="0.25">
      <c r="A1412" s="6">
        <v>44580</v>
      </c>
      <c r="B1412" t="s">
        <v>26</v>
      </c>
      <c r="C1412">
        <v>68609</v>
      </c>
      <c r="D1412" t="s">
        <v>85</v>
      </c>
      <c r="E1412" s="7">
        <v>51.58</v>
      </c>
      <c r="F1412" t="s">
        <v>20</v>
      </c>
      <c r="G1412" t="s">
        <v>21</v>
      </c>
      <c r="H1412" t="str">
        <f>"3933108 1/2022"</f>
        <v>3933108 1/2022</v>
      </c>
      <c r="I1412" t="str">
        <f>"FRONTIER"</f>
        <v>FRONTIER</v>
      </c>
    </row>
    <row r="1413" spans="1:9" x14ac:dyDescent="0.25">
      <c r="A1413" s="6">
        <v>44580</v>
      </c>
      <c r="B1413" t="s">
        <v>26</v>
      </c>
      <c r="C1413">
        <v>68609</v>
      </c>
      <c r="D1413" t="s">
        <v>85</v>
      </c>
      <c r="E1413" s="7">
        <v>63.09</v>
      </c>
      <c r="F1413" t="s">
        <v>20</v>
      </c>
      <c r="G1413" t="s">
        <v>21</v>
      </c>
      <c r="H1413" t="str">
        <f>"3939791 1/2022"</f>
        <v>3939791 1/2022</v>
      </c>
      <c r="I1413" t="str">
        <f>"FRONTIER"</f>
        <v>FRONTIER</v>
      </c>
    </row>
    <row r="1414" spans="1:9" x14ac:dyDescent="0.25">
      <c r="A1414" s="6">
        <v>44580</v>
      </c>
      <c r="B1414" t="s">
        <v>26</v>
      </c>
      <c r="C1414">
        <v>68610</v>
      </c>
      <c r="D1414" t="s">
        <v>97</v>
      </c>
      <c r="E1414" s="7">
        <v>619.49</v>
      </c>
      <c r="F1414" t="s">
        <v>20</v>
      </c>
      <c r="G1414" t="s">
        <v>21</v>
      </c>
      <c r="H1414" t="str">
        <f>"COBRA J.EVINS 1/22"</f>
        <v>COBRA J.EVINS 1/22</v>
      </c>
      <c r="I1414" t="str">
        <f>"HEALTH CARE SERVICE CORPORATIO"</f>
        <v>HEALTH CARE SERVICE CORPORATIO</v>
      </c>
    </row>
    <row r="1415" spans="1:9" x14ac:dyDescent="0.25">
      <c r="A1415" s="6">
        <v>44580</v>
      </c>
      <c r="B1415" t="s">
        <v>26</v>
      </c>
      <c r="C1415">
        <v>68611</v>
      </c>
      <c r="D1415" t="s">
        <v>1151</v>
      </c>
      <c r="E1415" s="7">
        <v>181.6</v>
      </c>
      <c r="F1415" t="s">
        <v>20</v>
      </c>
      <c r="G1415" t="s">
        <v>21</v>
      </c>
      <c r="H1415" t="str">
        <f>"C/TLETS OPER TRNG"</f>
        <v>C/TLETS OPER TRNG</v>
      </c>
      <c r="I1415" t="str">
        <f>"JOSEPH MARTINEZ"</f>
        <v>JOSEPH MARTINEZ</v>
      </c>
    </row>
    <row r="1416" spans="1:9" x14ac:dyDescent="0.25">
      <c r="A1416" s="6">
        <v>44580</v>
      </c>
      <c r="B1416" t="s">
        <v>26</v>
      </c>
      <c r="C1416">
        <v>68612</v>
      </c>
      <c r="D1416" t="s">
        <v>328</v>
      </c>
      <c r="E1416" s="7">
        <v>1250</v>
      </c>
      <c r="F1416" t="s">
        <v>20</v>
      </c>
      <c r="G1416" t="s">
        <v>21</v>
      </c>
      <c r="H1416" t="str">
        <f>"7021495"</f>
        <v>7021495</v>
      </c>
      <c r="I1416" t="str">
        <f>"KOLOGIK"</f>
        <v>KOLOGIK</v>
      </c>
    </row>
    <row r="1417" spans="1:9" x14ac:dyDescent="0.25">
      <c r="A1417" s="6">
        <v>44580</v>
      </c>
      <c r="B1417" t="s">
        <v>26</v>
      </c>
      <c r="C1417">
        <v>68613</v>
      </c>
      <c r="D1417" t="s">
        <v>1032</v>
      </c>
      <c r="E1417" s="7">
        <v>2000</v>
      </c>
      <c r="F1417" t="s">
        <v>20</v>
      </c>
      <c r="G1417" t="s">
        <v>21</v>
      </c>
      <c r="H1417" t="str">
        <f>"12-21-17813"</f>
        <v>12-21-17813</v>
      </c>
      <c r="I1417" t="str">
        <f>"LEAL &amp; CARTER  P.C."</f>
        <v>LEAL &amp; CARTER  P.C.</v>
      </c>
    </row>
    <row r="1418" spans="1:9" x14ac:dyDescent="0.25">
      <c r="A1418" s="6">
        <v>44580</v>
      </c>
      <c r="B1418" t="s">
        <v>26</v>
      </c>
      <c r="C1418">
        <v>68614</v>
      </c>
      <c r="D1418" t="s">
        <v>117</v>
      </c>
      <c r="E1418" s="7">
        <v>904.54</v>
      </c>
      <c r="F1418" t="s">
        <v>20</v>
      </c>
      <c r="G1418" t="s">
        <v>21</v>
      </c>
      <c r="H1418" t="str">
        <f>"DECEMBER 2021"</f>
        <v>DECEMBER 2021</v>
      </c>
      <c r="I1418" t="str">
        <f>"LINEBARGER GOGGAN BLAIR &amp; SAMP"</f>
        <v>LINEBARGER GOGGAN BLAIR &amp; SAMP</v>
      </c>
    </row>
    <row r="1419" spans="1:9" x14ac:dyDescent="0.25">
      <c r="A1419" s="6">
        <v>44580</v>
      </c>
      <c r="B1419" t="s">
        <v>26</v>
      </c>
      <c r="C1419">
        <v>68615</v>
      </c>
      <c r="D1419" t="s">
        <v>105</v>
      </c>
      <c r="E1419" s="7">
        <v>7.5</v>
      </c>
      <c r="F1419" t="s">
        <v>20</v>
      </c>
      <c r="G1419" t="s">
        <v>21</v>
      </c>
      <c r="H1419" t="str">
        <f>"403124"</f>
        <v>403124</v>
      </c>
      <c r="I1419" t="str">
        <f>"INSPECTION STICKER BUCKET"</f>
        <v>INSPECTION STICKER BUCKET</v>
      </c>
    </row>
    <row r="1420" spans="1:9" x14ac:dyDescent="0.25">
      <c r="A1420" s="6">
        <v>44580</v>
      </c>
      <c r="B1420" t="s">
        <v>26</v>
      </c>
      <c r="C1420">
        <v>68615</v>
      </c>
      <c r="D1420" t="s">
        <v>105</v>
      </c>
      <c r="E1420" s="7">
        <v>7</v>
      </c>
      <c r="F1420" t="s">
        <v>20</v>
      </c>
      <c r="G1420" t="s">
        <v>21</v>
      </c>
      <c r="H1420" t="str">
        <f>"405183"</f>
        <v>405183</v>
      </c>
      <c r="I1420" t="str">
        <f>"INSPECTION UNIT 101"</f>
        <v>INSPECTION UNIT 101</v>
      </c>
    </row>
    <row r="1421" spans="1:9" x14ac:dyDescent="0.25">
      <c r="A1421" s="6">
        <v>44580</v>
      </c>
      <c r="B1421" t="s">
        <v>26</v>
      </c>
      <c r="C1421">
        <v>68615</v>
      </c>
      <c r="D1421" t="s">
        <v>105</v>
      </c>
      <c r="E1421" s="7">
        <v>7</v>
      </c>
      <c r="F1421" t="s">
        <v>20</v>
      </c>
      <c r="G1421" t="s">
        <v>21</v>
      </c>
      <c r="H1421" t="str">
        <f>"405195"</f>
        <v>405195</v>
      </c>
      <c r="I1421" t="str">
        <f>"INSPECTION UNIT 202"</f>
        <v>INSPECTION UNIT 202</v>
      </c>
    </row>
    <row r="1422" spans="1:9" x14ac:dyDescent="0.25">
      <c r="A1422" s="6">
        <v>44580</v>
      </c>
      <c r="B1422" t="s">
        <v>26</v>
      </c>
      <c r="C1422">
        <v>68615</v>
      </c>
      <c r="D1422" t="s">
        <v>105</v>
      </c>
      <c r="E1422" s="7">
        <v>7</v>
      </c>
      <c r="F1422" t="s">
        <v>20</v>
      </c>
      <c r="G1422" t="s">
        <v>21</v>
      </c>
      <c r="H1422" t="str">
        <f>"406494"</f>
        <v>406494</v>
      </c>
      <c r="I1422" t="str">
        <f>"PD UNIT 340"</f>
        <v>PD UNIT 340</v>
      </c>
    </row>
    <row r="1423" spans="1:9" x14ac:dyDescent="0.25">
      <c r="A1423" s="6">
        <v>44580</v>
      </c>
      <c r="B1423" t="s">
        <v>26</v>
      </c>
      <c r="C1423">
        <v>68615</v>
      </c>
      <c r="D1423" t="s">
        <v>105</v>
      </c>
      <c r="E1423" s="7">
        <v>7</v>
      </c>
      <c r="F1423" t="s">
        <v>20</v>
      </c>
      <c r="G1423" t="s">
        <v>21</v>
      </c>
      <c r="H1423" t="str">
        <f>"409051"</f>
        <v>409051</v>
      </c>
      <c r="I1423" t="str">
        <f>"PD UNIT 333 INSPECTION"</f>
        <v>PD UNIT 333 INSPECTION</v>
      </c>
    </row>
    <row r="1424" spans="1:9" x14ac:dyDescent="0.25">
      <c r="A1424" s="6">
        <v>44580</v>
      </c>
      <c r="B1424" t="s">
        <v>26</v>
      </c>
      <c r="C1424">
        <v>68615</v>
      </c>
      <c r="D1424" t="s">
        <v>105</v>
      </c>
      <c r="E1424" s="7">
        <v>7</v>
      </c>
      <c r="F1424" t="s">
        <v>20</v>
      </c>
      <c r="G1424" t="s">
        <v>21</v>
      </c>
      <c r="H1424" t="str">
        <f>"409053"</f>
        <v>409053</v>
      </c>
      <c r="I1424" t="str">
        <f>"INSPECTION PD UNIT 334"</f>
        <v>INSPECTION PD UNIT 334</v>
      </c>
    </row>
    <row r="1425" spans="1:9" x14ac:dyDescent="0.25">
      <c r="A1425" s="6">
        <v>44580</v>
      </c>
      <c r="B1425" t="s">
        <v>26</v>
      </c>
      <c r="C1425">
        <v>68615</v>
      </c>
      <c r="D1425" t="s">
        <v>105</v>
      </c>
      <c r="E1425" s="7">
        <v>7</v>
      </c>
      <c r="F1425" t="s">
        <v>20</v>
      </c>
      <c r="G1425" t="s">
        <v>21</v>
      </c>
      <c r="H1425" t="str">
        <f>"409078"</f>
        <v>409078</v>
      </c>
      <c r="I1425" t="str">
        <f>"INSPECTION STREETS"</f>
        <v>INSPECTION STREETS</v>
      </c>
    </row>
    <row r="1426" spans="1:9" x14ac:dyDescent="0.25">
      <c r="A1426" s="6">
        <v>44580</v>
      </c>
      <c r="B1426" t="s">
        <v>26</v>
      </c>
      <c r="C1426">
        <v>68615</v>
      </c>
      <c r="D1426" t="s">
        <v>105</v>
      </c>
      <c r="E1426" s="7">
        <v>7</v>
      </c>
      <c r="F1426" t="s">
        <v>20</v>
      </c>
      <c r="G1426" t="s">
        <v>21</v>
      </c>
      <c r="H1426" t="str">
        <f>"409101"</f>
        <v>409101</v>
      </c>
      <c r="I1426" t="str">
        <f>"STREET TRAILER INSPECTION"</f>
        <v>STREET TRAILER INSPECTION</v>
      </c>
    </row>
    <row r="1427" spans="1:9" x14ac:dyDescent="0.25">
      <c r="A1427" s="6">
        <v>44580</v>
      </c>
      <c r="B1427" t="s">
        <v>26</v>
      </c>
      <c r="C1427">
        <v>68617</v>
      </c>
      <c r="D1427" t="s">
        <v>29</v>
      </c>
      <c r="E1427" s="7">
        <v>987.5</v>
      </c>
      <c r="F1427" t="s">
        <v>20</v>
      </c>
      <c r="G1427" t="s">
        <v>21</v>
      </c>
      <c r="H1427" t="str">
        <f>"55497"</f>
        <v>55497</v>
      </c>
      <c r="I1427" t="str">
        <f>"M &amp; S ENGINEERING  LLC"</f>
        <v>M &amp; S ENGINEERING  LLC</v>
      </c>
    </row>
    <row r="1428" spans="1:9" x14ac:dyDescent="0.25">
      <c r="A1428" s="6">
        <v>44580</v>
      </c>
      <c r="B1428" t="s">
        <v>26</v>
      </c>
      <c r="C1428">
        <v>68617</v>
      </c>
      <c r="D1428" t="s">
        <v>29</v>
      </c>
      <c r="E1428" s="7">
        <v>1080</v>
      </c>
      <c r="F1428" t="s">
        <v>20</v>
      </c>
      <c r="G1428" t="s">
        <v>21</v>
      </c>
      <c r="H1428" t="str">
        <f>"55506"</f>
        <v>55506</v>
      </c>
      <c r="I1428" t="str">
        <f>"M &amp; S ENGINEERING  LLC"</f>
        <v>M &amp; S ENGINEERING  LLC</v>
      </c>
    </row>
    <row r="1429" spans="1:9" x14ac:dyDescent="0.25">
      <c r="A1429" s="6">
        <v>44580</v>
      </c>
      <c r="B1429" t="s">
        <v>26</v>
      </c>
      <c r="C1429">
        <v>68618</v>
      </c>
      <c r="D1429" t="s">
        <v>124</v>
      </c>
      <c r="E1429" s="7">
        <v>20.45</v>
      </c>
      <c r="F1429" t="s">
        <v>20</v>
      </c>
      <c r="G1429" t="s">
        <v>21</v>
      </c>
      <c r="H1429" t="str">
        <f>"11115119"</f>
        <v>11115119</v>
      </c>
      <c r="I1429" t="str">
        <f>"SPRAY PAINT"</f>
        <v>SPRAY PAINT</v>
      </c>
    </row>
    <row r="1430" spans="1:9" x14ac:dyDescent="0.25">
      <c r="A1430" s="6">
        <v>44580</v>
      </c>
      <c r="B1430" t="s">
        <v>26</v>
      </c>
      <c r="C1430">
        <v>68619</v>
      </c>
      <c r="D1430" t="s">
        <v>240</v>
      </c>
      <c r="E1430" s="7">
        <v>54.99</v>
      </c>
      <c r="F1430" t="s">
        <v>20</v>
      </c>
      <c r="G1430" t="s">
        <v>21</v>
      </c>
      <c r="H1430" t="str">
        <f>"0222418-IN"</f>
        <v>0222418-IN</v>
      </c>
      <c r="I1430" t="str">
        <f>"NARDIS PUBLIC SAFETY"</f>
        <v>NARDIS PUBLIC SAFETY</v>
      </c>
    </row>
    <row r="1431" spans="1:9" x14ac:dyDescent="0.25">
      <c r="A1431" s="6">
        <v>44580</v>
      </c>
      <c r="B1431" t="s">
        <v>26</v>
      </c>
      <c r="C1431">
        <v>68620</v>
      </c>
      <c r="D1431" t="s">
        <v>215</v>
      </c>
      <c r="E1431" s="7">
        <v>1395</v>
      </c>
      <c r="F1431" t="s">
        <v>20</v>
      </c>
      <c r="G1431" t="s">
        <v>21</v>
      </c>
      <c r="H1431" t="str">
        <f>"OP0000004202"</f>
        <v>OP0000004202</v>
      </c>
      <c r="I1431" t="str">
        <f>"WWTP"</f>
        <v>WWTP</v>
      </c>
    </row>
    <row r="1432" spans="1:9" x14ac:dyDescent="0.25">
      <c r="A1432" s="6">
        <v>44580</v>
      </c>
      <c r="B1432" t="s">
        <v>26</v>
      </c>
      <c r="C1432">
        <v>68621</v>
      </c>
      <c r="D1432" t="s">
        <v>123</v>
      </c>
      <c r="E1432" s="7">
        <v>122.15</v>
      </c>
      <c r="F1432" t="s">
        <v>20</v>
      </c>
      <c r="G1432" t="s">
        <v>21</v>
      </c>
      <c r="H1432" t="str">
        <f>"220529702001"</f>
        <v>220529702001</v>
      </c>
      <c r="I1432" t="str">
        <f>"OFFICE SUPPLIES"</f>
        <v>OFFICE SUPPLIES</v>
      </c>
    </row>
    <row r="1433" spans="1:9" x14ac:dyDescent="0.25">
      <c r="A1433" s="6">
        <v>44580</v>
      </c>
      <c r="B1433" t="s">
        <v>26</v>
      </c>
      <c r="C1433">
        <v>68622</v>
      </c>
      <c r="D1433" t="s">
        <v>137</v>
      </c>
      <c r="E1433" s="7">
        <v>69.95</v>
      </c>
      <c r="F1433" t="s">
        <v>20</v>
      </c>
      <c r="G1433" t="s">
        <v>21</v>
      </c>
      <c r="H1433" t="str">
        <f>"31697"</f>
        <v>31697</v>
      </c>
      <c r="I1433" t="str">
        <f>"OMNIBUS-M  INC.D.B.A."</f>
        <v>OMNIBUS-M  INC.D.B.A.</v>
      </c>
    </row>
    <row r="1434" spans="1:9" x14ac:dyDescent="0.25">
      <c r="A1434" s="6">
        <v>44580</v>
      </c>
      <c r="B1434" t="s">
        <v>26</v>
      </c>
      <c r="C1434">
        <v>68623</v>
      </c>
      <c r="D1434" t="s">
        <v>1081</v>
      </c>
      <c r="E1434" s="7">
        <v>50</v>
      </c>
      <c r="F1434" t="s">
        <v>20</v>
      </c>
      <c r="G1434" t="s">
        <v>21</v>
      </c>
      <c r="H1434" t="str">
        <f>"30909"</f>
        <v>30909</v>
      </c>
      <c r="I1434" t="str">
        <f>"PINNACLE PEST DEFENSE"</f>
        <v>PINNACLE PEST DEFENSE</v>
      </c>
    </row>
    <row r="1435" spans="1:9" x14ac:dyDescent="0.25">
      <c r="A1435" s="6">
        <v>44580</v>
      </c>
      <c r="B1435" t="s">
        <v>26</v>
      </c>
      <c r="C1435">
        <v>68624</v>
      </c>
      <c r="D1435" t="s">
        <v>1152</v>
      </c>
      <c r="E1435" s="7">
        <v>4.05</v>
      </c>
      <c r="F1435" t="s">
        <v>20</v>
      </c>
      <c r="G1435" t="s">
        <v>21</v>
      </c>
      <c r="H1435" t="str">
        <f>"9567 1/30/2022"</f>
        <v>9567 1/30/2022</v>
      </c>
      <c r="I1435" t="str">
        <f>"PITNEY BOWES PURCHASE POWER"</f>
        <v>PITNEY BOWES PURCHASE POWER</v>
      </c>
    </row>
    <row r="1436" spans="1:9" x14ac:dyDescent="0.25">
      <c r="A1436" s="6">
        <v>44580</v>
      </c>
      <c r="B1436" t="s">
        <v>26</v>
      </c>
      <c r="C1436">
        <v>68625</v>
      </c>
      <c r="D1436" t="s">
        <v>981</v>
      </c>
      <c r="E1436" s="7">
        <v>600</v>
      </c>
      <c r="F1436" t="s">
        <v>20</v>
      </c>
      <c r="G1436" t="s">
        <v>21</v>
      </c>
      <c r="H1436" t="str">
        <f>"21-0794"</f>
        <v>21-0794</v>
      </c>
      <c r="I1436" t="str">
        <f>"LODI PARK"</f>
        <v>LODI PARK</v>
      </c>
    </row>
    <row r="1437" spans="1:9" x14ac:dyDescent="0.25">
      <c r="A1437" s="6">
        <v>44580</v>
      </c>
      <c r="B1437" t="s">
        <v>26</v>
      </c>
      <c r="C1437">
        <v>68626</v>
      </c>
      <c r="D1437" t="s">
        <v>323</v>
      </c>
      <c r="E1437" s="7">
        <v>165</v>
      </c>
      <c r="F1437" t="s">
        <v>20</v>
      </c>
      <c r="G1437" t="s">
        <v>21</v>
      </c>
      <c r="H1437" t="str">
        <f>"183 UNIT"</f>
        <v>183 UNIT</v>
      </c>
      <c r="I1437" t="str">
        <f>"POLLOK SELF STORAGE LLC"</f>
        <v>POLLOK SELF STORAGE LLC</v>
      </c>
    </row>
    <row r="1438" spans="1:9" x14ac:dyDescent="0.25">
      <c r="A1438" s="6">
        <v>44580</v>
      </c>
      <c r="B1438" t="s">
        <v>26</v>
      </c>
      <c r="C1438">
        <v>68626</v>
      </c>
      <c r="D1438" t="s">
        <v>323</v>
      </c>
      <c r="E1438" s="7">
        <v>155</v>
      </c>
      <c r="F1438" t="s">
        <v>20</v>
      </c>
      <c r="G1438" t="s">
        <v>21</v>
      </c>
      <c r="H1438" t="str">
        <f>"185 UNIT"</f>
        <v>185 UNIT</v>
      </c>
      <c r="I1438" t="str">
        <f>"POLLOK SELF STORAGE LLC"</f>
        <v>POLLOK SELF STORAGE LLC</v>
      </c>
    </row>
    <row r="1439" spans="1:9" x14ac:dyDescent="0.25">
      <c r="A1439" s="6">
        <v>44580</v>
      </c>
      <c r="B1439" t="s">
        <v>26</v>
      </c>
      <c r="C1439">
        <v>68626</v>
      </c>
      <c r="D1439" t="s">
        <v>323</v>
      </c>
      <c r="E1439" s="7">
        <v>155</v>
      </c>
      <c r="F1439" t="s">
        <v>20</v>
      </c>
      <c r="G1439" t="s">
        <v>21</v>
      </c>
      <c r="H1439" t="str">
        <f>"186 UNIT"</f>
        <v>186 UNIT</v>
      </c>
      <c r="I1439" t="str">
        <f>"POLLOK SELF STORAGE LLC"</f>
        <v>POLLOK SELF STORAGE LLC</v>
      </c>
    </row>
    <row r="1440" spans="1:9" x14ac:dyDescent="0.25">
      <c r="A1440" s="6">
        <v>44580</v>
      </c>
      <c r="B1440" t="s">
        <v>26</v>
      </c>
      <c r="C1440">
        <v>68626</v>
      </c>
      <c r="D1440" t="s">
        <v>323</v>
      </c>
      <c r="E1440" s="7">
        <v>155</v>
      </c>
      <c r="F1440" t="s">
        <v>20</v>
      </c>
      <c r="G1440" t="s">
        <v>21</v>
      </c>
      <c r="H1440" t="str">
        <f>"187 UNIT"</f>
        <v>187 UNIT</v>
      </c>
      <c r="I1440" t="str">
        <f>"POLLOK SELF STORAGE LLC"</f>
        <v>POLLOK SELF STORAGE LLC</v>
      </c>
    </row>
    <row r="1441" spans="1:9" x14ac:dyDescent="0.25">
      <c r="A1441" s="6">
        <v>44580</v>
      </c>
      <c r="B1441" t="s">
        <v>26</v>
      </c>
      <c r="C1441">
        <v>68627</v>
      </c>
      <c r="D1441" t="s">
        <v>62</v>
      </c>
      <c r="E1441" s="7">
        <v>383.75</v>
      </c>
      <c r="F1441" t="s">
        <v>20</v>
      </c>
      <c r="G1441" t="s">
        <v>21</v>
      </c>
      <c r="H1441" t="str">
        <f>"77388"</f>
        <v>77388</v>
      </c>
      <c r="I1441" t="str">
        <f>"PROFICIENT BENEFIT SOLUTIONS"</f>
        <v>PROFICIENT BENEFIT SOLUTIONS</v>
      </c>
    </row>
    <row r="1442" spans="1:9" x14ac:dyDescent="0.25">
      <c r="A1442" s="6">
        <v>44580</v>
      </c>
      <c r="B1442" t="s">
        <v>26</v>
      </c>
      <c r="C1442">
        <v>68628</v>
      </c>
      <c r="D1442" t="s">
        <v>119</v>
      </c>
      <c r="E1442" s="7">
        <v>130</v>
      </c>
      <c r="F1442" t="s">
        <v>20</v>
      </c>
      <c r="G1442" t="s">
        <v>21</v>
      </c>
      <c r="H1442" t="str">
        <f>"85554"</f>
        <v>85554</v>
      </c>
      <c r="I1442" t="str">
        <f>"BACKHOE TIRE"</f>
        <v>BACKHOE TIRE</v>
      </c>
    </row>
    <row r="1443" spans="1:9" x14ac:dyDescent="0.25">
      <c r="A1443" s="6">
        <v>44580</v>
      </c>
      <c r="B1443" t="s">
        <v>26</v>
      </c>
      <c r="C1443">
        <v>68629</v>
      </c>
      <c r="D1443" t="s">
        <v>131</v>
      </c>
      <c r="E1443" s="7">
        <v>70</v>
      </c>
      <c r="F1443" t="s">
        <v>20</v>
      </c>
      <c r="G1443" t="s">
        <v>21</v>
      </c>
      <c r="H1443" t="str">
        <f>"048790"</f>
        <v>048790</v>
      </c>
      <c r="I1443" t="str">
        <f t="shared" ref="I1443:I1448" si="33">"R &amp; S TEXAS PARTS CO"</f>
        <v>R &amp; S TEXAS PARTS CO</v>
      </c>
    </row>
    <row r="1444" spans="1:9" x14ac:dyDescent="0.25">
      <c r="A1444" s="6">
        <v>44580</v>
      </c>
      <c r="B1444" t="s">
        <v>26</v>
      </c>
      <c r="C1444">
        <v>68629</v>
      </c>
      <c r="D1444" t="s">
        <v>131</v>
      </c>
      <c r="E1444" s="7">
        <v>90.98</v>
      </c>
      <c r="F1444" t="s">
        <v>20</v>
      </c>
      <c r="G1444" t="s">
        <v>21</v>
      </c>
      <c r="H1444" t="str">
        <f>"055691"</f>
        <v>055691</v>
      </c>
      <c r="I1444" t="str">
        <f t="shared" si="33"/>
        <v>R &amp; S TEXAS PARTS CO</v>
      </c>
    </row>
    <row r="1445" spans="1:9" x14ac:dyDescent="0.25">
      <c r="A1445" s="6">
        <v>44580</v>
      </c>
      <c r="B1445" t="s">
        <v>26</v>
      </c>
      <c r="C1445">
        <v>68629</v>
      </c>
      <c r="D1445" t="s">
        <v>131</v>
      </c>
      <c r="E1445" s="7">
        <v>142.99</v>
      </c>
      <c r="F1445" t="s">
        <v>20</v>
      </c>
      <c r="G1445" t="s">
        <v>21</v>
      </c>
      <c r="H1445" t="str">
        <f>"058804"</f>
        <v>058804</v>
      </c>
      <c r="I1445" t="str">
        <f t="shared" si="33"/>
        <v>R &amp; S TEXAS PARTS CO</v>
      </c>
    </row>
    <row r="1446" spans="1:9" x14ac:dyDescent="0.25">
      <c r="A1446" s="6">
        <v>44580</v>
      </c>
      <c r="B1446" t="s">
        <v>26</v>
      </c>
      <c r="C1446">
        <v>68629</v>
      </c>
      <c r="D1446" t="s">
        <v>131</v>
      </c>
      <c r="E1446" s="7">
        <v>76.400000000000006</v>
      </c>
      <c r="F1446" t="s">
        <v>20</v>
      </c>
      <c r="G1446" t="s">
        <v>21</v>
      </c>
      <c r="H1446" t="str">
        <f>"058843"</f>
        <v>058843</v>
      </c>
      <c r="I1446" t="str">
        <f t="shared" si="33"/>
        <v>R &amp; S TEXAS PARTS CO</v>
      </c>
    </row>
    <row r="1447" spans="1:9" x14ac:dyDescent="0.25">
      <c r="A1447" s="6">
        <v>44580</v>
      </c>
      <c r="B1447" t="s">
        <v>26</v>
      </c>
      <c r="C1447">
        <v>68629</v>
      </c>
      <c r="D1447" t="s">
        <v>131</v>
      </c>
      <c r="E1447" s="7">
        <v>22.98</v>
      </c>
      <c r="F1447" t="s">
        <v>20</v>
      </c>
      <c r="G1447" t="s">
        <v>21</v>
      </c>
      <c r="H1447" t="str">
        <f>"059178"</f>
        <v>059178</v>
      </c>
      <c r="I1447" t="str">
        <f t="shared" si="33"/>
        <v>R &amp; S TEXAS PARTS CO</v>
      </c>
    </row>
    <row r="1448" spans="1:9" x14ac:dyDescent="0.25">
      <c r="A1448" s="6">
        <v>44580</v>
      </c>
      <c r="B1448" t="s">
        <v>26</v>
      </c>
      <c r="C1448">
        <v>68629</v>
      </c>
      <c r="D1448" t="s">
        <v>131</v>
      </c>
      <c r="E1448" s="7">
        <v>134.13</v>
      </c>
      <c r="F1448" t="s">
        <v>20</v>
      </c>
      <c r="G1448" t="s">
        <v>21</v>
      </c>
      <c r="H1448" t="str">
        <f>"059269"</f>
        <v>059269</v>
      </c>
      <c r="I1448" t="str">
        <f t="shared" si="33"/>
        <v>R &amp; S TEXAS PARTS CO</v>
      </c>
    </row>
    <row r="1449" spans="1:9" x14ac:dyDescent="0.25">
      <c r="A1449" s="6">
        <v>44580</v>
      </c>
      <c r="B1449" t="s">
        <v>26</v>
      </c>
      <c r="C1449">
        <v>68629</v>
      </c>
      <c r="D1449" t="s">
        <v>131</v>
      </c>
      <c r="E1449" s="7">
        <v>165.29</v>
      </c>
      <c r="F1449" t="s">
        <v>20</v>
      </c>
      <c r="G1449" t="s">
        <v>21</v>
      </c>
      <c r="H1449" t="str">
        <f>"063792"</f>
        <v>063792</v>
      </c>
      <c r="I1449" t="str">
        <f>"WWTP SUPPLIES"</f>
        <v>WWTP SUPPLIES</v>
      </c>
    </row>
    <row r="1450" spans="1:9" x14ac:dyDescent="0.25">
      <c r="A1450" s="6">
        <v>44580</v>
      </c>
      <c r="B1450" t="s">
        <v>26</v>
      </c>
      <c r="C1450">
        <v>68629</v>
      </c>
      <c r="D1450" t="s">
        <v>131</v>
      </c>
      <c r="E1450" s="7">
        <v>39.99</v>
      </c>
      <c r="F1450" t="s">
        <v>20</v>
      </c>
      <c r="G1450" t="s">
        <v>21</v>
      </c>
      <c r="H1450" t="str">
        <f>"063943"</f>
        <v>063943</v>
      </c>
      <c r="I1450" t="str">
        <f>"RIVER PARK LIFT STATION"</f>
        <v>RIVER PARK LIFT STATION</v>
      </c>
    </row>
    <row r="1451" spans="1:9" x14ac:dyDescent="0.25">
      <c r="A1451" s="6">
        <v>44580</v>
      </c>
      <c r="B1451" t="s">
        <v>26</v>
      </c>
      <c r="C1451">
        <v>68629</v>
      </c>
      <c r="D1451" t="s">
        <v>131</v>
      </c>
      <c r="E1451" s="7">
        <v>73.98</v>
      </c>
      <c r="F1451" t="s">
        <v>20</v>
      </c>
      <c r="G1451" t="s">
        <v>21</v>
      </c>
      <c r="H1451" t="str">
        <f>"064143"</f>
        <v>064143</v>
      </c>
      <c r="I1451" t="str">
        <f>"WWTP SUPPLIES"</f>
        <v>WWTP SUPPLIES</v>
      </c>
    </row>
    <row r="1452" spans="1:9" x14ac:dyDescent="0.25">
      <c r="A1452" s="6">
        <v>44580</v>
      </c>
      <c r="B1452" t="s">
        <v>26</v>
      </c>
      <c r="C1452">
        <v>68629</v>
      </c>
      <c r="D1452" t="s">
        <v>131</v>
      </c>
      <c r="E1452" s="7">
        <v>129.99</v>
      </c>
      <c r="F1452" t="s">
        <v>20</v>
      </c>
      <c r="G1452" t="s">
        <v>21</v>
      </c>
      <c r="H1452" t="str">
        <f>"064340"</f>
        <v>064340</v>
      </c>
      <c r="I1452" t="str">
        <f>"PACKING PULLER"</f>
        <v>PACKING PULLER</v>
      </c>
    </row>
    <row r="1453" spans="1:9" x14ac:dyDescent="0.25">
      <c r="A1453" s="6">
        <v>44580</v>
      </c>
      <c r="B1453" t="s">
        <v>26</v>
      </c>
      <c r="C1453">
        <v>68629</v>
      </c>
      <c r="D1453" t="s">
        <v>131</v>
      </c>
      <c r="E1453" s="7">
        <v>41.99</v>
      </c>
      <c r="F1453" t="s">
        <v>20</v>
      </c>
      <c r="G1453" t="s">
        <v>21</v>
      </c>
      <c r="H1453" t="str">
        <f>"064404"</f>
        <v>064404</v>
      </c>
      <c r="I1453" t="str">
        <f>"GRAPHITE PACKING ROPE ST"</f>
        <v>GRAPHITE PACKING ROPE ST</v>
      </c>
    </row>
    <row r="1454" spans="1:9" x14ac:dyDescent="0.25">
      <c r="A1454" s="6">
        <v>44580</v>
      </c>
      <c r="B1454" t="s">
        <v>26</v>
      </c>
      <c r="C1454">
        <v>68629</v>
      </c>
      <c r="D1454" t="s">
        <v>131</v>
      </c>
      <c r="E1454" s="7">
        <v>57.99</v>
      </c>
      <c r="F1454" t="s">
        <v>20</v>
      </c>
      <c r="G1454" t="s">
        <v>21</v>
      </c>
      <c r="H1454" t="str">
        <f>"064703"</f>
        <v>064703</v>
      </c>
      <c r="I1454" t="str">
        <f>"R &amp; S TEXAS PARTS CO"</f>
        <v>R &amp; S TEXAS PARTS CO</v>
      </c>
    </row>
    <row r="1455" spans="1:9" x14ac:dyDescent="0.25">
      <c r="A1455" s="6">
        <v>44580</v>
      </c>
      <c r="B1455" t="s">
        <v>26</v>
      </c>
      <c r="C1455">
        <v>68629</v>
      </c>
      <c r="D1455" t="s">
        <v>131</v>
      </c>
      <c r="E1455" s="7">
        <v>381.66</v>
      </c>
      <c r="F1455" t="s">
        <v>20</v>
      </c>
      <c r="G1455" t="s">
        <v>21</v>
      </c>
      <c r="H1455" t="str">
        <f>"064704"</f>
        <v>064704</v>
      </c>
      <c r="I1455" t="str">
        <f>"WWTP"</f>
        <v>WWTP</v>
      </c>
    </row>
    <row r="1456" spans="1:9" x14ac:dyDescent="0.25">
      <c r="A1456" s="6">
        <v>44580</v>
      </c>
      <c r="B1456" t="s">
        <v>26</v>
      </c>
      <c r="C1456">
        <v>68632</v>
      </c>
      <c r="D1456" t="s">
        <v>126</v>
      </c>
      <c r="E1456" s="7">
        <v>252.34</v>
      </c>
      <c r="F1456" t="s">
        <v>20</v>
      </c>
      <c r="G1456" t="s">
        <v>21</v>
      </c>
      <c r="H1456" t="str">
        <f>"0859-00300667"</f>
        <v>0859-00300667</v>
      </c>
      <c r="I1456" t="str">
        <f>"REPUBLIC SERVICES #859"</f>
        <v>REPUBLIC SERVICES #859</v>
      </c>
    </row>
    <row r="1457" spans="1:9" x14ac:dyDescent="0.25">
      <c r="A1457" s="6">
        <v>44580</v>
      </c>
      <c r="B1457" t="s">
        <v>26</v>
      </c>
      <c r="C1457">
        <v>68632</v>
      </c>
      <c r="D1457" t="s">
        <v>126</v>
      </c>
      <c r="E1457" s="7">
        <v>94091.44</v>
      </c>
      <c r="F1457" t="s">
        <v>20</v>
      </c>
      <c r="G1457" t="s">
        <v>21</v>
      </c>
      <c r="H1457" t="str">
        <f>"0859-003011207"</f>
        <v>0859-003011207</v>
      </c>
      <c r="I1457" t="str">
        <f>"REPUBLIC SERVICES #859"</f>
        <v>REPUBLIC SERVICES #859</v>
      </c>
    </row>
    <row r="1458" spans="1:9" x14ac:dyDescent="0.25">
      <c r="A1458" s="6">
        <v>44580</v>
      </c>
      <c r="B1458" t="s">
        <v>91</v>
      </c>
      <c r="C1458">
        <v>68633</v>
      </c>
      <c r="D1458" t="s">
        <v>1133</v>
      </c>
      <c r="E1458" s="7">
        <v>2498.41</v>
      </c>
      <c r="F1458" t="s">
        <v>20</v>
      </c>
      <c r="G1458" t="s">
        <v>21</v>
      </c>
      <c r="H1458" t="str">
        <f>"78337060"</f>
        <v>78337060</v>
      </c>
      <c r="I1458" t="str">
        <f>"Shafer- Anderson Holdings  LLC"</f>
        <v>Shafer- Anderson Holdings  LLC</v>
      </c>
    </row>
    <row r="1459" spans="1:9" x14ac:dyDescent="0.25">
      <c r="A1459" s="6">
        <v>44580</v>
      </c>
      <c r="B1459" t="s">
        <v>91</v>
      </c>
      <c r="C1459">
        <v>68633</v>
      </c>
      <c r="D1459" t="s">
        <v>1133</v>
      </c>
      <c r="E1459" s="7">
        <v>2498.41</v>
      </c>
      <c r="F1459" t="s">
        <v>20</v>
      </c>
      <c r="G1459" t="s">
        <v>93</v>
      </c>
      <c r="H1459" t="str">
        <f>"CHECK"</f>
        <v>CHECK</v>
      </c>
      <c r="I1459" t="str">
        <f>""</f>
        <v/>
      </c>
    </row>
    <row r="1460" spans="1:9" x14ac:dyDescent="0.25">
      <c r="A1460" s="6">
        <v>44580</v>
      </c>
      <c r="B1460" t="s">
        <v>26</v>
      </c>
      <c r="C1460">
        <v>68634</v>
      </c>
      <c r="D1460" t="s">
        <v>1153</v>
      </c>
      <c r="E1460" s="7">
        <v>200.16</v>
      </c>
      <c r="F1460" t="s">
        <v>20</v>
      </c>
      <c r="G1460" t="s">
        <v>21</v>
      </c>
      <c r="H1460" t="str">
        <f>"C/TLETS OP TRNG"</f>
        <v>C/TLETS OP TRNG</v>
      </c>
      <c r="I1460" t="str">
        <f>"SHIVON RODRIGUEZ"</f>
        <v>SHIVON RODRIGUEZ</v>
      </c>
    </row>
    <row r="1461" spans="1:9" x14ac:dyDescent="0.25">
      <c r="A1461" s="6">
        <v>44580</v>
      </c>
      <c r="B1461" t="s">
        <v>26</v>
      </c>
      <c r="C1461">
        <v>68635</v>
      </c>
      <c r="D1461" t="s">
        <v>907</v>
      </c>
      <c r="E1461" s="7">
        <v>1925</v>
      </c>
      <c r="F1461" t="s">
        <v>20</v>
      </c>
      <c r="G1461" t="s">
        <v>21</v>
      </c>
      <c r="H1461" t="str">
        <f>"1441"</f>
        <v>1441</v>
      </c>
      <c r="I1461" t="str">
        <f>"SANTIZE THE BUILDING"</f>
        <v>SANTIZE THE BUILDING</v>
      </c>
    </row>
    <row r="1462" spans="1:9" x14ac:dyDescent="0.25">
      <c r="A1462" s="6">
        <v>44580</v>
      </c>
      <c r="B1462" t="s">
        <v>26</v>
      </c>
      <c r="C1462">
        <v>68636</v>
      </c>
      <c r="D1462" t="s">
        <v>132</v>
      </c>
      <c r="E1462" s="7">
        <v>97.73</v>
      </c>
      <c r="F1462" t="s">
        <v>20</v>
      </c>
      <c r="G1462" t="s">
        <v>21</v>
      </c>
      <c r="H1462" t="str">
        <f>"16992887  12302021"</f>
        <v>16992887  12302021</v>
      </c>
      <c r="I1462" t="str">
        <f>"SPARKLETTS &amp; SIERRA SPRINGS"</f>
        <v>SPARKLETTS &amp; SIERRA SPRINGS</v>
      </c>
    </row>
    <row r="1463" spans="1:9" x14ac:dyDescent="0.25">
      <c r="A1463" s="6">
        <v>44580</v>
      </c>
      <c r="B1463" t="s">
        <v>26</v>
      </c>
      <c r="C1463">
        <v>68637</v>
      </c>
      <c r="D1463" t="s">
        <v>425</v>
      </c>
      <c r="E1463" s="7">
        <v>107.75</v>
      </c>
      <c r="F1463" t="s">
        <v>20</v>
      </c>
      <c r="G1463" t="s">
        <v>21</v>
      </c>
      <c r="H1463" t="str">
        <f>"408098"</f>
        <v>408098</v>
      </c>
      <c r="I1463" t="str">
        <f>"SUN BADGE CO."</f>
        <v>SUN BADGE CO.</v>
      </c>
    </row>
    <row r="1464" spans="1:9" x14ac:dyDescent="0.25">
      <c r="A1464" s="6">
        <v>44580</v>
      </c>
      <c r="B1464" t="s">
        <v>26</v>
      </c>
      <c r="C1464">
        <v>68637</v>
      </c>
      <c r="D1464" t="s">
        <v>425</v>
      </c>
      <c r="E1464" s="7">
        <v>118.75</v>
      </c>
      <c r="F1464" t="s">
        <v>20</v>
      </c>
      <c r="G1464" t="s">
        <v>21</v>
      </c>
      <c r="H1464" t="str">
        <f>"408299"</f>
        <v>408299</v>
      </c>
      <c r="I1464" t="str">
        <f>"PD BADGES"</f>
        <v>PD BADGES</v>
      </c>
    </row>
    <row r="1465" spans="1:9" x14ac:dyDescent="0.25">
      <c r="A1465" s="6">
        <v>44580</v>
      </c>
      <c r="B1465" t="s">
        <v>26</v>
      </c>
      <c r="C1465">
        <v>68638</v>
      </c>
      <c r="D1465" t="s">
        <v>346</v>
      </c>
      <c r="E1465" s="7">
        <v>13750</v>
      </c>
      <c r="F1465" t="s">
        <v>20</v>
      </c>
      <c r="G1465" t="s">
        <v>21</v>
      </c>
      <c r="H1465" t="str">
        <f>"12/11-01/2022"</f>
        <v>12/11-01/2022</v>
      </c>
      <c r="I1465" t="str">
        <f>"SYLVIA RODRIGUEZ"</f>
        <v>SYLVIA RODRIGUEZ</v>
      </c>
    </row>
    <row r="1466" spans="1:9" x14ac:dyDescent="0.25">
      <c r="A1466" s="6">
        <v>44580</v>
      </c>
      <c r="B1466" t="s">
        <v>26</v>
      </c>
      <c r="C1466">
        <v>68639</v>
      </c>
      <c r="D1466" t="s">
        <v>1141</v>
      </c>
      <c r="E1466" s="7">
        <v>317.52</v>
      </c>
      <c r="F1466" t="s">
        <v>20</v>
      </c>
      <c r="G1466" t="s">
        <v>21</v>
      </c>
      <c r="H1466" t="str">
        <f>"SS1-SS12176"</f>
        <v>SS1-SS12176</v>
      </c>
      <c r="I1466" t="str">
        <f t="shared" ref="I1466:I1471" si="34">"TEXAS LANDFILL MANAGEMENT  LLC"</f>
        <v>TEXAS LANDFILL MANAGEMENT  LLC</v>
      </c>
    </row>
    <row r="1467" spans="1:9" x14ac:dyDescent="0.25">
      <c r="A1467" s="6">
        <v>44580</v>
      </c>
      <c r="B1467" t="s">
        <v>26</v>
      </c>
      <c r="C1467">
        <v>68639</v>
      </c>
      <c r="D1467" t="s">
        <v>1141</v>
      </c>
      <c r="E1467" s="7">
        <v>281.68</v>
      </c>
      <c r="F1467" t="s">
        <v>20</v>
      </c>
      <c r="G1467" t="s">
        <v>21</v>
      </c>
      <c r="H1467" t="str">
        <f>"SS1-SS12201"</f>
        <v>SS1-SS12201</v>
      </c>
      <c r="I1467" t="str">
        <f t="shared" si="34"/>
        <v>TEXAS LANDFILL MANAGEMENT  LLC</v>
      </c>
    </row>
    <row r="1468" spans="1:9" x14ac:dyDescent="0.25">
      <c r="A1468" s="6">
        <v>44580</v>
      </c>
      <c r="B1468" t="s">
        <v>26</v>
      </c>
      <c r="C1468">
        <v>68639</v>
      </c>
      <c r="D1468" t="s">
        <v>1141</v>
      </c>
      <c r="E1468" s="7">
        <v>308.27999999999997</v>
      </c>
      <c r="F1468" t="s">
        <v>20</v>
      </c>
      <c r="G1468" t="s">
        <v>21</v>
      </c>
      <c r="H1468" t="str">
        <f>"SS1-SS12215"</f>
        <v>SS1-SS12215</v>
      </c>
      <c r="I1468" t="str">
        <f t="shared" si="34"/>
        <v>TEXAS LANDFILL MANAGEMENT  LLC</v>
      </c>
    </row>
    <row r="1469" spans="1:9" x14ac:dyDescent="0.25">
      <c r="A1469" s="6">
        <v>44580</v>
      </c>
      <c r="B1469" t="s">
        <v>26</v>
      </c>
      <c r="C1469">
        <v>68639</v>
      </c>
      <c r="D1469" t="s">
        <v>1141</v>
      </c>
      <c r="E1469" s="7">
        <v>293.44</v>
      </c>
      <c r="F1469" t="s">
        <v>20</v>
      </c>
      <c r="G1469" t="s">
        <v>21</v>
      </c>
      <c r="H1469" t="str">
        <f>"SS1-SS12220"</f>
        <v>SS1-SS12220</v>
      </c>
      <c r="I1469" t="str">
        <f t="shared" si="34"/>
        <v>TEXAS LANDFILL MANAGEMENT  LLC</v>
      </c>
    </row>
    <row r="1470" spans="1:9" x14ac:dyDescent="0.25">
      <c r="A1470" s="6">
        <v>44580</v>
      </c>
      <c r="B1470" t="s">
        <v>26</v>
      </c>
      <c r="C1470">
        <v>68639</v>
      </c>
      <c r="D1470" t="s">
        <v>1141</v>
      </c>
      <c r="E1470" s="7">
        <v>305.2</v>
      </c>
      <c r="F1470" t="s">
        <v>20</v>
      </c>
      <c r="G1470" t="s">
        <v>21</v>
      </c>
      <c r="H1470" t="str">
        <f>"SS1-SS12228"</f>
        <v>SS1-SS12228</v>
      </c>
      <c r="I1470" t="str">
        <f t="shared" si="34"/>
        <v>TEXAS LANDFILL MANAGEMENT  LLC</v>
      </c>
    </row>
    <row r="1471" spans="1:9" x14ac:dyDescent="0.25">
      <c r="A1471" s="6">
        <v>44580</v>
      </c>
      <c r="B1471" t="s">
        <v>26</v>
      </c>
      <c r="C1471">
        <v>68639</v>
      </c>
      <c r="D1471" t="s">
        <v>1141</v>
      </c>
      <c r="E1471" s="7">
        <v>289.24</v>
      </c>
      <c r="F1471" t="s">
        <v>20</v>
      </c>
      <c r="G1471" t="s">
        <v>21</v>
      </c>
      <c r="H1471" t="str">
        <f>"SS1-SS12231"</f>
        <v>SS1-SS12231</v>
      </c>
      <c r="I1471" t="str">
        <f t="shared" si="34"/>
        <v>TEXAS LANDFILL MANAGEMENT  LLC</v>
      </c>
    </row>
    <row r="1472" spans="1:9" x14ac:dyDescent="0.25">
      <c r="A1472" s="6">
        <v>44580</v>
      </c>
      <c r="B1472" t="s">
        <v>26</v>
      </c>
      <c r="C1472">
        <v>68640</v>
      </c>
      <c r="D1472" t="s">
        <v>73</v>
      </c>
      <c r="E1472" s="7">
        <v>40137.25</v>
      </c>
      <c r="F1472" t="s">
        <v>20</v>
      </c>
      <c r="G1472" t="s">
        <v>21</v>
      </c>
      <c r="H1472" t="str">
        <f>"8027 1/1/2022"</f>
        <v>8027 1/1/2022</v>
      </c>
      <c r="I1472" t="str">
        <f>"TML INTERGOVERNMENTAL RISK POO"</f>
        <v>TML INTERGOVERNMENTAL RISK POO</v>
      </c>
    </row>
    <row r="1473" spans="1:9" x14ac:dyDescent="0.25">
      <c r="A1473" s="6">
        <v>44580</v>
      </c>
      <c r="B1473" t="s">
        <v>26</v>
      </c>
      <c r="C1473">
        <v>68641</v>
      </c>
      <c r="D1473" t="s">
        <v>61</v>
      </c>
      <c r="E1473" s="7">
        <v>1188.75</v>
      </c>
      <c r="F1473" t="s">
        <v>20</v>
      </c>
      <c r="G1473" t="s">
        <v>21</v>
      </c>
      <c r="H1473" t="str">
        <f>"025-362760"</f>
        <v>025-362760</v>
      </c>
      <c r="I1473" t="str">
        <f>"TYLER TECHNOLOGIES  INC."</f>
        <v>TYLER TECHNOLOGIES  INC.</v>
      </c>
    </row>
    <row r="1474" spans="1:9" x14ac:dyDescent="0.25">
      <c r="A1474" s="6">
        <v>44580</v>
      </c>
      <c r="B1474" t="s">
        <v>26</v>
      </c>
      <c r="C1474">
        <v>68641</v>
      </c>
      <c r="D1474" t="s">
        <v>61</v>
      </c>
      <c r="E1474" s="7">
        <v>66.5</v>
      </c>
      <c r="F1474" t="s">
        <v>20</v>
      </c>
      <c r="G1474" t="s">
        <v>21</v>
      </c>
      <c r="H1474" t="str">
        <f>"025-363219"</f>
        <v>025-363219</v>
      </c>
      <c r="I1474" t="str">
        <f>"TYLER TECHNOLOGIES  INC."</f>
        <v>TYLER TECHNOLOGIES  INC.</v>
      </c>
    </row>
    <row r="1475" spans="1:9" x14ac:dyDescent="0.25">
      <c r="A1475" s="6">
        <v>44580</v>
      </c>
      <c r="B1475" t="s">
        <v>26</v>
      </c>
      <c r="C1475">
        <v>68642</v>
      </c>
      <c r="D1475" t="s">
        <v>644</v>
      </c>
      <c r="E1475" s="7">
        <v>130.55000000000001</v>
      </c>
      <c r="F1475" t="s">
        <v>20</v>
      </c>
      <c r="G1475" t="s">
        <v>21</v>
      </c>
      <c r="H1475" t="str">
        <f>"8213681529"</f>
        <v>8213681529</v>
      </c>
      <c r="I1475" t="str">
        <f t="shared" ref="I1475:I1486" si="35">"UNIFIRST CORPORATION"</f>
        <v>UNIFIRST CORPORATION</v>
      </c>
    </row>
    <row r="1476" spans="1:9" x14ac:dyDescent="0.25">
      <c r="A1476" s="6">
        <v>44580</v>
      </c>
      <c r="B1476" t="s">
        <v>26</v>
      </c>
      <c r="C1476">
        <v>68642</v>
      </c>
      <c r="D1476" t="s">
        <v>644</v>
      </c>
      <c r="E1476" s="7">
        <v>26.49</v>
      </c>
      <c r="F1476" t="s">
        <v>20</v>
      </c>
      <c r="G1476" t="s">
        <v>21</v>
      </c>
      <c r="H1476" t="str">
        <f>"8213681530"</f>
        <v>8213681530</v>
      </c>
      <c r="I1476" t="str">
        <f t="shared" si="35"/>
        <v>UNIFIRST CORPORATION</v>
      </c>
    </row>
    <row r="1477" spans="1:9" x14ac:dyDescent="0.25">
      <c r="A1477" s="6">
        <v>44580</v>
      </c>
      <c r="B1477" t="s">
        <v>26</v>
      </c>
      <c r="C1477">
        <v>68642</v>
      </c>
      <c r="D1477" t="s">
        <v>644</v>
      </c>
      <c r="E1477" s="7">
        <v>146.5</v>
      </c>
      <c r="F1477" t="s">
        <v>20</v>
      </c>
      <c r="G1477" t="s">
        <v>21</v>
      </c>
      <c r="H1477" t="str">
        <f>"8213681531"</f>
        <v>8213681531</v>
      </c>
      <c r="I1477" t="str">
        <f t="shared" si="35"/>
        <v>UNIFIRST CORPORATION</v>
      </c>
    </row>
    <row r="1478" spans="1:9" x14ac:dyDescent="0.25">
      <c r="A1478" s="6">
        <v>44580</v>
      </c>
      <c r="B1478" t="s">
        <v>26</v>
      </c>
      <c r="C1478">
        <v>68642</v>
      </c>
      <c r="D1478" t="s">
        <v>644</v>
      </c>
      <c r="E1478" s="7">
        <v>154.33000000000001</v>
      </c>
      <c r="F1478" t="s">
        <v>20</v>
      </c>
      <c r="G1478" t="s">
        <v>21</v>
      </c>
      <c r="H1478" t="str">
        <f>"8213681532"</f>
        <v>8213681532</v>
      </c>
      <c r="I1478" t="str">
        <f t="shared" si="35"/>
        <v>UNIFIRST CORPORATION</v>
      </c>
    </row>
    <row r="1479" spans="1:9" x14ac:dyDescent="0.25">
      <c r="A1479" s="6">
        <v>44580</v>
      </c>
      <c r="B1479" t="s">
        <v>26</v>
      </c>
      <c r="C1479">
        <v>68642</v>
      </c>
      <c r="D1479" t="s">
        <v>644</v>
      </c>
      <c r="E1479" s="7">
        <v>95.04</v>
      </c>
      <c r="F1479" t="s">
        <v>20</v>
      </c>
      <c r="G1479" t="s">
        <v>21</v>
      </c>
      <c r="H1479" t="str">
        <f>"8213681534"</f>
        <v>8213681534</v>
      </c>
      <c r="I1479" t="str">
        <f t="shared" si="35"/>
        <v>UNIFIRST CORPORATION</v>
      </c>
    </row>
    <row r="1480" spans="1:9" x14ac:dyDescent="0.25">
      <c r="A1480" s="6">
        <v>44580</v>
      </c>
      <c r="B1480" t="s">
        <v>26</v>
      </c>
      <c r="C1480">
        <v>68642</v>
      </c>
      <c r="D1480" t="s">
        <v>644</v>
      </c>
      <c r="E1480" s="7">
        <v>26.49</v>
      </c>
      <c r="F1480" t="s">
        <v>20</v>
      </c>
      <c r="G1480" t="s">
        <v>21</v>
      </c>
      <c r="H1480" t="str">
        <f>"8213681535"</f>
        <v>8213681535</v>
      </c>
      <c r="I1480" t="str">
        <f t="shared" si="35"/>
        <v>UNIFIRST CORPORATION</v>
      </c>
    </row>
    <row r="1481" spans="1:9" x14ac:dyDescent="0.25">
      <c r="A1481" s="6">
        <v>44580</v>
      </c>
      <c r="B1481" t="s">
        <v>26</v>
      </c>
      <c r="C1481">
        <v>68642</v>
      </c>
      <c r="D1481" t="s">
        <v>644</v>
      </c>
      <c r="E1481" s="7">
        <v>130.55000000000001</v>
      </c>
      <c r="F1481" t="s">
        <v>20</v>
      </c>
      <c r="G1481" t="s">
        <v>21</v>
      </c>
      <c r="H1481" t="str">
        <f>"8213684154"</f>
        <v>8213684154</v>
      </c>
      <c r="I1481" t="str">
        <f t="shared" si="35"/>
        <v>UNIFIRST CORPORATION</v>
      </c>
    </row>
    <row r="1482" spans="1:9" x14ac:dyDescent="0.25">
      <c r="A1482" s="6">
        <v>44580</v>
      </c>
      <c r="B1482" t="s">
        <v>26</v>
      </c>
      <c r="C1482">
        <v>68642</v>
      </c>
      <c r="D1482" t="s">
        <v>644</v>
      </c>
      <c r="E1482" s="7">
        <v>26.49</v>
      </c>
      <c r="F1482" t="s">
        <v>20</v>
      </c>
      <c r="G1482" t="s">
        <v>21</v>
      </c>
      <c r="H1482" t="str">
        <f>"8213684155"</f>
        <v>8213684155</v>
      </c>
      <c r="I1482" t="str">
        <f t="shared" si="35"/>
        <v>UNIFIRST CORPORATION</v>
      </c>
    </row>
    <row r="1483" spans="1:9" x14ac:dyDescent="0.25">
      <c r="A1483" s="6">
        <v>44580</v>
      </c>
      <c r="B1483" t="s">
        <v>26</v>
      </c>
      <c r="C1483">
        <v>68642</v>
      </c>
      <c r="D1483" t="s">
        <v>644</v>
      </c>
      <c r="E1483" s="7">
        <v>414.09</v>
      </c>
      <c r="F1483" t="s">
        <v>20</v>
      </c>
      <c r="G1483" t="s">
        <v>21</v>
      </c>
      <c r="H1483" t="str">
        <f>"8213684156"</f>
        <v>8213684156</v>
      </c>
      <c r="I1483" t="str">
        <f t="shared" si="35"/>
        <v>UNIFIRST CORPORATION</v>
      </c>
    </row>
    <row r="1484" spans="1:9" x14ac:dyDescent="0.25">
      <c r="A1484" s="6">
        <v>44580</v>
      </c>
      <c r="B1484" t="s">
        <v>26</v>
      </c>
      <c r="C1484">
        <v>68642</v>
      </c>
      <c r="D1484" t="s">
        <v>644</v>
      </c>
      <c r="E1484" s="7">
        <v>393.38</v>
      </c>
      <c r="F1484" t="s">
        <v>20</v>
      </c>
      <c r="G1484" t="s">
        <v>21</v>
      </c>
      <c r="H1484" t="str">
        <f>"8213684157"</f>
        <v>8213684157</v>
      </c>
      <c r="I1484" t="str">
        <f t="shared" si="35"/>
        <v>UNIFIRST CORPORATION</v>
      </c>
    </row>
    <row r="1485" spans="1:9" x14ac:dyDescent="0.25">
      <c r="A1485" s="6">
        <v>44580</v>
      </c>
      <c r="B1485" t="s">
        <v>26</v>
      </c>
      <c r="C1485">
        <v>68642</v>
      </c>
      <c r="D1485" t="s">
        <v>644</v>
      </c>
      <c r="E1485" s="7">
        <v>95.04</v>
      </c>
      <c r="F1485" t="s">
        <v>20</v>
      </c>
      <c r="G1485" t="s">
        <v>21</v>
      </c>
      <c r="H1485" t="str">
        <f>"8213684159"</f>
        <v>8213684159</v>
      </c>
      <c r="I1485" t="str">
        <f t="shared" si="35"/>
        <v>UNIFIRST CORPORATION</v>
      </c>
    </row>
    <row r="1486" spans="1:9" x14ac:dyDescent="0.25">
      <c r="A1486" s="6">
        <v>44580</v>
      </c>
      <c r="B1486" t="s">
        <v>26</v>
      </c>
      <c r="C1486">
        <v>68642</v>
      </c>
      <c r="D1486" t="s">
        <v>644</v>
      </c>
      <c r="E1486" s="7">
        <v>26.49</v>
      </c>
      <c r="F1486" t="s">
        <v>20</v>
      </c>
      <c r="G1486" t="s">
        <v>21</v>
      </c>
      <c r="H1486" t="str">
        <f>"8213684160"</f>
        <v>8213684160</v>
      </c>
      <c r="I1486" t="str">
        <f t="shared" si="35"/>
        <v>UNIFIRST CORPORATION</v>
      </c>
    </row>
    <row r="1487" spans="1:9" x14ac:dyDescent="0.25">
      <c r="A1487" s="6">
        <v>44580</v>
      </c>
      <c r="B1487" t="s">
        <v>26</v>
      </c>
      <c r="C1487">
        <v>68645</v>
      </c>
      <c r="D1487" t="s">
        <v>203</v>
      </c>
      <c r="E1487" s="7">
        <v>141.49</v>
      </c>
      <c r="F1487" t="s">
        <v>20</v>
      </c>
      <c r="G1487" t="s">
        <v>21</v>
      </c>
      <c r="H1487" t="str">
        <f>"825443"</f>
        <v>825443</v>
      </c>
      <c r="I1487" t="str">
        <f>"WWTP"</f>
        <v>WWTP</v>
      </c>
    </row>
    <row r="1488" spans="1:9" x14ac:dyDescent="0.25">
      <c r="A1488" s="6">
        <v>44580</v>
      </c>
      <c r="B1488" t="s">
        <v>26</v>
      </c>
      <c r="C1488">
        <v>68645</v>
      </c>
      <c r="D1488" t="s">
        <v>203</v>
      </c>
      <c r="E1488" s="7">
        <v>198.9</v>
      </c>
      <c r="F1488" t="s">
        <v>20</v>
      </c>
      <c r="G1488" t="s">
        <v>21</v>
      </c>
      <c r="H1488" t="str">
        <f>"831770"</f>
        <v>831770</v>
      </c>
      <c r="I1488" t="str">
        <f>"WWTP"</f>
        <v>WWTP</v>
      </c>
    </row>
    <row r="1489" spans="1:9" x14ac:dyDescent="0.25">
      <c r="A1489" s="6">
        <v>44580</v>
      </c>
      <c r="B1489" t="s">
        <v>26</v>
      </c>
      <c r="C1489">
        <v>68646</v>
      </c>
      <c r="D1489" t="s">
        <v>447</v>
      </c>
      <c r="E1489" s="7">
        <v>108</v>
      </c>
      <c r="F1489" t="s">
        <v>20</v>
      </c>
      <c r="G1489" t="s">
        <v>21</v>
      </c>
      <c r="H1489" t="str">
        <f>"INTERM CSI 1/2022"</f>
        <v>INTERM CSI 1/2022</v>
      </c>
      <c r="I1489" t="str">
        <f>"VICTOR FAVELLA"</f>
        <v>VICTOR FAVELLA</v>
      </c>
    </row>
    <row r="1490" spans="1:9" x14ac:dyDescent="0.25">
      <c r="A1490" s="6">
        <v>44580</v>
      </c>
      <c r="B1490" t="s">
        <v>26</v>
      </c>
      <c r="C1490">
        <v>68647</v>
      </c>
      <c r="D1490" t="s">
        <v>1154</v>
      </c>
      <c r="E1490" s="7">
        <v>994</v>
      </c>
      <c r="F1490" t="s">
        <v>20</v>
      </c>
      <c r="G1490" t="s">
        <v>21</v>
      </c>
      <c r="H1490" t="str">
        <f>"03692  01/19/2022"</f>
        <v>03692  01/19/2022</v>
      </c>
      <c r="I1490" t="str">
        <f>"GLAZIERS"</f>
        <v>GLAZIERS</v>
      </c>
    </row>
    <row r="1491" spans="1:9" x14ac:dyDescent="0.25">
      <c r="A1491" s="6">
        <v>44580</v>
      </c>
      <c r="B1491" t="s">
        <v>26</v>
      </c>
      <c r="C1491">
        <v>68648</v>
      </c>
      <c r="D1491" t="s">
        <v>345</v>
      </c>
      <c r="E1491" s="7">
        <v>308</v>
      </c>
      <c r="F1491" t="s">
        <v>20</v>
      </c>
      <c r="G1491" t="s">
        <v>21</v>
      </c>
      <c r="H1491" t="str">
        <f>"01/17/2022"</f>
        <v>01/17/2022</v>
      </c>
      <c r="I1491" t="str">
        <f>"MICHAEL ISAAC MARTINEZ"</f>
        <v>MICHAEL ISAAC MARTINEZ</v>
      </c>
    </row>
    <row r="1492" spans="1:9" x14ac:dyDescent="0.25">
      <c r="A1492" s="6">
        <v>44580</v>
      </c>
      <c r="B1492" t="s">
        <v>26</v>
      </c>
      <c r="C1492">
        <v>68649</v>
      </c>
      <c r="D1492" t="s">
        <v>194</v>
      </c>
      <c r="E1492" s="7">
        <v>62.22</v>
      </c>
      <c r="F1492" t="s">
        <v>20</v>
      </c>
      <c r="G1492" t="s">
        <v>21</v>
      </c>
      <c r="H1492" t="str">
        <f>"020047300"</f>
        <v>020047300</v>
      </c>
      <c r="I1492" t="str">
        <f>"GALLS  LLC-D.B.A. STERLING'S U"</f>
        <v>GALLS  LLC-D.B.A. STERLING'S U</v>
      </c>
    </row>
    <row r="1493" spans="1:9" x14ac:dyDescent="0.25">
      <c r="A1493" s="6">
        <v>44580</v>
      </c>
      <c r="B1493" t="s">
        <v>26</v>
      </c>
      <c r="C1493">
        <v>68649</v>
      </c>
      <c r="D1493" t="s">
        <v>194</v>
      </c>
      <c r="E1493" s="7">
        <v>62.22</v>
      </c>
      <c r="F1493" t="s">
        <v>20</v>
      </c>
      <c r="G1493" t="s">
        <v>21</v>
      </c>
      <c r="H1493" t="str">
        <f>"020047306"</f>
        <v>020047306</v>
      </c>
      <c r="I1493" t="str">
        <f>"GALLS  LLC-D.B.A. STERLING'S U"</f>
        <v>GALLS  LLC-D.B.A. STERLING'S U</v>
      </c>
    </row>
    <row r="1494" spans="1:9" x14ac:dyDescent="0.25">
      <c r="A1494" s="6">
        <v>44580</v>
      </c>
      <c r="B1494" t="s">
        <v>26</v>
      </c>
      <c r="C1494">
        <v>68649</v>
      </c>
      <c r="D1494" t="s">
        <v>194</v>
      </c>
      <c r="E1494" s="7">
        <v>93.5</v>
      </c>
      <c r="F1494" t="s">
        <v>20</v>
      </c>
      <c r="G1494" t="s">
        <v>21</v>
      </c>
      <c r="H1494" t="str">
        <f>"020069280"</f>
        <v>020069280</v>
      </c>
      <c r="I1494" t="str">
        <f>"GALLS  LLC-D.B.A. STERLING'S U"</f>
        <v>GALLS  LLC-D.B.A. STERLING'S U</v>
      </c>
    </row>
    <row r="1495" spans="1:9" x14ac:dyDescent="0.25">
      <c r="A1495" s="6">
        <v>44581</v>
      </c>
      <c r="B1495" t="s">
        <v>26</v>
      </c>
      <c r="C1495">
        <v>68650</v>
      </c>
      <c r="D1495" t="s">
        <v>205</v>
      </c>
      <c r="E1495" s="7">
        <v>1097.6500000000001</v>
      </c>
      <c r="F1495" t="s">
        <v>20</v>
      </c>
      <c r="G1495" t="s">
        <v>21</v>
      </c>
      <c r="H1495" t="str">
        <f>"01/202022"</f>
        <v>01/202022</v>
      </c>
      <c r="I1495" t="str">
        <f>"SILVER EAGLE DISTRIBUTORS"</f>
        <v>SILVER EAGLE DISTRIBUTORS</v>
      </c>
    </row>
    <row r="1496" spans="1:9" x14ac:dyDescent="0.25">
      <c r="A1496" s="6">
        <v>44585</v>
      </c>
      <c r="B1496" t="s">
        <v>26</v>
      </c>
      <c r="C1496">
        <v>68651</v>
      </c>
      <c r="D1496" t="s">
        <v>1029</v>
      </c>
      <c r="E1496" s="7">
        <v>304.8</v>
      </c>
      <c r="F1496" t="s">
        <v>20</v>
      </c>
      <c r="G1496" t="s">
        <v>21</v>
      </c>
      <c r="H1496" t="str">
        <f>"CM ASSOC. TRNGN"</f>
        <v>CM ASSOC. TRNGN</v>
      </c>
      <c r="I1496" t="str">
        <f>"ANDY JOSLIN"</f>
        <v>ANDY JOSLIN</v>
      </c>
    </row>
    <row r="1497" spans="1:9" x14ac:dyDescent="0.25">
      <c r="A1497" s="6">
        <v>44586</v>
      </c>
      <c r="B1497" t="s">
        <v>26</v>
      </c>
      <c r="C1497">
        <v>68656</v>
      </c>
      <c r="D1497" t="s">
        <v>51</v>
      </c>
      <c r="E1497" s="7">
        <v>13.85</v>
      </c>
      <c r="F1497" t="s">
        <v>20</v>
      </c>
      <c r="G1497" t="s">
        <v>21</v>
      </c>
      <c r="H1497" t="str">
        <f>"CLE202201258639"</f>
        <v>CLE202201258639</v>
      </c>
      <c r="I1497" t="str">
        <f>"CLEAT ONLY DUES"</f>
        <v>CLEAT ONLY DUES</v>
      </c>
    </row>
    <row r="1498" spans="1:9" x14ac:dyDescent="0.25">
      <c r="A1498" s="6">
        <v>44586</v>
      </c>
      <c r="B1498" t="s">
        <v>26</v>
      </c>
      <c r="C1498">
        <v>68656</v>
      </c>
      <c r="D1498" t="s">
        <v>51</v>
      </c>
      <c r="E1498" s="7">
        <v>295.52</v>
      </c>
      <c r="F1498" t="s">
        <v>20</v>
      </c>
      <c r="G1498" t="s">
        <v>21</v>
      </c>
      <c r="H1498" t="str">
        <f>"PDD202201258639"</f>
        <v>PDD202201258639</v>
      </c>
      <c r="I1498" t="str">
        <f>"POLICE OFFICERS ASSOC DUES"</f>
        <v>POLICE OFFICERS ASSOC DUES</v>
      </c>
    </row>
    <row r="1499" spans="1:9" x14ac:dyDescent="0.25">
      <c r="A1499" s="6">
        <v>44586</v>
      </c>
      <c r="B1499" t="s">
        <v>26</v>
      </c>
      <c r="C1499">
        <v>68657</v>
      </c>
      <c r="D1499" t="s">
        <v>52</v>
      </c>
      <c r="E1499" s="7">
        <v>101.25</v>
      </c>
      <c r="F1499" t="s">
        <v>20</v>
      </c>
      <c r="G1499" t="s">
        <v>21</v>
      </c>
      <c r="H1499" t="str">
        <f>"CA1202201258639"</f>
        <v>CA1202201258639</v>
      </c>
      <c r="I1499" t="str">
        <f>"K RAMIREZ 001200229510060343CV"</f>
        <v>K RAMIREZ 001200229510060343CV</v>
      </c>
    </row>
    <row r="1500" spans="1:9" x14ac:dyDescent="0.25">
      <c r="A1500" s="6">
        <v>44586</v>
      </c>
      <c r="B1500" t="s">
        <v>26</v>
      </c>
      <c r="C1500">
        <v>68657</v>
      </c>
      <c r="D1500" t="s">
        <v>52</v>
      </c>
      <c r="E1500" s="7">
        <v>101.25</v>
      </c>
      <c r="F1500" t="s">
        <v>20</v>
      </c>
      <c r="G1500" t="s">
        <v>21</v>
      </c>
      <c r="H1500" t="str">
        <f>"CA2202201258639"</f>
        <v>CA2202201258639</v>
      </c>
      <c r="I1500" t="str">
        <f>"L HERNANDEZ 001016025203080354"</f>
        <v>L HERNANDEZ 001016025203080354</v>
      </c>
    </row>
    <row r="1501" spans="1:9" x14ac:dyDescent="0.25">
      <c r="A1501" s="6">
        <v>44586</v>
      </c>
      <c r="B1501" t="s">
        <v>26</v>
      </c>
      <c r="C1501">
        <v>68657</v>
      </c>
      <c r="D1501" t="s">
        <v>52</v>
      </c>
      <c r="E1501" s="7">
        <v>101.25</v>
      </c>
      <c r="F1501" t="s">
        <v>20</v>
      </c>
      <c r="G1501" t="s">
        <v>21</v>
      </c>
      <c r="H1501" t="str">
        <f>"CA3202201258639"</f>
        <v>CA3202201258639</v>
      </c>
      <c r="I1501" t="str">
        <f>"00120788612011EM5023JOLENEGARC"</f>
        <v>00120788612011EM5023JOLENEGARC</v>
      </c>
    </row>
    <row r="1502" spans="1:9" x14ac:dyDescent="0.25">
      <c r="A1502" s="6">
        <v>44586</v>
      </c>
      <c r="B1502" t="s">
        <v>26</v>
      </c>
      <c r="C1502">
        <v>68657</v>
      </c>
      <c r="D1502" t="s">
        <v>52</v>
      </c>
      <c r="E1502" s="7">
        <v>101.25</v>
      </c>
      <c r="F1502" t="s">
        <v>20</v>
      </c>
      <c r="G1502" t="s">
        <v>21</v>
      </c>
      <c r="H1502" t="str">
        <f>"CSA202201258639"</f>
        <v>CSA202201258639</v>
      </c>
      <c r="I1502" t="str">
        <f>"S RODRIGUEZ 001281730413050336"</f>
        <v>S RODRIGUEZ 001281730413050336</v>
      </c>
    </row>
    <row r="1503" spans="1:9" x14ac:dyDescent="0.25">
      <c r="A1503" s="6">
        <v>44586</v>
      </c>
      <c r="B1503" t="s">
        <v>26</v>
      </c>
      <c r="C1503">
        <v>68657</v>
      </c>
      <c r="D1503" t="s">
        <v>52</v>
      </c>
      <c r="E1503" s="7">
        <v>521.54</v>
      </c>
      <c r="F1503" t="s">
        <v>20</v>
      </c>
      <c r="G1503" t="s">
        <v>21</v>
      </c>
      <c r="H1503" t="str">
        <f>"CSI202201258639"</f>
        <v>CSI202201258639</v>
      </c>
      <c r="I1503" t="str">
        <f>"KTRINIDAD0014071774CVW2000777"</f>
        <v>KTRINIDAD0014071774CVW2000777</v>
      </c>
    </row>
    <row r="1504" spans="1:9" x14ac:dyDescent="0.25">
      <c r="A1504" s="6">
        <v>44586</v>
      </c>
      <c r="B1504" t="s">
        <v>26</v>
      </c>
      <c r="C1504">
        <v>68658</v>
      </c>
      <c r="D1504" t="s">
        <v>54</v>
      </c>
      <c r="E1504" s="7">
        <v>881.57</v>
      </c>
      <c r="F1504" t="s">
        <v>20</v>
      </c>
      <c r="G1504" t="s">
        <v>21</v>
      </c>
      <c r="H1504" t="str">
        <f>"BRE202201258639"</f>
        <v>BRE202201258639</v>
      </c>
      <c r="I1504" t="str">
        <f>"CASE #180-60751 457B DEDUCT"</f>
        <v>CASE #180-60751 457B DEDUCT</v>
      </c>
    </row>
    <row r="1505" spans="1:9" x14ac:dyDescent="0.25">
      <c r="A1505" s="6">
        <v>44586</v>
      </c>
      <c r="B1505" t="s">
        <v>26</v>
      </c>
      <c r="C1505">
        <v>68659</v>
      </c>
      <c r="D1505" t="s">
        <v>212</v>
      </c>
      <c r="E1505" s="7">
        <v>600</v>
      </c>
      <c r="F1505" t="s">
        <v>20</v>
      </c>
      <c r="G1505" t="s">
        <v>21</v>
      </c>
      <c r="H1505" t="str">
        <f>"MEMBERSHIP RENEWAL"</f>
        <v>MEMBERSHIP RENEWAL</v>
      </c>
      <c r="I1505" t="str">
        <f>"AACOG"</f>
        <v>AACOG</v>
      </c>
    </row>
    <row r="1506" spans="1:9" x14ac:dyDescent="0.25">
      <c r="A1506" s="6">
        <v>44586</v>
      </c>
      <c r="B1506" t="s">
        <v>26</v>
      </c>
      <c r="C1506">
        <v>68660</v>
      </c>
      <c r="D1506" t="s">
        <v>1121</v>
      </c>
      <c r="E1506" s="7">
        <v>120</v>
      </c>
      <c r="F1506" t="s">
        <v>20</v>
      </c>
      <c r="G1506" t="s">
        <v>21</v>
      </c>
      <c r="H1506" t="str">
        <f>"1/22/2022"</f>
        <v>1/22/2022</v>
      </c>
      <c r="I1506" t="str">
        <f>"AMY MORENO"</f>
        <v>AMY MORENO</v>
      </c>
    </row>
    <row r="1507" spans="1:9" x14ac:dyDescent="0.25">
      <c r="A1507" s="6">
        <v>44586</v>
      </c>
      <c r="B1507" t="s">
        <v>26</v>
      </c>
      <c r="C1507">
        <v>68661</v>
      </c>
      <c r="D1507" t="s">
        <v>189</v>
      </c>
      <c r="E1507" s="7">
        <v>2719.15</v>
      </c>
      <c r="F1507" t="s">
        <v>20</v>
      </c>
      <c r="G1507" t="s">
        <v>21</v>
      </c>
      <c r="H1507" t="str">
        <f>"SWO212320-1"</f>
        <v>SWO212320-1</v>
      </c>
      <c r="I1507" t="str">
        <f>"FRONT LOADER REPAIR"</f>
        <v>FRONT LOADER REPAIR</v>
      </c>
    </row>
    <row r="1508" spans="1:9" x14ac:dyDescent="0.25">
      <c r="A1508" s="6">
        <v>44586</v>
      </c>
      <c r="B1508" t="s">
        <v>26</v>
      </c>
      <c r="C1508">
        <v>68662</v>
      </c>
      <c r="D1508" t="s">
        <v>115</v>
      </c>
      <c r="E1508" s="7">
        <v>130.99</v>
      </c>
      <c r="F1508" t="s">
        <v>20</v>
      </c>
      <c r="G1508" t="s">
        <v>21</v>
      </c>
      <c r="H1508" t="str">
        <f>"3547177473"</f>
        <v>3547177473</v>
      </c>
      <c r="I1508" t="str">
        <f>"BATTERY FOR NEW PD VEHICL"</f>
        <v>BATTERY FOR NEW PD VEHICL</v>
      </c>
    </row>
    <row r="1509" spans="1:9" x14ac:dyDescent="0.25">
      <c r="A1509" s="6">
        <v>44586</v>
      </c>
      <c r="B1509" t="s">
        <v>26</v>
      </c>
      <c r="C1509">
        <v>68663</v>
      </c>
      <c r="D1509" t="s">
        <v>118</v>
      </c>
      <c r="E1509" s="7">
        <v>445</v>
      </c>
      <c r="F1509" t="s">
        <v>20</v>
      </c>
      <c r="G1509" t="s">
        <v>21</v>
      </c>
      <c r="H1509" t="str">
        <f>"12701"</f>
        <v>12701</v>
      </c>
      <c r="I1509" t="str">
        <f>"BRYAN AIR CONDITIONING &amp; HEATI"</f>
        <v>BRYAN AIR CONDITIONING &amp; HEATI</v>
      </c>
    </row>
    <row r="1510" spans="1:9" x14ac:dyDescent="0.25">
      <c r="A1510" s="6">
        <v>44586</v>
      </c>
      <c r="B1510" t="s">
        <v>26</v>
      </c>
      <c r="C1510">
        <v>68664</v>
      </c>
      <c r="D1510" t="s">
        <v>1155</v>
      </c>
      <c r="E1510" s="7">
        <v>131.04</v>
      </c>
      <c r="F1510" t="s">
        <v>20</v>
      </c>
      <c r="G1510" t="s">
        <v>21</v>
      </c>
      <c r="H1510" t="str">
        <f>"13-32136"</f>
        <v>13-32136</v>
      </c>
      <c r="I1510" t="str">
        <f>"SAFTEY GLASSES HARNESS"</f>
        <v>SAFTEY GLASSES HARNESS</v>
      </c>
    </row>
    <row r="1511" spans="1:9" x14ac:dyDescent="0.25">
      <c r="A1511" s="6">
        <v>44586</v>
      </c>
      <c r="B1511" t="s">
        <v>26</v>
      </c>
      <c r="C1511">
        <v>68665</v>
      </c>
      <c r="D1511" t="s">
        <v>63</v>
      </c>
      <c r="E1511" s="7">
        <v>475</v>
      </c>
      <c r="F1511" t="s">
        <v>20</v>
      </c>
      <c r="G1511" t="s">
        <v>21</v>
      </c>
      <c r="H1511" t="str">
        <f>"8405496604"</f>
        <v>8405496604</v>
      </c>
      <c r="I1511" t="str">
        <f>"CINTAS CORPORATION"</f>
        <v>CINTAS CORPORATION</v>
      </c>
    </row>
    <row r="1512" spans="1:9" x14ac:dyDescent="0.25">
      <c r="A1512" s="6">
        <v>44586</v>
      </c>
      <c r="B1512" t="s">
        <v>26</v>
      </c>
      <c r="C1512">
        <v>68666</v>
      </c>
      <c r="D1512" t="s">
        <v>71</v>
      </c>
      <c r="E1512" s="7">
        <v>155.83000000000001</v>
      </c>
      <c r="F1512" t="s">
        <v>20</v>
      </c>
      <c r="G1512" t="s">
        <v>21</v>
      </c>
      <c r="H1512" t="str">
        <f>"4107818802"</f>
        <v>4107818802</v>
      </c>
      <c r="I1512" t="str">
        <f>"CINTAS CORPORATION #087"</f>
        <v>CINTAS CORPORATION #087</v>
      </c>
    </row>
    <row r="1513" spans="1:9" x14ac:dyDescent="0.25">
      <c r="A1513" s="6">
        <v>44586</v>
      </c>
      <c r="B1513" t="s">
        <v>91</v>
      </c>
      <c r="C1513">
        <v>68667</v>
      </c>
      <c r="D1513" t="s">
        <v>81</v>
      </c>
      <c r="E1513" s="7">
        <v>107.1</v>
      </c>
      <c r="F1513" t="s">
        <v>20</v>
      </c>
      <c r="G1513" t="s">
        <v>21</v>
      </c>
      <c r="H1513" t="str">
        <f>"A.MONTOYA 1/24/22"</f>
        <v>A.MONTOYA 1/24/22</v>
      </c>
      <c r="I1513" t="str">
        <f>"CITY OF FLORESVILLE -PETTY CAS"</f>
        <v>CITY OF FLORESVILLE -PETTY CAS</v>
      </c>
    </row>
    <row r="1514" spans="1:9" x14ac:dyDescent="0.25">
      <c r="A1514" s="6">
        <v>44586</v>
      </c>
      <c r="B1514" t="s">
        <v>91</v>
      </c>
      <c r="C1514">
        <v>68667</v>
      </c>
      <c r="D1514" t="s">
        <v>81</v>
      </c>
      <c r="E1514" s="7">
        <v>107.1</v>
      </c>
      <c r="F1514" t="s">
        <v>20</v>
      </c>
      <c r="G1514" t="s">
        <v>93</v>
      </c>
      <c r="H1514" t="str">
        <f>"CHECK"</f>
        <v>CHECK</v>
      </c>
      <c r="I1514" t="str">
        <f>""</f>
        <v/>
      </c>
    </row>
    <row r="1515" spans="1:9" x14ac:dyDescent="0.25">
      <c r="A1515" s="6">
        <v>44586</v>
      </c>
      <c r="B1515" t="s">
        <v>26</v>
      </c>
      <c r="C1515">
        <v>68668</v>
      </c>
      <c r="D1515" t="s">
        <v>77</v>
      </c>
      <c r="E1515" s="7">
        <v>320</v>
      </c>
      <c r="F1515" t="s">
        <v>20</v>
      </c>
      <c r="G1515" t="s">
        <v>21</v>
      </c>
      <c r="H1515" t="str">
        <f>"DE85002946-21"</f>
        <v>DE85002946-21</v>
      </c>
      <c r="I1515" t="str">
        <f>"DPC INDUSTRIES  INC."</f>
        <v>DPC INDUSTRIES  INC.</v>
      </c>
    </row>
    <row r="1516" spans="1:9" x14ac:dyDescent="0.25">
      <c r="A1516" s="6">
        <v>44586</v>
      </c>
      <c r="B1516" t="s">
        <v>26</v>
      </c>
      <c r="C1516">
        <v>68669</v>
      </c>
      <c r="D1516" t="s">
        <v>59</v>
      </c>
      <c r="E1516" s="7">
        <v>1330.68</v>
      </c>
      <c r="F1516" t="s">
        <v>20</v>
      </c>
      <c r="G1516" t="s">
        <v>21</v>
      </c>
      <c r="H1516" t="str">
        <f>"1142226-1"</f>
        <v>1142226-1</v>
      </c>
      <c r="I1516" t="str">
        <f>"FERGUSON WATERWORKS - MUNICIPA"</f>
        <v>FERGUSON WATERWORKS - MUNICIPA</v>
      </c>
    </row>
    <row r="1517" spans="1:9" x14ac:dyDescent="0.25">
      <c r="A1517" s="6">
        <v>44586</v>
      </c>
      <c r="B1517" t="s">
        <v>26</v>
      </c>
      <c r="C1517">
        <v>68669</v>
      </c>
      <c r="D1517" t="s">
        <v>59</v>
      </c>
      <c r="E1517" s="7">
        <v>819.75</v>
      </c>
      <c r="F1517" t="s">
        <v>20</v>
      </c>
      <c r="G1517" t="s">
        <v>21</v>
      </c>
      <c r="H1517" t="str">
        <f>"1154457"</f>
        <v>1154457</v>
      </c>
      <c r="I1517" t="str">
        <f>"FERGUSON WATERWORKS - MUNICIPA"</f>
        <v>FERGUSON WATERWORKS - MUNICIPA</v>
      </c>
    </row>
    <row r="1518" spans="1:9" x14ac:dyDescent="0.25">
      <c r="A1518" s="6">
        <v>44586</v>
      </c>
      <c r="B1518" t="s">
        <v>26</v>
      </c>
      <c r="C1518">
        <v>68670</v>
      </c>
      <c r="D1518" t="s">
        <v>85</v>
      </c>
      <c r="E1518" s="7">
        <v>58.04</v>
      </c>
      <c r="F1518" t="s">
        <v>20</v>
      </c>
      <c r="G1518" t="s">
        <v>21</v>
      </c>
      <c r="H1518" t="str">
        <f>"2162733 JAN.2022"</f>
        <v>2162733 JAN.2022</v>
      </c>
      <c r="I1518" t="str">
        <f t="shared" ref="I1518:I1525" si="36">"FRONTIER"</f>
        <v>FRONTIER</v>
      </c>
    </row>
    <row r="1519" spans="1:9" x14ac:dyDescent="0.25">
      <c r="A1519" s="6">
        <v>44586</v>
      </c>
      <c r="B1519" t="s">
        <v>26</v>
      </c>
      <c r="C1519">
        <v>68670</v>
      </c>
      <c r="D1519" t="s">
        <v>85</v>
      </c>
      <c r="E1519" s="7">
        <v>535.28</v>
      </c>
      <c r="F1519" t="s">
        <v>20</v>
      </c>
      <c r="G1519" t="s">
        <v>21</v>
      </c>
      <c r="H1519" t="str">
        <f>"2162745 JAN.2022"</f>
        <v>2162745 JAN.2022</v>
      </c>
      <c r="I1519" t="str">
        <f t="shared" si="36"/>
        <v>FRONTIER</v>
      </c>
    </row>
    <row r="1520" spans="1:9" x14ac:dyDescent="0.25">
      <c r="A1520" s="6">
        <v>44586</v>
      </c>
      <c r="B1520" t="s">
        <v>26</v>
      </c>
      <c r="C1520">
        <v>68670</v>
      </c>
      <c r="D1520" t="s">
        <v>85</v>
      </c>
      <c r="E1520" s="7">
        <v>56.86</v>
      </c>
      <c r="F1520" t="s">
        <v>20</v>
      </c>
      <c r="G1520" t="s">
        <v>21</v>
      </c>
      <c r="H1520" t="str">
        <f>"2162755 JAN.2022"</f>
        <v>2162755 JAN.2022</v>
      </c>
      <c r="I1520" t="str">
        <f t="shared" si="36"/>
        <v>FRONTIER</v>
      </c>
    </row>
    <row r="1521" spans="1:9" x14ac:dyDescent="0.25">
      <c r="A1521" s="6">
        <v>44586</v>
      </c>
      <c r="B1521" t="s">
        <v>26</v>
      </c>
      <c r="C1521">
        <v>68670</v>
      </c>
      <c r="D1521" t="s">
        <v>85</v>
      </c>
      <c r="E1521" s="7">
        <v>68.03</v>
      </c>
      <c r="F1521" t="s">
        <v>20</v>
      </c>
      <c r="G1521" t="s">
        <v>21</v>
      </c>
      <c r="H1521" t="str">
        <f>"3932804 JAN.2022"</f>
        <v>3932804 JAN.2022</v>
      </c>
      <c r="I1521" t="str">
        <f t="shared" si="36"/>
        <v>FRONTIER</v>
      </c>
    </row>
    <row r="1522" spans="1:9" x14ac:dyDescent="0.25">
      <c r="A1522" s="6">
        <v>44586</v>
      </c>
      <c r="B1522" t="s">
        <v>26</v>
      </c>
      <c r="C1522">
        <v>68670</v>
      </c>
      <c r="D1522" t="s">
        <v>85</v>
      </c>
      <c r="E1522" s="7">
        <v>46.77</v>
      </c>
      <c r="F1522" t="s">
        <v>20</v>
      </c>
      <c r="G1522" t="s">
        <v>21</v>
      </c>
      <c r="H1522" t="str">
        <f>"3936794 JAN.2022"</f>
        <v>3936794 JAN.2022</v>
      </c>
      <c r="I1522" t="str">
        <f t="shared" si="36"/>
        <v>FRONTIER</v>
      </c>
    </row>
    <row r="1523" spans="1:9" x14ac:dyDescent="0.25">
      <c r="A1523" s="6">
        <v>44586</v>
      </c>
      <c r="B1523" t="s">
        <v>26</v>
      </c>
      <c r="C1523">
        <v>68670</v>
      </c>
      <c r="D1523" t="s">
        <v>85</v>
      </c>
      <c r="E1523" s="7">
        <v>86.29</v>
      </c>
      <c r="F1523" t="s">
        <v>20</v>
      </c>
      <c r="G1523" t="s">
        <v>21</v>
      </c>
      <c r="H1523" t="str">
        <f>"3938193 JAN.2022"</f>
        <v>3938193 JAN.2022</v>
      </c>
      <c r="I1523" t="str">
        <f t="shared" si="36"/>
        <v>FRONTIER</v>
      </c>
    </row>
    <row r="1524" spans="1:9" x14ac:dyDescent="0.25">
      <c r="A1524" s="6">
        <v>44586</v>
      </c>
      <c r="B1524" t="s">
        <v>26</v>
      </c>
      <c r="C1524">
        <v>68670</v>
      </c>
      <c r="D1524" t="s">
        <v>85</v>
      </c>
      <c r="E1524" s="7">
        <v>2009</v>
      </c>
      <c r="F1524" t="s">
        <v>20</v>
      </c>
      <c r="G1524" t="s">
        <v>21</v>
      </c>
      <c r="H1524" t="str">
        <f>"8301970025 1/22"</f>
        <v>8301970025 1/22</v>
      </c>
      <c r="I1524" t="str">
        <f t="shared" si="36"/>
        <v>FRONTIER</v>
      </c>
    </row>
    <row r="1525" spans="1:9" x14ac:dyDescent="0.25">
      <c r="A1525" s="6">
        <v>44586</v>
      </c>
      <c r="B1525" t="s">
        <v>26</v>
      </c>
      <c r="C1525">
        <v>68670</v>
      </c>
      <c r="D1525" t="s">
        <v>85</v>
      </c>
      <c r="E1525" s="7">
        <v>205.02</v>
      </c>
      <c r="F1525" t="s">
        <v>20</v>
      </c>
      <c r="G1525" t="s">
        <v>21</v>
      </c>
      <c r="H1525" t="str">
        <f>"8301970102 1/2022"</f>
        <v>8301970102 1/2022</v>
      </c>
      <c r="I1525" t="str">
        <f t="shared" si="36"/>
        <v>FRONTIER</v>
      </c>
    </row>
    <row r="1526" spans="1:9" x14ac:dyDescent="0.25">
      <c r="A1526" s="6">
        <v>44586</v>
      </c>
      <c r="B1526" t="s">
        <v>26</v>
      </c>
      <c r="C1526">
        <v>68673</v>
      </c>
      <c r="D1526" t="s">
        <v>194</v>
      </c>
      <c r="E1526" s="7">
        <v>62.22</v>
      </c>
      <c r="F1526" t="s">
        <v>20</v>
      </c>
      <c r="G1526" t="s">
        <v>21</v>
      </c>
      <c r="H1526" t="str">
        <f>"020126248"</f>
        <v>020126248</v>
      </c>
      <c r="I1526" t="str">
        <f>"GALLS  LLC-D.B.A. STERLING'S U"</f>
        <v>GALLS  LLC-D.B.A. STERLING'S U</v>
      </c>
    </row>
    <row r="1527" spans="1:9" x14ac:dyDescent="0.25">
      <c r="A1527" s="6">
        <v>44586</v>
      </c>
      <c r="B1527" t="s">
        <v>26</v>
      </c>
      <c r="C1527">
        <v>68673</v>
      </c>
      <c r="D1527" t="s">
        <v>194</v>
      </c>
      <c r="E1527" s="7">
        <v>45.81</v>
      </c>
      <c r="F1527" t="s">
        <v>20</v>
      </c>
      <c r="G1527" t="s">
        <v>21</v>
      </c>
      <c r="H1527" t="str">
        <f>"020170804"</f>
        <v>020170804</v>
      </c>
      <c r="I1527" t="str">
        <f>"GALLS  LLC-D.B.A. STERLING'S U"</f>
        <v>GALLS  LLC-D.B.A. STERLING'S U</v>
      </c>
    </row>
    <row r="1528" spans="1:9" x14ac:dyDescent="0.25">
      <c r="A1528" s="6">
        <v>44586</v>
      </c>
      <c r="B1528" t="s">
        <v>26</v>
      </c>
      <c r="C1528">
        <v>68673</v>
      </c>
      <c r="D1528" t="s">
        <v>194</v>
      </c>
      <c r="E1528" s="7">
        <v>52.7</v>
      </c>
      <c r="F1528" t="s">
        <v>20</v>
      </c>
      <c r="G1528" t="s">
        <v>21</v>
      </c>
      <c r="H1528" t="str">
        <f>"020181642"</f>
        <v>020181642</v>
      </c>
      <c r="I1528" t="str">
        <f>"GALLS  LLC-D.B.A. STERLING'S U"</f>
        <v>GALLS  LLC-D.B.A. STERLING'S U</v>
      </c>
    </row>
    <row r="1529" spans="1:9" x14ac:dyDescent="0.25">
      <c r="A1529" s="6">
        <v>44586</v>
      </c>
      <c r="B1529" t="s">
        <v>26</v>
      </c>
      <c r="C1529">
        <v>68674</v>
      </c>
      <c r="D1529" t="s">
        <v>1107</v>
      </c>
      <c r="E1529" s="7">
        <v>170</v>
      </c>
      <c r="F1529" t="s">
        <v>20</v>
      </c>
      <c r="G1529" t="s">
        <v>21</v>
      </c>
      <c r="H1529" t="str">
        <f>"300156014 RENEWAL"</f>
        <v>300156014 RENEWAL</v>
      </c>
      <c r="I1529" t="str">
        <f>"GOVERNMENT FINANCE OFFICERS AS"</f>
        <v>GOVERNMENT FINANCE OFFICERS AS</v>
      </c>
    </row>
    <row r="1530" spans="1:9" x14ac:dyDescent="0.25">
      <c r="A1530" s="6">
        <v>44586</v>
      </c>
      <c r="B1530" t="s">
        <v>26</v>
      </c>
      <c r="C1530">
        <v>68675</v>
      </c>
      <c r="D1530" t="s">
        <v>125</v>
      </c>
      <c r="E1530" s="7">
        <v>450</v>
      </c>
      <c r="F1530" t="s">
        <v>20</v>
      </c>
      <c r="G1530" t="s">
        <v>21</v>
      </c>
      <c r="H1530" t="str">
        <f>"21-1050 DEC.2021"</f>
        <v>21-1050 DEC.2021</v>
      </c>
      <c r="I1530" t="str">
        <f>"INTREPID SURVEYING CORPORATION"</f>
        <v>INTREPID SURVEYING CORPORATION</v>
      </c>
    </row>
    <row r="1531" spans="1:9" x14ac:dyDescent="0.25">
      <c r="A1531" s="6">
        <v>44586</v>
      </c>
      <c r="B1531" t="s">
        <v>26</v>
      </c>
      <c r="C1531">
        <v>68676</v>
      </c>
      <c r="D1531" t="s">
        <v>927</v>
      </c>
      <c r="E1531" s="7">
        <v>1370.37</v>
      </c>
      <c r="F1531" t="s">
        <v>20</v>
      </c>
      <c r="G1531" t="s">
        <v>21</v>
      </c>
      <c r="H1531" t="str">
        <f>"CITY 0000005"</f>
        <v>CITY 0000005</v>
      </c>
      <c r="I1531" t="str">
        <f>"JOELZ LAWN MOWING SERVICE"</f>
        <v>JOELZ LAWN MOWING SERVICE</v>
      </c>
    </row>
    <row r="1532" spans="1:9" x14ac:dyDescent="0.25">
      <c r="A1532" s="6">
        <v>44586</v>
      </c>
      <c r="B1532" t="s">
        <v>26</v>
      </c>
      <c r="C1532">
        <v>68677</v>
      </c>
      <c r="D1532" t="s">
        <v>503</v>
      </c>
      <c r="E1532" s="7">
        <v>1347</v>
      </c>
      <c r="F1532" t="s">
        <v>20</v>
      </c>
      <c r="G1532" t="s">
        <v>21</v>
      </c>
      <c r="H1532" t="str">
        <f>"21502234"</f>
        <v>21502234</v>
      </c>
      <c r="I1532" t="str">
        <f>"LIGHTS FOR PARKING LOT"</f>
        <v>LIGHTS FOR PARKING LOT</v>
      </c>
    </row>
    <row r="1533" spans="1:9" x14ac:dyDescent="0.25">
      <c r="A1533" s="6">
        <v>44586</v>
      </c>
      <c r="B1533" t="s">
        <v>26</v>
      </c>
      <c r="C1533">
        <v>68678</v>
      </c>
      <c r="D1533" t="s">
        <v>824</v>
      </c>
      <c r="E1533" s="7">
        <v>125</v>
      </c>
      <c r="F1533" t="s">
        <v>20</v>
      </c>
      <c r="G1533" t="s">
        <v>21</v>
      </c>
      <c r="H1533" t="str">
        <f>"1/22/2022"</f>
        <v>1/22/2022</v>
      </c>
      <c r="I1533" t="str">
        <f>"MALLORY R. NELSON"</f>
        <v>MALLORY R. NELSON</v>
      </c>
    </row>
    <row r="1534" spans="1:9" x14ac:dyDescent="0.25">
      <c r="A1534" s="6">
        <v>44586</v>
      </c>
      <c r="B1534" t="s">
        <v>26</v>
      </c>
      <c r="C1534">
        <v>68679</v>
      </c>
      <c r="D1534" t="s">
        <v>345</v>
      </c>
      <c r="E1534" s="7">
        <v>308</v>
      </c>
      <c r="F1534" t="s">
        <v>20</v>
      </c>
      <c r="G1534" t="s">
        <v>21</v>
      </c>
      <c r="H1534" t="str">
        <f>"1/24/2022"</f>
        <v>1/24/2022</v>
      </c>
      <c r="I1534" t="str">
        <f>"MICHAEL ISAAC MARTINEZ"</f>
        <v>MICHAEL ISAAC MARTINEZ</v>
      </c>
    </row>
    <row r="1535" spans="1:9" x14ac:dyDescent="0.25">
      <c r="A1535" s="6">
        <v>44586</v>
      </c>
      <c r="B1535" t="s">
        <v>26</v>
      </c>
      <c r="C1535">
        <v>68680</v>
      </c>
      <c r="D1535" t="s">
        <v>1140</v>
      </c>
      <c r="E1535" s="7">
        <v>125</v>
      </c>
      <c r="F1535" t="s">
        <v>20</v>
      </c>
      <c r="G1535" t="s">
        <v>21</v>
      </c>
      <c r="H1535" t="str">
        <f>"1/22/2022"</f>
        <v>1/22/2022</v>
      </c>
      <c r="I1535" t="str">
        <f>"MIRANDA ESTRADA"</f>
        <v>MIRANDA ESTRADA</v>
      </c>
    </row>
    <row r="1536" spans="1:9" x14ac:dyDescent="0.25">
      <c r="A1536" s="6">
        <v>44586</v>
      </c>
      <c r="B1536" t="s">
        <v>26</v>
      </c>
      <c r="C1536">
        <v>68681</v>
      </c>
      <c r="D1536" t="s">
        <v>137</v>
      </c>
      <c r="E1536" s="7">
        <v>51.95</v>
      </c>
      <c r="F1536" t="s">
        <v>20</v>
      </c>
      <c r="G1536" t="s">
        <v>21</v>
      </c>
      <c r="H1536" t="str">
        <f>"32638"</f>
        <v>32638</v>
      </c>
      <c r="I1536" t="str">
        <f>"OMNIBUS-M  INC.D.B.A."</f>
        <v>OMNIBUS-M  INC.D.B.A.</v>
      </c>
    </row>
    <row r="1537" spans="1:9" x14ac:dyDescent="0.25">
      <c r="A1537" s="6">
        <v>44586</v>
      </c>
      <c r="B1537" t="s">
        <v>26</v>
      </c>
      <c r="C1537">
        <v>68681</v>
      </c>
      <c r="D1537" t="s">
        <v>137</v>
      </c>
      <c r="E1537" s="7">
        <v>69.95</v>
      </c>
      <c r="F1537" t="s">
        <v>20</v>
      </c>
      <c r="G1537" t="s">
        <v>21</v>
      </c>
      <c r="H1537" t="str">
        <f>"32639"</f>
        <v>32639</v>
      </c>
      <c r="I1537" t="str">
        <f>"OMNIBUS-M  INC.D.B.A."</f>
        <v>OMNIBUS-M  INC.D.B.A.</v>
      </c>
    </row>
    <row r="1538" spans="1:9" x14ac:dyDescent="0.25">
      <c r="A1538" s="6">
        <v>44586</v>
      </c>
      <c r="B1538" t="s">
        <v>26</v>
      </c>
      <c r="C1538">
        <v>68682</v>
      </c>
      <c r="D1538" t="s">
        <v>630</v>
      </c>
      <c r="E1538" s="7">
        <v>750.76</v>
      </c>
      <c r="F1538" t="s">
        <v>20</v>
      </c>
      <c r="G1538" t="s">
        <v>21</v>
      </c>
      <c r="H1538" t="str">
        <f>"41600"</f>
        <v>41600</v>
      </c>
      <c r="I1538" t="str">
        <f>"WATER METER"</f>
        <v>WATER METER</v>
      </c>
    </row>
    <row r="1539" spans="1:9" x14ac:dyDescent="0.25">
      <c r="A1539" s="6">
        <v>44586</v>
      </c>
      <c r="B1539" t="s">
        <v>26</v>
      </c>
      <c r="C1539">
        <v>68683</v>
      </c>
      <c r="D1539" t="s">
        <v>339</v>
      </c>
      <c r="E1539" s="7">
        <v>289.95</v>
      </c>
      <c r="F1539" t="s">
        <v>20</v>
      </c>
      <c r="G1539" t="s">
        <v>21</v>
      </c>
      <c r="H1539" t="str">
        <f>"832155"</f>
        <v>832155</v>
      </c>
      <c r="I1539" t="str">
        <f>"SOUTHWEST PUBLIC SAFETY"</f>
        <v>SOUTHWEST PUBLIC SAFETY</v>
      </c>
    </row>
    <row r="1540" spans="1:9" x14ac:dyDescent="0.25">
      <c r="A1540" s="6">
        <v>44586</v>
      </c>
      <c r="B1540" t="s">
        <v>26</v>
      </c>
      <c r="C1540">
        <v>68684</v>
      </c>
      <c r="D1540" t="s">
        <v>84</v>
      </c>
      <c r="E1540" s="7">
        <v>661</v>
      </c>
      <c r="F1540" t="s">
        <v>20</v>
      </c>
      <c r="G1540" t="s">
        <v>21</v>
      </c>
      <c r="H1540" t="str">
        <f>"1837692"</f>
        <v>1837692</v>
      </c>
      <c r="I1540" t="str">
        <f>"STANTEC CONSULTING SERVICES IN"</f>
        <v>STANTEC CONSULTING SERVICES IN</v>
      </c>
    </row>
    <row r="1541" spans="1:9" x14ac:dyDescent="0.25">
      <c r="A1541" s="6">
        <v>44586</v>
      </c>
      <c r="B1541" t="s">
        <v>26</v>
      </c>
      <c r="C1541">
        <v>68684</v>
      </c>
      <c r="D1541" t="s">
        <v>84</v>
      </c>
      <c r="E1541" s="7">
        <v>1629</v>
      </c>
      <c r="F1541" t="s">
        <v>20</v>
      </c>
      <c r="G1541" t="s">
        <v>21</v>
      </c>
      <c r="H1541" t="str">
        <f>"1837693"</f>
        <v>1837693</v>
      </c>
      <c r="I1541" t="str">
        <f>"STANTEC CONSULTING SERVICES IN"</f>
        <v>STANTEC CONSULTING SERVICES IN</v>
      </c>
    </row>
    <row r="1542" spans="1:9" x14ac:dyDescent="0.25">
      <c r="A1542" s="6">
        <v>44586</v>
      </c>
      <c r="B1542" t="s">
        <v>26</v>
      </c>
      <c r="C1542">
        <v>68684</v>
      </c>
      <c r="D1542" t="s">
        <v>84</v>
      </c>
      <c r="E1542" s="7">
        <v>300</v>
      </c>
      <c r="F1542" t="s">
        <v>20</v>
      </c>
      <c r="G1542" t="s">
        <v>21</v>
      </c>
      <c r="H1542" t="str">
        <f>"1839301"</f>
        <v>1839301</v>
      </c>
      <c r="I1542" t="str">
        <f>"STANTEC CONSULTING SERVICES IN"</f>
        <v>STANTEC CONSULTING SERVICES IN</v>
      </c>
    </row>
    <row r="1543" spans="1:9" x14ac:dyDescent="0.25">
      <c r="A1543" s="6">
        <v>44586</v>
      </c>
      <c r="B1543" t="s">
        <v>26</v>
      </c>
      <c r="C1543">
        <v>68685</v>
      </c>
      <c r="D1543" t="s">
        <v>698</v>
      </c>
      <c r="E1543" s="7">
        <v>120</v>
      </c>
      <c r="F1543" t="s">
        <v>20</v>
      </c>
      <c r="G1543" t="s">
        <v>21</v>
      </c>
      <c r="H1543" t="str">
        <f>"1/22/2022"</f>
        <v>1/22/2022</v>
      </c>
      <c r="I1543" t="str">
        <f>"TRACY ORTIZ"</f>
        <v>TRACY ORTIZ</v>
      </c>
    </row>
    <row r="1544" spans="1:9" x14ac:dyDescent="0.25">
      <c r="A1544" s="6">
        <v>44586</v>
      </c>
      <c r="B1544" t="s">
        <v>26</v>
      </c>
      <c r="C1544">
        <v>68686</v>
      </c>
      <c r="D1544" t="s">
        <v>61</v>
      </c>
      <c r="E1544" s="7">
        <v>3027.04</v>
      </c>
      <c r="F1544" t="s">
        <v>20</v>
      </c>
      <c r="G1544" t="s">
        <v>21</v>
      </c>
      <c r="H1544" t="str">
        <f>"025-357784"</f>
        <v>025-357784</v>
      </c>
      <c r="I1544" t="str">
        <f>"TYLER TECHNOLOGIES  INC."</f>
        <v>TYLER TECHNOLOGIES  INC.</v>
      </c>
    </row>
    <row r="1545" spans="1:9" x14ac:dyDescent="0.25">
      <c r="A1545" s="6">
        <v>44586</v>
      </c>
      <c r="B1545" t="s">
        <v>26</v>
      </c>
      <c r="C1545">
        <v>68686</v>
      </c>
      <c r="D1545" t="s">
        <v>61</v>
      </c>
      <c r="E1545" s="7">
        <v>1316</v>
      </c>
      <c r="F1545" t="s">
        <v>20</v>
      </c>
      <c r="G1545" t="s">
        <v>21</v>
      </c>
      <c r="H1545" t="str">
        <f>"025-365323"</f>
        <v>025-365323</v>
      </c>
      <c r="I1545" t="str">
        <f>"TYLER TECHNOLOGIES  INC."</f>
        <v>TYLER TECHNOLOGIES  INC.</v>
      </c>
    </row>
    <row r="1546" spans="1:9" x14ac:dyDescent="0.25">
      <c r="A1546" s="6">
        <v>44586</v>
      </c>
      <c r="B1546" t="s">
        <v>26</v>
      </c>
      <c r="C1546">
        <v>68686</v>
      </c>
      <c r="D1546" t="s">
        <v>61</v>
      </c>
      <c r="E1546" s="7">
        <v>1188.75</v>
      </c>
      <c r="F1546" t="s">
        <v>20</v>
      </c>
      <c r="G1546" t="s">
        <v>21</v>
      </c>
      <c r="H1546" t="str">
        <f>"025362760"</f>
        <v>025362760</v>
      </c>
      <c r="I1546" t="str">
        <f>"TYLER TECHNOLOGIES  INC."</f>
        <v>TYLER TECHNOLOGIES  INC.</v>
      </c>
    </row>
    <row r="1547" spans="1:9" x14ac:dyDescent="0.25">
      <c r="A1547" s="6">
        <v>44586</v>
      </c>
      <c r="B1547" t="s">
        <v>26</v>
      </c>
      <c r="C1547">
        <v>68688</v>
      </c>
      <c r="D1547" t="s">
        <v>644</v>
      </c>
      <c r="E1547" s="7">
        <v>130.55000000000001</v>
      </c>
      <c r="F1547" t="s">
        <v>20</v>
      </c>
      <c r="G1547" t="s">
        <v>21</v>
      </c>
      <c r="H1547" t="str">
        <f>"8213686836"</f>
        <v>8213686836</v>
      </c>
      <c r="I1547" t="str">
        <f t="shared" ref="I1547:I1552" si="37">"UNIFIRST CORPORATION"</f>
        <v>UNIFIRST CORPORATION</v>
      </c>
    </row>
    <row r="1548" spans="1:9" x14ac:dyDescent="0.25">
      <c r="A1548" s="6">
        <v>44586</v>
      </c>
      <c r="B1548" t="s">
        <v>26</v>
      </c>
      <c r="C1548">
        <v>68688</v>
      </c>
      <c r="D1548" t="s">
        <v>644</v>
      </c>
      <c r="E1548" s="7">
        <v>26.49</v>
      </c>
      <c r="F1548" t="s">
        <v>20</v>
      </c>
      <c r="G1548" t="s">
        <v>21</v>
      </c>
      <c r="H1548" t="str">
        <f>"8213686837"</f>
        <v>8213686837</v>
      </c>
      <c r="I1548" t="str">
        <f t="shared" si="37"/>
        <v>UNIFIRST CORPORATION</v>
      </c>
    </row>
    <row r="1549" spans="1:9" x14ac:dyDescent="0.25">
      <c r="A1549" s="6">
        <v>44586</v>
      </c>
      <c r="B1549" t="s">
        <v>26</v>
      </c>
      <c r="C1549">
        <v>68688</v>
      </c>
      <c r="D1549" t="s">
        <v>644</v>
      </c>
      <c r="E1549" s="7">
        <v>145.80000000000001</v>
      </c>
      <c r="F1549" t="s">
        <v>20</v>
      </c>
      <c r="G1549" t="s">
        <v>21</v>
      </c>
      <c r="H1549" t="str">
        <f>"8213686838"</f>
        <v>8213686838</v>
      </c>
      <c r="I1549" t="str">
        <f t="shared" si="37"/>
        <v>UNIFIRST CORPORATION</v>
      </c>
    </row>
    <row r="1550" spans="1:9" x14ac:dyDescent="0.25">
      <c r="A1550" s="6">
        <v>44586</v>
      </c>
      <c r="B1550" t="s">
        <v>26</v>
      </c>
      <c r="C1550">
        <v>68688</v>
      </c>
      <c r="D1550" t="s">
        <v>644</v>
      </c>
      <c r="E1550" s="7">
        <v>124.5</v>
      </c>
      <c r="F1550" t="s">
        <v>20</v>
      </c>
      <c r="G1550" t="s">
        <v>21</v>
      </c>
      <c r="H1550" t="str">
        <f>"8213686839"</f>
        <v>8213686839</v>
      </c>
      <c r="I1550" t="str">
        <f t="shared" si="37"/>
        <v>UNIFIRST CORPORATION</v>
      </c>
    </row>
    <row r="1551" spans="1:9" x14ac:dyDescent="0.25">
      <c r="A1551" s="6">
        <v>44586</v>
      </c>
      <c r="B1551" t="s">
        <v>26</v>
      </c>
      <c r="C1551">
        <v>68688</v>
      </c>
      <c r="D1551" t="s">
        <v>644</v>
      </c>
      <c r="E1551" s="7">
        <v>95.04</v>
      </c>
      <c r="F1551" t="s">
        <v>20</v>
      </c>
      <c r="G1551" t="s">
        <v>21</v>
      </c>
      <c r="H1551" t="str">
        <f>"8213686841"</f>
        <v>8213686841</v>
      </c>
      <c r="I1551" t="str">
        <f t="shared" si="37"/>
        <v>UNIFIRST CORPORATION</v>
      </c>
    </row>
    <row r="1552" spans="1:9" x14ac:dyDescent="0.25">
      <c r="A1552" s="6">
        <v>44586</v>
      </c>
      <c r="B1552" t="s">
        <v>26</v>
      </c>
      <c r="C1552">
        <v>68688</v>
      </c>
      <c r="D1552" t="s">
        <v>644</v>
      </c>
      <c r="E1552" s="7">
        <v>26.49</v>
      </c>
      <c r="F1552" t="s">
        <v>20</v>
      </c>
      <c r="G1552" t="s">
        <v>21</v>
      </c>
      <c r="H1552" t="str">
        <f>"8213686842"</f>
        <v>8213686842</v>
      </c>
      <c r="I1552" t="str">
        <f t="shared" si="37"/>
        <v>UNIFIRST CORPORATION</v>
      </c>
    </row>
    <row r="1553" spans="1:9" x14ac:dyDescent="0.25">
      <c r="A1553" s="6">
        <v>44586</v>
      </c>
      <c r="B1553" t="s">
        <v>26</v>
      </c>
      <c r="C1553">
        <v>68690</v>
      </c>
      <c r="D1553" t="s">
        <v>203</v>
      </c>
      <c r="E1553" s="7">
        <v>856.94</v>
      </c>
      <c r="F1553" t="s">
        <v>20</v>
      </c>
      <c r="G1553" t="s">
        <v>21</v>
      </c>
      <c r="H1553" t="str">
        <f>"839988"</f>
        <v>839988</v>
      </c>
      <c r="I1553" t="str">
        <f>"WWTP SUPPLIES"</f>
        <v>WWTP SUPPLIES</v>
      </c>
    </row>
    <row r="1554" spans="1:9" x14ac:dyDescent="0.25">
      <c r="A1554" s="6">
        <v>44586</v>
      </c>
      <c r="B1554" t="s">
        <v>26</v>
      </c>
      <c r="C1554">
        <v>68691</v>
      </c>
      <c r="D1554" t="s">
        <v>202</v>
      </c>
      <c r="E1554" s="7">
        <v>2194.69</v>
      </c>
      <c r="F1554" t="s">
        <v>20</v>
      </c>
      <c r="G1554" t="s">
        <v>21</v>
      </c>
      <c r="H1554" t="str">
        <f>"62406933"</f>
        <v>62406933</v>
      </c>
      <c r="I1554" t="str">
        <f>"A-2 BASE AND TYPE D COLD"</f>
        <v>A-2 BASE AND TYPE D COLD</v>
      </c>
    </row>
    <row r="1555" spans="1:9" x14ac:dyDescent="0.25">
      <c r="A1555" s="6">
        <v>44586</v>
      </c>
      <c r="B1555" t="s">
        <v>26</v>
      </c>
      <c r="C1555">
        <v>68692</v>
      </c>
      <c r="D1555" t="s">
        <v>1156</v>
      </c>
      <c r="E1555" s="7">
        <v>111</v>
      </c>
      <c r="F1555" t="s">
        <v>20</v>
      </c>
      <c r="G1555" t="s">
        <v>21</v>
      </c>
      <c r="H1555" t="str">
        <f>"1101"</f>
        <v>1101</v>
      </c>
      <c r="I1555" t="str">
        <f>"WILSON COUNTY CLERK  EVA S. MA"</f>
        <v>WILSON COUNTY CLERK  EVA S. MA</v>
      </c>
    </row>
    <row r="1556" spans="1:9" x14ac:dyDescent="0.25">
      <c r="A1556" s="6">
        <v>44587</v>
      </c>
      <c r="B1556" t="s">
        <v>26</v>
      </c>
      <c r="C1556">
        <v>68693</v>
      </c>
      <c r="D1556" t="s">
        <v>81</v>
      </c>
      <c r="E1556" s="7">
        <v>200</v>
      </c>
      <c r="F1556" t="s">
        <v>20</v>
      </c>
      <c r="G1556" t="s">
        <v>21</v>
      </c>
      <c r="H1556" t="str">
        <f>"PD 0001"</f>
        <v>PD 0001</v>
      </c>
      <c r="I1556" t="str">
        <f>"CITY OF FLORESVILLE -PETTY CAS"</f>
        <v>CITY OF FLORESVILLE -PETTY CAS</v>
      </c>
    </row>
    <row r="1557" spans="1:9" x14ac:dyDescent="0.25">
      <c r="A1557" s="6">
        <v>44587</v>
      </c>
      <c r="B1557" t="s">
        <v>26</v>
      </c>
      <c r="C1557">
        <v>68694</v>
      </c>
      <c r="D1557" t="s">
        <v>283</v>
      </c>
      <c r="E1557" s="7">
        <v>945</v>
      </c>
      <c r="F1557" t="s">
        <v>20</v>
      </c>
      <c r="G1557" t="s">
        <v>21</v>
      </c>
      <c r="H1557" t="str">
        <f>"1/28/2022 CPR CLS"</f>
        <v>1/28/2022 CPR CLS</v>
      </c>
      <c r="I1557" t="str">
        <f>"WILSON COUNTY EMS"</f>
        <v>WILSON COUNTY EMS</v>
      </c>
    </row>
    <row r="1558" spans="1:9" x14ac:dyDescent="0.25">
      <c r="A1558" s="6">
        <v>44587</v>
      </c>
      <c r="B1558" t="s">
        <v>26</v>
      </c>
      <c r="C1558">
        <v>68695</v>
      </c>
      <c r="D1558" t="s">
        <v>1157</v>
      </c>
      <c r="E1558" s="7">
        <v>495</v>
      </c>
      <c r="F1558" t="s">
        <v>20</v>
      </c>
      <c r="G1558" t="s">
        <v>21</v>
      </c>
      <c r="H1558" t="str">
        <f>"2022 SA WAGE SRVY"</f>
        <v>2022 SA WAGE SRVY</v>
      </c>
      <c r="I1558" t="str">
        <f>"WERLING ASSOCIATES  INC."</f>
        <v>WERLING ASSOCIATES  INC.</v>
      </c>
    </row>
    <row r="1559" spans="1:9" x14ac:dyDescent="0.25">
      <c r="A1559" s="6">
        <v>44593</v>
      </c>
      <c r="B1559" t="s">
        <v>26</v>
      </c>
      <c r="C1559">
        <v>68696</v>
      </c>
      <c r="D1559" t="s">
        <v>81</v>
      </c>
      <c r="E1559" s="7">
        <v>107.11</v>
      </c>
      <c r="F1559" t="s">
        <v>20</v>
      </c>
      <c r="G1559" t="s">
        <v>21</v>
      </c>
      <c r="H1559" t="str">
        <f>"REISSUED A.MONTOYA"</f>
        <v>REISSUED A.MONTOYA</v>
      </c>
      <c r="I1559" t="str">
        <f>"CITY OF FLORESVILLE -PETTY CAS"</f>
        <v>CITY OF FLORESVILLE -PETTY CAS</v>
      </c>
    </row>
    <row r="1560" spans="1:9" x14ac:dyDescent="0.25">
      <c r="A1560" s="6">
        <v>44593</v>
      </c>
      <c r="B1560" t="s">
        <v>26</v>
      </c>
      <c r="C1560">
        <v>68697</v>
      </c>
      <c r="D1560" t="s">
        <v>92</v>
      </c>
      <c r="E1560" s="7">
        <v>17712.05</v>
      </c>
      <c r="F1560" t="s">
        <v>20</v>
      </c>
      <c r="G1560" t="s">
        <v>21</v>
      </c>
      <c r="H1560" t="str">
        <f>"RET202201118638"</f>
        <v>RET202201118638</v>
      </c>
      <c r="I1560" t="str">
        <f>"TMRS CITY OF FLORESVILLE"</f>
        <v>TMRS CITY OF FLORESVILLE</v>
      </c>
    </row>
    <row r="1561" spans="1:9" x14ac:dyDescent="0.25">
      <c r="A1561" s="6">
        <v>44593</v>
      </c>
      <c r="B1561" t="s">
        <v>26</v>
      </c>
      <c r="C1561">
        <v>68697</v>
      </c>
      <c r="D1561" t="s">
        <v>92</v>
      </c>
      <c r="E1561" s="7">
        <v>17082.78</v>
      </c>
      <c r="F1561" t="s">
        <v>20</v>
      </c>
      <c r="G1561" t="s">
        <v>21</v>
      </c>
      <c r="H1561" t="str">
        <f>"RET202201258639"</f>
        <v>RET202201258639</v>
      </c>
      <c r="I1561" t="str">
        <f>"TMRS CITY OF FLORESVILLE"</f>
        <v>TMRS CITY OF FLORESVILLE</v>
      </c>
    </row>
    <row r="1562" spans="1:9" x14ac:dyDescent="0.25">
      <c r="A1562" s="6">
        <v>44593</v>
      </c>
      <c r="B1562" t="s">
        <v>26</v>
      </c>
      <c r="C1562">
        <v>68701</v>
      </c>
      <c r="D1562" t="s">
        <v>1074</v>
      </c>
      <c r="E1562" s="7">
        <v>50.99</v>
      </c>
      <c r="F1562" t="s">
        <v>20</v>
      </c>
      <c r="G1562" t="s">
        <v>21</v>
      </c>
      <c r="H1562" t="str">
        <f>"13DQ-FKPM-Q61Y"</f>
        <v>13DQ-FKPM-Q61Y</v>
      </c>
      <c r="I1562" t="str">
        <f>"AMAZON CAPITAL SERVICES"</f>
        <v>AMAZON CAPITAL SERVICES</v>
      </c>
    </row>
    <row r="1563" spans="1:9" x14ac:dyDescent="0.25">
      <c r="A1563" s="6">
        <v>44593</v>
      </c>
      <c r="B1563" t="s">
        <v>26</v>
      </c>
      <c r="C1563">
        <v>68701</v>
      </c>
      <c r="D1563" t="s">
        <v>1074</v>
      </c>
      <c r="E1563" s="7">
        <v>101.88</v>
      </c>
      <c r="F1563" t="s">
        <v>20</v>
      </c>
      <c r="G1563" t="s">
        <v>21</v>
      </c>
      <c r="H1563" t="str">
        <f>"167H-CX31-PY7Y"</f>
        <v>167H-CX31-PY7Y</v>
      </c>
      <c r="I1563" t="str">
        <f>"AMAZON CAPITAL SERVICES"</f>
        <v>AMAZON CAPITAL SERVICES</v>
      </c>
    </row>
    <row r="1564" spans="1:9" x14ac:dyDescent="0.25">
      <c r="A1564" s="6">
        <v>44593</v>
      </c>
      <c r="B1564" t="s">
        <v>26</v>
      </c>
      <c r="C1564">
        <v>68701</v>
      </c>
      <c r="D1564" t="s">
        <v>1074</v>
      </c>
      <c r="E1564" s="7">
        <v>80.97</v>
      </c>
      <c r="F1564" t="s">
        <v>20</v>
      </c>
      <c r="G1564" t="s">
        <v>21</v>
      </c>
      <c r="H1564" t="str">
        <f>"1RTG-MF1X-PFHC"</f>
        <v>1RTG-MF1X-PFHC</v>
      </c>
      <c r="I1564" t="str">
        <f>"AMAZON CAPITAL SERVICES"</f>
        <v>AMAZON CAPITAL SERVICES</v>
      </c>
    </row>
    <row r="1565" spans="1:9" x14ac:dyDescent="0.25">
      <c r="A1565" s="6">
        <v>44593</v>
      </c>
      <c r="B1565" t="s">
        <v>26</v>
      </c>
      <c r="C1565">
        <v>68701</v>
      </c>
      <c r="D1565" t="s">
        <v>1074</v>
      </c>
      <c r="E1565" s="7">
        <v>59.94</v>
      </c>
      <c r="F1565" t="s">
        <v>20</v>
      </c>
      <c r="G1565" t="s">
        <v>21</v>
      </c>
      <c r="H1565" t="str">
        <f>"IJ3H-MRW4-PJ49"</f>
        <v>IJ3H-MRW4-PJ49</v>
      </c>
      <c r="I1565" t="str">
        <f>"PLANNERS"</f>
        <v>PLANNERS</v>
      </c>
    </row>
    <row r="1566" spans="1:9" x14ac:dyDescent="0.25">
      <c r="A1566" s="6">
        <v>44593</v>
      </c>
      <c r="B1566" t="s">
        <v>26</v>
      </c>
      <c r="C1566">
        <v>68702</v>
      </c>
      <c r="D1566" t="s">
        <v>83</v>
      </c>
      <c r="E1566" s="7">
        <v>1080</v>
      </c>
      <c r="F1566" t="s">
        <v>20</v>
      </c>
      <c r="G1566" t="s">
        <v>21</v>
      </c>
      <c r="H1566" t="str">
        <f>"189002"</f>
        <v>189002</v>
      </c>
      <c r="I1566" t="str">
        <f>"APPRIVER"</f>
        <v>APPRIVER</v>
      </c>
    </row>
    <row r="1567" spans="1:9" x14ac:dyDescent="0.25">
      <c r="A1567" s="6">
        <v>44593</v>
      </c>
      <c r="B1567" t="s">
        <v>26</v>
      </c>
      <c r="C1567">
        <v>68703</v>
      </c>
      <c r="D1567" t="s">
        <v>189</v>
      </c>
      <c r="E1567" s="7">
        <v>5316.1</v>
      </c>
      <c r="F1567" t="s">
        <v>20</v>
      </c>
      <c r="G1567" t="s">
        <v>21</v>
      </c>
      <c r="H1567" t="str">
        <f>"SWO215842.-1"</f>
        <v>SWO215842.-1</v>
      </c>
      <c r="I1567" t="str">
        <f>"FRONT LOADER REPAIR"</f>
        <v>FRONT LOADER REPAIR</v>
      </c>
    </row>
    <row r="1568" spans="1:9" x14ac:dyDescent="0.25">
      <c r="A1568" s="6">
        <v>44593</v>
      </c>
      <c r="B1568" t="s">
        <v>26</v>
      </c>
      <c r="C1568">
        <v>68704</v>
      </c>
      <c r="D1568" t="s">
        <v>316</v>
      </c>
      <c r="E1568" s="7">
        <v>32941.75</v>
      </c>
      <c r="F1568" t="s">
        <v>20</v>
      </c>
      <c r="G1568" t="s">
        <v>21</v>
      </c>
      <c r="H1568" t="str">
        <f>"1URF68QGT8"</f>
        <v>1URF68QGT8</v>
      </c>
      <c r="I1568" t="str">
        <f>"BANK OF AMERICA NA"</f>
        <v>BANK OF AMERICA NA</v>
      </c>
    </row>
    <row r="1569" spans="1:9" x14ac:dyDescent="0.25">
      <c r="A1569" s="6">
        <v>44593</v>
      </c>
      <c r="B1569" t="s">
        <v>26</v>
      </c>
      <c r="C1569">
        <v>68705</v>
      </c>
      <c r="D1569" t="s">
        <v>836</v>
      </c>
      <c r="E1569" s="7">
        <v>1375.86</v>
      </c>
      <c r="F1569" t="s">
        <v>20</v>
      </c>
      <c r="G1569" t="s">
        <v>21</v>
      </c>
      <c r="H1569" t="str">
        <f>"82039"</f>
        <v>82039</v>
      </c>
      <c r="I1569" t="str">
        <f>"NEW COMPUTER"</f>
        <v>NEW COMPUTER</v>
      </c>
    </row>
    <row r="1570" spans="1:9" x14ac:dyDescent="0.25">
      <c r="A1570" s="6">
        <v>44593</v>
      </c>
      <c r="B1570" t="s">
        <v>26</v>
      </c>
      <c r="C1570">
        <v>68705</v>
      </c>
      <c r="D1570" t="s">
        <v>836</v>
      </c>
      <c r="E1570" s="7">
        <v>275.98</v>
      </c>
      <c r="F1570" t="s">
        <v>20</v>
      </c>
      <c r="G1570" t="s">
        <v>21</v>
      </c>
      <c r="H1570" t="str">
        <f>"82040"</f>
        <v>82040</v>
      </c>
      <c r="I1570" t="str">
        <f>"INTERNAL DRIVE UPDATE"</f>
        <v>INTERNAL DRIVE UPDATE</v>
      </c>
    </row>
    <row r="1571" spans="1:9" x14ac:dyDescent="0.25">
      <c r="A1571" s="6">
        <v>44593</v>
      </c>
      <c r="B1571" t="s">
        <v>26</v>
      </c>
      <c r="C1571">
        <v>68706</v>
      </c>
      <c r="D1571" t="s">
        <v>1063</v>
      </c>
      <c r="E1571" s="7">
        <v>2536.92</v>
      </c>
      <c r="F1571" t="s">
        <v>20</v>
      </c>
      <c r="G1571" t="s">
        <v>21</v>
      </c>
      <c r="H1571" t="str">
        <f>"18031158"</f>
        <v>18031158</v>
      </c>
      <c r="I1571" t="str">
        <f>"COLD MIX"</f>
        <v>COLD MIX</v>
      </c>
    </row>
    <row r="1572" spans="1:9" x14ac:dyDescent="0.25">
      <c r="A1572" s="6">
        <v>44593</v>
      </c>
      <c r="B1572" t="s">
        <v>26</v>
      </c>
      <c r="C1572">
        <v>68707</v>
      </c>
      <c r="D1572" t="s">
        <v>1155</v>
      </c>
      <c r="E1572" s="7">
        <v>74.75</v>
      </c>
      <c r="F1572" t="s">
        <v>20</v>
      </c>
      <c r="G1572" t="s">
        <v>21</v>
      </c>
      <c r="H1572" t="str">
        <f>"13-32196"</f>
        <v>13-32196</v>
      </c>
      <c r="I1572" t="str">
        <f>"SAFETY LANYARD"</f>
        <v>SAFETY LANYARD</v>
      </c>
    </row>
    <row r="1573" spans="1:9" x14ac:dyDescent="0.25">
      <c r="A1573" s="6">
        <v>44593</v>
      </c>
      <c r="B1573" t="s">
        <v>26</v>
      </c>
      <c r="C1573">
        <v>68708</v>
      </c>
      <c r="D1573" t="s">
        <v>71</v>
      </c>
      <c r="E1573" s="7">
        <v>540.88</v>
      </c>
      <c r="F1573" t="s">
        <v>20</v>
      </c>
      <c r="G1573" t="s">
        <v>21</v>
      </c>
      <c r="H1573" t="str">
        <f>"4105146528"</f>
        <v>4105146528</v>
      </c>
      <c r="I1573" t="str">
        <f t="shared" ref="I1573:I1586" si="38">"CINTAS CORPORATION #087"</f>
        <v>CINTAS CORPORATION #087</v>
      </c>
    </row>
    <row r="1574" spans="1:9" x14ac:dyDescent="0.25">
      <c r="A1574" s="6">
        <v>44593</v>
      </c>
      <c r="B1574" t="s">
        <v>26</v>
      </c>
      <c r="C1574">
        <v>68708</v>
      </c>
      <c r="D1574" t="s">
        <v>71</v>
      </c>
      <c r="E1574" s="7">
        <v>129.43</v>
      </c>
      <c r="F1574" t="s">
        <v>20</v>
      </c>
      <c r="G1574" t="s">
        <v>21</v>
      </c>
      <c r="H1574" t="str">
        <f>"410515880"</f>
        <v>410515880</v>
      </c>
      <c r="I1574" t="str">
        <f t="shared" si="38"/>
        <v>CINTAS CORPORATION #087</v>
      </c>
    </row>
    <row r="1575" spans="1:9" x14ac:dyDescent="0.25">
      <c r="A1575" s="6">
        <v>44593</v>
      </c>
      <c r="B1575" t="s">
        <v>26</v>
      </c>
      <c r="C1575">
        <v>68708</v>
      </c>
      <c r="D1575" t="s">
        <v>71</v>
      </c>
      <c r="E1575" s="7">
        <v>30.26</v>
      </c>
      <c r="F1575" t="s">
        <v>20</v>
      </c>
      <c r="G1575" t="s">
        <v>21</v>
      </c>
      <c r="H1575" t="str">
        <f>"4107818637"</f>
        <v>4107818637</v>
      </c>
      <c r="I1575" t="str">
        <f t="shared" si="38"/>
        <v>CINTAS CORPORATION #087</v>
      </c>
    </row>
    <row r="1576" spans="1:9" x14ac:dyDescent="0.25">
      <c r="A1576" s="6">
        <v>44593</v>
      </c>
      <c r="B1576" t="s">
        <v>26</v>
      </c>
      <c r="C1576">
        <v>68708</v>
      </c>
      <c r="D1576" t="s">
        <v>71</v>
      </c>
      <c r="E1576" s="7">
        <v>54.76</v>
      </c>
      <c r="F1576" t="s">
        <v>20</v>
      </c>
      <c r="G1576" t="s">
        <v>21</v>
      </c>
      <c r="H1576" t="str">
        <f>"4107818683"</f>
        <v>4107818683</v>
      </c>
      <c r="I1576" t="str">
        <f t="shared" si="38"/>
        <v>CINTAS CORPORATION #087</v>
      </c>
    </row>
    <row r="1577" spans="1:9" x14ac:dyDescent="0.25">
      <c r="A1577" s="6">
        <v>44593</v>
      </c>
      <c r="B1577" t="s">
        <v>26</v>
      </c>
      <c r="C1577">
        <v>68708</v>
      </c>
      <c r="D1577" t="s">
        <v>71</v>
      </c>
      <c r="E1577" s="7">
        <v>35.700000000000003</v>
      </c>
      <c r="F1577" t="s">
        <v>20</v>
      </c>
      <c r="G1577" t="s">
        <v>21</v>
      </c>
      <c r="H1577" t="str">
        <f>"4107818696"</f>
        <v>4107818696</v>
      </c>
      <c r="I1577" t="str">
        <f t="shared" si="38"/>
        <v>CINTAS CORPORATION #087</v>
      </c>
    </row>
    <row r="1578" spans="1:9" x14ac:dyDescent="0.25">
      <c r="A1578" s="6">
        <v>44593</v>
      </c>
      <c r="B1578" t="s">
        <v>26</v>
      </c>
      <c r="C1578">
        <v>68708</v>
      </c>
      <c r="D1578" t="s">
        <v>71</v>
      </c>
      <c r="E1578" s="7">
        <v>8.9</v>
      </c>
      <c r="F1578" t="s">
        <v>20</v>
      </c>
      <c r="G1578" t="s">
        <v>21</v>
      </c>
      <c r="H1578" t="str">
        <f>"4107818732"</f>
        <v>4107818732</v>
      </c>
      <c r="I1578" t="str">
        <f t="shared" si="38"/>
        <v>CINTAS CORPORATION #087</v>
      </c>
    </row>
    <row r="1579" spans="1:9" x14ac:dyDescent="0.25">
      <c r="A1579" s="6">
        <v>44593</v>
      </c>
      <c r="B1579" t="s">
        <v>26</v>
      </c>
      <c r="C1579">
        <v>68708</v>
      </c>
      <c r="D1579" t="s">
        <v>71</v>
      </c>
      <c r="E1579" s="7">
        <v>584.17999999999995</v>
      </c>
      <c r="F1579" t="s">
        <v>20</v>
      </c>
      <c r="G1579" t="s">
        <v>21</v>
      </c>
      <c r="H1579" t="str">
        <f>"4107818799"</f>
        <v>4107818799</v>
      </c>
      <c r="I1579" t="str">
        <f t="shared" si="38"/>
        <v>CINTAS CORPORATION #087</v>
      </c>
    </row>
    <row r="1580" spans="1:9" x14ac:dyDescent="0.25">
      <c r="A1580" s="6">
        <v>44593</v>
      </c>
      <c r="B1580" t="s">
        <v>26</v>
      </c>
      <c r="C1580">
        <v>68708</v>
      </c>
      <c r="D1580" t="s">
        <v>71</v>
      </c>
      <c r="E1580" s="7">
        <v>30.26</v>
      </c>
      <c r="F1580" t="s">
        <v>20</v>
      </c>
      <c r="G1580" t="s">
        <v>21</v>
      </c>
      <c r="H1580" t="str">
        <f>"4108515851"</f>
        <v>4108515851</v>
      </c>
      <c r="I1580" t="str">
        <f t="shared" si="38"/>
        <v>CINTAS CORPORATION #087</v>
      </c>
    </row>
    <row r="1581" spans="1:9" x14ac:dyDescent="0.25">
      <c r="A1581" s="6">
        <v>44593</v>
      </c>
      <c r="B1581" t="s">
        <v>26</v>
      </c>
      <c r="C1581">
        <v>68708</v>
      </c>
      <c r="D1581" t="s">
        <v>71</v>
      </c>
      <c r="E1581" s="7">
        <v>85.8</v>
      </c>
      <c r="F1581" t="s">
        <v>20</v>
      </c>
      <c r="G1581" t="s">
        <v>21</v>
      </c>
      <c r="H1581" t="str">
        <f>"4108515886"</f>
        <v>4108515886</v>
      </c>
      <c r="I1581" t="str">
        <f t="shared" si="38"/>
        <v>CINTAS CORPORATION #087</v>
      </c>
    </row>
    <row r="1582" spans="1:9" x14ac:dyDescent="0.25">
      <c r="A1582" s="6">
        <v>44593</v>
      </c>
      <c r="B1582" t="s">
        <v>26</v>
      </c>
      <c r="C1582">
        <v>68708</v>
      </c>
      <c r="D1582" t="s">
        <v>71</v>
      </c>
      <c r="E1582" s="7">
        <v>155.83000000000001</v>
      </c>
      <c r="F1582" t="s">
        <v>20</v>
      </c>
      <c r="G1582" t="s">
        <v>21</v>
      </c>
      <c r="H1582" t="str">
        <f>"4108515978"</f>
        <v>4108515978</v>
      </c>
      <c r="I1582" t="str">
        <f t="shared" si="38"/>
        <v>CINTAS CORPORATION #087</v>
      </c>
    </row>
    <row r="1583" spans="1:9" x14ac:dyDescent="0.25">
      <c r="A1583" s="6">
        <v>44593</v>
      </c>
      <c r="B1583" t="s">
        <v>26</v>
      </c>
      <c r="C1583">
        <v>68708</v>
      </c>
      <c r="D1583" t="s">
        <v>71</v>
      </c>
      <c r="E1583" s="7">
        <v>112.71</v>
      </c>
      <c r="F1583" t="s">
        <v>20</v>
      </c>
      <c r="G1583" t="s">
        <v>21</v>
      </c>
      <c r="H1583" t="str">
        <f>"4108515990"</f>
        <v>4108515990</v>
      </c>
      <c r="I1583" t="str">
        <f t="shared" si="38"/>
        <v>CINTAS CORPORATION #087</v>
      </c>
    </row>
    <row r="1584" spans="1:9" x14ac:dyDescent="0.25">
      <c r="A1584" s="6">
        <v>44593</v>
      </c>
      <c r="B1584" t="s">
        <v>26</v>
      </c>
      <c r="C1584">
        <v>68708</v>
      </c>
      <c r="D1584" t="s">
        <v>71</v>
      </c>
      <c r="E1584" s="7">
        <v>232.36</v>
      </c>
      <c r="F1584" t="s">
        <v>20</v>
      </c>
      <c r="G1584" t="s">
        <v>21</v>
      </c>
      <c r="H1584" t="str">
        <f>"4108522940"</f>
        <v>4108522940</v>
      </c>
      <c r="I1584" t="str">
        <f t="shared" si="38"/>
        <v>CINTAS CORPORATION #087</v>
      </c>
    </row>
    <row r="1585" spans="1:9" x14ac:dyDescent="0.25">
      <c r="A1585" s="6">
        <v>44593</v>
      </c>
      <c r="B1585" t="s">
        <v>26</v>
      </c>
      <c r="C1585">
        <v>68708</v>
      </c>
      <c r="D1585" t="s">
        <v>71</v>
      </c>
      <c r="E1585" s="7">
        <v>83.56</v>
      </c>
      <c r="F1585" t="s">
        <v>20</v>
      </c>
      <c r="G1585" t="s">
        <v>21</v>
      </c>
      <c r="H1585" t="str">
        <f>"4108522964"</f>
        <v>4108522964</v>
      </c>
      <c r="I1585" t="str">
        <f t="shared" si="38"/>
        <v>CINTAS CORPORATION #087</v>
      </c>
    </row>
    <row r="1586" spans="1:9" x14ac:dyDescent="0.25">
      <c r="A1586" s="6">
        <v>44593</v>
      </c>
      <c r="B1586" t="s">
        <v>26</v>
      </c>
      <c r="C1586">
        <v>68708</v>
      </c>
      <c r="D1586" t="s">
        <v>71</v>
      </c>
      <c r="E1586" s="7">
        <v>144.01</v>
      </c>
      <c r="F1586" t="s">
        <v>20</v>
      </c>
      <c r="G1586" t="s">
        <v>21</v>
      </c>
      <c r="H1586" t="str">
        <f>"4108522982"</f>
        <v>4108522982</v>
      </c>
      <c r="I1586" t="str">
        <f t="shared" si="38"/>
        <v>CINTAS CORPORATION #087</v>
      </c>
    </row>
    <row r="1587" spans="1:9" x14ac:dyDescent="0.25">
      <c r="A1587" s="6">
        <v>44593</v>
      </c>
      <c r="B1587" t="s">
        <v>26</v>
      </c>
      <c r="C1587">
        <v>68712</v>
      </c>
      <c r="D1587" t="s">
        <v>81</v>
      </c>
      <c r="E1587" s="7">
        <v>493.27</v>
      </c>
      <c r="F1587" t="s">
        <v>20</v>
      </c>
      <c r="G1587" t="s">
        <v>21</v>
      </c>
      <c r="H1587" t="str">
        <f>"1/31/2022 C.PEREZ"</f>
        <v>1/31/2022 C.PEREZ</v>
      </c>
      <c r="I1587" t="str">
        <f>"CITY OF FLORESVILLE -PETTY CAS"</f>
        <v>CITY OF FLORESVILLE -PETTY CAS</v>
      </c>
    </row>
    <row r="1588" spans="1:9" x14ac:dyDescent="0.25">
      <c r="A1588" s="6">
        <v>44593</v>
      </c>
      <c r="B1588" t="s">
        <v>26</v>
      </c>
      <c r="C1588">
        <v>68713</v>
      </c>
      <c r="D1588" t="s">
        <v>1158</v>
      </c>
      <c r="E1588" s="7">
        <v>47</v>
      </c>
      <c r="F1588" t="s">
        <v>20</v>
      </c>
      <c r="G1588" t="s">
        <v>21</v>
      </c>
      <c r="H1588" t="str">
        <f>"59022"</f>
        <v>59022</v>
      </c>
      <c r="I1588" t="str">
        <f>"NAME BADGE"</f>
        <v>NAME BADGE</v>
      </c>
    </row>
    <row r="1589" spans="1:9" x14ac:dyDescent="0.25">
      <c r="A1589" s="6">
        <v>44593</v>
      </c>
      <c r="B1589" t="s">
        <v>26</v>
      </c>
      <c r="C1589">
        <v>68714</v>
      </c>
      <c r="D1589" t="s">
        <v>77</v>
      </c>
      <c r="E1589" s="7">
        <v>641.67999999999995</v>
      </c>
      <c r="F1589" t="s">
        <v>20</v>
      </c>
      <c r="G1589" t="s">
        <v>21</v>
      </c>
      <c r="H1589" t="str">
        <f>"857000057-22"</f>
        <v>857000057-22</v>
      </c>
      <c r="I1589" t="str">
        <f>"DPC INDUSTRIES  INC."</f>
        <v>DPC INDUSTRIES  INC.</v>
      </c>
    </row>
    <row r="1590" spans="1:9" x14ac:dyDescent="0.25">
      <c r="A1590" s="6">
        <v>44593</v>
      </c>
      <c r="B1590" t="s">
        <v>26</v>
      </c>
      <c r="C1590">
        <v>68714</v>
      </c>
      <c r="D1590" t="s">
        <v>77</v>
      </c>
      <c r="E1590" s="7">
        <v>1275.3499999999999</v>
      </c>
      <c r="F1590" t="s">
        <v>20</v>
      </c>
      <c r="G1590" t="s">
        <v>21</v>
      </c>
      <c r="H1590" t="str">
        <f>"857000058-22"</f>
        <v>857000058-22</v>
      </c>
      <c r="I1590" t="str">
        <f>"DPC INDUSTRIES  INC."</f>
        <v>DPC INDUSTRIES  INC.</v>
      </c>
    </row>
    <row r="1591" spans="1:9" x14ac:dyDescent="0.25">
      <c r="A1591" s="6">
        <v>44593</v>
      </c>
      <c r="B1591" t="s">
        <v>26</v>
      </c>
      <c r="C1591">
        <v>68714</v>
      </c>
      <c r="D1591" t="s">
        <v>77</v>
      </c>
      <c r="E1591" s="7">
        <v>958.51</v>
      </c>
      <c r="F1591" t="s">
        <v>20</v>
      </c>
      <c r="G1591" t="s">
        <v>21</v>
      </c>
      <c r="H1591" t="str">
        <f>"857000065-22"</f>
        <v>857000065-22</v>
      </c>
      <c r="I1591" t="str">
        <f>"DPC INDUSTRIES  INC."</f>
        <v>DPC INDUSTRIES  INC.</v>
      </c>
    </row>
    <row r="1592" spans="1:9" x14ac:dyDescent="0.25">
      <c r="A1592" s="6">
        <v>44593</v>
      </c>
      <c r="B1592" t="s">
        <v>26</v>
      </c>
      <c r="C1592">
        <v>68715</v>
      </c>
      <c r="D1592" t="s">
        <v>79</v>
      </c>
      <c r="E1592" s="7">
        <v>11.73</v>
      </c>
      <c r="F1592" t="s">
        <v>20</v>
      </c>
      <c r="G1592" t="s">
        <v>21</v>
      </c>
      <c r="H1592" t="str">
        <f>"7-622-03145"</f>
        <v>7-622-03145</v>
      </c>
      <c r="I1592" t="str">
        <f>"FEDEX"</f>
        <v>FEDEX</v>
      </c>
    </row>
    <row r="1593" spans="1:9" x14ac:dyDescent="0.25">
      <c r="A1593" s="6">
        <v>44593</v>
      </c>
      <c r="B1593" t="s">
        <v>26</v>
      </c>
      <c r="C1593">
        <v>68716</v>
      </c>
      <c r="D1593" t="s">
        <v>59</v>
      </c>
      <c r="E1593" s="7">
        <v>347.42</v>
      </c>
      <c r="F1593" t="s">
        <v>20</v>
      </c>
      <c r="G1593" t="s">
        <v>21</v>
      </c>
      <c r="H1593" t="str">
        <f>"1153333"</f>
        <v>1153333</v>
      </c>
      <c r="I1593" t="str">
        <f>"FERGUSON WATERWORKS - MUNICIPA"</f>
        <v>FERGUSON WATERWORKS - MUNICIPA</v>
      </c>
    </row>
    <row r="1594" spans="1:9" x14ac:dyDescent="0.25">
      <c r="A1594" s="6">
        <v>44593</v>
      </c>
      <c r="B1594" t="s">
        <v>26</v>
      </c>
      <c r="C1594">
        <v>68716</v>
      </c>
      <c r="D1594" t="s">
        <v>59</v>
      </c>
      <c r="E1594" s="7">
        <v>635.4</v>
      </c>
      <c r="F1594" t="s">
        <v>20</v>
      </c>
      <c r="G1594" t="s">
        <v>21</v>
      </c>
      <c r="H1594" t="str">
        <f>"1153455"</f>
        <v>1153455</v>
      </c>
      <c r="I1594" t="str">
        <f>"FERGUSON WATERWORKS - MUNICIPA"</f>
        <v>FERGUSON WATERWORKS - MUNICIPA</v>
      </c>
    </row>
    <row r="1595" spans="1:9" x14ac:dyDescent="0.25">
      <c r="A1595" s="6">
        <v>44593</v>
      </c>
      <c r="B1595" t="s">
        <v>26</v>
      </c>
      <c r="C1595">
        <v>68716</v>
      </c>
      <c r="D1595" t="s">
        <v>59</v>
      </c>
      <c r="E1595" s="7">
        <v>524.85</v>
      </c>
      <c r="F1595" t="s">
        <v>20</v>
      </c>
      <c r="G1595" t="s">
        <v>21</v>
      </c>
      <c r="H1595" t="str">
        <f>"1155745"</f>
        <v>1155745</v>
      </c>
      <c r="I1595" t="str">
        <f>"WATER SUPPLIES"</f>
        <v>WATER SUPPLIES</v>
      </c>
    </row>
    <row r="1596" spans="1:9" x14ac:dyDescent="0.25">
      <c r="A1596" s="6">
        <v>44593</v>
      </c>
      <c r="B1596" t="s">
        <v>26</v>
      </c>
      <c r="C1596">
        <v>68717</v>
      </c>
      <c r="D1596" t="s">
        <v>85</v>
      </c>
      <c r="E1596" s="7">
        <v>36.26</v>
      </c>
      <c r="F1596" t="s">
        <v>20</v>
      </c>
      <c r="G1596" t="s">
        <v>21</v>
      </c>
      <c r="H1596" t="str">
        <f>"3932056 JAN.2022"</f>
        <v>3932056 JAN.2022</v>
      </c>
      <c r="I1596" t="str">
        <f>"FRONTIER"</f>
        <v>FRONTIER</v>
      </c>
    </row>
    <row r="1597" spans="1:9" x14ac:dyDescent="0.25">
      <c r="A1597" s="6">
        <v>44593</v>
      </c>
      <c r="B1597" t="s">
        <v>26</v>
      </c>
      <c r="C1597">
        <v>68717</v>
      </c>
      <c r="D1597" t="s">
        <v>85</v>
      </c>
      <c r="E1597" s="7">
        <v>45.59</v>
      </c>
      <c r="F1597" t="s">
        <v>20</v>
      </c>
      <c r="G1597" t="s">
        <v>21</v>
      </c>
      <c r="H1597" t="str">
        <f>"3933186 JAN.2022"</f>
        <v>3933186 JAN.2022</v>
      </c>
      <c r="I1597" t="str">
        <f>"FRONTIER"</f>
        <v>FRONTIER</v>
      </c>
    </row>
    <row r="1598" spans="1:9" x14ac:dyDescent="0.25">
      <c r="A1598" s="6">
        <v>44593</v>
      </c>
      <c r="B1598" t="s">
        <v>26</v>
      </c>
      <c r="C1598">
        <v>68717</v>
      </c>
      <c r="D1598" t="s">
        <v>85</v>
      </c>
      <c r="E1598" s="7">
        <v>69.760000000000005</v>
      </c>
      <c r="F1598" t="s">
        <v>20</v>
      </c>
      <c r="G1598" t="s">
        <v>21</v>
      </c>
      <c r="H1598" t="str">
        <f>"3936616 JAN.2022"</f>
        <v>3936616 JAN.2022</v>
      </c>
      <c r="I1598" t="str">
        <f>"FRONTIER"</f>
        <v>FRONTIER</v>
      </c>
    </row>
    <row r="1599" spans="1:9" x14ac:dyDescent="0.25">
      <c r="A1599" s="6">
        <v>44593</v>
      </c>
      <c r="B1599" t="s">
        <v>26</v>
      </c>
      <c r="C1599">
        <v>68717</v>
      </c>
      <c r="D1599" t="s">
        <v>85</v>
      </c>
      <c r="E1599" s="7">
        <v>41.58</v>
      </c>
      <c r="F1599" t="s">
        <v>20</v>
      </c>
      <c r="G1599" t="s">
        <v>21</v>
      </c>
      <c r="H1599" t="str">
        <f>"3939456 JAN.2022"</f>
        <v>3939456 JAN.2022</v>
      </c>
      <c r="I1599" t="str">
        <f>"FRONTIER"</f>
        <v>FRONTIER</v>
      </c>
    </row>
    <row r="1600" spans="1:9" x14ac:dyDescent="0.25">
      <c r="A1600" s="6">
        <v>44593</v>
      </c>
      <c r="B1600" t="s">
        <v>26</v>
      </c>
      <c r="C1600">
        <v>68718</v>
      </c>
      <c r="D1600" t="s">
        <v>1159</v>
      </c>
      <c r="E1600" s="7">
        <v>50</v>
      </c>
      <c r="F1600" t="s">
        <v>20</v>
      </c>
      <c r="G1600" t="s">
        <v>21</v>
      </c>
      <c r="H1600" t="str">
        <f>"DPST REFUND 1/8/22"</f>
        <v>DPST REFUND 1/8/22</v>
      </c>
      <c r="I1600" t="str">
        <f>"REFUND"</f>
        <v>REFUND</v>
      </c>
    </row>
    <row r="1601" spans="1:9" x14ac:dyDescent="0.25">
      <c r="A1601" s="6">
        <v>44593</v>
      </c>
      <c r="B1601" t="s">
        <v>26</v>
      </c>
      <c r="C1601">
        <v>68719</v>
      </c>
      <c r="D1601" t="s">
        <v>1136</v>
      </c>
      <c r="E1601" s="7">
        <v>480</v>
      </c>
      <c r="F1601" t="s">
        <v>20</v>
      </c>
      <c r="G1601" t="s">
        <v>21</v>
      </c>
      <c r="H1601" t="str">
        <f>"INV0094"</f>
        <v>INV0094</v>
      </c>
      <c r="I1601" t="str">
        <f>"LUX ELECTRIC LLC"</f>
        <v>LUX ELECTRIC LLC</v>
      </c>
    </row>
    <row r="1602" spans="1:9" x14ac:dyDescent="0.25">
      <c r="A1602" s="6">
        <v>44593</v>
      </c>
      <c r="B1602" t="s">
        <v>26</v>
      </c>
      <c r="C1602">
        <v>68720</v>
      </c>
      <c r="D1602" t="s">
        <v>80</v>
      </c>
      <c r="E1602" s="7">
        <v>750</v>
      </c>
      <c r="F1602" t="s">
        <v>20</v>
      </c>
      <c r="G1602" t="s">
        <v>21</v>
      </c>
      <c r="H1602" t="str">
        <f>"1648-20220201-1"</f>
        <v>1648-20220201-1</v>
      </c>
      <c r="I1602" t="str">
        <f>"LVWIFI.COM"</f>
        <v>LVWIFI.COM</v>
      </c>
    </row>
    <row r="1603" spans="1:9" x14ac:dyDescent="0.25">
      <c r="A1603" s="6">
        <v>44593</v>
      </c>
      <c r="B1603" t="s">
        <v>26</v>
      </c>
      <c r="C1603">
        <v>68720</v>
      </c>
      <c r="D1603" t="s">
        <v>80</v>
      </c>
      <c r="E1603" s="7">
        <v>750</v>
      </c>
      <c r="F1603" t="s">
        <v>20</v>
      </c>
      <c r="G1603" t="s">
        <v>21</v>
      </c>
      <c r="H1603" t="str">
        <f>"2313-20220201-1"</f>
        <v>2313-20220201-1</v>
      </c>
      <c r="I1603" t="str">
        <f>"LVWIFI.COM"</f>
        <v>LVWIFI.COM</v>
      </c>
    </row>
    <row r="1604" spans="1:9" x14ac:dyDescent="0.25">
      <c r="A1604" s="6">
        <v>44593</v>
      </c>
      <c r="B1604" t="s">
        <v>26</v>
      </c>
      <c r="C1604">
        <v>68721</v>
      </c>
      <c r="D1604" t="s">
        <v>29</v>
      </c>
      <c r="E1604" s="7">
        <v>120</v>
      </c>
      <c r="F1604" t="s">
        <v>20</v>
      </c>
      <c r="G1604" t="s">
        <v>21</v>
      </c>
      <c r="H1604" t="str">
        <f>"54342"</f>
        <v>54342</v>
      </c>
      <c r="I1604" t="str">
        <f>"M &amp; S ENGINEERING  LLC"</f>
        <v>M &amp; S ENGINEERING  LLC</v>
      </c>
    </row>
    <row r="1605" spans="1:9" x14ac:dyDescent="0.25">
      <c r="A1605" s="6">
        <v>44593</v>
      </c>
      <c r="B1605" t="s">
        <v>26</v>
      </c>
      <c r="C1605">
        <v>68722</v>
      </c>
      <c r="D1605" t="s">
        <v>124</v>
      </c>
      <c r="E1605" s="7">
        <v>64.260000000000005</v>
      </c>
      <c r="F1605" t="s">
        <v>20</v>
      </c>
      <c r="G1605" t="s">
        <v>21</v>
      </c>
      <c r="H1605" t="str">
        <f>"11116363"</f>
        <v>11116363</v>
      </c>
      <c r="I1605" t="str">
        <f>"SCRAPPERS/OIL"</f>
        <v>SCRAPPERS/OIL</v>
      </c>
    </row>
    <row r="1606" spans="1:9" x14ac:dyDescent="0.25">
      <c r="A1606" s="6">
        <v>44593</v>
      </c>
      <c r="B1606" t="s">
        <v>26</v>
      </c>
      <c r="C1606">
        <v>68723</v>
      </c>
      <c r="D1606" t="s">
        <v>345</v>
      </c>
      <c r="E1606" s="7">
        <v>352</v>
      </c>
      <c r="F1606" t="s">
        <v>20</v>
      </c>
      <c r="G1606" t="s">
        <v>21</v>
      </c>
      <c r="H1606" t="str">
        <f>"01/31/2022"</f>
        <v>01/31/2022</v>
      </c>
      <c r="I1606" t="str">
        <f>"MICHAEL ISAAC MARTINEZ"</f>
        <v>MICHAEL ISAAC MARTINEZ</v>
      </c>
    </row>
    <row r="1607" spans="1:9" x14ac:dyDescent="0.25">
      <c r="A1607" s="6">
        <v>44593</v>
      </c>
      <c r="B1607" t="s">
        <v>26</v>
      </c>
      <c r="C1607">
        <v>68724</v>
      </c>
      <c r="D1607" t="s">
        <v>184</v>
      </c>
      <c r="E1607" s="7">
        <v>828</v>
      </c>
      <c r="F1607" t="s">
        <v>20</v>
      </c>
      <c r="G1607" t="s">
        <v>21</v>
      </c>
      <c r="H1607" t="str">
        <f>"1065-953"</f>
        <v>1065-953</v>
      </c>
      <c r="I1607" t="str">
        <f>"POLLUTION CONTROL SERVICES"</f>
        <v>POLLUTION CONTROL SERVICES</v>
      </c>
    </row>
    <row r="1608" spans="1:9" x14ac:dyDescent="0.25">
      <c r="A1608" s="6">
        <v>44593</v>
      </c>
      <c r="B1608" t="s">
        <v>26</v>
      </c>
      <c r="C1608">
        <v>68724</v>
      </c>
      <c r="D1608" t="s">
        <v>184</v>
      </c>
      <c r="E1608" s="7">
        <v>392</v>
      </c>
      <c r="F1608" t="s">
        <v>20</v>
      </c>
      <c r="G1608" t="s">
        <v>21</v>
      </c>
      <c r="H1608" t="str">
        <f>"1065-954"</f>
        <v>1065-954</v>
      </c>
      <c r="I1608" t="str">
        <f>"POLLUTION CONTROL SERVICES"</f>
        <v>POLLUTION CONTROL SERVICES</v>
      </c>
    </row>
    <row r="1609" spans="1:9" x14ac:dyDescent="0.25">
      <c r="A1609" s="6">
        <v>44593</v>
      </c>
      <c r="B1609" t="s">
        <v>26</v>
      </c>
      <c r="C1609">
        <v>68725</v>
      </c>
      <c r="D1609" t="s">
        <v>278</v>
      </c>
      <c r="E1609" s="7">
        <v>400</v>
      </c>
      <c r="F1609" t="s">
        <v>20</v>
      </c>
      <c r="G1609" t="s">
        <v>21</v>
      </c>
      <c r="H1609" t="str">
        <f>"FLO00311922"</f>
        <v>FLO00311922</v>
      </c>
      <c r="I1609" t="str">
        <f>"THE PRODUCTIVITY CENTER"</f>
        <v>THE PRODUCTIVITY CENTER</v>
      </c>
    </row>
    <row r="1610" spans="1:9" x14ac:dyDescent="0.25">
      <c r="A1610" s="6">
        <v>44593</v>
      </c>
      <c r="B1610" t="s">
        <v>26</v>
      </c>
      <c r="C1610">
        <v>68726</v>
      </c>
      <c r="D1610" t="s">
        <v>528</v>
      </c>
      <c r="E1610" s="7">
        <v>515.39</v>
      </c>
      <c r="F1610" t="s">
        <v>20</v>
      </c>
      <c r="G1610" t="s">
        <v>21</v>
      </c>
      <c r="H1610" t="str">
        <f>"10752993"</f>
        <v>10752993</v>
      </c>
      <c r="I1610" t="str">
        <f>"PROSTAR SERVICES INC"</f>
        <v>PROSTAR SERVICES INC</v>
      </c>
    </row>
    <row r="1611" spans="1:9" x14ac:dyDescent="0.25">
      <c r="A1611" s="6">
        <v>44593</v>
      </c>
      <c r="B1611" t="s">
        <v>26</v>
      </c>
      <c r="C1611">
        <v>68727</v>
      </c>
      <c r="D1611" t="s">
        <v>632</v>
      </c>
      <c r="E1611" s="7">
        <v>700</v>
      </c>
      <c r="F1611" t="s">
        <v>20</v>
      </c>
      <c r="G1611" t="s">
        <v>21</v>
      </c>
      <c r="H1611" t="str">
        <f>"260274"</f>
        <v>260274</v>
      </c>
      <c r="I1611" t="str">
        <f>"Supervising and Managing"</f>
        <v>Supervising and Managing</v>
      </c>
    </row>
    <row r="1612" spans="1:9" x14ac:dyDescent="0.25">
      <c r="A1612" s="6">
        <v>44593</v>
      </c>
      <c r="B1612" t="s">
        <v>26</v>
      </c>
      <c r="C1612">
        <v>68728</v>
      </c>
      <c r="D1612" t="s">
        <v>339</v>
      </c>
      <c r="E1612" s="7">
        <v>45</v>
      </c>
      <c r="F1612" t="s">
        <v>20</v>
      </c>
      <c r="G1612" t="s">
        <v>21</v>
      </c>
      <c r="H1612" t="str">
        <f>"829989"</f>
        <v>829989</v>
      </c>
      <c r="I1612" t="str">
        <f>"SOUTHWEST PUBLIC SAFETY"</f>
        <v>SOUTHWEST PUBLIC SAFETY</v>
      </c>
    </row>
    <row r="1613" spans="1:9" x14ac:dyDescent="0.25">
      <c r="A1613" s="6">
        <v>44593</v>
      </c>
      <c r="B1613" t="s">
        <v>26</v>
      </c>
      <c r="C1613">
        <v>68728</v>
      </c>
      <c r="D1613" t="s">
        <v>339</v>
      </c>
      <c r="E1613" s="7">
        <v>330</v>
      </c>
      <c r="F1613" t="s">
        <v>20</v>
      </c>
      <c r="G1613" t="s">
        <v>21</v>
      </c>
      <c r="H1613" t="str">
        <f>"830480"</f>
        <v>830480</v>
      </c>
      <c r="I1613" t="str">
        <f>"SOUTHWEST PUBLIC SAFETY"</f>
        <v>SOUTHWEST PUBLIC SAFETY</v>
      </c>
    </row>
    <row r="1614" spans="1:9" x14ac:dyDescent="0.25">
      <c r="A1614" s="6">
        <v>44593</v>
      </c>
      <c r="B1614" t="s">
        <v>26</v>
      </c>
      <c r="C1614">
        <v>68728</v>
      </c>
      <c r="D1614" t="s">
        <v>339</v>
      </c>
      <c r="E1614" s="7">
        <v>1520</v>
      </c>
      <c r="F1614" t="s">
        <v>20</v>
      </c>
      <c r="G1614" t="s">
        <v>21</v>
      </c>
      <c r="H1614" t="str">
        <f>"830618"</f>
        <v>830618</v>
      </c>
      <c r="I1614" t="str">
        <f>"SOUTHWEST PUBLIC SAFETY"</f>
        <v>SOUTHWEST PUBLIC SAFETY</v>
      </c>
    </row>
    <row r="1615" spans="1:9" x14ac:dyDescent="0.25">
      <c r="A1615" s="6">
        <v>44593</v>
      </c>
      <c r="B1615" t="s">
        <v>26</v>
      </c>
      <c r="C1615">
        <v>68728</v>
      </c>
      <c r="D1615" t="s">
        <v>339</v>
      </c>
      <c r="E1615" s="7">
        <v>2320</v>
      </c>
      <c r="F1615" t="s">
        <v>20</v>
      </c>
      <c r="G1615" t="s">
        <v>21</v>
      </c>
      <c r="H1615" t="str">
        <f>"831964"</f>
        <v>831964</v>
      </c>
      <c r="I1615" t="str">
        <f>"UNIT 339"</f>
        <v>UNIT 339</v>
      </c>
    </row>
    <row r="1616" spans="1:9" x14ac:dyDescent="0.25">
      <c r="A1616" s="6">
        <v>44593</v>
      </c>
      <c r="B1616" t="s">
        <v>26</v>
      </c>
      <c r="C1616">
        <v>68729</v>
      </c>
      <c r="D1616" t="s">
        <v>114</v>
      </c>
      <c r="E1616" s="7">
        <v>10218.14</v>
      </c>
      <c r="F1616" t="s">
        <v>20</v>
      </c>
      <c r="G1616" t="s">
        <v>21</v>
      </c>
      <c r="H1616" t="str">
        <f>"QRT END 12/31/21"</f>
        <v>QRT END 12/31/21</v>
      </c>
      <c r="I1616" t="str">
        <f>"STATE COMPTROLLER"</f>
        <v>STATE COMPTROLLER</v>
      </c>
    </row>
    <row r="1617" spans="1:9" x14ac:dyDescent="0.25">
      <c r="A1617" s="6">
        <v>44593</v>
      </c>
      <c r="B1617" t="s">
        <v>26</v>
      </c>
      <c r="C1617">
        <v>68730</v>
      </c>
      <c r="D1617" t="s">
        <v>1160</v>
      </c>
      <c r="E1617" s="7">
        <v>25.19</v>
      </c>
      <c r="F1617" t="s">
        <v>20</v>
      </c>
      <c r="G1617" t="s">
        <v>21</v>
      </c>
      <c r="H1617" t="str">
        <f>"02/10/2022"</f>
        <v>02/10/2022</v>
      </c>
      <c r="I1617" t="str">
        <f>"TX TAG"</f>
        <v>TX TAG</v>
      </c>
    </row>
    <row r="1618" spans="1:9" x14ac:dyDescent="0.25">
      <c r="A1618" s="6">
        <v>44593</v>
      </c>
      <c r="B1618" t="s">
        <v>26</v>
      </c>
      <c r="C1618">
        <v>68731</v>
      </c>
      <c r="D1618" t="s">
        <v>61</v>
      </c>
      <c r="E1618" s="7">
        <v>135.1</v>
      </c>
      <c r="F1618" t="s">
        <v>20</v>
      </c>
      <c r="G1618" t="s">
        <v>21</v>
      </c>
      <c r="H1618" t="str">
        <f>"025-364382"</f>
        <v>025-364382</v>
      </c>
      <c r="I1618" t="str">
        <f>"TYLER TECHNOLOGIES  INC."</f>
        <v>TYLER TECHNOLOGIES  INC.</v>
      </c>
    </row>
    <row r="1619" spans="1:9" x14ac:dyDescent="0.25">
      <c r="A1619" s="6">
        <v>44593</v>
      </c>
      <c r="B1619" t="s">
        <v>26</v>
      </c>
      <c r="C1619">
        <v>68732</v>
      </c>
      <c r="D1619" t="s">
        <v>1156</v>
      </c>
      <c r="E1619" s="7">
        <v>111</v>
      </c>
      <c r="F1619" t="s">
        <v>20</v>
      </c>
      <c r="G1619" t="s">
        <v>21</v>
      </c>
      <c r="H1619" t="str">
        <f>"901"</f>
        <v>901</v>
      </c>
      <c r="I1619" t="str">
        <f>"WILSON COUNTY CLERK  EVA S. MA"</f>
        <v>WILSON COUNTY CLERK  EVA S. MA</v>
      </c>
    </row>
    <row r="1620" spans="1:9" x14ac:dyDescent="0.25">
      <c r="A1620" s="6">
        <v>44593</v>
      </c>
      <c r="B1620" t="s">
        <v>26</v>
      </c>
      <c r="C1620">
        <v>68733</v>
      </c>
      <c r="D1620" t="s">
        <v>90</v>
      </c>
      <c r="E1620" s="7">
        <v>-41.84</v>
      </c>
      <c r="F1620" t="s">
        <v>20</v>
      </c>
      <c r="G1620" t="s">
        <v>24</v>
      </c>
      <c r="H1620" t="str">
        <f>"ACA202201118638"</f>
        <v>ACA202201118638</v>
      </c>
      <c r="I1620" t="str">
        <f>"AFLAC INSURANCE"</f>
        <v>AFLAC INSURANCE</v>
      </c>
    </row>
    <row r="1621" spans="1:9" x14ac:dyDescent="0.25">
      <c r="A1621" s="6">
        <v>44593</v>
      </c>
      <c r="B1621" t="s">
        <v>26</v>
      </c>
      <c r="C1621">
        <v>68733</v>
      </c>
      <c r="D1621" t="s">
        <v>90</v>
      </c>
      <c r="E1621" s="7">
        <v>1.53</v>
      </c>
      <c r="F1621" t="s">
        <v>20</v>
      </c>
      <c r="G1621" t="s">
        <v>329</v>
      </c>
      <c r="H1621" t="str">
        <f>"814986"</f>
        <v>814986</v>
      </c>
      <c r="I1621" t="str">
        <f>"AFLAC"</f>
        <v>AFLAC</v>
      </c>
    </row>
    <row r="1622" spans="1:9" x14ac:dyDescent="0.25">
      <c r="A1622" s="6">
        <v>44593</v>
      </c>
      <c r="B1622" t="s">
        <v>26</v>
      </c>
      <c r="C1622">
        <v>68733</v>
      </c>
      <c r="D1622" t="s">
        <v>90</v>
      </c>
      <c r="E1622" s="7">
        <v>100.8</v>
      </c>
      <c r="F1622" t="s">
        <v>20</v>
      </c>
      <c r="G1622" t="s">
        <v>21</v>
      </c>
      <c r="H1622" t="str">
        <f>"ACA202112288636"</f>
        <v>ACA202112288636</v>
      </c>
      <c r="I1622" t="str">
        <f>"AFLAC INSURANCE"</f>
        <v>AFLAC INSURANCE</v>
      </c>
    </row>
    <row r="1623" spans="1:9" x14ac:dyDescent="0.25">
      <c r="A1623" s="6">
        <v>44593</v>
      </c>
      <c r="B1623" t="s">
        <v>26</v>
      </c>
      <c r="C1623">
        <v>68733</v>
      </c>
      <c r="D1623" t="s">
        <v>90</v>
      </c>
      <c r="E1623" s="7">
        <v>88.57</v>
      </c>
      <c r="F1623" t="s">
        <v>20</v>
      </c>
      <c r="G1623" t="s">
        <v>21</v>
      </c>
      <c r="H1623" t="str">
        <f>"ACA202201258639"</f>
        <v>ACA202201258639</v>
      </c>
      <c r="I1623" t="str">
        <f>"AFLAC INSURANCE"</f>
        <v>AFLAC INSURANCE</v>
      </c>
    </row>
    <row r="1624" spans="1:9" x14ac:dyDescent="0.25">
      <c r="A1624" s="6">
        <v>44593</v>
      </c>
      <c r="B1624" t="s">
        <v>26</v>
      </c>
      <c r="C1624">
        <v>68733</v>
      </c>
      <c r="D1624" t="s">
        <v>90</v>
      </c>
      <c r="E1624" s="7">
        <v>15.06</v>
      </c>
      <c r="F1624" t="s">
        <v>20</v>
      </c>
      <c r="G1624" t="s">
        <v>21</v>
      </c>
      <c r="H1624" t="str">
        <f>"ADR202112288636"</f>
        <v>ADR202112288636</v>
      </c>
      <c r="I1624" t="str">
        <f>"INSURANCE"</f>
        <v>INSURANCE</v>
      </c>
    </row>
    <row r="1625" spans="1:9" x14ac:dyDescent="0.25">
      <c r="A1625" s="6">
        <v>44593</v>
      </c>
      <c r="B1625" t="s">
        <v>26</v>
      </c>
      <c r="C1625">
        <v>68733</v>
      </c>
      <c r="D1625" t="s">
        <v>90</v>
      </c>
      <c r="E1625" s="7">
        <v>15.06</v>
      </c>
      <c r="F1625" t="s">
        <v>20</v>
      </c>
      <c r="G1625" t="s">
        <v>21</v>
      </c>
      <c r="H1625" t="str">
        <f>"ADR202201118638"</f>
        <v>ADR202201118638</v>
      </c>
      <c r="I1625" t="str">
        <f>"INSURANCE"</f>
        <v>INSURANCE</v>
      </c>
    </row>
    <row r="1626" spans="1:9" x14ac:dyDescent="0.25">
      <c r="A1626" s="6">
        <v>44593</v>
      </c>
      <c r="B1626" t="s">
        <v>26</v>
      </c>
      <c r="C1626">
        <v>68733</v>
      </c>
      <c r="D1626" t="s">
        <v>90</v>
      </c>
      <c r="E1626" s="7">
        <v>481.14</v>
      </c>
      <c r="F1626" t="s">
        <v>20</v>
      </c>
      <c r="G1626" t="s">
        <v>21</v>
      </c>
      <c r="H1626" t="str">
        <f>"AF1202112288636"</f>
        <v>AF1202112288636</v>
      </c>
      <c r="I1626" t="str">
        <f>"AFLAC INSURANCE"</f>
        <v>AFLAC INSURANCE</v>
      </c>
    </row>
    <row r="1627" spans="1:9" x14ac:dyDescent="0.25">
      <c r="A1627" s="6">
        <v>44593</v>
      </c>
      <c r="B1627" t="s">
        <v>26</v>
      </c>
      <c r="C1627">
        <v>68733</v>
      </c>
      <c r="D1627" t="s">
        <v>90</v>
      </c>
      <c r="E1627" s="7">
        <v>481.14</v>
      </c>
      <c r="F1627" t="s">
        <v>20</v>
      </c>
      <c r="G1627" t="s">
        <v>21</v>
      </c>
      <c r="H1627" t="str">
        <f>"AF1202201118638"</f>
        <v>AF1202201118638</v>
      </c>
      <c r="I1627" t="str">
        <f>"AFLAC INSURANCE"</f>
        <v>AFLAC INSURANCE</v>
      </c>
    </row>
    <row r="1628" spans="1:9" x14ac:dyDescent="0.25">
      <c r="A1628" s="6">
        <v>44593</v>
      </c>
      <c r="B1628" t="s">
        <v>26</v>
      </c>
      <c r="C1628">
        <v>68733</v>
      </c>
      <c r="D1628" t="s">
        <v>90</v>
      </c>
      <c r="E1628" s="7">
        <v>102.24</v>
      </c>
      <c r="F1628" t="s">
        <v>20</v>
      </c>
      <c r="G1628" t="s">
        <v>21</v>
      </c>
      <c r="H1628" t="str">
        <f>"AFS202112288636"</f>
        <v>AFS202112288636</v>
      </c>
      <c r="I1628" t="str">
        <f>"AFLAC STD"</f>
        <v>AFLAC STD</v>
      </c>
    </row>
    <row r="1629" spans="1:9" x14ac:dyDescent="0.25">
      <c r="A1629" s="6">
        <v>44593</v>
      </c>
      <c r="B1629" t="s">
        <v>26</v>
      </c>
      <c r="C1629">
        <v>68733</v>
      </c>
      <c r="D1629" t="s">
        <v>90</v>
      </c>
      <c r="E1629" s="7">
        <v>102.24</v>
      </c>
      <c r="F1629" t="s">
        <v>20</v>
      </c>
      <c r="G1629" t="s">
        <v>21</v>
      </c>
      <c r="H1629" t="str">
        <f>"AFS202201118638"</f>
        <v>AFS202201118638</v>
      </c>
      <c r="I1629" t="str">
        <f>"AFLAC STD"</f>
        <v>AFLAC STD</v>
      </c>
    </row>
    <row r="1630" spans="1:9" x14ac:dyDescent="0.25">
      <c r="A1630" s="6">
        <v>44593</v>
      </c>
      <c r="B1630" t="s">
        <v>26</v>
      </c>
      <c r="C1630">
        <v>68733</v>
      </c>
      <c r="D1630" t="s">
        <v>90</v>
      </c>
      <c r="E1630" s="7">
        <v>34.86</v>
      </c>
      <c r="F1630" t="s">
        <v>20</v>
      </c>
      <c r="G1630" t="s">
        <v>21</v>
      </c>
      <c r="H1630" t="str">
        <f>"ASP202112288636"</f>
        <v>ASP202112288636</v>
      </c>
      <c r="I1630" t="str">
        <f>"AFLAC INSURANCE"</f>
        <v>AFLAC INSURANCE</v>
      </c>
    </row>
    <row r="1631" spans="1:9" x14ac:dyDescent="0.25">
      <c r="A1631" s="6">
        <v>44593</v>
      </c>
      <c r="B1631" t="s">
        <v>26</v>
      </c>
      <c r="C1631">
        <v>68733</v>
      </c>
      <c r="D1631" t="s">
        <v>90</v>
      </c>
      <c r="E1631" s="7">
        <v>33.54</v>
      </c>
      <c r="F1631" t="s">
        <v>20</v>
      </c>
      <c r="G1631" t="s">
        <v>21</v>
      </c>
      <c r="H1631" t="str">
        <f>"ASP202201118638"</f>
        <v>ASP202201118638</v>
      </c>
      <c r="I1631" t="str">
        <f>"AFLAC INSURANCE"</f>
        <v>AFLAC INSURANCE</v>
      </c>
    </row>
    <row r="1632" spans="1:9" x14ac:dyDescent="0.25">
      <c r="A1632" s="6">
        <v>44593</v>
      </c>
      <c r="B1632" t="s">
        <v>26</v>
      </c>
      <c r="C1632">
        <v>68733</v>
      </c>
      <c r="D1632" t="s">
        <v>90</v>
      </c>
      <c r="E1632" s="7">
        <v>170.52</v>
      </c>
      <c r="F1632" t="s">
        <v>20</v>
      </c>
      <c r="G1632" t="s">
        <v>21</v>
      </c>
      <c r="H1632" t="str">
        <f>"HCO202112288636"</f>
        <v>HCO202112288636</v>
      </c>
      <c r="I1632" t="str">
        <f>"AFLAC INSURANCE"</f>
        <v>AFLAC INSURANCE</v>
      </c>
    </row>
    <row r="1633" spans="1:9" x14ac:dyDescent="0.25">
      <c r="A1633" s="6">
        <v>44593</v>
      </c>
      <c r="B1633" t="s">
        <v>26</v>
      </c>
      <c r="C1633">
        <v>68733</v>
      </c>
      <c r="D1633" t="s">
        <v>90</v>
      </c>
      <c r="E1633" s="7">
        <v>143.76</v>
      </c>
      <c r="F1633" t="s">
        <v>20</v>
      </c>
      <c r="G1633" t="s">
        <v>21</v>
      </c>
      <c r="H1633" t="str">
        <f>"HCO202201258639"</f>
        <v>HCO202201258639</v>
      </c>
      <c r="I1633" t="str">
        <f>"AFLAC INSURANCE"</f>
        <v>AFLAC INSURANCE</v>
      </c>
    </row>
    <row r="1634" spans="1:9" x14ac:dyDescent="0.25">
      <c r="A1634" s="6">
        <v>44593</v>
      </c>
      <c r="B1634" t="s">
        <v>26</v>
      </c>
      <c r="C1634">
        <v>68738</v>
      </c>
      <c r="D1634" t="s">
        <v>95</v>
      </c>
      <c r="E1634" s="7">
        <v>12.66</v>
      </c>
      <c r="F1634" t="s">
        <v>20</v>
      </c>
      <c r="G1634" t="s">
        <v>21</v>
      </c>
      <c r="H1634" t="str">
        <f>"LEA202201118638"</f>
        <v>LEA202201118638</v>
      </c>
      <c r="I1634" t="str">
        <f>"INSURANCE"</f>
        <v>INSURANCE</v>
      </c>
    </row>
    <row r="1635" spans="1:9" x14ac:dyDescent="0.25">
      <c r="A1635" s="6">
        <v>44593</v>
      </c>
      <c r="B1635" t="s">
        <v>26</v>
      </c>
      <c r="C1635">
        <v>68738</v>
      </c>
      <c r="D1635" t="s">
        <v>95</v>
      </c>
      <c r="E1635" s="7">
        <v>12.66</v>
      </c>
      <c r="F1635" t="s">
        <v>20</v>
      </c>
      <c r="G1635" t="s">
        <v>21</v>
      </c>
      <c r="H1635" t="str">
        <f>"LEA202201258639"</f>
        <v>LEA202201258639</v>
      </c>
      <c r="I1635" t="str">
        <f>"INSURANCE"</f>
        <v>INSURANCE</v>
      </c>
    </row>
    <row r="1636" spans="1:9" x14ac:dyDescent="0.25">
      <c r="A1636" s="6">
        <v>44593</v>
      </c>
      <c r="B1636" t="s">
        <v>26</v>
      </c>
      <c r="C1636">
        <v>68739</v>
      </c>
      <c r="D1636" t="s">
        <v>96</v>
      </c>
      <c r="E1636" s="7">
        <v>112.62</v>
      </c>
      <c r="F1636" t="s">
        <v>20</v>
      </c>
      <c r="G1636" t="s">
        <v>21</v>
      </c>
      <c r="H1636" t="str">
        <f>"PPL202201118638"</f>
        <v>PPL202201118638</v>
      </c>
      <c r="I1636" t="str">
        <f>"INSURANCE"</f>
        <v>INSURANCE</v>
      </c>
    </row>
    <row r="1637" spans="1:9" x14ac:dyDescent="0.25">
      <c r="A1637" s="6">
        <v>44593</v>
      </c>
      <c r="B1637" t="s">
        <v>26</v>
      </c>
      <c r="C1637">
        <v>68739</v>
      </c>
      <c r="D1637" t="s">
        <v>96</v>
      </c>
      <c r="E1637" s="7">
        <v>112.62</v>
      </c>
      <c r="F1637" t="s">
        <v>20</v>
      </c>
      <c r="G1637" t="s">
        <v>21</v>
      </c>
      <c r="H1637" t="str">
        <f>"PPL202201258639"</f>
        <v>PPL202201258639</v>
      </c>
      <c r="I1637" t="str">
        <f>"INSURANCE"</f>
        <v>INSURANCE</v>
      </c>
    </row>
    <row r="1638" spans="1:9" x14ac:dyDescent="0.25">
      <c r="A1638" s="6">
        <v>44594</v>
      </c>
      <c r="B1638" t="s">
        <v>26</v>
      </c>
      <c r="C1638">
        <v>68740</v>
      </c>
      <c r="D1638" t="s">
        <v>97</v>
      </c>
      <c r="E1638" s="7">
        <v>-619.49</v>
      </c>
      <c r="F1638" t="s">
        <v>20</v>
      </c>
      <c r="G1638" t="s">
        <v>24</v>
      </c>
      <c r="H1638" t="str">
        <f>"FEB. 2022"</f>
        <v>FEB. 2022</v>
      </c>
      <c r="I1638" t="str">
        <f>"HEALTH CARE SERVICE CORPORATIO"</f>
        <v>HEALTH CARE SERVICE CORPORATIO</v>
      </c>
    </row>
    <row r="1639" spans="1:9" x14ac:dyDescent="0.25">
      <c r="A1639" s="6">
        <v>44594</v>
      </c>
      <c r="B1639" t="s">
        <v>26</v>
      </c>
      <c r="C1639">
        <v>68740</v>
      </c>
      <c r="D1639" t="s">
        <v>97</v>
      </c>
      <c r="E1639" s="7">
        <v>-2478.38</v>
      </c>
      <c r="F1639" t="s">
        <v>20</v>
      </c>
      <c r="G1639" t="s">
        <v>24</v>
      </c>
      <c r="H1639" t="str">
        <f>"FEB.2022"</f>
        <v>FEB.2022</v>
      </c>
      <c r="I1639" t="str">
        <f>"HEALTH CARE SERVICE CORPORATIO"</f>
        <v>HEALTH CARE SERVICE CORPORATIO</v>
      </c>
    </row>
    <row r="1640" spans="1:9" x14ac:dyDescent="0.25">
      <c r="A1640" s="6">
        <v>44594</v>
      </c>
      <c r="B1640" t="s">
        <v>26</v>
      </c>
      <c r="C1640">
        <v>68740</v>
      </c>
      <c r="D1640" t="s">
        <v>97</v>
      </c>
      <c r="E1640" s="7">
        <v>1135.6099999999999</v>
      </c>
      <c r="F1640" t="s">
        <v>20</v>
      </c>
      <c r="G1640" t="s">
        <v>21</v>
      </c>
      <c r="H1640" t="str">
        <f>"DEN202201118638"</f>
        <v>DEN202201118638</v>
      </c>
      <c r="I1640" t="str">
        <f>"DENTAL INSURANCE"</f>
        <v>DENTAL INSURANCE</v>
      </c>
    </row>
    <row r="1641" spans="1:9" x14ac:dyDescent="0.25">
      <c r="A1641" s="6">
        <v>44594</v>
      </c>
      <c r="B1641" t="s">
        <v>26</v>
      </c>
      <c r="C1641">
        <v>68740</v>
      </c>
      <c r="D1641" t="s">
        <v>97</v>
      </c>
      <c r="E1641" s="7">
        <v>1135.6099999999999</v>
      </c>
      <c r="F1641" t="s">
        <v>20</v>
      </c>
      <c r="G1641" t="s">
        <v>21</v>
      </c>
      <c r="H1641" t="str">
        <f>"DEN202201258639"</f>
        <v>DEN202201258639</v>
      </c>
      <c r="I1641" t="str">
        <f>"DENTAL INSURANCE"</f>
        <v>DENTAL INSURANCE</v>
      </c>
    </row>
    <row r="1642" spans="1:9" x14ac:dyDescent="0.25">
      <c r="A1642" s="6">
        <v>44594</v>
      </c>
      <c r="B1642" t="s">
        <v>26</v>
      </c>
      <c r="C1642">
        <v>68740</v>
      </c>
      <c r="D1642" t="s">
        <v>97</v>
      </c>
      <c r="E1642" s="7">
        <v>619.49</v>
      </c>
      <c r="F1642" t="s">
        <v>20</v>
      </c>
      <c r="G1642" t="s">
        <v>21</v>
      </c>
      <c r="H1642" t="str">
        <f>"J.EVINS COBRA FEB"</f>
        <v>J.EVINS COBRA FEB</v>
      </c>
      <c r="I1642" t="str">
        <f>"HEALTH CARE SERVICE CORPORATIO"</f>
        <v>HEALTH CARE SERVICE CORPORATIO</v>
      </c>
    </row>
    <row r="1643" spans="1:9" x14ac:dyDescent="0.25">
      <c r="A1643" s="6">
        <v>44594</v>
      </c>
      <c r="B1643" t="s">
        <v>26</v>
      </c>
      <c r="C1643">
        <v>68740</v>
      </c>
      <c r="D1643" t="s">
        <v>97</v>
      </c>
      <c r="E1643" s="7">
        <v>20399.18</v>
      </c>
      <c r="F1643" t="s">
        <v>20</v>
      </c>
      <c r="G1643" t="s">
        <v>21</v>
      </c>
      <c r="H1643" t="str">
        <f>"MED202201118638"</f>
        <v>MED202201118638</v>
      </c>
      <c r="I1643" t="str">
        <f>"HEALTH &amp; DENTAL INSURANCE"</f>
        <v>HEALTH &amp; DENTAL INSURANCE</v>
      </c>
    </row>
    <row r="1644" spans="1:9" x14ac:dyDescent="0.25">
      <c r="A1644" s="6">
        <v>44594</v>
      </c>
      <c r="B1644" t="s">
        <v>26</v>
      </c>
      <c r="C1644">
        <v>68740</v>
      </c>
      <c r="D1644" t="s">
        <v>97</v>
      </c>
      <c r="E1644" s="7">
        <v>20399.18</v>
      </c>
      <c r="F1644" t="s">
        <v>20</v>
      </c>
      <c r="G1644" t="s">
        <v>21</v>
      </c>
      <c r="H1644" t="str">
        <f>"MED202201258639"</f>
        <v>MED202201258639</v>
      </c>
      <c r="I1644" t="str">
        <f>"HEALTH &amp; DENTAL INSURANCE"</f>
        <v>HEALTH &amp; DENTAL INSURANCE</v>
      </c>
    </row>
    <row r="1645" spans="1:9" x14ac:dyDescent="0.25">
      <c r="A1645" s="6">
        <v>44594</v>
      </c>
      <c r="B1645" t="s">
        <v>26</v>
      </c>
      <c r="C1645">
        <v>68745</v>
      </c>
      <c r="D1645" t="s">
        <v>110</v>
      </c>
      <c r="E1645" s="7">
        <v>967.7</v>
      </c>
      <c r="F1645" t="s">
        <v>20</v>
      </c>
      <c r="G1645" t="s">
        <v>21</v>
      </c>
      <c r="H1645" t="str">
        <f>"2021-015851.11"</f>
        <v>2021-015851.11</v>
      </c>
      <c r="I1645" t="str">
        <f t="shared" ref="I1645:I1671" si="39">"BUREAU VERITAS NORTH AMERICA"</f>
        <v>BUREAU VERITAS NORTH AMERICA</v>
      </c>
    </row>
    <row r="1646" spans="1:9" x14ac:dyDescent="0.25">
      <c r="A1646" s="6">
        <v>44594</v>
      </c>
      <c r="B1646" t="s">
        <v>26</v>
      </c>
      <c r="C1646">
        <v>68745</v>
      </c>
      <c r="D1646" t="s">
        <v>110</v>
      </c>
      <c r="E1646" s="7">
        <v>1153.2</v>
      </c>
      <c r="F1646" t="s">
        <v>20</v>
      </c>
      <c r="G1646" t="s">
        <v>21</v>
      </c>
      <c r="H1646" t="str">
        <f>"2021-020254.12"</f>
        <v>2021-020254.12</v>
      </c>
      <c r="I1646" t="str">
        <f t="shared" si="39"/>
        <v>BUREAU VERITAS NORTH AMERICA</v>
      </c>
    </row>
    <row r="1647" spans="1:9" x14ac:dyDescent="0.25">
      <c r="A1647" s="6">
        <v>44594</v>
      </c>
      <c r="B1647" t="s">
        <v>26</v>
      </c>
      <c r="C1647">
        <v>68745</v>
      </c>
      <c r="D1647" t="s">
        <v>110</v>
      </c>
      <c r="E1647" s="7">
        <v>1333.8</v>
      </c>
      <c r="F1647" t="s">
        <v>20</v>
      </c>
      <c r="G1647" t="s">
        <v>21</v>
      </c>
      <c r="H1647" t="str">
        <f>"2021-020255.12"</f>
        <v>2021-020255.12</v>
      </c>
      <c r="I1647" t="str">
        <f t="shared" si="39"/>
        <v>BUREAU VERITAS NORTH AMERICA</v>
      </c>
    </row>
    <row r="1648" spans="1:9" x14ac:dyDescent="0.25">
      <c r="A1648" s="6">
        <v>44594</v>
      </c>
      <c r="B1648" t="s">
        <v>26</v>
      </c>
      <c r="C1648">
        <v>68745</v>
      </c>
      <c r="D1648" t="s">
        <v>110</v>
      </c>
      <c r="E1648" s="7">
        <v>76.92</v>
      </c>
      <c r="F1648" t="s">
        <v>20</v>
      </c>
      <c r="G1648" t="s">
        <v>21</v>
      </c>
      <c r="H1648" t="str">
        <f>"2021-0203037.11"</f>
        <v>2021-0203037.11</v>
      </c>
      <c r="I1648" t="str">
        <f t="shared" si="39"/>
        <v>BUREAU VERITAS NORTH AMERICA</v>
      </c>
    </row>
    <row r="1649" spans="1:9" x14ac:dyDescent="0.25">
      <c r="A1649" s="6">
        <v>44594</v>
      </c>
      <c r="B1649" t="s">
        <v>26</v>
      </c>
      <c r="C1649">
        <v>68745</v>
      </c>
      <c r="D1649" t="s">
        <v>110</v>
      </c>
      <c r="E1649" s="7">
        <v>945.65</v>
      </c>
      <c r="F1649" t="s">
        <v>20</v>
      </c>
      <c r="G1649" t="s">
        <v>21</v>
      </c>
      <c r="H1649" t="str">
        <f>"2021-022030.11"</f>
        <v>2021-022030.11</v>
      </c>
      <c r="I1649" t="str">
        <f t="shared" si="39"/>
        <v>BUREAU VERITAS NORTH AMERICA</v>
      </c>
    </row>
    <row r="1650" spans="1:9" x14ac:dyDescent="0.25">
      <c r="A1650" s="6">
        <v>44594</v>
      </c>
      <c r="B1650" t="s">
        <v>26</v>
      </c>
      <c r="C1650">
        <v>68745</v>
      </c>
      <c r="D1650" t="s">
        <v>110</v>
      </c>
      <c r="E1650" s="7">
        <v>945.65</v>
      </c>
      <c r="F1650" t="s">
        <v>20</v>
      </c>
      <c r="G1650" t="s">
        <v>21</v>
      </c>
      <c r="H1650" t="str">
        <f>"2021-022031.11"</f>
        <v>2021-022031.11</v>
      </c>
      <c r="I1650" t="str">
        <f t="shared" si="39"/>
        <v>BUREAU VERITAS NORTH AMERICA</v>
      </c>
    </row>
    <row r="1651" spans="1:9" x14ac:dyDescent="0.25">
      <c r="A1651" s="6">
        <v>44594</v>
      </c>
      <c r="B1651" t="s">
        <v>26</v>
      </c>
      <c r="C1651">
        <v>68745</v>
      </c>
      <c r="D1651" t="s">
        <v>110</v>
      </c>
      <c r="E1651" s="7">
        <v>1072.3499999999999</v>
      </c>
      <c r="F1651" t="s">
        <v>20</v>
      </c>
      <c r="G1651" t="s">
        <v>21</v>
      </c>
      <c r="H1651" t="str">
        <f>"2021-022032.11"</f>
        <v>2021-022032.11</v>
      </c>
      <c r="I1651" t="str">
        <f t="shared" si="39"/>
        <v>BUREAU VERITAS NORTH AMERICA</v>
      </c>
    </row>
    <row r="1652" spans="1:9" x14ac:dyDescent="0.25">
      <c r="A1652" s="6">
        <v>44594</v>
      </c>
      <c r="B1652" t="s">
        <v>26</v>
      </c>
      <c r="C1652">
        <v>68745</v>
      </c>
      <c r="D1652" t="s">
        <v>110</v>
      </c>
      <c r="E1652" s="7">
        <v>916.25</v>
      </c>
      <c r="F1652" t="s">
        <v>20</v>
      </c>
      <c r="G1652" t="s">
        <v>21</v>
      </c>
      <c r="H1652" t="str">
        <f>"2021-022034.11"</f>
        <v>2021-022034.11</v>
      </c>
      <c r="I1652" t="str">
        <f t="shared" si="39"/>
        <v>BUREAU VERITAS NORTH AMERICA</v>
      </c>
    </row>
    <row r="1653" spans="1:9" x14ac:dyDescent="0.25">
      <c r="A1653" s="6">
        <v>44594</v>
      </c>
      <c r="B1653" t="s">
        <v>26</v>
      </c>
      <c r="C1653">
        <v>68745</v>
      </c>
      <c r="D1653" t="s">
        <v>110</v>
      </c>
      <c r="E1653" s="7">
        <v>971.9</v>
      </c>
      <c r="F1653" t="s">
        <v>20</v>
      </c>
      <c r="G1653" t="s">
        <v>21</v>
      </c>
      <c r="H1653" t="str">
        <f>"2021-022035.11"</f>
        <v>2021-022035.11</v>
      </c>
      <c r="I1653" t="str">
        <f t="shared" si="39"/>
        <v>BUREAU VERITAS NORTH AMERICA</v>
      </c>
    </row>
    <row r="1654" spans="1:9" x14ac:dyDescent="0.25">
      <c r="A1654" s="6">
        <v>44594</v>
      </c>
      <c r="B1654" t="s">
        <v>26</v>
      </c>
      <c r="C1654">
        <v>68745</v>
      </c>
      <c r="D1654" t="s">
        <v>110</v>
      </c>
      <c r="E1654" s="7">
        <v>1110.1500000000001</v>
      </c>
      <c r="F1654" t="s">
        <v>20</v>
      </c>
      <c r="G1654" t="s">
        <v>21</v>
      </c>
      <c r="H1654" t="str">
        <f>"2021-022036.11"</f>
        <v>2021-022036.11</v>
      </c>
      <c r="I1654" t="str">
        <f t="shared" si="39"/>
        <v>BUREAU VERITAS NORTH AMERICA</v>
      </c>
    </row>
    <row r="1655" spans="1:9" x14ac:dyDescent="0.25">
      <c r="A1655" s="6">
        <v>44594</v>
      </c>
      <c r="B1655" t="s">
        <v>26</v>
      </c>
      <c r="C1655">
        <v>68745</v>
      </c>
      <c r="D1655" t="s">
        <v>110</v>
      </c>
      <c r="E1655" s="7">
        <v>967.7</v>
      </c>
      <c r="F1655" t="s">
        <v>20</v>
      </c>
      <c r="G1655" t="s">
        <v>21</v>
      </c>
      <c r="H1655" t="str">
        <f>"2021-022038.11"</f>
        <v>2021-022038.11</v>
      </c>
      <c r="I1655" t="str">
        <f t="shared" si="39"/>
        <v>BUREAU VERITAS NORTH AMERICA</v>
      </c>
    </row>
    <row r="1656" spans="1:9" x14ac:dyDescent="0.25">
      <c r="A1656" s="6">
        <v>44594</v>
      </c>
      <c r="B1656" t="s">
        <v>26</v>
      </c>
      <c r="C1656">
        <v>68745</v>
      </c>
      <c r="D1656" t="s">
        <v>110</v>
      </c>
      <c r="E1656" s="7">
        <v>971.9</v>
      </c>
      <c r="F1656" t="s">
        <v>20</v>
      </c>
      <c r="G1656" t="s">
        <v>21</v>
      </c>
      <c r="H1656" t="str">
        <f>"2021-022056.11"</f>
        <v>2021-022056.11</v>
      </c>
      <c r="I1656" t="str">
        <f t="shared" si="39"/>
        <v>BUREAU VERITAS NORTH AMERICA</v>
      </c>
    </row>
    <row r="1657" spans="1:9" x14ac:dyDescent="0.25">
      <c r="A1657" s="6">
        <v>44594</v>
      </c>
      <c r="B1657" t="s">
        <v>26</v>
      </c>
      <c r="C1657">
        <v>68745</v>
      </c>
      <c r="D1657" t="s">
        <v>110</v>
      </c>
      <c r="E1657" s="7">
        <v>967.7</v>
      </c>
      <c r="F1657" t="s">
        <v>20</v>
      </c>
      <c r="G1657" t="s">
        <v>21</v>
      </c>
      <c r="H1657" t="str">
        <f>"2021-02237.11"</f>
        <v>2021-02237.11</v>
      </c>
      <c r="I1657" t="str">
        <f t="shared" si="39"/>
        <v>BUREAU VERITAS NORTH AMERICA</v>
      </c>
    </row>
    <row r="1658" spans="1:9" x14ac:dyDescent="0.25">
      <c r="A1658" s="6">
        <v>44594</v>
      </c>
      <c r="B1658" t="s">
        <v>26</v>
      </c>
      <c r="C1658">
        <v>68745</v>
      </c>
      <c r="D1658" t="s">
        <v>110</v>
      </c>
      <c r="E1658" s="7">
        <v>160</v>
      </c>
      <c r="F1658" t="s">
        <v>20</v>
      </c>
      <c r="G1658" t="s">
        <v>21</v>
      </c>
      <c r="H1658" t="str">
        <f>"2021-022602.11"</f>
        <v>2021-022602.11</v>
      </c>
      <c r="I1658" t="str">
        <f t="shared" si="39"/>
        <v>BUREAU VERITAS NORTH AMERICA</v>
      </c>
    </row>
    <row r="1659" spans="1:9" x14ac:dyDescent="0.25">
      <c r="A1659" s="6">
        <v>44594</v>
      </c>
      <c r="B1659" t="s">
        <v>26</v>
      </c>
      <c r="C1659">
        <v>68745</v>
      </c>
      <c r="D1659" t="s">
        <v>110</v>
      </c>
      <c r="E1659" s="7">
        <v>160</v>
      </c>
      <c r="F1659" t="s">
        <v>20</v>
      </c>
      <c r="G1659" t="s">
        <v>21</v>
      </c>
      <c r="H1659" t="str">
        <f>"2021-022696.12"</f>
        <v>2021-022696.12</v>
      </c>
      <c r="I1659" t="str">
        <f t="shared" si="39"/>
        <v>BUREAU VERITAS NORTH AMERICA</v>
      </c>
    </row>
    <row r="1660" spans="1:9" x14ac:dyDescent="0.25">
      <c r="A1660" s="6">
        <v>44594</v>
      </c>
      <c r="B1660" t="s">
        <v>26</v>
      </c>
      <c r="C1660">
        <v>68745</v>
      </c>
      <c r="D1660" t="s">
        <v>110</v>
      </c>
      <c r="E1660" s="7">
        <v>117.15</v>
      </c>
      <c r="F1660" t="s">
        <v>20</v>
      </c>
      <c r="G1660" t="s">
        <v>21</v>
      </c>
      <c r="H1660" t="str">
        <f>"2021-022737.11"</f>
        <v>2021-022737.11</v>
      </c>
      <c r="I1660" t="str">
        <f t="shared" si="39"/>
        <v>BUREAU VERITAS NORTH AMERICA</v>
      </c>
    </row>
    <row r="1661" spans="1:9" x14ac:dyDescent="0.25">
      <c r="A1661" s="6">
        <v>44594</v>
      </c>
      <c r="B1661" t="s">
        <v>26</v>
      </c>
      <c r="C1661">
        <v>68745</v>
      </c>
      <c r="D1661" t="s">
        <v>110</v>
      </c>
      <c r="E1661" s="7">
        <v>76.92</v>
      </c>
      <c r="F1661" t="s">
        <v>20</v>
      </c>
      <c r="G1661" t="s">
        <v>21</v>
      </c>
      <c r="H1661" t="str">
        <f>"2021-022798.11"</f>
        <v>2021-022798.11</v>
      </c>
      <c r="I1661" t="str">
        <f t="shared" si="39"/>
        <v>BUREAU VERITAS NORTH AMERICA</v>
      </c>
    </row>
    <row r="1662" spans="1:9" x14ac:dyDescent="0.25">
      <c r="A1662" s="6">
        <v>44594</v>
      </c>
      <c r="B1662" t="s">
        <v>26</v>
      </c>
      <c r="C1662">
        <v>68745</v>
      </c>
      <c r="D1662" t="s">
        <v>110</v>
      </c>
      <c r="E1662" s="7">
        <v>76.92</v>
      </c>
      <c r="F1662" t="s">
        <v>20</v>
      </c>
      <c r="G1662" t="s">
        <v>21</v>
      </c>
      <c r="H1662" t="str">
        <f>"2021-022943.11"</f>
        <v>2021-022943.11</v>
      </c>
      <c r="I1662" t="str">
        <f t="shared" si="39"/>
        <v>BUREAU VERITAS NORTH AMERICA</v>
      </c>
    </row>
    <row r="1663" spans="1:9" x14ac:dyDescent="0.25">
      <c r="A1663" s="6">
        <v>44594</v>
      </c>
      <c r="B1663" t="s">
        <v>26</v>
      </c>
      <c r="C1663">
        <v>68745</v>
      </c>
      <c r="D1663" t="s">
        <v>110</v>
      </c>
      <c r="E1663" s="7">
        <v>160</v>
      </c>
      <c r="F1663" t="s">
        <v>20</v>
      </c>
      <c r="G1663" t="s">
        <v>21</v>
      </c>
      <c r="H1663" t="str">
        <f>"2021-023467.11"</f>
        <v>2021-023467.11</v>
      </c>
      <c r="I1663" t="str">
        <f t="shared" si="39"/>
        <v>BUREAU VERITAS NORTH AMERICA</v>
      </c>
    </row>
    <row r="1664" spans="1:9" x14ac:dyDescent="0.25">
      <c r="A1664" s="6">
        <v>44594</v>
      </c>
      <c r="B1664" t="s">
        <v>26</v>
      </c>
      <c r="C1664">
        <v>68745</v>
      </c>
      <c r="D1664" t="s">
        <v>110</v>
      </c>
      <c r="E1664" s="7">
        <v>160</v>
      </c>
      <c r="F1664" t="s">
        <v>20</v>
      </c>
      <c r="G1664" t="s">
        <v>21</v>
      </c>
      <c r="H1664" t="str">
        <f>"2021-023475.11"</f>
        <v>2021-023475.11</v>
      </c>
      <c r="I1664" t="str">
        <f t="shared" si="39"/>
        <v>BUREAU VERITAS NORTH AMERICA</v>
      </c>
    </row>
    <row r="1665" spans="1:9" x14ac:dyDescent="0.25">
      <c r="A1665" s="6">
        <v>44594</v>
      </c>
      <c r="B1665" t="s">
        <v>26</v>
      </c>
      <c r="C1665">
        <v>68745</v>
      </c>
      <c r="D1665" t="s">
        <v>110</v>
      </c>
      <c r="E1665" s="7">
        <v>967.7</v>
      </c>
      <c r="F1665" t="s">
        <v>20</v>
      </c>
      <c r="G1665" t="s">
        <v>21</v>
      </c>
      <c r="H1665" t="str">
        <f>"2021-024904.12"</f>
        <v>2021-024904.12</v>
      </c>
      <c r="I1665" t="str">
        <f t="shared" si="39"/>
        <v>BUREAU VERITAS NORTH AMERICA</v>
      </c>
    </row>
    <row r="1666" spans="1:9" x14ac:dyDescent="0.25">
      <c r="A1666" s="6">
        <v>44594</v>
      </c>
      <c r="B1666" t="s">
        <v>26</v>
      </c>
      <c r="C1666">
        <v>68745</v>
      </c>
      <c r="D1666" t="s">
        <v>110</v>
      </c>
      <c r="E1666" s="7">
        <v>945.65</v>
      </c>
      <c r="F1666" t="s">
        <v>20</v>
      </c>
      <c r="G1666" t="s">
        <v>21</v>
      </c>
      <c r="H1666" t="str">
        <f>"2021-024905.12"</f>
        <v>2021-024905.12</v>
      </c>
      <c r="I1666" t="str">
        <f t="shared" si="39"/>
        <v>BUREAU VERITAS NORTH AMERICA</v>
      </c>
    </row>
    <row r="1667" spans="1:9" x14ac:dyDescent="0.25">
      <c r="A1667" s="6">
        <v>44594</v>
      </c>
      <c r="B1667" t="s">
        <v>26</v>
      </c>
      <c r="C1667">
        <v>68745</v>
      </c>
      <c r="D1667" t="s">
        <v>110</v>
      </c>
      <c r="E1667" s="7">
        <v>971.9</v>
      </c>
      <c r="F1667" t="s">
        <v>20</v>
      </c>
      <c r="G1667" t="s">
        <v>21</v>
      </c>
      <c r="H1667" t="str">
        <f>"2021-024906.12"</f>
        <v>2021-024906.12</v>
      </c>
      <c r="I1667" t="str">
        <f t="shared" si="39"/>
        <v>BUREAU VERITAS NORTH AMERICA</v>
      </c>
    </row>
    <row r="1668" spans="1:9" x14ac:dyDescent="0.25">
      <c r="A1668" s="6">
        <v>44594</v>
      </c>
      <c r="B1668" t="s">
        <v>26</v>
      </c>
      <c r="C1668">
        <v>68745</v>
      </c>
      <c r="D1668" t="s">
        <v>110</v>
      </c>
      <c r="E1668" s="7">
        <v>1333.8</v>
      </c>
      <c r="F1668" t="s">
        <v>20</v>
      </c>
      <c r="G1668" t="s">
        <v>21</v>
      </c>
      <c r="H1668" t="str">
        <f>"2021-024907.12"</f>
        <v>2021-024907.12</v>
      </c>
      <c r="I1668" t="str">
        <f t="shared" si="39"/>
        <v>BUREAU VERITAS NORTH AMERICA</v>
      </c>
    </row>
    <row r="1669" spans="1:9" x14ac:dyDescent="0.25">
      <c r="A1669" s="6">
        <v>44594</v>
      </c>
      <c r="B1669" t="s">
        <v>26</v>
      </c>
      <c r="C1669">
        <v>68745</v>
      </c>
      <c r="D1669" t="s">
        <v>110</v>
      </c>
      <c r="E1669" s="7">
        <v>916.25</v>
      </c>
      <c r="F1669" t="s">
        <v>20</v>
      </c>
      <c r="G1669" t="s">
        <v>21</v>
      </c>
      <c r="H1669" t="str">
        <f>"2021-024908.12"</f>
        <v>2021-024908.12</v>
      </c>
      <c r="I1669" t="str">
        <f t="shared" si="39"/>
        <v>BUREAU VERITAS NORTH AMERICA</v>
      </c>
    </row>
    <row r="1670" spans="1:9" x14ac:dyDescent="0.25">
      <c r="A1670" s="6">
        <v>44594</v>
      </c>
      <c r="B1670" t="s">
        <v>26</v>
      </c>
      <c r="C1670">
        <v>68745</v>
      </c>
      <c r="D1670" t="s">
        <v>110</v>
      </c>
      <c r="E1670" s="7">
        <v>971.9</v>
      </c>
      <c r="F1670" t="s">
        <v>20</v>
      </c>
      <c r="G1670" t="s">
        <v>21</v>
      </c>
      <c r="H1670" t="str">
        <f>"2021-024909.12"</f>
        <v>2021-024909.12</v>
      </c>
      <c r="I1670" t="str">
        <f t="shared" si="39"/>
        <v>BUREAU VERITAS NORTH AMERICA</v>
      </c>
    </row>
    <row r="1671" spans="1:9" x14ac:dyDescent="0.25">
      <c r="A1671" s="6">
        <v>44594</v>
      </c>
      <c r="B1671" t="s">
        <v>26</v>
      </c>
      <c r="C1671">
        <v>68745</v>
      </c>
      <c r="D1671" t="s">
        <v>110</v>
      </c>
      <c r="E1671" s="7">
        <v>76.92</v>
      </c>
      <c r="F1671" t="s">
        <v>20</v>
      </c>
      <c r="G1671" t="s">
        <v>21</v>
      </c>
      <c r="H1671" t="str">
        <f>"2021-025618.12"</f>
        <v>2021-025618.12</v>
      </c>
      <c r="I1671" t="str">
        <f t="shared" si="39"/>
        <v>BUREAU VERITAS NORTH AMERICA</v>
      </c>
    </row>
    <row r="1672" spans="1:9" x14ac:dyDescent="0.25">
      <c r="A1672" s="6">
        <v>44594</v>
      </c>
      <c r="B1672" t="s">
        <v>26</v>
      </c>
      <c r="C1672">
        <v>68750</v>
      </c>
      <c r="D1672" t="s">
        <v>98</v>
      </c>
      <c r="E1672" s="7">
        <v>9.91</v>
      </c>
      <c r="F1672" t="s">
        <v>20</v>
      </c>
      <c r="G1672" t="s">
        <v>329</v>
      </c>
      <c r="H1672" t="str">
        <f>"FEB. 2022"</f>
        <v>FEB. 2022</v>
      </c>
      <c r="I1672" t="str">
        <f>"DEARBORN LIFE INSURANCE COMPAN"</f>
        <v>DEARBORN LIFE INSURANCE COMPAN</v>
      </c>
    </row>
    <row r="1673" spans="1:9" x14ac:dyDescent="0.25">
      <c r="A1673" s="6">
        <v>44594</v>
      </c>
      <c r="B1673" t="s">
        <v>26</v>
      </c>
      <c r="C1673">
        <v>68750</v>
      </c>
      <c r="D1673" t="s">
        <v>98</v>
      </c>
      <c r="E1673" s="7">
        <v>390.91</v>
      </c>
      <c r="F1673" t="s">
        <v>20</v>
      </c>
      <c r="G1673" t="s">
        <v>21</v>
      </c>
      <c r="H1673" t="str">
        <f>"STD202201118638"</f>
        <v>STD202201118638</v>
      </c>
      <c r="I1673" t="str">
        <f>"SHORT TERM DISABILITY"</f>
        <v>SHORT TERM DISABILITY</v>
      </c>
    </row>
    <row r="1674" spans="1:9" x14ac:dyDescent="0.25">
      <c r="A1674" s="6">
        <v>44594</v>
      </c>
      <c r="B1674" t="s">
        <v>26</v>
      </c>
      <c r="C1674">
        <v>68750</v>
      </c>
      <c r="D1674" t="s">
        <v>98</v>
      </c>
      <c r="E1674" s="7">
        <v>390.91</v>
      </c>
      <c r="F1674" t="s">
        <v>20</v>
      </c>
      <c r="G1674" t="s">
        <v>21</v>
      </c>
      <c r="H1674" t="str">
        <f>"STD202201258639"</f>
        <v>STD202201258639</v>
      </c>
      <c r="I1674" t="str">
        <f>"SHORT TERM DISABILITY"</f>
        <v>SHORT TERM DISABILITY</v>
      </c>
    </row>
    <row r="1675" spans="1:9" x14ac:dyDescent="0.25">
      <c r="A1675" s="6">
        <v>44594</v>
      </c>
      <c r="B1675" t="s">
        <v>26</v>
      </c>
      <c r="C1675">
        <v>68750</v>
      </c>
      <c r="D1675" t="s">
        <v>98</v>
      </c>
      <c r="E1675" s="7">
        <v>294.02</v>
      </c>
      <c r="F1675" t="s">
        <v>20</v>
      </c>
      <c r="G1675" t="s">
        <v>21</v>
      </c>
      <c r="H1675" t="str">
        <f>"VIS202201118638"</f>
        <v>VIS202201118638</v>
      </c>
      <c r="I1675" t="str">
        <f>"VISION INSURANCE"</f>
        <v>VISION INSURANCE</v>
      </c>
    </row>
    <row r="1676" spans="1:9" x14ac:dyDescent="0.25">
      <c r="A1676" s="6">
        <v>44594</v>
      </c>
      <c r="B1676" t="s">
        <v>26</v>
      </c>
      <c r="C1676">
        <v>68750</v>
      </c>
      <c r="D1676" t="s">
        <v>98</v>
      </c>
      <c r="E1676" s="7">
        <v>294.02</v>
      </c>
      <c r="F1676" t="s">
        <v>20</v>
      </c>
      <c r="G1676" t="s">
        <v>21</v>
      </c>
      <c r="H1676" t="str">
        <f>"VIS202201258639"</f>
        <v>VIS202201258639</v>
      </c>
      <c r="I1676" t="str">
        <f>"VISION INSURANCE"</f>
        <v>VISION INSURANCE</v>
      </c>
    </row>
    <row r="1677" spans="1:9" x14ac:dyDescent="0.25">
      <c r="A1677" s="6">
        <v>44594</v>
      </c>
      <c r="B1677" t="s">
        <v>26</v>
      </c>
      <c r="C1677">
        <v>68750</v>
      </c>
      <c r="D1677" t="s">
        <v>98</v>
      </c>
      <c r="E1677" s="7">
        <v>62.24</v>
      </c>
      <c r="F1677" t="s">
        <v>20</v>
      </c>
      <c r="G1677" t="s">
        <v>21</v>
      </c>
      <c r="H1677" t="str">
        <f>"VLC202201118638"</f>
        <v>VLC202201118638</v>
      </c>
      <c r="I1677" t="str">
        <f>"CHILD LIFE INSURANCE"</f>
        <v>CHILD LIFE INSURANCE</v>
      </c>
    </row>
    <row r="1678" spans="1:9" x14ac:dyDescent="0.25">
      <c r="A1678" s="6">
        <v>44594</v>
      </c>
      <c r="B1678" t="s">
        <v>26</v>
      </c>
      <c r="C1678">
        <v>68750</v>
      </c>
      <c r="D1678" t="s">
        <v>98</v>
      </c>
      <c r="E1678" s="7">
        <v>62.24</v>
      </c>
      <c r="F1678" t="s">
        <v>20</v>
      </c>
      <c r="G1678" t="s">
        <v>21</v>
      </c>
      <c r="H1678" t="str">
        <f>"VLC202201258639"</f>
        <v>VLC202201258639</v>
      </c>
      <c r="I1678" t="str">
        <f>"CHILD LIFE INSURANCE"</f>
        <v>CHILD LIFE INSURANCE</v>
      </c>
    </row>
    <row r="1679" spans="1:9" x14ac:dyDescent="0.25">
      <c r="A1679" s="6">
        <v>44594</v>
      </c>
      <c r="B1679" t="s">
        <v>26</v>
      </c>
      <c r="C1679">
        <v>68750</v>
      </c>
      <c r="D1679" t="s">
        <v>98</v>
      </c>
      <c r="E1679" s="7">
        <v>131.57</v>
      </c>
      <c r="F1679" t="s">
        <v>20</v>
      </c>
      <c r="G1679" t="s">
        <v>21</v>
      </c>
      <c r="H1679" t="str">
        <f>"VLS202201118638"</f>
        <v>VLS202201118638</v>
      </c>
      <c r="I1679" t="str">
        <f>"SPOUSE LIFE"</f>
        <v>SPOUSE LIFE</v>
      </c>
    </row>
    <row r="1680" spans="1:9" x14ac:dyDescent="0.25">
      <c r="A1680" s="6">
        <v>44594</v>
      </c>
      <c r="B1680" t="s">
        <v>26</v>
      </c>
      <c r="C1680">
        <v>68750</v>
      </c>
      <c r="D1680" t="s">
        <v>98</v>
      </c>
      <c r="E1680" s="7">
        <v>131.57</v>
      </c>
      <c r="F1680" t="s">
        <v>20</v>
      </c>
      <c r="G1680" t="s">
        <v>21</v>
      </c>
      <c r="H1680" t="str">
        <f>"VLS202201258639"</f>
        <v>VLS202201258639</v>
      </c>
      <c r="I1680" t="str">
        <f>"SPOUSE LIFE"</f>
        <v>SPOUSE LIFE</v>
      </c>
    </row>
    <row r="1681" spans="1:9" x14ac:dyDescent="0.25">
      <c r="A1681" s="6">
        <v>44594</v>
      </c>
      <c r="B1681" t="s">
        <v>26</v>
      </c>
      <c r="C1681">
        <v>68750</v>
      </c>
      <c r="D1681" t="s">
        <v>98</v>
      </c>
      <c r="E1681" s="7">
        <v>83.05</v>
      </c>
      <c r="F1681" t="s">
        <v>20</v>
      </c>
      <c r="G1681" t="s">
        <v>21</v>
      </c>
      <c r="H1681" t="str">
        <f>"VOE202201118638"</f>
        <v>VOE202201118638</v>
      </c>
      <c r="I1681" t="str">
        <f>"EMPLOYEE LIFE"</f>
        <v>EMPLOYEE LIFE</v>
      </c>
    </row>
    <row r="1682" spans="1:9" x14ac:dyDescent="0.25">
      <c r="A1682" s="6">
        <v>44594</v>
      </c>
      <c r="B1682" t="s">
        <v>26</v>
      </c>
      <c r="C1682">
        <v>68750</v>
      </c>
      <c r="D1682" t="s">
        <v>98</v>
      </c>
      <c r="E1682" s="7">
        <v>83.05</v>
      </c>
      <c r="F1682" t="s">
        <v>20</v>
      </c>
      <c r="G1682" t="s">
        <v>21</v>
      </c>
      <c r="H1682" t="str">
        <f>"VOE202201258639"</f>
        <v>VOE202201258639</v>
      </c>
      <c r="I1682" t="str">
        <f>"EMPLOYEE LIFE"</f>
        <v>EMPLOYEE LIFE</v>
      </c>
    </row>
    <row r="1683" spans="1:9" x14ac:dyDescent="0.25">
      <c r="A1683" s="6">
        <v>44594</v>
      </c>
      <c r="B1683" t="s">
        <v>26</v>
      </c>
      <c r="C1683">
        <v>68750</v>
      </c>
      <c r="D1683" t="s">
        <v>98</v>
      </c>
      <c r="E1683" s="7">
        <v>719.61</v>
      </c>
      <c r="F1683" t="s">
        <v>20</v>
      </c>
      <c r="G1683" t="s">
        <v>21</v>
      </c>
      <c r="H1683" t="str">
        <f>"VOL202201118638"</f>
        <v>VOL202201118638</v>
      </c>
      <c r="I1683" t="str">
        <f>"LIFE"</f>
        <v>LIFE</v>
      </c>
    </row>
    <row r="1684" spans="1:9" x14ac:dyDescent="0.25">
      <c r="A1684" s="6">
        <v>44594</v>
      </c>
      <c r="B1684" t="s">
        <v>26</v>
      </c>
      <c r="C1684">
        <v>68750</v>
      </c>
      <c r="D1684" t="s">
        <v>98</v>
      </c>
      <c r="E1684" s="7">
        <v>719.61</v>
      </c>
      <c r="F1684" t="s">
        <v>20</v>
      </c>
      <c r="G1684" t="s">
        <v>21</v>
      </c>
      <c r="H1684" t="str">
        <f>"VOL202201258639"</f>
        <v>VOL202201258639</v>
      </c>
      <c r="I1684" t="str">
        <f>"LIFE"</f>
        <v>LIFE</v>
      </c>
    </row>
    <row r="1685" spans="1:9" x14ac:dyDescent="0.25">
      <c r="A1685" s="6">
        <v>44594</v>
      </c>
      <c r="B1685" t="s">
        <v>26</v>
      </c>
      <c r="C1685">
        <v>68759</v>
      </c>
      <c r="D1685" t="s">
        <v>64</v>
      </c>
      <c r="E1685" s="7">
        <v>5177</v>
      </c>
      <c r="F1685" t="s">
        <v>20</v>
      </c>
      <c r="G1685" t="s">
        <v>21</v>
      </c>
      <c r="H1685" t="str">
        <f>"8697"</f>
        <v>8697</v>
      </c>
      <c r="I1685" t="str">
        <f>"DREWA DESIGNS  INC."</f>
        <v>DREWA DESIGNS  INC.</v>
      </c>
    </row>
    <row r="1686" spans="1:9" x14ac:dyDescent="0.25">
      <c r="A1686" s="6">
        <v>44594</v>
      </c>
      <c r="B1686" t="s">
        <v>26</v>
      </c>
      <c r="C1686">
        <v>68759</v>
      </c>
      <c r="D1686" t="s">
        <v>64</v>
      </c>
      <c r="E1686" s="7">
        <v>3263.4</v>
      </c>
      <c r="F1686" t="s">
        <v>20</v>
      </c>
      <c r="G1686" t="s">
        <v>21</v>
      </c>
      <c r="H1686" t="str">
        <f>"8739"</f>
        <v>8739</v>
      </c>
      <c r="I1686" t="str">
        <f>"DREWA DESIGNS  INC."</f>
        <v>DREWA DESIGNS  INC.</v>
      </c>
    </row>
    <row r="1687" spans="1:9" x14ac:dyDescent="0.25">
      <c r="A1687" s="6">
        <v>44594</v>
      </c>
      <c r="B1687" t="s">
        <v>26</v>
      </c>
      <c r="C1687">
        <v>68760</v>
      </c>
      <c r="D1687" t="s">
        <v>97</v>
      </c>
      <c r="E1687" s="7">
        <v>619.49</v>
      </c>
      <c r="F1687" t="s">
        <v>20</v>
      </c>
      <c r="G1687" t="s">
        <v>21</v>
      </c>
      <c r="H1687" t="str">
        <f>"COBRA J.EVINS 2/22"</f>
        <v>COBRA J.EVINS 2/22</v>
      </c>
      <c r="I1687" t="str">
        <f>"HEALTH CARE SERVICE CORPORATIO"</f>
        <v>HEALTH CARE SERVICE CORPORATIO</v>
      </c>
    </row>
    <row r="1688" spans="1:9" x14ac:dyDescent="0.25">
      <c r="A1688" s="6">
        <v>44594</v>
      </c>
      <c r="B1688" t="s">
        <v>26</v>
      </c>
      <c r="C1688">
        <v>68761</v>
      </c>
      <c r="D1688" t="s">
        <v>84</v>
      </c>
      <c r="E1688" s="7">
        <v>700</v>
      </c>
      <c r="F1688" t="s">
        <v>20</v>
      </c>
      <c r="G1688" t="s">
        <v>21</v>
      </c>
      <c r="H1688" t="str">
        <f>"1756173"</f>
        <v>1756173</v>
      </c>
      <c r="I1688" t="str">
        <f>"STANTEC CONSULTING SERVICES IN"</f>
        <v>STANTEC CONSULTING SERVICES IN</v>
      </c>
    </row>
    <row r="1689" spans="1:9" x14ac:dyDescent="0.25">
      <c r="A1689" s="6">
        <v>44594</v>
      </c>
      <c r="B1689" t="s">
        <v>26</v>
      </c>
      <c r="C1689">
        <v>68762</v>
      </c>
      <c r="D1689" t="s">
        <v>1141</v>
      </c>
      <c r="E1689" s="7">
        <v>267.39999999999998</v>
      </c>
      <c r="F1689" t="s">
        <v>20</v>
      </c>
      <c r="G1689" t="s">
        <v>21</v>
      </c>
      <c r="H1689" t="str">
        <f>"SS1-SS11790"</f>
        <v>SS1-SS11790</v>
      </c>
      <c r="I1689" t="str">
        <f t="shared" ref="I1689:I1704" si="40">"TEXAS LANDFILL MANAGEMENT  LLC"</f>
        <v>TEXAS LANDFILL MANAGEMENT  LLC</v>
      </c>
    </row>
    <row r="1690" spans="1:9" x14ac:dyDescent="0.25">
      <c r="A1690" s="6">
        <v>44594</v>
      </c>
      <c r="B1690" t="s">
        <v>26</v>
      </c>
      <c r="C1690">
        <v>68762</v>
      </c>
      <c r="D1690" t="s">
        <v>1141</v>
      </c>
      <c r="E1690" s="7">
        <v>274.68</v>
      </c>
      <c r="F1690" t="s">
        <v>20</v>
      </c>
      <c r="G1690" t="s">
        <v>21</v>
      </c>
      <c r="H1690" t="str">
        <f>"SS1-SS11791"</f>
        <v>SS1-SS11791</v>
      </c>
      <c r="I1690" t="str">
        <f t="shared" si="40"/>
        <v>TEXAS LANDFILL MANAGEMENT  LLC</v>
      </c>
    </row>
    <row r="1691" spans="1:9" x14ac:dyDescent="0.25">
      <c r="A1691" s="6">
        <v>44594</v>
      </c>
      <c r="B1691" t="s">
        <v>26</v>
      </c>
      <c r="C1691">
        <v>68762</v>
      </c>
      <c r="D1691" t="s">
        <v>1141</v>
      </c>
      <c r="E1691" s="7">
        <v>247.24</v>
      </c>
      <c r="F1691" t="s">
        <v>20</v>
      </c>
      <c r="G1691" t="s">
        <v>21</v>
      </c>
      <c r="H1691" t="str">
        <f>"SS1-SS11792"</f>
        <v>SS1-SS11792</v>
      </c>
      <c r="I1691" t="str">
        <f t="shared" si="40"/>
        <v>TEXAS LANDFILL MANAGEMENT  LLC</v>
      </c>
    </row>
    <row r="1692" spans="1:9" x14ac:dyDescent="0.25">
      <c r="A1692" s="6">
        <v>44594</v>
      </c>
      <c r="B1692" t="s">
        <v>26</v>
      </c>
      <c r="C1692">
        <v>68762</v>
      </c>
      <c r="D1692" t="s">
        <v>1141</v>
      </c>
      <c r="E1692" s="7">
        <v>270.48</v>
      </c>
      <c r="F1692" t="s">
        <v>20</v>
      </c>
      <c r="G1692" t="s">
        <v>21</v>
      </c>
      <c r="H1692" t="str">
        <f>"SS1-SS11793"</f>
        <v>SS1-SS11793</v>
      </c>
      <c r="I1692" t="str">
        <f t="shared" si="40"/>
        <v>TEXAS LANDFILL MANAGEMENT  LLC</v>
      </c>
    </row>
    <row r="1693" spans="1:9" x14ac:dyDescent="0.25">
      <c r="A1693" s="6">
        <v>44594</v>
      </c>
      <c r="B1693" t="s">
        <v>26</v>
      </c>
      <c r="C1693">
        <v>68762</v>
      </c>
      <c r="D1693" t="s">
        <v>1141</v>
      </c>
      <c r="E1693" s="7">
        <v>248.64</v>
      </c>
      <c r="F1693" t="s">
        <v>20</v>
      </c>
      <c r="G1693" t="s">
        <v>21</v>
      </c>
      <c r="H1693" t="str">
        <f>"SS1-SS11795"</f>
        <v>SS1-SS11795</v>
      </c>
      <c r="I1693" t="str">
        <f t="shared" si="40"/>
        <v>TEXAS LANDFILL MANAGEMENT  LLC</v>
      </c>
    </row>
    <row r="1694" spans="1:9" x14ac:dyDescent="0.25">
      <c r="A1694" s="6">
        <v>44594</v>
      </c>
      <c r="B1694" t="s">
        <v>26</v>
      </c>
      <c r="C1694">
        <v>68762</v>
      </c>
      <c r="D1694" t="s">
        <v>1141</v>
      </c>
      <c r="E1694" s="7">
        <v>284.2</v>
      </c>
      <c r="F1694" t="s">
        <v>20</v>
      </c>
      <c r="G1694" t="s">
        <v>21</v>
      </c>
      <c r="H1694" t="str">
        <f>"SS1-SS11796"</f>
        <v>SS1-SS11796</v>
      </c>
      <c r="I1694" t="str">
        <f t="shared" si="40"/>
        <v>TEXAS LANDFILL MANAGEMENT  LLC</v>
      </c>
    </row>
    <row r="1695" spans="1:9" x14ac:dyDescent="0.25">
      <c r="A1695" s="6">
        <v>44594</v>
      </c>
      <c r="B1695" t="s">
        <v>26</v>
      </c>
      <c r="C1695">
        <v>68762</v>
      </c>
      <c r="D1695" t="s">
        <v>1141</v>
      </c>
      <c r="E1695" s="7">
        <v>271.88</v>
      </c>
      <c r="F1695" t="s">
        <v>20</v>
      </c>
      <c r="G1695" t="s">
        <v>21</v>
      </c>
      <c r="H1695" t="str">
        <f>"SS1-SS11797"</f>
        <v>SS1-SS11797</v>
      </c>
      <c r="I1695" t="str">
        <f t="shared" si="40"/>
        <v>TEXAS LANDFILL MANAGEMENT  LLC</v>
      </c>
    </row>
    <row r="1696" spans="1:9" x14ac:dyDescent="0.25">
      <c r="A1696" s="6">
        <v>44594</v>
      </c>
      <c r="B1696" t="s">
        <v>26</v>
      </c>
      <c r="C1696">
        <v>68762</v>
      </c>
      <c r="D1696" t="s">
        <v>1141</v>
      </c>
      <c r="E1696" s="7">
        <v>294.83999999999997</v>
      </c>
      <c r="F1696" t="s">
        <v>20</v>
      </c>
      <c r="G1696" t="s">
        <v>21</v>
      </c>
      <c r="H1696" t="str">
        <f>"SS1-SS11798"</f>
        <v>SS1-SS11798</v>
      </c>
      <c r="I1696" t="str">
        <f t="shared" si="40"/>
        <v>TEXAS LANDFILL MANAGEMENT  LLC</v>
      </c>
    </row>
    <row r="1697" spans="1:9" x14ac:dyDescent="0.25">
      <c r="A1697" s="6">
        <v>44594</v>
      </c>
      <c r="B1697" t="s">
        <v>26</v>
      </c>
      <c r="C1697">
        <v>68762</v>
      </c>
      <c r="D1697" t="s">
        <v>1141</v>
      </c>
      <c r="E1697" s="7">
        <v>286.16000000000003</v>
      </c>
      <c r="F1697" t="s">
        <v>20</v>
      </c>
      <c r="G1697" t="s">
        <v>21</v>
      </c>
      <c r="H1697" t="str">
        <f>"SS1-SS11799"</f>
        <v>SS1-SS11799</v>
      </c>
      <c r="I1697" t="str">
        <f t="shared" si="40"/>
        <v>TEXAS LANDFILL MANAGEMENT  LLC</v>
      </c>
    </row>
    <row r="1698" spans="1:9" x14ac:dyDescent="0.25">
      <c r="A1698" s="6">
        <v>44594</v>
      </c>
      <c r="B1698" t="s">
        <v>26</v>
      </c>
      <c r="C1698">
        <v>68762</v>
      </c>
      <c r="D1698" t="s">
        <v>1141</v>
      </c>
      <c r="E1698" s="7">
        <v>268.52</v>
      </c>
      <c r="F1698" t="s">
        <v>20</v>
      </c>
      <c r="G1698" t="s">
        <v>21</v>
      </c>
      <c r="H1698" t="str">
        <f>"SS1-SS11800"</f>
        <v>SS1-SS11800</v>
      </c>
      <c r="I1698" t="str">
        <f t="shared" si="40"/>
        <v>TEXAS LANDFILL MANAGEMENT  LLC</v>
      </c>
    </row>
    <row r="1699" spans="1:9" x14ac:dyDescent="0.25">
      <c r="A1699" s="6">
        <v>44594</v>
      </c>
      <c r="B1699" t="s">
        <v>26</v>
      </c>
      <c r="C1699">
        <v>68762</v>
      </c>
      <c r="D1699" t="s">
        <v>1141</v>
      </c>
      <c r="E1699" s="7">
        <v>281.39999999999998</v>
      </c>
      <c r="F1699" t="s">
        <v>20</v>
      </c>
      <c r="G1699" t="s">
        <v>21</v>
      </c>
      <c r="H1699" t="str">
        <f>"SS1-SS11801"</f>
        <v>SS1-SS11801</v>
      </c>
      <c r="I1699" t="str">
        <f t="shared" si="40"/>
        <v>TEXAS LANDFILL MANAGEMENT  LLC</v>
      </c>
    </row>
    <row r="1700" spans="1:9" x14ac:dyDescent="0.25">
      <c r="A1700" s="6">
        <v>44594</v>
      </c>
      <c r="B1700" t="s">
        <v>26</v>
      </c>
      <c r="C1700">
        <v>68762</v>
      </c>
      <c r="D1700" t="s">
        <v>1141</v>
      </c>
      <c r="E1700" s="7">
        <v>253.96</v>
      </c>
      <c r="F1700" t="s">
        <v>20</v>
      </c>
      <c r="G1700" t="s">
        <v>21</v>
      </c>
      <c r="H1700" t="str">
        <f>"SS1-SS11802"</f>
        <v>SS1-SS11802</v>
      </c>
      <c r="I1700" t="str">
        <f t="shared" si="40"/>
        <v>TEXAS LANDFILL MANAGEMENT  LLC</v>
      </c>
    </row>
    <row r="1701" spans="1:9" x14ac:dyDescent="0.25">
      <c r="A1701" s="6">
        <v>44594</v>
      </c>
      <c r="B1701" t="s">
        <v>26</v>
      </c>
      <c r="C1701">
        <v>68762</v>
      </c>
      <c r="D1701" t="s">
        <v>1141</v>
      </c>
      <c r="E1701" s="7">
        <v>282.24</v>
      </c>
      <c r="F1701" t="s">
        <v>20</v>
      </c>
      <c r="G1701" t="s">
        <v>21</v>
      </c>
      <c r="H1701" t="str">
        <f>"SS1-SS11803"</f>
        <v>SS1-SS11803</v>
      </c>
      <c r="I1701" t="str">
        <f t="shared" si="40"/>
        <v>TEXAS LANDFILL MANAGEMENT  LLC</v>
      </c>
    </row>
    <row r="1702" spans="1:9" x14ac:dyDescent="0.25">
      <c r="A1702" s="6">
        <v>44594</v>
      </c>
      <c r="B1702" t="s">
        <v>26</v>
      </c>
      <c r="C1702">
        <v>68762</v>
      </c>
      <c r="D1702" t="s">
        <v>1141</v>
      </c>
      <c r="E1702" s="7">
        <v>271.32</v>
      </c>
      <c r="F1702" t="s">
        <v>20</v>
      </c>
      <c r="G1702" t="s">
        <v>21</v>
      </c>
      <c r="H1702" t="str">
        <f>"SS1-SS11804"</f>
        <v>SS1-SS11804</v>
      </c>
      <c r="I1702" t="str">
        <f t="shared" si="40"/>
        <v>TEXAS LANDFILL MANAGEMENT  LLC</v>
      </c>
    </row>
    <row r="1703" spans="1:9" x14ac:dyDescent="0.25">
      <c r="A1703" s="6">
        <v>44594</v>
      </c>
      <c r="B1703" t="s">
        <v>26</v>
      </c>
      <c r="C1703">
        <v>68762</v>
      </c>
      <c r="D1703" t="s">
        <v>1141</v>
      </c>
      <c r="E1703" s="7">
        <v>265.72000000000003</v>
      </c>
      <c r="F1703" t="s">
        <v>20</v>
      </c>
      <c r="G1703" t="s">
        <v>21</v>
      </c>
      <c r="H1703" t="str">
        <f>"SS1-SS11805"</f>
        <v>SS1-SS11805</v>
      </c>
      <c r="I1703" t="str">
        <f t="shared" si="40"/>
        <v>TEXAS LANDFILL MANAGEMENT  LLC</v>
      </c>
    </row>
    <row r="1704" spans="1:9" x14ac:dyDescent="0.25">
      <c r="A1704" s="6">
        <v>44594</v>
      </c>
      <c r="B1704" t="s">
        <v>26</v>
      </c>
      <c r="C1704">
        <v>68762</v>
      </c>
      <c r="D1704" t="s">
        <v>1141</v>
      </c>
      <c r="E1704" s="7">
        <v>265.72000000000003</v>
      </c>
      <c r="F1704" t="s">
        <v>20</v>
      </c>
      <c r="G1704" t="s">
        <v>21</v>
      </c>
      <c r="H1704" t="str">
        <f>"SS1-SS11807"</f>
        <v>SS1-SS11807</v>
      </c>
      <c r="I1704" t="str">
        <f t="shared" si="40"/>
        <v>TEXAS LANDFILL MANAGEMENT  LLC</v>
      </c>
    </row>
    <row r="1705" spans="1:9" x14ac:dyDescent="0.25">
      <c r="A1705" s="6">
        <v>44594</v>
      </c>
      <c r="B1705" t="s">
        <v>26</v>
      </c>
      <c r="C1705">
        <v>68765</v>
      </c>
      <c r="D1705" t="s">
        <v>644</v>
      </c>
      <c r="E1705" s="7">
        <v>130.55000000000001</v>
      </c>
      <c r="F1705" t="s">
        <v>20</v>
      </c>
      <c r="G1705" t="s">
        <v>21</v>
      </c>
      <c r="H1705" t="str">
        <f>"8213689416"</f>
        <v>8213689416</v>
      </c>
      <c r="I1705" t="str">
        <f t="shared" ref="I1705:I1710" si="41">"UNIFIRST CORPORATION"</f>
        <v>UNIFIRST CORPORATION</v>
      </c>
    </row>
    <row r="1706" spans="1:9" x14ac:dyDescent="0.25">
      <c r="A1706" s="6">
        <v>44594</v>
      </c>
      <c r="B1706" t="s">
        <v>26</v>
      </c>
      <c r="C1706">
        <v>68765</v>
      </c>
      <c r="D1706" t="s">
        <v>644</v>
      </c>
      <c r="E1706" s="7">
        <v>63.09</v>
      </c>
      <c r="F1706" t="s">
        <v>20</v>
      </c>
      <c r="G1706" t="s">
        <v>21</v>
      </c>
      <c r="H1706" t="str">
        <f>"8213689417"</f>
        <v>8213689417</v>
      </c>
      <c r="I1706" t="str">
        <f t="shared" si="41"/>
        <v>UNIFIRST CORPORATION</v>
      </c>
    </row>
    <row r="1707" spans="1:9" x14ac:dyDescent="0.25">
      <c r="A1707" s="6">
        <v>44594</v>
      </c>
      <c r="B1707" t="s">
        <v>26</v>
      </c>
      <c r="C1707">
        <v>68765</v>
      </c>
      <c r="D1707" t="s">
        <v>644</v>
      </c>
      <c r="E1707" s="7">
        <v>116.68</v>
      </c>
      <c r="F1707" t="s">
        <v>20</v>
      </c>
      <c r="G1707" t="s">
        <v>21</v>
      </c>
      <c r="H1707" t="str">
        <f>"8213689418"</f>
        <v>8213689418</v>
      </c>
      <c r="I1707" t="str">
        <f t="shared" si="41"/>
        <v>UNIFIRST CORPORATION</v>
      </c>
    </row>
    <row r="1708" spans="1:9" x14ac:dyDescent="0.25">
      <c r="A1708" s="6">
        <v>44594</v>
      </c>
      <c r="B1708" t="s">
        <v>26</v>
      </c>
      <c r="C1708">
        <v>68765</v>
      </c>
      <c r="D1708" t="s">
        <v>644</v>
      </c>
      <c r="E1708" s="7">
        <v>124.5</v>
      </c>
      <c r="F1708" t="s">
        <v>20</v>
      </c>
      <c r="G1708" t="s">
        <v>21</v>
      </c>
      <c r="H1708" t="str">
        <f>"8213689419"</f>
        <v>8213689419</v>
      </c>
      <c r="I1708" t="str">
        <f t="shared" si="41"/>
        <v>UNIFIRST CORPORATION</v>
      </c>
    </row>
    <row r="1709" spans="1:9" x14ac:dyDescent="0.25">
      <c r="A1709" s="6">
        <v>44594</v>
      </c>
      <c r="B1709" t="s">
        <v>26</v>
      </c>
      <c r="C1709">
        <v>68765</v>
      </c>
      <c r="D1709" t="s">
        <v>644</v>
      </c>
      <c r="E1709" s="7">
        <v>95.04</v>
      </c>
      <c r="F1709" t="s">
        <v>20</v>
      </c>
      <c r="G1709" t="s">
        <v>21</v>
      </c>
      <c r="H1709" t="str">
        <f>"8213689421"</f>
        <v>8213689421</v>
      </c>
      <c r="I1709" t="str">
        <f t="shared" si="41"/>
        <v>UNIFIRST CORPORATION</v>
      </c>
    </row>
    <row r="1710" spans="1:9" x14ac:dyDescent="0.25">
      <c r="A1710" s="6">
        <v>44594</v>
      </c>
      <c r="B1710" t="s">
        <v>26</v>
      </c>
      <c r="C1710">
        <v>68765</v>
      </c>
      <c r="D1710" t="s">
        <v>644</v>
      </c>
      <c r="E1710" s="7">
        <v>26.49</v>
      </c>
      <c r="F1710" t="s">
        <v>20</v>
      </c>
      <c r="G1710" t="s">
        <v>21</v>
      </c>
      <c r="H1710" t="str">
        <f>"8213689422"</f>
        <v>8213689422</v>
      </c>
      <c r="I1710" t="str">
        <f t="shared" si="41"/>
        <v>UNIFIRST CORPORATION</v>
      </c>
    </row>
    <row r="1711" spans="1:9" x14ac:dyDescent="0.25">
      <c r="A1711" s="6">
        <v>44600</v>
      </c>
      <c r="B1711" t="s">
        <v>26</v>
      </c>
      <c r="C1711">
        <v>68767</v>
      </c>
      <c r="D1711" t="s">
        <v>431</v>
      </c>
      <c r="E1711" s="7">
        <v>150</v>
      </c>
      <c r="F1711" t="s">
        <v>20</v>
      </c>
      <c r="G1711" t="s">
        <v>21</v>
      </c>
      <c r="H1711" t="str">
        <f>"PURCHASE PIPE 2/22"</f>
        <v>PURCHASE PIPE 2/22</v>
      </c>
      <c r="I1711" t="str">
        <f>"ANDRES IBARRA"</f>
        <v>ANDRES IBARRA</v>
      </c>
    </row>
    <row r="1712" spans="1:9" x14ac:dyDescent="0.25">
      <c r="A1712" s="6">
        <v>44600</v>
      </c>
      <c r="B1712" t="s">
        <v>26</v>
      </c>
      <c r="C1712">
        <v>68768</v>
      </c>
      <c r="D1712" t="s">
        <v>0</v>
      </c>
      <c r="E1712" s="7">
        <v>4174.6099999999997</v>
      </c>
      <c r="F1712" t="s">
        <v>20</v>
      </c>
      <c r="G1712" t="s">
        <v>21</v>
      </c>
      <c r="H1712" t="str">
        <f>"12/10-01/10/2022"</f>
        <v>12/10-01/10/2022</v>
      </c>
      <c r="I1712" t="str">
        <f>"CITY OF FLORESVILLE"</f>
        <v>CITY OF FLORESVILLE</v>
      </c>
    </row>
    <row r="1713" spans="1:9" x14ac:dyDescent="0.25">
      <c r="A1713" s="6">
        <v>44600</v>
      </c>
      <c r="B1713" t="s">
        <v>26</v>
      </c>
      <c r="C1713">
        <v>68769</v>
      </c>
      <c r="D1713" t="s">
        <v>79</v>
      </c>
      <c r="E1713" s="7">
        <v>97.56</v>
      </c>
      <c r="F1713" t="s">
        <v>20</v>
      </c>
      <c r="G1713" t="s">
        <v>21</v>
      </c>
      <c r="H1713" t="str">
        <f>"7-62872621"</f>
        <v>7-62872621</v>
      </c>
      <c r="I1713" t="str">
        <f>"FEDEX"</f>
        <v>FEDEX</v>
      </c>
    </row>
    <row r="1714" spans="1:9" x14ac:dyDescent="0.25">
      <c r="A1714" s="6">
        <v>44600</v>
      </c>
      <c r="B1714" t="s">
        <v>26</v>
      </c>
      <c r="C1714">
        <v>68770</v>
      </c>
      <c r="D1714" t="s">
        <v>739</v>
      </c>
      <c r="E1714" s="7">
        <v>1323.98</v>
      </c>
      <c r="F1714" t="s">
        <v>20</v>
      </c>
      <c r="G1714" t="s">
        <v>21</v>
      </c>
      <c r="H1714" t="str">
        <f>"5286X01272022"</f>
        <v>5286X01272022</v>
      </c>
      <c r="I1714" t="str">
        <f>"FIRSTNET/AT&amp;T MOBILITY LLC"</f>
        <v>FIRSTNET/AT&amp;T MOBILITY LLC</v>
      </c>
    </row>
    <row r="1715" spans="1:9" x14ac:dyDescent="0.25">
      <c r="A1715" s="6">
        <v>44600</v>
      </c>
      <c r="B1715" t="s">
        <v>26</v>
      </c>
      <c r="C1715">
        <v>68771</v>
      </c>
      <c r="D1715" t="s">
        <v>85</v>
      </c>
      <c r="E1715" s="7">
        <v>348.17</v>
      </c>
      <c r="F1715" t="s">
        <v>20</v>
      </c>
      <c r="G1715" t="s">
        <v>21</v>
      </c>
      <c r="H1715" t="str">
        <f>"3937070 JAN.2022"</f>
        <v>3937070 JAN.2022</v>
      </c>
      <c r="I1715" t="str">
        <f>"FRONTIER"</f>
        <v>FRONTIER</v>
      </c>
    </row>
    <row r="1716" spans="1:9" x14ac:dyDescent="0.25">
      <c r="A1716" s="6">
        <v>44600</v>
      </c>
      <c r="B1716" t="s">
        <v>26</v>
      </c>
      <c r="C1716">
        <v>68771</v>
      </c>
      <c r="D1716" t="s">
        <v>85</v>
      </c>
      <c r="E1716" s="7">
        <v>480</v>
      </c>
      <c r="F1716" t="s">
        <v>20</v>
      </c>
      <c r="G1716" t="s">
        <v>21</v>
      </c>
      <c r="H1716" t="str">
        <f>"8301970046 1/2022"</f>
        <v>8301970046 1/2022</v>
      </c>
      <c r="I1716" t="str">
        <f>"FRONTIER"</f>
        <v>FRONTIER</v>
      </c>
    </row>
    <row r="1717" spans="1:9" x14ac:dyDescent="0.25">
      <c r="A1717" s="6">
        <v>44600</v>
      </c>
      <c r="B1717" t="s">
        <v>26</v>
      </c>
      <c r="C1717">
        <v>68772</v>
      </c>
      <c r="D1717" t="s">
        <v>1136</v>
      </c>
      <c r="E1717" s="7">
        <v>2351</v>
      </c>
      <c r="F1717" t="s">
        <v>20</v>
      </c>
      <c r="G1717" t="s">
        <v>21</v>
      </c>
      <c r="H1717" t="str">
        <f>"INV0097"</f>
        <v>INV0097</v>
      </c>
      <c r="I1717" t="str">
        <f>"COF TENNIS COURT"</f>
        <v>COF TENNIS COURT</v>
      </c>
    </row>
    <row r="1718" spans="1:9" x14ac:dyDescent="0.25">
      <c r="A1718" s="6">
        <v>44600</v>
      </c>
      <c r="B1718" t="s">
        <v>26</v>
      </c>
      <c r="C1718">
        <v>68772</v>
      </c>
      <c r="D1718" t="s">
        <v>1136</v>
      </c>
      <c r="E1718" s="7">
        <v>500</v>
      </c>
      <c r="F1718" t="s">
        <v>20</v>
      </c>
      <c r="G1718" t="s">
        <v>21</v>
      </c>
      <c r="H1718" t="str">
        <f>"INV0098"</f>
        <v>INV0098</v>
      </c>
      <c r="I1718" t="str">
        <f>"LUX ELECTRIC LLC"</f>
        <v>LUX ELECTRIC LLC</v>
      </c>
    </row>
    <row r="1719" spans="1:9" x14ac:dyDescent="0.25">
      <c r="A1719" s="6">
        <v>44600</v>
      </c>
      <c r="B1719" t="s">
        <v>26</v>
      </c>
      <c r="C1719">
        <v>68773</v>
      </c>
      <c r="D1719" t="s">
        <v>345</v>
      </c>
      <c r="E1719" s="7">
        <v>264</v>
      </c>
      <c r="F1719" t="s">
        <v>20</v>
      </c>
      <c r="G1719" t="s">
        <v>21</v>
      </c>
      <c r="H1719" t="str">
        <f>"02/07/2022"</f>
        <v>02/07/2022</v>
      </c>
      <c r="I1719" t="str">
        <f>"MICHAEL ISAAC MARTINEZ"</f>
        <v>MICHAEL ISAAC MARTINEZ</v>
      </c>
    </row>
    <row r="1720" spans="1:9" x14ac:dyDescent="0.25">
      <c r="A1720" s="6">
        <v>44600</v>
      </c>
      <c r="B1720" t="s">
        <v>26</v>
      </c>
      <c r="C1720">
        <v>68774</v>
      </c>
      <c r="D1720" t="s">
        <v>213</v>
      </c>
      <c r="E1720" s="7">
        <v>12298.76</v>
      </c>
      <c r="F1720" t="s">
        <v>20</v>
      </c>
      <c r="G1720" t="s">
        <v>21</v>
      </c>
      <c r="H1720" t="str">
        <f>"JANUARY 2022"</f>
        <v>JANUARY 2022</v>
      </c>
      <c r="I1720" t="str">
        <f>"RIVER BEND COMMUNITY DEVELOPME"</f>
        <v>RIVER BEND COMMUNITY DEVELOPME</v>
      </c>
    </row>
    <row r="1721" spans="1:9" x14ac:dyDescent="0.25">
      <c r="A1721" s="6">
        <v>44600</v>
      </c>
      <c r="B1721" t="s">
        <v>26</v>
      </c>
      <c r="C1721">
        <v>68775</v>
      </c>
      <c r="D1721" t="s">
        <v>132</v>
      </c>
      <c r="E1721" s="7">
        <v>71.66</v>
      </c>
      <c r="F1721" t="s">
        <v>20</v>
      </c>
      <c r="G1721" t="s">
        <v>21</v>
      </c>
      <c r="H1721" t="str">
        <f>"202288"</f>
        <v>202288</v>
      </c>
      <c r="I1721" t="str">
        <f>"SPARKLETTS &amp; SIERRA SPRINGS"</f>
        <v>SPARKLETTS &amp; SIERRA SPRINGS</v>
      </c>
    </row>
    <row r="1722" spans="1:9" x14ac:dyDescent="0.25">
      <c r="A1722" s="6">
        <v>44600</v>
      </c>
      <c r="B1722" t="s">
        <v>26</v>
      </c>
      <c r="C1722">
        <v>68776</v>
      </c>
      <c r="D1722" t="s">
        <v>31</v>
      </c>
      <c r="E1722" s="7">
        <v>4000</v>
      </c>
      <c r="F1722" t="s">
        <v>20</v>
      </c>
      <c r="G1722" t="s">
        <v>21</v>
      </c>
      <c r="H1722" t="str">
        <f>"2022288"</f>
        <v>2022288</v>
      </c>
      <c r="I1722" t="str">
        <f>"THE LAW OFFICE OF TOM CALDWELL"</f>
        <v>THE LAW OFFICE OF TOM CALDWELL</v>
      </c>
    </row>
    <row r="1723" spans="1:9" x14ac:dyDescent="0.25">
      <c r="A1723" s="6">
        <v>44600</v>
      </c>
      <c r="B1723" t="s">
        <v>26</v>
      </c>
      <c r="C1723">
        <v>68777</v>
      </c>
      <c r="D1723" t="s">
        <v>311</v>
      </c>
      <c r="E1723" s="7">
        <v>752.74</v>
      </c>
      <c r="F1723" t="s">
        <v>20</v>
      </c>
      <c r="G1723" t="s">
        <v>21</v>
      </c>
      <c r="H1723" t="str">
        <f>"ML-000099792 1/22"</f>
        <v>ML-000099792 1/22</v>
      </c>
      <c r="I1723" t="str">
        <f>"TIB - The Independent BankersB"</f>
        <v>TIB - The Independent BankersB</v>
      </c>
    </row>
    <row r="1724" spans="1:9" x14ac:dyDescent="0.25">
      <c r="A1724" s="6">
        <v>44600</v>
      </c>
      <c r="B1724" t="s">
        <v>26</v>
      </c>
      <c r="C1724">
        <v>68778</v>
      </c>
      <c r="D1724" t="s">
        <v>74</v>
      </c>
      <c r="E1724" s="7">
        <v>2350.5</v>
      </c>
      <c r="F1724" t="s">
        <v>20</v>
      </c>
      <c r="G1724" t="s">
        <v>21</v>
      </c>
      <c r="H1724" t="str">
        <f>"9898036184"</f>
        <v>9898036184</v>
      </c>
      <c r="I1724" t="str">
        <f>"VERIZON WIRELESS"</f>
        <v>VERIZON WIRELESS</v>
      </c>
    </row>
    <row r="1725" spans="1:9" x14ac:dyDescent="0.25">
      <c r="A1725" s="6">
        <v>44600</v>
      </c>
      <c r="B1725" t="s">
        <v>26</v>
      </c>
      <c r="C1725">
        <v>68778</v>
      </c>
      <c r="D1725" t="s">
        <v>74</v>
      </c>
      <c r="E1725" s="7">
        <v>1059.0899999999999</v>
      </c>
      <c r="F1725" t="s">
        <v>20</v>
      </c>
      <c r="G1725" t="s">
        <v>21</v>
      </c>
      <c r="H1725" t="str">
        <f>"9898036185"</f>
        <v>9898036185</v>
      </c>
      <c r="I1725" t="str">
        <f>"VERIZON WIRELESS"</f>
        <v>VERIZON WIRELESS</v>
      </c>
    </row>
    <row r="1726" spans="1:9" x14ac:dyDescent="0.25">
      <c r="A1726" s="6">
        <v>44600</v>
      </c>
      <c r="B1726" t="s">
        <v>26</v>
      </c>
      <c r="C1726">
        <v>68781</v>
      </c>
      <c r="D1726" t="s">
        <v>637</v>
      </c>
      <c r="E1726" s="7">
        <v>75</v>
      </c>
      <c r="F1726" t="s">
        <v>20</v>
      </c>
      <c r="G1726" t="s">
        <v>21</v>
      </c>
      <c r="H1726" t="str">
        <f t="shared" ref="H1726:H1731" si="42">"2/2022-COUNCIL"</f>
        <v>2/2022-COUNCIL</v>
      </c>
      <c r="I1726" t="str">
        <f>""</f>
        <v/>
      </c>
    </row>
    <row r="1727" spans="1:9" x14ac:dyDescent="0.25">
      <c r="A1727" s="6">
        <v>44600</v>
      </c>
      <c r="B1727" t="s">
        <v>26</v>
      </c>
      <c r="C1727">
        <v>68782</v>
      </c>
      <c r="D1727" t="s">
        <v>36</v>
      </c>
      <c r="E1727" s="7">
        <v>75</v>
      </c>
      <c r="F1727" t="s">
        <v>20</v>
      </c>
      <c r="G1727" t="s">
        <v>21</v>
      </c>
      <c r="H1727" t="str">
        <f t="shared" si="42"/>
        <v>2/2022-COUNCIL</v>
      </c>
      <c r="I1727" t="str">
        <f>""</f>
        <v/>
      </c>
    </row>
    <row r="1728" spans="1:9" x14ac:dyDescent="0.25">
      <c r="A1728" s="6">
        <v>44600</v>
      </c>
      <c r="B1728" t="s">
        <v>26</v>
      </c>
      <c r="C1728">
        <v>68783</v>
      </c>
      <c r="D1728" t="s">
        <v>38</v>
      </c>
      <c r="E1728" s="7">
        <v>100</v>
      </c>
      <c r="F1728" t="s">
        <v>20</v>
      </c>
      <c r="G1728" t="s">
        <v>21</v>
      </c>
      <c r="H1728" t="str">
        <f t="shared" si="42"/>
        <v>2/2022-COUNCIL</v>
      </c>
      <c r="I1728" t="str">
        <f>""</f>
        <v/>
      </c>
    </row>
    <row r="1729" spans="1:9" x14ac:dyDescent="0.25">
      <c r="A1729" s="6">
        <v>44600</v>
      </c>
      <c r="B1729" t="s">
        <v>26</v>
      </c>
      <c r="C1729">
        <v>68784</v>
      </c>
      <c r="D1729" t="s">
        <v>558</v>
      </c>
      <c r="E1729" s="7">
        <v>75</v>
      </c>
      <c r="F1729" t="s">
        <v>20</v>
      </c>
      <c r="G1729" t="s">
        <v>21</v>
      </c>
      <c r="H1729" t="str">
        <f t="shared" si="42"/>
        <v>2/2022-COUNCIL</v>
      </c>
      <c r="I1729" t="str">
        <f>"MONTHLY COUNCIL CHECKS"</f>
        <v>MONTHLY COUNCIL CHECKS</v>
      </c>
    </row>
    <row r="1730" spans="1:9" x14ac:dyDescent="0.25">
      <c r="A1730" s="6">
        <v>44600</v>
      </c>
      <c r="B1730" t="s">
        <v>26</v>
      </c>
      <c r="C1730">
        <v>68785</v>
      </c>
      <c r="D1730" t="s">
        <v>889</v>
      </c>
      <c r="E1730" s="7">
        <v>75</v>
      </c>
      <c r="F1730" t="s">
        <v>20</v>
      </c>
      <c r="G1730" t="s">
        <v>21</v>
      </c>
      <c r="H1730" t="str">
        <f t="shared" si="42"/>
        <v>2/2022-COUNCIL</v>
      </c>
      <c r="I1730" t="str">
        <f>""</f>
        <v/>
      </c>
    </row>
    <row r="1731" spans="1:9" x14ac:dyDescent="0.25">
      <c r="A1731" s="6">
        <v>44600</v>
      </c>
      <c r="B1731" t="s">
        <v>26</v>
      </c>
      <c r="C1731">
        <v>68786</v>
      </c>
      <c r="D1731" t="s">
        <v>1011</v>
      </c>
      <c r="E1731" s="7">
        <v>75</v>
      </c>
      <c r="F1731" t="s">
        <v>20</v>
      </c>
      <c r="G1731" t="s">
        <v>21</v>
      </c>
      <c r="H1731" t="str">
        <f t="shared" si="42"/>
        <v>2/2022-COUNCIL</v>
      </c>
      <c r="I1731" t="str">
        <f>""</f>
        <v/>
      </c>
    </row>
    <row r="1732" spans="1:9" x14ac:dyDescent="0.25">
      <c r="A1732" s="6">
        <v>44600</v>
      </c>
      <c r="B1732" t="s">
        <v>26</v>
      </c>
      <c r="C1732">
        <v>68787</v>
      </c>
      <c r="D1732" t="s">
        <v>285</v>
      </c>
      <c r="E1732" s="7">
        <v>150</v>
      </c>
      <c r="F1732" t="s">
        <v>20</v>
      </c>
      <c r="G1732" t="s">
        <v>21</v>
      </c>
      <c r="H1732" t="str">
        <f>"61BSBHK4833 3/1/22"</f>
        <v>61BSBHK4833 3/1/22</v>
      </c>
      <c r="I1732" t="str">
        <f>"VICTOR O. SCHINNERER &amp; CO. INC"</f>
        <v>VICTOR O. SCHINNERER &amp; CO. INC</v>
      </c>
    </row>
    <row r="1733" spans="1:9" x14ac:dyDescent="0.25">
      <c r="A1733" s="6">
        <v>44600</v>
      </c>
      <c r="B1733" t="s">
        <v>26</v>
      </c>
      <c r="C1733">
        <v>68792</v>
      </c>
      <c r="D1733" t="s">
        <v>51</v>
      </c>
      <c r="E1733" s="7">
        <v>13.85</v>
      </c>
      <c r="F1733" t="s">
        <v>20</v>
      </c>
      <c r="G1733" t="s">
        <v>21</v>
      </c>
      <c r="H1733" t="str">
        <f>"CLE202202088640"</f>
        <v>CLE202202088640</v>
      </c>
      <c r="I1733" t="str">
        <f>"CLEAT ONLY DUES"</f>
        <v>CLEAT ONLY DUES</v>
      </c>
    </row>
    <row r="1734" spans="1:9" x14ac:dyDescent="0.25">
      <c r="A1734" s="6">
        <v>44600</v>
      </c>
      <c r="B1734" t="s">
        <v>26</v>
      </c>
      <c r="C1734">
        <v>68792</v>
      </c>
      <c r="D1734" t="s">
        <v>51</v>
      </c>
      <c r="E1734" s="7">
        <v>332.46</v>
      </c>
      <c r="F1734" t="s">
        <v>20</v>
      </c>
      <c r="G1734" t="s">
        <v>21</v>
      </c>
      <c r="H1734" t="str">
        <f>"PDD202202088640"</f>
        <v>PDD202202088640</v>
      </c>
      <c r="I1734" t="str">
        <f>"POLICE OFFICERS ASSOC DUES"</f>
        <v>POLICE OFFICERS ASSOC DUES</v>
      </c>
    </row>
    <row r="1735" spans="1:9" x14ac:dyDescent="0.25">
      <c r="A1735" s="6">
        <v>44600</v>
      </c>
      <c r="B1735" t="s">
        <v>26</v>
      </c>
      <c r="C1735">
        <v>68793</v>
      </c>
      <c r="D1735" t="s">
        <v>52</v>
      </c>
      <c r="E1735" s="7">
        <v>101.25</v>
      </c>
      <c r="F1735" t="s">
        <v>20</v>
      </c>
      <c r="G1735" t="s">
        <v>21</v>
      </c>
      <c r="H1735" t="str">
        <f>"CA1202202088640"</f>
        <v>CA1202202088640</v>
      </c>
      <c r="I1735" t="str">
        <f>"K RAMIREZ 001200229510060343CV"</f>
        <v>K RAMIREZ 001200229510060343CV</v>
      </c>
    </row>
    <row r="1736" spans="1:9" x14ac:dyDescent="0.25">
      <c r="A1736" s="6">
        <v>44600</v>
      </c>
      <c r="B1736" t="s">
        <v>26</v>
      </c>
      <c r="C1736">
        <v>68793</v>
      </c>
      <c r="D1736" t="s">
        <v>52</v>
      </c>
      <c r="E1736" s="7">
        <v>101.25</v>
      </c>
      <c r="F1736" t="s">
        <v>20</v>
      </c>
      <c r="G1736" t="s">
        <v>21</v>
      </c>
      <c r="H1736" t="str">
        <f>"CA2202202088640"</f>
        <v>CA2202202088640</v>
      </c>
      <c r="I1736" t="str">
        <f>"L HERNANDEZ 001016025203080354"</f>
        <v>L HERNANDEZ 001016025203080354</v>
      </c>
    </row>
    <row r="1737" spans="1:9" x14ac:dyDescent="0.25">
      <c r="A1737" s="6">
        <v>44600</v>
      </c>
      <c r="B1737" t="s">
        <v>26</v>
      </c>
      <c r="C1737">
        <v>68793</v>
      </c>
      <c r="D1737" t="s">
        <v>52</v>
      </c>
      <c r="E1737" s="7">
        <v>101.25</v>
      </c>
      <c r="F1737" t="s">
        <v>20</v>
      </c>
      <c r="G1737" t="s">
        <v>21</v>
      </c>
      <c r="H1737" t="str">
        <f>"CA3202202088640"</f>
        <v>CA3202202088640</v>
      </c>
      <c r="I1737" t="str">
        <f>"00120788612011EM5023JOLENEGARC"</f>
        <v>00120788612011EM5023JOLENEGARC</v>
      </c>
    </row>
    <row r="1738" spans="1:9" x14ac:dyDescent="0.25">
      <c r="A1738" s="6">
        <v>44600</v>
      </c>
      <c r="B1738" t="s">
        <v>26</v>
      </c>
      <c r="C1738">
        <v>68793</v>
      </c>
      <c r="D1738" t="s">
        <v>52</v>
      </c>
      <c r="E1738" s="7">
        <v>101.25</v>
      </c>
      <c r="F1738" t="s">
        <v>20</v>
      </c>
      <c r="G1738" t="s">
        <v>21</v>
      </c>
      <c r="H1738" t="str">
        <f>"CSA202202088640"</f>
        <v>CSA202202088640</v>
      </c>
      <c r="I1738" t="str">
        <f>"S RODRIGUEZ 001281730413050336"</f>
        <v>S RODRIGUEZ 001281730413050336</v>
      </c>
    </row>
    <row r="1739" spans="1:9" x14ac:dyDescent="0.25">
      <c r="A1739" s="6">
        <v>44600</v>
      </c>
      <c r="B1739" t="s">
        <v>26</v>
      </c>
      <c r="C1739">
        <v>68793</v>
      </c>
      <c r="D1739" t="s">
        <v>52</v>
      </c>
      <c r="E1739" s="7">
        <v>521.54</v>
      </c>
      <c r="F1739" t="s">
        <v>20</v>
      </c>
      <c r="G1739" t="s">
        <v>21</v>
      </c>
      <c r="H1739" t="str">
        <f>"CSI202202088640"</f>
        <v>CSI202202088640</v>
      </c>
      <c r="I1739" t="str">
        <f>"KTRINIDAD0014071774CVW2000777"</f>
        <v>KTRINIDAD0014071774CVW2000777</v>
      </c>
    </row>
    <row r="1740" spans="1:9" x14ac:dyDescent="0.25">
      <c r="A1740" s="6">
        <v>44600</v>
      </c>
      <c r="B1740" t="s">
        <v>26</v>
      </c>
      <c r="C1740">
        <v>68794</v>
      </c>
      <c r="D1740" t="s">
        <v>54</v>
      </c>
      <c r="E1740" s="7">
        <v>881.57</v>
      </c>
      <c r="F1740" t="s">
        <v>20</v>
      </c>
      <c r="G1740" t="s">
        <v>21</v>
      </c>
      <c r="H1740" t="str">
        <f>"BRE202202088640"</f>
        <v>BRE202202088640</v>
      </c>
      <c r="I1740" t="str">
        <f>"CASE #180-60751 457B DEDUCT"</f>
        <v>CASE #180-60751 457B DEDUCT</v>
      </c>
    </row>
    <row r="1741" spans="1:9" x14ac:dyDescent="0.25">
      <c r="A1741" s="6">
        <v>44607</v>
      </c>
      <c r="B1741" t="s">
        <v>26</v>
      </c>
      <c r="C1741">
        <v>68795</v>
      </c>
      <c r="D1741" t="s">
        <v>1145</v>
      </c>
      <c r="E1741" s="7">
        <v>235.8</v>
      </c>
      <c r="F1741" t="s">
        <v>20</v>
      </c>
      <c r="G1741" t="s">
        <v>21</v>
      </c>
      <c r="H1741" t="str">
        <f>"1  2021-064-02a"</f>
        <v>1  2021-064-02a</v>
      </c>
      <c r="I1741" t="str">
        <f>"6S ENGINEERING  INC"</f>
        <v>6S ENGINEERING  INC</v>
      </c>
    </row>
    <row r="1742" spans="1:9" x14ac:dyDescent="0.25">
      <c r="A1742" s="6">
        <v>44607</v>
      </c>
      <c r="B1742" t="s">
        <v>26</v>
      </c>
      <c r="C1742">
        <v>68795</v>
      </c>
      <c r="D1742" t="s">
        <v>1145</v>
      </c>
      <c r="E1742" s="7">
        <v>476.8</v>
      </c>
      <c r="F1742" t="s">
        <v>20</v>
      </c>
      <c r="G1742" t="s">
        <v>21</v>
      </c>
      <c r="H1742" t="str">
        <f>"1  2022-064-01"</f>
        <v>1  2022-064-01</v>
      </c>
      <c r="I1742" t="str">
        <f>"6S ENGINEERING  INC"</f>
        <v>6S ENGINEERING  INC</v>
      </c>
    </row>
    <row r="1743" spans="1:9" x14ac:dyDescent="0.25">
      <c r="A1743" s="6">
        <v>44607</v>
      </c>
      <c r="B1743" t="s">
        <v>26</v>
      </c>
      <c r="C1743">
        <v>68795</v>
      </c>
      <c r="D1743" t="s">
        <v>1145</v>
      </c>
      <c r="E1743" s="7">
        <v>270</v>
      </c>
      <c r="F1743" t="s">
        <v>20</v>
      </c>
      <c r="G1743" t="s">
        <v>21</v>
      </c>
      <c r="H1743" t="str">
        <f>"2  2021-064-04"</f>
        <v>2  2021-064-04</v>
      </c>
      <c r="I1743" t="str">
        <f>"6S ENGINEERING  INC"</f>
        <v>6S ENGINEERING  INC</v>
      </c>
    </row>
    <row r="1744" spans="1:9" x14ac:dyDescent="0.25">
      <c r="A1744" s="6">
        <v>44607</v>
      </c>
      <c r="B1744" t="s">
        <v>26</v>
      </c>
      <c r="C1744">
        <v>68795</v>
      </c>
      <c r="D1744" t="s">
        <v>1145</v>
      </c>
      <c r="E1744" s="7">
        <v>535.6</v>
      </c>
      <c r="F1744" t="s">
        <v>20</v>
      </c>
      <c r="G1744" t="s">
        <v>21</v>
      </c>
      <c r="H1744" t="str">
        <f>"3  2021-064-02"</f>
        <v>3  2021-064-02</v>
      </c>
      <c r="I1744" t="str">
        <f>"6S ENGINEERING  INC"</f>
        <v>6S ENGINEERING  INC</v>
      </c>
    </row>
    <row r="1745" spans="1:9" x14ac:dyDescent="0.25">
      <c r="A1745" s="6">
        <v>44607</v>
      </c>
      <c r="B1745" t="s">
        <v>26</v>
      </c>
      <c r="C1745">
        <v>68796</v>
      </c>
      <c r="D1745" t="s">
        <v>1074</v>
      </c>
      <c r="E1745" s="7">
        <v>69.989999999999995</v>
      </c>
      <c r="F1745" t="s">
        <v>20</v>
      </c>
      <c r="G1745" t="s">
        <v>21</v>
      </c>
      <c r="H1745" t="str">
        <f>"13DQ-FKPM-PTQX"</f>
        <v>13DQ-FKPM-PTQX</v>
      </c>
      <c r="I1745" t="str">
        <f>"AMAZON CAPITAL SERVICES"</f>
        <v>AMAZON CAPITAL SERVICES</v>
      </c>
    </row>
    <row r="1746" spans="1:9" x14ac:dyDescent="0.25">
      <c r="A1746" s="6">
        <v>44607</v>
      </c>
      <c r="B1746" t="s">
        <v>26</v>
      </c>
      <c r="C1746">
        <v>68796</v>
      </c>
      <c r="D1746" t="s">
        <v>1074</v>
      </c>
      <c r="E1746" s="7">
        <v>83.04</v>
      </c>
      <c r="F1746" t="s">
        <v>20</v>
      </c>
      <c r="G1746" t="s">
        <v>21</v>
      </c>
      <c r="H1746" t="str">
        <f>"17X3-MX9H-QJFG"</f>
        <v>17X3-MX9H-QJFG</v>
      </c>
      <c r="I1746" t="str">
        <f>"CALENDERS"</f>
        <v>CALENDERS</v>
      </c>
    </row>
    <row r="1747" spans="1:9" x14ac:dyDescent="0.25">
      <c r="A1747" s="6">
        <v>44607</v>
      </c>
      <c r="B1747" t="s">
        <v>26</v>
      </c>
      <c r="C1747">
        <v>68796</v>
      </c>
      <c r="D1747" t="s">
        <v>1074</v>
      </c>
      <c r="E1747" s="7">
        <v>176.6</v>
      </c>
      <c r="F1747" t="s">
        <v>20</v>
      </c>
      <c r="G1747" t="s">
        <v>21</v>
      </c>
      <c r="H1747" t="str">
        <f>"1FDF-NWDD-PW3G"</f>
        <v>1FDF-NWDD-PW3G</v>
      </c>
      <c r="I1747" t="str">
        <f>"PAPER SHREDDER"</f>
        <v>PAPER SHREDDER</v>
      </c>
    </row>
    <row r="1748" spans="1:9" x14ac:dyDescent="0.25">
      <c r="A1748" s="6">
        <v>44607</v>
      </c>
      <c r="B1748" t="s">
        <v>26</v>
      </c>
      <c r="C1748">
        <v>68797</v>
      </c>
      <c r="D1748" t="s">
        <v>43</v>
      </c>
      <c r="E1748" s="7">
        <v>307.36</v>
      </c>
      <c r="F1748" t="s">
        <v>20</v>
      </c>
      <c r="G1748" t="s">
        <v>21</v>
      </c>
      <c r="H1748" t="str">
        <f>"W/WW CONF. 2022"</f>
        <v>W/WW CONF. 2022</v>
      </c>
      <c r="I1748" t="str">
        <f>"ANDREA MARTINEZ"</f>
        <v>ANDREA MARTINEZ</v>
      </c>
    </row>
    <row r="1749" spans="1:9" x14ac:dyDescent="0.25">
      <c r="A1749" s="6">
        <v>44607</v>
      </c>
      <c r="B1749" t="s">
        <v>26</v>
      </c>
      <c r="C1749">
        <v>68798</v>
      </c>
      <c r="D1749" t="s">
        <v>139</v>
      </c>
      <c r="E1749" s="7">
        <v>65</v>
      </c>
      <c r="F1749" t="s">
        <v>20</v>
      </c>
      <c r="G1749" t="s">
        <v>21</v>
      </c>
      <c r="H1749" t="str">
        <f>"34685"</f>
        <v>34685</v>
      </c>
      <c r="I1749" t="str">
        <f>"ANGEL FIRE &amp; SAFETY"</f>
        <v>ANGEL FIRE &amp; SAFETY</v>
      </c>
    </row>
    <row r="1750" spans="1:9" x14ac:dyDescent="0.25">
      <c r="A1750" s="6">
        <v>44607</v>
      </c>
      <c r="B1750" t="s">
        <v>26</v>
      </c>
      <c r="C1750">
        <v>68799</v>
      </c>
      <c r="D1750" t="s">
        <v>195</v>
      </c>
      <c r="E1750" s="7">
        <v>1412.62</v>
      </c>
      <c r="F1750" t="s">
        <v>20</v>
      </c>
      <c r="G1750" t="s">
        <v>21</v>
      </c>
      <c r="H1750" t="str">
        <f>"INV-AIS-0004032"</f>
        <v>INV-AIS-0004032</v>
      </c>
      <c r="I1750" t="str">
        <f>"ARISTA INFORMATION SYSTEMS  IN"</f>
        <v>ARISTA INFORMATION SYSTEMS  IN</v>
      </c>
    </row>
    <row r="1751" spans="1:9" x14ac:dyDescent="0.25">
      <c r="A1751" s="6">
        <v>44607</v>
      </c>
      <c r="B1751" t="s">
        <v>26</v>
      </c>
      <c r="C1751">
        <v>68799</v>
      </c>
      <c r="D1751" t="s">
        <v>195</v>
      </c>
      <c r="E1751" s="7">
        <v>370.6</v>
      </c>
      <c r="F1751" t="s">
        <v>20</v>
      </c>
      <c r="G1751" t="s">
        <v>21</v>
      </c>
      <c r="H1751" t="str">
        <f>"INV-AIS-0004389"</f>
        <v>INV-AIS-0004389</v>
      </c>
      <c r="I1751" t="str">
        <f>"ARISTA INFORMATION SYSTEMS  IN"</f>
        <v>ARISTA INFORMATION SYSTEMS  IN</v>
      </c>
    </row>
    <row r="1752" spans="1:9" x14ac:dyDescent="0.25">
      <c r="A1752" s="6">
        <v>44607</v>
      </c>
      <c r="B1752" t="s">
        <v>26</v>
      </c>
      <c r="C1752">
        <v>68800</v>
      </c>
      <c r="D1752" t="s">
        <v>189</v>
      </c>
      <c r="E1752" s="7">
        <v>165</v>
      </c>
      <c r="F1752" t="s">
        <v>20</v>
      </c>
      <c r="G1752" t="s">
        <v>21</v>
      </c>
      <c r="H1752" t="str">
        <f>"SWO212336-1"</f>
        <v>SWO212336-1</v>
      </c>
      <c r="I1752" t="str">
        <f>"ASCO"</f>
        <v>ASCO</v>
      </c>
    </row>
    <row r="1753" spans="1:9" x14ac:dyDescent="0.25">
      <c r="A1753" s="6">
        <v>44607</v>
      </c>
      <c r="B1753" t="s">
        <v>26</v>
      </c>
      <c r="C1753">
        <v>68801</v>
      </c>
      <c r="D1753" t="s">
        <v>115</v>
      </c>
      <c r="E1753" s="7">
        <v>450</v>
      </c>
      <c r="F1753" t="s">
        <v>20</v>
      </c>
      <c r="G1753" t="s">
        <v>21</v>
      </c>
      <c r="H1753" t="str">
        <f>"3547186303"</f>
        <v>3547186303</v>
      </c>
      <c r="I1753" t="str">
        <f>"SYN BLEN OIL DRUMS"</f>
        <v>SYN BLEN OIL DRUMS</v>
      </c>
    </row>
    <row r="1754" spans="1:9" x14ac:dyDescent="0.25">
      <c r="A1754" s="6">
        <v>44607</v>
      </c>
      <c r="B1754" t="s">
        <v>26</v>
      </c>
      <c r="C1754">
        <v>68801</v>
      </c>
      <c r="D1754" t="s">
        <v>115</v>
      </c>
      <c r="E1754" s="7">
        <v>112.99</v>
      </c>
      <c r="F1754" t="s">
        <v>20</v>
      </c>
      <c r="G1754" t="s">
        <v>21</v>
      </c>
      <c r="H1754" t="str">
        <f>"3547186829"</f>
        <v>3547186829</v>
      </c>
      <c r="I1754" t="str">
        <f>"MINI ESCAVATOR"</f>
        <v>MINI ESCAVATOR</v>
      </c>
    </row>
    <row r="1755" spans="1:9" x14ac:dyDescent="0.25">
      <c r="A1755" s="6">
        <v>44607</v>
      </c>
      <c r="B1755" t="s">
        <v>26</v>
      </c>
      <c r="C1755">
        <v>68801</v>
      </c>
      <c r="D1755" t="s">
        <v>115</v>
      </c>
      <c r="E1755" s="7">
        <v>170.98</v>
      </c>
      <c r="F1755" t="s">
        <v>20</v>
      </c>
      <c r="G1755" t="s">
        <v>21</v>
      </c>
      <c r="H1755" t="str">
        <f>"3547186831"</f>
        <v>3547186831</v>
      </c>
      <c r="I1755" t="str">
        <f>"GENERATOR - WELL"</f>
        <v>GENERATOR - WELL</v>
      </c>
    </row>
    <row r="1756" spans="1:9" x14ac:dyDescent="0.25">
      <c r="A1756" s="6">
        <v>44607</v>
      </c>
      <c r="B1756" t="s">
        <v>26</v>
      </c>
      <c r="C1756">
        <v>68801</v>
      </c>
      <c r="D1756" t="s">
        <v>115</v>
      </c>
      <c r="E1756" s="7">
        <v>221.09</v>
      </c>
      <c r="F1756" t="s">
        <v>20</v>
      </c>
      <c r="G1756" t="s">
        <v>21</v>
      </c>
      <c r="H1756" t="str">
        <f>"3547187919"</f>
        <v>3547187919</v>
      </c>
      <c r="I1756" t="str">
        <f>"2010 FORD STREETS"</f>
        <v>2010 FORD STREETS</v>
      </c>
    </row>
    <row r="1757" spans="1:9" x14ac:dyDescent="0.25">
      <c r="A1757" s="6">
        <v>44607</v>
      </c>
      <c r="B1757" t="s">
        <v>26</v>
      </c>
      <c r="C1757">
        <v>68801</v>
      </c>
      <c r="D1757" t="s">
        <v>115</v>
      </c>
      <c r="E1757" s="7">
        <v>45.48</v>
      </c>
      <c r="F1757" t="s">
        <v>20</v>
      </c>
      <c r="G1757" t="s">
        <v>21</v>
      </c>
      <c r="H1757" t="str">
        <f>"3547190396"</f>
        <v>3547190396</v>
      </c>
      <c r="I1757" t="str">
        <f>"SHOP SUPPLIES"</f>
        <v>SHOP SUPPLIES</v>
      </c>
    </row>
    <row r="1758" spans="1:9" x14ac:dyDescent="0.25">
      <c r="A1758" s="6">
        <v>44607</v>
      </c>
      <c r="B1758" t="s">
        <v>26</v>
      </c>
      <c r="C1758">
        <v>68803</v>
      </c>
      <c r="D1758" t="s">
        <v>836</v>
      </c>
      <c r="E1758" s="7">
        <v>640</v>
      </c>
      <c r="F1758" t="s">
        <v>20</v>
      </c>
      <c r="G1758" t="s">
        <v>21</v>
      </c>
      <c r="H1758" t="str">
        <f>"82084"</f>
        <v>82084</v>
      </c>
      <c r="I1758" t="str">
        <f>"BARCOM TECHNOLOGY SOLUTIONS  I"</f>
        <v>BARCOM TECHNOLOGY SOLUTIONS  I</v>
      </c>
    </row>
    <row r="1759" spans="1:9" x14ac:dyDescent="0.25">
      <c r="A1759" s="6">
        <v>44607</v>
      </c>
      <c r="B1759" t="s">
        <v>26</v>
      </c>
      <c r="C1759">
        <v>68803</v>
      </c>
      <c r="D1759" t="s">
        <v>836</v>
      </c>
      <c r="E1759" s="7">
        <v>225</v>
      </c>
      <c r="F1759" t="s">
        <v>20</v>
      </c>
      <c r="G1759" t="s">
        <v>21</v>
      </c>
      <c r="H1759" t="str">
        <f>"82850"</f>
        <v>82850</v>
      </c>
      <c r="I1759" t="str">
        <f>"BARCOM TECHNOLOGY SOLUTIONS  I"</f>
        <v>BARCOM TECHNOLOGY SOLUTIONS  I</v>
      </c>
    </row>
    <row r="1760" spans="1:9" x14ac:dyDescent="0.25">
      <c r="A1760" s="6">
        <v>44607</v>
      </c>
      <c r="B1760" t="s">
        <v>26</v>
      </c>
      <c r="C1760">
        <v>68804</v>
      </c>
      <c r="D1760" t="s">
        <v>118</v>
      </c>
      <c r="E1760" s="7">
        <v>317.5</v>
      </c>
      <c r="F1760" t="s">
        <v>20</v>
      </c>
      <c r="G1760" t="s">
        <v>21</v>
      </c>
      <c r="H1760" t="str">
        <f>"1226"</f>
        <v>1226</v>
      </c>
      <c r="I1760" t="str">
        <f>"BRYAN AIR CONDITIONING &amp; HEATI"</f>
        <v>BRYAN AIR CONDITIONING &amp; HEATI</v>
      </c>
    </row>
    <row r="1761" spans="1:9" x14ac:dyDescent="0.25">
      <c r="A1761" s="6">
        <v>44607</v>
      </c>
      <c r="B1761" t="s">
        <v>26</v>
      </c>
      <c r="C1761">
        <v>68805</v>
      </c>
      <c r="D1761" t="s">
        <v>110</v>
      </c>
      <c r="E1761" s="7">
        <v>387.34</v>
      </c>
      <c r="F1761" t="s">
        <v>20</v>
      </c>
      <c r="G1761" t="s">
        <v>21</v>
      </c>
      <c r="H1761" t="str">
        <f>"22006693"</f>
        <v>22006693</v>
      </c>
      <c r="I1761" t="str">
        <f t="shared" ref="I1761:I1794" si="43">"BUREAU VERITAS NORTH AMERICA"</f>
        <v>BUREAU VERITAS NORTH AMERICA</v>
      </c>
    </row>
    <row r="1762" spans="1:9" x14ac:dyDescent="0.25">
      <c r="A1762" s="6">
        <v>44607</v>
      </c>
      <c r="B1762" t="s">
        <v>26</v>
      </c>
      <c r="C1762">
        <v>68805</v>
      </c>
      <c r="D1762" t="s">
        <v>110</v>
      </c>
      <c r="E1762" s="7">
        <v>945.65</v>
      </c>
      <c r="F1762" t="s">
        <v>20</v>
      </c>
      <c r="G1762" t="s">
        <v>21</v>
      </c>
      <c r="H1762" t="str">
        <f>"22006760"</f>
        <v>22006760</v>
      </c>
      <c r="I1762" t="str">
        <f t="shared" si="43"/>
        <v>BUREAU VERITAS NORTH AMERICA</v>
      </c>
    </row>
    <row r="1763" spans="1:9" x14ac:dyDescent="0.25">
      <c r="A1763" s="6">
        <v>44607</v>
      </c>
      <c r="B1763" t="s">
        <v>26</v>
      </c>
      <c r="C1763">
        <v>68805</v>
      </c>
      <c r="D1763" t="s">
        <v>110</v>
      </c>
      <c r="E1763" s="7">
        <v>971.9</v>
      </c>
      <c r="F1763" t="s">
        <v>20</v>
      </c>
      <c r="G1763" t="s">
        <v>21</v>
      </c>
      <c r="H1763" t="str">
        <f>"22006762"</f>
        <v>22006762</v>
      </c>
      <c r="I1763" t="str">
        <f t="shared" si="43"/>
        <v>BUREAU VERITAS NORTH AMERICA</v>
      </c>
    </row>
    <row r="1764" spans="1:9" x14ac:dyDescent="0.25">
      <c r="A1764" s="6">
        <v>44607</v>
      </c>
      <c r="B1764" t="s">
        <v>26</v>
      </c>
      <c r="C1764">
        <v>68805</v>
      </c>
      <c r="D1764" t="s">
        <v>110</v>
      </c>
      <c r="E1764" s="7">
        <v>1330.65</v>
      </c>
      <c r="F1764" t="s">
        <v>20</v>
      </c>
      <c r="G1764" t="s">
        <v>21</v>
      </c>
      <c r="H1764" t="str">
        <f>"22006766"</f>
        <v>22006766</v>
      </c>
      <c r="I1764" t="str">
        <f t="shared" si="43"/>
        <v>BUREAU VERITAS NORTH AMERICA</v>
      </c>
    </row>
    <row r="1765" spans="1:9" x14ac:dyDescent="0.25">
      <c r="A1765" s="6">
        <v>44607</v>
      </c>
      <c r="B1765" t="s">
        <v>26</v>
      </c>
      <c r="C1765">
        <v>68805</v>
      </c>
      <c r="D1765" t="s">
        <v>110</v>
      </c>
      <c r="E1765" s="7">
        <v>7737.84</v>
      </c>
      <c r="F1765" t="s">
        <v>20</v>
      </c>
      <c r="G1765" t="s">
        <v>21</v>
      </c>
      <c r="H1765" t="str">
        <f>"22012406"</f>
        <v>22012406</v>
      </c>
      <c r="I1765" t="str">
        <f t="shared" si="43"/>
        <v>BUREAU VERITAS NORTH AMERICA</v>
      </c>
    </row>
    <row r="1766" spans="1:9" x14ac:dyDescent="0.25">
      <c r="A1766" s="6">
        <v>44607</v>
      </c>
      <c r="B1766" t="s">
        <v>26</v>
      </c>
      <c r="C1766">
        <v>68805</v>
      </c>
      <c r="D1766" t="s">
        <v>110</v>
      </c>
      <c r="E1766" s="7">
        <v>967.7</v>
      </c>
      <c r="F1766" t="s">
        <v>20</v>
      </c>
      <c r="G1766" t="s">
        <v>21</v>
      </c>
      <c r="H1766" t="str">
        <f>"22012407"</f>
        <v>22012407</v>
      </c>
      <c r="I1766" t="str">
        <f t="shared" si="43"/>
        <v>BUREAU VERITAS NORTH AMERICA</v>
      </c>
    </row>
    <row r="1767" spans="1:9" x14ac:dyDescent="0.25">
      <c r="A1767" s="6">
        <v>44607</v>
      </c>
      <c r="B1767" t="s">
        <v>26</v>
      </c>
      <c r="C1767">
        <v>68805</v>
      </c>
      <c r="D1767" t="s">
        <v>110</v>
      </c>
      <c r="E1767" s="7">
        <v>160</v>
      </c>
      <c r="F1767" t="s">
        <v>20</v>
      </c>
      <c r="G1767" t="s">
        <v>21</v>
      </c>
      <c r="H1767" t="str">
        <f>"22012408"</f>
        <v>22012408</v>
      </c>
      <c r="I1767" t="str">
        <f t="shared" si="43"/>
        <v>BUREAU VERITAS NORTH AMERICA</v>
      </c>
    </row>
    <row r="1768" spans="1:9" x14ac:dyDescent="0.25">
      <c r="A1768" s="6">
        <v>44607</v>
      </c>
      <c r="B1768" t="s">
        <v>26</v>
      </c>
      <c r="C1768">
        <v>68805</v>
      </c>
      <c r="D1768" t="s">
        <v>110</v>
      </c>
      <c r="E1768" s="7">
        <v>1275</v>
      </c>
      <c r="F1768" t="s">
        <v>20</v>
      </c>
      <c r="G1768" t="s">
        <v>21</v>
      </c>
      <c r="H1768" t="str">
        <f>"22012409"</f>
        <v>22012409</v>
      </c>
      <c r="I1768" t="str">
        <f t="shared" si="43"/>
        <v>BUREAU VERITAS NORTH AMERICA</v>
      </c>
    </row>
    <row r="1769" spans="1:9" x14ac:dyDescent="0.25">
      <c r="A1769" s="6">
        <v>44607</v>
      </c>
      <c r="B1769" t="s">
        <v>26</v>
      </c>
      <c r="C1769">
        <v>68805</v>
      </c>
      <c r="D1769" t="s">
        <v>110</v>
      </c>
      <c r="E1769" s="7">
        <v>450</v>
      </c>
      <c r="F1769" t="s">
        <v>20</v>
      </c>
      <c r="G1769" t="s">
        <v>21</v>
      </c>
      <c r="H1769" t="str">
        <f>"22012410"</f>
        <v>22012410</v>
      </c>
      <c r="I1769" t="str">
        <f t="shared" si="43"/>
        <v>BUREAU VERITAS NORTH AMERICA</v>
      </c>
    </row>
    <row r="1770" spans="1:9" x14ac:dyDescent="0.25">
      <c r="A1770" s="6">
        <v>44607</v>
      </c>
      <c r="B1770" t="s">
        <v>26</v>
      </c>
      <c r="C1770">
        <v>68805</v>
      </c>
      <c r="D1770" t="s">
        <v>110</v>
      </c>
      <c r="E1770" s="7">
        <v>1110.1500000000001</v>
      </c>
      <c r="F1770" t="s">
        <v>20</v>
      </c>
      <c r="G1770" t="s">
        <v>21</v>
      </c>
      <c r="H1770" t="str">
        <f>"22012411"</f>
        <v>22012411</v>
      </c>
      <c r="I1770" t="str">
        <f t="shared" si="43"/>
        <v>BUREAU VERITAS NORTH AMERICA</v>
      </c>
    </row>
    <row r="1771" spans="1:9" x14ac:dyDescent="0.25">
      <c r="A1771" s="6">
        <v>44607</v>
      </c>
      <c r="B1771" t="s">
        <v>26</v>
      </c>
      <c r="C1771">
        <v>68805</v>
      </c>
      <c r="D1771" t="s">
        <v>110</v>
      </c>
      <c r="E1771" s="7">
        <v>945.65</v>
      </c>
      <c r="F1771" t="s">
        <v>20</v>
      </c>
      <c r="G1771" t="s">
        <v>21</v>
      </c>
      <c r="H1771" t="str">
        <f>"22012412"</f>
        <v>22012412</v>
      </c>
      <c r="I1771" t="str">
        <f t="shared" si="43"/>
        <v>BUREAU VERITAS NORTH AMERICA</v>
      </c>
    </row>
    <row r="1772" spans="1:9" x14ac:dyDescent="0.25">
      <c r="A1772" s="6">
        <v>44607</v>
      </c>
      <c r="B1772" t="s">
        <v>26</v>
      </c>
      <c r="C1772">
        <v>68805</v>
      </c>
      <c r="D1772" t="s">
        <v>110</v>
      </c>
      <c r="E1772" s="7">
        <v>967.7</v>
      </c>
      <c r="F1772" t="s">
        <v>20</v>
      </c>
      <c r="G1772" t="s">
        <v>21</v>
      </c>
      <c r="H1772" t="str">
        <f>"22012413"</f>
        <v>22012413</v>
      </c>
      <c r="I1772" t="str">
        <f t="shared" si="43"/>
        <v>BUREAU VERITAS NORTH AMERICA</v>
      </c>
    </row>
    <row r="1773" spans="1:9" x14ac:dyDescent="0.25">
      <c r="A1773" s="6">
        <v>44607</v>
      </c>
      <c r="B1773" t="s">
        <v>26</v>
      </c>
      <c r="C1773">
        <v>68805</v>
      </c>
      <c r="D1773" t="s">
        <v>110</v>
      </c>
      <c r="E1773" s="7">
        <v>967.7</v>
      </c>
      <c r="F1773" t="s">
        <v>20</v>
      </c>
      <c r="G1773" t="s">
        <v>21</v>
      </c>
      <c r="H1773" t="str">
        <f>"22012414"</f>
        <v>22012414</v>
      </c>
      <c r="I1773" t="str">
        <f t="shared" si="43"/>
        <v>BUREAU VERITAS NORTH AMERICA</v>
      </c>
    </row>
    <row r="1774" spans="1:9" x14ac:dyDescent="0.25">
      <c r="A1774" s="6">
        <v>44607</v>
      </c>
      <c r="B1774" t="s">
        <v>26</v>
      </c>
      <c r="C1774">
        <v>68805</v>
      </c>
      <c r="D1774" t="s">
        <v>110</v>
      </c>
      <c r="E1774" s="7">
        <v>1330.65</v>
      </c>
      <c r="F1774" t="s">
        <v>20</v>
      </c>
      <c r="G1774" t="s">
        <v>21</v>
      </c>
      <c r="H1774" t="str">
        <f>"22012415"</f>
        <v>22012415</v>
      </c>
      <c r="I1774" t="str">
        <f t="shared" si="43"/>
        <v>BUREAU VERITAS NORTH AMERICA</v>
      </c>
    </row>
    <row r="1775" spans="1:9" x14ac:dyDescent="0.25">
      <c r="A1775" s="6">
        <v>44607</v>
      </c>
      <c r="B1775" t="s">
        <v>26</v>
      </c>
      <c r="C1775">
        <v>68805</v>
      </c>
      <c r="D1775" t="s">
        <v>110</v>
      </c>
      <c r="E1775" s="7">
        <v>945.65</v>
      </c>
      <c r="F1775" t="s">
        <v>20</v>
      </c>
      <c r="G1775" t="s">
        <v>21</v>
      </c>
      <c r="H1775" t="str">
        <f>"22012416"</f>
        <v>22012416</v>
      </c>
      <c r="I1775" t="str">
        <f t="shared" si="43"/>
        <v>BUREAU VERITAS NORTH AMERICA</v>
      </c>
    </row>
    <row r="1776" spans="1:9" x14ac:dyDescent="0.25">
      <c r="A1776" s="6">
        <v>44607</v>
      </c>
      <c r="B1776" t="s">
        <v>26</v>
      </c>
      <c r="C1776">
        <v>68805</v>
      </c>
      <c r="D1776" t="s">
        <v>110</v>
      </c>
      <c r="E1776" s="7">
        <v>945.65</v>
      </c>
      <c r="F1776" t="s">
        <v>20</v>
      </c>
      <c r="G1776" t="s">
        <v>21</v>
      </c>
      <c r="H1776" t="str">
        <f>"22012417"</f>
        <v>22012417</v>
      </c>
      <c r="I1776" t="str">
        <f t="shared" si="43"/>
        <v>BUREAU VERITAS NORTH AMERICA</v>
      </c>
    </row>
    <row r="1777" spans="1:9" x14ac:dyDescent="0.25">
      <c r="A1777" s="6">
        <v>44607</v>
      </c>
      <c r="B1777" t="s">
        <v>26</v>
      </c>
      <c r="C1777">
        <v>68805</v>
      </c>
      <c r="D1777" t="s">
        <v>110</v>
      </c>
      <c r="E1777" s="7">
        <v>967.7</v>
      </c>
      <c r="F1777" t="s">
        <v>20</v>
      </c>
      <c r="G1777" t="s">
        <v>21</v>
      </c>
      <c r="H1777" t="str">
        <f>"22012418"</f>
        <v>22012418</v>
      </c>
      <c r="I1777" t="str">
        <f t="shared" si="43"/>
        <v>BUREAU VERITAS NORTH AMERICA</v>
      </c>
    </row>
    <row r="1778" spans="1:9" x14ac:dyDescent="0.25">
      <c r="A1778" s="6">
        <v>44607</v>
      </c>
      <c r="B1778" t="s">
        <v>26</v>
      </c>
      <c r="C1778">
        <v>68805</v>
      </c>
      <c r="D1778" t="s">
        <v>110</v>
      </c>
      <c r="E1778" s="7">
        <v>971.9</v>
      </c>
      <c r="F1778" t="s">
        <v>20</v>
      </c>
      <c r="G1778" t="s">
        <v>21</v>
      </c>
      <c r="H1778" t="str">
        <f>"22012419"</f>
        <v>22012419</v>
      </c>
      <c r="I1778" t="str">
        <f t="shared" si="43"/>
        <v>BUREAU VERITAS NORTH AMERICA</v>
      </c>
    </row>
    <row r="1779" spans="1:9" x14ac:dyDescent="0.25">
      <c r="A1779" s="6">
        <v>44607</v>
      </c>
      <c r="B1779" t="s">
        <v>26</v>
      </c>
      <c r="C1779">
        <v>68805</v>
      </c>
      <c r="D1779" t="s">
        <v>110</v>
      </c>
      <c r="E1779" s="7">
        <v>916.25</v>
      </c>
      <c r="F1779" t="s">
        <v>20</v>
      </c>
      <c r="G1779" t="s">
        <v>21</v>
      </c>
      <c r="H1779" t="str">
        <f>"22012420"</f>
        <v>22012420</v>
      </c>
      <c r="I1779" t="str">
        <f t="shared" si="43"/>
        <v>BUREAU VERITAS NORTH AMERICA</v>
      </c>
    </row>
    <row r="1780" spans="1:9" x14ac:dyDescent="0.25">
      <c r="A1780" s="6">
        <v>44607</v>
      </c>
      <c r="B1780" t="s">
        <v>26</v>
      </c>
      <c r="C1780">
        <v>68805</v>
      </c>
      <c r="D1780" t="s">
        <v>110</v>
      </c>
      <c r="E1780" s="7">
        <v>971.9</v>
      </c>
      <c r="F1780" t="s">
        <v>20</v>
      </c>
      <c r="G1780" t="s">
        <v>21</v>
      </c>
      <c r="H1780" t="str">
        <f>"22012421"</f>
        <v>22012421</v>
      </c>
      <c r="I1780" t="str">
        <f t="shared" si="43"/>
        <v>BUREAU VERITAS NORTH AMERICA</v>
      </c>
    </row>
    <row r="1781" spans="1:9" x14ac:dyDescent="0.25">
      <c r="A1781" s="6">
        <v>44607</v>
      </c>
      <c r="B1781" t="s">
        <v>26</v>
      </c>
      <c r="C1781">
        <v>68805</v>
      </c>
      <c r="D1781" t="s">
        <v>110</v>
      </c>
      <c r="E1781" s="7">
        <v>450</v>
      </c>
      <c r="F1781" t="s">
        <v>20</v>
      </c>
      <c r="G1781" t="s">
        <v>21</v>
      </c>
      <c r="H1781" t="str">
        <f>"22012422"</f>
        <v>22012422</v>
      </c>
      <c r="I1781" t="str">
        <f t="shared" si="43"/>
        <v>BUREAU VERITAS NORTH AMERICA</v>
      </c>
    </row>
    <row r="1782" spans="1:9" x14ac:dyDescent="0.25">
      <c r="A1782" s="6">
        <v>44607</v>
      </c>
      <c r="B1782" t="s">
        <v>26</v>
      </c>
      <c r="C1782">
        <v>68805</v>
      </c>
      <c r="D1782" t="s">
        <v>110</v>
      </c>
      <c r="E1782" s="7">
        <v>450</v>
      </c>
      <c r="F1782" t="s">
        <v>20</v>
      </c>
      <c r="G1782" t="s">
        <v>21</v>
      </c>
      <c r="H1782" t="str">
        <f>"22012423"</f>
        <v>22012423</v>
      </c>
      <c r="I1782" t="str">
        <f t="shared" si="43"/>
        <v>BUREAU VERITAS NORTH AMERICA</v>
      </c>
    </row>
    <row r="1783" spans="1:9" x14ac:dyDescent="0.25">
      <c r="A1783" s="6">
        <v>44607</v>
      </c>
      <c r="B1783" t="s">
        <v>26</v>
      </c>
      <c r="C1783">
        <v>68805</v>
      </c>
      <c r="D1783" t="s">
        <v>110</v>
      </c>
      <c r="E1783" s="7">
        <v>967.7</v>
      </c>
      <c r="F1783" t="s">
        <v>20</v>
      </c>
      <c r="G1783" t="s">
        <v>21</v>
      </c>
      <c r="H1783" t="str">
        <f>"22012424"</f>
        <v>22012424</v>
      </c>
      <c r="I1783" t="str">
        <f t="shared" si="43"/>
        <v>BUREAU VERITAS NORTH AMERICA</v>
      </c>
    </row>
    <row r="1784" spans="1:9" x14ac:dyDescent="0.25">
      <c r="A1784" s="6">
        <v>44607</v>
      </c>
      <c r="B1784" t="s">
        <v>26</v>
      </c>
      <c r="C1784">
        <v>68805</v>
      </c>
      <c r="D1784" t="s">
        <v>110</v>
      </c>
      <c r="E1784" s="7">
        <v>1153.55</v>
      </c>
      <c r="F1784" t="s">
        <v>20</v>
      </c>
      <c r="G1784" t="s">
        <v>21</v>
      </c>
      <c r="H1784" t="str">
        <f>"22012425"</f>
        <v>22012425</v>
      </c>
      <c r="I1784" t="str">
        <f t="shared" si="43"/>
        <v>BUREAU VERITAS NORTH AMERICA</v>
      </c>
    </row>
    <row r="1785" spans="1:9" x14ac:dyDescent="0.25">
      <c r="A1785" s="6">
        <v>44607</v>
      </c>
      <c r="B1785" t="s">
        <v>26</v>
      </c>
      <c r="C1785">
        <v>68805</v>
      </c>
      <c r="D1785" t="s">
        <v>110</v>
      </c>
      <c r="E1785" s="7">
        <v>1170.3499999999999</v>
      </c>
      <c r="F1785" t="s">
        <v>20</v>
      </c>
      <c r="G1785" t="s">
        <v>21</v>
      </c>
      <c r="H1785" t="str">
        <f>"22012426"</f>
        <v>22012426</v>
      </c>
      <c r="I1785" t="str">
        <f t="shared" si="43"/>
        <v>BUREAU VERITAS NORTH AMERICA</v>
      </c>
    </row>
    <row r="1786" spans="1:9" x14ac:dyDescent="0.25">
      <c r="A1786" s="6">
        <v>44607</v>
      </c>
      <c r="B1786" t="s">
        <v>26</v>
      </c>
      <c r="C1786">
        <v>68805</v>
      </c>
      <c r="D1786" t="s">
        <v>110</v>
      </c>
      <c r="E1786" s="7">
        <v>2093.84</v>
      </c>
      <c r="F1786" t="s">
        <v>20</v>
      </c>
      <c r="G1786" t="s">
        <v>21</v>
      </c>
      <c r="H1786" t="str">
        <f>"22012427"</f>
        <v>22012427</v>
      </c>
      <c r="I1786" t="str">
        <f t="shared" si="43"/>
        <v>BUREAU VERITAS NORTH AMERICA</v>
      </c>
    </row>
    <row r="1787" spans="1:9" x14ac:dyDescent="0.25">
      <c r="A1787" s="6">
        <v>44607</v>
      </c>
      <c r="B1787" t="s">
        <v>26</v>
      </c>
      <c r="C1787">
        <v>68805</v>
      </c>
      <c r="D1787" t="s">
        <v>110</v>
      </c>
      <c r="E1787" s="7">
        <v>1170.3499999999999</v>
      </c>
      <c r="F1787" t="s">
        <v>20</v>
      </c>
      <c r="G1787" t="s">
        <v>21</v>
      </c>
      <c r="H1787" t="str">
        <f>"22012428"</f>
        <v>22012428</v>
      </c>
      <c r="I1787" t="str">
        <f t="shared" si="43"/>
        <v>BUREAU VERITAS NORTH AMERICA</v>
      </c>
    </row>
    <row r="1788" spans="1:9" x14ac:dyDescent="0.25">
      <c r="A1788" s="6">
        <v>44607</v>
      </c>
      <c r="B1788" t="s">
        <v>26</v>
      </c>
      <c r="C1788">
        <v>68805</v>
      </c>
      <c r="D1788" t="s">
        <v>110</v>
      </c>
      <c r="E1788" s="7">
        <v>76.92</v>
      </c>
      <c r="F1788" t="s">
        <v>20</v>
      </c>
      <c r="G1788" t="s">
        <v>21</v>
      </c>
      <c r="H1788" t="str">
        <f>"22012429"</f>
        <v>22012429</v>
      </c>
      <c r="I1788" t="str">
        <f t="shared" si="43"/>
        <v>BUREAU VERITAS NORTH AMERICA</v>
      </c>
    </row>
    <row r="1789" spans="1:9" x14ac:dyDescent="0.25">
      <c r="A1789" s="6">
        <v>44607</v>
      </c>
      <c r="B1789" t="s">
        <v>26</v>
      </c>
      <c r="C1789">
        <v>68805</v>
      </c>
      <c r="D1789" t="s">
        <v>110</v>
      </c>
      <c r="E1789" s="7">
        <v>76.92</v>
      </c>
      <c r="F1789" t="s">
        <v>20</v>
      </c>
      <c r="G1789" t="s">
        <v>21</v>
      </c>
      <c r="H1789" t="str">
        <f>"22012430"</f>
        <v>22012430</v>
      </c>
      <c r="I1789" t="str">
        <f t="shared" si="43"/>
        <v>BUREAU VERITAS NORTH AMERICA</v>
      </c>
    </row>
    <row r="1790" spans="1:9" x14ac:dyDescent="0.25">
      <c r="A1790" s="6">
        <v>44607</v>
      </c>
      <c r="B1790" t="s">
        <v>26</v>
      </c>
      <c r="C1790">
        <v>68805</v>
      </c>
      <c r="D1790" t="s">
        <v>110</v>
      </c>
      <c r="E1790" s="7">
        <v>76.92</v>
      </c>
      <c r="F1790" t="s">
        <v>20</v>
      </c>
      <c r="G1790" t="s">
        <v>21</v>
      </c>
      <c r="H1790" t="str">
        <f>"22012431"</f>
        <v>22012431</v>
      </c>
      <c r="I1790" t="str">
        <f t="shared" si="43"/>
        <v>BUREAU VERITAS NORTH AMERICA</v>
      </c>
    </row>
    <row r="1791" spans="1:9" x14ac:dyDescent="0.25">
      <c r="A1791" s="6">
        <v>44607</v>
      </c>
      <c r="B1791" t="s">
        <v>26</v>
      </c>
      <c r="C1791">
        <v>68805</v>
      </c>
      <c r="D1791" t="s">
        <v>110</v>
      </c>
      <c r="E1791" s="7">
        <v>1750</v>
      </c>
      <c r="F1791" t="s">
        <v>20</v>
      </c>
      <c r="G1791" t="s">
        <v>21</v>
      </c>
      <c r="H1791" t="str">
        <f>"22012432"</f>
        <v>22012432</v>
      </c>
      <c r="I1791" t="str">
        <f t="shared" si="43"/>
        <v>BUREAU VERITAS NORTH AMERICA</v>
      </c>
    </row>
    <row r="1792" spans="1:9" x14ac:dyDescent="0.25">
      <c r="A1792" s="6">
        <v>44607</v>
      </c>
      <c r="B1792" t="s">
        <v>26</v>
      </c>
      <c r="C1792">
        <v>68805</v>
      </c>
      <c r="D1792" t="s">
        <v>110</v>
      </c>
      <c r="E1792" s="7">
        <v>76.92</v>
      </c>
      <c r="F1792" t="s">
        <v>20</v>
      </c>
      <c r="G1792" t="s">
        <v>21</v>
      </c>
      <c r="H1792" t="str">
        <f>"22012433"</f>
        <v>22012433</v>
      </c>
      <c r="I1792" t="str">
        <f t="shared" si="43"/>
        <v>BUREAU VERITAS NORTH AMERICA</v>
      </c>
    </row>
    <row r="1793" spans="1:9" x14ac:dyDescent="0.25">
      <c r="A1793" s="6">
        <v>44607</v>
      </c>
      <c r="B1793" t="s">
        <v>26</v>
      </c>
      <c r="C1793">
        <v>68805</v>
      </c>
      <c r="D1793" t="s">
        <v>110</v>
      </c>
      <c r="E1793" s="7">
        <v>637.34</v>
      </c>
      <c r="F1793" t="s">
        <v>20</v>
      </c>
      <c r="G1793" t="s">
        <v>21</v>
      </c>
      <c r="H1793" t="str">
        <f>"22013919"</f>
        <v>22013919</v>
      </c>
      <c r="I1793" t="str">
        <f t="shared" si="43"/>
        <v>BUREAU VERITAS NORTH AMERICA</v>
      </c>
    </row>
    <row r="1794" spans="1:9" x14ac:dyDescent="0.25">
      <c r="A1794" s="6">
        <v>44607</v>
      </c>
      <c r="B1794" t="s">
        <v>26</v>
      </c>
      <c r="C1794">
        <v>68805</v>
      </c>
      <c r="D1794" t="s">
        <v>110</v>
      </c>
      <c r="E1794" s="7">
        <v>76.92</v>
      </c>
      <c r="F1794" t="s">
        <v>20</v>
      </c>
      <c r="G1794" t="s">
        <v>21</v>
      </c>
      <c r="H1794" t="str">
        <f>"22013920"</f>
        <v>22013920</v>
      </c>
      <c r="I1794" t="str">
        <f t="shared" si="43"/>
        <v>BUREAU VERITAS NORTH AMERICA</v>
      </c>
    </row>
    <row r="1795" spans="1:9" x14ac:dyDescent="0.25">
      <c r="A1795" s="6">
        <v>44607</v>
      </c>
      <c r="B1795" t="s">
        <v>26</v>
      </c>
      <c r="C1795">
        <v>68811</v>
      </c>
      <c r="D1795" t="s">
        <v>102</v>
      </c>
      <c r="E1795" s="7">
        <v>291.26</v>
      </c>
      <c r="F1795" t="s">
        <v>20</v>
      </c>
      <c r="G1795" t="s">
        <v>21</v>
      </c>
      <c r="H1795" t="str">
        <f>"1120 D ST 2/22"</f>
        <v>1120 D ST 2/22</v>
      </c>
      <c r="I1795" t="str">
        <f>"CENTERPOINT ENERGY ENTEX"</f>
        <v>CENTERPOINT ENERGY ENTEX</v>
      </c>
    </row>
    <row r="1796" spans="1:9" x14ac:dyDescent="0.25">
      <c r="A1796" s="6">
        <v>44607</v>
      </c>
      <c r="B1796" t="s">
        <v>26</v>
      </c>
      <c r="C1796">
        <v>68811</v>
      </c>
      <c r="D1796" t="s">
        <v>102</v>
      </c>
      <c r="E1796" s="7">
        <v>107.33</v>
      </c>
      <c r="F1796" t="s">
        <v>20</v>
      </c>
      <c r="G1796" t="s">
        <v>21</v>
      </c>
      <c r="H1796" t="str">
        <f>"1200 1ST 2/22"</f>
        <v>1200 1ST 2/22</v>
      </c>
      <c r="I1796" t="str">
        <f>"CENTERPOINT ENERGY ENTEX"</f>
        <v>CENTERPOINT ENERGY ENTEX</v>
      </c>
    </row>
    <row r="1797" spans="1:9" x14ac:dyDescent="0.25">
      <c r="A1797" s="6">
        <v>44607</v>
      </c>
      <c r="B1797" t="s">
        <v>26</v>
      </c>
      <c r="C1797">
        <v>68811</v>
      </c>
      <c r="D1797" t="s">
        <v>102</v>
      </c>
      <c r="E1797" s="7">
        <v>174.75</v>
      </c>
      <c r="F1797" t="s">
        <v>20</v>
      </c>
      <c r="G1797" t="s">
        <v>21</v>
      </c>
      <c r="H1797" t="str">
        <f>"920 C ST 2/22"</f>
        <v>920 C ST 2/22</v>
      </c>
      <c r="I1797" t="str">
        <f>"CENTERPOINT ENERGY ENTEX"</f>
        <v>CENTERPOINT ENERGY ENTEX</v>
      </c>
    </row>
    <row r="1798" spans="1:9" x14ac:dyDescent="0.25">
      <c r="A1798" s="6">
        <v>44607</v>
      </c>
      <c r="B1798" t="s">
        <v>26</v>
      </c>
      <c r="C1798">
        <v>68812</v>
      </c>
      <c r="D1798" t="s">
        <v>1161</v>
      </c>
      <c r="E1798" s="7">
        <v>600</v>
      </c>
      <c r="F1798" t="s">
        <v>20</v>
      </c>
      <c r="G1798" t="s">
        <v>21</v>
      </c>
      <c r="H1798" t="str">
        <f>"HYDRNT RFND"</f>
        <v>HYDRNT RFND</v>
      </c>
      <c r="I1798" t="str">
        <f>"REFUND"</f>
        <v>REFUND</v>
      </c>
    </row>
    <row r="1799" spans="1:9" x14ac:dyDescent="0.25">
      <c r="A1799" s="6">
        <v>44607</v>
      </c>
      <c r="B1799" t="s">
        <v>26</v>
      </c>
      <c r="C1799">
        <v>68813</v>
      </c>
      <c r="D1799" t="s">
        <v>63</v>
      </c>
      <c r="E1799" s="7">
        <v>345.17</v>
      </c>
      <c r="F1799" t="s">
        <v>20</v>
      </c>
      <c r="G1799" t="s">
        <v>21</v>
      </c>
      <c r="H1799" t="str">
        <f>"8405513995"</f>
        <v>8405513995</v>
      </c>
      <c r="I1799" t="str">
        <f>"CINTAS CORPORATION"</f>
        <v>CINTAS CORPORATION</v>
      </c>
    </row>
    <row r="1800" spans="1:9" x14ac:dyDescent="0.25">
      <c r="A1800" s="6">
        <v>44607</v>
      </c>
      <c r="B1800" t="s">
        <v>26</v>
      </c>
      <c r="C1800">
        <v>68813</v>
      </c>
      <c r="D1800" t="s">
        <v>63</v>
      </c>
      <c r="E1800" s="7">
        <v>99</v>
      </c>
      <c r="F1800" t="s">
        <v>20</v>
      </c>
      <c r="G1800" t="s">
        <v>21</v>
      </c>
      <c r="H1800" t="str">
        <f>"8405522191"</f>
        <v>8405522191</v>
      </c>
      <c r="I1800" t="str">
        <f>"CINTAS CORPORATION"</f>
        <v>CINTAS CORPORATION</v>
      </c>
    </row>
    <row r="1801" spans="1:9" x14ac:dyDescent="0.25">
      <c r="A1801" s="6">
        <v>44607</v>
      </c>
      <c r="B1801" t="s">
        <v>26</v>
      </c>
      <c r="C1801">
        <v>68814</v>
      </c>
      <c r="D1801" t="s">
        <v>71</v>
      </c>
      <c r="E1801" s="7">
        <v>311.33999999999997</v>
      </c>
      <c r="F1801" t="s">
        <v>20</v>
      </c>
      <c r="G1801" t="s">
        <v>21</v>
      </c>
      <c r="H1801" t="str">
        <f>"4108515994"</f>
        <v>4108515994</v>
      </c>
      <c r="I1801" t="str">
        <f t="shared" ref="I1801:I1812" si="44">"CINTAS CORPORATION #087"</f>
        <v>CINTAS CORPORATION #087</v>
      </c>
    </row>
    <row r="1802" spans="1:9" x14ac:dyDescent="0.25">
      <c r="A1802" s="6">
        <v>44607</v>
      </c>
      <c r="B1802" t="s">
        <v>26</v>
      </c>
      <c r="C1802">
        <v>68814</v>
      </c>
      <c r="D1802" t="s">
        <v>71</v>
      </c>
      <c r="E1802" s="7">
        <v>54.76</v>
      </c>
      <c r="F1802" t="s">
        <v>20</v>
      </c>
      <c r="G1802" t="s">
        <v>21</v>
      </c>
      <c r="H1802" t="str">
        <f>"4109180279"</f>
        <v>4109180279</v>
      </c>
      <c r="I1802" t="str">
        <f t="shared" si="44"/>
        <v>CINTAS CORPORATION #087</v>
      </c>
    </row>
    <row r="1803" spans="1:9" x14ac:dyDescent="0.25">
      <c r="A1803" s="6">
        <v>44607</v>
      </c>
      <c r="B1803" t="s">
        <v>26</v>
      </c>
      <c r="C1803">
        <v>68814</v>
      </c>
      <c r="D1803" t="s">
        <v>71</v>
      </c>
      <c r="E1803" s="7">
        <v>30.26</v>
      </c>
      <c r="F1803" t="s">
        <v>20</v>
      </c>
      <c r="G1803" t="s">
        <v>21</v>
      </c>
      <c r="H1803" t="str">
        <f>"4109180364"</f>
        <v>4109180364</v>
      </c>
      <c r="I1803" t="str">
        <f t="shared" si="44"/>
        <v>CINTAS CORPORATION #087</v>
      </c>
    </row>
    <row r="1804" spans="1:9" x14ac:dyDescent="0.25">
      <c r="A1804" s="6">
        <v>44607</v>
      </c>
      <c r="B1804" t="s">
        <v>26</v>
      </c>
      <c r="C1804">
        <v>68814</v>
      </c>
      <c r="D1804" t="s">
        <v>71</v>
      </c>
      <c r="E1804" s="7">
        <v>8.9</v>
      </c>
      <c r="F1804" t="s">
        <v>20</v>
      </c>
      <c r="G1804" t="s">
        <v>21</v>
      </c>
      <c r="H1804" t="str">
        <f>"4109180405"</f>
        <v>4109180405</v>
      </c>
      <c r="I1804" t="str">
        <f t="shared" si="44"/>
        <v>CINTAS CORPORATION #087</v>
      </c>
    </row>
    <row r="1805" spans="1:9" x14ac:dyDescent="0.25">
      <c r="A1805" s="6">
        <v>44607</v>
      </c>
      <c r="B1805" t="s">
        <v>26</v>
      </c>
      <c r="C1805">
        <v>68814</v>
      </c>
      <c r="D1805" t="s">
        <v>71</v>
      </c>
      <c r="E1805" s="7">
        <v>35.700000000000003</v>
      </c>
      <c r="F1805" t="s">
        <v>20</v>
      </c>
      <c r="G1805" t="s">
        <v>21</v>
      </c>
      <c r="H1805" t="str">
        <f>"4109180424"</f>
        <v>4109180424</v>
      </c>
      <c r="I1805" t="str">
        <f t="shared" si="44"/>
        <v>CINTAS CORPORATION #087</v>
      </c>
    </row>
    <row r="1806" spans="1:9" x14ac:dyDescent="0.25">
      <c r="A1806" s="6">
        <v>44607</v>
      </c>
      <c r="B1806" t="s">
        <v>26</v>
      </c>
      <c r="C1806">
        <v>68814</v>
      </c>
      <c r="D1806" t="s">
        <v>71</v>
      </c>
      <c r="E1806" s="7">
        <v>263.83</v>
      </c>
      <c r="F1806" t="s">
        <v>20</v>
      </c>
      <c r="G1806" t="s">
        <v>21</v>
      </c>
      <c r="H1806" t="str">
        <f>"4109180470"</f>
        <v>4109180470</v>
      </c>
      <c r="I1806" t="str">
        <f t="shared" si="44"/>
        <v>CINTAS CORPORATION #087</v>
      </c>
    </row>
    <row r="1807" spans="1:9" x14ac:dyDescent="0.25">
      <c r="A1807" s="6">
        <v>44607</v>
      </c>
      <c r="B1807" t="s">
        <v>26</v>
      </c>
      <c r="C1807">
        <v>68814</v>
      </c>
      <c r="D1807" t="s">
        <v>71</v>
      </c>
      <c r="E1807" s="7">
        <v>765.38</v>
      </c>
      <c r="F1807" t="s">
        <v>20</v>
      </c>
      <c r="G1807" t="s">
        <v>21</v>
      </c>
      <c r="H1807" t="str">
        <f>"4109180563"</f>
        <v>4109180563</v>
      </c>
      <c r="I1807" t="str">
        <f t="shared" si="44"/>
        <v>CINTAS CORPORATION #087</v>
      </c>
    </row>
    <row r="1808" spans="1:9" x14ac:dyDescent="0.25">
      <c r="A1808" s="6">
        <v>44607</v>
      </c>
      <c r="B1808" t="s">
        <v>26</v>
      </c>
      <c r="C1808">
        <v>68814</v>
      </c>
      <c r="D1808" t="s">
        <v>71</v>
      </c>
      <c r="E1808" s="7">
        <v>30.26</v>
      </c>
      <c r="F1808" t="s">
        <v>20</v>
      </c>
      <c r="G1808" t="s">
        <v>21</v>
      </c>
      <c r="H1808" t="str">
        <f>"4109868363"</f>
        <v>4109868363</v>
      </c>
      <c r="I1808" t="str">
        <f t="shared" si="44"/>
        <v>CINTAS CORPORATION #087</v>
      </c>
    </row>
    <row r="1809" spans="1:9" x14ac:dyDescent="0.25">
      <c r="A1809" s="6">
        <v>44607</v>
      </c>
      <c r="B1809" t="s">
        <v>26</v>
      </c>
      <c r="C1809">
        <v>68814</v>
      </c>
      <c r="D1809" t="s">
        <v>71</v>
      </c>
      <c r="E1809" s="7">
        <v>112.71</v>
      </c>
      <c r="F1809" t="s">
        <v>20</v>
      </c>
      <c r="G1809" t="s">
        <v>21</v>
      </c>
      <c r="H1809" t="str">
        <f>"4109868394"</f>
        <v>4109868394</v>
      </c>
      <c r="I1809" t="str">
        <f t="shared" si="44"/>
        <v>CINTAS CORPORATION #087</v>
      </c>
    </row>
    <row r="1810" spans="1:9" x14ac:dyDescent="0.25">
      <c r="A1810" s="6">
        <v>44607</v>
      </c>
      <c r="B1810" t="s">
        <v>26</v>
      </c>
      <c r="C1810">
        <v>68814</v>
      </c>
      <c r="D1810" t="s">
        <v>71</v>
      </c>
      <c r="E1810" s="7">
        <v>155.83000000000001</v>
      </c>
      <c r="F1810" t="s">
        <v>20</v>
      </c>
      <c r="G1810" t="s">
        <v>21</v>
      </c>
      <c r="H1810" t="str">
        <f>"4109868417"</f>
        <v>4109868417</v>
      </c>
      <c r="I1810" t="str">
        <f t="shared" si="44"/>
        <v>CINTAS CORPORATION #087</v>
      </c>
    </row>
    <row r="1811" spans="1:9" x14ac:dyDescent="0.25">
      <c r="A1811" s="6">
        <v>44607</v>
      </c>
      <c r="B1811" t="s">
        <v>26</v>
      </c>
      <c r="C1811">
        <v>68814</v>
      </c>
      <c r="D1811" t="s">
        <v>71</v>
      </c>
      <c r="E1811" s="7">
        <v>85.8</v>
      </c>
      <c r="F1811" t="s">
        <v>20</v>
      </c>
      <c r="G1811" t="s">
        <v>21</v>
      </c>
      <c r="H1811" t="str">
        <f>"4109868452"</f>
        <v>4109868452</v>
      </c>
      <c r="I1811" t="str">
        <f t="shared" si="44"/>
        <v>CINTAS CORPORATION #087</v>
      </c>
    </row>
    <row r="1812" spans="1:9" x14ac:dyDescent="0.25">
      <c r="A1812" s="6">
        <v>44607</v>
      </c>
      <c r="B1812" t="s">
        <v>26</v>
      </c>
      <c r="C1812">
        <v>68814</v>
      </c>
      <c r="D1812" t="s">
        <v>71</v>
      </c>
      <c r="E1812" s="7">
        <v>127.78</v>
      </c>
      <c r="F1812" t="s">
        <v>20</v>
      </c>
      <c r="G1812" t="s">
        <v>21</v>
      </c>
      <c r="H1812" t="str">
        <f>"4109868455"</f>
        <v>4109868455</v>
      </c>
      <c r="I1812" t="str">
        <f t="shared" si="44"/>
        <v>CINTAS CORPORATION #087</v>
      </c>
    </row>
    <row r="1813" spans="1:9" x14ac:dyDescent="0.25">
      <c r="A1813" s="6">
        <v>44607</v>
      </c>
      <c r="B1813" t="s">
        <v>26</v>
      </c>
      <c r="C1813">
        <v>68817</v>
      </c>
      <c r="D1813" t="s">
        <v>661</v>
      </c>
      <c r="E1813" s="7">
        <v>165.94</v>
      </c>
      <c r="F1813" t="s">
        <v>20</v>
      </c>
      <c r="G1813" t="s">
        <v>21</v>
      </c>
      <c r="H1813" t="str">
        <f>"8405532665"</f>
        <v>8405532665</v>
      </c>
      <c r="I1813" t="str">
        <f>"CINTAS FAS LOCKBOX 631025"</f>
        <v>CINTAS FAS LOCKBOX 631025</v>
      </c>
    </row>
    <row r="1814" spans="1:9" x14ac:dyDescent="0.25">
      <c r="A1814" s="6">
        <v>44607</v>
      </c>
      <c r="B1814" t="s">
        <v>26</v>
      </c>
      <c r="C1814">
        <v>68818</v>
      </c>
      <c r="D1814" t="s">
        <v>1162</v>
      </c>
      <c r="E1814" s="7">
        <v>14525</v>
      </c>
      <c r="F1814" t="s">
        <v>20</v>
      </c>
      <c r="G1814" t="s">
        <v>21</v>
      </c>
      <c r="H1814" t="str">
        <f>"S21640TX.00-1"</f>
        <v>S21640TX.00-1</v>
      </c>
      <c r="I1814" t="str">
        <f>"TANK CLEANING -3 WELLS"</f>
        <v>TANK CLEANING -3 WELLS</v>
      </c>
    </row>
    <row r="1815" spans="1:9" x14ac:dyDescent="0.25">
      <c r="A1815" s="6">
        <v>44607</v>
      </c>
      <c r="B1815" t="s">
        <v>26</v>
      </c>
      <c r="C1815">
        <v>68819</v>
      </c>
      <c r="D1815" t="s">
        <v>647</v>
      </c>
      <c r="E1815" s="7">
        <v>3483.81</v>
      </c>
      <c r="F1815" t="s">
        <v>20</v>
      </c>
      <c r="G1815" t="s">
        <v>21</v>
      </c>
      <c r="H1815" t="str">
        <f>"31019474"</f>
        <v>31019474</v>
      </c>
      <c r="I1815" t="str">
        <f>"DOCUMATION  INC."</f>
        <v>DOCUMATION  INC.</v>
      </c>
    </row>
    <row r="1816" spans="1:9" x14ac:dyDescent="0.25">
      <c r="A1816" s="6">
        <v>44607</v>
      </c>
      <c r="B1816" t="s">
        <v>26</v>
      </c>
      <c r="C1816">
        <v>68820</v>
      </c>
      <c r="D1816" t="s">
        <v>980</v>
      </c>
      <c r="E1816" s="7">
        <v>288</v>
      </c>
      <c r="F1816" t="s">
        <v>20</v>
      </c>
      <c r="G1816" t="s">
        <v>21</v>
      </c>
      <c r="H1816" t="str">
        <f>"242-1848 ANN.RENEW"</f>
        <v>242-1848 ANN.RENEW</v>
      </c>
      <c r="I1816" t="str">
        <f>"DOMAIN LISTINGS"</f>
        <v>DOMAIN LISTINGS</v>
      </c>
    </row>
    <row r="1817" spans="1:9" x14ac:dyDescent="0.25">
      <c r="A1817" s="6">
        <v>44607</v>
      </c>
      <c r="B1817" t="s">
        <v>26</v>
      </c>
      <c r="C1817">
        <v>68821</v>
      </c>
      <c r="D1817" t="s">
        <v>143</v>
      </c>
      <c r="E1817" s="7">
        <v>544.86</v>
      </c>
      <c r="F1817" t="s">
        <v>20</v>
      </c>
      <c r="G1817" t="s">
        <v>21</v>
      </c>
      <c r="H1817" t="str">
        <f>"9402633988"</f>
        <v>9402633988</v>
      </c>
      <c r="I1817" t="str">
        <f>"KEITH MAYBEERRY"</f>
        <v>KEITH MAYBEERRY</v>
      </c>
    </row>
    <row r="1818" spans="1:9" x14ac:dyDescent="0.25">
      <c r="A1818" s="6">
        <v>44607</v>
      </c>
      <c r="B1818" t="s">
        <v>26</v>
      </c>
      <c r="C1818">
        <v>68822</v>
      </c>
      <c r="D1818" t="s">
        <v>69</v>
      </c>
      <c r="E1818" s="7">
        <v>-7.2</v>
      </c>
      <c r="F1818" t="s">
        <v>20</v>
      </c>
      <c r="G1818" t="s">
        <v>24</v>
      </c>
      <c r="H1818" t="str">
        <f>"3C15449"</f>
        <v>3C15449</v>
      </c>
      <c r="I1818" t="str">
        <f>"EWALD KUBOTA  INC."</f>
        <v>EWALD KUBOTA  INC.</v>
      </c>
    </row>
    <row r="1819" spans="1:9" x14ac:dyDescent="0.25">
      <c r="A1819" s="6">
        <v>44607</v>
      </c>
      <c r="B1819" t="s">
        <v>26</v>
      </c>
      <c r="C1819">
        <v>68822</v>
      </c>
      <c r="D1819" t="s">
        <v>69</v>
      </c>
      <c r="E1819" s="7">
        <v>100.39</v>
      </c>
      <c r="F1819" t="s">
        <v>20</v>
      </c>
      <c r="G1819" t="s">
        <v>21</v>
      </c>
      <c r="H1819" t="str">
        <f>"3C15862"</f>
        <v>3C15862</v>
      </c>
      <c r="I1819" t="str">
        <f>"PARKS SUPPLIES"</f>
        <v>PARKS SUPPLIES</v>
      </c>
    </row>
    <row r="1820" spans="1:9" x14ac:dyDescent="0.25">
      <c r="A1820" s="6">
        <v>44607</v>
      </c>
      <c r="B1820" t="s">
        <v>26</v>
      </c>
      <c r="C1820">
        <v>68823</v>
      </c>
      <c r="D1820" t="s">
        <v>103</v>
      </c>
      <c r="E1820" s="7">
        <v>117403.96</v>
      </c>
      <c r="F1820" t="s">
        <v>20</v>
      </c>
      <c r="G1820" t="s">
        <v>21</v>
      </c>
      <c r="H1820" t="str">
        <f>"FEB.2022 SALES TAX"</f>
        <v>FEB.2022 SALES TAX</v>
      </c>
      <c r="I1820" t="str">
        <f>"F. E. D. C."</f>
        <v>F. E. D. C.</v>
      </c>
    </row>
    <row r="1821" spans="1:9" x14ac:dyDescent="0.25">
      <c r="A1821" s="6">
        <v>44607</v>
      </c>
      <c r="B1821" t="s">
        <v>26</v>
      </c>
      <c r="C1821">
        <v>68824</v>
      </c>
      <c r="D1821" t="s">
        <v>79</v>
      </c>
      <c r="E1821" s="7">
        <v>33.83</v>
      </c>
      <c r="F1821" t="s">
        <v>20</v>
      </c>
      <c r="G1821" t="s">
        <v>21</v>
      </c>
      <c r="H1821" t="str">
        <f>"80289561"</f>
        <v>80289561</v>
      </c>
      <c r="I1821" t="str">
        <f>"FEDEX"</f>
        <v>FEDEX</v>
      </c>
    </row>
    <row r="1822" spans="1:9" x14ac:dyDescent="0.25">
      <c r="A1822" s="6">
        <v>44607</v>
      </c>
      <c r="B1822" t="s">
        <v>26</v>
      </c>
      <c r="C1822">
        <v>68825</v>
      </c>
      <c r="D1822" t="s">
        <v>59</v>
      </c>
      <c r="E1822" s="7">
        <v>69.599999999999994</v>
      </c>
      <c r="F1822" t="s">
        <v>20</v>
      </c>
      <c r="G1822" t="s">
        <v>21</v>
      </c>
      <c r="H1822" t="str">
        <f>"1158236"</f>
        <v>1158236</v>
      </c>
      <c r="I1822" t="str">
        <f>"FERGUSON WATERWORKS - MUNICIPA"</f>
        <v>FERGUSON WATERWORKS - MUNICIPA</v>
      </c>
    </row>
    <row r="1823" spans="1:9" x14ac:dyDescent="0.25">
      <c r="A1823" s="6">
        <v>44607</v>
      </c>
      <c r="B1823" t="s">
        <v>26</v>
      </c>
      <c r="C1823">
        <v>68825</v>
      </c>
      <c r="D1823" t="s">
        <v>59</v>
      </c>
      <c r="E1823" s="7">
        <v>244.68</v>
      </c>
      <c r="F1823" t="s">
        <v>20</v>
      </c>
      <c r="G1823" t="s">
        <v>21</v>
      </c>
      <c r="H1823" t="str">
        <f>"1158853"</f>
        <v>1158853</v>
      </c>
      <c r="I1823" t="str">
        <f>"SEWER PROJECT"</f>
        <v>SEWER PROJECT</v>
      </c>
    </row>
    <row r="1824" spans="1:9" x14ac:dyDescent="0.25">
      <c r="A1824" s="6">
        <v>44607</v>
      </c>
      <c r="B1824" t="s">
        <v>26</v>
      </c>
      <c r="C1824">
        <v>68826</v>
      </c>
      <c r="D1824" t="s">
        <v>85</v>
      </c>
      <c r="E1824" s="7">
        <v>82.79</v>
      </c>
      <c r="F1824" t="s">
        <v>20</v>
      </c>
      <c r="G1824" t="s">
        <v>21</v>
      </c>
      <c r="H1824" t="str">
        <f>"3930579 JAN.2022"</f>
        <v>3930579 JAN.2022</v>
      </c>
      <c r="I1824" t="str">
        <f>"FRONTIER"</f>
        <v>FRONTIER</v>
      </c>
    </row>
    <row r="1825" spans="1:9" x14ac:dyDescent="0.25">
      <c r="A1825" s="6">
        <v>44607</v>
      </c>
      <c r="B1825" t="s">
        <v>26</v>
      </c>
      <c r="C1825">
        <v>68826</v>
      </c>
      <c r="D1825" t="s">
        <v>85</v>
      </c>
      <c r="E1825" s="7">
        <v>51.58</v>
      </c>
      <c r="F1825" t="s">
        <v>20</v>
      </c>
      <c r="G1825" t="s">
        <v>21</v>
      </c>
      <c r="H1825" t="str">
        <f>"3933108 FEB.2022"</f>
        <v>3933108 FEB.2022</v>
      </c>
      <c r="I1825" t="str">
        <f>"FRONTIER"</f>
        <v>FRONTIER</v>
      </c>
    </row>
    <row r="1826" spans="1:9" x14ac:dyDescent="0.25">
      <c r="A1826" s="6">
        <v>44607</v>
      </c>
      <c r="B1826" t="s">
        <v>26</v>
      </c>
      <c r="C1826">
        <v>68826</v>
      </c>
      <c r="D1826" t="s">
        <v>85</v>
      </c>
      <c r="E1826" s="7">
        <v>63.09</v>
      </c>
      <c r="F1826" t="s">
        <v>20</v>
      </c>
      <c r="G1826" t="s">
        <v>21</v>
      </c>
      <c r="H1826" t="str">
        <f>"3939791 FEB.2022"</f>
        <v>3939791 FEB.2022</v>
      </c>
      <c r="I1826" t="str">
        <f>"FRONTIER"</f>
        <v>FRONTIER</v>
      </c>
    </row>
    <row r="1827" spans="1:9" x14ac:dyDescent="0.25">
      <c r="A1827" s="6">
        <v>44607</v>
      </c>
      <c r="B1827" t="s">
        <v>26</v>
      </c>
      <c r="C1827">
        <v>68827</v>
      </c>
      <c r="D1827" t="s">
        <v>56</v>
      </c>
      <c r="E1827" s="7">
        <v>10</v>
      </c>
      <c r="F1827" t="s">
        <v>20</v>
      </c>
      <c r="G1827" t="s">
        <v>21</v>
      </c>
      <c r="H1827" t="str">
        <f>"198258"</f>
        <v>198258</v>
      </c>
      <c r="I1827" t="str">
        <f>"HAY FOR DOG KENNELS"</f>
        <v>HAY FOR DOG KENNELS</v>
      </c>
    </row>
    <row r="1828" spans="1:9" x14ac:dyDescent="0.25">
      <c r="A1828" s="6">
        <v>44607</v>
      </c>
      <c r="B1828" t="s">
        <v>26</v>
      </c>
      <c r="C1828">
        <v>68828</v>
      </c>
      <c r="D1828" t="s">
        <v>398</v>
      </c>
      <c r="E1828" s="7">
        <v>175</v>
      </c>
      <c r="F1828" t="s">
        <v>20</v>
      </c>
      <c r="G1828" t="s">
        <v>21</v>
      </c>
      <c r="H1828" t="str">
        <f>"2264"</f>
        <v>2264</v>
      </c>
      <c r="I1828" t="str">
        <f>"INTERCEPTOR TECHNOLOGY GROUP L"</f>
        <v>INTERCEPTOR TECHNOLOGY GROUP L</v>
      </c>
    </row>
    <row r="1829" spans="1:9" x14ac:dyDescent="0.25">
      <c r="A1829" s="6">
        <v>44607</v>
      </c>
      <c r="B1829" t="s">
        <v>26</v>
      </c>
      <c r="C1829">
        <v>68829</v>
      </c>
      <c r="D1829" t="s">
        <v>927</v>
      </c>
      <c r="E1829" s="7">
        <v>1370.37</v>
      </c>
      <c r="F1829" t="s">
        <v>20</v>
      </c>
      <c r="G1829" t="s">
        <v>21</v>
      </c>
      <c r="H1829" t="str">
        <f>"CITY 0000006"</f>
        <v>CITY 0000006</v>
      </c>
      <c r="I1829" t="str">
        <f>"JOELZ LAWN MOWING SERVICE"</f>
        <v>JOELZ LAWN MOWING SERVICE</v>
      </c>
    </row>
    <row r="1830" spans="1:9" x14ac:dyDescent="0.25">
      <c r="A1830" s="6">
        <v>44607</v>
      </c>
      <c r="B1830" t="s">
        <v>26</v>
      </c>
      <c r="C1830">
        <v>68830</v>
      </c>
      <c r="D1830" t="s">
        <v>258</v>
      </c>
      <c r="E1830" s="7">
        <v>618.23</v>
      </c>
      <c r="F1830" t="s">
        <v>20</v>
      </c>
      <c r="G1830" t="s">
        <v>21</v>
      </c>
      <c r="H1830" t="str">
        <f>"156743"</f>
        <v>156743</v>
      </c>
      <c r="I1830" t="str">
        <f>"OIL"</f>
        <v>OIL</v>
      </c>
    </row>
    <row r="1831" spans="1:9" x14ac:dyDescent="0.25">
      <c r="A1831" s="6">
        <v>44607</v>
      </c>
      <c r="B1831" t="s">
        <v>26</v>
      </c>
      <c r="C1831">
        <v>68830</v>
      </c>
      <c r="D1831" t="s">
        <v>258</v>
      </c>
      <c r="E1831" s="7">
        <v>855.7</v>
      </c>
      <c r="F1831" t="s">
        <v>20</v>
      </c>
      <c r="G1831" t="s">
        <v>21</v>
      </c>
      <c r="H1831" t="str">
        <f>"156876"</f>
        <v>156876</v>
      </c>
      <c r="I1831" t="str">
        <f>"FUEL FOR GENERATOR"</f>
        <v>FUEL FOR GENERATOR</v>
      </c>
    </row>
    <row r="1832" spans="1:9" x14ac:dyDescent="0.25">
      <c r="A1832" s="6">
        <v>44607</v>
      </c>
      <c r="B1832" t="s">
        <v>26</v>
      </c>
      <c r="C1832">
        <v>68831</v>
      </c>
      <c r="D1832" t="s">
        <v>341</v>
      </c>
      <c r="E1832" s="7">
        <v>109</v>
      </c>
      <c r="F1832" t="s">
        <v>20</v>
      </c>
      <c r="G1832" t="s">
        <v>21</v>
      </c>
      <c r="H1832" t="str">
        <f>"W/WW CONF.2/22/22"</f>
        <v>W/WW CONF.2/22/22</v>
      </c>
      <c r="I1832" t="str">
        <f>"JUANITA MONTOYA"</f>
        <v>JUANITA MONTOYA</v>
      </c>
    </row>
    <row r="1833" spans="1:9" x14ac:dyDescent="0.25">
      <c r="A1833" s="6">
        <v>44607</v>
      </c>
      <c r="B1833" t="s">
        <v>26</v>
      </c>
      <c r="C1833">
        <v>68832</v>
      </c>
      <c r="D1833" t="s">
        <v>1017</v>
      </c>
      <c r="E1833" s="7">
        <v>29</v>
      </c>
      <c r="F1833" t="s">
        <v>20</v>
      </c>
      <c r="G1833" t="s">
        <v>21</v>
      </c>
      <c r="H1833" t="str">
        <f>"71655126"</f>
        <v>71655126</v>
      </c>
      <c r="I1833" t="str">
        <f>"LABCORP"</f>
        <v>LABCORP</v>
      </c>
    </row>
    <row r="1834" spans="1:9" x14ac:dyDescent="0.25">
      <c r="A1834" s="6">
        <v>44607</v>
      </c>
      <c r="B1834" t="s">
        <v>26</v>
      </c>
      <c r="C1834">
        <v>68832</v>
      </c>
      <c r="D1834" t="s">
        <v>1017</v>
      </c>
      <c r="E1834" s="7">
        <v>58</v>
      </c>
      <c r="F1834" t="s">
        <v>20</v>
      </c>
      <c r="G1834" t="s">
        <v>21</v>
      </c>
      <c r="H1834" t="str">
        <f>"71953354"</f>
        <v>71953354</v>
      </c>
      <c r="I1834" t="str">
        <f>"LABCORP"</f>
        <v>LABCORP</v>
      </c>
    </row>
    <row r="1835" spans="1:9" x14ac:dyDescent="0.25">
      <c r="A1835" s="6">
        <v>44607</v>
      </c>
      <c r="B1835" t="s">
        <v>26</v>
      </c>
      <c r="C1835">
        <v>68833</v>
      </c>
      <c r="D1835" t="s">
        <v>1018</v>
      </c>
      <c r="E1835" s="7">
        <v>3825</v>
      </c>
      <c r="F1835" t="s">
        <v>20</v>
      </c>
      <c r="G1835" t="s">
        <v>21</v>
      </c>
      <c r="H1835" t="str">
        <f>"11/1-1/31/2022"</f>
        <v>11/1-1/31/2022</v>
      </c>
      <c r="I1835" t="str">
        <f>"LAW OFFICE OF JOSE GARZA"</f>
        <v>LAW OFFICE OF JOSE GARZA</v>
      </c>
    </row>
    <row r="1836" spans="1:9" x14ac:dyDescent="0.25">
      <c r="A1836" s="6">
        <v>44607</v>
      </c>
      <c r="B1836" t="s">
        <v>26</v>
      </c>
      <c r="C1836">
        <v>68834</v>
      </c>
      <c r="D1836" t="s">
        <v>1032</v>
      </c>
      <c r="E1836" s="7">
        <v>4000</v>
      </c>
      <c r="F1836" t="s">
        <v>20</v>
      </c>
      <c r="G1836" t="s">
        <v>21</v>
      </c>
      <c r="H1836" t="str">
        <f>"1-22-17831  2/1/22"</f>
        <v>1-22-17831  2/1/22</v>
      </c>
      <c r="I1836" t="str">
        <f>"LEAL &amp; CARTER  P.C."</f>
        <v>LEAL &amp; CARTER  P.C.</v>
      </c>
    </row>
    <row r="1837" spans="1:9" x14ac:dyDescent="0.25">
      <c r="A1837" s="6">
        <v>44607</v>
      </c>
      <c r="B1837" t="s">
        <v>26</v>
      </c>
      <c r="C1837">
        <v>68835</v>
      </c>
      <c r="D1837" t="s">
        <v>117</v>
      </c>
      <c r="E1837" s="7">
        <v>2126.5500000000002</v>
      </c>
      <c r="F1837" t="s">
        <v>20</v>
      </c>
      <c r="G1837" t="s">
        <v>21</v>
      </c>
      <c r="H1837" t="str">
        <f>"JANUARY 2022"</f>
        <v>JANUARY 2022</v>
      </c>
      <c r="I1837" t="str">
        <f>"LINEBARGER GOGGAN BLAIR &amp; SAMP"</f>
        <v>LINEBARGER GOGGAN BLAIR &amp; SAMP</v>
      </c>
    </row>
    <row r="1838" spans="1:9" x14ac:dyDescent="0.25">
      <c r="A1838" s="6">
        <v>44607</v>
      </c>
      <c r="B1838" t="s">
        <v>26</v>
      </c>
      <c r="C1838">
        <v>68836</v>
      </c>
      <c r="D1838" t="s">
        <v>105</v>
      </c>
      <c r="E1838" s="7">
        <v>7</v>
      </c>
      <c r="F1838" t="s">
        <v>20</v>
      </c>
      <c r="G1838" t="s">
        <v>21</v>
      </c>
      <c r="H1838" t="str">
        <f>"411301"</f>
        <v>411301</v>
      </c>
      <c r="I1838" t="str">
        <f>"INSPECTION STICKER -PD 33"</f>
        <v>INSPECTION STICKER -PD 33</v>
      </c>
    </row>
    <row r="1839" spans="1:9" x14ac:dyDescent="0.25">
      <c r="A1839" s="6">
        <v>44607</v>
      </c>
      <c r="B1839" t="s">
        <v>26</v>
      </c>
      <c r="C1839">
        <v>68836</v>
      </c>
      <c r="D1839" t="s">
        <v>105</v>
      </c>
      <c r="E1839" s="7">
        <v>7</v>
      </c>
      <c r="F1839" t="s">
        <v>20</v>
      </c>
      <c r="G1839" t="s">
        <v>21</v>
      </c>
      <c r="H1839" t="str">
        <f>"411310"</f>
        <v>411310</v>
      </c>
      <c r="I1839" t="str">
        <f>"LUBE WORKS"</f>
        <v>LUBE WORKS</v>
      </c>
    </row>
    <row r="1840" spans="1:9" x14ac:dyDescent="0.25">
      <c r="A1840" s="6">
        <v>44607</v>
      </c>
      <c r="B1840" t="s">
        <v>26</v>
      </c>
      <c r="C1840">
        <v>68836</v>
      </c>
      <c r="D1840" t="s">
        <v>105</v>
      </c>
      <c r="E1840" s="7">
        <v>7</v>
      </c>
      <c r="F1840" t="s">
        <v>20</v>
      </c>
      <c r="G1840" t="s">
        <v>21</v>
      </c>
      <c r="H1840" t="str">
        <f>"411436"</f>
        <v>411436</v>
      </c>
      <c r="I1840" t="str">
        <f>"LUBE WORKS"</f>
        <v>LUBE WORKS</v>
      </c>
    </row>
    <row r="1841" spans="1:9" x14ac:dyDescent="0.25">
      <c r="A1841" s="6">
        <v>44607</v>
      </c>
      <c r="B1841" t="s">
        <v>26</v>
      </c>
      <c r="C1841">
        <v>68836</v>
      </c>
      <c r="D1841" t="s">
        <v>105</v>
      </c>
      <c r="E1841" s="7">
        <v>7</v>
      </c>
      <c r="F1841" t="s">
        <v>20</v>
      </c>
      <c r="G1841" t="s">
        <v>21</v>
      </c>
      <c r="H1841" t="str">
        <f>"411442"</f>
        <v>411442</v>
      </c>
      <c r="I1841" t="str">
        <f>"INSPECTION STICKER -PD 33"</f>
        <v>INSPECTION STICKER -PD 33</v>
      </c>
    </row>
    <row r="1842" spans="1:9" x14ac:dyDescent="0.25">
      <c r="A1842" s="6">
        <v>44607</v>
      </c>
      <c r="B1842" t="s">
        <v>26</v>
      </c>
      <c r="C1842">
        <v>68836</v>
      </c>
      <c r="D1842" t="s">
        <v>105</v>
      </c>
      <c r="E1842" s="7">
        <v>7</v>
      </c>
      <c r="F1842" t="s">
        <v>20</v>
      </c>
      <c r="G1842" t="s">
        <v>21</v>
      </c>
      <c r="H1842" t="str">
        <f>"411444"</f>
        <v>411444</v>
      </c>
      <c r="I1842" t="str">
        <f>"LUBE WORKS"</f>
        <v>LUBE WORKS</v>
      </c>
    </row>
    <row r="1843" spans="1:9" x14ac:dyDescent="0.25">
      <c r="A1843" s="6">
        <v>44607</v>
      </c>
      <c r="B1843" t="s">
        <v>26</v>
      </c>
      <c r="C1843">
        <v>68836</v>
      </c>
      <c r="D1843" t="s">
        <v>105</v>
      </c>
      <c r="E1843" s="7">
        <v>7</v>
      </c>
      <c r="F1843" t="s">
        <v>20</v>
      </c>
      <c r="G1843" t="s">
        <v>21</v>
      </c>
      <c r="H1843" t="str">
        <f>"411462"</f>
        <v>411462</v>
      </c>
      <c r="I1843" t="str">
        <f>"INSPECTION STICKER -PARKS"</f>
        <v>INSPECTION STICKER -PARKS</v>
      </c>
    </row>
    <row r="1844" spans="1:9" x14ac:dyDescent="0.25">
      <c r="A1844" s="6">
        <v>44607</v>
      </c>
      <c r="B1844" t="s">
        <v>26</v>
      </c>
      <c r="C1844">
        <v>68836</v>
      </c>
      <c r="D1844" t="s">
        <v>105</v>
      </c>
      <c r="E1844" s="7">
        <v>7</v>
      </c>
      <c r="F1844" t="s">
        <v>20</v>
      </c>
      <c r="G1844" t="s">
        <v>21</v>
      </c>
      <c r="H1844" t="str">
        <f>"411463"</f>
        <v>411463</v>
      </c>
      <c r="I1844" t="str">
        <f>"INSPECTION STICKER -STREE"</f>
        <v>INSPECTION STICKER -STREE</v>
      </c>
    </row>
    <row r="1845" spans="1:9" x14ac:dyDescent="0.25">
      <c r="A1845" s="6">
        <v>44607</v>
      </c>
      <c r="B1845" t="s">
        <v>26</v>
      </c>
      <c r="C1845">
        <v>68836</v>
      </c>
      <c r="D1845" t="s">
        <v>105</v>
      </c>
      <c r="E1845" s="7">
        <v>7</v>
      </c>
      <c r="F1845" t="s">
        <v>20</v>
      </c>
      <c r="G1845" t="s">
        <v>21</v>
      </c>
      <c r="H1845" t="str">
        <f>"411465"</f>
        <v>411465</v>
      </c>
      <c r="I1845" t="str">
        <f>"INSPECTION STICKER- 402"</f>
        <v>INSPECTION STICKER- 402</v>
      </c>
    </row>
    <row r="1846" spans="1:9" x14ac:dyDescent="0.25">
      <c r="A1846" s="6">
        <v>44607</v>
      </c>
      <c r="B1846" t="s">
        <v>26</v>
      </c>
      <c r="C1846">
        <v>68838</v>
      </c>
      <c r="D1846" t="s">
        <v>326</v>
      </c>
      <c r="E1846" s="7">
        <v>47</v>
      </c>
      <c r="F1846" t="s">
        <v>20</v>
      </c>
      <c r="G1846" t="s">
        <v>21</v>
      </c>
      <c r="H1846" t="str">
        <f>"0025016946"</f>
        <v>0025016946</v>
      </c>
      <c r="I1846" t="str">
        <f>"MATHESON TRI-GAS INC"</f>
        <v>MATHESON TRI-GAS INC</v>
      </c>
    </row>
    <row r="1847" spans="1:9" x14ac:dyDescent="0.25">
      <c r="A1847" s="6">
        <v>44607</v>
      </c>
      <c r="B1847" t="s">
        <v>26</v>
      </c>
      <c r="C1847">
        <v>68838</v>
      </c>
      <c r="D1847" t="s">
        <v>326</v>
      </c>
      <c r="E1847" s="7">
        <v>174.71</v>
      </c>
      <c r="F1847" t="s">
        <v>20</v>
      </c>
      <c r="G1847" t="s">
        <v>21</v>
      </c>
      <c r="H1847" t="str">
        <f>"0025069861"</f>
        <v>0025069861</v>
      </c>
      <c r="I1847" t="str">
        <f>"SUPPLIES FOR LODI PARK"</f>
        <v>SUPPLIES FOR LODI PARK</v>
      </c>
    </row>
    <row r="1848" spans="1:9" x14ac:dyDescent="0.25">
      <c r="A1848" s="6">
        <v>44607</v>
      </c>
      <c r="B1848" t="s">
        <v>26</v>
      </c>
      <c r="C1848">
        <v>68839</v>
      </c>
      <c r="D1848" t="s">
        <v>124</v>
      </c>
      <c r="E1848" s="7">
        <v>221</v>
      </c>
      <c r="F1848" t="s">
        <v>20</v>
      </c>
      <c r="G1848" t="s">
        <v>21</v>
      </c>
      <c r="H1848" t="str">
        <f>"11116856"</f>
        <v>11116856</v>
      </c>
      <c r="I1848" t="str">
        <f>"BEER WAREHOUSE SUPPLIES"</f>
        <v>BEER WAREHOUSE SUPPLIES</v>
      </c>
    </row>
    <row r="1849" spans="1:9" x14ac:dyDescent="0.25">
      <c r="A1849" s="6">
        <v>44607</v>
      </c>
      <c r="B1849" t="s">
        <v>26</v>
      </c>
      <c r="C1849">
        <v>68840</v>
      </c>
      <c r="D1849" t="s">
        <v>689</v>
      </c>
      <c r="E1849" s="7">
        <v>95</v>
      </c>
      <c r="F1849" t="s">
        <v>20</v>
      </c>
      <c r="G1849" t="s">
        <v>21</v>
      </c>
      <c r="H1849" t="str">
        <f>"4447"</f>
        <v>4447</v>
      </c>
      <c r="I1849" t="str">
        <f>"PACKING FOR WELL"</f>
        <v>PACKING FOR WELL</v>
      </c>
    </row>
    <row r="1850" spans="1:9" x14ac:dyDescent="0.25">
      <c r="A1850" s="6">
        <v>44607</v>
      </c>
      <c r="B1850" t="s">
        <v>26</v>
      </c>
      <c r="C1850">
        <v>68841</v>
      </c>
      <c r="D1850" t="s">
        <v>327</v>
      </c>
      <c r="E1850" s="7">
        <v>30.26</v>
      </c>
      <c r="F1850" t="s">
        <v>20</v>
      </c>
      <c r="G1850" t="s">
        <v>21</v>
      </c>
      <c r="H1850" t="str">
        <f>"2941"</f>
        <v>2941</v>
      </c>
      <c r="I1850" t="str">
        <f>"MOY'S WATER WELL SERVICES"</f>
        <v>MOY'S WATER WELL SERVICES</v>
      </c>
    </row>
    <row r="1851" spans="1:9" x14ac:dyDescent="0.25">
      <c r="A1851" s="6">
        <v>44607</v>
      </c>
      <c r="B1851" t="s">
        <v>26</v>
      </c>
      <c r="C1851">
        <v>68842</v>
      </c>
      <c r="D1851" t="s">
        <v>240</v>
      </c>
      <c r="E1851" s="7">
        <v>49.99</v>
      </c>
      <c r="F1851" t="s">
        <v>20</v>
      </c>
      <c r="G1851" t="s">
        <v>21</v>
      </c>
      <c r="H1851" t="str">
        <f>"0223170-IN"</f>
        <v>0223170-IN</v>
      </c>
      <c r="I1851" t="str">
        <f>"NARDIS PUBLIC SAFETY"</f>
        <v>NARDIS PUBLIC SAFETY</v>
      </c>
    </row>
    <row r="1852" spans="1:9" x14ac:dyDescent="0.25">
      <c r="A1852" s="6">
        <v>44607</v>
      </c>
      <c r="B1852" t="s">
        <v>26</v>
      </c>
      <c r="C1852">
        <v>68842</v>
      </c>
      <c r="D1852" t="s">
        <v>240</v>
      </c>
      <c r="E1852" s="7">
        <v>850</v>
      </c>
      <c r="F1852" t="s">
        <v>20</v>
      </c>
      <c r="G1852" t="s">
        <v>21</v>
      </c>
      <c r="H1852" t="str">
        <f>"0223179-IN"</f>
        <v>0223179-IN</v>
      </c>
      <c r="I1852" t="str">
        <f>"NEW OFFICER UNIFORMS"</f>
        <v>NEW OFFICER UNIFORMS</v>
      </c>
    </row>
    <row r="1853" spans="1:9" x14ac:dyDescent="0.25">
      <c r="A1853" s="6">
        <v>44607</v>
      </c>
      <c r="B1853" t="s">
        <v>26</v>
      </c>
      <c r="C1853">
        <v>68842</v>
      </c>
      <c r="D1853" t="s">
        <v>240</v>
      </c>
      <c r="E1853" s="7">
        <v>1451.76</v>
      </c>
      <c r="F1853" t="s">
        <v>20</v>
      </c>
      <c r="G1853" t="s">
        <v>21</v>
      </c>
      <c r="H1853" t="str">
        <f>"0223412-IN"</f>
        <v>0223412-IN</v>
      </c>
      <c r="I1853" t="str">
        <f>"NEW OFFICER -GARCIA"</f>
        <v>NEW OFFICER -GARCIA</v>
      </c>
    </row>
    <row r="1854" spans="1:9" x14ac:dyDescent="0.25">
      <c r="A1854" s="6">
        <v>44607</v>
      </c>
      <c r="B1854" t="s">
        <v>26</v>
      </c>
      <c r="C1854">
        <v>68842</v>
      </c>
      <c r="D1854" t="s">
        <v>240</v>
      </c>
      <c r="E1854" s="7">
        <v>442.34</v>
      </c>
      <c r="F1854" t="s">
        <v>20</v>
      </c>
      <c r="G1854" t="s">
        <v>21</v>
      </c>
      <c r="H1854" t="str">
        <f>"0223735-IN"</f>
        <v>0223735-IN</v>
      </c>
      <c r="I1854" t="str">
        <f>"UNIFORM ALLOWANCE"</f>
        <v>UNIFORM ALLOWANCE</v>
      </c>
    </row>
    <row r="1855" spans="1:9" x14ac:dyDescent="0.25">
      <c r="A1855" s="6">
        <v>44607</v>
      </c>
      <c r="B1855" t="s">
        <v>26</v>
      </c>
      <c r="C1855">
        <v>68842</v>
      </c>
      <c r="D1855" t="s">
        <v>240</v>
      </c>
      <c r="E1855" s="7">
        <v>164.99</v>
      </c>
      <c r="F1855" t="s">
        <v>20</v>
      </c>
      <c r="G1855" t="s">
        <v>21</v>
      </c>
      <c r="H1855" t="str">
        <f>"0223749-IN"</f>
        <v>0223749-IN</v>
      </c>
      <c r="I1855" t="str">
        <f>"NEW OFFICER - CANTU"</f>
        <v>NEW OFFICER - CANTU</v>
      </c>
    </row>
    <row r="1856" spans="1:9" x14ac:dyDescent="0.25">
      <c r="A1856" s="6">
        <v>44607</v>
      </c>
      <c r="B1856" t="s">
        <v>26</v>
      </c>
      <c r="C1856">
        <v>68842</v>
      </c>
      <c r="D1856" t="s">
        <v>240</v>
      </c>
      <c r="E1856" s="7">
        <v>164.99</v>
      </c>
      <c r="F1856" t="s">
        <v>20</v>
      </c>
      <c r="G1856" t="s">
        <v>21</v>
      </c>
      <c r="H1856" t="str">
        <f>"0223764-IN"</f>
        <v>0223764-IN</v>
      </c>
      <c r="I1856" t="str">
        <f>"NEW OFFICER -GARCIA"</f>
        <v>NEW OFFICER -GARCIA</v>
      </c>
    </row>
    <row r="1857" spans="1:9" x14ac:dyDescent="0.25">
      <c r="A1857" s="6">
        <v>44607</v>
      </c>
      <c r="B1857" t="s">
        <v>26</v>
      </c>
      <c r="C1857">
        <v>68843</v>
      </c>
      <c r="D1857" t="s">
        <v>123</v>
      </c>
      <c r="E1857" s="7">
        <v>4.97</v>
      </c>
      <c r="F1857" t="s">
        <v>20</v>
      </c>
      <c r="G1857" t="s">
        <v>21</v>
      </c>
      <c r="H1857" t="str">
        <f>"220529702002"</f>
        <v>220529702002</v>
      </c>
      <c r="I1857" t="str">
        <f t="shared" ref="I1857:I1864" si="45">"OFFICE SUPPLIES"</f>
        <v>OFFICE SUPPLIES</v>
      </c>
    </row>
    <row r="1858" spans="1:9" x14ac:dyDescent="0.25">
      <c r="A1858" s="6">
        <v>44607</v>
      </c>
      <c r="B1858" t="s">
        <v>26</v>
      </c>
      <c r="C1858">
        <v>68843</v>
      </c>
      <c r="D1858" t="s">
        <v>123</v>
      </c>
      <c r="E1858" s="7">
        <v>44.47</v>
      </c>
      <c r="F1858" t="s">
        <v>20</v>
      </c>
      <c r="G1858" t="s">
        <v>21</v>
      </c>
      <c r="H1858" t="str">
        <f>"222187547001"</f>
        <v>222187547001</v>
      </c>
      <c r="I1858" t="str">
        <f t="shared" si="45"/>
        <v>OFFICE SUPPLIES</v>
      </c>
    </row>
    <row r="1859" spans="1:9" x14ac:dyDescent="0.25">
      <c r="A1859" s="6">
        <v>44607</v>
      </c>
      <c r="B1859" t="s">
        <v>26</v>
      </c>
      <c r="C1859">
        <v>68843</v>
      </c>
      <c r="D1859" t="s">
        <v>123</v>
      </c>
      <c r="E1859" s="7">
        <v>16.98</v>
      </c>
      <c r="F1859" t="s">
        <v>20</v>
      </c>
      <c r="G1859" t="s">
        <v>21</v>
      </c>
      <c r="H1859" t="str">
        <f>"222253246001"</f>
        <v>222253246001</v>
      </c>
      <c r="I1859" t="str">
        <f t="shared" si="45"/>
        <v>OFFICE SUPPLIES</v>
      </c>
    </row>
    <row r="1860" spans="1:9" x14ac:dyDescent="0.25">
      <c r="A1860" s="6">
        <v>44607</v>
      </c>
      <c r="B1860" t="s">
        <v>26</v>
      </c>
      <c r="C1860">
        <v>68843</v>
      </c>
      <c r="D1860" t="s">
        <v>123</v>
      </c>
      <c r="E1860" s="7">
        <v>69.91</v>
      </c>
      <c r="F1860" t="s">
        <v>20</v>
      </c>
      <c r="G1860" t="s">
        <v>21</v>
      </c>
      <c r="H1860" t="str">
        <f>"222552007001"</f>
        <v>222552007001</v>
      </c>
      <c r="I1860" t="str">
        <f t="shared" si="45"/>
        <v>OFFICE SUPPLIES</v>
      </c>
    </row>
    <row r="1861" spans="1:9" x14ac:dyDescent="0.25">
      <c r="A1861" s="6">
        <v>44607</v>
      </c>
      <c r="B1861" t="s">
        <v>26</v>
      </c>
      <c r="C1861">
        <v>68843</v>
      </c>
      <c r="D1861" t="s">
        <v>123</v>
      </c>
      <c r="E1861" s="7">
        <v>5.91</v>
      </c>
      <c r="F1861" t="s">
        <v>20</v>
      </c>
      <c r="G1861" t="s">
        <v>21</v>
      </c>
      <c r="H1861" t="str">
        <f>"222567093001"</f>
        <v>222567093001</v>
      </c>
      <c r="I1861" t="str">
        <f t="shared" si="45"/>
        <v>OFFICE SUPPLIES</v>
      </c>
    </row>
    <row r="1862" spans="1:9" x14ac:dyDescent="0.25">
      <c r="A1862" s="6">
        <v>44607</v>
      </c>
      <c r="B1862" t="s">
        <v>26</v>
      </c>
      <c r="C1862">
        <v>68843</v>
      </c>
      <c r="D1862" t="s">
        <v>123</v>
      </c>
      <c r="E1862" s="7">
        <v>28.05</v>
      </c>
      <c r="F1862" t="s">
        <v>20</v>
      </c>
      <c r="G1862" t="s">
        <v>21</v>
      </c>
      <c r="H1862" t="str">
        <f>"222756386001"</f>
        <v>222756386001</v>
      </c>
      <c r="I1862" t="str">
        <f t="shared" si="45"/>
        <v>OFFICE SUPPLIES</v>
      </c>
    </row>
    <row r="1863" spans="1:9" x14ac:dyDescent="0.25">
      <c r="A1863" s="6">
        <v>44607</v>
      </c>
      <c r="B1863" t="s">
        <v>26</v>
      </c>
      <c r="C1863">
        <v>68843</v>
      </c>
      <c r="D1863" t="s">
        <v>123</v>
      </c>
      <c r="E1863" s="7">
        <v>76.14</v>
      </c>
      <c r="F1863" t="s">
        <v>20</v>
      </c>
      <c r="G1863" t="s">
        <v>21</v>
      </c>
      <c r="H1863" t="str">
        <f>"223510037001"</f>
        <v>223510037001</v>
      </c>
      <c r="I1863" t="str">
        <f t="shared" si="45"/>
        <v>OFFICE SUPPLIES</v>
      </c>
    </row>
    <row r="1864" spans="1:9" x14ac:dyDescent="0.25">
      <c r="A1864" s="6">
        <v>44607</v>
      </c>
      <c r="B1864" t="s">
        <v>26</v>
      </c>
      <c r="C1864">
        <v>68843</v>
      </c>
      <c r="D1864" t="s">
        <v>123</v>
      </c>
      <c r="E1864" s="7">
        <v>85.99</v>
      </c>
      <c r="F1864" t="s">
        <v>20</v>
      </c>
      <c r="G1864" t="s">
        <v>21</v>
      </c>
      <c r="H1864" t="str">
        <f>"223555953001"</f>
        <v>223555953001</v>
      </c>
      <c r="I1864" t="str">
        <f t="shared" si="45"/>
        <v>OFFICE SUPPLIES</v>
      </c>
    </row>
    <row r="1865" spans="1:9" x14ac:dyDescent="0.25">
      <c r="A1865" s="6">
        <v>44607</v>
      </c>
      <c r="B1865" t="s">
        <v>26</v>
      </c>
      <c r="C1865">
        <v>68843</v>
      </c>
      <c r="D1865" t="s">
        <v>123</v>
      </c>
      <c r="E1865" s="7">
        <v>138.69</v>
      </c>
      <c r="F1865" t="s">
        <v>20</v>
      </c>
      <c r="G1865" t="s">
        <v>21</v>
      </c>
      <c r="H1865" t="str">
        <f>"223592441001"</f>
        <v>223592441001</v>
      </c>
      <c r="I1865" t="str">
        <f>"OFFICE DEPOT  INC."</f>
        <v>OFFICE DEPOT  INC.</v>
      </c>
    </row>
    <row r="1866" spans="1:9" x14ac:dyDescent="0.25">
      <c r="A1866" s="6">
        <v>44607</v>
      </c>
      <c r="B1866" t="s">
        <v>26</v>
      </c>
      <c r="C1866">
        <v>68843</v>
      </c>
      <c r="D1866" t="s">
        <v>123</v>
      </c>
      <c r="E1866" s="7">
        <v>38.380000000000003</v>
      </c>
      <c r="F1866" t="s">
        <v>20</v>
      </c>
      <c r="G1866" t="s">
        <v>21</v>
      </c>
      <c r="H1866" t="str">
        <f>"223592444001"</f>
        <v>223592444001</v>
      </c>
      <c r="I1866" t="str">
        <f>"OFFICE SUPPLIES"</f>
        <v>OFFICE SUPPLIES</v>
      </c>
    </row>
    <row r="1867" spans="1:9" x14ac:dyDescent="0.25">
      <c r="A1867" s="6">
        <v>44607</v>
      </c>
      <c r="B1867" t="s">
        <v>26</v>
      </c>
      <c r="C1867">
        <v>68843</v>
      </c>
      <c r="D1867" t="s">
        <v>123</v>
      </c>
      <c r="E1867" s="7">
        <v>146.21</v>
      </c>
      <c r="F1867" t="s">
        <v>20</v>
      </c>
      <c r="G1867" t="s">
        <v>21</v>
      </c>
      <c r="H1867" t="str">
        <f>"224358457001"</f>
        <v>224358457001</v>
      </c>
      <c r="I1867" t="str">
        <f>"OFFICE SUPPLIES"</f>
        <v>OFFICE SUPPLIES</v>
      </c>
    </row>
    <row r="1868" spans="1:9" x14ac:dyDescent="0.25">
      <c r="A1868" s="6">
        <v>44607</v>
      </c>
      <c r="B1868" t="s">
        <v>26</v>
      </c>
      <c r="C1868">
        <v>68843</v>
      </c>
      <c r="D1868" t="s">
        <v>123</v>
      </c>
      <c r="E1868" s="7">
        <v>23.48</v>
      </c>
      <c r="F1868" t="s">
        <v>20</v>
      </c>
      <c r="G1868" t="s">
        <v>21</v>
      </c>
      <c r="H1868" t="str">
        <f>"224359582001"</f>
        <v>224359582001</v>
      </c>
      <c r="I1868" t="str">
        <f>"OFFICE SUPPLIES"</f>
        <v>OFFICE SUPPLIES</v>
      </c>
    </row>
    <row r="1869" spans="1:9" x14ac:dyDescent="0.25">
      <c r="A1869" s="6">
        <v>44607</v>
      </c>
      <c r="B1869" t="s">
        <v>26</v>
      </c>
      <c r="C1869">
        <v>68847</v>
      </c>
      <c r="D1869" t="s">
        <v>1001</v>
      </c>
      <c r="E1869" s="7">
        <v>6820</v>
      </c>
      <c r="F1869" t="s">
        <v>20</v>
      </c>
      <c r="G1869" t="s">
        <v>21</v>
      </c>
      <c r="H1869" t="str">
        <f>"1359"</f>
        <v>1359</v>
      </c>
      <c r="I1869" t="str">
        <f>"PATROL CAR EQUIPTMENT"</f>
        <v>PATROL CAR EQUIPTMENT</v>
      </c>
    </row>
    <row r="1870" spans="1:9" x14ac:dyDescent="0.25">
      <c r="A1870" s="6">
        <v>44607</v>
      </c>
      <c r="B1870" t="s">
        <v>26</v>
      </c>
      <c r="C1870">
        <v>68848</v>
      </c>
      <c r="D1870" t="s">
        <v>1081</v>
      </c>
      <c r="E1870" s="7">
        <v>817</v>
      </c>
      <c r="F1870" t="s">
        <v>20</v>
      </c>
      <c r="G1870" t="s">
        <v>21</v>
      </c>
      <c r="H1870" t="str">
        <f>"25494"</f>
        <v>25494</v>
      </c>
      <c r="I1870" t="str">
        <f>"PINNACLE PEST DEFENSE"</f>
        <v>PINNACLE PEST DEFENSE</v>
      </c>
    </row>
    <row r="1871" spans="1:9" x14ac:dyDescent="0.25">
      <c r="A1871" s="6">
        <v>44607</v>
      </c>
      <c r="B1871" t="s">
        <v>26</v>
      </c>
      <c r="C1871">
        <v>68848</v>
      </c>
      <c r="D1871" t="s">
        <v>1081</v>
      </c>
      <c r="E1871" s="7">
        <v>50</v>
      </c>
      <c r="F1871" t="s">
        <v>20</v>
      </c>
      <c r="G1871" t="s">
        <v>21</v>
      </c>
      <c r="H1871" t="str">
        <f>"29712"</f>
        <v>29712</v>
      </c>
      <c r="I1871" t="str">
        <f>"PINNACLE PEST DEFENSE"</f>
        <v>PINNACLE PEST DEFENSE</v>
      </c>
    </row>
    <row r="1872" spans="1:9" x14ac:dyDescent="0.25">
      <c r="A1872" s="6">
        <v>44607</v>
      </c>
      <c r="B1872" t="s">
        <v>26</v>
      </c>
      <c r="C1872">
        <v>68848</v>
      </c>
      <c r="D1872" t="s">
        <v>1081</v>
      </c>
      <c r="E1872" s="7">
        <v>340</v>
      </c>
      <c r="F1872" t="s">
        <v>20</v>
      </c>
      <c r="G1872" t="s">
        <v>21</v>
      </c>
      <c r="H1872" t="str">
        <f>"29964"</f>
        <v>29964</v>
      </c>
      <c r="I1872" t="str">
        <f>"PINNACLE PEST DEFENSE"</f>
        <v>PINNACLE PEST DEFENSE</v>
      </c>
    </row>
    <row r="1873" spans="1:9" x14ac:dyDescent="0.25">
      <c r="A1873" s="6">
        <v>44607</v>
      </c>
      <c r="B1873" t="s">
        <v>26</v>
      </c>
      <c r="C1873">
        <v>68848</v>
      </c>
      <c r="D1873" t="s">
        <v>1081</v>
      </c>
      <c r="E1873" s="7">
        <v>433</v>
      </c>
      <c r="F1873" t="s">
        <v>20</v>
      </c>
      <c r="G1873" t="s">
        <v>21</v>
      </c>
      <c r="H1873" t="str">
        <f>"31690"</f>
        <v>31690</v>
      </c>
      <c r="I1873" t="str">
        <f>"PINNACLE PEST DEFENSE"</f>
        <v>PINNACLE PEST DEFENSE</v>
      </c>
    </row>
    <row r="1874" spans="1:9" x14ac:dyDescent="0.25">
      <c r="A1874" s="6">
        <v>44607</v>
      </c>
      <c r="B1874" t="s">
        <v>26</v>
      </c>
      <c r="C1874">
        <v>68848</v>
      </c>
      <c r="D1874" t="s">
        <v>1081</v>
      </c>
      <c r="E1874" s="7">
        <v>502.88</v>
      </c>
      <c r="F1874" t="s">
        <v>20</v>
      </c>
      <c r="G1874" t="s">
        <v>21</v>
      </c>
      <c r="H1874" t="str">
        <f>"31694"</f>
        <v>31694</v>
      </c>
      <c r="I1874" t="str">
        <f>"PINNACLE PEST DEFENSE"</f>
        <v>PINNACLE PEST DEFENSE</v>
      </c>
    </row>
    <row r="1875" spans="1:9" x14ac:dyDescent="0.25">
      <c r="A1875" s="6">
        <v>44607</v>
      </c>
      <c r="B1875" t="s">
        <v>26</v>
      </c>
      <c r="C1875">
        <v>68849</v>
      </c>
      <c r="D1875" t="s">
        <v>169</v>
      </c>
      <c r="E1875" s="7">
        <v>17.579999999999998</v>
      </c>
      <c r="F1875" t="s">
        <v>20</v>
      </c>
      <c r="G1875" t="s">
        <v>21</v>
      </c>
      <c r="H1875" t="str">
        <f>"158098"</f>
        <v>158098</v>
      </c>
      <c r="I1875" t="str">
        <f>"THE POLICE AND SHERIFFS PRESS"</f>
        <v>THE POLICE AND SHERIFFS PRESS</v>
      </c>
    </row>
    <row r="1876" spans="1:9" x14ac:dyDescent="0.25">
      <c r="A1876" s="6">
        <v>44607</v>
      </c>
      <c r="B1876" t="s">
        <v>26</v>
      </c>
      <c r="C1876">
        <v>68850</v>
      </c>
      <c r="D1876" t="s">
        <v>315</v>
      </c>
      <c r="E1876" s="7">
        <v>599.99</v>
      </c>
      <c r="F1876" t="s">
        <v>20</v>
      </c>
      <c r="G1876" t="s">
        <v>21</v>
      </c>
      <c r="H1876" t="str">
        <f>"FEH 2022"</f>
        <v>FEH 2022</v>
      </c>
      <c r="I1876" t="str">
        <f>"PRIME TIME ADVERTISING"</f>
        <v>PRIME TIME ADVERTISING</v>
      </c>
    </row>
    <row r="1877" spans="1:9" x14ac:dyDescent="0.25">
      <c r="A1877" s="6">
        <v>44607</v>
      </c>
      <c r="B1877" t="s">
        <v>26</v>
      </c>
      <c r="C1877">
        <v>68851</v>
      </c>
      <c r="D1877" t="s">
        <v>62</v>
      </c>
      <c r="E1877" s="7">
        <v>233.75</v>
      </c>
      <c r="F1877" t="s">
        <v>20</v>
      </c>
      <c r="G1877" t="s">
        <v>21</v>
      </c>
      <c r="H1877" t="str">
        <f>"77864"</f>
        <v>77864</v>
      </c>
      <c r="I1877" t="str">
        <f>"PROFICIENT BENEFIT SOLUTIONS"</f>
        <v>PROFICIENT BENEFIT SOLUTIONS</v>
      </c>
    </row>
    <row r="1878" spans="1:9" x14ac:dyDescent="0.25">
      <c r="A1878" s="6">
        <v>44607</v>
      </c>
      <c r="B1878" t="s">
        <v>26</v>
      </c>
      <c r="C1878">
        <v>68852</v>
      </c>
      <c r="D1878" t="s">
        <v>131</v>
      </c>
      <c r="E1878" s="7">
        <v>129.44999999999999</v>
      </c>
      <c r="F1878" t="s">
        <v>20</v>
      </c>
      <c r="G1878" t="s">
        <v>21</v>
      </c>
      <c r="H1878" t="str">
        <f>"065491"</f>
        <v>065491</v>
      </c>
      <c r="I1878" t="str">
        <f>"WWTP"</f>
        <v>WWTP</v>
      </c>
    </row>
    <row r="1879" spans="1:9" x14ac:dyDescent="0.25">
      <c r="A1879" s="6">
        <v>44607</v>
      </c>
      <c r="B1879" t="s">
        <v>26</v>
      </c>
      <c r="C1879">
        <v>68852</v>
      </c>
      <c r="D1879" t="s">
        <v>131</v>
      </c>
      <c r="E1879" s="7">
        <v>305.08</v>
      </c>
      <c r="F1879" t="s">
        <v>20</v>
      </c>
      <c r="G1879" t="s">
        <v>21</v>
      </c>
      <c r="H1879" t="str">
        <f>"065807"</f>
        <v>065807</v>
      </c>
      <c r="I1879" t="str">
        <f>"HOSES FOR DURAPATCH"</f>
        <v>HOSES FOR DURAPATCH</v>
      </c>
    </row>
    <row r="1880" spans="1:9" x14ac:dyDescent="0.25">
      <c r="A1880" s="6">
        <v>44607</v>
      </c>
      <c r="B1880" t="s">
        <v>26</v>
      </c>
      <c r="C1880">
        <v>68853</v>
      </c>
      <c r="D1880" t="s">
        <v>126</v>
      </c>
      <c r="E1880" s="7">
        <v>1048.03</v>
      </c>
      <c r="F1880" t="s">
        <v>20</v>
      </c>
      <c r="G1880" t="s">
        <v>21</v>
      </c>
      <c r="H1880" t="str">
        <f>"0859-003030990"</f>
        <v>0859-003030990</v>
      </c>
      <c r="I1880" t="str">
        <f>"REPUBLIC SERVICES #859"</f>
        <v>REPUBLIC SERVICES #859</v>
      </c>
    </row>
    <row r="1881" spans="1:9" x14ac:dyDescent="0.25">
      <c r="A1881" s="6">
        <v>44607</v>
      </c>
      <c r="B1881" t="s">
        <v>26</v>
      </c>
      <c r="C1881">
        <v>68853</v>
      </c>
      <c r="D1881" t="s">
        <v>126</v>
      </c>
      <c r="E1881" s="7">
        <v>94373.93</v>
      </c>
      <c r="F1881" t="s">
        <v>20</v>
      </c>
      <c r="G1881" t="s">
        <v>21</v>
      </c>
      <c r="H1881" t="str">
        <f>"0859-003036526"</f>
        <v>0859-003036526</v>
      </c>
      <c r="I1881" t="str">
        <f>"REPUBLIC SERVICES #859"</f>
        <v>REPUBLIC SERVICES #859</v>
      </c>
    </row>
    <row r="1882" spans="1:9" x14ac:dyDescent="0.25">
      <c r="A1882" s="6">
        <v>44607</v>
      </c>
      <c r="B1882" t="s">
        <v>26</v>
      </c>
      <c r="C1882">
        <v>68854</v>
      </c>
      <c r="D1882" t="s">
        <v>630</v>
      </c>
      <c r="E1882" s="7">
        <v>14428.9</v>
      </c>
      <c r="F1882" t="s">
        <v>20</v>
      </c>
      <c r="G1882" t="s">
        <v>21</v>
      </c>
      <c r="H1882" t="str">
        <f>"41695"</f>
        <v>41695</v>
      </c>
      <c r="I1882" t="str">
        <f>"METERS FOR CHAMPIONS"</f>
        <v>METERS FOR CHAMPIONS</v>
      </c>
    </row>
    <row r="1883" spans="1:9" x14ac:dyDescent="0.25">
      <c r="A1883" s="6">
        <v>44607</v>
      </c>
      <c r="B1883" t="s">
        <v>26</v>
      </c>
      <c r="C1883">
        <v>68855</v>
      </c>
      <c r="D1883" t="s">
        <v>1133</v>
      </c>
      <c r="E1883" s="7">
        <v>1106.92</v>
      </c>
      <c r="F1883" t="s">
        <v>20</v>
      </c>
      <c r="G1883" t="s">
        <v>21</v>
      </c>
      <c r="H1883" t="str">
        <f>"80289561"</f>
        <v>80289561</v>
      </c>
      <c r="I1883" t="str">
        <f>"HVAC REPAIR"</f>
        <v>HVAC REPAIR</v>
      </c>
    </row>
    <row r="1884" spans="1:9" x14ac:dyDescent="0.25">
      <c r="A1884" s="6">
        <v>44607</v>
      </c>
      <c r="B1884" t="s">
        <v>26</v>
      </c>
      <c r="C1884">
        <v>68856</v>
      </c>
      <c r="D1884" t="s">
        <v>346</v>
      </c>
      <c r="E1884" s="7">
        <v>13750</v>
      </c>
      <c r="F1884" t="s">
        <v>20</v>
      </c>
      <c r="G1884" t="s">
        <v>21</v>
      </c>
      <c r="H1884" t="str">
        <f>"1/11-02/11/2022"</f>
        <v>1/11-02/11/2022</v>
      </c>
      <c r="I1884" t="str">
        <f>"SYLVIA RODRIGUEZ"</f>
        <v>SYLVIA RODRIGUEZ</v>
      </c>
    </row>
    <row r="1885" spans="1:9" x14ac:dyDescent="0.25">
      <c r="A1885" s="6">
        <v>44607</v>
      </c>
      <c r="B1885" t="s">
        <v>26</v>
      </c>
      <c r="C1885">
        <v>68857</v>
      </c>
      <c r="D1885" t="s">
        <v>75</v>
      </c>
      <c r="E1885" s="7">
        <v>149.99</v>
      </c>
      <c r="F1885" t="s">
        <v>20</v>
      </c>
      <c r="G1885" t="s">
        <v>21</v>
      </c>
      <c r="H1885" t="str">
        <f>"8184  2/4/2022"</f>
        <v>8184  2/4/2022</v>
      </c>
      <c r="I1885" t="str">
        <f>"BOOTS FOR FREDDY"</f>
        <v>BOOTS FOR FREDDY</v>
      </c>
    </row>
    <row r="1886" spans="1:9" x14ac:dyDescent="0.25">
      <c r="A1886" s="6">
        <v>44607</v>
      </c>
      <c r="B1886" t="s">
        <v>26</v>
      </c>
      <c r="C1886">
        <v>68858</v>
      </c>
      <c r="D1886" t="s">
        <v>1163</v>
      </c>
      <c r="E1886" s="7">
        <v>6923</v>
      </c>
      <c r="F1886" t="s">
        <v>20</v>
      </c>
      <c r="G1886" t="s">
        <v>21</v>
      </c>
      <c r="H1886" t="str">
        <f>"5300001 3/1/2022"</f>
        <v>5300001 3/1/2022</v>
      </c>
      <c r="I1886" t="str">
        <f>"TRUIST GOVERNMENTAL FINANCE"</f>
        <v>TRUIST GOVERNMENTAL FINANCE</v>
      </c>
    </row>
    <row r="1887" spans="1:9" x14ac:dyDescent="0.25">
      <c r="A1887" s="6">
        <v>44607</v>
      </c>
      <c r="B1887" t="s">
        <v>26</v>
      </c>
      <c r="C1887">
        <v>68858</v>
      </c>
      <c r="D1887" t="s">
        <v>1163</v>
      </c>
      <c r="E1887" s="7">
        <v>65080</v>
      </c>
      <c r="F1887" t="s">
        <v>20</v>
      </c>
      <c r="G1887" t="s">
        <v>21</v>
      </c>
      <c r="H1887" t="str">
        <f>"6000001  3/1/2022"</f>
        <v>6000001  3/1/2022</v>
      </c>
      <c r="I1887" t="str">
        <f>"TRUIST GOVERNMENTAL FINANCE"</f>
        <v>TRUIST GOVERNMENTAL FINANCE</v>
      </c>
    </row>
    <row r="1888" spans="1:9" x14ac:dyDescent="0.25">
      <c r="A1888" s="6">
        <v>44607</v>
      </c>
      <c r="B1888" t="s">
        <v>26</v>
      </c>
      <c r="C1888">
        <v>68859</v>
      </c>
      <c r="D1888" t="s">
        <v>644</v>
      </c>
      <c r="E1888" s="7">
        <v>130.55000000000001</v>
      </c>
      <c r="F1888" t="s">
        <v>20</v>
      </c>
      <c r="G1888" t="s">
        <v>21</v>
      </c>
      <c r="H1888" t="str">
        <f>"8213692026"</f>
        <v>8213692026</v>
      </c>
      <c r="I1888" t="str">
        <f t="shared" ref="I1888:I1898" si="46">"UNIFIRST CORPORATION"</f>
        <v>UNIFIRST CORPORATION</v>
      </c>
    </row>
    <row r="1889" spans="1:9" x14ac:dyDescent="0.25">
      <c r="A1889" s="6">
        <v>44607</v>
      </c>
      <c r="B1889" t="s">
        <v>26</v>
      </c>
      <c r="C1889">
        <v>68859</v>
      </c>
      <c r="D1889" t="s">
        <v>644</v>
      </c>
      <c r="E1889" s="7">
        <v>26.49</v>
      </c>
      <c r="F1889" t="s">
        <v>20</v>
      </c>
      <c r="G1889" t="s">
        <v>21</v>
      </c>
      <c r="H1889" t="str">
        <f>"8213692027"</f>
        <v>8213692027</v>
      </c>
      <c r="I1889" t="str">
        <f t="shared" si="46"/>
        <v>UNIFIRST CORPORATION</v>
      </c>
    </row>
    <row r="1890" spans="1:9" x14ac:dyDescent="0.25">
      <c r="A1890" s="6">
        <v>44607</v>
      </c>
      <c r="B1890" t="s">
        <v>26</v>
      </c>
      <c r="C1890">
        <v>68859</v>
      </c>
      <c r="D1890" t="s">
        <v>644</v>
      </c>
      <c r="E1890" s="7">
        <v>116.86</v>
      </c>
      <c r="F1890" t="s">
        <v>20</v>
      </c>
      <c r="G1890" t="s">
        <v>21</v>
      </c>
      <c r="H1890" t="str">
        <f>"8213692028"</f>
        <v>8213692028</v>
      </c>
      <c r="I1890" t="str">
        <f t="shared" si="46"/>
        <v>UNIFIRST CORPORATION</v>
      </c>
    </row>
    <row r="1891" spans="1:9" x14ac:dyDescent="0.25">
      <c r="A1891" s="6">
        <v>44607</v>
      </c>
      <c r="B1891" t="s">
        <v>26</v>
      </c>
      <c r="C1891">
        <v>68859</v>
      </c>
      <c r="D1891" t="s">
        <v>644</v>
      </c>
      <c r="E1891" s="7">
        <v>124.5</v>
      </c>
      <c r="F1891" t="s">
        <v>20</v>
      </c>
      <c r="G1891" t="s">
        <v>21</v>
      </c>
      <c r="H1891" t="str">
        <f>"8213692029"</f>
        <v>8213692029</v>
      </c>
      <c r="I1891" t="str">
        <f t="shared" si="46"/>
        <v>UNIFIRST CORPORATION</v>
      </c>
    </row>
    <row r="1892" spans="1:9" x14ac:dyDescent="0.25">
      <c r="A1892" s="6">
        <v>44607</v>
      </c>
      <c r="B1892" t="s">
        <v>26</v>
      </c>
      <c r="C1892">
        <v>68859</v>
      </c>
      <c r="D1892" t="s">
        <v>644</v>
      </c>
      <c r="E1892" s="7">
        <v>95.04</v>
      </c>
      <c r="F1892" t="s">
        <v>20</v>
      </c>
      <c r="G1892" t="s">
        <v>21</v>
      </c>
      <c r="H1892" t="str">
        <f>"8213692031"</f>
        <v>8213692031</v>
      </c>
      <c r="I1892" t="str">
        <f t="shared" si="46"/>
        <v>UNIFIRST CORPORATION</v>
      </c>
    </row>
    <row r="1893" spans="1:9" x14ac:dyDescent="0.25">
      <c r="A1893" s="6">
        <v>44607</v>
      </c>
      <c r="B1893" t="s">
        <v>26</v>
      </c>
      <c r="C1893">
        <v>68859</v>
      </c>
      <c r="D1893" t="s">
        <v>644</v>
      </c>
      <c r="E1893" s="7">
        <v>26.49</v>
      </c>
      <c r="F1893" t="s">
        <v>20</v>
      </c>
      <c r="G1893" t="s">
        <v>21</v>
      </c>
      <c r="H1893" t="str">
        <f>"8213692032"</f>
        <v>8213692032</v>
      </c>
      <c r="I1893" t="str">
        <f t="shared" si="46"/>
        <v>UNIFIRST CORPORATION</v>
      </c>
    </row>
    <row r="1894" spans="1:9" x14ac:dyDescent="0.25">
      <c r="A1894" s="6">
        <v>44607</v>
      </c>
      <c r="B1894" t="s">
        <v>26</v>
      </c>
      <c r="C1894">
        <v>68859</v>
      </c>
      <c r="D1894" t="s">
        <v>644</v>
      </c>
      <c r="E1894" s="7">
        <v>130.55000000000001</v>
      </c>
      <c r="F1894" t="s">
        <v>20</v>
      </c>
      <c r="G1894" t="s">
        <v>21</v>
      </c>
      <c r="H1894" t="str">
        <f>"8213694641"</f>
        <v>8213694641</v>
      </c>
      <c r="I1894" t="str">
        <f t="shared" si="46"/>
        <v>UNIFIRST CORPORATION</v>
      </c>
    </row>
    <row r="1895" spans="1:9" x14ac:dyDescent="0.25">
      <c r="A1895" s="6">
        <v>44607</v>
      </c>
      <c r="B1895" t="s">
        <v>26</v>
      </c>
      <c r="C1895">
        <v>68859</v>
      </c>
      <c r="D1895" t="s">
        <v>644</v>
      </c>
      <c r="E1895" s="7">
        <v>26.49</v>
      </c>
      <c r="F1895" t="s">
        <v>20</v>
      </c>
      <c r="G1895" t="s">
        <v>21</v>
      </c>
      <c r="H1895" t="str">
        <f>"8213694642"</f>
        <v>8213694642</v>
      </c>
      <c r="I1895" t="str">
        <f t="shared" si="46"/>
        <v>UNIFIRST CORPORATION</v>
      </c>
    </row>
    <row r="1896" spans="1:9" x14ac:dyDescent="0.25">
      <c r="A1896" s="6">
        <v>44607</v>
      </c>
      <c r="B1896" t="s">
        <v>26</v>
      </c>
      <c r="C1896">
        <v>68859</v>
      </c>
      <c r="D1896" t="s">
        <v>644</v>
      </c>
      <c r="E1896" s="7">
        <v>116.86</v>
      </c>
      <c r="F1896" t="s">
        <v>20</v>
      </c>
      <c r="G1896" t="s">
        <v>21</v>
      </c>
      <c r="H1896" t="str">
        <f>"8213694643"</f>
        <v>8213694643</v>
      </c>
      <c r="I1896" t="str">
        <f t="shared" si="46"/>
        <v>UNIFIRST CORPORATION</v>
      </c>
    </row>
    <row r="1897" spans="1:9" x14ac:dyDescent="0.25">
      <c r="A1897" s="6">
        <v>44607</v>
      </c>
      <c r="B1897" t="s">
        <v>26</v>
      </c>
      <c r="C1897">
        <v>68859</v>
      </c>
      <c r="D1897" t="s">
        <v>644</v>
      </c>
      <c r="E1897" s="7">
        <v>130.6</v>
      </c>
      <c r="F1897" t="s">
        <v>20</v>
      </c>
      <c r="G1897" t="s">
        <v>21</v>
      </c>
      <c r="H1897" t="str">
        <f>"8213694644"</f>
        <v>8213694644</v>
      </c>
      <c r="I1897" t="str">
        <f t="shared" si="46"/>
        <v>UNIFIRST CORPORATION</v>
      </c>
    </row>
    <row r="1898" spans="1:9" x14ac:dyDescent="0.25">
      <c r="A1898" s="6">
        <v>44607</v>
      </c>
      <c r="B1898" t="s">
        <v>26</v>
      </c>
      <c r="C1898">
        <v>68859</v>
      </c>
      <c r="D1898" t="s">
        <v>644</v>
      </c>
      <c r="E1898" s="7">
        <v>95.04</v>
      </c>
      <c r="F1898" t="s">
        <v>20</v>
      </c>
      <c r="G1898" t="s">
        <v>21</v>
      </c>
      <c r="H1898" t="str">
        <f>"8213694646"</f>
        <v>8213694646</v>
      </c>
      <c r="I1898" t="str">
        <f t="shared" si="46"/>
        <v>UNIFIRST CORPORATION</v>
      </c>
    </row>
    <row r="1899" spans="1:9" x14ac:dyDescent="0.25">
      <c r="A1899" s="6">
        <v>44607</v>
      </c>
      <c r="B1899" t="s">
        <v>26</v>
      </c>
      <c r="C1899">
        <v>68862</v>
      </c>
      <c r="D1899" t="s">
        <v>203</v>
      </c>
      <c r="E1899" s="7">
        <v>53.55</v>
      </c>
      <c r="F1899" t="s">
        <v>20</v>
      </c>
      <c r="G1899" t="s">
        <v>21</v>
      </c>
      <c r="H1899" t="str">
        <f>"851503"</f>
        <v>851503</v>
      </c>
      <c r="I1899" t="str">
        <f>"WWTP SUPPLIES"</f>
        <v>WWTP SUPPLIES</v>
      </c>
    </row>
    <row r="1900" spans="1:9" x14ac:dyDescent="0.25">
      <c r="A1900" s="6">
        <v>44607</v>
      </c>
      <c r="B1900" t="s">
        <v>26</v>
      </c>
      <c r="C1900">
        <v>68863</v>
      </c>
      <c r="D1900" t="s">
        <v>285</v>
      </c>
      <c r="E1900" s="7">
        <v>150</v>
      </c>
      <c r="F1900" t="s">
        <v>20</v>
      </c>
      <c r="G1900" t="s">
        <v>21</v>
      </c>
      <c r="H1900" t="str">
        <f>"SI1013775"</f>
        <v>SI1013775</v>
      </c>
      <c r="I1900" t="str">
        <f>"VICTOR O. SCHINNERER &amp; CO. INC"</f>
        <v>VICTOR O. SCHINNERER &amp; CO. INC</v>
      </c>
    </row>
    <row r="1901" spans="1:9" x14ac:dyDescent="0.25">
      <c r="A1901" s="6">
        <v>44607</v>
      </c>
      <c r="B1901" t="s">
        <v>26</v>
      </c>
      <c r="C1901">
        <v>68864</v>
      </c>
      <c r="D1901" t="s">
        <v>202</v>
      </c>
      <c r="E1901" s="7">
        <v>4234.47</v>
      </c>
      <c r="F1901" t="s">
        <v>20</v>
      </c>
      <c r="G1901" t="s">
        <v>21</v>
      </c>
      <c r="H1901" t="str">
        <f>"624154238"</f>
        <v>624154238</v>
      </c>
      <c r="I1901" t="str">
        <f>"VULCAN CONSTRUCTION MATERIALS"</f>
        <v>VULCAN CONSTRUCTION MATERIALS</v>
      </c>
    </row>
    <row r="1902" spans="1:9" x14ac:dyDescent="0.25">
      <c r="A1902" s="6">
        <v>44607</v>
      </c>
      <c r="B1902" t="s">
        <v>26</v>
      </c>
      <c r="C1902">
        <v>68864</v>
      </c>
      <c r="D1902" t="s">
        <v>202</v>
      </c>
      <c r="E1902" s="7">
        <v>2071.42</v>
      </c>
      <c r="F1902" t="s">
        <v>20</v>
      </c>
      <c r="G1902" t="s">
        <v>21</v>
      </c>
      <c r="H1902" t="str">
        <f>"62415439"</f>
        <v>62415439</v>
      </c>
      <c r="I1902" t="str">
        <f>"VULCAN CONSTRUCTION MATERIALS"</f>
        <v>VULCAN CONSTRUCTION MATERIALS</v>
      </c>
    </row>
    <row r="1903" spans="1:9" x14ac:dyDescent="0.25">
      <c r="A1903" s="6">
        <v>44607</v>
      </c>
      <c r="B1903" t="s">
        <v>26</v>
      </c>
      <c r="C1903">
        <v>68865</v>
      </c>
      <c r="D1903" t="s">
        <v>104</v>
      </c>
      <c r="E1903" s="7">
        <v>25.66</v>
      </c>
      <c r="F1903" t="s">
        <v>20</v>
      </c>
      <c r="G1903" t="s">
        <v>21</v>
      </c>
      <c r="H1903" t="str">
        <f>"2643"</f>
        <v>2643</v>
      </c>
      <c r="I1903" t="str">
        <f>"WILSON COUNTY NEWS"</f>
        <v>WILSON COUNTY NEWS</v>
      </c>
    </row>
    <row r="1904" spans="1:9" x14ac:dyDescent="0.25">
      <c r="A1904" s="6">
        <v>44607</v>
      </c>
      <c r="B1904" t="s">
        <v>26</v>
      </c>
      <c r="C1904">
        <v>68865</v>
      </c>
      <c r="D1904" t="s">
        <v>104</v>
      </c>
      <c r="E1904" s="7">
        <v>384.9</v>
      </c>
      <c r="F1904" t="s">
        <v>20</v>
      </c>
      <c r="G1904" t="s">
        <v>21</v>
      </c>
      <c r="H1904" t="str">
        <f>"27177"</f>
        <v>27177</v>
      </c>
      <c r="I1904" t="str">
        <f>"WILSON COUNTY NEWS"</f>
        <v>WILSON COUNTY NEWS</v>
      </c>
    </row>
    <row r="1905" spans="1:9" x14ac:dyDescent="0.25">
      <c r="A1905" s="6">
        <v>44607</v>
      </c>
      <c r="B1905" t="s">
        <v>91</v>
      </c>
      <c r="C1905">
        <v>68866</v>
      </c>
      <c r="D1905" t="s">
        <v>110</v>
      </c>
      <c r="E1905" s="7">
        <v>945.65</v>
      </c>
      <c r="F1905" t="s">
        <v>20</v>
      </c>
      <c r="G1905" t="s">
        <v>21</v>
      </c>
      <c r="H1905" t="str">
        <f>"220124616"</f>
        <v>220124616</v>
      </c>
      <c r="I1905" t="str">
        <f>"BUREAU VERITAS NORTH AMERICA"</f>
        <v>BUREAU VERITAS NORTH AMERICA</v>
      </c>
    </row>
    <row r="1906" spans="1:9" x14ac:dyDescent="0.25">
      <c r="A1906" s="6">
        <v>44607</v>
      </c>
      <c r="B1906" t="s">
        <v>91</v>
      </c>
      <c r="C1906">
        <v>68866</v>
      </c>
      <c r="D1906" t="s">
        <v>110</v>
      </c>
      <c r="E1906" s="7">
        <v>945.65</v>
      </c>
      <c r="F1906" t="s">
        <v>20</v>
      </c>
      <c r="G1906" t="s">
        <v>93</v>
      </c>
      <c r="H1906" t="str">
        <f>"CHECK"</f>
        <v>CHECK</v>
      </c>
      <c r="I1906" t="str">
        <f>""</f>
        <v/>
      </c>
    </row>
    <row r="1907" spans="1:9" x14ac:dyDescent="0.25">
      <c r="A1907" s="6">
        <v>44607</v>
      </c>
      <c r="B1907" t="s">
        <v>26</v>
      </c>
      <c r="C1907">
        <v>68867</v>
      </c>
      <c r="D1907" t="s">
        <v>345</v>
      </c>
      <c r="E1907" s="7">
        <v>308</v>
      </c>
      <c r="F1907" t="s">
        <v>20</v>
      </c>
      <c r="G1907" t="s">
        <v>21</v>
      </c>
      <c r="H1907" t="str">
        <f>"2/14/2022"</f>
        <v>2/14/2022</v>
      </c>
      <c r="I1907" t="str">
        <f>"MICHAEL ISAAC MARTINEZ"</f>
        <v>MICHAEL ISAAC MARTINEZ</v>
      </c>
    </row>
    <row r="1908" spans="1:9" x14ac:dyDescent="0.25">
      <c r="A1908" s="6">
        <v>44608</v>
      </c>
      <c r="B1908" t="s">
        <v>26</v>
      </c>
      <c r="C1908">
        <v>68868</v>
      </c>
      <c r="D1908" t="s">
        <v>81</v>
      </c>
      <c r="E1908" s="7">
        <v>95.68</v>
      </c>
      <c r="F1908" t="s">
        <v>20</v>
      </c>
      <c r="G1908" t="s">
        <v>21</v>
      </c>
      <c r="H1908" t="str">
        <f>"A.MARTINEZ 2/16/22"</f>
        <v>A.MARTINEZ 2/16/22</v>
      </c>
      <c r="I1908" t="str">
        <f>"CITY OF FLORESVILLE -PETTY CAS"</f>
        <v>CITY OF FLORESVILLE -PETTY CAS</v>
      </c>
    </row>
    <row r="1909" spans="1:9" x14ac:dyDescent="0.25">
      <c r="A1909" s="6">
        <v>44608</v>
      </c>
      <c r="B1909" t="s">
        <v>26</v>
      </c>
      <c r="C1909">
        <v>68869</v>
      </c>
      <c r="D1909" t="s">
        <v>85</v>
      </c>
      <c r="E1909" s="7">
        <v>1909</v>
      </c>
      <c r="F1909" t="s">
        <v>20</v>
      </c>
      <c r="G1909" t="s">
        <v>21</v>
      </c>
      <c r="H1909" t="str">
        <f>"8301970025 2/22"</f>
        <v>8301970025 2/22</v>
      </c>
      <c r="I1909" t="str">
        <f>"FRONTIER"</f>
        <v>FRONTIER</v>
      </c>
    </row>
    <row r="1910" spans="1:9" x14ac:dyDescent="0.25">
      <c r="A1910" s="6">
        <v>44608</v>
      </c>
      <c r="B1910" t="s">
        <v>26</v>
      </c>
      <c r="C1910">
        <v>68869</v>
      </c>
      <c r="D1910" t="s">
        <v>85</v>
      </c>
      <c r="E1910" s="7">
        <v>205.02</v>
      </c>
      <c r="F1910" t="s">
        <v>20</v>
      </c>
      <c r="G1910" t="s">
        <v>21</v>
      </c>
      <c r="H1910" t="str">
        <f>"8301970102 2/2022"</f>
        <v>8301970102 2/2022</v>
      </c>
      <c r="I1910" t="str">
        <f>"FRONTIER"</f>
        <v>FRONTIER</v>
      </c>
    </row>
    <row r="1911" spans="1:9" x14ac:dyDescent="0.25">
      <c r="A1911" s="6">
        <v>44615</v>
      </c>
      <c r="B1911" t="s">
        <v>26</v>
      </c>
      <c r="C1911">
        <v>68870</v>
      </c>
      <c r="D1911" t="s">
        <v>168</v>
      </c>
      <c r="E1911" s="7">
        <v>1065</v>
      </c>
      <c r="F1911" t="s">
        <v>20</v>
      </c>
      <c r="G1911" t="s">
        <v>21</v>
      </c>
      <c r="H1911" t="str">
        <f>"LI-8188"</f>
        <v>LI-8188</v>
      </c>
      <c r="I1911" t="str">
        <f>"BEXAR COUNTY AUDITOR/ATTN:CRIM"</f>
        <v>BEXAR COUNTY AUDITOR/ATTN:CRIM</v>
      </c>
    </row>
    <row r="1912" spans="1:9" x14ac:dyDescent="0.25">
      <c r="A1912" s="6">
        <v>44615</v>
      </c>
      <c r="B1912" t="s">
        <v>26</v>
      </c>
      <c r="C1912">
        <v>68870</v>
      </c>
      <c r="D1912" t="s">
        <v>168</v>
      </c>
      <c r="E1912" s="7">
        <v>60</v>
      </c>
      <c r="F1912" t="s">
        <v>20</v>
      </c>
      <c r="G1912" t="s">
        <v>21</v>
      </c>
      <c r="H1912" t="str">
        <f>"LI-8189"</f>
        <v>LI-8189</v>
      </c>
      <c r="I1912" t="str">
        <f>"BEXAR COUNTY AUDITOR/ATTN:CRIM"</f>
        <v>BEXAR COUNTY AUDITOR/ATTN:CRIM</v>
      </c>
    </row>
    <row r="1913" spans="1:9" x14ac:dyDescent="0.25">
      <c r="A1913" s="6">
        <v>44615</v>
      </c>
      <c r="B1913" t="s">
        <v>26</v>
      </c>
      <c r="C1913">
        <v>68870</v>
      </c>
      <c r="D1913" t="s">
        <v>168</v>
      </c>
      <c r="E1913" s="7">
        <v>60</v>
      </c>
      <c r="F1913" t="s">
        <v>20</v>
      </c>
      <c r="G1913" t="s">
        <v>21</v>
      </c>
      <c r="H1913" t="str">
        <f>"LI-8190"</f>
        <v>LI-8190</v>
      </c>
      <c r="I1913" t="str">
        <f>"BEXAR COUNTY AUDITOR/ATTN:CRIM"</f>
        <v>BEXAR COUNTY AUDITOR/ATTN:CRIM</v>
      </c>
    </row>
    <row r="1914" spans="1:9" x14ac:dyDescent="0.25">
      <c r="A1914" s="6">
        <v>44615</v>
      </c>
      <c r="B1914" t="s">
        <v>26</v>
      </c>
      <c r="C1914">
        <v>68870</v>
      </c>
      <c r="D1914" t="s">
        <v>168</v>
      </c>
      <c r="E1914" s="7">
        <v>60</v>
      </c>
      <c r="F1914" t="s">
        <v>20</v>
      </c>
      <c r="G1914" t="s">
        <v>21</v>
      </c>
      <c r="H1914" t="str">
        <f>"LI-8191"</f>
        <v>LI-8191</v>
      </c>
      <c r="I1914" t="str">
        <f>"BEXAR COUNTY AUDITOR/ATTN:CRIM"</f>
        <v>BEXAR COUNTY AUDITOR/ATTN:CRIM</v>
      </c>
    </row>
    <row r="1915" spans="1:9" x14ac:dyDescent="0.25">
      <c r="A1915" s="6">
        <v>44615</v>
      </c>
      <c r="B1915" t="s">
        <v>26</v>
      </c>
      <c r="C1915">
        <v>68870</v>
      </c>
      <c r="D1915" t="s">
        <v>168</v>
      </c>
      <c r="E1915" s="7">
        <v>60</v>
      </c>
      <c r="F1915" t="s">
        <v>20</v>
      </c>
      <c r="G1915" t="s">
        <v>21</v>
      </c>
      <c r="H1915" t="str">
        <f>"LI-8192"</f>
        <v>LI-8192</v>
      </c>
      <c r="I1915" t="str">
        <f>"BEXAR COUNTY AUDITOR/ATTN:CRIM"</f>
        <v>BEXAR COUNTY AUDITOR/ATTN:CRIM</v>
      </c>
    </row>
    <row r="1916" spans="1:9" x14ac:dyDescent="0.25">
      <c r="A1916" s="6">
        <v>44615</v>
      </c>
      <c r="B1916" t="s">
        <v>26</v>
      </c>
      <c r="C1916">
        <v>68871</v>
      </c>
      <c r="D1916" t="s">
        <v>85</v>
      </c>
      <c r="E1916" s="7">
        <v>58.04</v>
      </c>
      <c r="F1916" t="s">
        <v>20</v>
      </c>
      <c r="G1916" t="s">
        <v>21</v>
      </c>
      <c r="H1916" t="str">
        <f>"2162733 FEB.2022"</f>
        <v>2162733 FEB.2022</v>
      </c>
      <c r="I1916" t="str">
        <f t="shared" ref="I1916:I1925" si="47">"FRONTIER"</f>
        <v>FRONTIER</v>
      </c>
    </row>
    <row r="1917" spans="1:9" x14ac:dyDescent="0.25">
      <c r="A1917" s="6">
        <v>44615</v>
      </c>
      <c r="B1917" t="s">
        <v>26</v>
      </c>
      <c r="C1917">
        <v>68871</v>
      </c>
      <c r="D1917" t="s">
        <v>85</v>
      </c>
      <c r="E1917" s="7">
        <v>535.28</v>
      </c>
      <c r="F1917" t="s">
        <v>20</v>
      </c>
      <c r="G1917" t="s">
        <v>21</v>
      </c>
      <c r="H1917" t="str">
        <f>"2162745 FEB.2022"</f>
        <v>2162745 FEB.2022</v>
      </c>
      <c r="I1917" t="str">
        <f t="shared" si="47"/>
        <v>FRONTIER</v>
      </c>
    </row>
    <row r="1918" spans="1:9" x14ac:dyDescent="0.25">
      <c r="A1918" s="6">
        <v>44615</v>
      </c>
      <c r="B1918" t="s">
        <v>26</v>
      </c>
      <c r="C1918">
        <v>68871</v>
      </c>
      <c r="D1918" t="s">
        <v>85</v>
      </c>
      <c r="E1918" s="7">
        <v>56.86</v>
      </c>
      <c r="F1918" t="s">
        <v>20</v>
      </c>
      <c r="G1918" t="s">
        <v>21</v>
      </c>
      <c r="H1918" t="str">
        <f>"2162755 FEB.2022"</f>
        <v>2162755 FEB.2022</v>
      </c>
      <c r="I1918" t="str">
        <f t="shared" si="47"/>
        <v>FRONTIER</v>
      </c>
    </row>
    <row r="1919" spans="1:9" x14ac:dyDescent="0.25">
      <c r="A1919" s="6">
        <v>44615</v>
      </c>
      <c r="B1919" t="s">
        <v>26</v>
      </c>
      <c r="C1919">
        <v>68871</v>
      </c>
      <c r="D1919" t="s">
        <v>85</v>
      </c>
      <c r="E1919" s="7">
        <v>36.26</v>
      </c>
      <c r="F1919" t="s">
        <v>20</v>
      </c>
      <c r="G1919" t="s">
        <v>21</v>
      </c>
      <c r="H1919" t="str">
        <f>"3932056 FEB.2022"</f>
        <v>3932056 FEB.2022</v>
      </c>
      <c r="I1919" t="str">
        <f t="shared" si="47"/>
        <v>FRONTIER</v>
      </c>
    </row>
    <row r="1920" spans="1:9" x14ac:dyDescent="0.25">
      <c r="A1920" s="6">
        <v>44615</v>
      </c>
      <c r="B1920" t="s">
        <v>26</v>
      </c>
      <c r="C1920">
        <v>68871</v>
      </c>
      <c r="D1920" t="s">
        <v>85</v>
      </c>
      <c r="E1920" s="7">
        <v>68.03</v>
      </c>
      <c r="F1920" t="s">
        <v>20</v>
      </c>
      <c r="G1920" t="s">
        <v>21</v>
      </c>
      <c r="H1920" t="str">
        <f>"3932804 FEB.2022"</f>
        <v>3932804 FEB.2022</v>
      </c>
      <c r="I1920" t="str">
        <f t="shared" si="47"/>
        <v>FRONTIER</v>
      </c>
    </row>
    <row r="1921" spans="1:9" x14ac:dyDescent="0.25">
      <c r="A1921" s="6">
        <v>44615</v>
      </c>
      <c r="B1921" t="s">
        <v>26</v>
      </c>
      <c r="C1921">
        <v>68871</v>
      </c>
      <c r="D1921" t="s">
        <v>85</v>
      </c>
      <c r="E1921" s="7">
        <v>45.59</v>
      </c>
      <c r="F1921" t="s">
        <v>20</v>
      </c>
      <c r="G1921" t="s">
        <v>21</v>
      </c>
      <c r="H1921" t="str">
        <f>"3933186 FEB.2022"</f>
        <v>3933186 FEB.2022</v>
      </c>
      <c r="I1921" t="str">
        <f t="shared" si="47"/>
        <v>FRONTIER</v>
      </c>
    </row>
    <row r="1922" spans="1:9" x14ac:dyDescent="0.25">
      <c r="A1922" s="6">
        <v>44615</v>
      </c>
      <c r="B1922" t="s">
        <v>26</v>
      </c>
      <c r="C1922">
        <v>68871</v>
      </c>
      <c r="D1922" t="s">
        <v>85</v>
      </c>
      <c r="E1922" s="7">
        <v>69.760000000000005</v>
      </c>
      <c r="F1922" t="s">
        <v>20</v>
      </c>
      <c r="G1922" t="s">
        <v>21</v>
      </c>
      <c r="H1922" t="str">
        <f>"3936616 FRB.2022"</f>
        <v>3936616 FRB.2022</v>
      </c>
      <c r="I1922" t="str">
        <f t="shared" si="47"/>
        <v>FRONTIER</v>
      </c>
    </row>
    <row r="1923" spans="1:9" x14ac:dyDescent="0.25">
      <c r="A1923" s="6">
        <v>44615</v>
      </c>
      <c r="B1923" t="s">
        <v>26</v>
      </c>
      <c r="C1923">
        <v>68871</v>
      </c>
      <c r="D1923" t="s">
        <v>85</v>
      </c>
      <c r="E1923" s="7">
        <v>46.77</v>
      </c>
      <c r="F1923" t="s">
        <v>20</v>
      </c>
      <c r="G1923" t="s">
        <v>21</v>
      </c>
      <c r="H1923" t="str">
        <f>"3936794 FEB.2022"</f>
        <v>3936794 FEB.2022</v>
      </c>
      <c r="I1923" t="str">
        <f t="shared" si="47"/>
        <v>FRONTIER</v>
      </c>
    </row>
    <row r="1924" spans="1:9" x14ac:dyDescent="0.25">
      <c r="A1924" s="6">
        <v>44615</v>
      </c>
      <c r="B1924" t="s">
        <v>26</v>
      </c>
      <c r="C1924">
        <v>68871</v>
      </c>
      <c r="D1924" t="s">
        <v>85</v>
      </c>
      <c r="E1924" s="7">
        <v>86.29</v>
      </c>
      <c r="F1924" t="s">
        <v>20</v>
      </c>
      <c r="G1924" t="s">
        <v>21</v>
      </c>
      <c r="H1924" t="str">
        <f>"3938193 FEB.2022"</f>
        <v>3938193 FEB.2022</v>
      </c>
      <c r="I1924" t="str">
        <f t="shared" si="47"/>
        <v>FRONTIER</v>
      </c>
    </row>
    <row r="1925" spans="1:9" x14ac:dyDescent="0.25">
      <c r="A1925" s="6">
        <v>44615</v>
      </c>
      <c r="B1925" t="s">
        <v>26</v>
      </c>
      <c r="C1925">
        <v>68871</v>
      </c>
      <c r="D1925" t="s">
        <v>85</v>
      </c>
      <c r="E1925" s="7">
        <v>41.58</v>
      </c>
      <c r="F1925" t="s">
        <v>20</v>
      </c>
      <c r="G1925" t="s">
        <v>21</v>
      </c>
      <c r="H1925" t="str">
        <f>"3939456 FEB.2022"</f>
        <v>3939456 FEB.2022</v>
      </c>
      <c r="I1925" t="str">
        <f t="shared" si="47"/>
        <v>FRONTIER</v>
      </c>
    </row>
    <row r="1926" spans="1:9" x14ac:dyDescent="0.25">
      <c r="A1926" s="6">
        <v>44615</v>
      </c>
      <c r="B1926" t="s">
        <v>26</v>
      </c>
      <c r="C1926">
        <v>68873</v>
      </c>
      <c r="D1926" t="s">
        <v>328</v>
      </c>
      <c r="E1926" s="7">
        <v>1250</v>
      </c>
      <c r="F1926" t="s">
        <v>20</v>
      </c>
      <c r="G1926" t="s">
        <v>21</v>
      </c>
      <c r="H1926" t="str">
        <f>"7021611"</f>
        <v>7021611</v>
      </c>
      <c r="I1926" t="str">
        <f>"KOLOGIK"</f>
        <v>KOLOGIK</v>
      </c>
    </row>
    <row r="1927" spans="1:9" x14ac:dyDescent="0.25">
      <c r="A1927" s="6">
        <v>44615</v>
      </c>
      <c r="B1927" t="s">
        <v>26</v>
      </c>
      <c r="C1927">
        <v>68874</v>
      </c>
      <c r="D1927" t="s">
        <v>282</v>
      </c>
      <c r="E1927" s="7">
        <v>5000</v>
      </c>
      <c r="F1927" t="s">
        <v>20</v>
      </c>
      <c r="G1927" t="s">
        <v>21</v>
      </c>
      <c r="H1927" t="str">
        <f>"4564"</f>
        <v>4564</v>
      </c>
      <c r="I1927" t="str">
        <f>"LANGFORD COMMUNITY MANAGEMENT"</f>
        <v>LANGFORD COMMUNITY MANAGEMENT</v>
      </c>
    </row>
    <row r="1928" spans="1:9" x14ac:dyDescent="0.25">
      <c r="A1928" s="6">
        <v>44615</v>
      </c>
      <c r="B1928" t="s">
        <v>91</v>
      </c>
      <c r="C1928">
        <v>68875</v>
      </c>
      <c r="D1928" t="s">
        <v>105</v>
      </c>
      <c r="E1928" s="7">
        <v>7</v>
      </c>
      <c r="F1928" t="s">
        <v>20</v>
      </c>
      <c r="G1928" t="s">
        <v>21</v>
      </c>
      <c r="H1928" t="str">
        <f>"411464"</f>
        <v>411464</v>
      </c>
      <c r="I1928" t="str">
        <f>"FORD F150"</f>
        <v>FORD F150</v>
      </c>
    </row>
    <row r="1929" spans="1:9" x14ac:dyDescent="0.25">
      <c r="A1929" s="6">
        <v>44615</v>
      </c>
      <c r="B1929" t="s">
        <v>91</v>
      </c>
      <c r="C1929">
        <v>68875</v>
      </c>
      <c r="D1929" t="s">
        <v>105</v>
      </c>
      <c r="E1929" s="7">
        <v>7</v>
      </c>
      <c r="F1929" t="s">
        <v>20</v>
      </c>
      <c r="G1929" t="s">
        <v>93</v>
      </c>
      <c r="H1929" t="str">
        <f>"CHECK"</f>
        <v>CHECK</v>
      </c>
      <c r="I1929" t="str">
        <f>""</f>
        <v/>
      </c>
    </row>
    <row r="1930" spans="1:9" x14ac:dyDescent="0.25">
      <c r="A1930" s="6">
        <v>44615</v>
      </c>
      <c r="B1930" t="s">
        <v>26</v>
      </c>
      <c r="C1930">
        <v>68876</v>
      </c>
      <c r="D1930" t="s">
        <v>29</v>
      </c>
      <c r="E1930" s="7">
        <v>450</v>
      </c>
      <c r="F1930" t="s">
        <v>20</v>
      </c>
      <c r="G1930" t="s">
        <v>21</v>
      </c>
      <c r="H1930" t="str">
        <f>"56266"</f>
        <v>56266</v>
      </c>
      <c r="I1930" t="str">
        <f>"M &amp; S ENGINEERING  LLC"</f>
        <v>M &amp; S ENGINEERING  LLC</v>
      </c>
    </row>
    <row r="1931" spans="1:9" x14ac:dyDescent="0.25">
      <c r="A1931" s="6">
        <v>44615</v>
      </c>
      <c r="B1931" t="s">
        <v>26</v>
      </c>
      <c r="C1931">
        <v>68877</v>
      </c>
      <c r="D1931" t="s">
        <v>345</v>
      </c>
      <c r="E1931" s="7">
        <v>319</v>
      </c>
      <c r="F1931" t="s">
        <v>20</v>
      </c>
      <c r="G1931" t="s">
        <v>21</v>
      </c>
      <c r="H1931" t="str">
        <f>"2/22/2022"</f>
        <v>2/22/2022</v>
      </c>
      <c r="I1931" t="str">
        <f>"MICHAEL ISAAC MARTINEZ"</f>
        <v>MICHAEL ISAAC MARTINEZ</v>
      </c>
    </row>
    <row r="1932" spans="1:9" x14ac:dyDescent="0.25">
      <c r="A1932" s="6">
        <v>44615</v>
      </c>
      <c r="B1932" t="s">
        <v>26</v>
      </c>
      <c r="C1932">
        <v>68878</v>
      </c>
      <c r="D1932" t="s">
        <v>169</v>
      </c>
      <c r="E1932" s="7">
        <v>17.579999999999998</v>
      </c>
      <c r="F1932" t="s">
        <v>20</v>
      </c>
      <c r="G1932" t="s">
        <v>21</v>
      </c>
      <c r="H1932" t="str">
        <f>"158364"</f>
        <v>158364</v>
      </c>
      <c r="I1932" t="str">
        <f>"THE POLICE AND SHERIFFS PRESS"</f>
        <v>THE POLICE AND SHERIFFS PRESS</v>
      </c>
    </row>
    <row r="1933" spans="1:9" x14ac:dyDescent="0.25">
      <c r="A1933" s="6">
        <v>44615</v>
      </c>
      <c r="B1933" t="s">
        <v>26</v>
      </c>
      <c r="C1933">
        <v>68878</v>
      </c>
      <c r="D1933" t="s">
        <v>169</v>
      </c>
      <c r="E1933" s="7">
        <v>17.579999999999998</v>
      </c>
      <c r="F1933" t="s">
        <v>20</v>
      </c>
      <c r="G1933" t="s">
        <v>21</v>
      </c>
      <c r="H1933" t="str">
        <f>"158385"</f>
        <v>158385</v>
      </c>
      <c r="I1933" t="str">
        <f>"THE POLICE AND SHERIFFS PRESS"</f>
        <v>THE POLICE AND SHERIFFS PRESS</v>
      </c>
    </row>
    <row r="1934" spans="1:9" x14ac:dyDescent="0.25">
      <c r="A1934" s="6">
        <v>44615</v>
      </c>
      <c r="B1934" t="s">
        <v>26</v>
      </c>
      <c r="C1934">
        <v>68879</v>
      </c>
      <c r="D1934" t="s">
        <v>323</v>
      </c>
      <c r="E1934" s="7">
        <v>630</v>
      </c>
      <c r="F1934" t="s">
        <v>20</v>
      </c>
      <c r="G1934" t="s">
        <v>21</v>
      </c>
      <c r="H1934" t="str">
        <f>"10395"</f>
        <v>10395</v>
      </c>
      <c r="I1934" t="str">
        <f>"POLLOK SELF STORAGE LLC"</f>
        <v>POLLOK SELF STORAGE LLC</v>
      </c>
    </row>
    <row r="1935" spans="1:9" x14ac:dyDescent="0.25">
      <c r="A1935" s="6">
        <v>44615</v>
      </c>
      <c r="B1935" t="s">
        <v>26</v>
      </c>
      <c r="C1935">
        <v>68880</v>
      </c>
      <c r="D1935" t="s">
        <v>1156</v>
      </c>
      <c r="E1935" s="7">
        <v>111</v>
      </c>
      <c r="F1935" t="s">
        <v>20</v>
      </c>
      <c r="G1935" t="s">
        <v>21</v>
      </c>
      <c r="H1935" t="str">
        <f>"2201"</f>
        <v>2201</v>
      </c>
      <c r="I1935" t="str">
        <f>"WILSON COUNTY CLERK  EVA S. MA"</f>
        <v>WILSON COUNTY CLERK  EVA S. MA</v>
      </c>
    </row>
    <row r="1936" spans="1:9" x14ac:dyDescent="0.25">
      <c r="A1936" s="6">
        <v>44615</v>
      </c>
      <c r="B1936" t="s">
        <v>26</v>
      </c>
      <c r="C1936">
        <v>68880</v>
      </c>
      <c r="D1936" t="s">
        <v>1156</v>
      </c>
      <c r="E1936" s="7">
        <v>111</v>
      </c>
      <c r="F1936" t="s">
        <v>20</v>
      </c>
      <c r="G1936" t="s">
        <v>21</v>
      </c>
      <c r="H1936" t="str">
        <f>"2301"</f>
        <v>2301</v>
      </c>
      <c r="I1936" t="str">
        <f>"WILSON COUNTY CLERK  EVA S. MA"</f>
        <v>WILSON COUNTY CLERK  EVA S. MA</v>
      </c>
    </row>
    <row r="1937" spans="1:9" x14ac:dyDescent="0.25">
      <c r="A1937" s="6">
        <v>44615</v>
      </c>
      <c r="B1937" t="s">
        <v>26</v>
      </c>
      <c r="C1937">
        <v>68885</v>
      </c>
      <c r="D1937" t="s">
        <v>51</v>
      </c>
      <c r="E1937" s="7">
        <v>13.85</v>
      </c>
      <c r="F1937" t="s">
        <v>20</v>
      </c>
      <c r="G1937" t="s">
        <v>21</v>
      </c>
      <c r="H1937" t="str">
        <f>"CLE202202238641"</f>
        <v>CLE202202238641</v>
      </c>
      <c r="I1937" t="str">
        <f>"CLEAT ONLY DUES"</f>
        <v>CLEAT ONLY DUES</v>
      </c>
    </row>
    <row r="1938" spans="1:9" x14ac:dyDescent="0.25">
      <c r="A1938" s="6">
        <v>44615</v>
      </c>
      <c r="B1938" t="s">
        <v>26</v>
      </c>
      <c r="C1938">
        <v>68885</v>
      </c>
      <c r="D1938" t="s">
        <v>51</v>
      </c>
      <c r="E1938" s="7">
        <v>332.46</v>
      </c>
      <c r="F1938" t="s">
        <v>20</v>
      </c>
      <c r="G1938" t="s">
        <v>21</v>
      </c>
      <c r="H1938" t="str">
        <f>"PDD202202238641"</f>
        <v>PDD202202238641</v>
      </c>
      <c r="I1938" t="str">
        <f>"POLICE OFFICERS ASSOC DUES"</f>
        <v>POLICE OFFICERS ASSOC DUES</v>
      </c>
    </row>
    <row r="1939" spans="1:9" x14ac:dyDescent="0.25">
      <c r="A1939" s="6">
        <v>44615</v>
      </c>
      <c r="B1939" t="s">
        <v>26</v>
      </c>
      <c r="C1939">
        <v>68886</v>
      </c>
      <c r="D1939" t="s">
        <v>52</v>
      </c>
      <c r="E1939" s="7">
        <v>101.25</v>
      </c>
      <c r="F1939" t="s">
        <v>20</v>
      </c>
      <c r="G1939" t="s">
        <v>21</v>
      </c>
      <c r="H1939" t="str">
        <f>"CA1202202238641"</f>
        <v>CA1202202238641</v>
      </c>
      <c r="I1939" t="str">
        <f>"K RAMIREZ 001200229510060343CV"</f>
        <v>K RAMIREZ 001200229510060343CV</v>
      </c>
    </row>
    <row r="1940" spans="1:9" x14ac:dyDescent="0.25">
      <c r="A1940" s="6">
        <v>44615</v>
      </c>
      <c r="B1940" t="s">
        <v>26</v>
      </c>
      <c r="C1940">
        <v>68886</v>
      </c>
      <c r="D1940" t="s">
        <v>52</v>
      </c>
      <c r="E1940" s="7">
        <v>101.25</v>
      </c>
      <c r="F1940" t="s">
        <v>20</v>
      </c>
      <c r="G1940" t="s">
        <v>21</v>
      </c>
      <c r="H1940" t="str">
        <f>"CA2202202238641"</f>
        <v>CA2202202238641</v>
      </c>
      <c r="I1940" t="str">
        <f>"L HERNANDEZ 001016025203080354"</f>
        <v>L HERNANDEZ 001016025203080354</v>
      </c>
    </row>
    <row r="1941" spans="1:9" x14ac:dyDescent="0.25">
      <c r="A1941" s="6">
        <v>44615</v>
      </c>
      <c r="B1941" t="s">
        <v>26</v>
      </c>
      <c r="C1941">
        <v>68886</v>
      </c>
      <c r="D1941" t="s">
        <v>52</v>
      </c>
      <c r="E1941" s="7">
        <v>101.25</v>
      </c>
      <c r="F1941" t="s">
        <v>20</v>
      </c>
      <c r="G1941" t="s">
        <v>21</v>
      </c>
      <c r="H1941" t="str">
        <f>"CA3202202238641"</f>
        <v>CA3202202238641</v>
      </c>
      <c r="I1941" t="str">
        <f>"00120788612011EM5023JOLENEGARC"</f>
        <v>00120788612011EM5023JOLENEGARC</v>
      </c>
    </row>
    <row r="1942" spans="1:9" x14ac:dyDescent="0.25">
      <c r="A1942" s="6">
        <v>44615</v>
      </c>
      <c r="B1942" t="s">
        <v>26</v>
      </c>
      <c r="C1942">
        <v>68886</v>
      </c>
      <c r="D1942" t="s">
        <v>52</v>
      </c>
      <c r="E1942" s="7">
        <v>101.25</v>
      </c>
      <c r="F1942" t="s">
        <v>20</v>
      </c>
      <c r="G1942" t="s">
        <v>21</v>
      </c>
      <c r="H1942" t="str">
        <f>"CSA202202238641"</f>
        <v>CSA202202238641</v>
      </c>
      <c r="I1942" t="str">
        <f>"S RODRIGUEZ 001281730413050336"</f>
        <v>S RODRIGUEZ 001281730413050336</v>
      </c>
    </row>
    <row r="1943" spans="1:9" x14ac:dyDescent="0.25">
      <c r="A1943" s="6">
        <v>44615</v>
      </c>
      <c r="B1943" t="s">
        <v>26</v>
      </c>
      <c r="C1943">
        <v>68886</v>
      </c>
      <c r="D1943" t="s">
        <v>52</v>
      </c>
      <c r="E1943" s="7">
        <v>521.54</v>
      </c>
      <c r="F1943" t="s">
        <v>20</v>
      </c>
      <c r="G1943" t="s">
        <v>21</v>
      </c>
      <c r="H1943" t="str">
        <f>"CSI202202238641"</f>
        <v>CSI202202238641</v>
      </c>
      <c r="I1943" t="str">
        <f>"KTRINIDAD0014071774CVW2000777"</f>
        <v>KTRINIDAD0014071774CVW2000777</v>
      </c>
    </row>
    <row r="1944" spans="1:9" x14ac:dyDescent="0.25">
      <c r="A1944" s="6">
        <v>44615</v>
      </c>
      <c r="B1944" t="s">
        <v>26</v>
      </c>
      <c r="C1944">
        <v>68887</v>
      </c>
      <c r="D1944" t="s">
        <v>54</v>
      </c>
      <c r="E1944" s="7">
        <v>881.57</v>
      </c>
      <c r="F1944" t="s">
        <v>20</v>
      </c>
      <c r="G1944" t="s">
        <v>21</v>
      </c>
      <c r="H1944" t="str">
        <f>"BRE202202238641"</f>
        <v>BRE202202238641</v>
      </c>
      <c r="I1944" t="str">
        <f>"CASE #180-60751 457B DEDUCT"</f>
        <v>CASE #180-60751 457B DEDUCT</v>
      </c>
    </row>
    <row r="1945" spans="1:9" x14ac:dyDescent="0.25">
      <c r="A1945" s="6">
        <v>44615</v>
      </c>
      <c r="B1945" t="s">
        <v>26</v>
      </c>
      <c r="C1945">
        <v>68888</v>
      </c>
      <c r="D1945" t="s">
        <v>266</v>
      </c>
      <c r="E1945" s="7">
        <v>73700</v>
      </c>
      <c r="F1945" t="s">
        <v>20</v>
      </c>
      <c r="G1945" t="s">
        <v>21</v>
      </c>
      <c r="H1945" t="str">
        <f>"FLOR615GOR  3/1/22"</f>
        <v>FLOR615GOR  3/1/22</v>
      </c>
      <c r="I1945" t="str">
        <f>"BOKF  NA"</f>
        <v>BOKF  NA</v>
      </c>
    </row>
    <row r="1946" spans="1:9" x14ac:dyDescent="0.25">
      <c r="A1946" s="6">
        <v>44622</v>
      </c>
      <c r="B1946" t="s">
        <v>26</v>
      </c>
      <c r="C1946">
        <v>68889</v>
      </c>
      <c r="D1946" t="s">
        <v>83</v>
      </c>
      <c r="E1946" s="7">
        <v>1080</v>
      </c>
      <c r="F1946" t="s">
        <v>20</v>
      </c>
      <c r="G1946" t="s">
        <v>21</v>
      </c>
      <c r="H1946" t="str">
        <f>"1929539"</f>
        <v>1929539</v>
      </c>
      <c r="I1946" t="str">
        <f>"APPRIVER"</f>
        <v>APPRIVER</v>
      </c>
    </row>
    <row r="1947" spans="1:9" x14ac:dyDescent="0.25">
      <c r="A1947" s="6">
        <v>44622</v>
      </c>
      <c r="B1947" t="s">
        <v>26</v>
      </c>
      <c r="C1947">
        <v>68890</v>
      </c>
      <c r="D1947" t="s">
        <v>195</v>
      </c>
      <c r="E1947" s="7">
        <v>374.36</v>
      </c>
      <c r="F1947" t="s">
        <v>20</v>
      </c>
      <c r="G1947" t="s">
        <v>21</v>
      </c>
      <c r="H1947" t="str">
        <f>"INV-AIS-0004569"</f>
        <v>INV-AIS-0004569</v>
      </c>
      <c r="I1947" t="str">
        <f>"ARISTA INFORMATION SYSTEMS  IN"</f>
        <v>ARISTA INFORMATION SYSTEMS  IN</v>
      </c>
    </row>
    <row r="1948" spans="1:9" x14ac:dyDescent="0.25">
      <c r="A1948" s="6">
        <v>44622</v>
      </c>
      <c r="B1948" t="s">
        <v>26</v>
      </c>
      <c r="C1948">
        <v>68891</v>
      </c>
      <c r="D1948" t="s">
        <v>1006</v>
      </c>
      <c r="E1948" s="7">
        <v>282.88</v>
      </c>
      <c r="F1948" t="s">
        <v>20</v>
      </c>
      <c r="G1948" t="s">
        <v>21</v>
      </c>
      <c r="H1948" t="str">
        <f>"5330591"</f>
        <v>5330591</v>
      </c>
      <c r="I1948" t="str">
        <f>"BEARCOM WIRELESS WORLDWIDE"</f>
        <v>BEARCOM WIRELESS WORLDWIDE</v>
      </c>
    </row>
    <row r="1949" spans="1:9" x14ac:dyDescent="0.25">
      <c r="A1949" s="6">
        <v>44622</v>
      </c>
      <c r="B1949" t="s">
        <v>26</v>
      </c>
      <c r="C1949">
        <v>68892</v>
      </c>
      <c r="D1949" t="s">
        <v>63</v>
      </c>
      <c r="E1949" s="7">
        <v>327.45</v>
      </c>
      <c r="F1949" t="s">
        <v>20</v>
      </c>
      <c r="G1949" t="s">
        <v>21</v>
      </c>
      <c r="H1949" t="str">
        <f>"8405552000"</f>
        <v>8405552000</v>
      </c>
      <c r="I1949" t="str">
        <f>"CINTAS CORPORATION"</f>
        <v>CINTAS CORPORATION</v>
      </c>
    </row>
    <row r="1950" spans="1:9" x14ac:dyDescent="0.25">
      <c r="A1950" s="6">
        <v>44622</v>
      </c>
      <c r="B1950" t="s">
        <v>26</v>
      </c>
      <c r="C1950">
        <v>68893</v>
      </c>
      <c r="D1950" t="s">
        <v>71</v>
      </c>
      <c r="E1950" s="7">
        <v>184.63</v>
      </c>
      <c r="F1950" t="s">
        <v>20</v>
      </c>
      <c r="G1950" t="s">
        <v>21</v>
      </c>
      <c r="H1950" t="str">
        <f>"411053352"</f>
        <v>411053352</v>
      </c>
      <c r="I1950" t="str">
        <f t="shared" ref="I1950:I1955" si="48">"CINTAS CORPORATION #087"</f>
        <v>CINTAS CORPORATION #087</v>
      </c>
    </row>
    <row r="1951" spans="1:9" x14ac:dyDescent="0.25">
      <c r="A1951" s="6">
        <v>44622</v>
      </c>
      <c r="B1951" t="s">
        <v>26</v>
      </c>
      <c r="C1951">
        <v>68893</v>
      </c>
      <c r="D1951" t="s">
        <v>71</v>
      </c>
      <c r="E1951" s="7">
        <v>35.700000000000003</v>
      </c>
      <c r="F1951" t="s">
        <v>20</v>
      </c>
      <c r="G1951" t="s">
        <v>21</v>
      </c>
      <c r="H1951" t="str">
        <f>"4110553196"</f>
        <v>4110553196</v>
      </c>
      <c r="I1951" t="str">
        <f t="shared" si="48"/>
        <v>CINTAS CORPORATION #087</v>
      </c>
    </row>
    <row r="1952" spans="1:9" x14ac:dyDescent="0.25">
      <c r="A1952" s="6">
        <v>44622</v>
      </c>
      <c r="B1952" t="s">
        <v>26</v>
      </c>
      <c r="C1952">
        <v>68893</v>
      </c>
      <c r="D1952" t="s">
        <v>71</v>
      </c>
      <c r="E1952" s="7">
        <v>30.26</v>
      </c>
      <c r="F1952" t="s">
        <v>20</v>
      </c>
      <c r="G1952" t="s">
        <v>21</v>
      </c>
      <c r="H1952" t="str">
        <f>"4110553216"</f>
        <v>4110553216</v>
      </c>
      <c r="I1952" t="str">
        <f t="shared" si="48"/>
        <v>CINTAS CORPORATION #087</v>
      </c>
    </row>
    <row r="1953" spans="1:9" x14ac:dyDescent="0.25">
      <c r="A1953" s="6">
        <v>44622</v>
      </c>
      <c r="B1953" t="s">
        <v>26</v>
      </c>
      <c r="C1953">
        <v>68893</v>
      </c>
      <c r="D1953" t="s">
        <v>71</v>
      </c>
      <c r="E1953" s="7">
        <v>54.76</v>
      </c>
      <c r="F1953" t="s">
        <v>20</v>
      </c>
      <c r="G1953" t="s">
        <v>21</v>
      </c>
      <c r="H1953" t="str">
        <f>"4110553234"</f>
        <v>4110553234</v>
      </c>
      <c r="I1953" t="str">
        <f t="shared" si="48"/>
        <v>CINTAS CORPORATION #087</v>
      </c>
    </row>
    <row r="1954" spans="1:9" x14ac:dyDescent="0.25">
      <c r="A1954" s="6">
        <v>44622</v>
      </c>
      <c r="B1954" t="s">
        <v>26</v>
      </c>
      <c r="C1954">
        <v>68893</v>
      </c>
      <c r="D1954" t="s">
        <v>71</v>
      </c>
      <c r="E1954" s="7">
        <v>8.9</v>
      </c>
      <c r="F1954" t="s">
        <v>20</v>
      </c>
      <c r="G1954" t="s">
        <v>21</v>
      </c>
      <c r="H1954" t="str">
        <f>"4110553237"</f>
        <v>4110553237</v>
      </c>
      <c r="I1954" t="str">
        <f t="shared" si="48"/>
        <v>CINTAS CORPORATION #087</v>
      </c>
    </row>
    <row r="1955" spans="1:9" x14ac:dyDescent="0.25">
      <c r="A1955" s="6">
        <v>44622</v>
      </c>
      <c r="B1955" t="s">
        <v>26</v>
      </c>
      <c r="C1955">
        <v>68893</v>
      </c>
      <c r="D1955" t="s">
        <v>71</v>
      </c>
      <c r="E1955" s="7">
        <v>497.58</v>
      </c>
      <c r="F1955" t="s">
        <v>20</v>
      </c>
      <c r="G1955" t="s">
        <v>21</v>
      </c>
      <c r="H1955" t="str">
        <f>"4110553425"</f>
        <v>4110553425</v>
      </c>
      <c r="I1955" t="str">
        <f t="shared" si="48"/>
        <v>CINTAS CORPORATION #087</v>
      </c>
    </row>
    <row r="1956" spans="1:9" x14ac:dyDescent="0.25">
      <c r="A1956" s="6">
        <v>44622</v>
      </c>
      <c r="B1956" t="s">
        <v>26</v>
      </c>
      <c r="C1956">
        <v>68895</v>
      </c>
      <c r="D1956" t="s">
        <v>875</v>
      </c>
      <c r="E1956" s="7">
        <v>688.47</v>
      </c>
      <c r="F1956" t="s">
        <v>20</v>
      </c>
      <c r="G1956" t="s">
        <v>21</v>
      </c>
      <c r="H1956" t="str">
        <f>"38857"</f>
        <v>38857</v>
      </c>
      <c r="I1956" t="str">
        <f>"CRAMER MARKETING"</f>
        <v>CRAMER MARKETING</v>
      </c>
    </row>
    <row r="1957" spans="1:9" x14ac:dyDescent="0.25">
      <c r="A1957" s="6">
        <v>44622</v>
      </c>
      <c r="B1957" t="s">
        <v>26</v>
      </c>
      <c r="C1957">
        <v>68896</v>
      </c>
      <c r="D1957" t="s">
        <v>77</v>
      </c>
      <c r="E1957" s="7">
        <v>320</v>
      </c>
      <c r="F1957" t="s">
        <v>20</v>
      </c>
      <c r="G1957" t="s">
        <v>21</v>
      </c>
      <c r="H1957" t="str">
        <f>"DE85000205-22"</f>
        <v>DE85000205-22</v>
      </c>
      <c r="I1957" t="str">
        <f>"DPC INDUSTRIES  INC."</f>
        <v>DPC INDUSTRIES  INC.</v>
      </c>
    </row>
    <row r="1958" spans="1:9" x14ac:dyDescent="0.25">
      <c r="A1958" s="6">
        <v>44622</v>
      </c>
      <c r="B1958" t="s">
        <v>26</v>
      </c>
      <c r="C1958">
        <v>68897</v>
      </c>
      <c r="D1958" t="s">
        <v>79</v>
      </c>
      <c r="E1958" s="7">
        <v>7.31</v>
      </c>
      <c r="F1958" t="s">
        <v>20</v>
      </c>
      <c r="G1958" t="s">
        <v>21</v>
      </c>
      <c r="H1958" t="str">
        <f>"7-664-41701"</f>
        <v>7-664-41701</v>
      </c>
      <c r="I1958" t="str">
        <f>"FEDEX"</f>
        <v>FEDEX</v>
      </c>
    </row>
    <row r="1959" spans="1:9" x14ac:dyDescent="0.25">
      <c r="A1959" s="6">
        <v>44622</v>
      </c>
      <c r="B1959" t="s">
        <v>26</v>
      </c>
      <c r="C1959">
        <v>68898</v>
      </c>
      <c r="D1959" t="s">
        <v>59</v>
      </c>
      <c r="E1959" s="7">
        <v>2955.24</v>
      </c>
      <c r="F1959" t="s">
        <v>20</v>
      </c>
      <c r="G1959" t="s">
        <v>21</v>
      </c>
      <c r="H1959" t="str">
        <f>"1158431"</f>
        <v>1158431</v>
      </c>
      <c r="I1959" t="str">
        <f>"FERGUSON WATERWORKS - MUNICIPA"</f>
        <v>FERGUSON WATERWORKS - MUNICIPA</v>
      </c>
    </row>
    <row r="1960" spans="1:9" x14ac:dyDescent="0.25">
      <c r="A1960" s="6">
        <v>44622</v>
      </c>
      <c r="B1960" t="s">
        <v>26</v>
      </c>
      <c r="C1960">
        <v>68898</v>
      </c>
      <c r="D1960" t="s">
        <v>59</v>
      </c>
      <c r="E1960" s="7">
        <v>1114.6500000000001</v>
      </c>
      <c r="F1960" t="s">
        <v>20</v>
      </c>
      <c r="G1960" t="s">
        <v>21</v>
      </c>
      <c r="H1960" t="str">
        <f>"1158856"</f>
        <v>1158856</v>
      </c>
      <c r="I1960" t="str">
        <f>"FERGUSON WATERWORKS - MUNICIPA"</f>
        <v>FERGUSON WATERWORKS - MUNICIPA</v>
      </c>
    </row>
    <row r="1961" spans="1:9" x14ac:dyDescent="0.25">
      <c r="A1961" s="6">
        <v>44622</v>
      </c>
      <c r="B1961" t="s">
        <v>91</v>
      </c>
      <c r="C1961">
        <v>68899</v>
      </c>
      <c r="D1961" t="s">
        <v>398</v>
      </c>
      <c r="E1961" s="7">
        <v>56.5</v>
      </c>
      <c r="F1961" t="s">
        <v>20</v>
      </c>
      <c r="G1961" t="s">
        <v>21</v>
      </c>
      <c r="H1961" t="str">
        <f>"20220203"</f>
        <v>20220203</v>
      </c>
      <c r="I1961" t="str">
        <f>"INTERCEPTOR TECHNOLOGY GROUP L"</f>
        <v>INTERCEPTOR TECHNOLOGY GROUP L</v>
      </c>
    </row>
    <row r="1962" spans="1:9" x14ac:dyDescent="0.25">
      <c r="A1962" s="6">
        <v>44622</v>
      </c>
      <c r="B1962" t="s">
        <v>91</v>
      </c>
      <c r="C1962">
        <v>68899</v>
      </c>
      <c r="D1962" t="s">
        <v>398</v>
      </c>
      <c r="E1962" s="7">
        <v>56.5</v>
      </c>
      <c r="F1962" t="s">
        <v>20</v>
      </c>
      <c r="G1962" t="s">
        <v>93</v>
      </c>
      <c r="H1962" t="str">
        <f>"CHECK"</f>
        <v>CHECK</v>
      </c>
      <c r="I1962" t="str">
        <f>""</f>
        <v/>
      </c>
    </row>
    <row r="1963" spans="1:9" x14ac:dyDescent="0.25">
      <c r="A1963" s="6">
        <v>44622</v>
      </c>
      <c r="B1963" t="s">
        <v>26</v>
      </c>
      <c r="C1963">
        <v>68900</v>
      </c>
      <c r="D1963" t="s">
        <v>125</v>
      </c>
      <c r="E1963" s="7">
        <v>720</v>
      </c>
      <c r="F1963" t="s">
        <v>20</v>
      </c>
      <c r="G1963" t="s">
        <v>21</v>
      </c>
      <c r="H1963" t="str">
        <f>"21-1050 JAN 2022"</f>
        <v>21-1050 JAN 2022</v>
      </c>
      <c r="I1963" t="str">
        <f>"INTREPID SURVEYING CORPORATION"</f>
        <v>INTREPID SURVEYING CORPORATION</v>
      </c>
    </row>
    <row r="1964" spans="1:9" x14ac:dyDescent="0.25">
      <c r="A1964" s="6">
        <v>44622</v>
      </c>
      <c r="B1964" t="s">
        <v>26</v>
      </c>
      <c r="C1964">
        <v>68901</v>
      </c>
      <c r="D1964" t="s">
        <v>80</v>
      </c>
      <c r="E1964" s="7">
        <v>750</v>
      </c>
      <c r="F1964" t="s">
        <v>20</v>
      </c>
      <c r="G1964" t="s">
        <v>21</v>
      </c>
      <c r="H1964" t="str">
        <f>"1648-20220301-1"</f>
        <v>1648-20220301-1</v>
      </c>
      <c r="I1964" t="str">
        <f>"LVWIFI.COM"</f>
        <v>LVWIFI.COM</v>
      </c>
    </row>
    <row r="1965" spans="1:9" x14ac:dyDescent="0.25">
      <c r="A1965" s="6">
        <v>44622</v>
      </c>
      <c r="B1965" t="s">
        <v>26</v>
      </c>
      <c r="C1965">
        <v>68901</v>
      </c>
      <c r="D1965" t="s">
        <v>80</v>
      </c>
      <c r="E1965" s="7">
        <v>750</v>
      </c>
      <c r="F1965" t="s">
        <v>20</v>
      </c>
      <c r="G1965" t="s">
        <v>21</v>
      </c>
      <c r="H1965" t="str">
        <f>"2313-20220301-1"</f>
        <v>2313-20220301-1</v>
      </c>
      <c r="I1965" t="str">
        <f>"LVWIFI.COM"</f>
        <v>LVWIFI.COM</v>
      </c>
    </row>
    <row r="1966" spans="1:9" x14ac:dyDescent="0.25">
      <c r="A1966" s="6">
        <v>44622</v>
      </c>
      <c r="B1966" t="s">
        <v>26</v>
      </c>
      <c r="C1966">
        <v>68902</v>
      </c>
      <c r="D1966" t="s">
        <v>240</v>
      </c>
      <c r="E1966" s="7">
        <v>276.95</v>
      </c>
      <c r="F1966" t="s">
        <v>20</v>
      </c>
      <c r="G1966" t="s">
        <v>21</v>
      </c>
      <c r="H1966" t="str">
        <f>"0224477-IN"</f>
        <v>0224477-IN</v>
      </c>
      <c r="I1966" t="str">
        <f>"NARDIS PUBLIC SAFETY"</f>
        <v>NARDIS PUBLIC SAFETY</v>
      </c>
    </row>
    <row r="1967" spans="1:9" x14ac:dyDescent="0.25">
      <c r="A1967" s="6">
        <v>44622</v>
      </c>
      <c r="B1967" t="s">
        <v>26</v>
      </c>
      <c r="C1967">
        <v>68903</v>
      </c>
      <c r="D1967" t="s">
        <v>137</v>
      </c>
      <c r="E1967" s="7">
        <v>51.95</v>
      </c>
      <c r="F1967" t="s">
        <v>20</v>
      </c>
      <c r="G1967" t="s">
        <v>21</v>
      </c>
      <c r="H1967" t="str">
        <f>"33607"</f>
        <v>33607</v>
      </c>
      <c r="I1967" t="str">
        <f>"OMNIBUS-M  INC.D.B.A."</f>
        <v>OMNIBUS-M  INC.D.B.A.</v>
      </c>
    </row>
    <row r="1968" spans="1:9" x14ac:dyDescent="0.25">
      <c r="A1968" s="6">
        <v>44622</v>
      </c>
      <c r="B1968" t="s">
        <v>26</v>
      </c>
      <c r="C1968">
        <v>68903</v>
      </c>
      <c r="D1968" t="s">
        <v>137</v>
      </c>
      <c r="E1968" s="7">
        <v>69.95</v>
      </c>
      <c r="F1968" t="s">
        <v>20</v>
      </c>
      <c r="G1968" t="s">
        <v>21</v>
      </c>
      <c r="H1968" t="str">
        <f>"33608"</f>
        <v>33608</v>
      </c>
      <c r="I1968" t="str">
        <f>"OMNIBUS-M  INC.D.B.A."</f>
        <v>OMNIBUS-M  INC.D.B.A.</v>
      </c>
    </row>
    <row r="1969" spans="1:9" x14ac:dyDescent="0.25">
      <c r="A1969" s="6">
        <v>44622</v>
      </c>
      <c r="B1969" t="s">
        <v>26</v>
      </c>
      <c r="C1969">
        <v>68904</v>
      </c>
      <c r="D1969" t="s">
        <v>184</v>
      </c>
      <c r="E1969" s="7">
        <v>1004</v>
      </c>
      <c r="F1969" t="s">
        <v>20</v>
      </c>
      <c r="G1969" t="s">
        <v>21</v>
      </c>
      <c r="H1969" t="str">
        <f>"1064-530"</f>
        <v>1064-530</v>
      </c>
      <c r="I1969" t="str">
        <f>"POLLUTION CONTROL SERVICES"</f>
        <v>POLLUTION CONTROL SERVICES</v>
      </c>
    </row>
    <row r="1970" spans="1:9" x14ac:dyDescent="0.25">
      <c r="A1970" s="6">
        <v>44622</v>
      </c>
      <c r="B1970" t="s">
        <v>26</v>
      </c>
      <c r="C1970">
        <v>68904</v>
      </c>
      <c r="D1970" t="s">
        <v>184</v>
      </c>
      <c r="E1970" s="7">
        <v>252</v>
      </c>
      <c r="F1970" t="s">
        <v>20</v>
      </c>
      <c r="G1970" t="s">
        <v>21</v>
      </c>
      <c r="H1970" t="str">
        <f>"1064-531"</f>
        <v>1064-531</v>
      </c>
      <c r="I1970" t="str">
        <f>"POLLUTION CONTROL SERVICES"</f>
        <v>POLLUTION CONTROL SERVICES</v>
      </c>
    </row>
    <row r="1971" spans="1:9" x14ac:dyDescent="0.25">
      <c r="A1971" s="6">
        <v>44622</v>
      </c>
      <c r="B1971" t="s">
        <v>26</v>
      </c>
      <c r="C1971">
        <v>68905</v>
      </c>
      <c r="D1971" t="s">
        <v>278</v>
      </c>
      <c r="E1971" s="7">
        <v>330</v>
      </c>
      <c r="F1971" t="s">
        <v>20</v>
      </c>
      <c r="G1971" t="s">
        <v>21</v>
      </c>
      <c r="H1971" t="str">
        <f>"FLO003112720"</f>
        <v>FLO003112720</v>
      </c>
      <c r="I1971" t="str">
        <f>"THE PRODUCTIVITY CENTER"</f>
        <v>THE PRODUCTIVITY CENTER</v>
      </c>
    </row>
    <row r="1972" spans="1:9" x14ac:dyDescent="0.25">
      <c r="A1972" s="6">
        <v>44622</v>
      </c>
      <c r="B1972" t="s">
        <v>26</v>
      </c>
      <c r="C1972">
        <v>68906</v>
      </c>
      <c r="D1972" t="s">
        <v>528</v>
      </c>
      <c r="E1972" s="7">
        <v>319.58999999999997</v>
      </c>
      <c r="F1972" t="s">
        <v>20</v>
      </c>
      <c r="G1972" t="s">
        <v>21</v>
      </c>
      <c r="H1972" t="str">
        <f>"10772474"</f>
        <v>10772474</v>
      </c>
      <c r="I1972" t="str">
        <f>"PROSTAR SERVICES INC"</f>
        <v>PROSTAR SERVICES INC</v>
      </c>
    </row>
    <row r="1973" spans="1:9" x14ac:dyDescent="0.25">
      <c r="A1973" s="6">
        <v>44622</v>
      </c>
      <c r="B1973" t="s">
        <v>26</v>
      </c>
      <c r="C1973">
        <v>68907</v>
      </c>
      <c r="D1973" t="s">
        <v>501</v>
      </c>
      <c r="E1973" s="7">
        <v>871.41</v>
      </c>
      <c r="F1973" t="s">
        <v>20</v>
      </c>
      <c r="G1973" t="s">
        <v>21</v>
      </c>
      <c r="H1973" t="str">
        <f>"312381495"</f>
        <v>312381495</v>
      </c>
      <c r="I1973" t="str">
        <f>"TRANE U.S. INC."</f>
        <v>TRANE U.S. INC.</v>
      </c>
    </row>
    <row r="1974" spans="1:9" x14ac:dyDescent="0.25">
      <c r="A1974" s="6">
        <v>44622</v>
      </c>
      <c r="B1974" t="s">
        <v>26</v>
      </c>
      <c r="C1974">
        <v>68908</v>
      </c>
      <c r="D1974" t="s">
        <v>644</v>
      </c>
      <c r="E1974" s="7">
        <v>130.55000000000001</v>
      </c>
      <c r="F1974" t="s">
        <v>20</v>
      </c>
      <c r="G1974" t="s">
        <v>21</v>
      </c>
      <c r="H1974" t="str">
        <f>"8213697251"</f>
        <v>8213697251</v>
      </c>
      <c r="I1974" t="str">
        <f t="shared" ref="I1974:I1980" si="49">"UNIFIRST CORPORATION"</f>
        <v>UNIFIRST CORPORATION</v>
      </c>
    </row>
    <row r="1975" spans="1:9" x14ac:dyDescent="0.25">
      <c r="A1975" s="6">
        <v>44622</v>
      </c>
      <c r="B1975" t="s">
        <v>26</v>
      </c>
      <c r="C1975">
        <v>68908</v>
      </c>
      <c r="D1975" t="s">
        <v>644</v>
      </c>
      <c r="E1975" s="7">
        <v>26.49</v>
      </c>
      <c r="F1975" t="s">
        <v>20</v>
      </c>
      <c r="G1975" t="s">
        <v>21</v>
      </c>
      <c r="H1975" t="str">
        <f>"8213697252"</f>
        <v>8213697252</v>
      </c>
      <c r="I1975" t="str">
        <f t="shared" si="49"/>
        <v>UNIFIRST CORPORATION</v>
      </c>
    </row>
    <row r="1976" spans="1:9" x14ac:dyDescent="0.25">
      <c r="A1976" s="6">
        <v>44622</v>
      </c>
      <c r="B1976" t="s">
        <v>26</v>
      </c>
      <c r="C1976">
        <v>68908</v>
      </c>
      <c r="D1976" t="s">
        <v>644</v>
      </c>
      <c r="E1976" s="7">
        <v>116.86</v>
      </c>
      <c r="F1976" t="s">
        <v>20</v>
      </c>
      <c r="G1976" t="s">
        <v>21</v>
      </c>
      <c r="H1976" t="str">
        <f>"8213697253"</f>
        <v>8213697253</v>
      </c>
      <c r="I1976" t="str">
        <f t="shared" si="49"/>
        <v>UNIFIRST CORPORATION</v>
      </c>
    </row>
    <row r="1977" spans="1:9" x14ac:dyDescent="0.25">
      <c r="A1977" s="6">
        <v>44622</v>
      </c>
      <c r="B1977" t="s">
        <v>26</v>
      </c>
      <c r="C1977">
        <v>68908</v>
      </c>
      <c r="D1977" t="s">
        <v>644</v>
      </c>
      <c r="E1977" s="7">
        <v>124.5</v>
      </c>
      <c r="F1977" t="s">
        <v>20</v>
      </c>
      <c r="G1977" t="s">
        <v>21</v>
      </c>
      <c r="H1977" t="str">
        <f>"8213697254"</f>
        <v>8213697254</v>
      </c>
      <c r="I1977" t="str">
        <f t="shared" si="49"/>
        <v>UNIFIRST CORPORATION</v>
      </c>
    </row>
    <row r="1978" spans="1:9" x14ac:dyDescent="0.25">
      <c r="A1978" s="6">
        <v>44622</v>
      </c>
      <c r="B1978" t="s">
        <v>26</v>
      </c>
      <c r="C1978">
        <v>68908</v>
      </c>
      <c r="D1978" t="s">
        <v>644</v>
      </c>
      <c r="E1978" s="7">
        <v>95.04</v>
      </c>
      <c r="F1978" t="s">
        <v>20</v>
      </c>
      <c r="G1978" t="s">
        <v>21</v>
      </c>
      <c r="H1978" t="str">
        <f>"8213697256"</f>
        <v>8213697256</v>
      </c>
      <c r="I1978" t="str">
        <f t="shared" si="49"/>
        <v>UNIFIRST CORPORATION</v>
      </c>
    </row>
    <row r="1979" spans="1:9" x14ac:dyDescent="0.25">
      <c r="A1979" s="6">
        <v>44622</v>
      </c>
      <c r="B1979" t="s">
        <v>26</v>
      </c>
      <c r="C1979">
        <v>68908</v>
      </c>
      <c r="D1979" t="s">
        <v>644</v>
      </c>
      <c r="E1979" s="7">
        <v>26.49</v>
      </c>
      <c r="F1979" t="s">
        <v>20</v>
      </c>
      <c r="G1979" t="s">
        <v>21</v>
      </c>
      <c r="H1979" t="str">
        <f>"8213697257"</f>
        <v>8213697257</v>
      </c>
      <c r="I1979" t="str">
        <f t="shared" si="49"/>
        <v>UNIFIRST CORPORATION</v>
      </c>
    </row>
    <row r="1980" spans="1:9" x14ac:dyDescent="0.25">
      <c r="A1980" s="6">
        <v>44622</v>
      </c>
      <c r="B1980" t="s">
        <v>26</v>
      </c>
      <c r="C1980">
        <v>68908</v>
      </c>
      <c r="D1980" t="s">
        <v>644</v>
      </c>
      <c r="E1980" s="7">
        <v>130.55000000000001</v>
      </c>
      <c r="F1980" t="s">
        <v>20</v>
      </c>
      <c r="G1980" t="s">
        <v>21</v>
      </c>
      <c r="H1980" t="str">
        <f>"8213699823"</f>
        <v>8213699823</v>
      </c>
      <c r="I1980" t="str">
        <f t="shared" si="49"/>
        <v>UNIFIRST CORPORATION</v>
      </c>
    </row>
    <row r="1981" spans="1:9" x14ac:dyDescent="0.25">
      <c r="A1981" s="6">
        <v>44622</v>
      </c>
      <c r="B1981" t="s">
        <v>26</v>
      </c>
      <c r="C1981">
        <v>68910</v>
      </c>
      <c r="D1981" t="s">
        <v>122</v>
      </c>
      <c r="E1981" s="7">
        <v>90</v>
      </c>
      <c r="F1981" t="s">
        <v>20</v>
      </c>
      <c r="G1981" t="s">
        <v>21</v>
      </c>
      <c r="H1981" t="str">
        <f>"017734"</f>
        <v>017734</v>
      </c>
      <c r="I1981" t="str">
        <f>"VILLA TIRES"</f>
        <v>VILLA TIRES</v>
      </c>
    </row>
    <row r="1982" spans="1:9" x14ac:dyDescent="0.25">
      <c r="A1982" s="6">
        <v>44622</v>
      </c>
      <c r="B1982" t="s">
        <v>26</v>
      </c>
      <c r="C1982">
        <v>68911</v>
      </c>
      <c r="D1982" t="s">
        <v>202</v>
      </c>
      <c r="E1982" s="7">
        <v>2061.4299999999998</v>
      </c>
      <c r="F1982" t="s">
        <v>20</v>
      </c>
      <c r="G1982" t="s">
        <v>21</v>
      </c>
      <c r="H1982" t="str">
        <f>"62418556"</f>
        <v>62418556</v>
      </c>
      <c r="I1982" t="str">
        <f>"VULCAN CONSTRUCTION MATERIALS"</f>
        <v>VULCAN CONSTRUCTION MATERIALS</v>
      </c>
    </row>
    <row r="1983" spans="1:9" x14ac:dyDescent="0.25">
      <c r="A1983" s="6">
        <v>44622</v>
      </c>
      <c r="B1983" t="s">
        <v>26</v>
      </c>
      <c r="C1983">
        <v>68911</v>
      </c>
      <c r="D1983" t="s">
        <v>202</v>
      </c>
      <c r="E1983" s="7">
        <v>1739.14</v>
      </c>
      <c r="F1983" t="s">
        <v>20</v>
      </c>
      <c r="G1983" t="s">
        <v>21</v>
      </c>
      <c r="H1983" t="str">
        <f>"62420724"</f>
        <v>62420724</v>
      </c>
      <c r="I1983" t="str">
        <f>"VULCAN CONSTRUCTION MATERIALS"</f>
        <v>VULCAN CONSTRUCTION MATERIALS</v>
      </c>
    </row>
    <row r="1984" spans="1:9" x14ac:dyDescent="0.25">
      <c r="A1984" s="6">
        <v>44622</v>
      </c>
      <c r="B1984" t="s">
        <v>26</v>
      </c>
      <c r="C1984">
        <v>68912</v>
      </c>
      <c r="D1984" t="s">
        <v>186</v>
      </c>
      <c r="E1984" s="7">
        <v>9931.51</v>
      </c>
      <c r="F1984" t="s">
        <v>20</v>
      </c>
      <c r="G1984" t="s">
        <v>21</v>
      </c>
      <c r="H1984" t="str">
        <f>"2ND QRT4/1-6/30/22"</f>
        <v>2ND QRT4/1-6/30/22</v>
      </c>
      <c r="I1984" t="str">
        <f>"WILSON COUNTY APPRAISAL DISTRI"</f>
        <v>WILSON COUNTY APPRAISAL DISTRI</v>
      </c>
    </row>
    <row r="1985" spans="1:9" x14ac:dyDescent="0.25">
      <c r="A1985" s="6">
        <v>44622</v>
      </c>
      <c r="B1985" t="s">
        <v>26</v>
      </c>
      <c r="C1985">
        <v>68913</v>
      </c>
      <c r="D1985" t="s">
        <v>629</v>
      </c>
      <c r="E1985" s="7">
        <v>3756.48</v>
      </c>
      <c r="F1985" t="s">
        <v>20</v>
      </c>
      <c r="G1985" t="s">
        <v>21</v>
      </c>
      <c r="H1985" t="str">
        <f>"43352"</f>
        <v>43352</v>
      </c>
      <c r="I1985" t="str">
        <f>"STREET SIGNS"</f>
        <v>STREET SIGNS</v>
      </c>
    </row>
    <row r="1986" spans="1:9" x14ac:dyDescent="0.25">
      <c r="A1986" s="6">
        <v>44622</v>
      </c>
      <c r="B1986" t="s">
        <v>26</v>
      </c>
      <c r="C1986">
        <v>68914</v>
      </c>
      <c r="D1986" t="s">
        <v>143</v>
      </c>
      <c r="E1986" s="7">
        <v>392.24</v>
      </c>
      <c r="F1986" t="s">
        <v>20</v>
      </c>
      <c r="G1986" t="s">
        <v>21</v>
      </c>
      <c r="H1986" t="str">
        <f>"9402642972"</f>
        <v>9402642972</v>
      </c>
      <c r="I1986" t="str">
        <f>"OIL FOR STREETS"</f>
        <v>OIL FOR STREETS</v>
      </c>
    </row>
    <row r="1987" spans="1:9" x14ac:dyDescent="0.25">
      <c r="A1987" s="6">
        <v>44622</v>
      </c>
      <c r="B1987" t="s">
        <v>26</v>
      </c>
      <c r="C1987">
        <v>68915</v>
      </c>
      <c r="D1987" t="s">
        <v>69</v>
      </c>
      <c r="E1987" s="7">
        <v>26.92</v>
      </c>
      <c r="F1987" t="s">
        <v>20</v>
      </c>
      <c r="G1987" t="s">
        <v>21</v>
      </c>
      <c r="H1987" t="str">
        <f>"3C16025"</f>
        <v>3C16025</v>
      </c>
      <c r="I1987" t="str">
        <f>"BLADES FOR TRACTOR"</f>
        <v>BLADES FOR TRACTOR</v>
      </c>
    </row>
    <row r="1988" spans="1:9" x14ac:dyDescent="0.25">
      <c r="A1988" s="6">
        <v>44622</v>
      </c>
      <c r="B1988" t="s">
        <v>26</v>
      </c>
      <c r="C1988">
        <v>68916</v>
      </c>
      <c r="D1988" t="s">
        <v>56</v>
      </c>
      <c r="E1988" s="7">
        <v>26.95</v>
      </c>
      <c r="F1988" t="s">
        <v>20</v>
      </c>
      <c r="G1988" t="s">
        <v>21</v>
      </c>
      <c r="H1988" t="str">
        <f>"198631"</f>
        <v>198631</v>
      </c>
      <c r="I1988" t="str">
        <f>"DOG FOOD"</f>
        <v>DOG FOOD</v>
      </c>
    </row>
    <row r="1989" spans="1:9" x14ac:dyDescent="0.25">
      <c r="A1989" s="6">
        <v>44622</v>
      </c>
      <c r="B1989" t="s">
        <v>26</v>
      </c>
      <c r="C1989">
        <v>68917</v>
      </c>
      <c r="D1989" t="s">
        <v>302</v>
      </c>
      <c r="E1989" s="7">
        <v>285.63</v>
      </c>
      <c r="F1989" t="s">
        <v>20</v>
      </c>
      <c r="G1989" t="s">
        <v>21</v>
      </c>
      <c r="H1989" t="str">
        <f>"9200608017"</f>
        <v>9200608017</v>
      </c>
      <c r="I1989" t="str">
        <f>"BOOTS"</f>
        <v>BOOTS</v>
      </c>
    </row>
    <row r="1990" spans="1:9" x14ac:dyDescent="0.25">
      <c r="A1990" s="6">
        <v>44622</v>
      </c>
      <c r="B1990" t="s">
        <v>26</v>
      </c>
      <c r="C1990">
        <v>68918</v>
      </c>
      <c r="D1990" t="s">
        <v>124</v>
      </c>
      <c r="E1990" s="7">
        <v>37.409999999999997</v>
      </c>
      <c r="F1990" t="s">
        <v>20</v>
      </c>
      <c r="G1990" t="s">
        <v>21</v>
      </c>
      <c r="H1990" t="str">
        <f>"11117129"</f>
        <v>11117129</v>
      </c>
      <c r="I1990" t="str">
        <f>"CEMENTARY ROAD REPAIR"</f>
        <v>CEMENTARY ROAD REPAIR</v>
      </c>
    </row>
    <row r="1991" spans="1:9" x14ac:dyDescent="0.25">
      <c r="A1991" s="6">
        <v>44622</v>
      </c>
      <c r="B1991" t="s">
        <v>26</v>
      </c>
      <c r="C1991">
        <v>68918</v>
      </c>
      <c r="D1991" t="s">
        <v>124</v>
      </c>
      <c r="E1991" s="7">
        <v>75.58</v>
      </c>
      <c r="F1991" t="s">
        <v>20</v>
      </c>
      <c r="G1991" t="s">
        <v>21</v>
      </c>
      <c r="H1991" t="str">
        <f>"11117424"</f>
        <v>11117424</v>
      </c>
      <c r="I1991" t="str">
        <f>"LIGHT BULBS FOR SHOP"</f>
        <v>LIGHT BULBS FOR SHOP</v>
      </c>
    </row>
    <row r="1992" spans="1:9" x14ac:dyDescent="0.25">
      <c r="A1992" s="6">
        <v>44622</v>
      </c>
      <c r="B1992" t="s">
        <v>26</v>
      </c>
      <c r="C1992">
        <v>68918</v>
      </c>
      <c r="D1992" t="s">
        <v>124</v>
      </c>
      <c r="E1992" s="7">
        <v>123.97</v>
      </c>
      <c r="F1992" t="s">
        <v>20</v>
      </c>
      <c r="G1992" t="s">
        <v>21</v>
      </c>
      <c r="H1992" t="str">
        <f>"11117748"</f>
        <v>11117748</v>
      </c>
      <c r="I1992" t="str">
        <f>"TOOLS"</f>
        <v>TOOLS</v>
      </c>
    </row>
    <row r="1993" spans="1:9" x14ac:dyDescent="0.25">
      <c r="A1993" s="6">
        <v>44622</v>
      </c>
      <c r="B1993" t="s">
        <v>26</v>
      </c>
      <c r="C1993">
        <v>68919</v>
      </c>
      <c r="D1993" t="s">
        <v>123</v>
      </c>
      <c r="E1993" s="7">
        <v>64.14</v>
      </c>
      <c r="F1993" t="s">
        <v>20</v>
      </c>
      <c r="G1993" t="s">
        <v>21</v>
      </c>
      <c r="H1993" t="str">
        <f>"226739285001"</f>
        <v>226739285001</v>
      </c>
      <c r="I1993" t="str">
        <f>"OFFICE SUPPLIES"</f>
        <v>OFFICE SUPPLIES</v>
      </c>
    </row>
    <row r="1994" spans="1:9" x14ac:dyDescent="0.25">
      <c r="A1994" s="6">
        <v>44622</v>
      </c>
      <c r="B1994" t="s">
        <v>26</v>
      </c>
      <c r="C1994">
        <v>68919</v>
      </c>
      <c r="D1994" t="s">
        <v>123</v>
      </c>
      <c r="E1994" s="7">
        <v>171.5</v>
      </c>
      <c r="F1994" t="s">
        <v>20</v>
      </c>
      <c r="G1994" t="s">
        <v>21</v>
      </c>
      <c r="H1994" t="str">
        <f>"226985108001"</f>
        <v>226985108001</v>
      </c>
      <c r="I1994" t="str">
        <f>"OFFICE SUPPLIES"</f>
        <v>OFFICE SUPPLIES</v>
      </c>
    </row>
    <row r="1995" spans="1:9" x14ac:dyDescent="0.25">
      <c r="A1995" s="6">
        <v>44622</v>
      </c>
      <c r="B1995" t="s">
        <v>26</v>
      </c>
      <c r="C1995">
        <v>68919</v>
      </c>
      <c r="D1995" t="s">
        <v>123</v>
      </c>
      <c r="E1995" s="7">
        <v>12.97</v>
      </c>
      <c r="F1995" t="s">
        <v>20</v>
      </c>
      <c r="G1995" t="s">
        <v>21</v>
      </c>
      <c r="H1995" t="str">
        <f>"226986084001"</f>
        <v>226986084001</v>
      </c>
      <c r="I1995" t="str">
        <f>"OFFICE SUPPLIES"</f>
        <v>OFFICE SUPPLIES</v>
      </c>
    </row>
    <row r="1996" spans="1:9" x14ac:dyDescent="0.25">
      <c r="A1996" s="6">
        <v>44622</v>
      </c>
      <c r="B1996" t="s">
        <v>26</v>
      </c>
      <c r="C1996">
        <v>68920</v>
      </c>
      <c r="D1996" t="s">
        <v>975</v>
      </c>
      <c r="E1996" s="7">
        <v>146.88</v>
      </c>
      <c r="F1996" t="s">
        <v>20</v>
      </c>
      <c r="G1996" t="s">
        <v>21</v>
      </c>
      <c r="H1996" t="str">
        <f>"P97457"</f>
        <v>P97457</v>
      </c>
      <c r="I1996" t="str">
        <f>"POINT FOR AUGER"</f>
        <v>POINT FOR AUGER</v>
      </c>
    </row>
    <row r="1997" spans="1:9" x14ac:dyDescent="0.25">
      <c r="A1997" s="6">
        <v>44622</v>
      </c>
      <c r="B1997" t="s">
        <v>26</v>
      </c>
      <c r="C1997">
        <v>68920</v>
      </c>
      <c r="D1997" t="s">
        <v>975</v>
      </c>
      <c r="E1997" s="7">
        <v>41.43</v>
      </c>
      <c r="F1997" t="s">
        <v>20</v>
      </c>
      <c r="G1997" t="s">
        <v>21</v>
      </c>
      <c r="H1997" t="str">
        <f>"P97468"</f>
        <v>P97468</v>
      </c>
      <c r="I1997" t="str">
        <f>"FUEL PUMP PARKS DEPT"</f>
        <v>FUEL PUMP PARKS DEPT</v>
      </c>
    </row>
    <row r="1998" spans="1:9" x14ac:dyDescent="0.25">
      <c r="A1998" s="6">
        <v>44622</v>
      </c>
      <c r="B1998" t="s">
        <v>26</v>
      </c>
      <c r="C1998">
        <v>68921</v>
      </c>
      <c r="D1998" t="s">
        <v>197</v>
      </c>
      <c r="E1998" s="7">
        <v>2988</v>
      </c>
      <c r="F1998" t="s">
        <v>20</v>
      </c>
      <c r="G1998" t="s">
        <v>21</v>
      </c>
      <c r="H1998" t="str">
        <f>"220715"</f>
        <v>220715</v>
      </c>
      <c r="I1998" t="str">
        <f>"POLYMER -WWTP"</f>
        <v>POLYMER -WWTP</v>
      </c>
    </row>
    <row r="1999" spans="1:9" x14ac:dyDescent="0.25">
      <c r="A1999" s="6">
        <v>44622</v>
      </c>
      <c r="B1999" t="s">
        <v>26</v>
      </c>
      <c r="C1999">
        <v>68922</v>
      </c>
      <c r="D1999" t="s">
        <v>90</v>
      </c>
      <c r="E1999" s="7">
        <v>88.57</v>
      </c>
      <c r="F1999" t="s">
        <v>20</v>
      </c>
      <c r="G1999" t="s">
        <v>21</v>
      </c>
      <c r="H1999" t="str">
        <f>"ACA202202088640"</f>
        <v>ACA202202088640</v>
      </c>
      <c r="I1999" t="str">
        <f>"AFLAC INSURANCE"</f>
        <v>AFLAC INSURANCE</v>
      </c>
    </row>
    <row r="2000" spans="1:9" x14ac:dyDescent="0.25">
      <c r="A2000" s="6">
        <v>44622</v>
      </c>
      <c r="B2000" t="s">
        <v>26</v>
      </c>
      <c r="C2000">
        <v>68922</v>
      </c>
      <c r="D2000" t="s">
        <v>90</v>
      </c>
      <c r="E2000" s="7">
        <v>88.57</v>
      </c>
      <c r="F2000" t="s">
        <v>20</v>
      </c>
      <c r="G2000" t="s">
        <v>21</v>
      </c>
      <c r="H2000" t="str">
        <f>"ACA202202238641"</f>
        <v>ACA202202238641</v>
      </c>
      <c r="I2000" t="str">
        <f>"AFLAC INSURANCE"</f>
        <v>AFLAC INSURANCE</v>
      </c>
    </row>
    <row r="2001" spans="1:9" x14ac:dyDescent="0.25">
      <c r="A2001" s="6">
        <v>44622</v>
      </c>
      <c r="B2001" t="s">
        <v>26</v>
      </c>
      <c r="C2001">
        <v>68922</v>
      </c>
      <c r="D2001" t="s">
        <v>90</v>
      </c>
      <c r="E2001" s="7">
        <v>15.06</v>
      </c>
      <c r="F2001" t="s">
        <v>20</v>
      </c>
      <c r="G2001" t="s">
        <v>21</v>
      </c>
      <c r="H2001" t="str">
        <f>"ADR202201258639"</f>
        <v>ADR202201258639</v>
      </c>
      <c r="I2001" t="str">
        <f>"INSURANCE"</f>
        <v>INSURANCE</v>
      </c>
    </row>
    <row r="2002" spans="1:9" x14ac:dyDescent="0.25">
      <c r="A2002" s="6">
        <v>44622</v>
      </c>
      <c r="B2002" t="s">
        <v>26</v>
      </c>
      <c r="C2002">
        <v>68922</v>
      </c>
      <c r="D2002" t="s">
        <v>90</v>
      </c>
      <c r="E2002" s="7">
        <v>15.06</v>
      </c>
      <c r="F2002" t="s">
        <v>20</v>
      </c>
      <c r="G2002" t="s">
        <v>21</v>
      </c>
      <c r="H2002" t="str">
        <f>"ADR202202088640"</f>
        <v>ADR202202088640</v>
      </c>
      <c r="I2002" t="str">
        <f>"INSURANCE"</f>
        <v>INSURANCE</v>
      </c>
    </row>
    <row r="2003" spans="1:9" x14ac:dyDescent="0.25">
      <c r="A2003" s="6">
        <v>44622</v>
      </c>
      <c r="B2003" t="s">
        <v>26</v>
      </c>
      <c r="C2003">
        <v>68922</v>
      </c>
      <c r="D2003" t="s">
        <v>90</v>
      </c>
      <c r="E2003" s="7">
        <v>481.14</v>
      </c>
      <c r="F2003" t="s">
        <v>20</v>
      </c>
      <c r="G2003" t="s">
        <v>21</v>
      </c>
      <c r="H2003" t="str">
        <f>"AF1202201258639"</f>
        <v>AF1202201258639</v>
      </c>
      <c r="I2003" t="str">
        <f>"AFLAC INSURANCE"</f>
        <v>AFLAC INSURANCE</v>
      </c>
    </row>
    <row r="2004" spans="1:9" x14ac:dyDescent="0.25">
      <c r="A2004" s="6">
        <v>44622</v>
      </c>
      <c r="B2004" t="s">
        <v>26</v>
      </c>
      <c r="C2004">
        <v>68922</v>
      </c>
      <c r="D2004" t="s">
        <v>90</v>
      </c>
      <c r="E2004" s="7">
        <v>481.14</v>
      </c>
      <c r="F2004" t="s">
        <v>20</v>
      </c>
      <c r="G2004" t="s">
        <v>21</v>
      </c>
      <c r="H2004" t="str">
        <f>"AF1202202088640"</f>
        <v>AF1202202088640</v>
      </c>
      <c r="I2004" t="str">
        <f>"AFLAC INSURANCE"</f>
        <v>AFLAC INSURANCE</v>
      </c>
    </row>
    <row r="2005" spans="1:9" x14ac:dyDescent="0.25">
      <c r="A2005" s="6">
        <v>44622</v>
      </c>
      <c r="B2005" t="s">
        <v>26</v>
      </c>
      <c r="C2005">
        <v>68922</v>
      </c>
      <c r="D2005" t="s">
        <v>90</v>
      </c>
      <c r="E2005" s="7">
        <v>102.24</v>
      </c>
      <c r="F2005" t="s">
        <v>20</v>
      </c>
      <c r="G2005" t="s">
        <v>21</v>
      </c>
      <c r="H2005" t="str">
        <f>"AFS202201258639"</f>
        <v>AFS202201258639</v>
      </c>
      <c r="I2005" t="str">
        <f>"AFLAC STD"</f>
        <v>AFLAC STD</v>
      </c>
    </row>
    <row r="2006" spans="1:9" x14ac:dyDescent="0.25">
      <c r="A2006" s="6">
        <v>44622</v>
      </c>
      <c r="B2006" t="s">
        <v>26</v>
      </c>
      <c r="C2006">
        <v>68922</v>
      </c>
      <c r="D2006" t="s">
        <v>90</v>
      </c>
      <c r="E2006" s="7">
        <v>102.24</v>
      </c>
      <c r="F2006" t="s">
        <v>20</v>
      </c>
      <c r="G2006" t="s">
        <v>21</v>
      </c>
      <c r="H2006" t="str">
        <f>"AFS202202088640"</f>
        <v>AFS202202088640</v>
      </c>
      <c r="I2006" t="str">
        <f>"AFLAC STD"</f>
        <v>AFLAC STD</v>
      </c>
    </row>
    <row r="2007" spans="1:9" x14ac:dyDescent="0.25">
      <c r="A2007" s="6">
        <v>44622</v>
      </c>
      <c r="B2007" t="s">
        <v>26</v>
      </c>
      <c r="C2007">
        <v>68922</v>
      </c>
      <c r="D2007" t="s">
        <v>90</v>
      </c>
      <c r="E2007" s="7">
        <v>33.54</v>
      </c>
      <c r="F2007" t="s">
        <v>20</v>
      </c>
      <c r="G2007" t="s">
        <v>21</v>
      </c>
      <c r="H2007" t="str">
        <f>"ASP202201258639"</f>
        <v>ASP202201258639</v>
      </c>
      <c r="I2007" t="str">
        <f>"AFLAC INSURANCE"</f>
        <v>AFLAC INSURANCE</v>
      </c>
    </row>
    <row r="2008" spans="1:9" x14ac:dyDescent="0.25">
      <c r="A2008" s="6">
        <v>44622</v>
      </c>
      <c r="B2008" t="s">
        <v>26</v>
      </c>
      <c r="C2008">
        <v>68922</v>
      </c>
      <c r="D2008" t="s">
        <v>90</v>
      </c>
      <c r="E2008" s="7">
        <v>33.54</v>
      </c>
      <c r="F2008" t="s">
        <v>20</v>
      </c>
      <c r="G2008" t="s">
        <v>21</v>
      </c>
      <c r="H2008" t="str">
        <f>"ASP202202088640"</f>
        <v>ASP202202088640</v>
      </c>
      <c r="I2008" t="str">
        <f>"AFLAC INSURANCE"</f>
        <v>AFLAC INSURANCE</v>
      </c>
    </row>
    <row r="2009" spans="1:9" x14ac:dyDescent="0.25">
      <c r="A2009" s="6">
        <v>44622</v>
      </c>
      <c r="B2009" t="s">
        <v>26</v>
      </c>
      <c r="C2009">
        <v>68922</v>
      </c>
      <c r="D2009" t="s">
        <v>90</v>
      </c>
      <c r="E2009" s="7">
        <v>143.76</v>
      </c>
      <c r="F2009" t="s">
        <v>20</v>
      </c>
      <c r="G2009" t="s">
        <v>21</v>
      </c>
      <c r="H2009" t="str">
        <f>"HCO202202088640"</f>
        <v>HCO202202088640</v>
      </c>
      <c r="I2009" t="str">
        <f>"AFLAC INSURANCE"</f>
        <v>AFLAC INSURANCE</v>
      </c>
    </row>
    <row r="2010" spans="1:9" x14ac:dyDescent="0.25">
      <c r="A2010" s="6">
        <v>44622</v>
      </c>
      <c r="B2010" t="s">
        <v>26</v>
      </c>
      <c r="C2010">
        <v>68922</v>
      </c>
      <c r="D2010" t="s">
        <v>90</v>
      </c>
      <c r="E2010" s="7">
        <v>143.76</v>
      </c>
      <c r="F2010" t="s">
        <v>20</v>
      </c>
      <c r="G2010" t="s">
        <v>21</v>
      </c>
      <c r="H2010" t="str">
        <f>"HCO202202238641"</f>
        <v>HCO202202238641</v>
      </c>
      <c r="I2010" t="str">
        <f>"AFLAC INSURANCE"</f>
        <v>AFLAC INSURANCE</v>
      </c>
    </row>
    <row r="2011" spans="1:9" x14ac:dyDescent="0.25">
      <c r="A2011" s="6">
        <v>44622</v>
      </c>
      <c r="B2011" t="s">
        <v>26</v>
      </c>
      <c r="C2011">
        <v>68927</v>
      </c>
      <c r="D2011" t="s">
        <v>95</v>
      </c>
      <c r="E2011" s="7">
        <v>12.66</v>
      </c>
      <c r="F2011" t="s">
        <v>20</v>
      </c>
      <c r="G2011" t="s">
        <v>21</v>
      </c>
      <c r="H2011" t="str">
        <f>"LEA202202088640"</f>
        <v>LEA202202088640</v>
      </c>
      <c r="I2011" t="str">
        <f>"INSURANCE"</f>
        <v>INSURANCE</v>
      </c>
    </row>
    <row r="2012" spans="1:9" x14ac:dyDescent="0.25">
      <c r="A2012" s="6">
        <v>44622</v>
      </c>
      <c r="B2012" t="s">
        <v>26</v>
      </c>
      <c r="C2012">
        <v>68927</v>
      </c>
      <c r="D2012" t="s">
        <v>95</v>
      </c>
      <c r="E2012" s="7">
        <v>12.66</v>
      </c>
      <c r="F2012" t="s">
        <v>20</v>
      </c>
      <c r="G2012" t="s">
        <v>21</v>
      </c>
      <c r="H2012" t="str">
        <f>"LEA202202238641"</f>
        <v>LEA202202238641</v>
      </c>
      <c r="I2012" t="str">
        <f>"INSURANCE"</f>
        <v>INSURANCE</v>
      </c>
    </row>
    <row r="2013" spans="1:9" x14ac:dyDescent="0.25">
      <c r="A2013" s="6">
        <v>44622</v>
      </c>
      <c r="B2013" t="s">
        <v>26</v>
      </c>
      <c r="C2013">
        <v>68928</v>
      </c>
      <c r="D2013" t="s">
        <v>96</v>
      </c>
      <c r="E2013" s="7">
        <v>112.62</v>
      </c>
      <c r="F2013" t="s">
        <v>20</v>
      </c>
      <c r="G2013" t="s">
        <v>21</v>
      </c>
      <c r="H2013" t="str">
        <f>"PPL202202088640"</f>
        <v>PPL202202088640</v>
      </c>
      <c r="I2013" t="str">
        <f>"INSURANCE"</f>
        <v>INSURANCE</v>
      </c>
    </row>
    <row r="2014" spans="1:9" x14ac:dyDescent="0.25">
      <c r="A2014" s="6">
        <v>44622</v>
      </c>
      <c r="B2014" t="s">
        <v>26</v>
      </c>
      <c r="C2014">
        <v>68928</v>
      </c>
      <c r="D2014" t="s">
        <v>96</v>
      </c>
      <c r="E2014" s="7">
        <v>112.62</v>
      </c>
      <c r="F2014" t="s">
        <v>20</v>
      </c>
      <c r="G2014" t="s">
        <v>21</v>
      </c>
      <c r="H2014" t="str">
        <f>"PPL202202238641"</f>
        <v>PPL202202238641</v>
      </c>
      <c r="I2014" t="str">
        <f>"INSURANCE"</f>
        <v>INSURANCE</v>
      </c>
    </row>
    <row r="2015" spans="1:9" x14ac:dyDescent="0.25">
      <c r="A2015" s="6">
        <v>44622</v>
      </c>
      <c r="B2015" t="s">
        <v>26</v>
      </c>
      <c r="C2015">
        <v>68929</v>
      </c>
      <c r="D2015" t="s">
        <v>97</v>
      </c>
      <c r="E2015" s="7">
        <v>619.49</v>
      </c>
      <c r="F2015" t="s">
        <v>20</v>
      </c>
      <c r="G2015" t="s">
        <v>329</v>
      </c>
      <c r="H2015" t="str">
        <f>"3/1-3/31/2022"</f>
        <v>3/1-3/31/2022</v>
      </c>
      <c r="I2015" t="str">
        <f>"HEALTH CARE SERVICE CORPORATIO"</f>
        <v>HEALTH CARE SERVICE CORPORATIO</v>
      </c>
    </row>
    <row r="2016" spans="1:9" x14ac:dyDescent="0.25">
      <c r="A2016" s="6">
        <v>44622</v>
      </c>
      <c r="B2016" t="s">
        <v>26</v>
      </c>
      <c r="C2016">
        <v>68929</v>
      </c>
      <c r="D2016" t="s">
        <v>97</v>
      </c>
      <c r="E2016" s="7">
        <v>1151</v>
      </c>
      <c r="F2016" t="s">
        <v>20</v>
      </c>
      <c r="G2016" t="s">
        <v>21</v>
      </c>
      <c r="H2016" t="str">
        <f>"DEN202202088640"</f>
        <v>DEN202202088640</v>
      </c>
      <c r="I2016" t="str">
        <f>"DENTAL INSURANCE"</f>
        <v>DENTAL INSURANCE</v>
      </c>
    </row>
    <row r="2017" spans="1:9" x14ac:dyDescent="0.25">
      <c r="A2017" s="6">
        <v>44622</v>
      </c>
      <c r="B2017" t="s">
        <v>26</v>
      </c>
      <c r="C2017">
        <v>68929</v>
      </c>
      <c r="D2017" t="s">
        <v>97</v>
      </c>
      <c r="E2017" s="7">
        <v>1151</v>
      </c>
      <c r="F2017" t="s">
        <v>20</v>
      </c>
      <c r="G2017" t="s">
        <v>21</v>
      </c>
      <c r="H2017" t="str">
        <f>"DEN202202238641"</f>
        <v>DEN202202238641</v>
      </c>
      <c r="I2017" t="str">
        <f>"DENTAL INSURANCE"</f>
        <v>DENTAL INSURANCE</v>
      </c>
    </row>
    <row r="2018" spans="1:9" x14ac:dyDescent="0.25">
      <c r="A2018" s="6">
        <v>44622</v>
      </c>
      <c r="B2018" t="s">
        <v>26</v>
      </c>
      <c r="C2018">
        <v>68929</v>
      </c>
      <c r="D2018" t="s">
        <v>97</v>
      </c>
      <c r="E2018" s="7">
        <v>20693.54</v>
      </c>
      <c r="F2018" t="s">
        <v>20</v>
      </c>
      <c r="G2018" t="s">
        <v>21</v>
      </c>
      <c r="H2018" t="str">
        <f>"MED202202088640"</f>
        <v>MED202202088640</v>
      </c>
      <c r="I2018" t="str">
        <f>"HEALTH &amp; DENTAL INSURANCE"</f>
        <v>HEALTH &amp; DENTAL INSURANCE</v>
      </c>
    </row>
    <row r="2019" spans="1:9" x14ac:dyDescent="0.25">
      <c r="A2019" s="6">
        <v>44622</v>
      </c>
      <c r="B2019" t="s">
        <v>26</v>
      </c>
      <c r="C2019">
        <v>68929</v>
      </c>
      <c r="D2019" t="s">
        <v>97</v>
      </c>
      <c r="E2019" s="7">
        <v>20693.54</v>
      </c>
      <c r="F2019" t="s">
        <v>20</v>
      </c>
      <c r="G2019" t="s">
        <v>21</v>
      </c>
      <c r="H2019" t="str">
        <f>"MED202202238641"</f>
        <v>MED202202238641</v>
      </c>
      <c r="I2019" t="str">
        <f>"HEALTH &amp; DENTAL INSURANCE"</f>
        <v>HEALTH &amp; DENTAL INSURANCE</v>
      </c>
    </row>
    <row r="2020" spans="1:9" x14ac:dyDescent="0.25">
      <c r="A2020" s="6">
        <v>44622</v>
      </c>
      <c r="B2020" t="s">
        <v>26</v>
      </c>
      <c r="C2020">
        <v>68934</v>
      </c>
      <c r="D2020" t="s">
        <v>98</v>
      </c>
      <c r="E2020" s="7">
        <v>73.2</v>
      </c>
      <c r="F2020" t="s">
        <v>20</v>
      </c>
      <c r="G2020" t="s">
        <v>329</v>
      </c>
      <c r="H2020" t="str">
        <f>"03/1-3/31/2022"</f>
        <v>03/1-3/31/2022</v>
      </c>
      <c r="I2020" t="str">
        <f>"DEARBORN LIFE INSURANCE COMPAN"</f>
        <v>DEARBORN LIFE INSURANCE COMPAN</v>
      </c>
    </row>
    <row r="2021" spans="1:9" x14ac:dyDescent="0.25">
      <c r="A2021" s="6">
        <v>44622</v>
      </c>
      <c r="B2021" t="s">
        <v>26</v>
      </c>
      <c r="C2021">
        <v>68934</v>
      </c>
      <c r="D2021" t="s">
        <v>98</v>
      </c>
      <c r="E2021" s="7">
        <v>397.87</v>
      </c>
      <c r="F2021" t="s">
        <v>20</v>
      </c>
      <c r="G2021" t="s">
        <v>21</v>
      </c>
      <c r="H2021" t="str">
        <f>"STD202202088640"</f>
        <v>STD202202088640</v>
      </c>
      <c r="I2021" t="str">
        <f>"SHORT TERM DISABILITY"</f>
        <v>SHORT TERM DISABILITY</v>
      </c>
    </row>
    <row r="2022" spans="1:9" x14ac:dyDescent="0.25">
      <c r="A2022" s="6">
        <v>44622</v>
      </c>
      <c r="B2022" t="s">
        <v>26</v>
      </c>
      <c r="C2022">
        <v>68934</v>
      </c>
      <c r="D2022" t="s">
        <v>98</v>
      </c>
      <c r="E2022" s="7">
        <v>397.87</v>
      </c>
      <c r="F2022" t="s">
        <v>20</v>
      </c>
      <c r="G2022" t="s">
        <v>21</v>
      </c>
      <c r="H2022" t="str">
        <f>"STD202202238641"</f>
        <v>STD202202238641</v>
      </c>
      <c r="I2022" t="str">
        <f>"SHORT TERM DISABILITY"</f>
        <v>SHORT TERM DISABILITY</v>
      </c>
    </row>
    <row r="2023" spans="1:9" x14ac:dyDescent="0.25">
      <c r="A2023" s="6">
        <v>44622</v>
      </c>
      <c r="B2023" t="s">
        <v>26</v>
      </c>
      <c r="C2023">
        <v>68934</v>
      </c>
      <c r="D2023" t="s">
        <v>98</v>
      </c>
      <c r="E2023" s="7">
        <v>299.18</v>
      </c>
      <c r="F2023" t="s">
        <v>20</v>
      </c>
      <c r="G2023" t="s">
        <v>21</v>
      </c>
      <c r="H2023" t="str">
        <f>"VIS202202088640"</f>
        <v>VIS202202088640</v>
      </c>
      <c r="I2023" t="str">
        <f>"VISION INSURANCE"</f>
        <v>VISION INSURANCE</v>
      </c>
    </row>
    <row r="2024" spans="1:9" x14ac:dyDescent="0.25">
      <c r="A2024" s="6">
        <v>44622</v>
      </c>
      <c r="B2024" t="s">
        <v>26</v>
      </c>
      <c r="C2024">
        <v>68934</v>
      </c>
      <c r="D2024" t="s">
        <v>98</v>
      </c>
      <c r="E2024" s="7">
        <v>299.18</v>
      </c>
      <c r="F2024" t="s">
        <v>20</v>
      </c>
      <c r="G2024" t="s">
        <v>21</v>
      </c>
      <c r="H2024" t="str">
        <f>"VIS202202238641"</f>
        <v>VIS202202238641</v>
      </c>
      <c r="I2024" t="str">
        <f>"VISION INSURANCE"</f>
        <v>VISION INSURANCE</v>
      </c>
    </row>
    <row r="2025" spans="1:9" x14ac:dyDescent="0.25">
      <c r="A2025" s="6">
        <v>44622</v>
      </c>
      <c r="B2025" t="s">
        <v>26</v>
      </c>
      <c r="C2025">
        <v>68934</v>
      </c>
      <c r="D2025" t="s">
        <v>98</v>
      </c>
      <c r="E2025" s="7">
        <v>66.13</v>
      </c>
      <c r="F2025" t="s">
        <v>20</v>
      </c>
      <c r="G2025" t="s">
        <v>21</v>
      </c>
      <c r="H2025" t="str">
        <f>"VLC202202088640"</f>
        <v>VLC202202088640</v>
      </c>
      <c r="I2025" t="str">
        <f>"CHILD LIFE INSURANCE"</f>
        <v>CHILD LIFE INSURANCE</v>
      </c>
    </row>
    <row r="2026" spans="1:9" x14ac:dyDescent="0.25">
      <c r="A2026" s="6">
        <v>44622</v>
      </c>
      <c r="B2026" t="s">
        <v>26</v>
      </c>
      <c r="C2026">
        <v>68934</v>
      </c>
      <c r="D2026" t="s">
        <v>98</v>
      </c>
      <c r="E2026" s="7">
        <v>66.13</v>
      </c>
      <c r="F2026" t="s">
        <v>20</v>
      </c>
      <c r="G2026" t="s">
        <v>21</v>
      </c>
      <c r="H2026" t="str">
        <f>"VLC202202238641"</f>
        <v>VLC202202238641</v>
      </c>
      <c r="I2026" t="str">
        <f>"CHILD LIFE INSURANCE"</f>
        <v>CHILD LIFE INSURANCE</v>
      </c>
    </row>
    <row r="2027" spans="1:9" x14ac:dyDescent="0.25">
      <c r="A2027" s="6">
        <v>44622</v>
      </c>
      <c r="B2027" t="s">
        <v>26</v>
      </c>
      <c r="C2027">
        <v>68934</v>
      </c>
      <c r="D2027" t="s">
        <v>98</v>
      </c>
      <c r="E2027" s="7">
        <v>132.65</v>
      </c>
      <c r="F2027" t="s">
        <v>20</v>
      </c>
      <c r="G2027" t="s">
        <v>21</v>
      </c>
      <c r="H2027" t="str">
        <f>"VLS202202088640"</f>
        <v>VLS202202088640</v>
      </c>
      <c r="I2027" t="str">
        <f>"SPOUSE LIFE"</f>
        <v>SPOUSE LIFE</v>
      </c>
    </row>
    <row r="2028" spans="1:9" x14ac:dyDescent="0.25">
      <c r="A2028" s="6">
        <v>44622</v>
      </c>
      <c r="B2028" t="s">
        <v>26</v>
      </c>
      <c r="C2028">
        <v>68934</v>
      </c>
      <c r="D2028" t="s">
        <v>98</v>
      </c>
      <c r="E2028" s="7">
        <v>132.65</v>
      </c>
      <c r="F2028" t="s">
        <v>20</v>
      </c>
      <c r="G2028" t="s">
        <v>21</v>
      </c>
      <c r="H2028" t="str">
        <f>"VLS202202238641"</f>
        <v>VLS202202238641</v>
      </c>
      <c r="I2028" t="str">
        <f>"SPOUSE LIFE"</f>
        <v>SPOUSE LIFE</v>
      </c>
    </row>
    <row r="2029" spans="1:9" x14ac:dyDescent="0.25">
      <c r="A2029" s="6">
        <v>44622</v>
      </c>
      <c r="B2029" t="s">
        <v>26</v>
      </c>
      <c r="C2029">
        <v>68934</v>
      </c>
      <c r="D2029" t="s">
        <v>98</v>
      </c>
      <c r="E2029" s="7">
        <v>83.05</v>
      </c>
      <c r="F2029" t="s">
        <v>20</v>
      </c>
      <c r="G2029" t="s">
        <v>21</v>
      </c>
      <c r="H2029" t="str">
        <f>"VOE202202088640"</f>
        <v>VOE202202088640</v>
      </c>
      <c r="I2029" t="str">
        <f>"EMPLOYEE LIFE"</f>
        <v>EMPLOYEE LIFE</v>
      </c>
    </row>
    <row r="2030" spans="1:9" x14ac:dyDescent="0.25">
      <c r="A2030" s="6">
        <v>44622</v>
      </c>
      <c r="B2030" t="s">
        <v>26</v>
      </c>
      <c r="C2030">
        <v>68934</v>
      </c>
      <c r="D2030" t="s">
        <v>98</v>
      </c>
      <c r="E2030" s="7">
        <v>83.05</v>
      </c>
      <c r="F2030" t="s">
        <v>20</v>
      </c>
      <c r="G2030" t="s">
        <v>21</v>
      </c>
      <c r="H2030" t="str">
        <f>"VOE202202238641"</f>
        <v>VOE202202238641</v>
      </c>
      <c r="I2030" t="str">
        <f>"EMPLOYEE LIFE"</f>
        <v>EMPLOYEE LIFE</v>
      </c>
    </row>
    <row r="2031" spans="1:9" x14ac:dyDescent="0.25">
      <c r="A2031" s="6">
        <v>44622</v>
      </c>
      <c r="B2031" t="s">
        <v>26</v>
      </c>
      <c r="C2031">
        <v>68934</v>
      </c>
      <c r="D2031" t="s">
        <v>98</v>
      </c>
      <c r="E2031" s="7">
        <v>726.09</v>
      </c>
      <c r="F2031" t="s">
        <v>20</v>
      </c>
      <c r="G2031" t="s">
        <v>21</v>
      </c>
      <c r="H2031" t="str">
        <f>"VOL202202088640"</f>
        <v>VOL202202088640</v>
      </c>
      <c r="I2031" t="str">
        <f>"LIFE"</f>
        <v>LIFE</v>
      </c>
    </row>
    <row r="2032" spans="1:9" x14ac:dyDescent="0.25">
      <c r="A2032" s="6">
        <v>44622</v>
      </c>
      <c r="B2032" t="s">
        <v>26</v>
      </c>
      <c r="C2032">
        <v>68934</v>
      </c>
      <c r="D2032" t="s">
        <v>98</v>
      </c>
      <c r="E2032" s="7">
        <v>726.09</v>
      </c>
      <c r="F2032" t="s">
        <v>20</v>
      </c>
      <c r="G2032" t="s">
        <v>21</v>
      </c>
      <c r="H2032" t="str">
        <f>"VOL202202238641"</f>
        <v>VOL202202238641</v>
      </c>
      <c r="I2032" t="str">
        <f>"LIFE"</f>
        <v>LIFE</v>
      </c>
    </row>
    <row r="2033" spans="1:9" x14ac:dyDescent="0.25">
      <c r="A2033" s="6">
        <v>44622</v>
      </c>
      <c r="B2033" t="s">
        <v>26</v>
      </c>
      <c r="C2033">
        <v>68943</v>
      </c>
      <c r="D2033" t="s">
        <v>43</v>
      </c>
      <c r="E2033" s="7">
        <v>18.62</v>
      </c>
      <c r="F2033" t="s">
        <v>20</v>
      </c>
      <c r="G2033" t="s">
        <v>21</v>
      </c>
      <c r="H2033" t="str">
        <f>"MILEAGE 2/22/22"</f>
        <v>MILEAGE 2/22/22</v>
      </c>
      <c r="I2033" t="str">
        <f>"ANDREA MARTINEZ"</f>
        <v>ANDREA MARTINEZ</v>
      </c>
    </row>
    <row r="2034" spans="1:9" x14ac:dyDescent="0.25">
      <c r="A2034" s="6">
        <v>44622</v>
      </c>
      <c r="B2034" t="s">
        <v>26</v>
      </c>
      <c r="C2034">
        <v>68944</v>
      </c>
      <c r="D2034" t="s">
        <v>345</v>
      </c>
      <c r="E2034" s="7">
        <v>286</v>
      </c>
      <c r="F2034" t="s">
        <v>20</v>
      </c>
      <c r="G2034" t="s">
        <v>21</v>
      </c>
      <c r="H2034" t="str">
        <f>"3/1/2022"</f>
        <v>3/1/2022</v>
      </c>
      <c r="I2034" t="str">
        <f>"MICHAEL ISAAC MARTINEZ"</f>
        <v>MICHAEL ISAAC MARTINEZ</v>
      </c>
    </row>
    <row r="2035" spans="1:9" x14ac:dyDescent="0.25">
      <c r="A2035" s="6">
        <v>44622</v>
      </c>
      <c r="B2035" t="s">
        <v>26</v>
      </c>
      <c r="C2035">
        <v>68945</v>
      </c>
      <c r="D2035" t="s">
        <v>1164</v>
      </c>
      <c r="E2035" s="7">
        <v>10000</v>
      </c>
      <c r="F2035" t="s">
        <v>20</v>
      </c>
      <c r="G2035" t="s">
        <v>21</v>
      </c>
      <c r="H2035" t="str">
        <f>"916"</f>
        <v>916</v>
      </c>
      <c r="I2035" t="str">
        <f>"LODI PARK"</f>
        <v>LODI PARK</v>
      </c>
    </row>
    <row r="2036" spans="1:9" x14ac:dyDescent="0.25">
      <c r="A2036" s="6">
        <v>44622</v>
      </c>
      <c r="B2036" t="s">
        <v>91</v>
      </c>
      <c r="C2036">
        <v>68946</v>
      </c>
      <c r="D2036" t="s">
        <v>90</v>
      </c>
      <c r="E2036" s="7">
        <v>-43.56</v>
      </c>
      <c r="F2036" t="s">
        <v>20</v>
      </c>
      <c r="G2036" t="s">
        <v>24</v>
      </c>
      <c r="H2036" t="str">
        <f>"HCO202201118638"</f>
        <v>HCO202201118638</v>
      </c>
      <c r="I2036" t="str">
        <f>"AFLAC INSURANCE"</f>
        <v>AFLAC INSURANCE</v>
      </c>
    </row>
    <row r="2037" spans="1:9" x14ac:dyDescent="0.25">
      <c r="A2037" s="6">
        <v>44622</v>
      </c>
      <c r="B2037" t="s">
        <v>91</v>
      </c>
      <c r="C2037">
        <v>68946</v>
      </c>
      <c r="D2037" t="s">
        <v>90</v>
      </c>
      <c r="E2037" s="7">
        <v>-285.39</v>
      </c>
      <c r="F2037" t="s">
        <v>20</v>
      </c>
      <c r="G2037" t="s">
        <v>24</v>
      </c>
      <c r="H2037" t="str">
        <f>"MARCH 2021"</f>
        <v>MARCH 2021</v>
      </c>
      <c r="I2037" t="str">
        <f>"AFLAC"</f>
        <v>AFLAC</v>
      </c>
    </row>
    <row r="2038" spans="1:9" x14ac:dyDescent="0.25">
      <c r="A2038" s="6">
        <v>44622</v>
      </c>
      <c r="B2038" t="s">
        <v>91</v>
      </c>
      <c r="C2038">
        <v>68946</v>
      </c>
      <c r="D2038" t="s">
        <v>90</v>
      </c>
      <c r="E2038" s="7">
        <v>15.06</v>
      </c>
      <c r="F2038" t="s">
        <v>20</v>
      </c>
      <c r="G2038" t="s">
        <v>21</v>
      </c>
      <c r="H2038" t="str">
        <f>"ADR202202238641"</f>
        <v>ADR202202238641</v>
      </c>
      <c r="I2038" t="str">
        <f>"INSURANCE"</f>
        <v>INSURANCE</v>
      </c>
    </row>
    <row r="2039" spans="1:9" x14ac:dyDescent="0.25">
      <c r="A2039" s="6">
        <v>44622</v>
      </c>
      <c r="B2039" t="s">
        <v>91</v>
      </c>
      <c r="C2039">
        <v>68946</v>
      </c>
      <c r="D2039" t="s">
        <v>90</v>
      </c>
      <c r="E2039" s="7">
        <v>481.14</v>
      </c>
      <c r="F2039" t="s">
        <v>20</v>
      </c>
      <c r="G2039" t="s">
        <v>21</v>
      </c>
      <c r="H2039" t="str">
        <f>"AF1202202238641"</f>
        <v>AF1202202238641</v>
      </c>
      <c r="I2039" t="str">
        <f>"AFLAC INSURANCE"</f>
        <v>AFLAC INSURANCE</v>
      </c>
    </row>
    <row r="2040" spans="1:9" x14ac:dyDescent="0.25">
      <c r="A2040" s="6">
        <v>44622</v>
      </c>
      <c r="B2040" t="s">
        <v>91</v>
      </c>
      <c r="C2040">
        <v>68946</v>
      </c>
      <c r="D2040" t="s">
        <v>90</v>
      </c>
      <c r="E2040" s="7">
        <v>102.24</v>
      </c>
      <c r="F2040" t="s">
        <v>20</v>
      </c>
      <c r="G2040" t="s">
        <v>21</v>
      </c>
      <c r="H2040" t="str">
        <f>"AFS202202238641"</f>
        <v>AFS202202238641</v>
      </c>
      <c r="I2040" t="str">
        <f>"AFLAC STD"</f>
        <v>AFLAC STD</v>
      </c>
    </row>
    <row r="2041" spans="1:9" x14ac:dyDescent="0.25">
      <c r="A2041" s="6">
        <v>44622</v>
      </c>
      <c r="B2041" t="s">
        <v>91</v>
      </c>
      <c r="C2041">
        <v>68946</v>
      </c>
      <c r="D2041" t="s">
        <v>90</v>
      </c>
      <c r="E2041" s="7">
        <v>33.54</v>
      </c>
      <c r="F2041" t="s">
        <v>20</v>
      </c>
      <c r="G2041" t="s">
        <v>21</v>
      </c>
      <c r="H2041" t="str">
        <f>"ASP202202238641"</f>
        <v>ASP202202238641</v>
      </c>
      <c r="I2041" t="str">
        <f>"AFLAC INSURANCE"</f>
        <v>AFLAC INSURANCE</v>
      </c>
    </row>
    <row r="2042" spans="1:9" x14ac:dyDescent="0.25">
      <c r="A2042" s="6">
        <v>44622</v>
      </c>
      <c r="B2042" t="s">
        <v>91</v>
      </c>
      <c r="C2042">
        <v>68946</v>
      </c>
      <c r="D2042" t="s">
        <v>90</v>
      </c>
      <c r="E2042" s="7">
        <v>303.02999999999997</v>
      </c>
      <c r="F2042" t="s">
        <v>20</v>
      </c>
      <c r="G2042" t="s">
        <v>93</v>
      </c>
      <c r="H2042" t="str">
        <f>"CHECK"</f>
        <v>CHECK</v>
      </c>
      <c r="I2042" t="str">
        <f>""</f>
        <v/>
      </c>
    </row>
    <row r="2043" spans="1:9" x14ac:dyDescent="0.25">
      <c r="A2043" s="6">
        <v>44622</v>
      </c>
      <c r="B2043" t="s">
        <v>26</v>
      </c>
      <c r="C2043">
        <v>68948</v>
      </c>
      <c r="D2043" t="s">
        <v>97</v>
      </c>
      <c r="E2043" s="7">
        <v>1858.47</v>
      </c>
      <c r="F2043" t="s">
        <v>20</v>
      </c>
      <c r="G2043" t="s">
        <v>21</v>
      </c>
      <c r="H2043" t="str">
        <f>"3/1-4/1/2022 COBRA"</f>
        <v>3/1-4/1/2022 COBRA</v>
      </c>
      <c r="I2043" t="str">
        <f>"HEALTH CARE SERVICE CORPORATIO"</f>
        <v>HEALTH CARE SERVICE CORPORATIO</v>
      </c>
    </row>
    <row r="2044" spans="1:9" x14ac:dyDescent="0.25">
      <c r="A2044" s="6">
        <v>44622</v>
      </c>
      <c r="B2044" t="s">
        <v>26</v>
      </c>
      <c r="C2044">
        <v>68949</v>
      </c>
      <c r="D2044" t="s">
        <v>637</v>
      </c>
      <c r="E2044" s="7">
        <v>75</v>
      </c>
      <c r="F2044" t="s">
        <v>20</v>
      </c>
      <c r="G2044" t="s">
        <v>21</v>
      </c>
      <c r="H2044" t="str">
        <f t="shared" ref="H2044:H2049" si="50">"3/2022-COUNCIL"</f>
        <v>3/2022-COUNCIL</v>
      </c>
      <c r="I2044" t="str">
        <f>""</f>
        <v/>
      </c>
    </row>
    <row r="2045" spans="1:9" x14ac:dyDescent="0.25">
      <c r="A2045" s="6">
        <v>44622</v>
      </c>
      <c r="B2045" t="s">
        <v>26</v>
      </c>
      <c r="C2045">
        <v>68950</v>
      </c>
      <c r="D2045" t="s">
        <v>36</v>
      </c>
      <c r="E2045" s="7">
        <v>75</v>
      </c>
      <c r="F2045" t="s">
        <v>20</v>
      </c>
      <c r="G2045" t="s">
        <v>21</v>
      </c>
      <c r="H2045" t="str">
        <f t="shared" si="50"/>
        <v>3/2022-COUNCIL</v>
      </c>
      <c r="I2045" t="str">
        <f>""</f>
        <v/>
      </c>
    </row>
    <row r="2046" spans="1:9" x14ac:dyDescent="0.25">
      <c r="A2046" s="6">
        <v>44622</v>
      </c>
      <c r="B2046" t="s">
        <v>26</v>
      </c>
      <c r="C2046">
        <v>68951</v>
      </c>
      <c r="D2046" t="s">
        <v>38</v>
      </c>
      <c r="E2046" s="7">
        <v>100</v>
      </c>
      <c r="F2046" t="s">
        <v>20</v>
      </c>
      <c r="G2046" t="s">
        <v>21</v>
      </c>
      <c r="H2046" t="str">
        <f t="shared" si="50"/>
        <v>3/2022-COUNCIL</v>
      </c>
      <c r="I2046" t="str">
        <f>""</f>
        <v/>
      </c>
    </row>
    <row r="2047" spans="1:9" x14ac:dyDescent="0.25">
      <c r="A2047" s="6">
        <v>44622</v>
      </c>
      <c r="B2047" t="s">
        <v>26</v>
      </c>
      <c r="C2047">
        <v>68952</v>
      </c>
      <c r="D2047" t="s">
        <v>558</v>
      </c>
      <c r="E2047" s="7">
        <v>75</v>
      </c>
      <c r="F2047" t="s">
        <v>20</v>
      </c>
      <c r="G2047" t="s">
        <v>21</v>
      </c>
      <c r="H2047" t="str">
        <f t="shared" si="50"/>
        <v>3/2022-COUNCIL</v>
      </c>
      <c r="I2047" t="str">
        <f>"MONTHLY COUNCIL CHECKS"</f>
        <v>MONTHLY COUNCIL CHECKS</v>
      </c>
    </row>
    <row r="2048" spans="1:9" x14ac:dyDescent="0.25">
      <c r="A2048" s="6">
        <v>44622</v>
      </c>
      <c r="B2048" t="s">
        <v>26</v>
      </c>
      <c r="C2048">
        <v>68953</v>
      </c>
      <c r="D2048" t="s">
        <v>889</v>
      </c>
      <c r="E2048" s="7">
        <v>75</v>
      </c>
      <c r="F2048" t="s">
        <v>20</v>
      </c>
      <c r="G2048" t="s">
        <v>21</v>
      </c>
      <c r="H2048" t="str">
        <f t="shared" si="50"/>
        <v>3/2022-COUNCIL</v>
      </c>
      <c r="I2048" t="str">
        <f>""</f>
        <v/>
      </c>
    </row>
    <row r="2049" spans="1:9" x14ac:dyDescent="0.25">
      <c r="A2049" s="6">
        <v>44622</v>
      </c>
      <c r="B2049" t="s">
        <v>26</v>
      </c>
      <c r="C2049">
        <v>68954</v>
      </c>
      <c r="D2049" t="s">
        <v>1011</v>
      </c>
      <c r="E2049" s="7">
        <v>75</v>
      </c>
      <c r="F2049" t="s">
        <v>20</v>
      </c>
      <c r="G2049" t="s">
        <v>21</v>
      </c>
      <c r="H2049" t="str">
        <f t="shared" si="50"/>
        <v>3/2022-COUNCIL</v>
      </c>
      <c r="I2049" t="str">
        <f>""</f>
        <v/>
      </c>
    </row>
    <row r="2050" spans="1:9" x14ac:dyDescent="0.25">
      <c r="A2050" s="6">
        <v>44622</v>
      </c>
      <c r="B2050" t="s">
        <v>26</v>
      </c>
      <c r="C2050">
        <v>68955</v>
      </c>
      <c r="D2050" t="s">
        <v>1031</v>
      </c>
      <c r="E2050" s="7">
        <v>4194.82</v>
      </c>
      <c r="F2050" t="s">
        <v>20</v>
      </c>
      <c r="G2050" t="s">
        <v>21</v>
      </c>
      <c r="H2050" t="str">
        <f>"128642"</f>
        <v>128642</v>
      </c>
      <c r="I2050" t="str">
        <f>"2 LOADS OF COLD MIX"</f>
        <v>2 LOADS OF COLD MIX</v>
      </c>
    </row>
    <row r="2051" spans="1:9" x14ac:dyDescent="0.25">
      <c r="A2051" s="6">
        <v>44622</v>
      </c>
      <c r="B2051" t="s">
        <v>26</v>
      </c>
      <c r="C2051">
        <v>68955</v>
      </c>
      <c r="D2051" t="s">
        <v>1031</v>
      </c>
      <c r="E2051" s="7">
        <v>4256.24</v>
      </c>
      <c r="F2051" t="s">
        <v>20</v>
      </c>
      <c r="G2051" t="s">
        <v>21</v>
      </c>
      <c r="H2051" t="str">
        <f>"128959"</f>
        <v>128959</v>
      </c>
      <c r="I2051" t="str">
        <f>"COLD MIX"</f>
        <v>COLD MIX</v>
      </c>
    </row>
    <row r="2052" spans="1:9" x14ac:dyDescent="0.25">
      <c r="A2052" s="6">
        <v>44622</v>
      </c>
      <c r="B2052" t="s">
        <v>26</v>
      </c>
      <c r="C2052">
        <v>68956</v>
      </c>
      <c r="D2052" t="s">
        <v>1165</v>
      </c>
      <c r="E2052" s="7">
        <v>8150</v>
      </c>
      <c r="F2052" t="s">
        <v>20</v>
      </c>
      <c r="G2052" t="s">
        <v>21</v>
      </c>
      <c r="H2052" t="str">
        <f>"104258"</f>
        <v>104258</v>
      </c>
      <c r="I2052" t="str">
        <f>"CORP ONE INCORPORATED LLC"</f>
        <v>CORP ONE INCORPORATED LLC</v>
      </c>
    </row>
    <row r="2053" spans="1:9" x14ac:dyDescent="0.25">
      <c r="A2053" s="6">
        <v>44628</v>
      </c>
      <c r="B2053" t="s">
        <v>26</v>
      </c>
      <c r="C2053">
        <v>68957</v>
      </c>
      <c r="D2053" t="s">
        <v>1150</v>
      </c>
      <c r="E2053" s="7">
        <v>750</v>
      </c>
      <c r="F2053" t="s">
        <v>20</v>
      </c>
      <c r="G2053" t="s">
        <v>21</v>
      </c>
      <c r="H2053" t="str">
        <f>"INV-0739"</f>
        <v>INV-0739</v>
      </c>
      <c r="I2053" t="str">
        <f>"ACT SAFETY SERVICES  LLC"</f>
        <v>ACT SAFETY SERVICES  LLC</v>
      </c>
    </row>
    <row r="2054" spans="1:9" x14ac:dyDescent="0.25">
      <c r="A2054" s="6">
        <v>44628</v>
      </c>
      <c r="B2054" t="s">
        <v>26</v>
      </c>
      <c r="C2054">
        <v>68958</v>
      </c>
      <c r="D2054" t="s">
        <v>1074</v>
      </c>
      <c r="E2054" s="7">
        <v>-77.849999999999994</v>
      </c>
      <c r="F2054" t="s">
        <v>20</v>
      </c>
      <c r="G2054" t="s">
        <v>24</v>
      </c>
      <c r="H2054" t="str">
        <f>"1GH9-F497-WVJQ"</f>
        <v>1GH9-F497-WVJQ</v>
      </c>
      <c r="I2054" t="str">
        <f>"AMAZON CAPITAL SERVICES"</f>
        <v>AMAZON CAPITAL SERVICES</v>
      </c>
    </row>
    <row r="2055" spans="1:9" x14ac:dyDescent="0.25">
      <c r="A2055" s="6">
        <v>44628</v>
      </c>
      <c r="B2055" t="s">
        <v>26</v>
      </c>
      <c r="C2055">
        <v>68958</v>
      </c>
      <c r="D2055" t="s">
        <v>1074</v>
      </c>
      <c r="E2055" s="7">
        <v>25.96</v>
      </c>
      <c r="F2055" t="s">
        <v>20</v>
      </c>
      <c r="G2055" t="s">
        <v>21</v>
      </c>
      <c r="H2055" t="str">
        <f>"1FVY-6XW9-RRVV"</f>
        <v>1FVY-6XW9-RRVV</v>
      </c>
      <c r="I2055" t="str">
        <f>"AMAZON CAPITAL SERVICES"</f>
        <v>AMAZON CAPITAL SERVICES</v>
      </c>
    </row>
    <row r="2056" spans="1:9" x14ac:dyDescent="0.25">
      <c r="A2056" s="6">
        <v>44628</v>
      </c>
      <c r="B2056" t="s">
        <v>26</v>
      </c>
      <c r="C2056">
        <v>68958</v>
      </c>
      <c r="D2056" t="s">
        <v>1074</v>
      </c>
      <c r="E2056" s="7">
        <v>175.99</v>
      </c>
      <c r="F2056" t="s">
        <v>20</v>
      </c>
      <c r="G2056" t="s">
        <v>21</v>
      </c>
      <c r="H2056" t="str">
        <f>"1JCN-WRWQ-T1XW"</f>
        <v>1JCN-WRWQ-T1XW</v>
      </c>
      <c r="I2056" t="str">
        <f>"COMPUTER SCREEN"</f>
        <v>COMPUTER SCREEN</v>
      </c>
    </row>
    <row r="2057" spans="1:9" x14ac:dyDescent="0.25">
      <c r="A2057" s="6">
        <v>44628</v>
      </c>
      <c r="B2057" t="s">
        <v>26</v>
      </c>
      <c r="C2057">
        <v>68958</v>
      </c>
      <c r="D2057" t="s">
        <v>1074</v>
      </c>
      <c r="E2057" s="7">
        <v>77.849999999999994</v>
      </c>
      <c r="F2057" t="s">
        <v>20</v>
      </c>
      <c r="G2057" t="s">
        <v>21</v>
      </c>
      <c r="H2057" t="str">
        <f>"1Q2D-QQ4N-VPKL"</f>
        <v>1Q2D-QQ4N-VPKL</v>
      </c>
      <c r="I2057" t="str">
        <f>"AMAZON CAPITAL SERVICES"</f>
        <v>AMAZON CAPITAL SERVICES</v>
      </c>
    </row>
    <row r="2058" spans="1:9" x14ac:dyDescent="0.25">
      <c r="A2058" s="6">
        <v>44628</v>
      </c>
      <c r="B2058" t="s">
        <v>26</v>
      </c>
      <c r="C2058">
        <v>68958</v>
      </c>
      <c r="D2058" t="s">
        <v>1074</v>
      </c>
      <c r="E2058" s="7">
        <v>36.99</v>
      </c>
      <c r="F2058" t="s">
        <v>20</v>
      </c>
      <c r="G2058" t="s">
        <v>21</v>
      </c>
      <c r="H2058" t="str">
        <f>"1QHW-CH9G-QVYN"</f>
        <v>1QHW-CH9G-QVYN</v>
      </c>
      <c r="I2058" t="str">
        <f>"AMAZON CAPITAL SERVICES"</f>
        <v>AMAZON CAPITAL SERVICES</v>
      </c>
    </row>
    <row r="2059" spans="1:9" x14ac:dyDescent="0.25">
      <c r="A2059" s="6">
        <v>44628</v>
      </c>
      <c r="B2059" t="s">
        <v>26</v>
      </c>
      <c r="C2059">
        <v>68958</v>
      </c>
      <c r="D2059" t="s">
        <v>1074</v>
      </c>
      <c r="E2059" s="7">
        <v>15.99</v>
      </c>
      <c r="F2059" t="s">
        <v>20</v>
      </c>
      <c r="G2059" t="s">
        <v>21</v>
      </c>
      <c r="H2059" t="str">
        <f>"1X49-QHWL-WCVR"</f>
        <v>1X49-QHWL-WCVR</v>
      </c>
      <c r="I2059" t="str">
        <f>"AMAZON CAPITAL SERVICES"</f>
        <v>AMAZON CAPITAL SERVICES</v>
      </c>
    </row>
    <row r="2060" spans="1:9" x14ac:dyDescent="0.25">
      <c r="A2060" s="6">
        <v>44628</v>
      </c>
      <c r="B2060" t="s">
        <v>26</v>
      </c>
      <c r="C2060">
        <v>68959</v>
      </c>
      <c r="D2060" t="s">
        <v>139</v>
      </c>
      <c r="E2060" s="7">
        <v>65</v>
      </c>
      <c r="F2060" t="s">
        <v>20</v>
      </c>
      <c r="G2060" t="s">
        <v>21</v>
      </c>
      <c r="H2060" t="str">
        <f>"35012"</f>
        <v>35012</v>
      </c>
      <c r="I2060" t="str">
        <f>"ANGEL FIRE &amp; SAFETY"</f>
        <v>ANGEL FIRE &amp; SAFETY</v>
      </c>
    </row>
    <row r="2061" spans="1:9" x14ac:dyDescent="0.25">
      <c r="A2061" s="6">
        <v>44628</v>
      </c>
      <c r="B2061" t="s">
        <v>26</v>
      </c>
      <c r="C2061">
        <v>68960</v>
      </c>
      <c r="D2061" t="s">
        <v>189</v>
      </c>
      <c r="E2061" s="7">
        <v>1422.5</v>
      </c>
      <c r="F2061" t="s">
        <v>20</v>
      </c>
      <c r="G2061" t="s">
        <v>21</v>
      </c>
      <c r="H2061" t="str">
        <f>"SWO220041-1"</f>
        <v>SWO220041-1</v>
      </c>
      <c r="I2061" t="str">
        <f>"ASCO"</f>
        <v>ASCO</v>
      </c>
    </row>
    <row r="2062" spans="1:9" x14ac:dyDescent="0.25">
      <c r="A2062" s="6">
        <v>44628</v>
      </c>
      <c r="B2062" t="s">
        <v>91</v>
      </c>
      <c r="C2062">
        <v>68961</v>
      </c>
      <c r="D2062" t="s">
        <v>880</v>
      </c>
      <c r="E2062" s="7">
        <v>144</v>
      </c>
      <c r="F2062" t="s">
        <v>20</v>
      </c>
      <c r="G2062" t="s">
        <v>21</v>
      </c>
      <c r="H2062" t="str">
        <f>"5372  1/14/22"</f>
        <v>5372  1/14/22</v>
      </c>
      <c r="I2062" t="str">
        <f>"ATASCOSA COUNTRY RADIO"</f>
        <v>ATASCOSA COUNTRY RADIO</v>
      </c>
    </row>
    <row r="2063" spans="1:9" x14ac:dyDescent="0.25">
      <c r="A2063" s="6">
        <v>44628</v>
      </c>
      <c r="B2063" t="s">
        <v>91</v>
      </c>
      <c r="C2063">
        <v>68961</v>
      </c>
      <c r="D2063" t="s">
        <v>880</v>
      </c>
      <c r="E2063" s="7">
        <v>144</v>
      </c>
      <c r="F2063" t="s">
        <v>20</v>
      </c>
      <c r="G2063" t="s">
        <v>93</v>
      </c>
      <c r="H2063" t="str">
        <f>"CHECK"</f>
        <v>CHECK</v>
      </c>
      <c r="I2063" t="str">
        <f>""</f>
        <v/>
      </c>
    </row>
    <row r="2064" spans="1:9" x14ac:dyDescent="0.25">
      <c r="A2064" s="6">
        <v>44628</v>
      </c>
      <c r="B2064" t="s">
        <v>26</v>
      </c>
      <c r="C2064">
        <v>68962</v>
      </c>
      <c r="D2064" t="s">
        <v>115</v>
      </c>
      <c r="E2064" s="7">
        <v>145.38999999999999</v>
      </c>
      <c r="F2064" t="s">
        <v>20</v>
      </c>
      <c r="G2064" t="s">
        <v>21</v>
      </c>
      <c r="H2064" t="str">
        <f>"3547204430"</f>
        <v>3547204430</v>
      </c>
      <c r="I2064" t="str">
        <f>"BATTERY"</f>
        <v>BATTERY</v>
      </c>
    </row>
    <row r="2065" spans="1:9" x14ac:dyDescent="0.25">
      <c r="A2065" s="6">
        <v>44628</v>
      </c>
      <c r="B2065" t="s">
        <v>26</v>
      </c>
      <c r="C2065">
        <v>68962</v>
      </c>
      <c r="D2065" t="s">
        <v>115</v>
      </c>
      <c r="E2065" s="7">
        <v>80.680000000000007</v>
      </c>
      <c r="F2065" t="s">
        <v>20</v>
      </c>
      <c r="G2065" t="s">
        <v>21</v>
      </c>
      <c r="H2065" t="str">
        <f>"3547205325"</f>
        <v>3547205325</v>
      </c>
      <c r="I2065" t="str">
        <f>"PD UNIT 334"</f>
        <v>PD UNIT 334</v>
      </c>
    </row>
    <row r="2066" spans="1:9" x14ac:dyDescent="0.25">
      <c r="A2066" s="6">
        <v>44628</v>
      </c>
      <c r="B2066" t="s">
        <v>26</v>
      </c>
      <c r="C2066">
        <v>68963</v>
      </c>
      <c r="D2066" t="s">
        <v>836</v>
      </c>
      <c r="E2066" s="7">
        <v>1656.87</v>
      </c>
      <c r="F2066" t="s">
        <v>20</v>
      </c>
      <c r="G2066" t="s">
        <v>21</v>
      </c>
      <c r="H2066" t="str">
        <f>"83030"</f>
        <v>83030</v>
      </c>
      <c r="I2066" t="str">
        <f>"BARCOM TECHNOLOGY SOLUTIONS  I"</f>
        <v>BARCOM TECHNOLOGY SOLUTIONS  I</v>
      </c>
    </row>
    <row r="2067" spans="1:9" x14ac:dyDescent="0.25">
      <c r="A2067" s="6">
        <v>44628</v>
      </c>
      <c r="B2067" t="s">
        <v>26</v>
      </c>
      <c r="C2067">
        <v>68963</v>
      </c>
      <c r="D2067" t="s">
        <v>836</v>
      </c>
      <c r="E2067" s="7">
        <v>4462.3999999999996</v>
      </c>
      <c r="F2067" t="s">
        <v>20</v>
      </c>
      <c r="G2067" t="s">
        <v>21</v>
      </c>
      <c r="H2067" t="str">
        <f>"83369"</f>
        <v>83369</v>
      </c>
      <c r="I2067" t="str">
        <f>"BARCOM TECHNOLOGY SOLUTIONS  I"</f>
        <v>BARCOM TECHNOLOGY SOLUTIONS  I</v>
      </c>
    </row>
    <row r="2068" spans="1:9" x14ac:dyDescent="0.25">
      <c r="A2068" s="6">
        <v>44628</v>
      </c>
      <c r="B2068" t="s">
        <v>26</v>
      </c>
      <c r="C2068">
        <v>68963</v>
      </c>
      <c r="D2068" t="s">
        <v>836</v>
      </c>
      <c r="E2068" s="7">
        <v>1361.56</v>
      </c>
      <c r="F2068" t="s">
        <v>20</v>
      </c>
      <c r="G2068" t="s">
        <v>21</v>
      </c>
      <c r="H2068" t="str">
        <f>"83370"</f>
        <v>83370</v>
      </c>
      <c r="I2068" t="str">
        <f>"BARCOM TECHNOLOGY SOLUTIONS  I"</f>
        <v>BARCOM TECHNOLOGY SOLUTIONS  I</v>
      </c>
    </row>
    <row r="2069" spans="1:9" x14ac:dyDescent="0.25">
      <c r="A2069" s="6">
        <v>44628</v>
      </c>
      <c r="B2069" t="s">
        <v>26</v>
      </c>
      <c r="C2069">
        <v>68965</v>
      </c>
      <c r="D2069" t="s">
        <v>0</v>
      </c>
      <c r="E2069" s="7">
        <v>2181.5100000000002</v>
      </c>
      <c r="F2069" t="s">
        <v>20</v>
      </c>
      <c r="G2069" t="s">
        <v>21</v>
      </c>
      <c r="H2069" t="str">
        <f>"1/10-2/10/2022"</f>
        <v>1/10-2/10/2022</v>
      </c>
      <c r="I2069" t="str">
        <f>"CITY OF FLORESVILLE"</f>
        <v>CITY OF FLORESVILLE</v>
      </c>
    </row>
    <row r="2070" spans="1:9" x14ac:dyDescent="0.25">
      <c r="A2070" s="6">
        <v>44628</v>
      </c>
      <c r="B2070" t="s">
        <v>26</v>
      </c>
      <c r="C2070">
        <v>68966</v>
      </c>
      <c r="D2070" t="s">
        <v>1162</v>
      </c>
      <c r="E2070" s="7">
        <v>14525</v>
      </c>
      <c r="F2070" t="s">
        <v>20</v>
      </c>
      <c r="G2070" t="s">
        <v>21</v>
      </c>
      <c r="H2070" t="str">
        <f>"S216450TX.00-1"</f>
        <v>S216450TX.00-1</v>
      </c>
      <c r="I2070" t="str">
        <f>"CONSOR ENGINEERS  LLC"</f>
        <v>CONSOR ENGINEERS  LLC</v>
      </c>
    </row>
    <row r="2071" spans="1:9" x14ac:dyDescent="0.25">
      <c r="A2071" s="6">
        <v>44628</v>
      </c>
      <c r="B2071" t="s">
        <v>26</v>
      </c>
      <c r="C2071">
        <v>68967</v>
      </c>
      <c r="D2071" t="s">
        <v>64</v>
      </c>
      <c r="E2071" s="7">
        <v>2745</v>
      </c>
      <c r="F2071" t="s">
        <v>20</v>
      </c>
      <c r="G2071" t="s">
        <v>21</v>
      </c>
      <c r="H2071" t="str">
        <f>"8785"</f>
        <v>8785</v>
      </c>
      <c r="I2071" t="str">
        <f>"DREWA DESIGNS  INC."</f>
        <v>DREWA DESIGNS  INC.</v>
      </c>
    </row>
    <row r="2072" spans="1:9" x14ac:dyDescent="0.25">
      <c r="A2072" s="6">
        <v>44628</v>
      </c>
      <c r="B2072" t="s">
        <v>26</v>
      </c>
      <c r="C2072">
        <v>68968</v>
      </c>
      <c r="D2072" t="s">
        <v>69</v>
      </c>
      <c r="E2072" s="7">
        <v>56.08</v>
      </c>
      <c r="F2072" t="s">
        <v>20</v>
      </c>
      <c r="G2072" t="s">
        <v>21</v>
      </c>
      <c r="H2072" t="str">
        <f>"3C16252"</f>
        <v>3C16252</v>
      </c>
      <c r="I2072" t="str">
        <f>"POST BLADES PARKS DEPT"</f>
        <v>POST BLADES PARKS DEPT</v>
      </c>
    </row>
    <row r="2073" spans="1:9" x14ac:dyDescent="0.25">
      <c r="A2073" s="6">
        <v>44628</v>
      </c>
      <c r="B2073" t="s">
        <v>26</v>
      </c>
      <c r="C2073">
        <v>68969</v>
      </c>
      <c r="D2073" t="s">
        <v>85</v>
      </c>
      <c r="E2073" s="7">
        <v>58.04</v>
      </c>
      <c r="F2073" t="s">
        <v>20</v>
      </c>
      <c r="G2073" t="s">
        <v>21</v>
      </c>
      <c r="H2073" t="str">
        <f>"2162991 FEB.2022"</f>
        <v>2162991 FEB.2022</v>
      </c>
      <c r="I2073" t="str">
        <f>"FRONTIER"</f>
        <v>FRONTIER</v>
      </c>
    </row>
    <row r="2074" spans="1:9" x14ac:dyDescent="0.25">
      <c r="A2074" s="6">
        <v>44628</v>
      </c>
      <c r="B2074" t="s">
        <v>26</v>
      </c>
      <c r="C2074">
        <v>68969</v>
      </c>
      <c r="D2074" t="s">
        <v>85</v>
      </c>
      <c r="E2074" s="7">
        <v>42.76</v>
      </c>
      <c r="F2074" t="s">
        <v>20</v>
      </c>
      <c r="G2074" t="s">
        <v>21</v>
      </c>
      <c r="H2074" t="str">
        <f>"3933718 FEB.2022"</f>
        <v>3933718 FEB.2022</v>
      </c>
      <c r="I2074" t="str">
        <f>"FRONTIER"</f>
        <v>FRONTIER</v>
      </c>
    </row>
    <row r="2075" spans="1:9" x14ac:dyDescent="0.25">
      <c r="A2075" s="6">
        <v>44628</v>
      </c>
      <c r="B2075" t="s">
        <v>26</v>
      </c>
      <c r="C2075">
        <v>68969</v>
      </c>
      <c r="D2075" t="s">
        <v>85</v>
      </c>
      <c r="E2075" s="7">
        <v>348.17</v>
      </c>
      <c r="F2075" t="s">
        <v>20</v>
      </c>
      <c r="G2075" t="s">
        <v>21</v>
      </c>
      <c r="H2075" t="str">
        <f>"3937050 FEB.2022"</f>
        <v>3937050 FEB.2022</v>
      </c>
      <c r="I2075" t="str">
        <f>"FRONTIER"</f>
        <v>FRONTIER</v>
      </c>
    </row>
    <row r="2076" spans="1:9" x14ac:dyDescent="0.25">
      <c r="A2076" s="6">
        <v>44628</v>
      </c>
      <c r="B2076" t="s">
        <v>26</v>
      </c>
      <c r="C2076">
        <v>68969</v>
      </c>
      <c r="D2076" t="s">
        <v>85</v>
      </c>
      <c r="E2076" s="7">
        <v>589.79999999999995</v>
      </c>
      <c r="F2076" t="s">
        <v>20</v>
      </c>
      <c r="G2076" t="s">
        <v>21</v>
      </c>
      <c r="H2076" t="str">
        <f>"8301970046 FEB2022"</f>
        <v>8301970046 FEB2022</v>
      </c>
      <c r="I2076" t="str">
        <f>"FRONTIER"</f>
        <v>FRONTIER</v>
      </c>
    </row>
    <row r="2077" spans="1:9" x14ac:dyDescent="0.25">
      <c r="A2077" s="6">
        <v>44628</v>
      </c>
      <c r="B2077" t="s">
        <v>26</v>
      </c>
      <c r="C2077">
        <v>68969</v>
      </c>
      <c r="D2077" t="s">
        <v>85</v>
      </c>
      <c r="E2077" s="7">
        <v>1692.13</v>
      </c>
      <c r="F2077" t="s">
        <v>20</v>
      </c>
      <c r="G2077" t="s">
        <v>21</v>
      </c>
      <c r="H2077" t="str">
        <f>"9837110024 FEB2022"</f>
        <v>9837110024 FEB2022</v>
      </c>
      <c r="I2077" t="str">
        <f>"FRONTIER"</f>
        <v>FRONTIER</v>
      </c>
    </row>
    <row r="2078" spans="1:9" x14ac:dyDescent="0.25">
      <c r="A2078" s="6">
        <v>44628</v>
      </c>
      <c r="B2078" t="s">
        <v>26</v>
      </c>
      <c r="C2078">
        <v>68971</v>
      </c>
      <c r="D2078" t="s">
        <v>107</v>
      </c>
      <c r="E2078" s="7">
        <v>4.53</v>
      </c>
      <c r="F2078" t="s">
        <v>20</v>
      </c>
      <c r="G2078" t="s">
        <v>21</v>
      </c>
      <c r="H2078" t="str">
        <f>"1166960-20220131"</f>
        <v>1166960-20220131</v>
      </c>
      <c r="I2078" t="str">
        <f>"LEXISNEXIS RISK SOLUTIONS"</f>
        <v>LEXISNEXIS RISK SOLUTIONS</v>
      </c>
    </row>
    <row r="2079" spans="1:9" x14ac:dyDescent="0.25">
      <c r="A2079" s="6">
        <v>44628</v>
      </c>
      <c r="B2079" t="s">
        <v>26</v>
      </c>
      <c r="C2079">
        <v>68972</v>
      </c>
      <c r="D2079" t="s">
        <v>345</v>
      </c>
      <c r="E2079" s="7">
        <v>352</v>
      </c>
      <c r="F2079" t="s">
        <v>20</v>
      </c>
      <c r="G2079" t="s">
        <v>21</v>
      </c>
      <c r="H2079" t="str">
        <f>"03/07/2022"</f>
        <v>03/07/2022</v>
      </c>
      <c r="I2079" t="str">
        <f>"MICHAEL ISAAC MARTINEZ"</f>
        <v>MICHAEL ISAAC MARTINEZ</v>
      </c>
    </row>
    <row r="2080" spans="1:9" x14ac:dyDescent="0.25">
      <c r="A2080" s="6">
        <v>44628</v>
      </c>
      <c r="B2080" t="s">
        <v>26</v>
      </c>
      <c r="C2080">
        <v>68973</v>
      </c>
      <c r="D2080" t="s">
        <v>738</v>
      </c>
      <c r="E2080" s="7">
        <v>257.16000000000003</v>
      </c>
      <c r="F2080" t="s">
        <v>20</v>
      </c>
      <c r="G2080" t="s">
        <v>21</v>
      </c>
      <c r="H2080" t="str">
        <f>"NEW SUPRV TRNG"</f>
        <v>NEW SUPRV TRNG</v>
      </c>
      <c r="I2080" t="str">
        <f>"PATRICIO BARRERA HERNANDEZ"</f>
        <v>PATRICIO BARRERA HERNANDEZ</v>
      </c>
    </row>
    <row r="2081" spans="1:9" x14ac:dyDescent="0.25">
      <c r="A2081" s="6">
        <v>44628</v>
      </c>
      <c r="B2081" t="s">
        <v>26</v>
      </c>
      <c r="C2081">
        <v>68974</v>
      </c>
      <c r="D2081" t="s">
        <v>1081</v>
      </c>
      <c r="E2081" s="7">
        <v>350</v>
      </c>
      <c r="F2081" t="s">
        <v>20</v>
      </c>
      <c r="G2081" t="s">
        <v>21</v>
      </c>
      <c r="H2081" t="str">
        <f>"32819"</f>
        <v>32819</v>
      </c>
      <c r="I2081" t="str">
        <f>"PINNACLE PEST DEFENSE"</f>
        <v>PINNACLE PEST DEFENSE</v>
      </c>
    </row>
    <row r="2082" spans="1:9" x14ac:dyDescent="0.25">
      <c r="A2082" s="6">
        <v>44628</v>
      </c>
      <c r="B2082" t="s">
        <v>26</v>
      </c>
      <c r="C2082">
        <v>68974</v>
      </c>
      <c r="D2082" t="s">
        <v>1081</v>
      </c>
      <c r="E2082" s="7">
        <v>433</v>
      </c>
      <c r="F2082" t="s">
        <v>20</v>
      </c>
      <c r="G2082" t="s">
        <v>21</v>
      </c>
      <c r="H2082" t="str">
        <f>"32820"</f>
        <v>32820</v>
      </c>
      <c r="I2082" t="str">
        <f>"PINNACLE PEST DEFENSE"</f>
        <v>PINNACLE PEST DEFENSE</v>
      </c>
    </row>
    <row r="2083" spans="1:9" x14ac:dyDescent="0.25">
      <c r="A2083" s="6">
        <v>44628</v>
      </c>
      <c r="B2083" t="s">
        <v>26</v>
      </c>
      <c r="C2083">
        <v>68975</v>
      </c>
      <c r="D2083" t="s">
        <v>131</v>
      </c>
      <c r="E2083" s="7">
        <v>358.41</v>
      </c>
      <c r="F2083" t="s">
        <v>20</v>
      </c>
      <c r="G2083" t="s">
        <v>21</v>
      </c>
      <c r="H2083" t="str">
        <f>"065766"</f>
        <v>065766</v>
      </c>
      <c r="I2083" t="str">
        <f>"WWTP SUPPLIES"</f>
        <v>WWTP SUPPLIES</v>
      </c>
    </row>
    <row r="2084" spans="1:9" x14ac:dyDescent="0.25">
      <c r="A2084" s="6">
        <v>44628</v>
      </c>
      <c r="B2084" t="s">
        <v>26</v>
      </c>
      <c r="C2084">
        <v>68975</v>
      </c>
      <c r="D2084" t="s">
        <v>131</v>
      </c>
      <c r="E2084" s="7">
        <v>355.37</v>
      </c>
      <c r="F2084" t="s">
        <v>20</v>
      </c>
      <c r="G2084" t="s">
        <v>21</v>
      </c>
      <c r="H2084" t="str">
        <f>"066304"</f>
        <v>066304</v>
      </c>
      <c r="I2084" t="str">
        <f>"WWTP"</f>
        <v>WWTP</v>
      </c>
    </row>
    <row r="2085" spans="1:9" x14ac:dyDescent="0.25">
      <c r="A2085" s="6">
        <v>44628</v>
      </c>
      <c r="B2085" t="s">
        <v>26</v>
      </c>
      <c r="C2085">
        <v>68975</v>
      </c>
      <c r="D2085" t="s">
        <v>131</v>
      </c>
      <c r="E2085" s="7">
        <v>60.75</v>
      </c>
      <c r="F2085" t="s">
        <v>20</v>
      </c>
      <c r="G2085" t="s">
        <v>21</v>
      </c>
      <c r="H2085" t="str">
        <f>"066305"</f>
        <v>066305</v>
      </c>
      <c r="I2085" t="str">
        <f>"PACKING WWTP"</f>
        <v>PACKING WWTP</v>
      </c>
    </row>
    <row r="2086" spans="1:9" x14ac:dyDescent="0.25">
      <c r="A2086" s="6">
        <v>44628</v>
      </c>
      <c r="B2086" t="s">
        <v>26</v>
      </c>
      <c r="C2086">
        <v>68976</v>
      </c>
      <c r="D2086" t="s">
        <v>126</v>
      </c>
      <c r="E2086" s="7">
        <v>3077.03</v>
      </c>
      <c r="F2086" t="s">
        <v>20</v>
      </c>
      <c r="G2086" t="s">
        <v>21</v>
      </c>
      <c r="H2086" t="str">
        <f>"0859-003050627"</f>
        <v>0859-003050627</v>
      </c>
      <c r="I2086" t="str">
        <f>"REPUBLIC SERVICES #859"</f>
        <v>REPUBLIC SERVICES #859</v>
      </c>
    </row>
    <row r="2087" spans="1:9" x14ac:dyDescent="0.25">
      <c r="A2087" s="6">
        <v>44628</v>
      </c>
      <c r="B2087" t="s">
        <v>26</v>
      </c>
      <c r="C2087">
        <v>68976</v>
      </c>
      <c r="D2087" t="s">
        <v>126</v>
      </c>
      <c r="E2087" s="7">
        <v>94183.3</v>
      </c>
      <c r="F2087" t="s">
        <v>20</v>
      </c>
      <c r="G2087" t="s">
        <v>21</v>
      </c>
      <c r="H2087" t="str">
        <f>"0859-003054778"</f>
        <v>0859-003054778</v>
      </c>
      <c r="I2087" t="str">
        <f>"REPUBLIC SERVICES #859"</f>
        <v>REPUBLIC SERVICES #859</v>
      </c>
    </row>
    <row r="2088" spans="1:9" x14ac:dyDescent="0.25">
      <c r="A2088" s="6">
        <v>44628</v>
      </c>
      <c r="B2088" t="s">
        <v>26</v>
      </c>
      <c r="C2088">
        <v>68977</v>
      </c>
      <c r="D2088" t="s">
        <v>1143</v>
      </c>
      <c r="E2088" s="7">
        <v>257.16000000000003</v>
      </c>
      <c r="F2088" t="s">
        <v>20</v>
      </c>
      <c r="G2088" t="s">
        <v>21</v>
      </c>
      <c r="H2088" t="str">
        <f>"NEW SUPRVS TRNG"</f>
        <v>NEW SUPRVS TRNG</v>
      </c>
      <c r="I2088" t="str">
        <f>"RUEBEN GARCIA"</f>
        <v>RUEBEN GARCIA</v>
      </c>
    </row>
    <row r="2089" spans="1:9" x14ac:dyDescent="0.25">
      <c r="A2089" s="6">
        <v>44628</v>
      </c>
      <c r="B2089" t="s">
        <v>26</v>
      </c>
      <c r="C2089">
        <v>68978</v>
      </c>
      <c r="D2089" t="s">
        <v>132</v>
      </c>
      <c r="E2089" s="7">
        <v>66.67</v>
      </c>
      <c r="F2089" t="s">
        <v>20</v>
      </c>
      <c r="G2089" t="s">
        <v>21</v>
      </c>
      <c r="H2089" t="str">
        <f>"16992887 022422"</f>
        <v>16992887 022422</v>
      </c>
      <c r="I2089" t="str">
        <f>"SPARKLETTS &amp; SIERRA SPRINGS"</f>
        <v>SPARKLETTS &amp; SIERRA SPRINGS</v>
      </c>
    </row>
    <row r="2090" spans="1:9" x14ac:dyDescent="0.25">
      <c r="A2090" s="6">
        <v>44628</v>
      </c>
      <c r="B2090" t="s">
        <v>26</v>
      </c>
      <c r="C2090">
        <v>68979</v>
      </c>
      <c r="D2090" t="s">
        <v>114</v>
      </c>
      <c r="E2090" s="7">
        <v>887.98</v>
      </c>
      <c r="F2090" t="s">
        <v>20</v>
      </c>
      <c r="G2090" t="s">
        <v>21</v>
      </c>
      <c r="H2090" t="str">
        <f>"10/01-12/31/2021"</f>
        <v>10/01-12/31/2021</v>
      </c>
      <c r="I2090" t="str">
        <f>"STATE COMPTROLLER"</f>
        <v>STATE COMPTROLLER</v>
      </c>
    </row>
    <row r="2091" spans="1:9" x14ac:dyDescent="0.25">
      <c r="A2091" s="6">
        <v>44628</v>
      </c>
      <c r="B2091" t="s">
        <v>26</v>
      </c>
      <c r="C2091">
        <v>68980</v>
      </c>
      <c r="D2091" t="s">
        <v>644</v>
      </c>
      <c r="E2091" s="7">
        <v>612.37</v>
      </c>
      <c r="F2091" t="s">
        <v>20</v>
      </c>
      <c r="G2091" t="s">
        <v>21</v>
      </c>
      <c r="H2091" t="str">
        <f>"RE-ISSUE CK 68436"</f>
        <v>RE-ISSUE CK 68436</v>
      </c>
      <c r="I2091" t="str">
        <f>"UNIFIRST CORPORATION"</f>
        <v>UNIFIRST CORPORATION</v>
      </c>
    </row>
    <row r="2092" spans="1:9" x14ac:dyDescent="0.25">
      <c r="A2092" s="6">
        <v>44628</v>
      </c>
      <c r="B2092" t="s">
        <v>26</v>
      </c>
      <c r="C2092">
        <v>68981</v>
      </c>
      <c r="D2092" t="s">
        <v>74</v>
      </c>
      <c r="E2092" s="7">
        <v>2474.7199999999998</v>
      </c>
      <c r="F2092" t="s">
        <v>20</v>
      </c>
      <c r="G2092" t="s">
        <v>21</v>
      </c>
      <c r="H2092" t="str">
        <f>"9900286778"</f>
        <v>9900286778</v>
      </c>
      <c r="I2092" t="str">
        <f>"VERIZON WIRELESS"</f>
        <v>VERIZON WIRELESS</v>
      </c>
    </row>
    <row r="2093" spans="1:9" x14ac:dyDescent="0.25">
      <c r="A2093" s="6">
        <v>44628</v>
      </c>
      <c r="B2093" t="s">
        <v>26</v>
      </c>
      <c r="C2093">
        <v>68983</v>
      </c>
      <c r="D2093" t="s">
        <v>92</v>
      </c>
      <c r="E2093" s="7">
        <v>17164.150000000001</v>
      </c>
      <c r="F2093" t="s">
        <v>20</v>
      </c>
      <c r="G2093" t="s">
        <v>21</v>
      </c>
      <c r="H2093" t="str">
        <f>"RET202202088640"</f>
        <v>RET202202088640</v>
      </c>
      <c r="I2093" t="str">
        <f>"TMRS CITY OF FLORESVILLE"</f>
        <v>TMRS CITY OF FLORESVILLE</v>
      </c>
    </row>
    <row r="2094" spans="1:9" x14ac:dyDescent="0.25">
      <c r="A2094" s="6">
        <v>44628</v>
      </c>
      <c r="B2094" t="s">
        <v>26</v>
      </c>
      <c r="C2094">
        <v>68983</v>
      </c>
      <c r="D2094" t="s">
        <v>92</v>
      </c>
      <c r="E2094" s="7">
        <v>17429.8</v>
      </c>
      <c r="F2094" t="s">
        <v>20</v>
      </c>
      <c r="G2094" t="s">
        <v>21</v>
      </c>
      <c r="H2094" t="str">
        <f>"RET202202238641"</f>
        <v>RET202202238641</v>
      </c>
      <c r="I2094" t="str">
        <f>"TMRS CITY OF FLORESVILLE"</f>
        <v>TMRS CITY OF FLORESVILLE</v>
      </c>
    </row>
    <row r="2095" spans="1:9" x14ac:dyDescent="0.25">
      <c r="A2095" s="6">
        <v>44628</v>
      </c>
      <c r="B2095" t="s">
        <v>26</v>
      </c>
      <c r="C2095">
        <v>68987</v>
      </c>
      <c r="D2095" t="s">
        <v>1166</v>
      </c>
      <c r="E2095" s="7">
        <v>144</v>
      </c>
      <c r="F2095" t="s">
        <v>20</v>
      </c>
      <c r="G2095" t="s">
        <v>21</v>
      </c>
      <c r="H2095" t="str">
        <f>"5372  1/14/22"</f>
        <v>5372  1/14/22</v>
      </c>
      <c r="I2095" t="str">
        <f>"ATASCOSA HEALTH CENTER  INC."</f>
        <v>ATASCOSA HEALTH CENTER  INC.</v>
      </c>
    </row>
    <row r="2096" spans="1:9" x14ac:dyDescent="0.25">
      <c r="A2096" s="6">
        <v>44628</v>
      </c>
      <c r="B2096" t="s">
        <v>26</v>
      </c>
      <c r="C2096">
        <v>68988</v>
      </c>
      <c r="D2096" t="s">
        <v>1154</v>
      </c>
      <c r="E2096" s="7">
        <v>291.60000000000002</v>
      </c>
      <c r="F2096" t="s">
        <v>20</v>
      </c>
      <c r="G2096" t="s">
        <v>21</v>
      </c>
      <c r="H2096" t="str">
        <f>"03/8/2022"</f>
        <v>03/8/2022</v>
      </c>
      <c r="I2096" t="str">
        <f>"GLAZIERS"</f>
        <v>GLAZIERS</v>
      </c>
    </row>
    <row r="2097" spans="1:9" x14ac:dyDescent="0.25">
      <c r="A2097" s="6">
        <v>44628</v>
      </c>
      <c r="B2097" t="s">
        <v>26</v>
      </c>
      <c r="C2097">
        <v>68989</v>
      </c>
      <c r="D2097" t="s">
        <v>739</v>
      </c>
      <c r="E2097" s="7">
        <v>2289.63</v>
      </c>
      <c r="F2097" t="s">
        <v>20</v>
      </c>
      <c r="G2097" t="s">
        <v>21</v>
      </c>
      <c r="H2097" t="str">
        <f>"5286X02272022"</f>
        <v>5286X02272022</v>
      </c>
      <c r="I2097" t="str">
        <f>"FIRSTNET/AT&amp;T MOBILITY LLC"</f>
        <v>FIRSTNET/AT&amp;T MOBILITY LLC</v>
      </c>
    </row>
    <row r="2098" spans="1:9" x14ac:dyDescent="0.25">
      <c r="A2098" s="6">
        <v>44628</v>
      </c>
      <c r="B2098" t="s">
        <v>26</v>
      </c>
      <c r="C2098">
        <v>68994</v>
      </c>
      <c r="D2098" t="s">
        <v>51</v>
      </c>
      <c r="E2098" s="7">
        <v>13.85</v>
      </c>
      <c r="F2098" t="s">
        <v>20</v>
      </c>
      <c r="G2098" t="s">
        <v>21</v>
      </c>
      <c r="H2098" t="str">
        <f>"CLE202203088642"</f>
        <v>CLE202203088642</v>
      </c>
      <c r="I2098" t="str">
        <f>"CLEAT ONLY DUES"</f>
        <v>CLEAT ONLY DUES</v>
      </c>
    </row>
    <row r="2099" spans="1:9" x14ac:dyDescent="0.25">
      <c r="A2099" s="6">
        <v>44628</v>
      </c>
      <c r="B2099" t="s">
        <v>26</v>
      </c>
      <c r="C2099">
        <v>68994</v>
      </c>
      <c r="D2099" t="s">
        <v>51</v>
      </c>
      <c r="E2099" s="7">
        <v>332.46</v>
      </c>
      <c r="F2099" t="s">
        <v>20</v>
      </c>
      <c r="G2099" t="s">
        <v>21</v>
      </c>
      <c r="H2099" t="str">
        <f>"PDD202203088642"</f>
        <v>PDD202203088642</v>
      </c>
      <c r="I2099" t="str">
        <f>"POLICE OFFICERS ASSOC DUES"</f>
        <v>POLICE OFFICERS ASSOC DUES</v>
      </c>
    </row>
    <row r="2100" spans="1:9" x14ac:dyDescent="0.25">
      <c r="A2100" s="6">
        <v>44628</v>
      </c>
      <c r="B2100" t="s">
        <v>26</v>
      </c>
      <c r="C2100">
        <v>68995</v>
      </c>
      <c r="D2100" t="s">
        <v>52</v>
      </c>
      <c r="E2100" s="7">
        <v>101.25</v>
      </c>
      <c r="F2100" t="s">
        <v>20</v>
      </c>
      <c r="G2100" t="s">
        <v>21</v>
      </c>
      <c r="H2100" t="str">
        <f>"CA1202203088642"</f>
        <v>CA1202203088642</v>
      </c>
      <c r="I2100" t="str">
        <f>"K RAMIREZ 001200229510060343CV"</f>
        <v>K RAMIREZ 001200229510060343CV</v>
      </c>
    </row>
    <row r="2101" spans="1:9" x14ac:dyDescent="0.25">
      <c r="A2101" s="6">
        <v>44628</v>
      </c>
      <c r="B2101" t="s">
        <v>26</v>
      </c>
      <c r="C2101">
        <v>68995</v>
      </c>
      <c r="D2101" t="s">
        <v>52</v>
      </c>
      <c r="E2101" s="7">
        <v>101.25</v>
      </c>
      <c r="F2101" t="s">
        <v>20</v>
      </c>
      <c r="G2101" t="s">
        <v>21</v>
      </c>
      <c r="H2101" t="str">
        <f>"CA2202203088642"</f>
        <v>CA2202203088642</v>
      </c>
      <c r="I2101" t="str">
        <f>"L HERNANDEZ 001016025203080354"</f>
        <v>L HERNANDEZ 001016025203080354</v>
      </c>
    </row>
    <row r="2102" spans="1:9" x14ac:dyDescent="0.25">
      <c r="A2102" s="6">
        <v>44628</v>
      </c>
      <c r="B2102" t="s">
        <v>26</v>
      </c>
      <c r="C2102">
        <v>68995</v>
      </c>
      <c r="D2102" t="s">
        <v>52</v>
      </c>
      <c r="E2102" s="7">
        <v>101.25</v>
      </c>
      <c r="F2102" t="s">
        <v>20</v>
      </c>
      <c r="G2102" t="s">
        <v>21</v>
      </c>
      <c r="H2102" t="str">
        <f>"CA3202203088642"</f>
        <v>CA3202203088642</v>
      </c>
      <c r="I2102" t="str">
        <f>"00120788612011EM5023JOLENEGARC"</f>
        <v>00120788612011EM5023JOLENEGARC</v>
      </c>
    </row>
    <row r="2103" spans="1:9" x14ac:dyDescent="0.25">
      <c r="A2103" s="6">
        <v>44628</v>
      </c>
      <c r="B2103" t="s">
        <v>26</v>
      </c>
      <c r="C2103">
        <v>68995</v>
      </c>
      <c r="D2103" t="s">
        <v>52</v>
      </c>
      <c r="E2103" s="7">
        <v>101.25</v>
      </c>
      <c r="F2103" t="s">
        <v>20</v>
      </c>
      <c r="G2103" t="s">
        <v>21</v>
      </c>
      <c r="H2103" t="str">
        <f>"CSA202203088642"</f>
        <v>CSA202203088642</v>
      </c>
      <c r="I2103" t="str">
        <f>"S RODRIGUEZ 001281730413050336"</f>
        <v>S RODRIGUEZ 001281730413050336</v>
      </c>
    </row>
    <row r="2104" spans="1:9" x14ac:dyDescent="0.25">
      <c r="A2104" s="6">
        <v>44628</v>
      </c>
      <c r="B2104" t="s">
        <v>26</v>
      </c>
      <c r="C2104">
        <v>68995</v>
      </c>
      <c r="D2104" t="s">
        <v>52</v>
      </c>
      <c r="E2104" s="7">
        <v>521.54</v>
      </c>
      <c r="F2104" t="s">
        <v>20</v>
      </c>
      <c r="G2104" t="s">
        <v>21</v>
      </c>
      <c r="H2104" t="str">
        <f>"CSI202203088642"</f>
        <v>CSI202203088642</v>
      </c>
      <c r="I2104" t="str">
        <f>"KTRINIDAD0014071774CVW2000777"</f>
        <v>KTRINIDAD0014071774CVW2000777</v>
      </c>
    </row>
    <row r="2105" spans="1:9" x14ac:dyDescent="0.25">
      <c r="A2105" s="6">
        <v>44628</v>
      </c>
      <c r="B2105" t="s">
        <v>26</v>
      </c>
      <c r="C2105">
        <v>68996</v>
      </c>
      <c r="D2105" t="s">
        <v>54</v>
      </c>
      <c r="E2105" s="7">
        <v>881.57</v>
      </c>
      <c r="F2105" t="s">
        <v>20</v>
      </c>
      <c r="G2105" t="s">
        <v>21</v>
      </c>
      <c r="H2105" t="str">
        <f>"BRE202203088642"</f>
        <v>BRE202203088642</v>
      </c>
      <c r="I2105" t="str">
        <f>"CASE #180-60751 457B DEDUCT"</f>
        <v>CASE #180-60751 457B DEDUCT</v>
      </c>
    </row>
    <row r="2106" spans="1:9" x14ac:dyDescent="0.25">
      <c r="A2106" s="6">
        <v>44630</v>
      </c>
      <c r="B2106" t="s">
        <v>26</v>
      </c>
      <c r="C2106">
        <v>68997</v>
      </c>
      <c r="D2106" t="s">
        <v>205</v>
      </c>
      <c r="E2106" s="7">
        <v>767.41</v>
      </c>
      <c r="F2106" t="s">
        <v>20</v>
      </c>
      <c r="G2106" t="s">
        <v>21</v>
      </c>
      <c r="H2106" t="str">
        <f>"03/10/2022"</f>
        <v>03/10/2022</v>
      </c>
      <c r="I2106" t="str">
        <f>"SILVER EAGLE DISTRIBUTORS"</f>
        <v>SILVER EAGLE DISTRIBUTORS</v>
      </c>
    </row>
    <row r="2107" spans="1:9" x14ac:dyDescent="0.25">
      <c r="A2107" s="6">
        <v>44635</v>
      </c>
      <c r="B2107" t="s">
        <v>26</v>
      </c>
      <c r="C2107">
        <v>68998</v>
      </c>
      <c r="D2107" t="s">
        <v>1145</v>
      </c>
      <c r="E2107" s="7">
        <v>267.8</v>
      </c>
      <c r="F2107" t="s">
        <v>20</v>
      </c>
      <c r="G2107" t="s">
        <v>21</v>
      </c>
      <c r="H2107" t="str">
        <f>"2021-064-02-4"</f>
        <v>2021-064-02-4</v>
      </c>
      <c r="I2107" t="str">
        <f>"6S ENGINEERING  INC"</f>
        <v>6S ENGINEERING  INC</v>
      </c>
    </row>
    <row r="2108" spans="1:9" x14ac:dyDescent="0.25">
      <c r="A2108" s="6">
        <v>44635</v>
      </c>
      <c r="B2108" t="s">
        <v>26</v>
      </c>
      <c r="C2108">
        <v>68998</v>
      </c>
      <c r="D2108" t="s">
        <v>1145</v>
      </c>
      <c r="E2108" s="7">
        <v>550.20000000000005</v>
      </c>
      <c r="F2108" t="s">
        <v>20</v>
      </c>
      <c r="G2108" t="s">
        <v>21</v>
      </c>
      <c r="H2108" t="str">
        <f>"2021-064-02A-2"</f>
        <v>2021-064-02A-2</v>
      </c>
      <c r="I2108" t="str">
        <f>"6S ENGINEERING  INC"</f>
        <v>6S ENGINEERING  INC</v>
      </c>
    </row>
    <row r="2109" spans="1:9" x14ac:dyDescent="0.25">
      <c r="A2109" s="6">
        <v>44635</v>
      </c>
      <c r="B2109" t="s">
        <v>26</v>
      </c>
      <c r="C2109">
        <v>68998</v>
      </c>
      <c r="D2109" t="s">
        <v>1145</v>
      </c>
      <c r="E2109" s="7">
        <v>109.5</v>
      </c>
      <c r="F2109" t="s">
        <v>20</v>
      </c>
      <c r="G2109" t="s">
        <v>21</v>
      </c>
      <c r="H2109" t="str">
        <f>"2021-064-04-3"</f>
        <v>2021-064-04-3</v>
      </c>
      <c r="I2109" t="str">
        <f>"6S ENGINEERING  INC"</f>
        <v>6S ENGINEERING  INC</v>
      </c>
    </row>
    <row r="2110" spans="1:9" x14ac:dyDescent="0.25">
      <c r="A2110" s="6">
        <v>44635</v>
      </c>
      <c r="B2110" t="s">
        <v>26</v>
      </c>
      <c r="C2110">
        <v>68998</v>
      </c>
      <c r="D2110" t="s">
        <v>1145</v>
      </c>
      <c r="E2110" s="7">
        <v>119.2</v>
      </c>
      <c r="F2110" t="s">
        <v>20</v>
      </c>
      <c r="G2110" t="s">
        <v>21</v>
      </c>
      <c r="H2110" t="str">
        <f>"2022-064-01-2"</f>
        <v>2022-064-01-2</v>
      </c>
      <c r="I2110" t="str">
        <f>"6S ENGINEERING  INC"</f>
        <v>6S ENGINEERING  INC</v>
      </c>
    </row>
    <row r="2111" spans="1:9" x14ac:dyDescent="0.25">
      <c r="A2111" s="6">
        <v>44635</v>
      </c>
      <c r="B2111" t="s">
        <v>26</v>
      </c>
      <c r="C2111">
        <v>68999</v>
      </c>
      <c r="D2111" t="s">
        <v>1074</v>
      </c>
      <c r="E2111" s="7">
        <v>106.78</v>
      </c>
      <c r="F2111" t="s">
        <v>20</v>
      </c>
      <c r="G2111" t="s">
        <v>21</v>
      </c>
      <c r="H2111" t="str">
        <f>"1X49-QHWL-Y31K"</f>
        <v>1X49-QHWL-Y31K</v>
      </c>
      <c r="I2111" t="str">
        <f>"AMAZON CAPITAL SERVICES"</f>
        <v>AMAZON CAPITAL SERVICES</v>
      </c>
    </row>
    <row r="2112" spans="1:9" x14ac:dyDescent="0.25">
      <c r="A2112" s="6">
        <v>44635</v>
      </c>
      <c r="B2112" t="s">
        <v>26</v>
      </c>
      <c r="C2112">
        <v>69000</v>
      </c>
      <c r="D2112" t="s">
        <v>1167</v>
      </c>
      <c r="E2112" s="7">
        <v>7710.05</v>
      </c>
      <c r="F2112" t="s">
        <v>20</v>
      </c>
      <c r="G2112" t="s">
        <v>21</v>
      </c>
      <c r="H2112" t="str">
        <f>"3302"</f>
        <v>3302</v>
      </c>
      <c r="I2112" t="str">
        <f>"REPAIR POOL LEAK"</f>
        <v>REPAIR POOL LEAK</v>
      </c>
    </row>
    <row r="2113" spans="1:9" x14ac:dyDescent="0.25">
      <c r="A2113" s="6">
        <v>44635</v>
      </c>
      <c r="B2113" t="s">
        <v>26</v>
      </c>
      <c r="C2113">
        <v>69001</v>
      </c>
      <c r="D2113" t="s">
        <v>195</v>
      </c>
      <c r="E2113" s="7">
        <v>1394.56</v>
      </c>
      <c r="F2113" t="s">
        <v>20</v>
      </c>
      <c r="G2113" t="s">
        <v>21</v>
      </c>
      <c r="H2113" t="str">
        <f>"INV-AIS-0004757"</f>
        <v>INV-AIS-0004757</v>
      </c>
      <c r="I2113" t="str">
        <f>"ARISTA INFORMATION SYSTEMS  IN"</f>
        <v>ARISTA INFORMATION SYSTEMS  IN</v>
      </c>
    </row>
    <row r="2114" spans="1:9" x14ac:dyDescent="0.25">
      <c r="A2114" s="6">
        <v>44635</v>
      </c>
      <c r="B2114" t="s">
        <v>26</v>
      </c>
      <c r="C2114">
        <v>69002</v>
      </c>
      <c r="D2114" t="s">
        <v>115</v>
      </c>
      <c r="E2114" s="7">
        <v>45.98</v>
      </c>
      <c r="F2114" t="s">
        <v>20</v>
      </c>
      <c r="G2114" t="s">
        <v>21</v>
      </c>
      <c r="H2114" t="str">
        <f>"3547209632"</f>
        <v>3547209632</v>
      </c>
      <c r="I2114" t="str">
        <f>"WRENCHES"</f>
        <v>WRENCHES</v>
      </c>
    </row>
    <row r="2115" spans="1:9" x14ac:dyDescent="0.25">
      <c r="A2115" s="6">
        <v>44635</v>
      </c>
      <c r="B2115" t="s">
        <v>26</v>
      </c>
      <c r="C2115">
        <v>69003</v>
      </c>
      <c r="D2115" t="s">
        <v>102</v>
      </c>
      <c r="E2115" s="7">
        <v>194.21</v>
      </c>
      <c r="F2115" t="s">
        <v>20</v>
      </c>
      <c r="G2115" t="s">
        <v>21</v>
      </c>
      <c r="H2115" t="str">
        <f>"1120 D ST 3/22"</f>
        <v>1120 D ST 3/22</v>
      </c>
      <c r="I2115" t="str">
        <f>"CENTERPOINT ENERGY ENTEX"</f>
        <v>CENTERPOINT ENERGY ENTEX</v>
      </c>
    </row>
    <row r="2116" spans="1:9" x14ac:dyDescent="0.25">
      <c r="A2116" s="6">
        <v>44635</v>
      </c>
      <c r="B2116" t="s">
        <v>26</v>
      </c>
      <c r="C2116">
        <v>69003</v>
      </c>
      <c r="D2116" t="s">
        <v>102</v>
      </c>
      <c r="E2116" s="7">
        <v>56.48</v>
      </c>
      <c r="F2116" t="s">
        <v>20</v>
      </c>
      <c r="G2116" t="s">
        <v>21</v>
      </c>
      <c r="H2116" t="str">
        <f>"1200 1ST. 3/22"</f>
        <v>1200 1ST. 3/22</v>
      </c>
      <c r="I2116" t="str">
        <f>"CENTERPOINT ENERGY ENTEX"</f>
        <v>CENTERPOINT ENERGY ENTEX</v>
      </c>
    </row>
    <row r="2117" spans="1:9" x14ac:dyDescent="0.25">
      <c r="A2117" s="6">
        <v>44635</v>
      </c>
      <c r="B2117" t="s">
        <v>26</v>
      </c>
      <c r="C2117">
        <v>69003</v>
      </c>
      <c r="D2117" t="s">
        <v>102</v>
      </c>
      <c r="E2117" s="7">
        <v>116.52</v>
      </c>
      <c r="F2117" t="s">
        <v>20</v>
      </c>
      <c r="G2117" t="s">
        <v>21</v>
      </c>
      <c r="H2117" t="str">
        <f>"920 C ST. 3/22"</f>
        <v>920 C ST. 3/22</v>
      </c>
      <c r="I2117" t="str">
        <f>"CENTERPOINT ENERGY ENTEX"</f>
        <v>CENTERPOINT ENERGY ENTEX</v>
      </c>
    </row>
    <row r="2118" spans="1:9" x14ac:dyDescent="0.25">
      <c r="A2118" s="6">
        <v>44635</v>
      </c>
      <c r="B2118" t="s">
        <v>26</v>
      </c>
      <c r="C2118">
        <v>69004</v>
      </c>
      <c r="D2118" t="s">
        <v>63</v>
      </c>
      <c r="E2118" s="7">
        <v>100.67</v>
      </c>
      <c r="F2118" t="s">
        <v>20</v>
      </c>
      <c r="G2118" t="s">
        <v>21</v>
      </c>
      <c r="H2118" t="str">
        <f>"840559794"</f>
        <v>840559794</v>
      </c>
      <c r="I2118" t="str">
        <f>"CINTAS CORPORATION"</f>
        <v>CINTAS CORPORATION</v>
      </c>
    </row>
    <row r="2119" spans="1:9" x14ac:dyDescent="0.25">
      <c r="A2119" s="6">
        <v>44635</v>
      </c>
      <c r="B2119" t="s">
        <v>26</v>
      </c>
      <c r="C2119">
        <v>69005</v>
      </c>
      <c r="D2119" t="s">
        <v>71</v>
      </c>
      <c r="E2119" s="7">
        <v>112.71</v>
      </c>
      <c r="F2119" t="s">
        <v>20</v>
      </c>
      <c r="G2119" t="s">
        <v>21</v>
      </c>
      <c r="H2119" t="str">
        <f>"4111282767"</f>
        <v>4111282767</v>
      </c>
      <c r="I2119" t="str">
        <f t="shared" ref="I2119:I2133" si="51">"CINTAS CORPORATION #087"</f>
        <v>CINTAS CORPORATION #087</v>
      </c>
    </row>
    <row r="2120" spans="1:9" x14ac:dyDescent="0.25">
      <c r="A2120" s="6">
        <v>44635</v>
      </c>
      <c r="B2120" t="s">
        <v>26</v>
      </c>
      <c r="C2120">
        <v>69005</v>
      </c>
      <c r="D2120" t="s">
        <v>71</v>
      </c>
      <c r="E2120" s="7">
        <v>85.8</v>
      </c>
      <c r="F2120" t="s">
        <v>20</v>
      </c>
      <c r="G2120" t="s">
        <v>21</v>
      </c>
      <c r="H2120" t="str">
        <f>"4111282799"</f>
        <v>4111282799</v>
      </c>
      <c r="I2120" t="str">
        <f t="shared" si="51"/>
        <v>CINTAS CORPORATION #087</v>
      </c>
    </row>
    <row r="2121" spans="1:9" x14ac:dyDescent="0.25">
      <c r="A2121" s="6">
        <v>44635</v>
      </c>
      <c r="B2121" t="s">
        <v>26</v>
      </c>
      <c r="C2121">
        <v>69005</v>
      </c>
      <c r="D2121" t="s">
        <v>71</v>
      </c>
      <c r="E2121" s="7">
        <v>30.26</v>
      </c>
      <c r="F2121" t="s">
        <v>20</v>
      </c>
      <c r="G2121" t="s">
        <v>21</v>
      </c>
      <c r="H2121" t="str">
        <f>"4111282813"</f>
        <v>4111282813</v>
      </c>
      <c r="I2121" t="str">
        <f t="shared" si="51"/>
        <v>CINTAS CORPORATION #087</v>
      </c>
    </row>
    <row r="2122" spans="1:9" x14ac:dyDescent="0.25">
      <c r="A2122" s="6">
        <v>44635</v>
      </c>
      <c r="B2122" t="s">
        <v>26</v>
      </c>
      <c r="C2122">
        <v>69005</v>
      </c>
      <c r="D2122" t="s">
        <v>71</v>
      </c>
      <c r="E2122" s="7">
        <v>129.43</v>
      </c>
      <c r="F2122" t="s">
        <v>20</v>
      </c>
      <c r="G2122" t="s">
        <v>21</v>
      </c>
      <c r="H2122" t="str">
        <f>"4111282828"</f>
        <v>4111282828</v>
      </c>
      <c r="I2122" t="str">
        <f t="shared" si="51"/>
        <v>CINTAS CORPORATION #087</v>
      </c>
    </row>
    <row r="2123" spans="1:9" x14ac:dyDescent="0.25">
      <c r="A2123" s="6">
        <v>44635</v>
      </c>
      <c r="B2123" t="s">
        <v>26</v>
      </c>
      <c r="C2123">
        <v>69005</v>
      </c>
      <c r="D2123" t="s">
        <v>71</v>
      </c>
      <c r="E2123" s="7">
        <v>312.18</v>
      </c>
      <c r="F2123" t="s">
        <v>20</v>
      </c>
      <c r="G2123" t="s">
        <v>21</v>
      </c>
      <c r="H2123" t="str">
        <f>"4111282904"</f>
        <v>4111282904</v>
      </c>
      <c r="I2123" t="str">
        <f t="shared" si="51"/>
        <v>CINTAS CORPORATION #087</v>
      </c>
    </row>
    <row r="2124" spans="1:9" x14ac:dyDescent="0.25">
      <c r="A2124" s="6">
        <v>44635</v>
      </c>
      <c r="B2124" t="s">
        <v>26</v>
      </c>
      <c r="C2124">
        <v>69005</v>
      </c>
      <c r="D2124" t="s">
        <v>71</v>
      </c>
      <c r="E2124" s="7">
        <v>31.26</v>
      </c>
      <c r="F2124" t="s">
        <v>20</v>
      </c>
      <c r="G2124" t="s">
        <v>21</v>
      </c>
      <c r="H2124" t="str">
        <f>"4111982879"</f>
        <v>4111982879</v>
      </c>
      <c r="I2124" t="str">
        <f t="shared" si="51"/>
        <v>CINTAS CORPORATION #087</v>
      </c>
    </row>
    <row r="2125" spans="1:9" x14ac:dyDescent="0.25">
      <c r="A2125" s="6">
        <v>44635</v>
      </c>
      <c r="B2125" t="s">
        <v>26</v>
      </c>
      <c r="C2125">
        <v>69005</v>
      </c>
      <c r="D2125" t="s">
        <v>71</v>
      </c>
      <c r="E2125" s="7">
        <v>9.9</v>
      </c>
      <c r="F2125" t="s">
        <v>20</v>
      </c>
      <c r="G2125" t="s">
        <v>21</v>
      </c>
      <c r="H2125" t="str">
        <f>"4111982880"</f>
        <v>4111982880</v>
      </c>
      <c r="I2125" t="str">
        <f t="shared" si="51"/>
        <v>CINTAS CORPORATION #087</v>
      </c>
    </row>
    <row r="2126" spans="1:9" x14ac:dyDescent="0.25">
      <c r="A2126" s="6">
        <v>44635</v>
      </c>
      <c r="B2126" t="s">
        <v>26</v>
      </c>
      <c r="C2126">
        <v>69005</v>
      </c>
      <c r="D2126" t="s">
        <v>71</v>
      </c>
      <c r="E2126" s="7">
        <v>361.23</v>
      </c>
      <c r="F2126" t="s">
        <v>20</v>
      </c>
      <c r="G2126" t="s">
        <v>21</v>
      </c>
      <c r="H2126" t="str">
        <f>"4111982921"</f>
        <v>4111982921</v>
      </c>
      <c r="I2126" t="str">
        <f t="shared" si="51"/>
        <v>CINTAS CORPORATION #087</v>
      </c>
    </row>
    <row r="2127" spans="1:9" x14ac:dyDescent="0.25">
      <c r="A2127" s="6">
        <v>44635</v>
      </c>
      <c r="B2127" t="s">
        <v>26</v>
      </c>
      <c r="C2127">
        <v>69005</v>
      </c>
      <c r="D2127" t="s">
        <v>71</v>
      </c>
      <c r="E2127" s="7">
        <v>36.700000000000003</v>
      </c>
      <c r="F2127" t="s">
        <v>20</v>
      </c>
      <c r="G2127" t="s">
        <v>21</v>
      </c>
      <c r="H2127" t="str">
        <f>"4111982994"</f>
        <v>4111982994</v>
      </c>
      <c r="I2127" t="str">
        <f t="shared" si="51"/>
        <v>CINTAS CORPORATION #087</v>
      </c>
    </row>
    <row r="2128" spans="1:9" x14ac:dyDescent="0.25">
      <c r="A2128" s="6">
        <v>44635</v>
      </c>
      <c r="B2128" t="s">
        <v>26</v>
      </c>
      <c r="C2128">
        <v>69005</v>
      </c>
      <c r="D2128" t="s">
        <v>71</v>
      </c>
      <c r="E2128" s="7">
        <v>31.26</v>
      </c>
      <c r="F2128" t="s">
        <v>20</v>
      </c>
      <c r="G2128" t="s">
        <v>21</v>
      </c>
      <c r="H2128" t="str">
        <f>"4112659763"</f>
        <v>4112659763</v>
      </c>
      <c r="I2128" t="str">
        <f t="shared" si="51"/>
        <v>CINTAS CORPORATION #087</v>
      </c>
    </row>
    <row r="2129" spans="1:9" x14ac:dyDescent="0.25">
      <c r="A2129" s="6">
        <v>44635</v>
      </c>
      <c r="B2129" t="s">
        <v>26</v>
      </c>
      <c r="C2129">
        <v>69005</v>
      </c>
      <c r="D2129" t="s">
        <v>71</v>
      </c>
      <c r="E2129" s="7">
        <v>113.71</v>
      </c>
      <c r="F2129" t="s">
        <v>20</v>
      </c>
      <c r="G2129" t="s">
        <v>21</v>
      </c>
      <c r="H2129" t="str">
        <f>"4112659783"</f>
        <v>4112659783</v>
      </c>
      <c r="I2129" t="str">
        <f t="shared" si="51"/>
        <v>CINTAS CORPORATION #087</v>
      </c>
    </row>
    <row r="2130" spans="1:9" x14ac:dyDescent="0.25">
      <c r="A2130" s="6">
        <v>44635</v>
      </c>
      <c r="B2130" t="s">
        <v>26</v>
      </c>
      <c r="C2130">
        <v>69005</v>
      </c>
      <c r="D2130" t="s">
        <v>71</v>
      </c>
      <c r="E2130" s="7">
        <v>127.78</v>
      </c>
      <c r="F2130" t="s">
        <v>20</v>
      </c>
      <c r="G2130" t="s">
        <v>21</v>
      </c>
      <c r="H2130" t="str">
        <f>"4112659822"</f>
        <v>4112659822</v>
      </c>
      <c r="I2130" t="str">
        <f t="shared" si="51"/>
        <v>CINTAS CORPORATION #087</v>
      </c>
    </row>
    <row r="2131" spans="1:9" x14ac:dyDescent="0.25">
      <c r="A2131" s="6">
        <v>44635</v>
      </c>
      <c r="B2131" t="s">
        <v>26</v>
      </c>
      <c r="C2131">
        <v>69005</v>
      </c>
      <c r="D2131" t="s">
        <v>71</v>
      </c>
      <c r="E2131" s="7">
        <v>86.8</v>
      </c>
      <c r="F2131" t="s">
        <v>20</v>
      </c>
      <c r="G2131" t="s">
        <v>21</v>
      </c>
      <c r="H2131" t="str">
        <f>"4112659824"</f>
        <v>4112659824</v>
      </c>
      <c r="I2131" t="str">
        <f t="shared" si="51"/>
        <v>CINTAS CORPORATION #087</v>
      </c>
    </row>
    <row r="2132" spans="1:9" x14ac:dyDescent="0.25">
      <c r="A2132" s="6">
        <v>44635</v>
      </c>
      <c r="B2132" t="s">
        <v>26</v>
      </c>
      <c r="C2132">
        <v>69005</v>
      </c>
      <c r="D2132" t="s">
        <v>71</v>
      </c>
      <c r="E2132" s="7">
        <v>156.83000000000001</v>
      </c>
      <c r="F2132" t="s">
        <v>20</v>
      </c>
      <c r="G2132" t="s">
        <v>21</v>
      </c>
      <c r="H2132" t="str">
        <f>"4112659839"</f>
        <v>4112659839</v>
      </c>
      <c r="I2132" t="str">
        <f t="shared" si="51"/>
        <v>CINTAS CORPORATION #087</v>
      </c>
    </row>
    <row r="2133" spans="1:9" x14ac:dyDescent="0.25">
      <c r="A2133" s="6">
        <v>44635</v>
      </c>
      <c r="B2133" t="s">
        <v>26</v>
      </c>
      <c r="C2133">
        <v>69005</v>
      </c>
      <c r="D2133" t="s">
        <v>71</v>
      </c>
      <c r="E2133" s="7">
        <v>55.76</v>
      </c>
      <c r="F2133" t="s">
        <v>20</v>
      </c>
      <c r="G2133" t="s">
        <v>21</v>
      </c>
      <c r="H2133" t="str">
        <f>"411982975"</f>
        <v>411982975</v>
      </c>
      <c r="I2133" t="str">
        <f t="shared" si="51"/>
        <v>CINTAS CORPORATION #087</v>
      </c>
    </row>
    <row r="2134" spans="1:9" x14ac:dyDescent="0.25">
      <c r="A2134" s="6">
        <v>44635</v>
      </c>
      <c r="B2134" t="s">
        <v>26</v>
      </c>
      <c r="C2134">
        <v>69009</v>
      </c>
      <c r="D2134" t="s">
        <v>661</v>
      </c>
      <c r="E2134" s="7">
        <v>252.17</v>
      </c>
      <c r="F2134" t="s">
        <v>20</v>
      </c>
      <c r="G2134" t="s">
        <v>21</v>
      </c>
      <c r="H2134" t="str">
        <f>"8405576925"</f>
        <v>8405576925</v>
      </c>
      <c r="I2134" t="str">
        <f>"CINTAS FAS LOCKBOX 631025"</f>
        <v>CINTAS FAS LOCKBOX 631025</v>
      </c>
    </row>
    <row r="2135" spans="1:9" x14ac:dyDescent="0.25">
      <c r="A2135" s="6">
        <v>44635</v>
      </c>
      <c r="B2135" t="s">
        <v>26</v>
      </c>
      <c r="C2135">
        <v>69010</v>
      </c>
      <c r="D2135" t="s">
        <v>81</v>
      </c>
      <c r="E2135" s="7">
        <v>217.37</v>
      </c>
      <c r="F2135" t="s">
        <v>20</v>
      </c>
      <c r="G2135" t="s">
        <v>21</v>
      </c>
      <c r="H2135" t="str">
        <f>"A.MONTOYA 3/15/22"</f>
        <v>A.MONTOYA 3/15/22</v>
      </c>
      <c r="I2135" t="str">
        <f>"CITY OF FLORESVILLE -PETTY CAS"</f>
        <v>CITY OF FLORESVILLE -PETTY CAS</v>
      </c>
    </row>
    <row r="2136" spans="1:9" x14ac:dyDescent="0.25">
      <c r="A2136" s="6">
        <v>44635</v>
      </c>
      <c r="B2136" t="s">
        <v>26</v>
      </c>
      <c r="C2136">
        <v>69012</v>
      </c>
      <c r="D2136" t="s">
        <v>58</v>
      </c>
      <c r="E2136" s="7">
        <v>38</v>
      </c>
      <c r="F2136" t="s">
        <v>20</v>
      </c>
      <c r="G2136" t="s">
        <v>21</v>
      </c>
      <c r="H2136" t="str">
        <f>"667573"</f>
        <v>667573</v>
      </c>
      <c r="I2136" t="str">
        <f>"DEASON ANIMAL HOSPITAL"</f>
        <v>DEASON ANIMAL HOSPITAL</v>
      </c>
    </row>
    <row r="2137" spans="1:9" x14ac:dyDescent="0.25">
      <c r="A2137" s="6">
        <v>44635</v>
      </c>
      <c r="B2137" t="s">
        <v>26</v>
      </c>
      <c r="C2137">
        <v>69013</v>
      </c>
      <c r="D2137" t="s">
        <v>647</v>
      </c>
      <c r="E2137" s="7">
        <v>3483.81</v>
      </c>
      <c r="F2137" t="s">
        <v>20</v>
      </c>
      <c r="G2137" t="s">
        <v>21</v>
      </c>
      <c r="H2137" t="str">
        <f>"31210395"</f>
        <v>31210395</v>
      </c>
      <c r="I2137" t="str">
        <f>"DOCUMATION  INC."</f>
        <v>DOCUMATION  INC.</v>
      </c>
    </row>
    <row r="2138" spans="1:9" x14ac:dyDescent="0.25">
      <c r="A2138" s="6">
        <v>44635</v>
      </c>
      <c r="B2138" t="s">
        <v>26</v>
      </c>
      <c r="C2138">
        <v>69014</v>
      </c>
      <c r="D2138" t="s">
        <v>77</v>
      </c>
      <c r="E2138" s="7">
        <v>483.26</v>
      </c>
      <c r="F2138" t="s">
        <v>20</v>
      </c>
      <c r="G2138" t="s">
        <v>21</v>
      </c>
      <c r="H2138" t="str">
        <f>"857000279-22"</f>
        <v>857000279-22</v>
      </c>
      <c r="I2138" t="str">
        <f>"CHLORINE"</f>
        <v>CHLORINE</v>
      </c>
    </row>
    <row r="2139" spans="1:9" x14ac:dyDescent="0.25">
      <c r="A2139" s="6">
        <v>44635</v>
      </c>
      <c r="B2139" t="s">
        <v>26</v>
      </c>
      <c r="C2139">
        <v>69014</v>
      </c>
      <c r="D2139" t="s">
        <v>77</v>
      </c>
      <c r="E2139" s="7">
        <v>1275.3499999999999</v>
      </c>
      <c r="F2139" t="s">
        <v>20</v>
      </c>
      <c r="G2139" t="s">
        <v>21</v>
      </c>
      <c r="H2139" t="str">
        <f>"857000280-22"</f>
        <v>857000280-22</v>
      </c>
      <c r="I2139" t="str">
        <f>"CHLORINE"</f>
        <v>CHLORINE</v>
      </c>
    </row>
    <row r="2140" spans="1:9" x14ac:dyDescent="0.25">
      <c r="A2140" s="6">
        <v>44635</v>
      </c>
      <c r="B2140" t="s">
        <v>26</v>
      </c>
      <c r="C2140">
        <v>69014</v>
      </c>
      <c r="D2140" t="s">
        <v>77</v>
      </c>
      <c r="E2140" s="7">
        <v>641.67999999999995</v>
      </c>
      <c r="F2140" t="s">
        <v>20</v>
      </c>
      <c r="G2140" t="s">
        <v>21</v>
      </c>
      <c r="H2140" t="str">
        <f>"857000281-22"</f>
        <v>857000281-22</v>
      </c>
      <c r="I2140" t="str">
        <f>"CHLORINE"</f>
        <v>CHLORINE</v>
      </c>
    </row>
    <row r="2141" spans="1:9" x14ac:dyDescent="0.25">
      <c r="A2141" s="6">
        <v>44635</v>
      </c>
      <c r="B2141" t="s">
        <v>26</v>
      </c>
      <c r="C2141">
        <v>69015</v>
      </c>
      <c r="D2141" t="s">
        <v>103</v>
      </c>
      <c r="E2141" s="7">
        <v>86513</v>
      </c>
      <c r="F2141" t="s">
        <v>20</v>
      </c>
      <c r="G2141" t="s">
        <v>21</v>
      </c>
      <c r="H2141" t="str">
        <f>"MARCH'22 SALES TAX"</f>
        <v>MARCH'22 SALES TAX</v>
      </c>
      <c r="I2141" t="str">
        <f>"F. E. D. C."</f>
        <v>F. E. D. C.</v>
      </c>
    </row>
    <row r="2142" spans="1:9" x14ac:dyDescent="0.25">
      <c r="A2142" s="6">
        <v>44635</v>
      </c>
      <c r="B2142" t="s">
        <v>26</v>
      </c>
      <c r="C2142">
        <v>69016</v>
      </c>
      <c r="D2142" t="s">
        <v>79</v>
      </c>
      <c r="E2142" s="7">
        <v>22.75</v>
      </c>
      <c r="F2142" t="s">
        <v>20</v>
      </c>
      <c r="G2142" t="s">
        <v>21</v>
      </c>
      <c r="H2142" t="str">
        <f>"7-672-08708"</f>
        <v>7-672-08708</v>
      </c>
      <c r="I2142" t="str">
        <f>"FEDEX"</f>
        <v>FEDEX</v>
      </c>
    </row>
    <row r="2143" spans="1:9" x14ac:dyDescent="0.25">
      <c r="A2143" s="6">
        <v>44635</v>
      </c>
      <c r="B2143" t="s">
        <v>26</v>
      </c>
      <c r="C2143">
        <v>69017</v>
      </c>
      <c r="D2143" t="s">
        <v>59</v>
      </c>
      <c r="E2143" s="7">
        <v>1663.5</v>
      </c>
      <c r="F2143" t="s">
        <v>20</v>
      </c>
      <c r="G2143" t="s">
        <v>21</v>
      </c>
      <c r="H2143" t="str">
        <f>"1158851"</f>
        <v>1158851</v>
      </c>
      <c r="I2143" t="str">
        <f>"SEWER PROJECT"</f>
        <v>SEWER PROJECT</v>
      </c>
    </row>
    <row r="2144" spans="1:9" x14ac:dyDescent="0.25">
      <c r="A2144" s="6">
        <v>44635</v>
      </c>
      <c r="B2144" t="s">
        <v>26</v>
      </c>
      <c r="C2144">
        <v>69017</v>
      </c>
      <c r="D2144" t="s">
        <v>59</v>
      </c>
      <c r="E2144" s="7">
        <v>119.85</v>
      </c>
      <c r="F2144" t="s">
        <v>20</v>
      </c>
      <c r="G2144" t="s">
        <v>21</v>
      </c>
      <c r="H2144" t="str">
        <f>"1158856-1"</f>
        <v>1158856-1</v>
      </c>
      <c r="I2144" t="str">
        <f>"SEWER PROJECT"</f>
        <v>SEWER PROJECT</v>
      </c>
    </row>
    <row r="2145" spans="1:9" x14ac:dyDescent="0.25">
      <c r="A2145" s="6">
        <v>44635</v>
      </c>
      <c r="B2145" t="s">
        <v>26</v>
      </c>
      <c r="C2145">
        <v>69017</v>
      </c>
      <c r="D2145" t="s">
        <v>59</v>
      </c>
      <c r="E2145" s="7">
        <v>10826</v>
      </c>
      <c r="F2145" t="s">
        <v>20</v>
      </c>
      <c r="G2145" t="s">
        <v>21</v>
      </c>
      <c r="H2145" t="str">
        <f>"1161989"</f>
        <v>1161989</v>
      </c>
      <c r="I2145" t="str">
        <f>"NEW LAUNDROMAT"</f>
        <v>NEW LAUNDROMAT</v>
      </c>
    </row>
    <row r="2146" spans="1:9" x14ac:dyDescent="0.25">
      <c r="A2146" s="6">
        <v>44635</v>
      </c>
      <c r="B2146" t="s">
        <v>26</v>
      </c>
      <c r="C2146">
        <v>69019</v>
      </c>
      <c r="D2146" t="s">
        <v>562</v>
      </c>
      <c r="E2146" s="7">
        <v>533.48</v>
      </c>
      <c r="F2146" t="s">
        <v>20</v>
      </c>
      <c r="G2146" t="s">
        <v>21</v>
      </c>
      <c r="H2146" t="str">
        <f>"TRAF. CONF.3/28/22"</f>
        <v>TRAF. CONF.3/28/22</v>
      </c>
      <c r="I2146" t="str">
        <f>"FONDA KELLNER"</f>
        <v>FONDA KELLNER</v>
      </c>
    </row>
    <row r="2147" spans="1:9" x14ac:dyDescent="0.25">
      <c r="A2147" s="6">
        <v>44635</v>
      </c>
      <c r="B2147" t="s">
        <v>26</v>
      </c>
      <c r="C2147">
        <v>69020</v>
      </c>
      <c r="D2147" t="s">
        <v>85</v>
      </c>
      <c r="E2147" s="7">
        <v>82.79</v>
      </c>
      <c r="F2147" t="s">
        <v>20</v>
      </c>
      <c r="G2147" t="s">
        <v>21</v>
      </c>
      <c r="H2147" t="str">
        <f>"3930579 MAR.2022"</f>
        <v>3930579 MAR.2022</v>
      </c>
      <c r="I2147" t="str">
        <f>"FRONTIER"</f>
        <v>FRONTIER</v>
      </c>
    </row>
    <row r="2148" spans="1:9" x14ac:dyDescent="0.25">
      <c r="A2148" s="6">
        <v>44635</v>
      </c>
      <c r="B2148" t="s">
        <v>26</v>
      </c>
      <c r="C2148">
        <v>69020</v>
      </c>
      <c r="D2148" t="s">
        <v>85</v>
      </c>
      <c r="E2148" s="7">
        <v>51.58</v>
      </c>
      <c r="F2148" t="s">
        <v>20</v>
      </c>
      <c r="G2148" t="s">
        <v>21</v>
      </c>
      <c r="H2148" t="str">
        <f>"3933108 MAR.2022"</f>
        <v>3933108 MAR.2022</v>
      </c>
      <c r="I2148" t="str">
        <f>"FRONTIER"</f>
        <v>FRONTIER</v>
      </c>
    </row>
    <row r="2149" spans="1:9" x14ac:dyDescent="0.25">
      <c r="A2149" s="6">
        <v>44635</v>
      </c>
      <c r="B2149" t="s">
        <v>26</v>
      </c>
      <c r="C2149">
        <v>69020</v>
      </c>
      <c r="D2149" t="s">
        <v>85</v>
      </c>
      <c r="E2149" s="7">
        <v>63.09</v>
      </c>
      <c r="F2149" t="s">
        <v>20</v>
      </c>
      <c r="G2149" t="s">
        <v>21</v>
      </c>
      <c r="H2149" t="str">
        <f>"3939791 MAR.2022"</f>
        <v>3939791 MAR.2022</v>
      </c>
      <c r="I2149" t="str">
        <f>"FRONTIER"</f>
        <v>FRONTIER</v>
      </c>
    </row>
    <row r="2150" spans="1:9" x14ac:dyDescent="0.25">
      <c r="A2150" s="6">
        <v>44635</v>
      </c>
      <c r="B2150" t="s">
        <v>26</v>
      </c>
      <c r="C2150">
        <v>69020</v>
      </c>
      <c r="D2150" t="s">
        <v>85</v>
      </c>
      <c r="E2150" s="7">
        <v>205.02</v>
      </c>
      <c r="F2150" t="s">
        <v>20</v>
      </c>
      <c r="G2150" t="s">
        <v>21</v>
      </c>
      <c r="H2150" t="str">
        <f>"8301970102"</f>
        <v>8301970102</v>
      </c>
      <c r="I2150" t="str">
        <f>"FRONTIER"</f>
        <v>FRONTIER</v>
      </c>
    </row>
    <row r="2151" spans="1:9" x14ac:dyDescent="0.25">
      <c r="A2151" s="6">
        <v>44635</v>
      </c>
      <c r="B2151" t="s">
        <v>26</v>
      </c>
      <c r="C2151">
        <v>69021</v>
      </c>
      <c r="D2151" t="s">
        <v>194</v>
      </c>
      <c r="E2151" s="7">
        <v>92.91</v>
      </c>
      <c r="F2151" t="s">
        <v>20</v>
      </c>
      <c r="G2151" t="s">
        <v>21</v>
      </c>
      <c r="H2151" t="str">
        <f>"020428266"</f>
        <v>020428266</v>
      </c>
      <c r="I2151" t="str">
        <f>"GALLS  LLC-D.B.A. STERLING'S U"</f>
        <v>GALLS  LLC-D.B.A. STERLING'S U</v>
      </c>
    </row>
    <row r="2152" spans="1:9" x14ac:dyDescent="0.25">
      <c r="A2152" s="6">
        <v>44635</v>
      </c>
      <c r="B2152" t="s">
        <v>26</v>
      </c>
      <c r="C2152">
        <v>69022</v>
      </c>
      <c r="D2152" t="s">
        <v>56</v>
      </c>
      <c r="E2152" s="7">
        <v>26.95</v>
      </c>
      <c r="F2152" t="s">
        <v>20</v>
      </c>
      <c r="G2152" t="s">
        <v>21</v>
      </c>
      <c r="H2152" t="str">
        <f>"198910"</f>
        <v>198910</v>
      </c>
      <c r="I2152" t="str">
        <f>"GERALD LUBIANSKI ENTERPRISES"</f>
        <v>GERALD LUBIANSKI ENTERPRISES</v>
      </c>
    </row>
    <row r="2153" spans="1:9" x14ac:dyDescent="0.25">
      <c r="A2153" s="6">
        <v>44635</v>
      </c>
      <c r="B2153" t="s">
        <v>26</v>
      </c>
      <c r="C2153">
        <v>69023</v>
      </c>
      <c r="D2153" t="s">
        <v>302</v>
      </c>
      <c r="E2153" s="7">
        <v>1443.77</v>
      </c>
      <c r="F2153" t="s">
        <v>20</v>
      </c>
      <c r="G2153" t="s">
        <v>21</v>
      </c>
      <c r="H2153" t="str">
        <f>"833139892.1"</f>
        <v>833139892.1</v>
      </c>
      <c r="I2153" t="str">
        <f>"WWTP"</f>
        <v>WWTP</v>
      </c>
    </row>
    <row r="2154" spans="1:9" x14ac:dyDescent="0.25">
      <c r="A2154" s="6">
        <v>44635</v>
      </c>
      <c r="B2154" t="s">
        <v>26</v>
      </c>
      <c r="C2154">
        <v>69024</v>
      </c>
      <c r="D2154" t="s">
        <v>125</v>
      </c>
      <c r="E2154" s="7">
        <v>135</v>
      </c>
      <c r="F2154" t="s">
        <v>20</v>
      </c>
      <c r="G2154" t="s">
        <v>21</v>
      </c>
      <c r="H2154" t="str">
        <f>"21-1050 FEB.2022"</f>
        <v>21-1050 FEB.2022</v>
      </c>
      <c r="I2154" t="str">
        <f>"INTREPID SURVEYING CORPORATION"</f>
        <v>INTREPID SURVEYING CORPORATION</v>
      </c>
    </row>
    <row r="2155" spans="1:9" x14ac:dyDescent="0.25">
      <c r="A2155" s="6">
        <v>44635</v>
      </c>
      <c r="B2155" t="s">
        <v>26</v>
      </c>
      <c r="C2155">
        <v>69025</v>
      </c>
      <c r="D2155" t="s">
        <v>1168</v>
      </c>
      <c r="E2155" s="7">
        <v>75.8</v>
      </c>
      <c r="F2155" t="s">
        <v>20</v>
      </c>
      <c r="G2155" t="s">
        <v>21</v>
      </c>
      <c r="H2155" t="str">
        <f>"3/12/2022"</f>
        <v>3/12/2022</v>
      </c>
      <c r="I2155" t="str">
        <f>"LAWRENCE JUSTIN BERNAL"</f>
        <v>LAWRENCE JUSTIN BERNAL</v>
      </c>
    </row>
    <row r="2156" spans="1:9" x14ac:dyDescent="0.25">
      <c r="A2156" s="6">
        <v>44635</v>
      </c>
      <c r="B2156" t="s">
        <v>26</v>
      </c>
      <c r="C2156">
        <v>69026</v>
      </c>
      <c r="D2156" t="s">
        <v>1032</v>
      </c>
      <c r="E2156" s="7">
        <v>7600</v>
      </c>
      <c r="F2156" t="s">
        <v>20</v>
      </c>
      <c r="G2156" t="s">
        <v>21</v>
      </c>
      <c r="H2156" t="str">
        <f>"2-22-17870  3/1/22"</f>
        <v>2-22-17870  3/1/22</v>
      </c>
      <c r="I2156" t="str">
        <f>"LEAL &amp; CARTER  P.C."</f>
        <v>LEAL &amp; CARTER  P.C.</v>
      </c>
    </row>
    <row r="2157" spans="1:9" x14ac:dyDescent="0.25">
      <c r="A2157" s="6">
        <v>44635</v>
      </c>
      <c r="B2157" t="s">
        <v>26</v>
      </c>
      <c r="C2157">
        <v>69027</v>
      </c>
      <c r="D2157" t="s">
        <v>326</v>
      </c>
      <c r="E2157" s="7">
        <v>53</v>
      </c>
      <c r="F2157" t="s">
        <v>20</v>
      </c>
      <c r="G2157" t="s">
        <v>21</v>
      </c>
      <c r="H2157" t="str">
        <f>"0025192119"</f>
        <v>0025192119</v>
      </c>
      <c r="I2157" t="str">
        <f>"MATHESON TRI-GAS INC"</f>
        <v>MATHESON TRI-GAS INC</v>
      </c>
    </row>
    <row r="2158" spans="1:9" x14ac:dyDescent="0.25">
      <c r="A2158" s="6">
        <v>44635</v>
      </c>
      <c r="B2158" t="s">
        <v>26</v>
      </c>
      <c r="C2158">
        <v>69028</v>
      </c>
      <c r="D2158" t="s">
        <v>124</v>
      </c>
      <c r="E2158" s="7">
        <v>160</v>
      </c>
      <c r="F2158" t="s">
        <v>20</v>
      </c>
      <c r="G2158" t="s">
        <v>21</v>
      </c>
      <c r="H2158" t="str">
        <f>"11117953"</f>
        <v>11117953</v>
      </c>
      <c r="I2158" t="str">
        <f>"POSTHOLE DIGGER CEMENT"</f>
        <v>POSTHOLE DIGGER CEMENT</v>
      </c>
    </row>
    <row r="2159" spans="1:9" x14ac:dyDescent="0.25">
      <c r="A2159" s="6">
        <v>44635</v>
      </c>
      <c r="B2159" t="s">
        <v>26</v>
      </c>
      <c r="C2159">
        <v>69028</v>
      </c>
      <c r="D2159" t="s">
        <v>124</v>
      </c>
      <c r="E2159" s="7">
        <v>151.93</v>
      </c>
      <c r="F2159" t="s">
        <v>20</v>
      </c>
      <c r="G2159" t="s">
        <v>21</v>
      </c>
      <c r="H2159" t="str">
        <f>"11118350"</f>
        <v>11118350</v>
      </c>
      <c r="I2159" t="str">
        <f>"EVENT CENTER SUPPLIES"</f>
        <v>EVENT CENTER SUPPLIES</v>
      </c>
    </row>
    <row r="2160" spans="1:9" x14ac:dyDescent="0.25">
      <c r="A2160" s="6">
        <v>44635</v>
      </c>
      <c r="B2160" t="s">
        <v>26</v>
      </c>
      <c r="C2160">
        <v>69029</v>
      </c>
      <c r="D2160" t="s">
        <v>345</v>
      </c>
      <c r="E2160" s="7">
        <v>319</v>
      </c>
      <c r="F2160" t="s">
        <v>20</v>
      </c>
      <c r="G2160" t="s">
        <v>21</v>
      </c>
      <c r="H2160" t="str">
        <f>"3/14/2022"</f>
        <v>3/14/2022</v>
      </c>
      <c r="I2160" t="str">
        <f>"MICHAEL ISAAC MARTINEZ"</f>
        <v>MICHAEL ISAAC MARTINEZ</v>
      </c>
    </row>
    <row r="2161" spans="1:9" x14ac:dyDescent="0.25">
      <c r="A2161" s="6">
        <v>44635</v>
      </c>
      <c r="B2161" t="s">
        <v>26</v>
      </c>
      <c r="C2161">
        <v>69030</v>
      </c>
      <c r="D2161" t="s">
        <v>240</v>
      </c>
      <c r="E2161" s="7">
        <v>59.99</v>
      </c>
      <c r="F2161" t="s">
        <v>20</v>
      </c>
      <c r="G2161" t="s">
        <v>21</v>
      </c>
      <c r="H2161" t="str">
        <f>"0223892-IN"</f>
        <v>0223892-IN</v>
      </c>
      <c r="I2161" t="str">
        <f>"NARDIS PUBLIC SAFETY"</f>
        <v>NARDIS PUBLIC SAFETY</v>
      </c>
    </row>
    <row r="2162" spans="1:9" x14ac:dyDescent="0.25">
      <c r="A2162" s="6">
        <v>44635</v>
      </c>
      <c r="B2162" t="s">
        <v>26</v>
      </c>
      <c r="C2162">
        <v>69030</v>
      </c>
      <c r="D2162" t="s">
        <v>240</v>
      </c>
      <c r="E2162" s="7">
        <v>59.99</v>
      </c>
      <c r="F2162" t="s">
        <v>20</v>
      </c>
      <c r="G2162" t="s">
        <v>21</v>
      </c>
      <c r="H2162" t="str">
        <f>"0223893-IN"</f>
        <v>0223893-IN</v>
      </c>
      <c r="I2162" t="str">
        <f>"NARDIS PUBLIC SAFETY"</f>
        <v>NARDIS PUBLIC SAFETY</v>
      </c>
    </row>
    <row r="2163" spans="1:9" x14ac:dyDescent="0.25">
      <c r="A2163" s="6">
        <v>44635</v>
      </c>
      <c r="B2163" t="s">
        <v>26</v>
      </c>
      <c r="C2163">
        <v>69030</v>
      </c>
      <c r="D2163" t="s">
        <v>240</v>
      </c>
      <c r="E2163" s="7">
        <v>111.49</v>
      </c>
      <c r="F2163" t="s">
        <v>20</v>
      </c>
      <c r="G2163" t="s">
        <v>21</v>
      </c>
      <c r="H2163" t="str">
        <f>"0224941-IN"</f>
        <v>0224941-IN</v>
      </c>
      <c r="I2163" t="str">
        <f>"NARDIS PUBLIC SAFETY"</f>
        <v>NARDIS PUBLIC SAFETY</v>
      </c>
    </row>
    <row r="2164" spans="1:9" x14ac:dyDescent="0.25">
      <c r="A2164" s="6">
        <v>44635</v>
      </c>
      <c r="B2164" t="s">
        <v>26</v>
      </c>
      <c r="C2164">
        <v>69031</v>
      </c>
      <c r="D2164" t="s">
        <v>123</v>
      </c>
      <c r="E2164" s="7">
        <v>31.55</v>
      </c>
      <c r="F2164" t="s">
        <v>20</v>
      </c>
      <c r="G2164" t="s">
        <v>21</v>
      </c>
      <c r="H2164" t="str">
        <f>"229797394001"</f>
        <v>229797394001</v>
      </c>
      <c r="I2164" t="str">
        <f>"OFFICE SUPPLIES"</f>
        <v>OFFICE SUPPLIES</v>
      </c>
    </row>
    <row r="2165" spans="1:9" x14ac:dyDescent="0.25">
      <c r="A2165" s="6">
        <v>44635</v>
      </c>
      <c r="B2165" t="s">
        <v>26</v>
      </c>
      <c r="C2165">
        <v>69032</v>
      </c>
      <c r="D2165" t="s">
        <v>1081</v>
      </c>
      <c r="E2165" s="7">
        <v>340</v>
      </c>
      <c r="F2165" t="s">
        <v>20</v>
      </c>
      <c r="G2165" t="s">
        <v>21</v>
      </c>
      <c r="H2165" t="str">
        <f>"33146"</f>
        <v>33146</v>
      </c>
      <c r="I2165" t="str">
        <f>"PINNACLE PEST DEFENSE"</f>
        <v>PINNACLE PEST DEFENSE</v>
      </c>
    </row>
    <row r="2166" spans="1:9" x14ac:dyDescent="0.25">
      <c r="A2166" s="6">
        <v>44635</v>
      </c>
      <c r="B2166" t="s">
        <v>26</v>
      </c>
      <c r="C2166">
        <v>69033</v>
      </c>
      <c r="D2166" t="s">
        <v>184</v>
      </c>
      <c r="E2166" s="7">
        <v>828</v>
      </c>
      <c r="F2166" t="s">
        <v>20</v>
      </c>
      <c r="G2166" t="s">
        <v>21</v>
      </c>
      <c r="H2166" t="str">
        <f>"1066-352"</f>
        <v>1066-352</v>
      </c>
      <c r="I2166" t="str">
        <f>"POLLUTION CONTROL SERVICES"</f>
        <v>POLLUTION CONTROL SERVICES</v>
      </c>
    </row>
    <row r="2167" spans="1:9" x14ac:dyDescent="0.25">
      <c r="A2167" s="6">
        <v>44635</v>
      </c>
      <c r="B2167" t="s">
        <v>26</v>
      </c>
      <c r="C2167">
        <v>69033</v>
      </c>
      <c r="D2167" t="s">
        <v>184</v>
      </c>
      <c r="E2167" s="7">
        <v>252</v>
      </c>
      <c r="F2167" t="s">
        <v>20</v>
      </c>
      <c r="G2167" t="s">
        <v>21</v>
      </c>
      <c r="H2167" t="str">
        <f>"1066-353"</f>
        <v>1066-353</v>
      </c>
      <c r="I2167" t="str">
        <f>"POLLUTION CONTROL SERVICES"</f>
        <v>POLLUTION CONTROL SERVICES</v>
      </c>
    </row>
    <row r="2168" spans="1:9" x14ac:dyDescent="0.25">
      <c r="A2168" s="6">
        <v>44635</v>
      </c>
      <c r="B2168" t="s">
        <v>26</v>
      </c>
      <c r="C2168">
        <v>69034</v>
      </c>
      <c r="D2168" t="s">
        <v>62</v>
      </c>
      <c r="E2168" s="7">
        <v>233.75</v>
      </c>
      <c r="F2168" t="s">
        <v>20</v>
      </c>
      <c r="G2168" t="s">
        <v>21</v>
      </c>
      <c r="H2168" t="str">
        <f>"78383"</f>
        <v>78383</v>
      </c>
      <c r="I2168" t="str">
        <f>"PROFICIENT BENEFIT SOLUTIONS"</f>
        <v>PROFICIENT BENEFIT SOLUTIONS</v>
      </c>
    </row>
    <row r="2169" spans="1:9" x14ac:dyDescent="0.25">
      <c r="A2169" s="6">
        <v>44635</v>
      </c>
      <c r="B2169" t="s">
        <v>26</v>
      </c>
      <c r="C2169">
        <v>69035</v>
      </c>
      <c r="D2169" t="s">
        <v>1138</v>
      </c>
      <c r="E2169" s="7">
        <v>2475</v>
      </c>
      <c r="F2169" t="s">
        <v>20</v>
      </c>
      <c r="G2169" t="s">
        <v>21</v>
      </c>
      <c r="H2169" t="str">
        <f>"300"</f>
        <v>300</v>
      </c>
      <c r="I2169" t="str">
        <f>"ANT AND STICKER TREATMENT"</f>
        <v>ANT AND STICKER TREATMENT</v>
      </c>
    </row>
    <row r="2170" spans="1:9" x14ac:dyDescent="0.25">
      <c r="A2170" s="6">
        <v>44635</v>
      </c>
      <c r="B2170" t="s">
        <v>26</v>
      </c>
      <c r="C2170">
        <v>69036</v>
      </c>
      <c r="D2170" t="s">
        <v>630</v>
      </c>
      <c r="E2170" s="7">
        <v>3924.8</v>
      </c>
      <c r="F2170" t="s">
        <v>20</v>
      </c>
      <c r="G2170" t="s">
        <v>21</v>
      </c>
      <c r="H2170" t="str">
        <f>"41696"</f>
        <v>41696</v>
      </c>
      <c r="I2170" t="str">
        <f>"METERS FOR STOCK"</f>
        <v>METERS FOR STOCK</v>
      </c>
    </row>
    <row r="2171" spans="1:9" x14ac:dyDescent="0.25">
      <c r="A2171" s="6">
        <v>44635</v>
      </c>
      <c r="B2171" t="s">
        <v>26</v>
      </c>
      <c r="C2171">
        <v>69037</v>
      </c>
      <c r="D2171" t="s">
        <v>213</v>
      </c>
      <c r="E2171" s="7">
        <v>14795.47</v>
      </c>
      <c r="F2171" t="s">
        <v>20</v>
      </c>
      <c r="G2171" t="s">
        <v>21</v>
      </c>
      <c r="H2171" t="str">
        <f>"FEBRUARY 2022"</f>
        <v>FEBRUARY 2022</v>
      </c>
      <c r="I2171" t="str">
        <f>"RIVER BEND COMMUNITY DEVELOPME"</f>
        <v>RIVER BEND COMMUNITY DEVELOPME</v>
      </c>
    </row>
    <row r="2172" spans="1:9" x14ac:dyDescent="0.25">
      <c r="A2172" s="6">
        <v>44635</v>
      </c>
      <c r="B2172" t="s">
        <v>26</v>
      </c>
      <c r="C2172">
        <v>69038</v>
      </c>
      <c r="D2172" t="s">
        <v>84</v>
      </c>
      <c r="E2172" s="7">
        <v>300</v>
      </c>
      <c r="F2172" t="s">
        <v>20</v>
      </c>
      <c r="G2172" t="s">
        <v>21</v>
      </c>
      <c r="H2172" t="str">
        <f>"1881389"</f>
        <v>1881389</v>
      </c>
      <c r="I2172" t="str">
        <f>"STANTEC CONSULTING SERVICES IN"</f>
        <v>STANTEC CONSULTING SERVICES IN</v>
      </c>
    </row>
    <row r="2173" spans="1:9" x14ac:dyDescent="0.25">
      <c r="A2173" s="6">
        <v>44635</v>
      </c>
      <c r="B2173" t="s">
        <v>26</v>
      </c>
      <c r="C2173">
        <v>69039</v>
      </c>
      <c r="D2173" t="s">
        <v>975</v>
      </c>
      <c r="E2173" s="7">
        <v>289.56</v>
      </c>
      <c r="F2173" t="s">
        <v>20</v>
      </c>
      <c r="G2173" t="s">
        <v>21</v>
      </c>
      <c r="H2173" t="str">
        <f>"P97933"</f>
        <v>P97933</v>
      </c>
      <c r="I2173" t="str">
        <f>"BELT AND BEARINGS"</f>
        <v>BELT AND BEARINGS</v>
      </c>
    </row>
    <row r="2174" spans="1:9" x14ac:dyDescent="0.25">
      <c r="A2174" s="6">
        <v>44635</v>
      </c>
      <c r="B2174" t="s">
        <v>26</v>
      </c>
      <c r="C2174">
        <v>69040</v>
      </c>
      <c r="D2174" t="s">
        <v>1141</v>
      </c>
      <c r="E2174" s="7">
        <v>306.32</v>
      </c>
      <c r="F2174" t="s">
        <v>20</v>
      </c>
      <c r="G2174" t="s">
        <v>21</v>
      </c>
      <c r="H2174" t="str">
        <f>"SSI-SS12179"</f>
        <v>SSI-SS12179</v>
      </c>
      <c r="I2174" t="str">
        <f>"TEXAS LANDFILL MANAGEMENT  LLC"</f>
        <v>TEXAS LANDFILL MANAGEMENT  LLC</v>
      </c>
    </row>
    <row r="2175" spans="1:9" x14ac:dyDescent="0.25">
      <c r="A2175" s="6">
        <v>44635</v>
      </c>
      <c r="B2175" t="s">
        <v>26</v>
      </c>
      <c r="C2175">
        <v>69040</v>
      </c>
      <c r="D2175" t="s">
        <v>1141</v>
      </c>
      <c r="E2175" s="7">
        <v>316.68</v>
      </c>
      <c r="F2175" t="s">
        <v>20</v>
      </c>
      <c r="G2175" t="s">
        <v>21</v>
      </c>
      <c r="H2175" t="str">
        <f>"SSI-SS12316"</f>
        <v>SSI-SS12316</v>
      </c>
      <c r="I2175" t="str">
        <f>"TEXAS LANDFILL MANAGEMENT  LLC"</f>
        <v>TEXAS LANDFILL MANAGEMENT  LLC</v>
      </c>
    </row>
    <row r="2176" spans="1:9" x14ac:dyDescent="0.25">
      <c r="A2176" s="6">
        <v>44635</v>
      </c>
      <c r="B2176" t="s">
        <v>26</v>
      </c>
      <c r="C2176">
        <v>69040</v>
      </c>
      <c r="D2176" t="s">
        <v>1141</v>
      </c>
      <c r="E2176" s="7">
        <v>315</v>
      </c>
      <c r="F2176" t="s">
        <v>20</v>
      </c>
      <c r="G2176" t="s">
        <v>21</v>
      </c>
      <c r="H2176" t="str">
        <f>"SSI-SS12423"</f>
        <v>SSI-SS12423</v>
      </c>
      <c r="I2176" t="str">
        <f>"TEXAS LANDFILL MANAGEMENT  LLC"</f>
        <v>TEXAS LANDFILL MANAGEMENT  LLC</v>
      </c>
    </row>
    <row r="2177" spans="1:9" x14ac:dyDescent="0.25">
      <c r="A2177" s="6">
        <v>44635</v>
      </c>
      <c r="B2177" t="s">
        <v>26</v>
      </c>
      <c r="C2177">
        <v>69040</v>
      </c>
      <c r="D2177" t="s">
        <v>1141</v>
      </c>
      <c r="E2177" s="7">
        <v>244.16</v>
      </c>
      <c r="F2177" t="s">
        <v>20</v>
      </c>
      <c r="G2177" t="s">
        <v>21</v>
      </c>
      <c r="H2177" t="str">
        <f>"SSI-SS12427"</f>
        <v>SSI-SS12427</v>
      </c>
      <c r="I2177" t="str">
        <f>"TEXAS LANDFILL MANAGEMENT  LLC"</f>
        <v>TEXAS LANDFILL MANAGEMENT  LLC</v>
      </c>
    </row>
    <row r="2178" spans="1:9" x14ac:dyDescent="0.25">
      <c r="A2178" s="6">
        <v>44635</v>
      </c>
      <c r="B2178" t="s">
        <v>26</v>
      </c>
      <c r="C2178">
        <v>69041</v>
      </c>
      <c r="D2178" t="s">
        <v>254</v>
      </c>
      <c r="E2178" s="7">
        <v>1321.59</v>
      </c>
      <c r="F2178" t="s">
        <v>20</v>
      </c>
      <c r="G2178" t="s">
        <v>21</v>
      </c>
      <c r="H2178" t="str">
        <f>"QRT END 12/31/21"</f>
        <v>QRT END 12/31/21</v>
      </c>
      <c r="I2178" t="str">
        <f>"TEXAS WORKFORCE COMMISSION"</f>
        <v>TEXAS WORKFORCE COMMISSION</v>
      </c>
    </row>
    <row r="2179" spans="1:9" x14ac:dyDescent="0.25">
      <c r="A2179" s="6">
        <v>44635</v>
      </c>
      <c r="B2179" t="s">
        <v>26</v>
      </c>
      <c r="C2179">
        <v>69042</v>
      </c>
      <c r="D2179" t="s">
        <v>1169</v>
      </c>
      <c r="E2179" s="7">
        <v>400</v>
      </c>
      <c r="F2179" t="s">
        <v>20</v>
      </c>
      <c r="G2179" t="s">
        <v>21</v>
      </c>
      <c r="H2179" t="str">
        <f>"DEP.RFND 10/2022"</f>
        <v>DEP.RFND 10/2022</v>
      </c>
      <c r="I2179" t="str">
        <f>"REFUND"</f>
        <v>REFUND</v>
      </c>
    </row>
    <row r="2180" spans="1:9" x14ac:dyDescent="0.25">
      <c r="A2180" s="6">
        <v>44635</v>
      </c>
      <c r="B2180" t="s">
        <v>26</v>
      </c>
      <c r="C2180">
        <v>69043</v>
      </c>
      <c r="D2180" t="s">
        <v>75</v>
      </c>
      <c r="E2180" s="7">
        <v>219.96</v>
      </c>
      <c r="F2180" t="s">
        <v>20</v>
      </c>
      <c r="G2180" t="s">
        <v>21</v>
      </c>
      <c r="H2180" t="str">
        <f>"100808687"</f>
        <v>100808687</v>
      </c>
      <c r="I2180" t="str">
        <f>"DOG KENNEL SUPPLIES -"</f>
        <v>DOG KENNEL SUPPLIES -</v>
      </c>
    </row>
    <row r="2181" spans="1:9" x14ac:dyDescent="0.25">
      <c r="A2181" s="6">
        <v>44635</v>
      </c>
      <c r="B2181" t="s">
        <v>26</v>
      </c>
      <c r="C2181">
        <v>69043</v>
      </c>
      <c r="D2181" t="s">
        <v>75</v>
      </c>
      <c r="E2181" s="7">
        <v>199.99</v>
      </c>
      <c r="F2181" t="s">
        <v>20</v>
      </c>
      <c r="G2181" t="s">
        <v>21</v>
      </c>
      <c r="H2181" t="str">
        <f>"100810418"</f>
        <v>100810418</v>
      </c>
      <c r="I2181" t="str">
        <f>"GATE FOR WATER PAD"</f>
        <v>GATE FOR WATER PAD</v>
      </c>
    </row>
    <row r="2182" spans="1:9" x14ac:dyDescent="0.25">
      <c r="A2182" s="6">
        <v>44635</v>
      </c>
      <c r="B2182" t="s">
        <v>26</v>
      </c>
      <c r="C2182">
        <v>69043</v>
      </c>
      <c r="D2182" t="s">
        <v>75</v>
      </c>
      <c r="E2182" s="7">
        <v>179.98</v>
      </c>
      <c r="F2182" t="s">
        <v>20</v>
      </c>
      <c r="G2182" t="s">
        <v>21</v>
      </c>
      <c r="H2182" t="str">
        <f>"100811912"</f>
        <v>100811912</v>
      </c>
      <c r="I2182" t="str">
        <f>"BOOTS / AIR FILTER"</f>
        <v>BOOTS / AIR FILTER</v>
      </c>
    </row>
    <row r="2183" spans="1:9" x14ac:dyDescent="0.25">
      <c r="A2183" s="6">
        <v>44635</v>
      </c>
      <c r="B2183" t="s">
        <v>26</v>
      </c>
      <c r="C2183">
        <v>69043</v>
      </c>
      <c r="D2183" t="s">
        <v>75</v>
      </c>
      <c r="E2183" s="7">
        <v>119.99</v>
      </c>
      <c r="F2183" t="s">
        <v>20</v>
      </c>
      <c r="G2183" t="s">
        <v>21</v>
      </c>
      <c r="H2183" t="str">
        <f>"100812651"</f>
        <v>100812651</v>
      </c>
      <c r="I2183" t="str">
        <f>"BOOTS FOR NEW HIRE"</f>
        <v>BOOTS FOR NEW HIRE</v>
      </c>
    </row>
    <row r="2184" spans="1:9" x14ac:dyDescent="0.25">
      <c r="A2184" s="6">
        <v>44635</v>
      </c>
      <c r="B2184" t="s">
        <v>26</v>
      </c>
      <c r="C2184">
        <v>69043</v>
      </c>
      <c r="D2184" t="s">
        <v>75</v>
      </c>
      <c r="E2184" s="7">
        <v>80.97</v>
      </c>
      <c r="F2184" t="s">
        <v>20</v>
      </c>
      <c r="G2184" t="s">
        <v>21</v>
      </c>
      <c r="H2184" t="str">
        <f>"200957792"</f>
        <v>200957792</v>
      </c>
      <c r="I2184" t="str">
        <f>"KERSONE AND HEAD LIGHT"</f>
        <v>KERSONE AND HEAD LIGHT</v>
      </c>
    </row>
    <row r="2185" spans="1:9" x14ac:dyDescent="0.25">
      <c r="A2185" s="6">
        <v>44635</v>
      </c>
      <c r="B2185" t="s">
        <v>26</v>
      </c>
      <c r="C2185">
        <v>69045</v>
      </c>
      <c r="D2185" t="s">
        <v>1110</v>
      </c>
      <c r="E2185" s="7">
        <v>15750</v>
      </c>
      <c r="F2185" t="s">
        <v>20</v>
      </c>
      <c r="G2185" t="s">
        <v>21</v>
      </c>
      <c r="H2185" t="str">
        <f>"89301"</f>
        <v>89301</v>
      </c>
      <c r="I2185" t="str">
        <f>"TRC"</f>
        <v>TRC</v>
      </c>
    </row>
    <row r="2186" spans="1:9" x14ac:dyDescent="0.25">
      <c r="A2186" s="6">
        <v>44635</v>
      </c>
      <c r="B2186" t="s">
        <v>26</v>
      </c>
      <c r="C2186">
        <v>69046</v>
      </c>
      <c r="D2186" t="s">
        <v>644</v>
      </c>
      <c r="E2186" s="7">
        <v>124.5</v>
      </c>
      <c r="F2186" t="s">
        <v>20</v>
      </c>
      <c r="G2186" t="s">
        <v>21</v>
      </c>
      <c r="H2186" t="str">
        <f>"8213702289"</f>
        <v>8213702289</v>
      </c>
      <c r="I2186" t="str">
        <f t="shared" ref="I2186:I2196" si="52">"UNIFIRST CORPORATION"</f>
        <v>UNIFIRST CORPORATION</v>
      </c>
    </row>
    <row r="2187" spans="1:9" x14ac:dyDescent="0.25">
      <c r="A2187" s="6">
        <v>44635</v>
      </c>
      <c r="B2187" t="s">
        <v>26</v>
      </c>
      <c r="C2187">
        <v>69046</v>
      </c>
      <c r="D2187" t="s">
        <v>644</v>
      </c>
      <c r="E2187" s="7">
        <v>147.82</v>
      </c>
      <c r="F2187" t="s">
        <v>20</v>
      </c>
      <c r="G2187" t="s">
        <v>21</v>
      </c>
      <c r="H2187" t="str">
        <f>"8213702386"</f>
        <v>8213702386</v>
      </c>
      <c r="I2187" t="str">
        <f t="shared" si="52"/>
        <v>UNIFIRST CORPORATION</v>
      </c>
    </row>
    <row r="2188" spans="1:9" x14ac:dyDescent="0.25">
      <c r="A2188" s="6">
        <v>44635</v>
      </c>
      <c r="B2188" t="s">
        <v>26</v>
      </c>
      <c r="C2188">
        <v>69046</v>
      </c>
      <c r="D2188" t="s">
        <v>644</v>
      </c>
      <c r="E2188" s="7">
        <v>26.49</v>
      </c>
      <c r="F2188" t="s">
        <v>20</v>
      </c>
      <c r="G2188" t="s">
        <v>21</v>
      </c>
      <c r="H2188" t="str">
        <f>"8213702387"</f>
        <v>8213702387</v>
      </c>
      <c r="I2188" t="str">
        <f t="shared" si="52"/>
        <v>UNIFIRST CORPORATION</v>
      </c>
    </row>
    <row r="2189" spans="1:9" x14ac:dyDescent="0.25">
      <c r="A2189" s="6">
        <v>44635</v>
      </c>
      <c r="B2189" t="s">
        <v>26</v>
      </c>
      <c r="C2189">
        <v>69046</v>
      </c>
      <c r="D2189" t="s">
        <v>644</v>
      </c>
      <c r="E2189" s="7">
        <v>134.13</v>
      </c>
      <c r="F2189" t="s">
        <v>20</v>
      </c>
      <c r="G2189" t="s">
        <v>21</v>
      </c>
      <c r="H2189" t="str">
        <f>"8213702388"</f>
        <v>8213702388</v>
      </c>
      <c r="I2189" t="str">
        <f t="shared" si="52"/>
        <v>UNIFIRST CORPORATION</v>
      </c>
    </row>
    <row r="2190" spans="1:9" x14ac:dyDescent="0.25">
      <c r="A2190" s="6">
        <v>44635</v>
      </c>
      <c r="B2190" t="s">
        <v>26</v>
      </c>
      <c r="C2190">
        <v>69046</v>
      </c>
      <c r="D2190" t="s">
        <v>644</v>
      </c>
      <c r="E2190" s="7">
        <v>77.77</v>
      </c>
      <c r="F2190" t="s">
        <v>20</v>
      </c>
      <c r="G2190" t="s">
        <v>21</v>
      </c>
      <c r="H2190" t="str">
        <f>"8213702391"</f>
        <v>8213702391</v>
      </c>
      <c r="I2190" t="str">
        <f t="shared" si="52"/>
        <v>UNIFIRST CORPORATION</v>
      </c>
    </row>
    <row r="2191" spans="1:9" x14ac:dyDescent="0.25">
      <c r="A2191" s="6">
        <v>44635</v>
      </c>
      <c r="B2191" t="s">
        <v>26</v>
      </c>
      <c r="C2191">
        <v>69046</v>
      </c>
      <c r="D2191" t="s">
        <v>644</v>
      </c>
      <c r="E2191" s="7">
        <v>26.49</v>
      </c>
      <c r="F2191" t="s">
        <v>20</v>
      </c>
      <c r="G2191" t="s">
        <v>21</v>
      </c>
      <c r="H2191" t="str">
        <f>"8213702392"</f>
        <v>8213702392</v>
      </c>
      <c r="I2191" t="str">
        <f t="shared" si="52"/>
        <v>UNIFIRST CORPORATION</v>
      </c>
    </row>
    <row r="2192" spans="1:9" x14ac:dyDescent="0.25">
      <c r="A2192" s="6">
        <v>44635</v>
      </c>
      <c r="B2192" t="s">
        <v>26</v>
      </c>
      <c r="C2192">
        <v>69046</v>
      </c>
      <c r="D2192" t="s">
        <v>644</v>
      </c>
      <c r="E2192" s="7">
        <v>333.32</v>
      </c>
      <c r="F2192" t="s">
        <v>20</v>
      </c>
      <c r="G2192" t="s">
        <v>21</v>
      </c>
      <c r="H2192" t="str">
        <f>"8213704965"</f>
        <v>8213704965</v>
      </c>
      <c r="I2192" t="str">
        <f t="shared" si="52"/>
        <v>UNIFIRST CORPORATION</v>
      </c>
    </row>
    <row r="2193" spans="1:9" x14ac:dyDescent="0.25">
      <c r="A2193" s="6">
        <v>44635</v>
      </c>
      <c r="B2193" t="s">
        <v>26</v>
      </c>
      <c r="C2193">
        <v>69046</v>
      </c>
      <c r="D2193" t="s">
        <v>644</v>
      </c>
      <c r="E2193" s="7">
        <v>27.39</v>
      </c>
      <c r="F2193" t="s">
        <v>20</v>
      </c>
      <c r="G2193" t="s">
        <v>21</v>
      </c>
      <c r="H2193" t="str">
        <f>"8213704966"</f>
        <v>8213704966</v>
      </c>
      <c r="I2193" t="str">
        <f t="shared" si="52"/>
        <v>UNIFIRST CORPORATION</v>
      </c>
    </row>
    <row r="2194" spans="1:9" x14ac:dyDescent="0.25">
      <c r="A2194" s="6">
        <v>44635</v>
      </c>
      <c r="B2194" t="s">
        <v>26</v>
      </c>
      <c r="C2194">
        <v>69046</v>
      </c>
      <c r="D2194" t="s">
        <v>644</v>
      </c>
      <c r="E2194" s="7">
        <v>136.30000000000001</v>
      </c>
      <c r="F2194" t="s">
        <v>20</v>
      </c>
      <c r="G2194" t="s">
        <v>21</v>
      </c>
      <c r="H2194" t="str">
        <f>"8213704967"</f>
        <v>8213704967</v>
      </c>
      <c r="I2194" t="str">
        <f t="shared" si="52"/>
        <v>UNIFIRST CORPORATION</v>
      </c>
    </row>
    <row r="2195" spans="1:9" x14ac:dyDescent="0.25">
      <c r="A2195" s="6">
        <v>44635</v>
      </c>
      <c r="B2195" t="s">
        <v>26</v>
      </c>
      <c r="C2195">
        <v>69046</v>
      </c>
      <c r="D2195" t="s">
        <v>644</v>
      </c>
      <c r="E2195" s="7">
        <v>126.81</v>
      </c>
      <c r="F2195" t="s">
        <v>20</v>
      </c>
      <c r="G2195" t="s">
        <v>21</v>
      </c>
      <c r="H2195" t="str">
        <f>"8213704968"</f>
        <v>8213704968</v>
      </c>
      <c r="I2195" t="str">
        <f t="shared" si="52"/>
        <v>UNIFIRST CORPORATION</v>
      </c>
    </row>
    <row r="2196" spans="1:9" x14ac:dyDescent="0.25">
      <c r="A2196" s="6">
        <v>44635</v>
      </c>
      <c r="B2196" t="s">
        <v>26</v>
      </c>
      <c r="C2196">
        <v>69046</v>
      </c>
      <c r="D2196" t="s">
        <v>644</v>
      </c>
      <c r="E2196" s="7">
        <v>79.2</v>
      </c>
      <c r="F2196" t="s">
        <v>20</v>
      </c>
      <c r="G2196" t="s">
        <v>21</v>
      </c>
      <c r="H2196" t="str">
        <f>"8213704970"</f>
        <v>8213704970</v>
      </c>
      <c r="I2196" t="str">
        <f t="shared" si="52"/>
        <v>UNIFIRST CORPORATION</v>
      </c>
    </row>
    <row r="2197" spans="1:9" x14ac:dyDescent="0.25">
      <c r="A2197" s="6">
        <v>44635</v>
      </c>
      <c r="B2197" t="s">
        <v>26</v>
      </c>
      <c r="C2197">
        <v>69049</v>
      </c>
      <c r="D2197" t="s">
        <v>203</v>
      </c>
      <c r="E2197" s="7">
        <v>586.61</v>
      </c>
      <c r="F2197" t="s">
        <v>20</v>
      </c>
      <c r="G2197" t="s">
        <v>21</v>
      </c>
      <c r="H2197" t="str">
        <f>"888849"</f>
        <v>888849</v>
      </c>
      <c r="I2197" t="str">
        <f>"WWTP"</f>
        <v>WWTP</v>
      </c>
    </row>
    <row r="2198" spans="1:9" x14ac:dyDescent="0.25">
      <c r="A2198" s="6">
        <v>44635</v>
      </c>
      <c r="B2198" t="s">
        <v>26</v>
      </c>
      <c r="C2198">
        <v>69050</v>
      </c>
      <c r="D2198" t="s">
        <v>122</v>
      </c>
      <c r="E2198" s="7">
        <v>10</v>
      </c>
      <c r="F2198" t="s">
        <v>20</v>
      </c>
      <c r="G2198" t="s">
        <v>21</v>
      </c>
      <c r="H2198" t="str">
        <f>"017735"</f>
        <v>017735</v>
      </c>
      <c r="I2198" t="str">
        <f>"VILLA TIRES"</f>
        <v>VILLA TIRES</v>
      </c>
    </row>
    <row r="2199" spans="1:9" x14ac:dyDescent="0.25">
      <c r="A2199" s="6">
        <v>44635</v>
      </c>
      <c r="B2199" t="s">
        <v>26</v>
      </c>
      <c r="C2199">
        <v>69050</v>
      </c>
      <c r="D2199" t="s">
        <v>122</v>
      </c>
      <c r="E2199" s="7">
        <v>10</v>
      </c>
      <c r="F2199" t="s">
        <v>20</v>
      </c>
      <c r="G2199" t="s">
        <v>21</v>
      </c>
      <c r="H2199" t="str">
        <f>"017737"</f>
        <v>017737</v>
      </c>
      <c r="I2199" t="str">
        <f>"VILLA TIRES"</f>
        <v>VILLA TIRES</v>
      </c>
    </row>
    <row r="2200" spans="1:9" x14ac:dyDescent="0.25">
      <c r="A2200" s="6">
        <v>44635</v>
      </c>
      <c r="B2200" t="s">
        <v>26</v>
      </c>
      <c r="C2200">
        <v>69050</v>
      </c>
      <c r="D2200" t="s">
        <v>122</v>
      </c>
      <c r="E2200" s="7">
        <v>10</v>
      </c>
      <c r="F2200" t="s">
        <v>20</v>
      </c>
      <c r="G2200" t="s">
        <v>21</v>
      </c>
      <c r="H2200" t="str">
        <f>"017739"</f>
        <v>017739</v>
      </c>
      <c r="I2200" t="str">
        <f>"VILLA TIRES"</f>
        <v>VILLA TIRES</v>
      </c>
    </row>
    <row r="2201" spans="1:9" x14ac:dyDescent="0.25">
      <c r="A2201" s="6">
        <v>44635</v>
      </c>
      <c r="B2201" t="s">
        <v>26</v>
      </c>
      <c r="C2201">
        <v>69050</v>
      </c>
      <c r="D2201" t="s">
        <v>122</v>
      </c>
      <c r="E2201" s="7">
        <v>20</v>
      </c>
      <c r="F2201" t="s">
        <v>20</v>
      </c>
      <c r="G2201" t="s">
        <v>21</v>
      </c>
      <c r="H2201" t="str">
        <f>"017741"</f>
        <v>017741</v>
      </c>
      <c r="I2201" t="str">
        <f>"VILLA TIRES"</f>
        <v>VILLA TIRES</v>
      </c>
    </row>
    <row r="2202" spans="1:9" x14ac:dyDescent="0.25">
      <c r="A2202" s="6">
        <v>44635</v>
      </c>
      <c r="B2202" t="s">
        <v>26</v>
      </c>
      <c r="C2202">
        <v>69050</v>
      </c>
      <c r="D2202" t="s">
        <v>122</v>
      </c>
      <c r="E2202" s="7">
        <v>10</v>
      </c>
      <c r="F2202" t="s">
        <v>20</v>
      </c>
      <c r="G2202" t="s">
        <v>21</v>
      </c>
      <c r="H2202" t="str">
        <f>"017742"</f>
        <v>017742</v>
      </c>
      <c r="I2202" t="str">
        <f>"VILLA TIRES"</f>
        <v>VILLA TIRES</v>
      </c>
    </row>
    <row r="2203" spans="1:9" x14ac:dyDescent="0.25">
      <c r="A2203" s="6">
        <v>44635</v>
      </c>
      <c r="B2203" t="s">
        <v>26</v>
      </c>
      <c r="C2203">
        <v>69051</v>
      </c>
      <c r="D2203" t="s">
        <v>202</v>
      </c>
      <c r="E2203" s="7">
        <v>5974.4</v>
      </c>
      <c r="F2203" t="s">
        <v>20</v>
      </c>
      <c r="G2203" t="s">
        <v>21</v>
      </c>
      <c r="H2203" t="str">
        <f>"62423870"</f>
        <v>62423870</v>
      </c>
      <c r="I2203" t="str">
        <f>"A-2 BASE AND COLD MIX"</f>
        <v>A-2 BASE AND COLD MIX</v>
      </c>
    </row>
    <row r="2204" spans="1:9" x14ac:dyDescent="0.25">
      <c r="A2204" s="6">
        <v>44635</v>
      </c>
      <c r="B2204" t="s">
        <v>26</v>
      </c>
      <c r="C2204">
        <v>69051</v>
      </c>
      <c r="D2204" t="s">
        <v>202</v>
      </c>
      <c r="E2204" s="7">
        <v>1291.54</v>
      </c>
      <c r="F2204" t="s">
        <v>20</v>
      </c>
      <c r="G2204" t="s">
        <v>21</v>
      </c>
      <c r="H2204" t="str">
        <f>"62426634"</f>
        <v>62426634</v>
      </c>
      <c r="I2204" t="str">
        <f>"A-2 BASE AND COLD MIX"</f>
        <v>A-2 BASE AND COLD MIX</v>
      </c>
    </row>
    <row r="2205" spans="1:9" x14ac:dyDescent="0.25">
      <c r="A2205" s="6">
        <v>44635</v>
      </c>
      <c r="B2205" t="s">
        <v>26</v>
      </c>
      <c r="C2205">
        <v>69052</v>
      </c>
      <c r="D2205" t="s">
        <v>76</v>
      </c>
      <c r="E2205" s="7">
        <v>3012.15</v>
      </c>
      <c r="F2205" t="s">
        <v>20</v>
      </c>
      <c r="G2205" t="s">
        <v>21</v>
      </c>
      <c r="H2205" t="str">
        <f>"2ND QRT APR-JUN'22"</f>
        <v>2ND QRT APR-JUN'22</v>
      </c>
      <c r="I2205" t="str">
        <f>"WILSON COUNTY TAX COLLECTOR"</f>
        <v>WILSON COUNTY TAX COLLECTOR</v>
      </c>
    </row>
    <row r="2206" spans="1:9" x14ac:dyDescent="0.25">
      <c r="A2206" s="6">
        <v>44635</v>
      </c>
      <c r="B2206" t="s">
        <v>26</v>
      </c>
      <c r="C2206">
        <v>69053</v>
      </c>
      <c r="D2206" t="s">
        <v>1170</v>
      </c>
      <c r="E2206" s="7">
        <v>100</v>
      </c>
      <c r="F2206" t="s">
        <v>20</v>
      </c>
      <c r="G2206" t="s">
        <v>21</v>
      </c>
      <c r="H2206" t="str">
        <f>"DEP.RFND 4/16/22"</f>
        <v>DEP.RFND 4/16/22</v>
      </c>
      <c r="I2206" t="str">
        <f>"REFUND"</f>
        <v>REFUND</v>
      </c>
    </row>
    <row r="2207" spans="1:9" x14ac:dyDescent="0.25">
      <c r="A2207" s="6">
        <v>44635</v>
      </c>
      <c r="B2207" t="s">
        <v>26</v>
      </c>
      <c r="C2207">
        <v>69054</v>
      </c>
      <c r="D2207" t="s">
        <v>346</v>
      </c>
      <c r="E2207" s="7">
        <v>13750</v>
      </c>
      <c r="F2207" t="s">
        <v>20</v>
      </c>
      <c r="G2207" t="s">
        <v>21</v>
      </c>
      <c r="H2207" t="str">
        <f>"2/11-3/11/2022"</f>
        <v>2/11-3/11/2022</v>
      </c>
      <c r="I2207" t="str">
        <f>"SYLVIA RODRIGUEZ"</f>
        <v>SYLVIA RODRIGUEZ</v>
      </c>
    </row>
    <row r="2208" spans="1:9" x14ac:dyDescent="0.25">
      <c r="A2208" s="6">
        <v>44636</v>
      </c>
      <c r="B2208" t="s">
        <v>26</v>
      </c>
      <c r="C2208">
        <v>69055</v>
      </c>
      <c r="D2208" t="s">
        <v>1171</v>
      </c>
      <c r="E2208" s="7">
        <v>200</v>
      </c>
      <c r="F2208" t="s">
        <v>20</v>
      </c>
      <c r="G2208" t="s">
        <v>21</v>
      </c>
      <c r="H2208" t="str">
        <f>"DPST RFND 6/25/22"</f>
        <v>DPST RFND 6/25/22</v>
      </c>
      <c r="I2208" t="str">
        <f>"REFUND"</f>
        <v>REFUND</v>
      </c>
    </row>
    <row r="2209" spans="1:9" x14ac:dyDescent="0.25">
      <c r="A2209" s="6">
        <v>44636</v>
      </c>
      <c r="B2209" t="s">
        <v>26</v>
      </c>
      <c r="C2209">
        <v>69056</v>
      </c>
      <c r="D2209" t="s">
        <v>1030</v>
      </c>
      <c r="E2209" s="7">
        <v>53186.45</v>
      </c>
      <c r="F2209" t="s">
        <v>20</v>
      </c>
      <c r="G2209" t="s">
        <v>21</v>
      </c>
      <c r="H2209" t="str">
        <f>"PAY APP #1"</f>
        <v>PAY APP #1</v>
      </c>
      <c r="I2209" t="str">
        <f>"TRIUN  LLC"</f>
        <v>TRIUN  LLC</v>
      </c>
    </row>
    <row r="2210" spans="1:9" x14ac:dyDescent="0.25">
      <c r="A2210" s="6">
        <v>44636</v>
      </c>
      <c r="B2210" t="s">
        <v>26</v>
      </c>
      <c r="C2210">
        <v>69057</v>
      </c>
      <c r="D2210" t="s">
        <v>1136</v>
      </c>
      <c r="E2210" s="7">
        <v>2351</v>
      </c>
      <c r="F2210" t="s">
        <v>20</v>
      </c>
      <c r="G2210" t="s">
        <v>21</v>
      </c>
      <c r="H2210" t="str">
        <f>"INV0097.2"</f>
        <v>INV0097.2</v>
      </c>
      <c r="I2210" t="str">
        <f>"COF TENNIS COURT"</f>
        <v>COF TENNIS COURT</v>
      </c>
    </row>
    <row r="2211" spans="1:9" x14ac:dyDescent="0.25">
      <c r="A2211" s="6">
        <v>44638</v>
      </c>
      <c r="B2211" t="s">
        <v>26</v>
      </c>
      <c r="C2211">
        <v>69059</v>
      </c>
      <c r="D2211" t="s">
        <v>1172</v>
      </c>
      <c r="E2211" s="7">
        <v>2100</v>
      </c>
      <c r="F2211" t="s">
        <v>20</v>
      </c>
      <c r="G2211" t="s">
        <v>21</v>
      </c>
      <c r="H2211" t="str">
        <f>"311"</f>
        <v>311</v>
      </c>
      <c r="I2211" t="str">
        <f>"CUTLER PEESE"</f>
        <v>CUTLER PEESE</v>
      </c>
    </row>
    <row r="2212" spans="1:9" x14ac:dyDescent="0.25">
      <c r="A2212" s="6">
        <v>44642</v>
      </c>
      <c r="B2212" t="s">
        <v>26</v>
      </c>
      <c r="C2212">
        <v>69060</v>
      </c>
      <c r="D2212" t="s">
        <v>1029</v>
      </c>
      <c r="E2212" s="7">
        <v>326.36</v>
      </c>
      <c r="F2212" t="s">
        <v>20</v>
      </c>
      <c r="G2212" t="s">
        <v>21</v>
      </c>
      <c r="H2212" t="str">
        <f>"CM ASSOCIATION TR"</f>
        <v>CM ASSOCIATION TR</v>
      </c>
      <c r="I2212" t="str">
        <f>"ANDY JOSLIN"</f>
        <v>ANDY JOSLIN</v>
      </c>
    </row>
    <row r="2213" spans="1:9" x14ac:dyDescent="0.25">
      <c r="A2213" s="6">
        <v>44642</v>
      </c>
      <c r="B2213" t="s">
        <v>26</v>
      </c>
      <c r="C2213">
        <v>69061</v>
      </c>
      <c r="D2213" t="s">
        <v>168</v>
      </c>
      <c r="E2213" s="7">
        <v>556</v>
      </c>
      <c r="F2213" t="s">
        <v>20</v>
      </c>
      <c r="G2213" t="s">
        <v>21</v>
      </c>
      <c r="H2213" t="str">
        <f>"LI-8268"</f>
        <v>LI-8268</v>
      </c>
      <c r="I2213" t="str">
        <f>"BEXAR COUNTY AUDITOR/ATTN:CRIM"</f>
        <v>BEXAR COUNTY AUDITOR/ATTN:CRIM</v>
      </c>
    </row>
    <row r="2214" spans="1:9" x14ac:dyDescent="0.25">
      <c r="A2214" s="6">
        <v>44642</v>
      </c>
      <c r="B2214" t="s">
        <v>26</v>
      </c>
      <c r="C2214">
        <v>69062</v>
      </c>
      <c r="D2214" t="s">
        <v>1063</v>
      </c>
      <c r="E2214" s="7">
        <v>5887.82</v>
      </c>
      <c r="F2214" t="s">
        <v>20</v>
      </c>
      <c r="G2214" t="s">
        <v>21</v>
      </c>
      <c r="H2214" t="str">
        <f>"18032243"</f>
        <v>18032243</v>
      </c>
      <c r="I2214" t="str">
        <f>"BLADES GROUP  LLC"</f>
        <v>BLADES GROUP  LLC</v>
      </c>
    </row>
    <row r="2215" spans="1:9" x14ac:dyDescent="0.25">
      <c r="A2215" s="6">
        <v>44642</v>
      </c>
      <c r="B2215" t="s">
        <v>26</v>
      </c>
      <c r="C2215">
        <v>69063</v>
      </c>
      <c r="D2215" t="s">
        <v>110</v>
      </c>
      <c r="E2215" s="7">
        <v>4397.6400000000003</v>
      </c>
      <c r="F2215" t="s">
        <v>20</v>
      </c>
      <c r="G2215" t="s">
        <v>21</v>
      </c>
      <c r="H2215" t="str">
        <f>"RI22017964"</f>
        <v>RI22017964</v>
      </c>
      <c r="I2215" t="str">
        <f>"BUREAU VERITAS NORTH AMERICA"</f>
        <v>BUREAU VERITAS NORTH AMERICA</v>
      </c>
    </row>
    <row r="2216" spans="1:9" x14ac:dyDescent="0.25">
      <c r="A2216" s="6">
        <v>44642</v>
      </c>
      <c r="B2216" t="s">
        <v>26</v>
      </c>
      <c r="C2216">
        <v>69063</v>
      </c>
      <c r="D2216" t="s">
        <v>110</v>
      </c>
      <c r="E2216" s="7">
        <v>76.92</v>
      </c>
      <c r="F2216" t="s">
        <v>20</v>
      </c>
      <c r="G2216" t="s">
        <v>21</v>
      </c>
      <c r="H2216" t="str">
        <f>"RI22017966"</f>
        <v>RI22017966</v>
      </c>
      <c r="I2216" t="str">
        <f>"BUREAU VERITAS NORTH AMERICA"</f>
        <v>BUREAU VERITAS NORTH AMERICA</v>
      </c>
    </row>
    <row r="2217" spans="1:9" x14ac:dyDescent="0.25">
      <c r="A2217" s="6">
        <v>44642</v>
      </c>
      <c r="B2217" t="s">
        <v>26</v>
      </c>
      <c r="C2217">
        <v>69063</v>
      </c>
      <c r="D2217" t="s">
        <v>110</v>
      </c>
      <c r="E2217" s="7">
        <v>160</v>
      </c>
      <c r="F2217" t="s">
        <v>20</v>
      </c>
      <c r="G2217" t="s">
        <v>21</v>
      </c>
      <c r="H2217" t="str">
        <f>"RI22017967"</f>
        <v>RI22017967</v>
      </c>
      <c r="I2217" t="str">
        <f>"BUREAU VERITAS NORTH AMERICA"</f>
        <v>BUREAU VERITAS NORTH AMERICA</v>
      </c>
    </row>
    <row r="2218" spans="1:9" x14ac:dyDescent="0.25">
      <c r="A2218" s="6">
        <v>44642</v>
      </c>
      <c r="B2218" t="s">
        <v>26</v>
      </c>
      <c r="C2218">
        <v>69063</v>
      </c>
      <c r="D2218" t="s">
        <v>110</v>
      </c>
      <c r="E2218" s="7">
        <v>386.25</v>
      </c>
      <c r="F2218" t="s">
        <v>20</v>
      </c>
      <c r="G2218" t="s">
        <v>21</v>
      </c>
      <c r="H2218" t="str">
        <f>"RI22017968"</f>
        <v>RI22017968</v>
      </c>
      <c r="I2218" t="str">
        <f>"BUREAU VERITAS NORTH AMERICA"</f>
        <v>BUREAU VERITAS NORTH AMERICA</v>
      </c>
    </row>
    <row r="2219" spans="1:9" x14ac:dyDescent="0.25">
      <c r="A2219" s="6">
        <v>44642</v>
      </c>
      <c r="B2219" t="s">
        <v>26</v>
      </c>
      <c r="C2219">
        <v>69063</v>
      </c>
      <c r="D2219" t="s">
        <v>110</v>
      </c>
      <c r="E2219" s="7">
        <v>76.92</v>
      </c>
      <c r="F2219" t="s">
        <v>20</v>
      </c>
      <c r="G2219" t="s">
        <v>21</v>
      </c>
      <c r="H2219" t="str">
        <f>"RI22017969"</f>
        <v>RI22017969</v>
      </c>
      <c r="I2219" t="str">
        <f>"BUREAU VERITAS NORTH AMERICA"</f>
        <v>BUREAU VERITAS NORTH AMERICA</v>
      </c>
    </row>
    <row r="2220" spans="1:9" x14ac:dyDescent="0.25">
      <c r="A2220" s="6">
        <v>44642</v>
      </c>
      <c r="B2220" t="s">
        <v>91</v>
      </c>
      <c r="C2220">
        <v>69064</v>
      </c>
      <c r="D2220" t="s">
        <v>1173</v>
      </c>
      <c r="E2220" s="7">
        <v>726.3</v>
      </c>
      <c r="F2220" t="s">
        <v>20</v>
      </c>
      <c r="G2220" t="s">
        <v>21</v>
      </c>
      <c r="H2220" t="str">
        <f>"75836719"</f>
        <v>75836719</v>
      </c>
      <c r="I2220" t="str">
        <f>"DOCUMATION  INC"</f>
        <v>DOCUMATION  INC</v>
      </c>
    </row>
    <row r="2221" spans="1:9" x14ac:dyDescent="0.25">
      <c r="A2221" s="6">
        <v>44642</v>
      </c>
      <c r="B2221" t="s">
        <v>91</v>
      </c>
      <c r="C2221">
        <v>69064</v>
      </c>
      <c r="D2221" t="s">
        <v>1173</v>
      </c>
      <c r="E2221" s="7">
        <v>726.3</v>
      </c>
      <c r="F2221" t="s">
        <v>20</v>
      </c>
      <c r="G2221" t="s">
        <v>93</v>
      </c>
      <c r="H2221" t="str">
        <f>"CHECK"</f>
        <v>CHECK</v>
      </c>
      <c r="I2221" t="str">
        <f>""</f>
        <v/>
      </c>
    </row>
    <row r="2222" spans="1:9" x14ac:dyDescent="0.25">
      <c r="A2222" s="6">
        <v>44642</v>
      </c>
      <c r="B2222" t="s">
        <v>26</v>
      </c>
      <c r="C2222">
        <v>69065</v>
      </c>
      <c r="D2222" t="s">
        <v>77</v>
      </c>
      <c r="E2222" s="7">
        <v>320</v>
      </c>
      <c r="F2222" t="s">
        <v>20</v>
      </c>
      <c r="G2222" t="s">
        <v>21</v>
      </c>
      <c r="H2222" t="str">
        <f>"DE85000448-22"</f>
        <v>DE85000448-22</v>
      </c>
      <c r="I2222" t="str">
        <f>"DPC INDUSTRIES  INC."</f>
        <v>DPC INDUSTRIES  INC.</v>
      </c>
    </row>
    <row r="2223" spans="1:9" x14ac:dyDescent="0.25">
      <c r="A2223" s="6">
        <v>44642</v>
      </c>
      <c r="B2223" t="s">
        <v>26</v>
      </c>
      <c r="C2223">
        <v>69066</v>
      </c>
      <c r="D2223" t="s">
        <v>85</v>
      </c>
      <c r="E2223" s="7">
        <v>58.04</v>
      </c>
      <c r="F2223" t="s">
        <v>20</v>
      </c>
      <c r="G2223" t="s">
        <v>21</v>
      </c>
      <c r="H2223" t="str">
        <f>"2162733 MAR.2022"</f>
        <v>2162733 MAR.2022</v>
      </c>
      <c r="I2223" t="str">
        <f t="shared" ref="I2223:I2228" si="53">"FRONTIER"</f>
        <v>FRONTIER</v>
      </c>
    </row>
    <row r="2224" spans="1:9" x14ac:dyDescent="0.25">
      <c r="A2224" s="6">
        <v>44642</v>
      </c>
      <c r="B2224" t="s">
        <v>26</v>
      </c>
      <c r="C2224">
        <v>69066</v>
      </c>
      <c r="D2224" t="s">
        <v>85</v>
      </c>
      <c r="E2224" s="7">
        <v>56.86</v>
      </c>
      <c r="F2224" t="s">
        <v>20</v>
      </c>
      <c r="G2224" t="s">
        <v>21</v>
      </c>
      <c r="H2224" t="str">
        <f>"2162755 MAR.2022"</f>
        <v>2162755 MAR.2022</v>
      </c>
      <c r="I2224" t="str">
        <f t="shared" si="53"/>
        <v>FRONTIER</v>
      </c>
    </row>
    <row r="2225" spans="1:9" x14ac:dyDescent="0.25">
      <c r="A2225" s="6">
        <v>44642</v>
      </c>
      <c r="B2225" t="s">
        <v>26</v>
      </c>
      <c r="C2225">
        <v>69066</v>
      </c>
      <c r="D2225" t="s">
        <v>85</v>
      </c>
      <c r="E2225" s="7">
        <v>68.03</v>
      </c>
      <c r="F2225" t="s">
        <v>20</v>
      </c>
      <c r="G2225" t="s">
        <v>21</v>
      </c>
      <c r="H2225" t="str">
        <f>"3932804 MAR.2022"</f>
        <v>3932804 MAR.2022</v>
      </c>
      <c r="I2225" t="str">
        <f t="shared" si="53"/>
        <v>FRONTIER</v>
      </c>
    </row>
    <row r="2226" spans="1:9" x14ac:dyDescent="0.25">
      <c r="A2226" s="6">
        <v>44642</v>
      </c>
      <c r="B2226" t="s">
        <v>26</v>
      </c>
      <c r="C2226">
        <v>69066</v>
      </c>
      <c r="D2226" t="s">
        <v>85</v>
      </c>
      <c r="E2226" s="7">
        <v>46.77</v>
      </c>
      <c r="F2226" t="s">
        <v>20</v>
      </c>
      <c r="G2226" t="s">
        <v>21</v>
      </c>
      <c r="H2226" t="str">
        <f>"3936794 MAR.2022"</f>
        <v>3936794 MAR.2022</v>
      </c>
      <c r="I2226" t="str">
        <f t="shared" si="53"/>
        <v>FRONTIER</v>
      </c>
    </row>
    <row r="2227" spans="1:9" x14ac:dyDescent="0.25">
      <c r="A2227" s="6">
        <v>44642</v>
      </c>
      <c r="B2227" t="s">
        <v>26</v>
      </c>
      <c r="C2227">
        <v>69066</v>
      </c>
      <c r="D2227" t="s">
        <v>85</v>
      </c>
      <c r="E2227" s="7">
        <v>86.29</v>
      </c>
      <c r="F2227" t="s">
        <v>20</v>
      </c>
      <c r="G2227" t="s">
        <v>21</v>
      </c>
      <c r="H2227" t="str">
        <f>"3938193 MAR.2022"</f>
        <v>3938193 MAR.2022</v>
      </c>
      <c r="I2227" t="str">
        <f t="shared" si="53"/>
        <v>FRONTIER</v>
      </c>
    </row>
    <row r="2228" spans="1:9" x14ac:dyDescent="0.25">
      <c r="A2228" s="6">
        <v>44642</v>
      </c>
      <c r="B2228" t="s">
        <v>26</v>
      </c>
      <c r="C2228">
        <v>69066</v>
      </c>
      <c r="D2228" t="s">
        <v>85</v>
      </c>
      <c r="E2228" s="7">
        <v>1909</v>
      </c>
      <c r="F2228" t="s">
        <v>20</v>
      </c>
      <c r="G2228" t="s">
        <v>21</v>
      </c>
      <c r="H2228" t="str">
        <f>"8301970025 3/22"</f>
        <v>8301970025 3/22</v>
      </c>
      <c r="I2228" t="str">
        <f t="shared" si="53"/>
        <v>FRONTIER</v>
      </c>
    </row>
    <row r="2229" spans="1:9" x14ac:dyDescent="0.25">
      <c r="A2229" s="6">
        <v>44642</v>
      </c>
      <c r="B2229" t="s">
        <v>91</v>
      </c>
      <c r="C2229">
        <v>69068</v>
      </c>
      <c r="D2229" t="s">
        <v>1174</v>
      </c>
      <c r="E2229" s="7">
        <v>875.93</v>
      </c>
      <c r="F2229" t="s">
        <v>20</v>
      </c>
      <c r="G2229" t="s">
        <v>21</v>
      </c>
      <c r="H2229" t="str">
        <f>"84706"</f>
        <v>84706</v>
      </c>
      <c r="I2229" t="str">
        <f>"GEM MATERIALS  INC"</f>
        <v>GEM MATERIALS  INC</v>
      </c>
    </row>
    <row r="2230" spans="1:9" x14ac:dyDescent="0.25">
      <c r="A2230" s="6">
        <v>44642</v>
      </c>
      <c r="B2230" t="s">
        <v>91</v>
      </c>
      <c r="C2230">
        <v>69068</v>
      </c>
      <c r="D2230" t="s">
        <v>1174</v>
      </c>
      <c r="E2230" s="7">
        <v>875.93</v>
      </c>
      <c r="F2230" t="s">
        <v>20</v>
      </c>
      <c r="G2230" t="s">
        <v>93</v>
      </c>
      <c r="H2230" t="str">
        <f>"CHECK"</f>
        <v>CHECK</v>
      </c>
      <c r="I2230" t="str">
        <f>""</f>
        <v/>
      </c>
    </row>
    <row r="2231" spans="1:9" x14ac:dyDescent="0.25">
      <c r="A2231" s="6">
        <v>44642</v>
      </c>
      <c r="B2231" t="s">
        <v>26</v>
      </c>
      <c r="C2231">
        <v>69069</v>
      </c>
      <c r="D2231" t="s">
        <v>1175</v>
      </c>
      <c r="E2231" s="7">
        <v>7850</v>
      </c>
      <c r="F2231" t="s">
        <v>20</v>
      </c>
      <c r="G2231" t="s">
        <v>21</v>
      </c>
      <c r="H2231" t="str">
        <f>"202217"</f>
        <v>202217</v>
      </c>
      <c r="I2231" t="str">
        <f>"JIREH K-9"</f>
        <v>JIREH K-9</v>
      </c>
    </row>
    <row r="2232" spans="1:9" x14ac:dyDescent="0.25">
      <c r="A2232" s="6">
        <v>44642</v>
      </c>
      <c r="B2232" t="s">
        <v>26</v>
      </c>
      <c r="C2232">
        <v>69070</v>
      </c>
      <c r="D2232" t="s">
        <v>927</v>
      </c>
      <c r="E2232" s="7">
        <v>1370.37</v>
      </c>
      <c r="F2232" t="s">
        <v>20</v>
      </c>
      <c r="G2232" t="s">
        <v>21</v>
      </c>
      <c r="H2232" t="str">
        <f>"CITY 0000008"</f>
        <v>CITY 0000008</v>
      </c>
      <c r="I2232" t="str">
        <f>"JOELZ LAWN MOWING SERVICE"</f>
        <v>JOELZ LAWN MOWING SERVICE</v>
      </c>
    </row>
    <row r="2233" spans="1:9" x14ac:dyDescent="0.25">
      <c r="A2233" s="6">
        <v>44642</v>
      </c>
      <c r="B2233" t="s">
        <v>26</v>
      </c>
      <c r="C2233">
        <v>69071</v>
      </c>
      <c r="D2233" t="s">
        <v>328</v>
      </c>
      <c r="E2233" s="7">
        <v>1250</v>
      </c>
      <c r="F2233" t="s">
        <v>20</v>
      </c>
      <c r="G2233" t="s">
        <v>21</v>
      </c>
      <c r="H2233" t="str">
        <f>"7021746"</f>
        <v>7021746</v>
      </c>
      <c r="I2233" t="str">
        <f>"KOLOGIK"</f>
        <v>KOLOGIK</v>
      </c>
    </row>
    <row r="2234" spans="1:9" x14ac:dyDescent="0.25">
      <c r="A2234" s="6">
        <v>44642</v>
      </c>
      <c r="B2234" t="s">
        <v>26</v>
      </c>
      <c r="C2234">
        <v>69072</v>
      </c>
      <c r="D2234" t="s">
        <v>1017</v>
      </c>
      <c r="E2234" s="7">
        <v>29</v>
      </c>
      <c r="F2234" t="s">
        <v>20</v>
      </c>
      <c r="G2234" t="s">
        <v>21</v>
      </c>
      <c r="H2234" t="str">
        <f>"72278326"</f>
        <v>72278326</v>
      </c>
      <c r="I2234" t="str">
        <f>"LABCORP"</f>
        <v>LABCORP</v>
      </c>
    </row>
    <row r="2235" spans="1:9" x14ac:dyDescent="0.25">
      <c r="A2235" s="6">
        <v>44642</v>
      </c>
      <c r="B2235" t="s">
        <v>26</v>
      </c>
      <c r="C2235">
        <v>69073</v>
      </c>
      <c r="D2235" t="s">
        <v>117</v>
      </c>
      <c r="E2235" s="7">
        <v>98.1</v>
      </c>
      <c r="F2235" t="s">
        <v>20</v>
      </c>
      <c r="G2235" t="s">
        <v>21</v>
      </c>
      <c r="H2235" t="str">
        <f>"DECEMBE 2021"</f>
        <v>DECEMBE 2021</v>
      </c>
      <c r="I2235" t="str">
        <f>"LINEBARGER GOGGAN BLAIR &amp; SAMP"</f>
        <v>LINEBARGER GOGGAN BLAIR &amp; SAMP</v>
      </c>
    </row>
    <row r="2236" spans="1:9" x14ac:dyDescent="0.25">
      <c r="A2236" s="6">
        <v>44642</v>
      </c>
      <c r="B2236" t="s">
        <v>26</v>
      </c>
      <c r="C2236">
        <v>69073</v>
      </c>
      <c r="D2236" t="s">
        <v>117</v>
      </c>
      <c r="E2236" s="7">
        <v>867.29</v>
      </c>
      <c r="F2236" t="s">
        <v>20</v>
      </c>
      <c r="G2236" t="s">
        <v>21</v>
      </c>
      <c r="H2236" t="str">
        <f>"FEBRUARY 2022"</f>
        <v>FEBRUARY 2022</v>
      </c>
      <c r="I2236" t="str">
        <f>"LINEBARGER GOGGAN BLAIR &amp; SAMP"</f>
        <v>LINEBARGER GOGGAN BLAIR &amp; SAMP</v>
      </c>
    </row>
    <row r="2237" spans="1:9" x14ac:dyDescent="0.25">
      <c r="A2237" s="6">
        <v>44642</v>
      </c>
      <c r="B2237" t="s">
        <v>26</v>
      </c>
      <c r="C2237">
        <v>69074</v>
      </c>
      <c r="D2237" t="s">
        <v>29</v>
      </c>
      <c r="E2237" s="7">
        <v>4145</v>
      </c>
      <c r="F2237" t="s">
        <v>20</v>
      </c>
      <c r="G2237" t="s">
        <v>21</v>
      </c>
      <c r="H2237" t="str">
        <f>"56262"</f>
        <v>56262</v>
      </c>
      <c r="I2237" t="str">
        <f>"M &amp; S ENGINEERING  LLC"</f>
        <v>M &amp; S ENGINEERING  LLC</v>
      </c>
    </row>
    <row r="2238" spans="1:9" x14ac:dyDescent="0.25">
      <c r="A2238" s="6">
        <v>44642</v>
      </c>
      <c r="B2238" t="s">
        <v>26</v>
      </c>
      <c r="C2238">
        <v>69075</v>
      </c>
      <c r="D2238" t="s">
        <v>345</v>
      </c>
      <c r="E2238" s="7">
        <v>418</v>
      </c>
      <c r="F2238" t="s">
        <v>20</v>
      </c>
      <c r="G2238" t="s">
        <v>21</v>
      </c>
      <c r="H2238" t="str">
        <f>"3/21/2022"</f>
        <v>3/21/2022</v>
      </c>
      <c r="I2238" t="str">
        <f>"MICHAEL ISAAC MARTINEZ"</f>
        <v>MICHAEL ISAAC MARTINEZ</v>
      </c>
    </row>
    <row r="2239" spans="1:9" x14ac:dyDescent="0.25">
      <c r="A2239" s="6">
        <v>44642</v>
      </c>
      <c r="B2239" t="s">
        <v>26</v>
      </c>
      <c r="C2239">
        <v>69076</v>
      </c>
      <c r="D2239" t="s">
        <v>286</v>
      </c>
      <c r="E2239" s="7">
        <v>68000</v>
      </c>
      <c r="F2239" t="s">
        <v>20</v>
      </c>
      <c r="G2239" t="s">
        <v>21</v>
      </c>
      <c r="H2239" t="str">
        <f>"1001079063.01"</f>
        <v>1001079063.01</v>
      </c>
      <c r="I2239" t="str">
        <f>"NORTON ROSE FULBRIGHT US LLP"</f>
        <v>NORTON ROSE FULBRIGHT US LLP</v>
      </c>
    </row>
    <row r="2240" spans="1:9" x14ac:dyDescent="0.25">
      <c r="A2240" s="6">
        <v>44642</v>
      </c>
      <c r="B2240" t="s">
        <v>26</v>
      </c>
      <c r="C2240">
        <v>69076</v>
      </c>
      <c r="D2240" t="s">
        <v>286</v>
      </c>
      <c r="E2240" s="7">
        <v>8250</v>
      </c>
      <c r="F2240" t="s">
        <v>20</v>
      </c>
      <c r="G2240" t="s">
        <v>21</v>
      </c>
      <c r="H2240" t="str">
        <f>"1001079063.02"</f>
        <v>1001079063.02</v>
      </c>
      <c r="I2240" t="str">
        <f>"NORTON ROSE FULBRIGHT US LLP"</f>
        <v>NORTON ROSE FULBRIGHT US LLP</v>
      </c>
    </row>
    <row r="2241" spans="1:9" x14ac:dyDescent="0.25">
      <c r="A2241" s="6">
        <v>44642</v>
      </c>
      <c r="B2241" t="s">
        <v>26</v>
      </c>
      <c r="C2241">
        <v>69077</v>
      </c>
      <c r="D2241" t="s">
        <v>106</v>
      </c>
      <c r="E2241" s="7">
        <v>229.62</v>
      </c>
      <c r="F2241" t="s">
        <v>20</v>
      </c>
      <c r="G2241" t="s">
        <v>21</v>
      </c>
      <c r="H2241" t="str">
        <f>"4TH QRT -2021"</f>
        <v>4TH QRT -2021</v>
      </c>
      <c r="I2241" t="str">
        <f>"OMNIBASE SERVICES OF TEXAS"</f>
        <v>OMNIBASE SERVICES OF TEXAS</v>
      </c>
    </row>
    <row r="2242" spans="1:9" x14ac:dyDescent="0.25">
      <c r="A2242" s="6">
        <v>44642</v>
      </c>
      <c r="B2242" t="s">
        <v>26</v>
      </c>
      <c r="C2242">
        <v>69078</v>
      </c>
      <c r="D2242" t="s">
        <v>1152</v>
      </c>
      <c r="E2242" s="7">
        <v>538.48</v>
      </c>
      <c r="F2242" t="s">
        <v>20</v>
      </c>
      <c r="G2242" t="s">
        <v>21</v>
      </c>
      <c r="H2242" t="str">
        <f>"9567  3/30/2022"</f>
        <v>9567  3/30/2022</v>
      </c>
      <c r="I2242" t="str">
        <f>"PITNEY BOWES PURCHASE POWER"</f>
        <v>PITNEY BOWES PURCHASE POWER</v>
      </c>
    </row>
    <row r="2243" spans="1:9" x14ac:dyDescent="0.25">
      <c r="A2243" s="6">
        <v>44642</v>
      </c>
      <c r="B2243" t="s">
        <v>26</v>
      </c>
      <c r="C2243">
        <v>69079</v>
      </c>
      <c r="D2243" t="s">
        <v>323</v>
      </c>
      <c r="E2243" s="7">
        <v>630</v>
      </c>
      <c r="F2243" t="s">
        <v>20</v>
      </c>
      <c r="G2243" t="s">
        <v>21</v>
      </c>
      <c r="H2243" t="str">
        <f>"10665"</f>
        <v>10665</v>
      </c>
      <c r="I2243" t="str">
        <f>"POLLOK SELF STORAGE LLC"</f>
        <v>POLLOK SELF STORAGE LLC</v>
      </c>
    </row>
    <row r="2244" spans="1:9" x14ac:dyDescent="0.25">
      <c r="A2244" s="6">
        <v>44642</v>
      </c>
      <c r="B2244" t="s">
        <v>26</v>
      </c>
      <c r="C2244">
        <v>69080</v>
      </c>
      <c r="D2244" t="s">
        <v>252</v>
      </c>
      <c r="E2244" s="7">
        <v>35640.67</v>
      </c>
      <c r="F2244" t="s">
        <v>20</v>
      </c>
      <c r="G2244" t="s">
        <v>21</v>
      </c>
      <c r="H2244" t="str">
        <f>"PA#1 1/1-1/31/22"</f>
        <v>PA#1 1/1-1/31/22</v>
      </c>
      <c r="I2244" t="str">
        <f>"RAM II GENERAL CONTRACTOR INC."</f>
        <v>RAM II GENERAL CONTRACTOR INC.</v>
      </c>
    </row>
    <row r="2245" spans="1:9" x14ac:dyDescent="0.25">
      <c r="A2245" s="6">
        <v>44642</v>
      </c>
      <c r="B2245" t="s">
        <v>26</v>
      </c>
      <c r="C2245">
        <v>69085</v>
      </c>
      <c r="D2245" t="s">
        <v>51</v>
      </c>
      <c r="E2245" s="7">
        <v>13.85</v>
      </c>
      <c r="F2245" t="s">
        <v>20</v>
      </c>
      <c r="G2245" t="s">
        <v>21</v>
      </c>
      <c r="H2245" t="str">
        <f>"CLE202203228646"</f>
        <v>CLE202203228646</v>
      </c>
      <c r="I2245" t="str">
        <f>"CLEAT ONLY DUES"</f>
        <v>CLEAT ONLY DUES</v>
      </c>
    </row>
    <row r="2246" spans="1:9" x14ac:dyDescent="0.25">
      <c r="A2246" s="6">
        <v>44642</v>
      </c>
      <c r="B2246" t="s">
        <v>26</v>
      </c>
      <c r="C2246">
        <v>69085</v>
      </c>
      <c r="D2246" t="s">
        <v>51</v>
      </c>
      <c r="E2246" s="7">
        <v>332.46</v>
      </c>
      <c r="F2246" t="s">
        <v>20</v>
      </c>
      <c r="G2246" t="s">
        <v>21</v>
      </c>
      <c r="H2246" t="str">
        <f>"PDD202203228646"</f>
        <v>PDD202203228646</v>
      </c>
      <c r="I2246" t="str">
        <f>"POLICE OFFICERS ASSOC DUES"</f>
        <v>POLICE OFFICERS ASSOC DUES</v>
      </c>
    </row>
    <row r="2247" spans="1:9" x14ac:dyDescent="0.25">
      <c r="A2247" s="6">
        <v>44642</v>
      </c>
      <c r="B2247" t="s">
        <v>26</v>
      </c>
      <c r="C2247">
        <v>69086</v>
      </c>
      <c r="D2247" t="s">
        <v>52</v>
      </c>
      <c r="E2247" s="7">
        <v>101.25</v>
      </c>
      <c r="F2247" t="s">
        <v>20</v>
      </c>
      <c r="G2247" t="s">
        <v>21</v>
      </c>
      <c r="H2247" t="str">
        <f>"CA1202203228646"</f>
        <v>CA1202203228646</v>
      </c>
      <c r="I2247" t="str">
        <f>"K RAMIREZ 001200229510060343CV"</f>
        <v>K RAMIREZ 001200229510060343CV</v>
      </c>
    </row>
    <row r="2248" spans="1:9" x14ac:dyDescent="0.25">
      <c r="A2248" s="6">
        <v>44642</v>
      </c>
      <c r="B2248" t="s">
        <v>26</v>
      </c>
      <c r="C2248">
        <v>69086</v>
      </c>
      <c r="D2248" t="s">
        <v>52</v>
      </c>
      <c r="E2248" s="7">
        <v>101.25</v>
      </c>
      <c r="F2248" t="s">
        <v>20</v>
      </c>
      <c r="G2248" t="s">
        <v>21</v>
      </c>
      <c r="H2248" t="str">
        <f>"CA2202203228646"</f>
        <v>CA2202203228646</v>
      </c>
      <c r="I2248" t="str">
        <f>"L HERNANDEZ 001016025203080354"</f>
        <v>L HERNANDEZ 001016025203080354</v>
      </c>
    </row>
    <row r="2249" spans="1:9" x14ac:dyDescent="0.25">
      <c r="A2249" s="6">
        <v>44642</v>
      </c>
      <c r="B2249" t="s">
        <v>26</v>
      </c>
      <c r="C2249">
        <v>69086</v>
      </c>
      <c r="D2249" t="s">
        <v>52</v>
      </c>
      <c r="E2249" s="7">
        <v>101.25</v>
      </c>
      <c r="F2249" t="s">
        <v>20</v>
      </c>
      <c r="G2249" t="s">
        <v>21</v>
      </c>
      <c r="H2249" t="str">
        <f>"CA3202203228646"</f>
        <v>CA3202203228646</v>
      </c>
      <c r="I2249" t="str">
        <f>"00120788612011EM5023JOLENEGARC"</f>
        <v>00120788612011EM5023JOLENEGARC</v>
      </c>
    </row>
    <row r="2250" spans="1:9" x14ac:dyDescent="0.25">
      <c r="A2250" s="6">
        <v>44642</v>
      </c>
      <c r="B2250" t="s">
        <v>26</v>
      </c>
      <c r="C2250">
        <v>69086</v>
      </c>
      <c r="D2250" t="s">
        <v>52</v>
      </c>
      <c r="E2250" s="7">
        <v>101.25</v>
      </c>
      <c r="F2250" t="s">
        <v>20</v>
      </c>
      <c r="G2250" t="s">
        <v>21</v>
      </c>
      <c r="H2250" t="str">
        <f>"CSA202203228646"</f>
        <v>CSA202203228646</v>
      </c>
      <c r="I2250" t="str">
        <f>"S RODRIGUEZ 001281730413050336"</f>
        <v>S RODRIGUEZ 001281730413050336</v>
      </c>
    </row>
    <row r="2251" spans="1:9" x14ac:dyDescent="0.25">
      <c r="A2251" s="6">
        <v>44642</v>
      </c>
      <c r="B2251" t="s">
        <v>26</v>
      </c>
      <c r="C2251">
        <v>69086</v>
      </c>
      <c r="D2251" t="s">
        <v>52</v>
      </c>
      <c r="E2251" s="7">
        <v>521.54</v>
      </c>
      <c r="F2251" t="s">
        <v>20</v>
      </c>
      <c r="G2251" t="s">
        <v>21</v>
      </c>
      <c r="H2251" t="str">
        <f>"CSI202203228646"</f>
        <v>CSI202203228646</v>
      </c>
      <c r="I2251" t="str">
        <f>"KTRINIDAD0014071774CVW2000777"</f>
        <v>KTRINIDAD0014071774CVW2000777</v>
      </c>
    </row>
    <row r="2252" spans="1:9" x14ac:dyDescent="0.25">
      <c r="A2252" s="6">
        <v>44642</v>
      </c>
      <c r="B2252" t="s">
        <v>26</v>
      </c>
      <c r="C2252">
        <v>69087</v>
      </c>
      <c r="D2252" t="s">
        <v>54</v>
      </c>
      <c r="E2252" s="7">
        <v>881.57</v>
      </c>
      <c r="F2252" t="s">
        <v>20</v>
      </c>
      <c r="G2252" t="s">
        <v>21</v>
      </c>
      <c r="H2252" t="str">
        <f>"BRE202203228646"</f>
        <v>BRE202203228646</v>
      </c>
      <c r="I2252" t="str">
        <f>"CASE #180-60751 457B DEDUCT"</f>
        <v>CASE #180-60751 457B DEDUCT</v>
      </c>
    </row>
    <row r="2253" spans="1:9" x14ac:dyDescent="0.25">
      <c r="A2253" s="6">
        <v>44643</v>
      </c>
      <c r="B2253" t="s">
        <v>26</v>
      </c>
      <c r="C2253">
        <v>69088</v>
      </c>
      <c r="D2253" t="s">
        <v>143</v>
      </c>
      <c r="E2253" s="7">
        <v>392.55</v>
      </c>
      <c r="F2253" t="s">
        <v>20</v>
      </c>
      <c r="G2253" t="s">
        <v>21</v>
      </c>
      <c r="H2253" t="str">
        <f>"9402650429"</f>
        <v>9402650429</v>
      </c>
      <c r="I2253" t="str">
        <f>"OIL FOR CEMETARY PROJECT"</f>
        <v>OIL FOR CEMETARY PROJECT</v>
      </c>
    </row>
    <row r="2254" spans="1:9" x14ac:dyDescent="0.25">
      <c r="A2254" s="6">
        <v>44643</v>
      </c>
      <c r="B2254" t="s">
        <v>26</v>
      </c>
      <c r="C2254">
        <v>69089</v>
      </c>
      <c r="D2254" t="s">
        <v>179</v>
      </c>
      <c r="E2254" s="7">
        <v>172.99</v>
      </c>
      <c r="F2254" t="s">
        <v>20</v>
      </c>
      <c r="G2254" t="s">
        <v>21</v>
      </c>
      <c r="H2254" t="str">
        <f>"268376"</f>
        <v>268376</v>
      </c>
      <c r="I2254" t="str">
        <f>"STREET 400 KEYS"</f>
        <v>STREET 400 KEYS</v>
      </c>
    </row>
    <row r="2255" spans="1:9" x14ac:dyDescent="0.25">
      <c r="A2255" s="6">
        <v>44643</v>
      </c>
      <c r="B2255" t="s">
        <v>26</v>
      </c>
      <c r="C2255">
        <v>69090</v>
      </c>
      <c r="D2255" t="s">
        <v>115</v>
      </c>
      <c r="E2255" s="7">
        <v>31.08</v>
      </c>
      <c r="F2255" t="s">
        <v>20</v>
      </c>
      <c r="G2255" t="s">
        <v>21</v>
      </c>
      <c r="H2255" t="str">
        <f>"3547210930"</f>
        <v>3547210930</v>
      </c>
      <c r="I2255" t="str">
        <f>"STREET DEPT"</f>
        <v>STREET DEPT</v>
      </c>
    </row>
    <row r="2256" spans="1:9" x14ac:dyDescent="0.25">
      <c r="A2256" s="6">
        <v>44643</v>
      </c>
      <c r="B2256" t="s">
        <v>26</v>
      </c>
      <c r="C2256">
        <v>69090</v>
      </c>
      <c r="D2256" t="s">
        <v>115</v>
      </c>
      <c r="E2256" s="7">
        <v>77.88</v>
      </c>
      <c r="F2256" t="s">
        <v>20</v>
      </c>
      <c r="G2256" t="s">
        <v>21</v>
      </c>
      <c r="H2256" t="str">
        <f>"3547214896"</f>
        <v>3547214896</v>
      </c>
      <c r="I2256" t="str">
        <f>"WATER DEPT"</f>
        <v>WATER DEPT</v>
      </c>
    </row>
    <row r="2257" spans="1:9" x14ac:dyDescent="0.25">
      <c r="A2257" s="6">
        <v>44643</v>
      </c>
      <c r="B2257" t="s">
        <v>26</v>
      </c>
      <c r="C2257">
        <v>69091</v>
      </c>
      <c r="D2257" t="s">
        <v>81</v>
      </c>
      <c r="E2257" s="7">
        <v>126.96</v>
      </c>
      <c r="F2257" t="s">
        <v>20</v>
      </c>
      <c r="G2257" t="s">
        <v>21</v>
      </c>
      <c r="H2257" t="str">
        <f>"A.MARTINEZ 3/21/22"</f>
        <v>A.MARTINEZ 3/21/22</v>
      </c>
      <c r="I2257" t="str">
        <f>"CITY OF FLORESVILLE -PETTY CAS"</f>
        <v>CITY OF FLORESVILLE -PETTY CAS</v>
      </c>
    </row>
    <row r="2258" spans="1:9" x14ac:dyDescent="0.25">
      <c r="A2258" s="6">
        <v>44643</v>
      </c>
      <c r="B2258" t="s">
        <v>26</v>
      </c>
      <c r="C2258">
        <v>69092</v>
      </c>
      <c r="D2258" t="s">
        <v>218</v>
      </c>
      <c r="E2258" s="7">
        <v>75</v>
      </c>
      <c r="F2258" t="s">
        <v>20</v>
      </c>
      <c r="G2258" t="s">
        <v>21</v>
      </c>
      <c r="H2258" t="str">
        <f>"7673"</f>
        <v>7673</v>
      </c>
      <c r="I2258" t="str">
        <f>"TOWING STREET TRUCK"</f>
        <v>TOWING STREET TRUCK</v>
      </c>
    </row>
    <row r="2259" spans="1:9" x14ac:dyDescent="0.25">
      <c r="A2259" s="6">
        <v>44643</v>
      </c>
      <c r="B2259" t="s">
        <v>26</v>
      </c>
      <c r="C2259">
        <v>69093</v>
      </c>
      <c r="D2259" t="s">
        <v>1176</v>
      </c>
      <c r="E2259" s="7">
        <v>112</v>
      </c>
      <c r="F2259" t="s">
        <v>20</v>
      </c>
      <c r="G2259" t="s">
        <v>21</v>
      </c>
      <c r="H2259" t="str">
        <f>"000001960229"</f>
        <v>000001960229</v>
      </c>
      <c r="I2259" t="str">
        <f>"NOVA MEDICAL CENTERS"</f>
        <v>NOVA MEDICAL CENTERS</v>
      </c>
    </row>
    <row r="2260" spans="1:9" x14ac:dyDescent="0.25">
      <c r="A2260" s="6">
        <v>44643</v>
      </c>
      <c r="B2260" t="s">
        <v>26</v>
      </c>
      <c r="C2260">
        <v>69094</v>
      </c>
      <c r="D2260" t="s">
        <v>1172</v>
      </c>
      <c r="E2260" s="7">
        <v>2400</v>
      </c>
      <c r="F2260" t="s">
        <v>20</v>
      </c>
      <c r="G2260" t="s">
        <v>21</v>
      </c>
      <c r="H2260" t="str">
        <f>"318"</f>
        <v>318</v>
      </c>
      <c r="I2260" t="str">
        <f>"CUTLER PEESE"</f>
        <v>CUTLER PEESE</v>
      </c>
    </row>
    <row r="2261" spans="1:9" x14ac:dyDescent="0.25">
      <c r="A2261" s="6">
        <v>44645</v>
      </c>
      <c r="B2261" t="s">
        <v>26</v>
      </c>
      <c r="C2261">
        <v>69095</v>
      </c>
      <c r="D2261" t="s">
        <v>737</v>
      </c>
      <c r="E2261" s="7">
        <v>351</v>
      </c>
      <c r="F2261" t="s">
        <v>20</v>
      </c>
      <c r="G2261" t="s">
        <v>21</v>
      </c>
      <c r="H2261" t="str">
        <f>"K9 TRAINING '22"</f>
        <v>K9 TRAINING '22</v>
      </c>
      <c r="I2261" t="str">
        <f>"REUBEN GARCIA"</f>
        <v>REUBEN GARCIA</v>
      </c>
    </row>
    <row r="2262" spans="1:9" x14ac:dyDescent="0.25">
      <c r="A2262" s="6">
        <v>44650</v>
      </c>
      <c r="B2262" t="s">
        <v>26</v>
      </c>
      <c r="C2262">
        <v>69096</v>
      </c>
      <c r="D2262" t="s">
        <v>1014</v>
      </c>
      <c r="E2262" s="7">
        <v>910</v>
      </c>
      <c r="F2262" t="s">
        <v>20</v>
      </c>
      <c r="G2262" t="s">
        <v>21</v>
      </c>
      <c r="H2262" t="str">
        <f>"0322-171"</f>
        <v>0322-171</v>
      </c>
      <c r="I2262" t="str">
        <f>"ADVANCED FLOW TECHNOLOGIES"</f>
        <v>ADVANCED FLOW TECHNOLOGIES</v>
      </c>
    </row>
    <row r="2263" spans="1:9" x14ac:dyDescent="0.25">
      <c r="A2263" s="6">
        <v>44650</v>
      </c>
      <c r="B2263" t="s">
        <v>26</v>
      </c>
      <c r="C2263">
        <v>69097</v>
      </c>
      <c r="D2263" t="s">
        <v>189</v>
      </c>
      <c r="E2263" s="7">
        <v>652.5</v>
      </c>
      <c r="F2263" t="s">
        <v>20</v>
      </c>
      <c r="G2263" t="s">
        <v>21</v>
      </c>
      <c r="H2263" t="str">
        <f>"SWO226514-1"</f>
        <v>SWO226514-1</v>
      </c>
      <c r="I2263" t="str">
        <f>"ASCO"</f>
        <v>ASCO</v>
      </c>
    </row>
    <row r="2264" spans="1:9" x14ac:dyDescent="0.25">
      <c r="A2264" s="6">
        <v>44650</v>
      </c>
      <c r="B2264" t="s">
        <v>26</v>
      </c>
      <c r="C2264">
        <v>69098</v>
      </c>
      <c r="D2264" t="s">
        <v>781</v>
      </c>
      <c r="E2264" s="7">
        <v>82.5</v>
      </c>
      <c r="F2264" t="s">
        <v>20</v>
      </c>
      <c r="G2264" t="s">
        <v>21</v>
      </c>
      <c r="H2264" t="str">
        <f>"3/27/2022"</f>
        <v>3/27/2022</v>
      </c>
      <c r="I2264" t="str">
        <f>"ASHLEY MARTINEZ"</f>
        <v>ASHLEY MARTINEZ</v>
      </c>
    </row>
    <row r="2265" spans="1:9" x14ac:dyDescent="0.25">
      <c r="A2265" s="6">
        <v>44650</v>
      </c>
      <c r="B2265" t="s">
        <v>26</v>
      </c>
      <c r="C2265">
        <v>69099</v>
      </c>
      <c r="D2265" t="s">
        <v>821</v>
      </c>
      <c r="E2265" s="7">
        <v>2864.23</v>
      </c>
      <c r="F2265" t="s">
        <v>20</v>
      </c>
      <c r="G2265" t="s">
        <v>21</v>
      </c>
      <c r="H2265" t="str">
        <f>"NSI13540"</f>
        <v>NSI13540</v>
      </c>
      <c r="I2265" t="str">
        <f>"RIVER PARK"</f>
        <v>RIVER PARK</v>
      </c>
    </row>
    <row r="2266" spans="1:9" x14ac:dyDescent="0.25">
      <c r="A2266" s="6">
        <v>44650</v>
      </c>
      <c r="B2266" t="s">
        <v>26</v>
      </c>
      <c r="C2266">
        <v>69100</v>
      </c>
      <c r="D2266" t="s">
        <v>336</v>
      </c>
      <c r="E2266" s="7">
        <v>423.4</v>
      </c>
      <c r="F2266" t="s">
        <v>20</v>
      </c>
      <c r="G2266" t="s">
        <v>21</v>
      </c>
      <c r="H2266" t="str">
        <f>"FTO  4/3-4/6/2022"</f>
        <v>FTO  4/3-4/6/2022</v>
      </c>
      <c r="I2266" t="str">
        <f>"BILLY HERRERA"</f>
        <v>BILLY HERRERA</v>
      </c>
    </row>
    <row r="2267" spans="1:9" x14ac:dyDescent="0.25">
      <c r="A2267" s="6">
        <v>44650</v>
      </c>
      <c r="B2267" t="s">
        <v>26</v>
      </c>
      <c r="C2267">
        <v>69101</v>
      </c>
      <c r="D2267" t="s">
        <v>63</v>
      </c>
      <c r="E2267" s="7">
        <v>574</v>
      </c>
      <c r="F2267" t="s">
        <v>20</v>
      </c>
      <c r="G2267" t="s">
        <v>21</v>
      </c>
      <c r="H2267" t="str">
        <f>"8405586558"</f>
        <v>8405586558</v>
      </c>
      <c r="I2267" t="str">
        <f>"CINTAS CORPORATION"</f>
        <v>CINTAS CORPORATION</v>
      </c>
    </row>
    <row r="2268" spans="1:9" x14ac:dyDescent="0.25">
      <c r="A2268" s="6">
        <v>44650</v>
      </c>
      <c r="B2268" t="s">
        <v>26</v>
      </c>
      <c r="C2268">
        <v>69101</v>
      </c>
      <c r="D2268" t="s">
        <v>63</v>
      </c>
      <c r="E2268" s="7">
        <v>315.63</v>
      </c>
      <c r="F2268" t="s">
        <v>20</v>
      </c>
      <c r="G2268" t="s">
        <v>21</v>
      </c>
      <c r="H2268" t="str">
        <f>"8405596357"</f>
        <v>8405596357</v>
      </c>
      <c r="I2268" t="str">
        <f>"CINTAS CORPORATION"</f>
        <v>CINTAS CORPORATION</v>
      </c>
    </row>
    <row r="2269" spans="1:9" x14ac:dyDescent="0.25">
      <c r="A2269" s="6">
        <v>44650</v>
      </c>
      <c r="B2269" t="s">
        <v>26</v>
      </c>
      <c r="C2269">
        <v>69102</v>
      </c>
      <c r="D2269" t="s">
        <v>71</v>
      </c>
      <c r="E2269" s="7">
        <v>31.26</v>
      </c>
      <c r="F2269" t="s">
        <v>20</v>
      </c>
      <c r="G2269" t="s">
        <v>21</v>
      </c>
      <c r="H2269" t="str">
        <f>"4113312808"</f>
        <v>4113312808</v>
      </c>
      <c r="I2269" t="str">
        <f t="shared" ref="I2269:I2282" si="54">"CINTAS CORPORATION #087"</f>
        <v>CINTAS CORPORATION #087</v>
      </c>
    </row>
    <row r="2270" spans="1:9" x14ac:dyDescent="0.25">
      <c r="A2270" s="6">
        <v>44650</v>
      </c>
      <c r="B2270" t="s">
        <v>26</v>
      </c>
      <c r="C2270">
        <v>69102</v>
      </c>
      <c r="D2270" t="s">
        <v>71</v>
      </c>
      <c r="E2270" s="7">
        <v>9.9</v>
      </c>
      <c r="F2270" t="s">
        <v>20</v>
      </c>
      <c r="G2270" t="s">
        <v>21</v>
      </c>
      <c r="H2270" t="str">
        <f>"4113312809"</f>
        <v>4113312809</v>
      </c>
      <c r="I2270" t="str">
        <f t="shared" si="54"/>
        <v>CINTAS CORPORATION #087</v>
      </c>
    </row>
    <row r="2271" spans="1:9" x14ac:dyDescent="0.25">
      <c r="A2271" s="6">
        <v>44650</v>
      </c>
      <c r="B2271" t="s">
        <v>26</v>
      </c>
      <c r="C2271">
        <v>69102</v>
      </c>
      <c r="D2271" t="s">
        <v>71</v>
      </c>
      <c r="E2271" s="7">
        <v>55.76</v>
      </c>
      <c r="F2271" t="s">
        <v>20</v>
      </c>
      <c r="G2271" t="s">
        <v>21</v>
      </c>
      <c r="H2271" t="str">
        <f>"4113312895"</f>
        <v>4113312895</v>
      </c>
      <c r="I2271" t="str">
        <f t="shared" si="54"/>
        <v>CINTAS CORPORATION #087</v>
      </c>
    </row>
    <row r="2272" spans="1:9" x14ac:dyDescent="0.25">
      <c r="A2272" s="6">
        <v>44650</v>
      </c>
      <c r="B2272" t="s">
        <v>26</v>
      </c>
      <c r="C2272">
        <v>69102</v>
      </c>
      <c r="D2272" t="s">
        <v>71</v>
      </c>
      <c r="E2272" s="7">
        <v>36.700000000000003</v>
      </c>
      <c r="F2272" t="s">
        <v>20</v>
      </c>
      <c r="G2272" t="s">
        <v>21</v>
      </c>
      <c r="H2272" t="str">
        <f>"4113312924"</f>
        <v>4113312924</v>
      </c>
      <c r="I2272" t="str">
        <f t="shared" si="54"/>
        <v>CINTAS CORPORATION #087</v>
      </c>
    </row>
    <row r="2273" spans="1:9" x14ac:dyDescent="0.25">
      <c r="A2273" s="6">
        <v>44650</v>
      </c>
      <c r="B2273" t="s">
        <v>26</v>
      </c>
      <c r="C2273">
        <v>69102</v>
      </c>
      <c r="D2273" t="s">
        <v>71</v>
      </c>
      <c r="E2273" s="7">
        <v>156.86000000000001</v>
      </c>
      <c r="F2273" t="s">
        <v>20</v>
      </c>
      <c r="G2273" t="s">
        <v>21</v>
      </c>
      <c r="H2273" t="str">
        <f>"4113313043"</f>
        <v>4113313043</v>
      </c>
      <c r="I2273" t="str">
        <f t="shared" si="54"/>
        <v>CINTAS CORPORATION #087</v>
      </c>
    </row>
    <row r="2274" spans="1:9" x14ac:dyDescent="0.25">
      <c r="A2274" s="6">
        <v>44650</v>
      </c>
      <c r="B2274" t="s">
        <v>26</v>
      </c>
      <c r="C2274">
        <v>69102</v>
      </c>
      <c r="D2274" t="s">
        <v>71</v>
      </c>
      <c r="E2274" s="7">
        <v>651.88</v>
      </c>
      <c r="F2274" t="s">
        <v>20</v>
      </c>
      <c r="G2274" t="s">
        <v>21</v>
      </c>
      <c r="H2274" t="str">
        <f>"4113313163"</f>
        <v>4113313163</v>
      </c>
      <c r="I2274" t="str">
        <f t="shared" si="54"/>
        <v>CINTAS CORPORATION #087</v>
      </c>
    </row>
    <row r="2275" spans="1:9" x14ac:dyDescent="0.25">
      <c r="A2275" s="6">
        <v>44650</v>
      </c>
      <c r="B2275" t="s">
        <v>26</v>
      </c>
      <c r="C2275">
        <v>69102</v>
      </c>
      <c r="D2275" t="s">
        <v>71</v>
      </c>
      <c r="E2275" s="7">
        <v>30.26</v>
      </c>
      <c r="F2275" t="s">
        <v>20</v>
      </c>
      <c r="G2275" t="s">
        <v>21</v>
      </c>
      <c r="H2275" t="str">
        <f>"4114051617"</f>
        <v>4114051617</v>
      </c>
      <c r="I2275" t="str">
        <f t="shared" si="54"/>
        <v>CINTAS CORPORATION #087</v>
      </c>
    </row>
    <row r="2276" spans="1:9" x14ac:dyDescent="0.25">
      <c r="A2276" s="6">
        <v>44650</v>
      </c>
      <c r="B2276" t="s">
        <v>26</v>
      </c>
      <c r="C2276">
        <v>69102</v>
      </c>
      <c r="D2276" t="s">
        <v>71</v>
      </c>
      <c r="E2276" s="7">
        <v>129.43</v>
      </c>
      <c r="F2276" t="s">
        <v>20</v>
      </c>
      <c r="G2276" t="s">
        <v>21</v>
      </c>
      <c r="H2276" t="str">
        <f>"4114051627"</f>
        <v>4114051627</v>
      </c>
      <c r="I2276" t="str">
        <f t="shared" si="54"/>
        <v>CINTAS CORPORATION #087</v>
      </c>
    </row>
    <row r="2277" spans="1:9" x14ac:dyDescent="0.25">
      <c r="A2277" s="6">
        <v>44650</v>
      </c>
      <c r="B2277" t="s">
        <v>26</v>
      </c>
      <c r="C2277">
        <v>69102</v>
      </c>
      <c r="D2277" t="s">
        <v>71</v>
      </c>
      <c r="E2277" s="7">
        <v>112.71</v>
      </c>
      <c r="F2277" t="s">
        <v>20</v>
      </c>
      <c r="G2277" t="s">
        <v>21</v>
      </c>
      <c r="H2277" t="str">
        <f>"4114051639"</f>
        <v>4114051639</v>
      </c>
      <c r="I2277" t="str">
        <f t="shared" si="54"/>
        <v>CINTAS CORPORATION #087</v>
      </c>
    </row>
    <row r="2278" spans="1:9" x14ac:dyDescent="0.25">
      <c r="A2278" s="6">
        <v>44650</v>
      </c>
      <c r="B2278" t="s">
        <v>26</v>
      </c>
      <c r="C2278">
        <v>69102</v>
      </c>
      <c r="D2278" t="s">
        <v>71</v>
      </c>
      <c r="E2278" s="7">
        <v>85.8</v>
      </c>
      <c r="F2278" t="s">
        <v>20</v>
      </c>
      <c r="G2278" t="s">
        <v>21</v>
      </c>
      <c r="H2278" t="str">
        <f>"4114051675"</f>
        <v>4114051675</v>
      </c>
      <c r="I2278" t="str">
        <f t="shared" si="54"/>
        <v>CINTAS CORPORATION #087</v>
      </c>
    </row>
    <row r="2279" spans="1:9" x14ac:dyDescent="0.25">
      <c r="A2279" s="6">
        <v>44650</v>
      </c>
      <c r="B2279" t="s">
        <v>26</v>
      </c>
      <c r="C2279">
        <v>69102</v>
      </c>
      <c r="D2279" t="s">
        <v>71</v>
      </c>
      <c r="E2279" s="7">
        <v>296.14</v>
      </c>
      <c r="F2279" t="s">
        <v>20</v>
      </c>
      <c r="G2279" t="s">
        <v>21</v>
      </c>
      <c r="H2279" t="str">
        <f>"4114051677"</f>
        <v>4114051677</v>
      </c>
      <c r="I2279" t="str">
        <f t="shared" si="54"/>
        <v>CINTAS CORPORATION #087</v>
      </c>
    </row>
    <row r="2280" spans="1:9" x14ac:dyDescent="0.25">
      <c r="A2280" s="6">
        <v>44650</v>
      </c>
      <c r="B2280" t="s">
        <v>26</v>
      </c>
      <c r="C2280">
        <v>69102</v>
      </c>
      <c r="D2280" t="s">
        <v>71</v>
      </c>
      <c r="E2280" s="7">
        <v>155.86000000000001</v>
      </c>
      <c r="F2280" t="s">
        <v>20</v>
      </c>
      <c r="G2280" t="s">
        <v>21</v>
      </c>
      <c r="H2280" t="str">
        <f>"4114051706"</f>
        <v>4114051706</v>
      </c>
      <c r="I2280" t="str">
        <f t="shared" si="54"/>
        <v>CINTAS CORPORATION #087</v>
      </c>
    </row>
    <row r="2281" spans="1:9" x14ac:dyDescent="0.25">
      <c r="A2281" s="6">
        <v>44650</v>
      </c>
      <c r="B2281" t="s">
        <v>26</v>
      </c>
      <c r="C2281">
        <v>69102</v>
      </c>
      <c r="D2281" t="s">
        <v>71</v>
      </c>
      <c r="E2281" s="7">
        <v>232.36</v>
      </c>
      <c r="F2281" t="s">
        <v>20</v>
      </c>
      <c r="G2281" t="s">
        <v>21</v>
      </c>
      <c r="H2281" t="str">
        <f>"4114052820"</f>
        <v>4114052820</v>
      </c>
      <c r="I2281" t="str">
        <f t="shared" si="54"/>
        <v>CINTAS CORPORATION #087</v>
      </c>
    </row>
    <row r="2282" spans="1:9" x14ac:dyDescent="0.25">
      <c r="A2282" s="6">
        <v>44650</v>
      </c>
      <c r="B2282" t="s">
        <v>26</v>
      </c>
      <c r="C2282">
        <v>69102</v>
      </c>
      <c r="D2282" t="s">
        <v>71</v>
      </c>
      <c r="E2282" s="7">
        <v>144.01</v>
      </c>
      <c r="F2282" t="s">
        <v>20</v>
      </c>
      <c r="G2282" t="s">
        <v>21</v>
      </c>
      <c r="H2282" t="str">
        <f>"4114052860"</f>
        <v>4114052860</v>
      </c>
      <c r="I2282" t="str">
        <f t="shared" si="54"/>
        <v>CINTAS CORPORATION #087</v>
      </c>
    </row>
    <row r="2283" spans="1:9" x14ac:dyDescent="0.25">
      <c r="A2283" s="6">
        <v>44650</v>
      </c>
      <c r="B2283" t="s">
        <v>26</v>
      </c>
      <c r="C2283">
        <v>69106</v>
      </c>
      <c r="D2283" t="s">
        <v>1172</v>
      </c>
      <c r="E2283" s="7">
        <v>2400</v>
      </c>
      <c r="F2283" t="s">
        <v>20</v>
      </c>
      <c r="G2283" t="s">
        <v>21</v>
      </c>
      <c r="H2283" t="str">
        <f>"325"</f>
        <v>325</v>
      </c>
      <c r="I2283" t="str">
        <f>"CUTLER PEESE"</f>
        <v>CUTLER PEESE</v>
      </c>
    </row>
    <row r="2284" spans="1:9" x14ac:dyDescent="0.25">
      <c r="A2284" s="6">
        <v>44650</v>
      </c>
      <c r="B2284" t="s">
        <v>26</v>
      </c>
      <c r="C2284">
        <v>69107</v>
      </c>
      <c r="D2284" t="s">
        <v>77</v>
      </c>
      <c r="E2284" s="7">
        <v>647.71</v>
      </c>
      <c r="F2284" t="s">
        <v>20</v>
      </c>
      <c r="G2284" t="s">
        <v>21</v>
      </c>
      <c r="H2284" t="str">
        <f>"857000489-22"</f>
        <v>857000489-22</v>
      </c>
      <c r="I2284" t="str">
        <f>"CHLORINE FOR B AND HOSPIT"</f>
        <v>CHLORINE FOR B AND HOSPIT</v>
      </c>
    </row>
    <row r="2285" spans="1:9" x14ac:dyDescent="0.25">
      <c r="A2285" s="6">
        <v>44650</v>
      </c>
      <c r="B2285" t="s">
        <v>26</v>
      </c>
      <c r="C2285">
        <v>69107</v>
      </c>
      <c r="D2285" t="s">
        <v>77</v>
      </c>
      <c r="E2285" s="7">
        <v>1287.42</v>
      </c>
      <c r="F2285" t="s">
        <v>20</v>
      </c>
      <c r="G2285" t="s">
        <v>21</v>
      </c>
      <c r="H2285" t="str">
        <f>"857000490-22"</f>
        <v>857000490-22</v>
      </c>
      <c r="I2285" t="str">
        <f>"CHLORINE"</f>
        <v>CHLORINE</v>
      </c>
    </row>
    <row r="2286" spans="1:9" x14ac:dyDescent="0.25">
      <c r="A2286" s="6">
        <v>44650</v>
      </c>
      <c r="B2286" t="s">
        <v>26</v>
      </c>
      <c r="C2286">
        <v>69107</v>
      </c>
      <c r="D2286" t="s">
        <v>77</v>
      </c>
      <c r="E2286" s="7">
        <v>807.64</v>
      </c>
      <c r="F2286" t="s">
        <v>20</v>
      </c>
      <c r="G2286" t="s">
        <v>21</v>
      </c>
      <c r="H2286" t="str">
        <f>"857000491-22"</f>
        <v>857000491-22</v>
      </c>
      <c r="I2286" t="str">
        <f>"CHLORINE FOR B AND HOSPIT"</f>
        <v>CHLORINE FOR B AND HOSPIT</v>
      </c>
    </row>
    <row r="2287" spans="1:9" x14ac:dyDescent="0.25">
      <c r="A2287" s="6">
        <v>44650</v>
      </c>
      <c r="B2287" t="s">
        <v>26</v>
      </c>
      <c r="C2287">
        <v>69108</v>
      </c>
      <c r="D2287" t="s">
        <v>79</v>
      </c>
      <c r="E2287" s="7">
        <v>14.62</v>
      </c>
      <c r="F2287" t="s">
        <v>20</v>
      </c>
      <c r="G2287" t="s">
        <v>21</v>
      </c>
      <c r="H2287" t="str">
        <f>"7-693-72633"</f>
        <v>7-693-72633</v>
      </c>
      <c r="I2287" t="str">
        <f>"FEDEX"</f>
        <v>FEDEX</v>
      </c>
    </row>
    <row r="2288" spans="1:9" x14ac:dyDescent="0.25">
      <c r="A2288" s="6">
        <v>44650</v>
      </c>
      <c r="B2288" t="s">
        <v>26</v>
      </c>
      <c r="C2288">
        <v>69109</v>
      </c>
      <c r="D2288" t="s">
        <v>59</v>
      </c>
      <c r="E2288" s="7">
        <v>112.1</v>
      </c>
      <c r="F2288" t="s">
        <v>20</v>
      </c>
      <c r="G2288" t="s">
        <v>21</v>
      </c>
      <c r="H2288" t="str">
        <f>"115333-1"</f>
        <v>115333-1</v>
      </c>
      <c r="I2288" t="str">
        <f>"FERGUSON WATERWORKS - MUNICIPA"</f>
        <v>FERGUSON WATERWORKS - MUNICIPA</v>
      </c>
    </row>
    <row r="2289" spans="1:9" x14ac:dyDescent="0.25">
      <c r="A2289" s="6">
        <v>44650</v>
      </c>
      <c r="B2289" t="s">
        <v>26</v>
      </c>
      <c r="C2289">
        <v>69109</v>
      </c>
      <c r="D2289" t="s">
        <v>59</v>
      </c>
      <c r="E2289" s="7">
        <v>999.56</v>
      </c>
      <c r="F2289" t="s">
        <v>20</v>
      </c>
      <c r="G2289" t="s">
        <v>21</v>
      </c>
      <c r="H2289" t="str">
        <f>"1165939"</f>
        <v>1165939</v>
      </c>
      <c r="I2289" t="str">
        <f>"MISC STOCK"</f>
        <v>MISC STOCK</v>
      </c>
    </row>
    <row r="2290" spans="1:9" x14ac:dyDescent="0.25">
      <c r="A2290" s="6">
        <v>44650</v>
      </c>
      <c r="B2290" t="s">
        <v>26</v>
      </c>
      <c r="C2290">
        <v>69110</v>
      </c>
      <c r="D2290" t="s">
        <v>739</v>
      </c>
      <c r="E2290" s="7">
        <v>1740.92</v>
      </c>
      <c r="F2290" t="s">
        <v>20</v>
      </c>
      <c r="G2290" t="s">
        <v>21</v>
      </c>
      <c r="H2290" t="str">
        <f>"5286X03272022"</f>
        <v>5286X03272022</v>
      </c>
      <c r="I2290" t="str">
        <f>"FIRSTNET/AT&amp;T MOBILITY LLC"</f>
        <v>FIRSTNET/AT&amp;T MOBILITY LLC</v>
      </c>
    </row>
    <row r="2291" spans="1:9" x14ac:dyDescent="0.25">
      <c r="A2291" s="6">
        <v>44650</v>
      </c>
      <c r="B2291" t="s">
        <v>26</v>
      </c>
      <c r="C2291">
        <v>69111</v>
      </c>
      <c r="D2291" t="s">
        <v>85</v>
      </c>
      <c r="E2291" s="7">
        <v>535.28</v>
      </c>
      <c r="F2291" t="s">
        <v>20</v>
      </c>
      <c r="G2291" t="s">
        <v>21</v>
      </c>
      <c r="H2291" t="str">
        <f>"2162745  3/22"</f>
        <v>2162745  3/22</v>
      </c>
      <c r="I2291" t="str">
        <f>"FRONTIER"</f>
        <v>FRONTIER</v>
      </c>
    </row>
    <row r="2292" spans="1:9" x14ac:dyDescent="0.25">
      <c r="A2292" s="6">
        <v>44650</v>
      </c>
      <c r="B2292" t="s">
        <v>26</v>
      </c>
      <c r="C2292">
        <v>69111</v>
      </c>
      <c r="D2292" t="s">
        <v>85</v>
      </c>
      <c r="E2292" s="7">
        <v>36.26</v>
      </c>
      <c r="F2292" t="s">
        <v>20</v>
      </c>
      <c r="G2292" t="s">
        <v>21</v>
      </c>
      <c r="H2292" t="str">
        <f>"3932056  3/22"</f>
        <v>3932056  3/22</v>
      </c>
      <c r="I2292" t="str">
        <f>"FRONTIER"</f>
        <v>FRONTIER</v>
      </c>
    </row>
    <row r="2293" spans="1:9" x14ac:dyDescent="0.25">
      <c r="A2293" s="6">
        <v>44650</v>
      </c>
      <c r="B2293" t="s">
        <v>26</v>
      </c>
      <c r="C2293">
        <v>69111</v>
      </c>
      <c r="D2293" t="s">
        <v>85</v>
      </c>
      <c r="E2293" s="7">
        <v>45.59</v>
      </c>
      <c r="F2293" t="s">
        <v>20</v>
      </c>
      <c r="G2293" t="s">
        <v>21</v>
      </c>
      <c r="H2293" t="str">
        <f>"3933186 3/22"</f>
        <v>3933186 3/22</v>
      </c>
      <c r="I2293" t="str">
        <f>"FRONTIER"</f>
        <v>FRONTIER</v>
      </c>
    </row>
    <row r="2294" spans="1:9" x14ac:dyDescent="0.25">
      <c r="A2294" s="6">
        <v>44650</v>
      </c>
      <c r="B2294" t="s">
        <v>26</v>
      </c>
      <c r="C2294">
        <v>69111</v>
      </c>
      <c r="D2294" t="s">
        <v>85</v>
      </c>
      <c r="E2294" s="7">
        <v>69.760000000000005</v>
      </c>
      <c r="F2294" t="s">
        <v>20</v>
      </c>
      <c r="G2294" t="s">
        <v>21</v>
      </c>
      <c r="H2294" t="str">
        <f>"3936616 3/22"</f>
        <v>3936616 3/22</v>
      </c>
      <c r="I2294" t="str">
        <f>"FRONTIER"</f>
        <v>FRONTIER</v>
      </c>
    </row>
    <row r="2295" spans="1:9" x14ac:dyDescent="0.25">
      <c r="A2295" s="6">
        <v>44650</v>
      </c>
      <c r="B2295" t="s">
        <v>26</v>
      </c>
      <c r="C2295">
        <v>69111</v>
      </c>
      <c r="D2295" t="s">
        <v>85</v>
      </c>
      <c r="E2295" s="7">
        <v>41.58</v>
      </c>
      <c r="F2295" t="s">
        <v>20</v>
      </c>
      <c r="G2295" t="s">
        <v>21</v>
      </c>
      <c r="H2295" t="str">
        <f>"3939456 3/22"</f>
        <v>3939456 3/22</v>
      </c>
      <c r="I2295" t="str">
        <f>"FRONTIER"</f>
        <v>FRONTIER</v>
      </c>
    </row>
    <row r="2296" spans="1:9" x14ac:dyDescent="0.25">
      <c r="A2296" s="6">
        <v>44650</v>
      </c>
      <c r="B2296" t="s">
        <v>26</v>
      </c>
      <c r="C2296">
        <v>69113</v>
      </c>
      <c r="D2296" t="s">
        <v>302</v>
      </c>
      <c r="E2296" s="7">
        <v>165.13</v>
      </c>
      <c r="F2296" t="s">
        <v>20</v>
      </c>
      <c r="G2296" t="s">
        <v>21</v>
      </c>
      <c r="H2296" t="str">
        <f>"9231721961"</f>
        <v>9231721961</v>
      </c>
      <c r="I2296" t="str">
        <f>"BOOTS"</f>
        <v>BOOTS</v>
      </c>
    </row>
    <row r="2297" spans="1:9" x14ac:dyDescent="0.25">
      <c r="A2297" s="6">
        <v>44650</v>
      </c>
      <c r="B2297" t="s">
        <v>26</v>
      </c>
      <c r="C2297">
        <v>69113</v>
      </c>
      <c r="D2297" t="s">
        <v>302</v>
      </c>
      <c r="E2297" s="7">
        <v>86.52</v>
      </c>
      <c r="F2297" t="s">
        <v>20</v>
      </c>
      <c r="G2297" t="s">
        <v>21</v>
      </c>
      <c r="H2297" t="str">
        <f>"9231721979"</f>
        <v>9231721979</v>
      </c>
      <c r="I2297" t="str">
        <f>"WWTP"</f>
        <v>WWTP</v>
      </c>
    </row>
    <row r="2298" spans="1:9" x14ac:dyDescent="0.25">
      <c r="A2298" s="6">
        <v>44650</v>
      </c>
      <c r="B2298" t="s">
        <v>26</v>
      </c>
      <c r="C2298">
        <v>69113</v>
      </c>
      <c r="D2298" t="s">
        <v>302</v>
      </c>
      <c r="E2298" s="7">
        <v>84.68</v>
      </c>
      <c r="F2298" t="s">
        <v>20</v>
      </c>
      <c r="G2298" t="s">
        <v>21</v>
      </c>
      <c r="H2298" t="str">
        <f>"9239490353"</f>
        <v>9239490353</v>
      </c>
      <c r="I2298" t="str">
        <f>"WWTP"</f>
        <v>WWTP</v>
      </c>
    </row>
    <row r="2299" spans="1:9" x14ac:dyDescent="0.25">
      <c r="A2299" s="6">
        <v>44650</v>
      </c>
      <c r="B2299" t="s">
        <v>26</v>
      </c>
      <c r="C2299">
        <v>69113</v>
      </c>
      <c r="D2299" t="s">
        <v>302</v>
      </c>
      <c r="E2299" s="7">
        <v>633.85</v>
      </c>
      <c r="F2299" t="s">
        <v>20</v>
      </c>
      <c r="G2299" t="s">
        <v>21</v>
      </c>
      <c r="H2299" t="str">
        <f>"9241853143"</f>
        <v>9241853143</v>
      </c>
      <c r="I2299" t="str">
        <f>"SHOWER &amp; EYEWASH STATION"</f>
        <v>SHOWER &amp; EYEWASH STATION</v>
      </c>
    </row>
    <row r="2300" spans="1:9" x14ac:dyDescent="0.25">
      <c r="A2300" s="6">
        <v>44650</v>
      </c>
      <c r="B2300" t="s">
        <v>91</v>
      </c>
      <c r="C2300">
        <v>69114</v>
      </c>
      <c r="D2300" t="s">
        <v>1177</v>
      </c>
      <c r="E2300" s="7">
        <v>8500</v>
      </c>
      <c r="F2300" t="s">
        <v>20</v>
      </c>
      <c r="G2300" t="s">
        <v>21</v>
      </c>
      <c r="H2300" t="str">
        <f>"001"</f>
        <v>001</v>
      </c>
      <c r="I2300" t="str">
        <f>"HECTOR GOMEZ"</f>
        <v>HECTOR GOMEZ</v>
      </c>
    </row>
    <row r="2301" spans="1:9" x14ac:dyDescent="0.25">
      <c r="A2301" s="6">
        <v>44650</v>
      </c>
      <c r="B2301" t="s">
        <v>91</v>
      </c>
      <c r="C2301">
        <v>69114</v>
      </c>
      <c r="D2301" t="s">
        <v>1177</v>
      </c>
      <c r="E2301" s="7">
        <v>8500</v>
      </c>
      <c r="F2301" t="s">
        <v>20</v>
      </c>
      <c r="G2301" t="s">
        <v>93</v>
      </c>
      <c r="H2301" t="str">
        <f>"CHECK"</f>
        <v>CHECK</v>
      </c>
      <c r="I2301" t="str">
        <f>""</f>
        <v/>
      </c>
    </row>
    <row r="2302" spans="1:9" x14ac:dyDescent="0.25">
      <c r="A2302" s="6">
        <v>44650</v>
      </c>
      <c r="B2302" t="s">
        <v>26</v>
      </c>
      <c r="C2302">
        <v>69115</v>
      </c>
      <c r="D2302" t="s">
        <v>29</v>
      </c>
      <c r="E2302" s="7">
        <v>300</v>
      </c>
      <c r="F2302" t="s">
        <v>20</v>
      </c>
      <c r="G2302" t="s">
        <v>21</v>
      </c>
      <c r="H2302" t="str">
        <f>"55679"</f>
        <v>55679</v>
      </c>
      <c r="I2302" t="str">
        <f>"M &amp; S ENGINEERING  LLC"</f>
        <v>M &amp; S ENGINEERING  LLC</v>
      </c>
    </row>
    <row r="2303" spans="1:9" x14ac:dyDescent="0.25">
      <c r="A2303" s="6">
        <v>44650</v>
      </c>
      <c r="B2303" t="s">
        <v>26</v>
      </c>
      <c r="C2303">
        <v>69115</v>
      </c>
      <c r="D2303" t="s">
        <v>29</v>
      </c>
      <c r="E2303" s="7">
        <v>1162.5</v>
      </c>
      <c r="F2303" t="s">
        <v>20</v>
      </c>
      <c r="G2303" t="s">
        <v>21</v>
      </c>
      <c r="H2303" t="str">
        <f>"56792"</f>
        <v>56792</v>
      </c>
      <c r="I2303" t="str">
        <f>"M &amp; S ENGINEERING  LLC"</f>
        <v>M &amp; S ENGINEERING  LLC</v>
      </c>
    </row>
    <row r="2304" spans="1:9" x14ac:dyDescent="0.25">
      <c r="A2304" s="6">
        <v>44650</v>
      </c>
      <c r="B2304" t="s">
        <v>26</v>
      </c>
      <c r="C2304">
        <v>69116</v>
      </c>
      <c r="D2304" t="s">
        <v>824</v>
      </c>
      <c r="E2304" s="7">
        <v>82.5</v>
      </c>
      <c r="F2304" t="s">
        <v>20</v>
      </c>
      <c r="G2304" t="s">
        <v>21</v>
      </c>
      <c r="H2304" t="str">
        <f>"3/27/2022"</f>
        <v>3/27/2022</v>
      </c>
      <c r="I2304" t="str">
        <f>"MALLORY R. NELSON"</f>
        <v>MALLORY R. NELSON</v>
      </c>
    </row>
    <row r="2305" spans="1:9" x14ac:dyDescent="0.25">
      <c r="A2305" s="6">
        <v>44650</v>
      </c>
      <c r="B2305" t="s">
        <v>26</v>
      </c>
      <c r="C2305">
        <v>69117</v>
      </c>
      <c r="D2305" t="s">
        <v>1178</v>
      </c>
      <c r="E2305" s="7">
        <v>150</v>
      </c>
      <c r="F2305" t="s">
        <v>20</v>
      </c>
      <c r="G2305" t="s">
        <v>21</v>
      </c>
      <c r="H2305" t="str">
        <f>"LINEN 3/30/2022"</f>
        <v>LINEN 3/30/2022</v>
      </c>
      <c r="I2305" t="str">
        <f>"MARY D. GARCIA"</f>
        <v>MARY D. GARCIA</v>
      </c>
    </row>
    <row r="2306" spans="1:9" x14ac:dyDescent="0.25">
      <c r="A2306" s="6">
        <v>44650</v>
      </c>
      <c r="B2306" t="s">
        <v>26</v>
      </c>
      <c r="C2306">
        <v>69118</v>
      </c>
      <c r="D2306" t="s">
        <v>326</v>
      </c>
      <c r="E2306" s="7">
        <v>21.01</v>
      </c>
      <c r="F2306" t="s">
        <v>20</v>
      </c>
      <c r="G2306" t="s">
        <v>21</v>
      </c>
      <c r="H2306" t="str">
        <f>"0025307888"</f>
        <v>0025307888</v>
      </c>
      <c r="I2306" t="str">
        <f>"CARBON DIOXIDE"</f>
        <v>CARBON DIOXIDE</v>
      </c>
    </row>
    <row r="2307" spans="1:9" x14ac:dyDescent="0.25">
      <c r="A2307" s="6">
        <v>44650</v>
      </c>
      <c r="B2307" t="s">
        <v>26</v>
      </c>
      <c r="C2307">
        <v>69119</v>
      </c>
      <c r="D2307" t="s">
        <v>124</v>
      </c>
      <c r="E2307" s="7">
        <v>89.59</v>
      </c>
      <c r="F2307" t="s">
        <v>20</v>
      </c>
      <c r="G2307" t="s">
        <v>21</v>
      </c>
      <c r="H2307" t="str">
        <f>"11118378"</f>
        <v>11118378</v>
      </c>
      <c r="I2307" t="str">
        <f>"MCCOY'S CORPORATION"</f>
        <v>MCCOY'S CORPORATION</v>
      </c>
    </row>
    <row r="2308" spans="1:9" x14ac:dyDescent="0.25">
      <c r="A2308" s="6">
        <v>44650</v>
      </c>
      <c r="B2308" t="s">
        <v>26</v>
      </c>
      <c r="C2308">
        <v>69119</v>
      </c>
      <c r="D2308" t="s">
        <v>124</v>
      </c>
      <c r="E2308" s="7">
        <v>108.05</v>
      </c>
      <c r="F2308" t="s">
        <v>20</v>
      </c>
      <c r="G2308" t="s">
        <v>21</v>
      </c>
      <c r="H2308" t="str">
        <f>"11118665"</f>
        <v>11118665</v>
      </c>
      <c r="I2308" t="str">
        <f>"PAINT FOR CEMENTARY"</f>
        <v>PAINT FOR CEMENTARY</v>
      </c>
    </row>
    <row r="2309" spans="1:9" x14ac:dyDescent="0.25">
      <c r="A2309" s="6">
        <v>44650</v>
      </c>
      <c r="B2309" t="s">
        <v>26</v>
      </c>
      <c r="C2309">
        <v>69119</v>
      </c>
      <c r="D2309" t="s">
        <v>124</v>
      </c>
      <c r="E2309" s="7">
        <v>31</v>
      </c>
      <c r="F2309" t="s">
        <v>20</v>
      </c>
      <c r="G2309" t="s">
        <v>21</v>
      </c>
      <c r="H2309" t="str">
        <f>"11118706"</f>
        <v>11118706</v>
      </c>
      <c r="I2309" t="str">
        <f>"CAUTION TAPE"</f>
        <v>CAUTION TAPE</v>
      </c>
    </row>
    <row r="2310" spans="1:9" x14ac:dyDescent="0.25">
      <c r="A2310" s="6">
        <v>44650</v>
      </c>
      <c r="B2310" t="s">
        <v>26</v>
      </c>
      <c r="C2310">
        <v>69119</v>
      </c>
      <c r="D2310" t="s">
        <v>124</v>
      </c>
      <c r="E2310" s="7">
        <v>295.3</v>
      </c>
      <c r="F2310" t="s">
        <v>20</v>
      </c>
      <c r="G2310" t="s">
        <v>21</v>
      </c>
      <c r="H2310" t="str">
        <f>"11119061"</f>
        <v>11119061</v>
      </c>
      <c r="I2310" t="str">
        <f>"CHALK"</f>
        <v>CHALK</v>
      </c>
    </row>
    <row r="2311" spans="1:9" x14ac:dyDescent="0.25">
      <c r="A2311" s="6">
        <v>44650</v>
      </c>
      <c r="B2311" t="s">
        <v>26</v>
      </c>
      <c r="C2311">
        <v>69120</v>
      </c>
      <c r="D2311" t="s">
        <v>345</v>
      </c>
      <c r="E2311" s="7">
        <v>418</v>
      </c>
      <c r="F2311" t="s">
        <v>20</v>
      </c>
      <c r="G2311" t="s">
        <v>21</v>
      </c>
      <c r="H2311" t="str">
        <f>"03/28/2022"</f>
        <v>03/28/2022</v>
      </c>
      <c r="I2311" t="str">
        <f>"MICHAEL ISAAC MARTINEZ"</f>
        <v>MICHAEL ISAAC MARTINEZ</v>
      </c>
    </row>
    <row r="2312" spans="1:9" x14ac:dyDescent="0.25">
      <c r="A2312" s="6">
        <v>44650</v>
      </c>
      <c r="B2312" t="s">
        <v>26</v>
      </c>
      <c r="C2312">
        <v>69121</v>
      </c>
      <c r="D2312" t="s">
        <v>327</v>
      </c>
      <c r="E2312" s="7">
        <v>66.38</v>
      </c>
      <c r="F2312" t="s">
        <v>20</v>
      </c>
      <c r="G2312" t="s">
        <v>21</v>
      </c>
      <c r="H2312" t="str">
        <f>"3000"</f>
        <v>3000</v>
      </c>
      <c r="I2312" t="str">
        <f>"MOY'S WATER WELL SERVICES"</f>
        <v>MOY'S WATER WELL SERVICES</v>
      </c>
    </row>
    <row r="2313" spans="1:9" x14ac:dyDescent="0.25">
      <c r="A2313" s="6">
        <v>44650</v>
      </c>
      <c r="B2313" t="s">
        <v>26</v>
      </c>
      <c r="C2313">
        <v>69122</v>
      </c>
      <c r="D2313" t="s">
        <v>240</v>
      </c>
      <c r="E2313" s="7">
        <v>160.97999999999999</v>
      </c>
      <c r="F2313" t="s">
        <v>20</v>
      </c>
      <c r="G2313" t="s">
        <v>21</v>
      </c>
      <c r="H2313" t="str">
        <f>"0226165-IN"</f>
        <v>0226165-IN</v>
      </c>
      <c r="I2313" t="str">
        <f>"NARDIS PUBLIC SAFETY"</f>
        <v>NARDIS PUBLIC SAFETY</v>
      </c>
    </row>
    <row r="2314" spans="1:9" x14ac:dyDescent="0.25">
      <c r="A2314" s="6">
        <v>44650</v>
      </c>
      <c r="B2314" t="s">
        <v>26</v>
      </c>
      <c r="C2314">
        <v>69122</v>
      </c>
      <c r="D2314" t="s">
        <v>240</v>
      </c>
      <c r="E2314" s="7">
        <v>159.99</v>
      </c>
      <c r="F2314" t="s">
        <v>20</v>
      </c>
      <c r="G2314" t="s">
        <v>21</v>
      </c>
      <c r="H2314" t="str">
        <f>"0226177-IN"</f>
        <v>0226177-IN</v>
      </c>
      <c r="I2314" t="str">
        <f>"UNIFORM ALLOWANCE"</f>
        <v>UNIFORM ALLOWANCE</v>
      </c>
    </row>
    <row r="2315" spans="1:9" x14ac:dyDescent="0.25">
      <c r="A2315" s="6">
        <v>44650</v>
      </c>
      <c r="B2315" t="s">
        <v>26</v>
      </c>
      <c r="C2315">
        <v>69122</v>
      </c>
      <c r="D2315" t="s">
        <v>240</v>
      </c>
      <c r="E2315" s="7">
        <v>19.5</v>
      </c>
      <c r="F2315" t="s">
        <v>20</v>
      </c>
      <c r="G2315" t="s">
        <v>21</v>
      </c>
      <c r="H2315" t="str">
        <f>"0226540-IN"</f>
        <v>0226540-IN</v>
      </c>
      <c r="I2315" t="str">
        <f>"NARDIS PUBLIC SAFETY"</f>
        <v>NARDIS PUBLIC SAFETY</v>
      </c>
    </row>
    <row r="2316" spans="1:9" x14ac:dyDescent="0.25">
      <c r="A2316" s="6">
        <v>44650</v>
      </c>
      <c r="B2316" t="s">
        <v>26</v>
      </c>
      <c r="C2316">
        <v>69122</v>
      </c>
      <c r="D2316" t="s">
        <v>240</v>
      </c>
      <c r="E2316" s="7">
        <v>15.99</v>
      </c>
      <c r="F2316" t="s">
        <v>20</v>
      </c>
      <c r="G2316" t="s">
        <v>21</v>
      </c>
      <c r="H2316" t="str">
        <f>"0226547-IN"</f>
        <v>0226547-IN</v>
      </c>
      <c r="I2316" t="str">
        <f>"NARDIS PUBLIC SAFETY"</f>
        <v>NARDIS PUBLIC SAFETY</v>
      </c>
    </row>
    <row r="2317" spans="1:9" x14ac:dyDescent="0.25">
      <c r="A2317" s="6">
        <v>44650</v>
      </c>
      <c r="B2317" t="s">
        <v>26</v>
      </c>
      <c r="C2317">
        <v>69123</v>
      </c>
      <c r="D2317" t="s">
        <v>123</v>
      </c>
      <c r="E2317" s="7">
        <v>149.08000000000001</v>
      </c>
      <c r="F2317" t="s">
        <v>20</v>
      </c>
      <c r="G2317" t="s">
        <v>21</v>
      </c>
      <c r="H2317" t="str">
        <f>"226983750001"</f>
        <v>226983750001</v>
      </c>
      <c r="I2317" t="str">
        <f>"OFFICE SUPPLIES"</f>
        <v>OFFICE SUPPLIES</v>
      </c>
    </row>
    <row r="2318" spans="1:9" x14ac:dyDescent="0.25">
      <c r="A2318" s="6">
        <v>44650</v>
      </c>
      <c r="B2318" t="s">
        <v>26</v>
      </c>
      <c r="C2318">
        <v>69123</v>
      </c>
      <c r="D2318" t="s">
        <v>123</v>
      </c>
      <c r="E2318" s="7">
        <v>27.98</v>
      </c>
      <c r="F2318" t="s">
        <v>20</v>
      </c>
      <c r="G2318" t="s">
        <v>21</v>
      </c>
      <c r="H2318" t="str">
        <f>"23040470001"</f>
        <v>23040470001</v>
      </c>
      <c r="I2318" t="str">
        <f>"OFFICE SUPPLIES"</f>
        <v>OFFICE SUPPLIES</v>
      </c>
    </row>
    <row r="2319" spans="1:9" x14ac:dyDescent="0.25">
      <c r="A2319" s="6">
        <v>44650</v>
      </c>
      <c r="B2319" t="s">
        <v>26</v>
      </c>
      <c r="C2319">
        <v>69123</v>
      </c>
      <c r="D2319" t="s">
        <v>123</v>
      </c>
      <c r="E2319" s="7">
        <v>61.27</v>
      </c>
      <c r="F2319" t="s">
        <v>20</v>
      </c>
      <c r="G2319" t="s">
        <v>21</v>
      </c>
      <c r="H2319" t="str">
        <f>"230408846001"</f>
        <v>230408846001</v>
      </c>
      <c r="I2319" t="str">
        <f>"OFFICE SUPPLIES"</f>
        <v>OFFICE SUPPLIES</v>
      </c>
    </row>
    <row r="2320" spans="1:9" x14ac:dyDescent="0.25">
      <c r="A2320" s="6">
        <v>44650</v>
      </c>
      <c r="B2320" t="s">
        <v>26</v>
      </c>
      <c r="C2320">
        <v>69123</v>
      </c>
      <c r="D2320" t="s">
        <v>123</v>
      </c>
      <c r="E2320" s="7">
        <v>59.99</v>
      </c>
      <c r="F2320" t="s">
        <v>20</v>
      </c>
      <c r="G2320" t="s">
        <v>21</v>
      </c>
      <c r="H2320" t="str">
        <f>"230624690001"</f>
        <v>230624690001</v>
      </c>
      <c r="I2320" t="str">
        <f>"COURT OFFICE SUPPLIES"</f>
        <v>COURT OFFICE SUPPLIES</v>
      </c>
    </row>
    <row r="2321" spans="1:9" x14ac:dyDescent="0.25">
      <c r="A2321" s="6">
        <v>44650</v>
      </c>
      <c r="B2321" t="s">
        <v>26</v>
      </c>
      <c r="C2321">
        <v>69123</v>
      </c>
      <c r="D2321" t="s">
        <v>123</v>
      </c>
      <c r="E2321" s="7">
        <v>117.42</v>
      </c>
      <c r="F2321" t="s">
        <v>20</v>
      </c>
      <c r="G2321" t="s">
        <v>21</v>
      </c>
      <c r="H2321" t="str">
        <f>"230625668001"</f>
        <v>230625668001</v>
      </c>
      <c r="I2321" t="str">
        <f>"COURT OFFICE SUPPLIES"</f>
        <v>COURT OFFICE SUPPLIES</v>
      </c>
    </row>
    <row r="2322" spans="1:9" x14ac:dyDescent="0.25">
      <c r="A2322" s="6">
        <v>44650</v>
      </c>
      <c r="B2322" t="s">
        <v>26</v>
      </c>
      <c r="C2322">
        <v>69123</v>
      </c>
      <c r="D2322" t="s">
        <v>123</v>
      </c>
      <c r="E2322" s="7">
        <v>112.67</v>
      </c>
      <c r="F2322" t="s">
        <v>20</v>
      </c>
      <c r="G2322" t="s">
        <v>21</v>
      </c>
      <c r="H2322" t="str">
        <f>"231593332001"</f>
        <v>231593332001</v>
      </c>
      <c r="I2322" t="str">
        <f>"OFFICE SUPPLIES"</f>
        <v>OFFICE SUPPLIES</v>
      </c>
    </row>
    <row r="2323" spans="1:9" x14ac:dyDescent="0.25">
      <c r="A2323" s="6">
        <v>44650</v>
      </c>
      <c r="B2323" t="s">
        <v>26</v>
      </c>
      <c r="C2323">
        <v>69126</v>
      </c>
      <c r="D2323" t="s">
        <v>137</v>
      </c>
      <c r="E2323" s="7">
        <v>51.95</v>
      </c>
      <c r="F2323" t="s">
        <v>20</v>
      </c>
      <c r="G2323" t="s">
        <v>21</v>
      </c>
      <c r="H2323" t="str">
        <f>"34645"</f>
        <v>34645</v>
      </c>
      <c r="I2323" t="str">
        <f>"OMNIBUS-M  INC.D.B.A."</f>
        <v>OMNIBUS-M  INC.D.B.A.</v>
      </c>
    </row>
    <row r="2324" spans="1:9" x14ac:dyDescent="0.25">
      <c r="A2324" s="6">
        <v>44650</v>
      </c>
      <c r="B2324" t="s">
        <v>26</v>
      </c>
      <c r="C2324">
        <v>69126</v>
      </c>
      <c r="D2324" t="s">
        <v>137</v>
      </c>
      <c r="E2324" s="7">
        <v>69.95</v>
      </c>
      <c r="F2324" t="s">
        <v>20</v>
      </c>
      <c r="G2324" t="s">
        <v>21</v>
      </c>
      <c r="H2324" t="str">
        <f>"34646"</f>
        <v>34646</v>
      </c>
      <c r="I2324" t="str">
        <f>"OMNIBUS-M  INC.D.B.A."</f>
        <v>OMNIBUS-M  INC.D.B.A.</v>
      </c>
    </row>
    <row r="2325" spans="1:9" x14ac:dyDescent="0.25">
      <c r="A2325" s="6">
        <v>44650</v>
      </c>
      <c r="B2325" t="s">
        <v>26</v>
      </c>
      <c r="C2325">
        <v>69127</v>
      </c>
      <c r="D2325" t="s">
        <v>248</v>
      </c>
      <c r="E2325" s="7">
        <v>246.54</v>
      </c>
      <c r="F2325" t="s">
        <v>20</v>
      </c>
      <c r="G2325" t="s">
        <v>21</v>
      </c>
      <c r="H2325" t="str">
        <f>"1020258298"</f>
        <v>1020258298</v>
      </c>
      <c r="I2325" t="str">
        <f>"PITNEY BOWES"</f>
        <v>PITNEY BOWES</v>
      </c>
    </row>
    <row r="2326" spans="1:9" x14ac:dyDescent="0.25">
      <c r="A2326" s="6">
        <v>44650</v>
      </c>
      <c r="B2326" t="s">
        <v>26</v>
      </c>
      <c r="C2326">
        <v>69128</v>
      </c>
      <c r="D2326" t="s">
        <v>169</v>
      </c>
      <c r="E2326" s="7">
        <v>17.579999999999998</v>
      </c>
      <c r="F2326" t="s">
        <v>20</v>
      </c>
      <c r="G2326" t="s">
        <v>21</v>
      </c>
      <c r="H2326" t="str">
        <f>"160000"</f>
        <v>160000</v>
      </c>
      <c r="I2326" t="str">
        <f>"THE POLICE AND SHERIFFS PRESS"</f>
        <v>THE POLICE AND SHERIFFS PRESS</v>
      </c>
    </row>
    <row r="2327" spans="1:9" x14ac:dyDescent="0.25">
      <c r="A2327" s="6">
        <v>44650</v>
      </c>
      <c r="B2327" t="s">
        <v>26</v>
      </c>
      <c r="C2327">
        <v>69129</v>
      </c>
      <c r="D2327" t="s">
        <v>630</v>
      </c>
      <c r="E2327" s="7">
        <v>648.4</v>
      </c>
      <c r="F2327" t="s">
        <v>20</v>
      </c>
      <c r="G2327" t="s">
        <v>21</v>
      </c>
      <c r="H2327" t="str">
        <f>"41861"</f>
        <v>41861</v>
      </c>
      <c r="I2327" t="str">
        <f>"NEW CUSTOMER"</f>
        <v>NEW CUSTOMER</v>
      </c>
    </row>
    <row r="2328" spans="1:9" x14ac:dyDescent="0.25">
      <c r="A2328" s="6">
        <v>44650</v>
      </c>
      <c r="B2328" t="s">
        <v>26</v>
      </c>
      <c r="C2328">
        <v>69129</v>
      </c>
      <c r="D2328" t="s">
        <v>630</v>
      </c>
      <c r="E2328" s="7">
        <v>329.34</v>
      </c>
      <c r="F2328" t="s">
        <v>20</v>
      </c>
      <c r="G2328" t="s">
        <v>21</v>
      </c>
      <c r="H2328" t="str">
        <f>"41897"</f>
        <v>41897</v>
      </c>
      <c r="I2328" t="str">
        <f>"METERS"</f>
        <v>METERS</v>
      </c>
    </row>
    <row r="2329" spans="1:9" x14ac:dyDescent="0.25">
      <c r="A2329" s="6">
        <v>44650</v>
      </c>
      <c r="B2329" t="s">
        <v>26</v>
      </c>
      <c r="C2329">
        <v>69129</v>
      </c>
      <c r="D2329" t="s">
        <v>630</v>
      </c>
      <c r="E2329" s="7">
        <v>329.34</v>
      </c>
      <c r="F2329" t="s">
        <v>20</v>
      </c>
      <c r="G2329" t="s">
        <v>21</v>
      </c>
      <c r="H2329" t="str">
        <f>"41898"</f>
        <v>41898</v>
      </c>
      <c r="I2329" t="str">
        <f>"METER"</f>
        <v>METER</v>
      </c>
    </row>
    <row r="2330" spans="1:9" x14ac:dyDescent="0.25">
      <c r="A2330" s="6">
        <v>44650</v>
      </c>
      <c r="B2330" t="s">
        <v>26</v>
      </c>
      <c r="C2330">
        <v>69129</v>
      </c>
      <c r="D2330" t="s">
        <v>630</v>
      </c>
      <c r="E2330" s="7">
        <v>823.6</v>
      </c>
      <c r="F2330" t="s">
        <v>20</v>
      </c>
      <c r="G2330" t="s">
        <v>21</v>
      </c>
      <c r="H2330" t="str">
        <f>"41925"</f>
        <v>41925</v>
      </c>
      <c r="I2330" t="str">
        <f>"2  PD US GALLONS MTR"</f>
        <v>2  PD US GALLONS MTR</v>
      </c>
    </row>
    <row r="2331" spans="1:9" x14ac:dyDescent="0.25">
      <c r="A2331" s="6">
        <v>44650</v>
      </c>
      <c r="B2331" t="s">
        <v>26</v>
      </c>
      <c r="C2331">
        <v>69130</v>
      </c>
      <c r="D2331" t="s">
        <v>1179</v>
      </c>
      <c r="E2331" s="7">
        <v>150</v>
      </c>
      <c r="F2331" t="s">
        <v>20</v>
      </c>
      <c r="G2331" t="s">
        <v>21</v>
      </c>
      <c r="H2331" t="str">
        <f>"LINEN 3/30/2022"</f>
        <v>LINEN 3/30/2022</v>
      </c>
      <c r="I2331" t="str">
        <f>"SALOME MARTINEZ ESPARZA"</f>
        <v>SALOME MARTINEZ ESPARZA</v>
      </c>
    </row>
    <row r="2332" spans="1:9" x14ac:dyDescent="0.25">
      <c r="A2332" s="6">
        <v>44650</v>
      </c>
      <c r="B2332" t="s">
        <v>26</v>
      </c>
      <c r="C2332">
        <v>69131</v>
      </c>
      <c r="D2332" t="s">
        <v>975</v>
      </c>
      <c r="E2332" s="7">
        <v>829.98</v>
      </c>
      <c r="F2332" t="s">
        <v>20</v>
      </c>
      <c r="G2332" t="s">
        <v>21</v>
      </c>
      <c r="H2332" t="str">
        <f>"P98242"</f>
        <v>P98242</v>
      </c>
      <c r="I2332" t="str">
        <f>"EVENT CENTER SUPPLIES"</f>
        <v>EVENT CENTER SUPPLIES</v>
      </c>
    </row>
    <row r="2333" spans="1:9" x14ac:dyDescent="0.25">
      <c r="A2333" s="6">
        <v>44650</v>
      </c>
      <c r="B2333" t="s">
        <v>26</v>
      </c>
      <c r="C2333">
        <v>69131</v>
      </c>
      <c r="D2333" t="s">
        <v>975</v>
      </c>
      <c r="E2333" s="7">
        <v>375.61</v>
      </c>
      <c r="F2333" t="s">
        <v>20</v>
      </c>
      <c r="G2333" t="s">
        <v>21</v>
      </c>
      <c r="H2333" t="str">
        <f>"P98684"</f>
        <v>P98684</v>
      </c>
      <c r="I2333" t="str">
        <f>"PARKS SUPPLIES"</f>
        <v>PARKS SUPPLIES</v>
      </c>
    </row>
    <row r="2334" spans="1:9" x14ac:dyDescent="0.25">
      <c r="A2334" s="6">
        <v>44650</v>
      </c>
      <c r="B2334" t="s">
        <v>26</v>
      </c>
      <c r="C2334">
        <v>69132</v>
      </c>
      <c r="D2334" t="s">
        <v>1038</v>
      </c>
      <c r="E2334" s="7">
        <v>174</v>
      </c>
      <c r="F2334" t="s">
        <v>20</v>
      </c>
      <c r="G2334" t="s">
        <v>21</v>
      </c>
      <c r="H2334" t="str">
        <f>"FTO  4/3-4/6/2022"</f>
        <v>FTO  4/3-4/6/2022</v>
      </c>
      <c r="I2334" t="str">
        <f>"THOMAS SILVAS"</f>
        <v>THOMAS SILVAS</v>
      </c>
    </row>
    <row r="2335" spans="1:9" x14ac:dyDescent="0.25">
      <c r="A2335" s="6">
        <v>44650</v>
      </c>
      <c r="B2335" t="s">
        <v>26</v>
      </c>
      <c r="C2335">
        <v>69133</v>
      </c>
      <c r="D2335" t="s">
        <v>698</v>
      </c>
      <c r="E2335" s="7">
        <v>92.5</v>
      </c>
      <c r="F2335" t="s">
        <v>20</v>
      </c>
      <c r="G2335" t="s">
        <v>21</v>
      </c>
      <c r="H2335" t="str">
        <f>"3/27/2022"</f>
        <v>3/27/2022</v>
      </c>
      <c r="I2335" t="str">
        <f>"TRACY ORTIZ"</f>
        <v>TRACY ORTIZ</v>
      </c>
    </row>
    <row r="2336" spans="1:9" x14ac:dyDescent="0.25">
      <c r="A2336" s="6">
        <v>44650</v>
      </c>
      <c r="B2336" t="s">
        <v>26</v>
      </c>
      <c r="C2336">
        <v>69134</v>
      </c>
      <c r="D2336" t="s">
        <v>61</v>
      </c>
      <c r="E2336" s="7">
        <v>242.14</v>
      </c>
      <c r="F2336" t="s">
        <v>20</v>
      </c>
      <c r="G2336" t="s">
        <v>21</v>
      </c>
      <c r="H2336" t="str">
        <f>"025-367729"</f>
        <v>025-367729</v>
      </c>
      <c r="I2336" t="str">
        <f>"TYLER TECHNOLOGIES  INC."</f>
        <v>TYLER TECHNOLOGIES  INC.</v>
      </c>
    </row>
    <row r="2337" spans="1:9" x14ac:dyDescent="0.25">
      <c r="A2337" s="6">
        <v>44650</v>
      </c>
      <c r="B2337" t="s">
        <v>26</v>
      </c>
      <c r="C2337">
        <v>69134</v>
      </c>
      <c r="D2337" t="s">
        <v>61</v>
      </c>
      <c r="E2337" s="7">
        <v>500</v>
      </c>
      <c r="F2337" t="s">
        <v>20</v>
      </c>
      <c r="G2337" t="s">
        <v>21</v>
      </c>
      <c r="H2337" t="str">
        <f>"025-367730"</f>
        <v>025-367730</v>
      </c>
      <c r="I2337" t="str">
        <f>"TYLER TECHNOLOGIES  INC."</f>
        <v>TYLER TECHNOLOGIES  INC.</v>
      </c>
    </row>
    <row r="2338" spans="1:9" x14ac:dyDescent="0.25">
      <c r="A2338" s="6">
        <v>44650</v>
      </c>
      <c r="B2338" t="s">
        <v>26</v>
      </c>
      <c r="C2338">
        <v>69134</v>
      </c>
      <c r="D2338" t="s">
        <v>61</v>
      </c>
      <c r="E2338" s="7">
        <v>5033.9399999999996</v>
      </c>
      <c r="F2338" t="s">
        <v>20</v>
      </c>
      <c r="G2338" t="s">
        <v>21</v>
      </c>
      <c r="H2338" t="str">
        <f>"025-370809"</f>
        <v>025-370809</v>
      </c>
      <c r="I2338" t="str">
        <f>"TYLER TECHNOLOGIES  INC."</f>
        <v>TYLER TECHNOLOGIES  INC.</v>
      </c>
    </row>
    <row r="2339" spans="1:9" x14ac:dyDescent="0.25">
      <c r="A2339" s="6">
        <v>44650</v>
      </c>
      <c r="B2339" t="s">
        <v>26</v>
      </c>
      <c r="C2339">
        <v>69135</v>
      </c>
      <c r="D2339" t="s">
        <v>644</v>
      </c>
      <c r="E2339" s="7">
        <v>322.83</v>
      </c>
      <c r="F2339" t="s">
        <v>20</v>
      </c>
      <c r="G2339" t="s">
        <v>21</v>
      </c>
      <c r="H2339" t="str">
        <f>"8213707630"</f>
        <v>8213707630</v>
      </c>
      <c r="I2339" t="str">
        <f t="shared" ref="I2339:I2345" si="55">"UNIFIRST CORPORATION"</f>
        <v>UNIFIRST CORPORATION</v>
      </c>
    </row>
    <row r="2340" spans="1:9" x14ac:dyDescent="0.25">
      <c r="A2340" s="6">
        <v>44650</v>
      </c>
      <c r="B2340" t="s">
        <v>26</v>
      </c>
      <c r="C2340">
        <v>69135</v>
      </c>
      <c r="D2340" t="s">
        <v>644</v>
      </c>
      <c r="E2340" s="7">
        <v>26.49</v>
      </c>
      <c r="F2340" t="s">
        <v>20</v>
      </c>
      <c r="G2340" t="s">
        <v>21</v>
      </c>
      <c r="H2340" t="str">
        <f>"8213707631"</f>
        <v>8213707631</v>
      </c>
      <c r="I2340" t="str">
        <f t="shared" si="55"/>
        <v>UNIFIRST CORPORATION</v>
      </c>
    </row>
    <row r="2341" spans="1:9" x14ac:dyDescent="0.25">
      <c r="A2341" s="6">
        <v>44650</v>
      </c>
      <c r="B2341" t="s">
        <v>26</v>
      </c>
      <c r="C2341">
        <v>69135</v>
      </c>
      <c r="D2341" t="s">
        <v>644</v>
      </c>
      <c r="E2341" s="7">
        <v>134.13</v>
      </c>
      <c r="F2341" t="s">
        <v>20</v>
      </c>
      <c r="G2341" t="s">
        <v>21</v>
      </c>
      <c r="H2341" t="str">
        <f>"8213707632"</f>
        <v>8213707632</v>
      </c>
      <c r="I2341" t="str">
        <f t="shared" si="55"/>
        <v>UNIFIRST CORPORATION</v>
      </c>
    </row>
    <row r="2342" spans="1:9" x14ac:dyDescent="0.25">
      <c r="A2342" s="6">
        <v>44650</v>
      </c>
      <c r="B2342" t="s">
        <v>26</v>
      </c>
      <c r="C2342">
        <v>69135</v>
      </c>
      <c r="D2342" t="s">
        <v>644</v>
      </c>
      <c r="E2342" s="7">
        <v>124.5</v>
      </c>
      <c r="F2342" t="s">
        <v>20</v>
      </c>
      <c r="G2342" t="s">
        <v>21</v>
      </c>
      <c r="H2342" t="str">
        <f>"8213707633"</f>
        <v>8213707633</v>
      </c>
      <c r="I2342" t="str">
        <f t="shared" si="55"/>
        <v>UNIFIRST CORPORATION</v>
      </c>
    </row>
    <row r="2343" spans="1:9" x14ac:dyDescent="0.25">
      <c r="A2343" s="6">
        <v>44650</v>
      </c>
      <c r="B2343" t="s">
        <v>26</v>
      </c>
      <c r="C2343">
        <v>69135</v>
      </c>
      <c r="D2343" t="s">
        <v>644</v>
      </c>
      <c r="E2343" s="7">
        <v>171.35</v>
      </c>
      <c r="F2343" t="s">
        <v>20</v>
      </c>
      <c r="G2343" t="s">
        <v>21</v>
      </c>
      <c r="H2343" t="str">
        <f>"8213707634"</f>
        <v>8213707634</v>
      </c>
      <c r="I2343" t="str">
        <f t="shared" si="55"/>
        <v>UNIFIRST CORPORATION</v>
      </c>
    </row>
    <row r="2344" spans="1:9" x14ac:dyDescent="0.25">
      <c r="A2344" s="6">
        <v>44650</v>
      </c>
      <c r="B2344" t="s">
        <v>26</v>
      </c>
      <c r="C2344">
        <v>69135</v>
      </c>
      <c r="D2344" t="s">
        <v>644</v>
      </c>
      <c r="E2344" s="7">
        <v>112.33</v>
      </c>
      <c r="F2344" t="s">
        <v>20</v>
      </c>
      <c r="G2344" t="s">
        <v>21</v>
      </c>
      <c r="H2344" t="str">
        <f>"8213707635"</f>
        <v>8213707635</v>
      </c>
      <c r="I2344" t="str">
        <f t="shared" si="55"/>
        <v>UNIFIRST CORPORATION</v>
      </c>
    </row>
    <row r="2345" spans="1:9" x14ac:dyDescent="0.25">
      <c r="A2345" s="6">
        <v>44650</v>
      </c>
      <c r="B2345" t="s">
        <v>26</v>
      </c>
      <c r="C2345">
        <v>69135</v>
      </c>
      <c r="D2345" t="s">
        <v>644</v>
      </c>
      <c r="E2345" s="7">
        <v>26.49</v>
      </c>
      <c r="F2345" t="s">
        <v>20</v>
      </c>
      <c r="G2345" t="s">
        <v>21</v>
      </c>
      <c r="H2345" t="str">
        <f>"8213707636"</f>
        <v>8213707636</v>
      </c>
      <c r="I2345" t="str">
        <f t="shared" si="55"/>
        <v>UNIFIRST CORPORATION</v>
      </c>
    </row>
    <row r="2346" spans="1:9" x14ac:dyDescent="0.25">
      <c r="A2346" s="6">
        <v>44650</v>
      </c>
      <c r="B2346" t="s">
        <v>26</v>
      </c>
      <c r="C2346">
        <v>69137</v>
      </c>
      <c r="D2346" t="s">
        <v>237</v>
      </c>
      <c r="E2346" s="7">
        <v>206.78</v>
      </c>
      <c r="F2346" t="s">
        <v>20</v>
      </c>
      <c r="G2346" t="s">
        <v>21</v>
      </c>
      <c r="H2346" t="str">
        <f>"204445417-001"</f>
        <v>204445417-001</v>
      </c>
      <c r="I2346" t="str">
        <f>"SKID STEER BREAKER"</f>
        <v>SKID STEER BREAKER</v>
      </c>
    </row>
    <row r="2347" spans="1:9" x14ac:dyDescent="0.25">
      <c r="A2347" s="6">
        <v>44650</v>
      </c>
      <c r="B2347" t="s">
        <v>26</v>
      </c>
      <c r="C2347">
        <v>69138</v>
      </c>
      <c r="D2347" t="s">
        <v>203</v>
      </c>
      <c r="E2347" s="7">
        <v>48.23</v>
      </c>
      <c r="F2347" t="s">
        <v>20</v>
      </c>
      <c r="G2347" t="s">
        <v>21</v>
      </c>
      <c r="H2347" t="str">
        <f>"905371"</f>
        <v>905371</v>
      </c>
      <c r="I2347" t="str">
        <f>"WWTP"</f>
        <v>WWTP</v>
      </c>
    </row>
    <row r="2348" spans="1:9" x14ac:dyDescent="0.25">
      <c r="A2348" s="6">
        <v>44650</v>
      </c>
      <c r="B2348" t="s">
        <v>26</v>
      </c>
      <c r="C2348">
        <v>69139</v>
      </c>
      <c r="D2348" t="s">
        <v>122</v>
      </c>
      <c r="E2348" s="7">
        <v>10</v>
      </c>
      <c r="F2348" t="s">
        <v>20</v>
      </c>
      <c r="G2348" t="s">
        <v>21</v>
      </c>
      <c r="H2348" t="str">
        <f>"004601"</f>
        <v>004601</v>
      </c>
      <c r="I2348" t="str">
        <f>"VILLA TIRES"</f>
        <v>VILLA TIRES</v>
      </c>
    </row>
    <row r="2349" spans="1:9" x14ac:dyDescent="0.25">
      <c r="A2349" s="6">
        <v>44650</v>
      </c>
      <c r="B2349" t="s">
        <v>26</v>
      </c>
      <c r="C2349">
        <v>69139</v>
      </c>
      <c r="D2349" t="s">
        <v>122</v>
      </c>
      <c r="E2349" s="7">
        <v>10</v>
      </c>
      <c r="F2349" t="s">
        <v>20</v>
      </c>
      <c r="G2349" t="s">
        <v>21</v>
      </c>
      <c r="H2349" t="str">
        <f>"004605"</f>
        <v>004605</v>
      </c>
      <c r="I2349" t="str">
        <f>"VILLA TIRES"</f>
        <v>VILLA TIRES</v>
      </c>
    </row>
    <row r="2350" spans="1:9" x14ac:dyDescent="0.25">
      <c r="A2350" s="6">
        <v>44650</v>
      </c>
      <c r="B2350" t="s">
        <v>26</v>
      </c>
      <c r="C2350">
        <v>69140</v>
      </c>
      <c r="D2350" t="s">
        <v>987</v>
      </c>
      <c r="E2350" s="7">
        <v>400</v>
      </c>
      <c r="F2350" t="s">
        <v>20</v>
      </c>
      <c r="G2350" t="s">
        <v>21</v>
      </c>
      <c r="H2350" t="str">
        <f>"INV830228"</f>
        <v>INV830228</v>
      </c>
      <c r="I2350" t="str">
        <f>"PIONEER ATHLETICS / REVERE PRO"</f>
        <v>PIONEER ATHLETICS / REVERE PRO</v>
      </c>
    </row>
    <row r="2351" spans="1:9" x14ac:dyDescent="0.25">
      <c r="A2351" s="6">
        <v>44651</v>
      </c>
      <c r="B2351" t="s">
        <v>26</v>
      </c>
      <c r="C2351">
        <v>69141</v>
      </c>
      <c r="D2351" t="s">
        <v>71</v>
      </c>
      <c r="E2351" s="7">
        <v>112.71</v>
      </c>
      <c r="F2351" t="s">
        <v>20</v>
      </c>
      <c r="G2351" t="s">
        <v>21</v>
      </c>
      <c r="H2351" t="str">
        <f>"4100341247*reissue"</f>
        <v>4100341247*reissue</v>
      </c>
      <c r="I2351" t="str">
        <f t="shared" ref="I2351:I2357" si="56">"CINTAS CORPORATION #087"</f>
        <v>CINTAS CORPORATION #087</v>
      </c>
    </row>
    <row r="2352" spans="1:9" x14ac:dyDescent="0.25">
      <c r="A2352" s="6">
        <v>44651</v>
      </c>
      <c r="B2352" t="s">
        <v>26</v>
      </c>
      <c r="C2352">
        <v>69141</v>
      </c>
      <c r="D2352" t="s">
        <v>71</v>
      </c>
      <c r="E2352" s="7">
        <v>30.26</v>
      </c>
      <c r="F2352" t="s">
        <v>20</v>
      </c>
      <c r="G2352" t="s">
        <v>21</v>
      </c>
      <c r="H2352" t="str">
        <f>"4103750439*REISSUE"</f>
        <v>4103750439*REISSUE</v>
      </c>
      <c r="I2352" t="str">
        <f t="shared" si="56"/>
        <v>CINTAS CORPORATION #087</v>
      </c>
    </row>
    <row r="2353" spans="1:9" x14ac:dyDescent="0.25">
      <c r="A2353" s="6">
        <v>44651</v>
      </c>
      <c r="B2353" t="s">
        <v>26</v>
      </c>
      <c r="C2353">
        <v>69141</v>
      </c>
      <c r="D2353" t="s">
        <v>71</v>
      </c>
      <c r="E2353" s="7">
        <v>54.76</v>
      </c>
      <c r="F2353" t="s">
        <v>20</v>
      </c>
      <c r="G2353" t="s">
        <v>21</v>
      </c>
      <c r="H2353" t="str">
        <f>"4103750456*reissue"</f>
        <v>4103750456*reissue</v>
      </c>
      <c r="I2353" t="str">
        <f t="shared" si="56"/>
        <v>CINTAS CORPORATION #087</v>
      </c>
    </row>
    <row r="2354" spans="1:9" x14ac:dyDescent="0.25">
      <c r="A2354" s="6">
        <v>44651</v>
      </c>
      <c r="B2354" t="s">
        <v>26</v>
      </c>
      <c r="C2354">
        <v>69141</v>
      </c>
      <c r="D2354" t="s">
        <v>71</v>
      </c>
      <c r="E2354" s="7">
        <v>8.9</v>
      </c>
      <c r="F2354" t="s">
        <v>20</v>
      </c>
      <c r="G2354" t="s">
        <v>21</v>
      </c>
      <c r="H2354" t="str">
        <f>"4103750499*reissue"</f>
        <v>4103750499*reissue</v>
      </c>
      <c r="I2354" t="str">
        <f t="shared" si="56"/>
        <v>CINTAS CORPORATION #087</v>
      </c>
    </row>
    <row r="2355" spans="1:9" x14ac:dyDescent="0.25">
      <c r="A2355" s="6">
        <v>44651</v>
      </c>
      <c r="B2355" t="s">
        <v>26</v>
      </c>
      <c r="C2355">
        <v>69141</v>
      </c>
      <c r="D2355" t="s">
        <v>71</v>
      </c>
      <c r="E2355" s="7">
        <v>30.26</v>
      </c>
      <c r="F2355" t="s">
        <v>20</v>
      </c>
      <c r="G2355" t="s">
        <v>21</v>
      </c>
      <c r="H2355" t="str">
        <f>"4104441085*REISSUE"</f>
        <v>4104441085*REISSUE</v>
      </c>
      <c r="I2355" t="str">
        <f t="shared" si="56"/>
        <v>CINTAS CORPORATION #087</v>
      </c>
    </row>
    <row r="2356" spans="1:9" x14ac:dyDescent="0.25">
      <c r="A2356" s="6">
        <v>44651</v>
      </c>
      <c r="B2356" t="s">
        <v>26</v>
      </c>
      <c r="C2356">
        <v>69141</v>
      </c>
      <c r="D2356" t="s">
        <v>71</v>
      </c>
      <c r="E2356" s="7">
        <v>112.71</v>
      </c>
      <c r="F2356" t="s">
        <v>20</v>
      </c>
      <c r="G2356" t="s">
        <v>21</v>
      </c>
      <c r="H2356" t="str">
        <f>"4104441135*REISSUE"</f>
        <v>4104441135*REISSUE</v>
      </c>
      <c r="I2356" t="str">
        <f t="shared" si="56"/>
        <v>CINTAS CORPORATION #087</v>
      </c>
    </row>
    <row r="2357" spans="1:9" x14ac:dyDescent="0.25">
      <c r="A2357" s="6">
        <v>44651</v>
      </c>
      <c r="B2357" t="s">
        <v>26</v>
      </c>
      <c r="C2357">
        <v>69141</v>
      </c>
      <c r="D2357" t="s">
        <v>71</v>
      </c>
      <c r="E2357" s="7">
        <v>85.8</v>
      </c>
      <c r="F2357" t="s">
        <v>20</v>
      </c>
      <c r="G2357" t="s">
        <v>21</v>
      </c>
      <c r="H2357" t="str">
        <f>"4104441138*REISSUE"</f>
        <v>4104441138*REISSUE</v>
      </c>
      <c r="I2357" t="str">
        <f t="shared" si="56"/>
        <v>CINTAS CORPORATION #087</v>
      </c>
    </row>
    <row r="2358" spans="1:9" x14ac:dyDescent="0.25">
      <c r="A2358" s="6">
        <v>44651</v>
      </c>
      <c r="B2358" t="s">
        <v>26</v>
      </c>
      <c r="C2358">
        <v>69143</v>
      </c>
      <c r="D2358" t="s">
        <v>308</v>
      </c>
      <c r="E2358" s="7">
        <v>42.66</v>
      </c>
      <c r="F2358" t="s">
        <v>20</v>
      </c>
      <c r="G2358" t="s">
        <v>21</v>
      </c>
      <c r="H2358" t="str">
        <f>"TX WATER CONF 4/5"</f>
        <v>TX WATER CONF 4/5</v>
      </c>
      <c r="I2358" t="str">
        <f>"JOHNNY VILLARREAL"</f>
        <v>JOHNNY VILLARREAL</v>
      </c>
    </row>
    <row r="2359" spans="1:9" x14ac:dyDescent="0.25">
      <c r="A2359" s="6">
        <v>44651</v>
      </c>
      <c r="B2359" t="s">
        <v>26</v>
      </c>
      <c r="C2359">
        <v>69144</v>
      </c>
      <c r="D2359" t="s">
        <v>182</v>
      </c>
      <c r="E2359" s="7">
        <v>52.52</v>
      </c>
      <c r="F2359" t="s">
        <v>20</v>
      </c>
      <c r="G2359" t="s">
        <v>21</v>
      </c>
      <c r="H2359" t="str">
        <f>"TX WATER CONF.4/5"</f>
        <v>TX WATER CONF.4/5</v>
      </c>
      <c r="I2359" t="str">
        <f>"DAVID INOUYE"</f>
        <v>DAVID INOUYE</v>
      </c>
    </row>
    <row r="2360" spans="1:9" x14ac:dyDescent="0.25">
      <c r="A2360" s="6">
        <v>44656</v>
      </c>
      <c r="B2360" t="s">
        <v>26</v>
      </c>
      <c r="C2360">
        <v>69145</v>
      </c>
      <c r="D2360" t="s">
        <v>1074</v>
      </c>
      <c r="E2360" s="7">
        <v>463.78</v>
      </c>
      <c r="F2360" t="s">
        <v>20</v>
      </c>
      <c r="G2360" t="s">
        <v>21</v>
      </c>
      <c r="H2360" t="str">
        <f>"16GG-KQT9-FRNJ"</f>
        <v>16GG-KQT9-FRNJ</v>
      </c>
      <c r="I2360" t="str">
        <f>"PD/EVENT CENTER"</f>
        <v>PD/EVENT CENTER</v>
      </c>
    </row>
    <row r="2361" spans="1:9" x14ac:dyDescent="0.25">
      <c r="A2361" s="6">
        <v>44656</v>
      </c>
      <c r="B2361" t="s">
        <v>26</v>
      </c>
      <c r="C2361">
        <v>69145</v>
      </c>
      <c r="D2361" t="s">
        <v>1074</v>
      </c>
      <c r="E2361" s="7">
        <v>187.6</v>
      </c>
      <c r="F2361" t="s">
        <v>20</v>
      </c>
      <c r="G2361" t="s">
        <v>21</v>
      </c>
      <c r="H2361" t="str">
        <f>"16GG-KQT9-J6FJ"</f>
        <v>16GG-KQT9-J6FJ</v>
      </c>
      <c r="I2361" t="str">
        <f>"FLASH DRIVES"</f>
        <v>FLASH DRIVES</v>
      </c>
    </row>
    <row r="2362" spans="1:9" x14ac:dyDescent="0.25">
      <c r="A2362" s="6">
        <v>44656</v>
      </c>
      <c r="B2362" t="s">
        <v>26</v>
      </c>
      <c r="C2362">
        <v>69145</v>
      </c>
      <c r="D2362" t="s">
        <v>1074</v>
      </c>
      <c r="E2362" s="7">
        <v>311.57</v>
      </c>
      <c r="F2362" t="s">
        <v>20</v>
      </c>
      <c r="G2362" t="s">
        <v>21</v>
      </c>
      <c r="H2362" t="str">
        <f>"1CFX-SJRP-D5K4"</f>
        <v>1CFX-SJRP-D5K4</v>
      </c>
      <c r="I2362" t="str">
        <f>"OFFICE SUPPLIES"</f>
        <v>OFFICE SUPPLIES</v>
      </c>
    </row>
    <row r="2363" spans="1:9" x14ac:dyDescent="0.25">
      <c r="A2363" s="6">
        <v>44656</v>
      </c>
      <c r="B2363" t="s">
        <v>26</v>
      </c>
      <c r="C2363">
        <v>69145</v>
      </c>
      <c r="D2363" t="s">
        <v>1074</v>
      </c>
      <c r="E2363" s="7">
        <v>199.91</v>
      </c>
      <c r="F2363" t="s">
        <v>20</v>
      </c>
      <c r="G2363" t="s">
        <v>21</v>
      </c>
      <c r="H2363" t="str">
        <f>"1CM3-MQ4N-HDJR"</f>
        <v>1CM3-MQ4N-HDJR</v>
      </c>
      <c r="I2363" t="str">
        <f>"OFFICE SUPPLIES"</f>
        <v>OFFICE SUPPLIES</v>
      </c>
    </row>
    <row r="2364" spans="1:9" x14ac:dyDescent="0.25">
      <c r="A2364" s="6">
        <v>44656</v>
      </c>
      <c r="B2364" t="s">
        <v>26</v>
      </c>
      <c r="C2364">
        <v>69145</v>
      </c>
      <c r="D2364" t="s">
        <v>1074</v>
      </c>
      <c r="E2364" s="7">
        <v>44.33</v>
      </c>
      <c r="F2364" t="s">
        <v>20</v>
      </c>
      <c r="G2364" t="s">
        <v>21</v>
      </c>
      <c r="H2364" t="str">
        <f>"1XW1-FLGY-GCM7"</f>
        <v>1XW1-FLGY-GCM7</v>
      </c>
      <c r="I2364" t="str">
        <f>"BINDERS"</f>
        <v>BINDERS</v>
      </c>
    </row>
    <row r="2365" spans="1:9" x14ac:dyDescent="0.25">
      <c r="A2365" s="6">
        <v>44656</v>
      </c>
      <c r="B2365" t="s">
        <v>26</v>
      </c>
      <c r="C2365">
        <v>69145</v>
      </c>
      <c r="D2365" t="s">
        <v>1074</v>
      </c>
      <c r="E2365" s="7">
        <v>68.489999999999995</v>
      </c>
      <c r="F2365" t="s">
        <v>20</v>
      </c>
      <c r="G2365" t="s">
        <v>21</v>
      </c>
      <c r="H2365" t="str">
        <f>"IDVV-7NMF-GR7V"</f>
        <v>IDVV-7NMF-GR7V</v>
      </c>
      <c r="I2365" t="str">
        <f>"BACK DROP FOR PICTURES"</f>
        <v>BACK DROP FOR PICTURES</v>
      </c>
    </row>
    <row r="2366" spans="1:9" x14ac:dyDescent="0.25">
      <c r="A2366" s="6">
        <v>44656</v>
      </c>
      <c r="B2366" t="s">
        <v>26</v>
      </c>
      <c r="C2366">
        <v>69149</v>
      </c>
      <c r="D2366" t="s">
        <v>83</v>
      </c>
      <c r="E2366" s="7">
        <v>1080</v>
      </c>
      <c r="F2366" t="s">
        <v>20</v>
      </c>
      <c r="G2366" t="s">
        <v>21</v>
      </c>
      <c r="H2366" t="str">
        <f>"1967536"</f>
        <v>1967536</v>
      </c>
      <c r="I2366" t="str">
        <f>"APPRIVER"</f>
        <v>APPRIVER</v>
      </c>
    </row>
    <row r="2367" spans="1:9" x14ac:dyDescent="0.25">
      <c r="A2367" s="6">
        <v>44656</v>
      </c>
      <c r="B2367" t="s">
        <v>26</v>
      </c>
      <c r="C2367">
        <v>69150</v>
      </c>
      <c r="D2367" t="s">
        <v>0</v>
      </c>
      <c r="E2367" s="7">
        <v>2346.48</v>
      </c>
      <c r="F2367" t="s">
        <v>20</v>
      </c>
      <c r="G2367" t="s">
        <v>21</v>
      </c>
      <c r="H2367" t="str">
        <f>"2/10-3/10/2022"</f>
        <v>2/10-3/10/2022</v>
      </c>
      <c r="I2367" t="str">
        <f>"CITY OF FLORESVILLE"</f>
        <v>CITY OF FLORESVILLE</v>
      </c>
    </row>
    <row r="2368" spans="1:9" x14ac:dyDescent="0.25">
      <c r="A2368" s="6">
        <v>44656</v>
      </c>
      <c r="B2368" t="s">
        <v>26</v>
      </c>
      <c r="C2368">
        <v>69151</v>
      </c>
      <c r="D2368" t="s">
        <v>1172</v>
      </c>
      <c r="E2368" s="7">
        <v>1585</v>
      </c>
      <c r="F2368" t="s">
        <v>20</v>
      </c>
      <c r="G2368" t="s">
        <v>21</v>
      </c>
      <c r="H2368" t="str">
        <f>"405"</f>
        <v>405</v>
      </c>
      <c r="I2368" t="str">
        <f>"CUTLER PEESE"</f>
        <v>CUTLER PEESE</v>
      </c>
    </row>
    <row r="2369" spans="1:9" x14ac:dyDescent="0.25">
      <c r="A2369" s="6">
        <v>44656</v>
      </c>
      <c r="B2369" t="s">
        <v>26</v>
      </c>
      <c r="C2369">
        <v>69152</v>
      </c>
      <c r="D2369" t="s">
        <v>64</v>
      </c>
      <c r="E2369" s="7">
        <v>6352</v>
      </c>
      <c r="F2369" t="s">
        <v>20</v>
      </c>
      <c r="G2369" t="s">
        <v>21</v>
      </c>
      <c r="H2369" t="str">
        <f>"8803"</f>
        <v>8803</v>
      </c>
      <c r="I2369" t="str">
        <f>"DREWA DESIGNS  INC."</f>
        <v>DREWA DESIGNS  INC.</v>
      </c>
    </row>
    <row r="2370" spans="1:9" x14ac:dyDescent="0.25">
      <c r="A2370" s="6">
        <v>44656</v>
      </c>
      <c r="B2370" t="s">
        <v>26</v>
      </c>
      <c r="C2370">
        <v>69153</v>
      </c>
      <c r="D2370" t="s">
        <v>79</v>
      </c>
      <c r="E2370" s="7">
        <v>21.46</v>
      </c>
      <c r="F2370" t="s">
        <v>20</v>
      </c>
      <c r="G2370" t="s">
        <v>21</v>
      </c>
      <c r="H2370" t="str">
        <f>"7-701-74348"</f>
        <v>7-701-74348</v>
      </c>
      <c r="I2370" t="str">
        <f>"FEDEX"</f>
        <v>FEDEX</v>
      </c>
    </row>
    <row r="2371" spans="1:9" x14ac:dyDescent="0.25">
      <c r="A2371" s="6">
        <v>44656</v>
      </c>
      <c r="B2371" t="s">
        <v>26</v>
      </c>
      <c r="C2371">
        <v>69153</v>
      </c>
      <c r="D2371" t="s">
        <v>79</v>
      </c>
      <c r="E2371" s="7">
        <v>7.31</v>
      </c>
      <c r="F2371" t="s">
        <v>20</v>
      </c>
      <c r="G2371" t="s">
        <v>21</v>
      </c>
      <c r="H2371" t="str">
        <f>"7-708-65595"</f>
        <v>7-708-65595</v>
      </c>
      <c r="I2371" t="str">
        <f>"FEDEX"</f>
        <v>FEDEX</v>
      </c>
    </row>
    <row r="2372" spans="1:9" x14ac:dyDescent="0.25">
      <c r="A2372" s="6">
        <v>44656</v>
      </c>
      <c r="B2372" t="s">
        <v>26</v>
      </c>
      <c r="C2372">
        <v>69154</v>
      </c>
      <c r="D2372" t="s">
        <v>85</v>
      </c>
      <c r="E2372" s="7">
        <v>58.04</v>
      </c>
      <c r="F2372" t="s">
        <v>20</v>
      </c>
      <c r="G2372" t="s">
        <v>21</v>
      </c>
      <c r="H2372" t="str">
        <f>"2162691 MAR.2022"</f>
        <v>2162691 MAR.2022</v>
      </c>
      <c r="I2372" t="str">
        <f>"FRONTIER"</f>
        <v>FRONTIER</v>
      </c>
    </row>
    <row r="2373" spans="1:9" x14ac:dyDescent="0.25">
      <c r="A2373" s="6">
        <v>44656</v>
      </c>
      <c r="B2373" t="s">
        <v>26</v>
      </c>
      <c r="C2373">
        <v>69154</v>
      </c>
      <c r="D2373" t="s">
        <v>85</v>
      </c>
      <c r="E2373" s="7">
        <v>42.76</v>
      </c>
      <c r="F2373" t="s">
        <v>20</v>
      </c>
      <c r="G2373" t="s">
        <v>21</v>
      </c>
      <c r="H2373" t="str">
        <f>"3933718 MAR.2022"</f>
        <v>3933718 MAR.2022</v>
      </c>
      <c r="I2373" t="str">
        <f>"FRONTIER"</f>
        <v>FRONTIER</v>
      </c>
    </row>
    <row r="2374" spans="1:9" x14ac:dyDescent="0.25">
      <c r="A2374" s="6">
        <v>44656</v>
      </c>
      <c r="B2374" t="s">
        <v>26</v>
      </c>
      <c r="C2374">
        <v>69154</v>
      </c>
      <c r="D2374" t="s">
        <v>85</v>
      </c>
      <c r="E2374" s="7">
        <v>480</v>
      </c>
      <c r="F2374" t="s">
        <v>20</v>
      </c>
      <c r="G2374" t="s">
        <v>21</v>
      </c>
      <c r="H2374" t="str">
        <f>"8301970046 MAR.22"</f>
        <v>8301970046 MAR.22</v>
      </c>
      <c r="I2374" t="str">
        <f>"FRONTIER"</f>
        <v>FRONTIER</v>
      </c>
    </row>
    <row r="2375" spans="1:9" x14ac:dyDescent="0.25">
      <c r="A2375" s="6">
        <v>44656</v>
      </c>
      <c r="B2375" t="s">
        <v>26</v>
      </c>
      <c r="C2375">
        <v>69155</v>
      </c>
      <c r="D2375" t="s">
        <v>97</v>
      </c>
      <c r="E2375" s="7">
        <v>1238.98</v>
      </c>
      <c r="F2375" t="s">
        <v>20</v>
      </c>
      <c r="G2375" t="s">
        <v>21</v>
      </c>
      <c r="H2375" t="str">
        <f>"COBRA APRIL 2022"</f>
        <v>COBRA APRIL 2022</v>
      </c>
      <c r="I2375" t="str">
        <f>"HEALTH CARE SERVICE CORPORATIO"</f>
        <v>HEALTH CARE SERVICE CORPORATIO</v>
      </c>
    </row>
    <row r="2376" spans="1:9" x14ac:dyDescent="0.25">
      <c r="A2376" s="6">
        <v>44656</v>
      </c>
      <c r="B2376" t="s">
        <v>26</v>
      </c>
      <c r="C2376">
        <v>69156</v>
      </c>
      <c r="D2376" t="s">
        <v>1036</v>
      </c>
      <c r="E2376" s="7">
        <v>800</v>
      </c>
      <c r="F2376" t="s">
        <v>20</v>
      </c>
      <c r="G2376" t="s">
        <v>21</v>
      </c>
      <c r="H2376" t="str">
        <f>"3"</f>
        <v>3</v>
      </c>
      <c r="I2376" t="str">
        <f>"PD LIGHTS MAINTENANCE"</f>
        <v>PD LIGHTS MAINTENANCE</v>
      </c>
    </row>
    <row r="2377" spans="1:9" x14ac:dyDescent="0.25">
      <c r="A2377" s="6">
        <v>44656</v>
      </c>
      <c r="B2377" t="s">
        <v>26</v>
      </c>
      <c r="C2377">
        <v>69157</v>
      </c>
      <c r="D2377" t="s">
        <v>490</v>
      </c>
      <c r="E2377" s="7">
        <v>1220.5999999999999</v>
      </c>
      <c r="F2377" t="s">
        <v>20</v>
      </c>
      <c r="G2377" t="s">
        <v>21</v>
      </c>
      <c r="H2377" t="str">
        <f>"SOKSA8971"</f>
        <v>SOKSA8971</v>
      </c>
      <c r="I2377" t="str">
        <f>"Receptacle Inground Mount"</f>
        <v>Receptacle Inground Mount</v>
      </c>
    </row>
    <row r="2378" spans="1:9" x14ac:dyDescent="0.25">
      <c r="A2378" s="6">
        <v>44656</v>
      </c>
      <c r="B2378" t="s">
        <v>26</v>
      </c>
      <c r="C2378">
        <v>69158</v>
      </c>
      <c r="D2378" t="s">
        <v>80</v>
      </c>
      <c r="E2378" s="7">
        <v>750</v>
      </c>
      <c r="F2378" t="s">
        <v>20</v>
      </c>
      <c r="G2378" t="s">
        <v>21</v>
      </c>
      <c r="H2378" t="str">
        <f>"1648-20220401-1"</f>
        <v>1648-20220401-1</v>
      </c>
      <c r="I2378" t="str">
        <f>"LVWIFI.COM"</f>
        <v>LVWIFI.COM</v>
      </c>
    </row>
    <row r="2379" spans="1:9" x14ac:dyDescent="0.25">
      <c r="A2379" s="6">
        <v>44656</v>
      </c>
      <c r="B2379" t="s">
        <v>26</v>
      </c>
      <c r="C2379">
        <v>69158</v>
      </c>
      <c r="D2379" t="s">
        <v>80</v>
      </c>
      <c r="E2379" s="7">
        <v>750</v>
      </c>
      <c r="F2379" t="s">
        <v>20</v>
      </c>
      <c r="G2379" t="s">
        <v>21</v>
      </c>
      <c r="H2379" t="str">
        <f>"2313-20220401-1"</f>
        <v>2313-20220401-1</v>
      </c>
      <c r="I2379" t="str">
        <f>"LVWIFI.COM"</f>
        <v>LVWIFI.COM</v>
      </c>
    </row>
    <row r="2380" spans="1:9" x14ac:dyDescent="0.25">
      <c r="A2380" s="6">
        <v>44656</v>
      </c>
      <c r="B2380" t="s">
        <v>26</v>
      </c>
      <c r="C2380">
        <v>69159</v>
      </c>
      <c r="D2380" t="s">
        <v>693</v>
      </c>
      <c r="E2380" s="7">
        <v>87.99</v>
      </c>
      <c r="F2380" t="s">
        <v>20</v>
      </c>
      <c r="G2380" t="s">
        <v>21</v>
      </c>
      <c r="H2380" t="str">
        <f>"WALMART REIMBST"</f>
        <v>WALMART REIMBST</v>
      </c>
      <c r="I2380" t="str">
        <f>"OLGA RAMIREZ"</f>
        <v>OLGA RAMIREZ</v>
      </c>
    </row>
    <row r="2381" spans="1:9" x14ac:dyDescent="0.25">
      <c r="A2381" s="6">
        <v>44656</v>
      </c>
      <c r="B2381" t="s">
        <v>26</v>
      </c>
      <c r="C2381">
        <v>69160</v>
      </c>
      <c r="D2381" t="s">
        <v>738</v>
      </c>
      <c r="E2381" s="7">
        <v>138</v>
      </c>
      <c r="F2381" t="s">
        <v>20</v>
      </c>
      <c r="G2381" t="s">
        <v>21</v>
      </c>
      <c r="H2381" t="str">
        <f>"FLD TRNG 4/12-14"</f>
        <v>FLD TRNG 4/12-14</v>
      </c>
      <c r="I2381" t="str">
        <f>"PATRICIO BARRERA HERNANDEZ"</f>
        <v>PATRICIO BARRERA HERNANDEZ</v>
      </c>
    </row>
    <row r="2382" spans="1:9" x14ac:dyDescent="0.25">
      <c r="A2382" s="6">
        <v>44656</v>
      </c>
      <c r="B2382" t="s">
        <v>26</v>
      </c>
      <c r="C2382">
        <v>69161</v>
      </c>
      <c r="D2382" t="s">
        <v>248</v>
      </c>
      <c r="E2382" s="7">
        <v>180</v>
      </c>
      <c r="F2382" t="s">
        <v>20</v>
      </c>
      <c r="G2382" t="s">
        <v>21</v>
      </c>
      <c r="H2382" t="str">
        <f>"1020268317"</f>
        <v>1020268317</v>
      </c>
      <c r="I2382" t="str">
        <f>"PITNEY BOWES"</f>
        <v>PITNEY BOWES</v>
      </c>
    </row>
    <row r="2383" spans="1:9" x14ac:dyDescent="0.25">
      <c r="A2383" s="6">
        <v>44656</v>
      </c>
      <c r="B2383" t="s">
        <v>26</v>
      </c>
      <c r="C2383">
        <v>69162</v>
      </c>
      <c r="D2383" t="s">
        <v>528</v>
      </c>
      <c r="E2383" s="7">
        <v>311.91000000000003</v>
      </c>
      <c r="F2383" t="s">
        <v>20</v>
      </c>
      <c r="G2383" t="s">
        <v>21</v>
      </c>
      <c r="H2383" t="str">
        <f>"10791049"</f>
        <v>10791049</v>
      </c>
      <c r="I2383" t="str">
        <f>"PROSTAR SERVICES INC"</f>
        <v>PROSTAR SERVICES INC</v>
      </c>
    </row>
    <row r="2384" spans="1:9" x14ac:dyDescent="0.25">
      <c r="A2384" s="6">
        <v>44656</v>
      </c>
      <c r="B2384" t="s">
        <v>91</v>
      </c>
      <c r="C2384">
        <v>69163</v>
      </c>
      <c r="D2384" t="s">
        <v>1143</v>
      </c>
      <c r="E2384" s="7">
        <v>138</v>
      </c>
      <c r="F2384" t="s">
        <v>20</v>
      </c>
      <c r="G2384" t="s">
        <v>21</v>
      </c>
      <c r="H2384" t="str">
        <f>"FLD TRNG 4/12-14"</f>
        <v>FLD TRNG 4/12-14</v>
      </c>
      <c r="I2384" t="str">
        <f>"RUEBEN GARCIA"</f>
        <v>RUEBEN GARCIA</v>
      </c>
    </row>
    <row r="2385" spans="1:9" x14ac:dyDescent="0.25">
      <c r="A2385" s="6">
        <v>44656</v>
      </c>
      <c r="B2385" t="s">
        <v>91</v>
      </c>
      <c r="C2385">
        <v>69163</v>
      </c>
      <c r="D2385" t="s">
        <v>1143</v>
      </c>
      <c r="E2385" s="7">
        <v>138</v>
      </c>
      <c r="F2385" t="s">
        <v>20</v>
      </c>
      <c r="G2385" t="s">
        <v>93</v>
      </c>
      <c r="H2385" t="str">
        <f>"CHECK"</f>
        <v>CHECK</v>
      </c>
      <c r="I2385" t="str">
        <f>""</f>
        <v/>
      </c>
    </row>
    <row r="2386" spans="1:9" x14ac:dyDescent="0.25">
      <c r="A2386" s="6">
        <v>44656</v>
      </c>
      <c r="B2386" t="s">
        <v>26</v>
      </c>
      <c r="C2386">
        <v>69164</v>
      </c>
      <c r="D2386" t="s">
        <v>1153</v>
      </c>
      <c r="E2386" s="7">
        <v>284</v>
      </c>
      <c r="F2386" t="s">
        <v>20</v>
      </c>
      <c r="G2386" t="s">
        <v>21</v>
      </c>
      <c r="H2386" t="str">
        <f>"TPIAC 4/13-14/2022"</f>
        <v>TPIAC 4/13-14/2022</v>
      </c>
      <c r="I2386" t="str">
        <f>"SHIVON RODRIGUEZ"</f>
        <v>SHIVON RODRIGUEZ</v>
      </c>
    </row>
    <row r="2387" spans="1:9" x14ac:dyDescent="0.25">
      <c r="A2387" s="6">
        <v>44656</v>
      </c>
      <c r="B2387" t="s">
        <v>26</v>
      </c>
      <c r="C2387">
        <v>69165</v>
      </c>
      <c r="D2387" t="s">
        <v>132</v>
      </c>
      <c r="E2387" s="7">
        <v>97.78</v>
      </c>
      <c r="F2387" t="s">
        <v>20</v>
      </c>
      <c r="G2387" t="s">
        <v>21</v>
      </c>
      <c r="H2387" t="str">
        <f>"16992887 032422"</f>
        <v>16992887 032422</v>
      </c>
      <c r="I2387" t="str">
        <f>"SPARKLETTS &amp; SIERRA SPRINGS"</f>
        <v>SPARKLETTS &amp; SIERRA SPRINGS</v>
      </c>
    </row>
    <row r="2388" spans="1:9" x14ac:dyDescent="0.25">
      <c r="A2388" s="6">
        <v>44656</v>
      </c>
      <c r="B2388" t="s">
        <v>26</v>
      </c>
      <c r="C2388">
        <v>69166</v>
      </c>
      <c r="D2388" t="s">
        <v>31</v>
      </c>
      <c r="E2388" s="7">
        <v>4000</v>
      </c>
      <c r="F2388" t="s">
        <v>20</v>
      </c>
      <c r="G2388" t="s">
        <v>21</v>
      </c>
      <c r="H2388" t="str">
        <f>"2022295"</f>
        <v>2022295</v>
      </c>
      <c r="I2388" t="str">
        <f>"THE LAW OFFICE OF TOM CALDWELL"</f>
        <v>THE LAW OFFICE OF TOM CALDWELL</v>
      </c>
    </row>
    <row r="2389" spans="1:9" x14ac:dyDescent="0.25">
      <c r="A2389" s="6">
        <v>44656</v>
      </c>
      <c r="B2389" t="s">
        <v>26</v>
      </c>
      <c r="C2389">
        <v>69167</v>
      </c>
      <c r="D2389" t="s">
        <v>1030</v>
      </c>
      <c r="E2389" s="7">
        <v>37978.160000000003</v>
      </c>
      <c r="F2389" t="s">
        <v>20</v>
      </c>
      <c r="G2389" t="s">
        <v>21</v>
      </c>
      <c r="H2389" t="str">
        <f>"PAY APP#2 4/13-14"</f>
        <v>PAY APP#2 4/13-14</v>
      </c>
      <c r="I2389" t="str">
        <f>"TRIUN  LLC"</f>
        <v>TRIUN  LLC</v>
      </c>
    </row>
    <row r="2390" spans="1:9" x14ac:dyDescent="0.25">
      <c r="A2390" s="6">
        <v>44656</v>
      </c>
      <c r="B2390" t="s">
        <v>26</v>
      </c>
      <c r="C2390">
        <v>69168</v>
      </c>
      <c r="D2390" t="s">
        <v>74</v>
      </c>
      <c r="E2390" s="7">
        <v>2398.62</v>
      </c>
      <c r="F2390" t="s">
        <v>20</v>
      </c>
      <c r="G2390" t="s">
        <v>21</v>
      </c>
      <c r="H2390" t="str">
        <f>"9902586874"</f>
        <v>9902586874</v>
      </c>
      <c r="I2390" t="str">
        <f>"VERIZON WIRELESS"</f>
        <v>VERIZON WIRELESS</v>
      </c>
    </row>
    <row r="2391" spans="1:9" x14ac:dyDescent="0.25">
      <c r="A2391" s="6">
        <v>44656</v>
      </c>
      <c r="B2391" t="s">
        <v>26</v>
      </c>
      <c r="C2391">
        <v>69168</v>
      </c>
      <c r="D2391" t="s">
        <v>74</v>
      </c>
      <c r="E2391" s="7">
        <v>1412.86</v>
      </c>
      <c r="F2391" t="s">
        <v>20</v>
      </c>
      <c r="G2391" t="s">
        <v>21</v>
      </c>
      <c r="H2391" t="str">
        <f>"9902586875"</f>
        <v>9902586875</v>
      </c>
      <c r="I2391" t="str">
        <f>"VERIZON WIRELESS"</f>
        <v>VERIZON WIRELESS</v>
      </c>
    </row>
    <row r="2392" spans="1:9" x14ac:dyDescent="0.25">
      <c r="A2392" s="6">
        <v>44656</v>
      </c>
      <c r="B2392" t="s">
        <v>26</v>
      </c>
      <c r="C2392">
        <v>69170</v>
      </c>
      <c r="D2392" t="s">
        <v>235</v>
      </c>
      <c r="E2392" s="7">
        <v>10360</v>
      </c>
      <c r="F2392" t="s">
        <v>20</v>
      </c>
      <c r="G2392" t="s">
        <v>21</v>
      </c>
      <c r="H2392" t="str">
        <f>"2801"</f>
        <v>2801</v>
      </c>
      <c r="I2392" t="str">
        <f>"WILSON COUNTY AUDITOR"</f>
        <v>WILSON COUNTY AUDITOR</v>
      </c>
    </row>
    <row r="2393" spans="1:9" x14ac:dyDescent="0.25">
      <c r="A2393" s="6">
        <v>44656</v>
      </c>
      <c r="B2393" t="s">
        <v>91</v>
      </c>
      <c r="C2393">
        <v>69171</v>
      </c>
      <c r="D2393" t="s">
        <v>1180</v>
      </c>
      <c r="E2393" s="7">
        <v>1229.5</v>
      </c>
      <c r="F2393" t="s">
        <v>20</v>
      </c>
      <c r="G2393" t="s">
        <v>21</v>
      </c>
      <c r="H2393" t="str">
        <f>"101"</f>
        <v>101</v>
      </c>
      <c r="I2393" t="str">
        <f>"BUTTERBLOCKS"</f>
        <v>BUTTERBLOCKS</v>
      </c>
    </row>
    <row r="2394" spans="1:9" x14ac:dyDescent="0.25">
      <c r="A2394" s="6">
        <v>44656</v>
      </c>
      <c r="B2394" t="s">
        <v>91</v>
      </c>
      <c r="C2394">
        <v>69171</v>
      </c>
      <c r="D2394" t="s">
        <v>1180</v>
      </c>
      <c r="E2394" s="7">
        <v>1229.5</v>
      </c>
      <c r="F2394" t="s">
        <v>20</v>
      </c>
      <c r="G2394" t="s">
        <v>93</v>
      </c>
      <c r="H2394" t="str">
        <f>"CHECK"</f>
        <v>CHECK</v>
      </c>
      <c r="I2394" t="str">
        <f>""</f>
        <v/>
      </c>
    </row>
    <row r="2395" spans="1:9" x14ac:dyDescent="0.25">
      <c r="A2395" s="6">
        <v>44656</v>
      </c>
      <c r="B2395" t="s">
        <v>26</v>
      </c>
      <c r="C2395">
        <v>69172</v>
      </c>
      <c r="D2395" t="s">
        <v>90</v>
      </c>
      <c r="E2395" s="7">
        <v>88.57</v>
      </c>
      <c r="F2395" t="s">
        <v>20</v>
      </c>
      <c r="G2395" t="s">
        <v>21</v>
      </c>
      <c r="H2395" t="str">
        <f>"ACA202203088642"</f>
        <v>ACA202203088642</v>
      </c>
      <c r="I2395" t="str">
        <f>"AFLAC INSURANCE"</f>
        <v>AFLAC INSURANCE</v>
      </c>
    </row>
    <row r="2396" spans="1:9" x14ac:dyDescent="0.25">
      <c r="A2396" s="6">
        <v>44656</v>
      </c>
      <c r="B2396" t="s">
        <v>26</v>
      </c>
      <c r="C2396">
        <v>69172</v>
      </c>
      <c r="D2396" t="s">
        <v>90</v>
      </c>
      <c r="E2396" s="7">
        <v>88.57</v>
      </c>
      <c r="F2396" t="s">
        <v>20</v>
      </c>
      <c r="G2396" t="s">
        <v>21</v>
      </c>
      <c r="H2396" t="str">
        <f>"ACA202203228646"</f>
        <v>ACA202203228646</v>
      </c>
      <c r="I2396" t="str">
        <f>"AFLAC INSURANCE"</f>
        <v>AFLAC INSURANCE</v>
      </c>
    </row>
    <row r="2397" spans="1:9" x14ac:dyDescent="0.25">
      <c r="A2397" s="6">
        <v>44656</v>
      </c>
      <c r="B2397" t="s">
        <v>26</v>
      </c>
      <c r="C2397">
        <v>69172</v>
      </c>
      <c r="D2397" t="s">
        <v>90</v>
      </c>
      <c r="E2397" s="7">
        <v>15.06</v>
      </c>
      <c r="F2397" t="s">
        <v>20</v>
      </c>
      <c r="G2397" t="s">
        <v>21</v>
      </c>
      <c r="H2397" t="str">
        <f>"ADR202203088642"</f>
        <v>ADR202203088642</v>
      </c>
      <c r="I2397" t="str">
        <f>"INSURANCE"</f>
        <v>INSURANCE</v>
      </c>
    </row>
    <row r="2398" spans="1:9" x14ac:dyDescent="0.25">
      <c r="A2398" s="6">
        <v>44656</v>
      </c>
      <c r="B2398" t="s">
        <v>26</v>
      </c>
      <c r="C2398">
        <v>69172</v>
      </c>
      <c r="D2398" t="s">
        <v>90</v>
      </c>
      <c r="E2398" s="7">
        <v>15.06</v>
      </c>
      <c r="F2398" t="s">
        <v>20</v>
      </c>
      <c r="G2398" t="s">
        <v>21</v>
      </c>
      <c r="H2398" t="str">
        <f>"ADR202203228646"</f>
        <v>ADR202203228646</v>
      </c>
      <c r="I2398" t="str">
        <f>"INSURANCE"</f>
        <v>INSURANCE</v>
      </c>
    </row>
    <row r="2399" spans="1:9" x14ac:dyDescent="0.25">
      <c r="A2399" s="6">
        <v>44656</v>
      </c>
      <c r="B2399" t="s">
        <v>26</v>
      </c>
      <c r="C2399">
        <v>69172</v>
      </c>
      <c r="D2399" t="s">
        <v>90</v>
      </c>
      <c r="E2399" s="7">
        <v>481.14</v>
      </c>
      <c r="F2399" t="s">
        <v>20</v>
      </c>
      <c r="G2399" t="s">
        <v>21</v>
      </c>
      <c r="H2399" t="str">
        <f>"AF1202203088642"</f>
        <v>AF1202203088642</v>
      </c>
      <c r="I2399" t="str">
        <f>"AFLAC INSURANCE"</f>
        <v>AFLAC INSURANCE</v>
      </c>
    </row>
    <row r="2400" spans="1:9" x14ac:dyDescent="0.25">
      <c r="A2400" s="6">
        <v>44656</v>
      </c>
      <c r="B2400" t="s">
        <v>26</v>
      </c>
      <c r="C2400">
        <v>69172</v>
      </c>
      <c r="D2400" t="s">
        <v>90</v>
      </c>
      <c r="E2400" s="7">
        <v>481.14</v>
      </c>
      <c r="F2400" t="s">
        <v>20</v>
      </c>
      <c r="G2400" t="s">
        <v>21</v>
      </c>
      <c r="H2400" t="str">
        <f>"AF1202203228646"</f>
        <v>AF1202203228646</v>
      </c>
      <c r="I2400" t="str">
        <f>"AFLAC INSURANCE"</f>
        <v>AFLAC INSURANCE</v>
      </c>
    </row>
    <row r="2401" spans="1:9" x14ac:dyDescent="0.25">
      <c r="A2401" s="6">
        <v>44656</v>
      </c>
      <c r="B2401" t="s">
        <v>26</v>
      </c>
      <c r="C2401">
        <v>69172</v>
      </c>
      <c r="D2401" t="s">
        <v>90</v>
      </c>
      <c r="E2401" s="7">
        <v>102.24</v>
      </c>
      <c r="F2401" t="s">
        <v>20</v>
      </c>
      <c r="G2401" t="s">
        <v>21</v>
      </c>
      <c r="H2401" t="str">
        <f>"AFS202203088642"</f>
        <v>AFS202203088642</v>
      </c>
      <c r="I2401" t="str">
        <f>"AFLAC STD"</f>
        <v>AFLAC STD</v>
      </c>
    </row>
    <row r="2402" spans="1:9" x14ac:dyDescent="0.25">
      <c r="A2402" s="6">
        <v>44656</v>
      </c>
      <c r="B2402" t="s">
        <v>26</v>
      </c>
      <c r="C2402">
        <v>69172</v>
      </c>
      <c r="D2402" t="s">
        <v>90</v>
      </c>
      <c r="E2402" s="7">
        <v>102.24</v>
      </c>
      <c r="F2402" t="s">
        <v>20</v>
      </c>
      <c r="G2402" t="s">
        <v>21</v>
      </c>
      <c r="H2402" t="str">
        <f>"AFS202203228646"</f>
        <v>AFS202203228646</v>
      </c>
      <c r="I2402" t="str">
        <f>"AFLAC STD"</f>
        <v>AFLAC STD</v>
      </c>
    </row>
    <row r="2403" spans="1:9" x14ac:dyDescent="0.25">
      <c r="A2403" s="6">
        <v>44656</v>
      </c>
      <c r="B2403" t="s">
        <v>26</v>
      </c>
      <c r="C2403">
        <v>69172</v>
      </c>
      <c r="D2403" t="s">
        <v>90</v>
      </c>
      <c r="E2403" s="7">
        <v>33.54</v>
      </c>
      <c r="F2403" t="s">
        <v>20</v>
      </c>
      <c r="G2403" t="s">
        <v>21</v>
      </c>
      <c r="H2403" t="str">
        <f>"ASP202203088642"</f>
        <v>ASP202203088642</v>
      </c>
      <c r="I2403" t="str">
        <f>"AFLAC INSURANCE"</f>
        <v>AFLAC INSURANCE</v>
      </c>
    </row>
    <row r="2404" spans="1:9" x14ac:dyDescent="0.25">
      <c r="A2404" s="6">
        <v>44656</v>
      </c>
      <c r="B2404" t="s">
        <v>26</v>
      </c>
      <c r="C2404">
        <v>69172</v>
      </c>
      <c r="D2404" t="s">
        <v>90</v>
      </c>
      <c r="E2404" s="7">
        <v>33.54</v>
      </c>
      <c r="F2404" t="s">
        <v>20</v>
      </c>
      <c r="G2404" t="s">
        <v>21</v>
      </c>
      <c r="H2404" t="str">
        <f>"ASP202203228646"</f>
        <v>ASP202203228646</v>
      </c>
      <c r="I2404" t="str">
        <f>"AFLAC INSURANCE"</f>
        <v>AFLAC INSURANCE</v>
      </c>
    </row>
    <row r="2405" spans="1:9" x14ac:dyDescent="0.25">
      <c r="A2405" s="6">
        <v>44656</v>
      </c>
      <c r="B2405" t="s">
        <v>26</v>
      </c>
      <c r="C2405">
        <v>69172</v>
      </c>
      <c r="D2405" t="s">
        <v>90</v>
      </c>
      <c r="E2405" s="7">
        <v>143.76</v>
      </c>
      <c r="F2405" t="s">
        <v>20</v>
      </c>
      <c r="G2405" t="s">
        <v>21</v>
      </c>
      <c r="H2405" t="str">
        <f>"HCO202203088642"</f>
        <v>HCO202203088642</v>
      </c>
      <c r="I2405" t="str">
        <f>"AFLAC INSURANCE"</f>
        <v>AFLAC INSURANCE</v>
      </c>
    </row>
    <row r="2406" spans="1:9" x14ac:dyDescent="0.25">
      <c r="A2406" s="6">
        <v>44656</v>
      </c>
      <c r="B2406" t="s">
        <v>26</v>
      </c>
      <c r="C2406">
        <v>69172</v>
      </c>
      <c r="D2406" t="s">
        <v>90</v>
      </c>
      <c r="E2406" s="7">
        <v>143.76</v>
      </c>
      <c r="F2406" t="s">
        <v>20</v>
      </c>
      <c r="G2406" t="s">
        <v>21</v>
      </c>
      <c r="H2406" t="str">
        <f>"HCO202203228646"</f>
        <v>HCO202203228646</v>
      </c>
      <c r="I2406" t="str">
        <f>"AFLAC INSURANCE"</f>
        <v>AFLAC INSURANCE</v>
      </c>
    </row>
    <row r="2407" spans="1:9" x14ac:dyDescent="0.25">
      <c r="A2407" s="6">
        <v>44656</v>
      </c>
      <c r="B2407" t="s">
        <v>26</v>
      </c>
      <c r="C2407">
        <v>69177</v>
      </c>
      <c r="D2407" t="s">
        <v>98</v>
      </c>
      <c r="E2407" s="7">
        <v>148.5</v>
      </c>
      <c r="F2407" t="s">
        <v>20</v>
      </c>
      <c r="G2407" t="s">
        <v>329</v>
      </c>
      <c r="H2407" t="str">
        <f>"APRIL 2022"</f>
        <v>APRIL 2022</v>
      </c>
      <c r="I2407" t="str">
        <f>"DEARBORN LIFE INSURANCE COMPAN"</f>
        <v>DEARBORN LIFE INSURANCE COMPAN</v>
      </c>
    </row>
    <row r="2408" spans="1:9" x14ac:dyDescent="0.25">
      <c r="A2408" s="6">
        <v>44656</v>
      </c>
      <c r="B2408" t="s">
        <v>26</v>
      </c>
      <c r="C2408">
        <v>69177</v>
      </c>
      <c r="D2408" t="s">
        <v>98</v>
      </c>
      <c r="E2408" s="7">
        <v>402.41</v>
      </c>
      <c r="F2408" t="s">
        <v>20</v>
      </c>
      <c r="G2408" t="s">
        <v>21</v>
      </c>
      <c r="H2408" t="str">
        <f>"STD202203088642"</f>
        <v>STD202203088642</v>
      </c>
      <c r="I2408" t="str">
        <f>"SHORT TERM DISABILITY"</f>
        <v>SHORT TERM DISABILITY</v>
      </c>
    </row>
    <row r="2409" spans="1:9" x14ac:dyDescent="0.25">
      <c r="A2409" s="6">
        <v>44656</v>
      </c>
      <c r="B2409" t="s">
        <v>26</v>
      </c>
      <c r="C2409">
        <v>69177</v>
      </c>
      <c r="D2409" t="s">
        <v>98</v>
      </c>
      <c r="E2409" s="7">
        <v>389.38</v>
      </c>
      <c r="F2409" t="s">
        <v>20</v>
      </c>
      <c r="G2409" t="s">
        <v>21</v>
      </c>
      <c r="H2409" t="str">
        <f>"STD202203228646"</f>
        <v>STD202203228646</v>
      </c>
      <c r="I2409" t="str">
        <f>"SHORT TERM DISABILITY"</f>
        <v>SHORT TERM DISABILITY</v>
      </c>
    </row>
    <row r="2410" spans="1:9" x14ac:dyDescent="0.25">
      <c r="A2410" s="6">
        <v>44656</v>
      </c>
      <c r="B2410" t="s">
        <v>26</v>
      </c>
      <c r="C2410">
        <v>69177</v>
      </c>
      <c r="D2410" t="s">
        <v>98</v>
      </c>
      <c r="E2410" s="7">
        <v>299.18</v>
      </c>
      <c r="F2410" t="s">
        <v>20</v>
      </c>
      <c r="G2410" t="s">
        <v>21</v>
      </c>
      <c r="H2410" t="str">
        <f>"VIS202203088642"</f>
        <v>VIS202203088642</v>
      </c>
      <c r="I2410" t="str">
        <f>"VISION INSURANCE"</f>
        <v>VISION INSURANCE</v>
      </c>
    </row>
    <row r="2411" spans="1:9" x14ac:dyDescent="0.25">
      <c r="A2411" s="6">
        <v>44656</v>
      </c>
      <c r="B2411" t="s">
        <v>26</v>
      </c>
      <c r="C2411">
        <v>69177</v>
      </c>
      <c r="D2411" t="s">
        <v>98</v>
      </c>
      <c r="E2411" s="7">
        <v>294.02</v>
      </c>
      <c r="F2411" t="s">
        <v>20</v>
      </c>
      <c r="G2411" t="s">
        <v>21</v>
      </c>
      <c r="H2411" t="str">
        <f>"VIS202203228646"</f>
        <v>VIS202203228646</v>
      </c>
      <c r="I2411" t="str">
        <f>"VISION INSURANCE"</f>
        <v>VISION INSURANCE</v>
      </c>
    </row>
    <row r="2412" spans="1:9" x14ac:dyDescent="0.25">
      <c r="A2412" s="6">
        <v>44656</v>
      </c>
      <c r="B2412" t="s">
        <v>26</v>
      </c>
      <c r="C2412">
        <v>69177</v>
      </c>
      <c r="D2412" t="s">
        <v>98</v>
      </c>
      <c r="E2412" s="7">
        <v>66.13</v>
      </c>
      <c r="F2412" t="s">
        <v>20</v>
      </c>
      <c r="G2412" t="s">
        <v>21</v>
      </c>
      <c r="H2412" t="str">
        <f>"VLC202203088642"</f>
        <v>VLC202203088642</v>
      </c>
      <c r="I2412" t="str">
        <f>"CHILD LIFE INSURANCE"</f>
        <v>CHILD LIFE INSURANCE</v>
      </c>
    </row>
    <row r="2413" spans="1:9" x14ac:dyDescent="0.25">
      <c r="A2413" s="6">
        <v>44656</v>
      </c>
      <c r="B2413" t="s">
        <v>26</v>
      </c>
      <c r="C2413">
        <v>69177</v>
      </c>
      <c r="D2413" t="s">
        <v>98</v>
      </c>
      <c r="E2413" s="7">
        <v>66.13</v>
      </c>
      <c r="F2413" t="s">
        <v>20</v>
      </c>
      <c r="G2413" t="s">
        <v>21</v>
      </c>
      <c r="H2413" t="str">
        <f>"VLC202203228646"</f>
        <v>VLC202203228646</v>
      </c>
      <c r="I2413" t="str">
        <f>"CHILD LIFE INSURANCE"</f>
        <v>CHILD LIFE INSURANCE</v>
      </c>
    </row>
    <row r="2414" spans="1:9" x14ac:dyDescent="0.25">
      <c r="A2414" s="6">
        <v>44656</v>
      </c>
      <c r="B2414" t="s">
        <v>26</v>
      </c>
      <c r="C2414">
        <v>69177</v>
      </c>
      <c r="D2414" t="s">
        <v>98</v>
      </c>
      <c r="E2414" s="7">
        <v>132.65</v>
      </c>
      <c r="F2414" t="s">
        <v>20</v>
      </c>
      <c r="G2414" t="s">
        <v>21</v>
      </c>
      <c r="H2414" t="str">
        <f>"VLS202203088642"</f>
        <v>VLS202203088642</v>
      </c>
      <c r="I2414" t="str">
        <f>"SPOUSE LIFE"</f>
        <v>SPOUSE LIFE</v>
      </c>
    </row>
    <row r="2415" spans="1:9" x14ac:dyDescent="0.25">
      <c r="A2415" s="6">
        <v>44656</v>
      </c>
      <c r="B2415" t="s">
        <v>26</v>
      </c>
      <c r="C2415">
        <v>69177</v>
      </c>
      <c r="D2415" t="s">
        <v>98</v>
      </c>
      <c r="E2415" s="7">
        <v>132.65</v>
      </c>
      <c r="F2415" t="s">
        <v>20</v>
      </c>
      <c r="G2415" t="s">
        <v>21</v>
      </c>
      <c r="H2415" t="str">
        <f>"VLS202203228646"</f>
        <v>VLS202203228646</v>
      </c>
      <c r="I2415" t="str">
        <f>"SPOUSE LIFE"</f>
        <v>SPOUSE LIFE</v>
      </c>
    </row>
    <row r="2416" spans="1:9" x14ac:dyDescent="0.25">
      <c r="A2416" s="6">
        <v>44656</v>
      </c>
      <c r="B2416" t="s">
        <v>26</v>
      </c>
      <c r="C2416">
        <v>69177</v>
      </c>
      <c r="D2416" t="s">
        <v>98</v>
      </c>
      <c r="E2416" s="7">
        <v>86.07</v>
      </c>
      <c r="F2416" t="s">
        <v>20</v>
      </c>
      <c r="G2416" t="s">
        <v>21</v>
      </c>
      <c r="H2416" t="str">
        <f>"VOE202203088642"</f>
        <v>VOE202203088642</v>
      </c>
      <c r="I2416" t="str">
        <f>"EMPLOYEE LIFE"</f>
        <v>EMPLOYEE LIFE</v>
      </c>
    </row>
    <row r="2417" spans="1:9" x14ac:dyDescent="0.25">
      <c r="A2417" s="6">
        <v>44656</v>
      </c>
      <c r="B2417" t="s">
        <v>26</v>
      </c>
      <c r="C2417">
        <v>69177</v>
      </c>
      <c r="D2417" t="s">
        <v>98</v>
      </c>
      <c r="E2417" s="7">
        <v>92.11</v>
      </c>
      <c r="F2417" t="s">
        <v>20</v>
      </c>
      <c r="G2417" t="s">
        <v>21</v>
      </c>
      <c r="H2417" t="str">
        <f>"VOE202203228646"</f>
        <v>VOE202203228646</v>
      </c>
      <c r="I2417" t="str">
        <f>"EMPLOYEE LIFE"</f>
        <v>EMPLOYEE LIFE</v>
      </c>
    </row>
    <row r="2418" spans="1:9" x14ac:dyDescent="0.25">
      <c r="A2418" s="6">
        <v>44656</v>
      </c>
      <c r="B2418" t="s">
        <v>26</v>
      </c>
      <c r="C2418">
        <v>69177</v>
      </c>
      <c r="D2418" t="s">
        <v>98</v>
      </c>
      <c r="E2418" s="7">
        <v>726.09</v>
      </c>
      <c r="F2418" t="s">
        <v>20</v>
      </c>
      <c r="G2418" t="s">
        <v>21</v>
      </c>
      <c r="H2418" t="str">
        <f>"VOL202203088642"</f>
        <v>VOL202203088642</v>
      </c>
      <c r="I2418" t="str">
        <f>"LIFE"</f>
        <v>LIFE</v>
      </c>
    </row>
    <row r="2419" spans="1:9" x14ac:dyDescent="0.25">
      <c r="A2419" s="6">
        <v>44656</v>
      </c>
      <c r="B2419" t="s">
        <v>26</v>
      </c>
      <c r="C2419">
        <v>69177</v>
      </c>
      <c r="D2419" t="s">
        <v>98</v>
      </c>
      <c r="E2419" s="7">
        <v>717.87</v>
      </c>
      <c r="F2419" t="s">
        <v>20</v>
      </c>
      <c r="G2419" t="s">
        <v>21</v>
      </c>
      <c r="H2419" t="str">
        <f>"VOL202203228646"</f>
        <v>VOL202203228646</v>
      </c>
      <c r="I2419" t="str">
        <f>"LIFE"</f>
        <v>LIFE</v>
      </c>
    </row>
    <row r="2420" spans="1:9" x14ac:dyDescent="0.25">
      <c r="A2420" s="6">
        <v>44656</v>
      </c>
      <c r="B2420" t="s">
        <v>26</v>
      </c>
      <c r="C2420">
        <v>69187</v>
      </c>
      <c r="D2420" t="s">
        <v>97</v>
      </c>
      <c r="E2420" s="7">
        <v>1207.8399999999999</v>
      </c>
      <c r="F2420" t="s">
        <v>20</v>
      </c>
      <c r="G2420" t="s">
        <v>329</v>
      </c>
      <c r="H2420" t="str">
        <f>"APRIL 2022"</f>
        <v>APRIL 2022</v>
      </c>
      <c r="I2420" t="str">
        <f>"HEALTH CARE SERVICE CORPORATIO"</f>
        <v>HEALTH CARE SERVICE CORPORATIO</v>
      </c>
    </row>
    <row r="2421" spans="1:9" x14ac:dyDescent="0.25">
      <c r="A2421" s="6">
        <v>44656</v>
      </c>
      <c r="B2421" t="s">
        <v>26</v>
      </c>
      <c r="C2421">
        <v>69187</v>
      </c>
      <c r="D2421" t="s">
        <v>97</v>
      </c>
      <c r="E2421" s="7">
        <v>1151</v>
      </c>
      <c r="F2421" t="s">
        <v>20</v>
      </c>
      <c r="G2421" t="s">
        <v>21</v>
      </c>
      <c r="H2421" t="str">
        <f>"DEN202203088642"</f>
        <v>DEN202203088642</v>
      </c>
      <c r="I2421" t="str">
        <f>"DENTAL INSURANCE"</f>
        <v>DENTAL INSURANCE</v>
      </c>
    </row>
    <row r="2422" spans="1:9" x14ac:dyDescent="0.25">
      <c r="A2422" s="6">
        <v>44656</v>
      </c>
      <c r="B2422" t="s">
        <v>26</v>
      </c>
      <c r="C2422">
        <v>69187</v>
      </c>
      <c r="D2422" t="s">
        <v>97</v>
      </c>
      <c r="E2422" s="7">
        <v>1120.22</v>
      </c>
      <c r="F2422" t="s">
        <v>20</v>
      </c>
      <c r="G2422" t="s">
        <v>21</v>
      </c>
      <c r="H2422" t="str">
        <f>"DEN202203228646"</f>
        <v>DEN202203228646</v>
      </c>
      <c r="I2422" t="str">
        <f>"DENTAL INSURANCE"</f>
        <v>DENTAL INSURANCE</v>
      </c>
    </row>
    <row r="2423" spans="1:9" x14ac:dyDescent="0.25">
      <c r="A2423" s="6">
        <v>44656</v>
      </c>
      <c r="B2423" t="s">
        <v>26</v>
      </c>
      <c r="C2423">
        <v>69187</v>
      </c>
      <c r="D2423" t="s">
        <v>97</v>
      </c>
      <c r="E2423" s="7">
        <v>20693.54</v>
      </c>
      <c r="F2423" t="s">
        <v>20</v>
      </c>
      <c r="G2423" t="s">
        <v>21</v>
      </c>
      <c r="H2423" t="str">
        <f>"MED202203088642"</f>
        <v>MED202203088642</v>
      </c>
      <c r="I2423" t="str">
        <f>"HEALTH &amp; DENTAL INSURANCE"</f>
        <v>HEALTH &amp; DENTAL INSURANCE</v>
      </c>
    </row>
    <row r="2424" spans="1:9" x14ac:dyDescent="0.25">
      <c r="A2424" s="6">
        <v>44656</v>
      </c>
      <c r="B2424" t="s">
        <v>26</v>
      </c>
      <c r="C2424">
        <v>69187</v>
      </c>
      <c r="D2424" t="s">
        <v>97</v>
      </c>
      <c r="E2424" s="7">
        <v>20104.82</v>
      </c>
      <c r="F2424" t="s">
        <v>20</v>
      </c>
      <c r="G2424" t="s">
        <v>21</v>
      </c>
      <c r="H2424" t="str">
        <f>"MED202203228646"</f>
        <v>MED202203228646</v>
      </c>
      <c r="I2424" t="str">
        <f>"HEALTH &amp; DENTAL INSURANCE"</f>
        <v>HEALTH &amp; DENTAL INSURANCE</v>
      </c>
    </row>
    <row r="2425" spans="1:9" x14ac:dyDescent="0.25">
      <c r="A2425" s="6">
        <v>44656</v>
      </c>
      <c r="B2425" t="s">
        <v>26</v>
      </c>
      <c r="C2425">
        <v>69192</v>
      </c>
      <c r="D2425" t="s">
        <v>95</v>
      </c>
      <c r="E2425" s="7">
        <v>12.66</v>
      </c>
      <c r="F2425" t="s">
        <v>20</v>
      </c>
      <c r="G2425" t="s">
        <v>21</v>
      </c>
      <c r="H2425" t="str">
        <f>"LEA202203088642"</f>
        <v>LEA202203088642</v>
      </c>
      <c r="I2425" t="str">
        <f>"INSURANCE"</f>
        <v>INSURANCE</v>
      </c>
    </row>
    <row r="2426" spans="1:9" x14ac:dyDescent="0.25">
      <c r="A2426" s="6">
        <v>44656</v>
      </c>
      <c r="B2426" t="s">
        <v>26</v>
      </c>
      <c r="C2426">
        <v>69192</v>
      </c>
      <c r="D2426" t="s">
        <v>95</v>
      </c>
      <c r="E2426" s="7">
        <v>12.66</v>
      </c>
      <c r="F2426" t="s">
        <v>20</v>
      </c>
      <c r="G2426" t="s">
        <v>21</v>
      </c>
      <c r="H2426" t="str">
        <f>"LEA202203228646"</f>
        <v>LEA202203228646</v>
      </c>
      <c r="I2426" t="str">
        <f>"INSURANCE"</f>
        <v>INSURANCE</v>
      </c>
    </row>
    <row r="2427" spans="1:9" x14ac:dyDescent="0.25">
      <c r="A2427" s="6">
        <v>44656</v>
      </c>
      <c r="B2427" t="s">
        <v>26</v>
      </c>
      <c r="C2427">
        <v>69193</v>
      </c>
      <c r="D2427" t="s">
        <v>96</v>
      </c>
      <c r="E2427" s="7">
        <v>112.62</v>
      </c>
      <c r="F2427" t="s">
        <v>20</v>
      </c>
      <c r="G2427" t="s">
        <v>21</v>
      </c>
      <c r="H2427" t="str">
        <f>"PPL202203088642"</f>
        <v>PPL202203088642</v>
      </c>
      <c r="I2427" t="str">
        <f>"INSURANCE"</f>
        <v>INSURANCE</v>
      </c>
    </row>
    <row r="2428" spans="1:9" x14ac:dyDescent="0.25">
      <c r="A2428" s="6">
        <v>44656</v>
      </c>
      <c r="B2428" t="s">
        <v>26</v>
      </c>
      <c r="C2428">
        <v>69193</v>
      </c>
      <c r="D2428" t="s">
        <v>96</v>
      </c>
      <c r="E2428" s="7">
        <v>112.62</v>
      </c>
      <c r="F2428" t="s">
        <v>20</v>
      </c>
      <c r="G2428" t="s">
        <v>21</v>
      </c>
      <c r="H2428" t="str">
        <f>"PPL202203228646"</f>
        <v>PPL202203228646</v>
      </c>
      <c r="I2428" t="str">
        <f>"INSURANCE"</f>
        <v>INSURANCE</v>
      </c>
    </row>
    <row r="2429" spans="1:9" x14ac:dyDescent="0.25">
      <c r="A2429" s="6">
        <v>44656</v>
      </c>
      <c r="B2429" t="s">
        <v>26</v>
      </c>
      <c r="C2429">
        <v>69194</v>
      </c>
      <c r="D2429" t="s">
        <v>59</v>
      </c>
      <c r="E2429" s="7">
        <v>145.34</v>
      </c>
      <c r="F2429" t="s">
        <v>20</v>
      </c>
      <c r="G2429" t="s">
        <v>21</v>
      </c>
      <c r="H2429" t="str">
        <f>"1151107"</f>
        <v>1151107</v>
      </c>
      <c r="I2429" t="str">
        <f>"DRAINAGE"</f>
        <v>DRAINAGE</v>
      </c>
    </row>
    <row r="2430" spans="1:9" x14ac:dyDescent="0.25">
      <c r="A2430" s="6">
        <v>44656</v>
      </c>
      <c r="B2430" t="s">
        <v>91</v>
      </c>
      <c r="C2430">
        <v>69195</v>
      </c>
      <c r="D2430" t="s">
        <v>0</v>
      </c>
      <c r="E2430" s="7">
        <v>400</v>
      </c>
      <c r="F2430" t="s">
        <v>20</v>
      </c>
      <c r="G2430" t="s">
        <v>21</v>
      </c>
      <c r="H2430" t="str">
        <f>"CINCO DE MAYO '22"</f>
        <v>CINCO DE MAYO '22</v>
      </c>
      <c r="I2430" t="str">
        <f>"CITY OF FLORESVILLE"</f>
        <v>CITY OF FLORESVILLE</v>
      </c>
    </row>
    <row r="2431" spans="1:9" x14ac:dyDescent="0.25">
      <c r="A2431" s="6">
        <v>44656</v>
      </c>
      <c r="B2431" t="s">
        <v>91</v>
      </c>
      <c r="C2431">
        <v>69195</v>
      </c>
      <c r="D2431" t="s">
        <v>0</v>
      </c>
      <c r="E2431" s="7">
        <v>400</v>
      </c>
      <c r="F2431" t="s">
        <v>20</v>
      </c>
      <c r="G2431" t="s">
        <v>93</v>
      </c>
      <c r="H2431" t="str">
        <f>"CHECK"</f>
        <v>CHECK</v>
      </c>
      <c r="I2431" t="str">
        <f>""</f>
        <v/>
      </c>
    </row>
    <row r="2432" spans="1:9" x14ac:dyDescent="0.25">
      <c r="A2432" s="6">
        <v>44656</v>
      </c>
      <c r="B2432" t="s">
        <v>26</v>
      </c>
      <c r="C2432">
        <v>69196</v>
      </c>
      <c r="D2432" t="s">
        <v>345</v>
      </c>
      <c r="E2432" s="7">
        <v>363</v>
      </c>
      <c r="F2432" t="s">
        <v>20</v>
      </c>
      <c r="G2432" t="s">
        <v>21</v>
      </c>
      <c r="H2432" t="str">
        <f>"4/5/2022"</f>
        <v>4/5/2022</v>
      </c>
      <c r="I2432" t="str">
        <f>"MICHAEL ISAAC MARTINEZ"</f>
        <v>MICHAEL ISAAC MARTINEZ</v>
      </c>
    </row>
    <row r="2433" spans="1:9" x14ac:dyDescent="0.25">
      <c r="A2433" s="6">
        <v>44656</v>
      </c>
      <c r="B2433" t="s">
        <v>26</v>
      </c>
      <c r="C2433">
        <v>69201</v>
      </c>
      <c r="D2433" t="s">
        <v>51</v>
      </c>
      <c r="E2433" s="7">
        <v>13.85</v>
      </c>
      <c r="F2433" t="s">
        <v>20</v>
      </c>
      <c r="G2433" t="s">
        <v>21</v>
      </c>
      <c r="H2433" t="str">
        <f>"CLE202204058648"</f>
        <v>CLE202204058648</v>
      </c>
      <c r="I2433" t="str">
        <f>"CLEAT ONLY DUES"</f>
        <v>CLEAT ONLY DUES</v>
      </c>
    </row>
    <row r="2434" spans="1:9" x14ac:dyDescent="0.25">
      <c r="A2434" s="6">
        <v>44656</v>
      </c>
      <c r="B2434" t="s">
        <v>26</v>
      </c>
      <c r="C2434">
        <v>69201</v>
      </c>
      <c r="D2434" t="s">
        <v>51</v>
      </c>
      <c r="E2434" s="7">
        <v>313.99</v>
      </c>
      <c r="F2434" t="s">
        <v>20</v>
      </c>
      <c r="G2434" t="s">
        <v>21</v>
      </c>
      <c r="H2434" t="str">
        <f>"PDD202204058648"</f>
        <v>PDD202204058648</v>
      </c>
      <c r="I2434" t="str">
        <f>"POLICE OFFICERS ASSOC DUES"</f>
        <v>POLICE OFFICERS ASSOC DUES</v>
      </c>
    </row>
    <row r="2435" spans="1:9" x14ac:dyDescent="0.25">
      <c r="A2435" s="6">
        <v>44656</v>
      </c>
      <c r="B2435" t="s">
        <v>26</v>
      </c>
      <c r="C2435">
        <v>69202</v>
      </c>
      <c r="D2435" t="s">
        <v>52</v>
      </c>
      <c r="E2435" s="7">
        <v>101.25</v>
      </c>
      <c r="F2435" t="s">
        <v>20</v>
      </c>
      <c r="G2435" t="s">
        <v>21</v>
      </c>
      <c r="H2435" t="str">
        <f>"CA1202204058648"</f>
        <v>CA1202204058648</v>
      </c>
      <c r="I2435" t="str">
        <f>"K RAMIREZ 001200229510060343CV"</f>
        <v>K RAMIREZ 001200229510060343CV</v>
      </c>
    </row>
    <row r="2436" spans="1:9" x14ac:dyDescent="0.25">
      <c r="A2436" s="6">
        <v>44656</v>
      </c>
      <c r="B2436" t="s">
        <v>26</v>
      </c>
      <c r="C2436">
        <v>69202</v>
      </c>
      <c r="D2436" t="s">
        <v>52</v>
      </c>
      <c r="E2436" s="7">
        <v>101.25</v>
      </c>
      <c r="F2436" t="s">
        <v>20</v>
      </c>
      <c r="G2436" t="s">
        <v>21</v>
      </c>
      <c r="H2436" t="str">
        <f>"CA2202204058648"</f>
        <v>CA2202204058648</v>
      </c>
      <c r="I2436" t="str">
        <f>"L HERNANDEZ 001016025203080354"</f>
        <v>L HERNANDEZ 001016025203080354</v>
      </c>
    </row>
    <row r="2437" spans="1:9" x14ac:dyDescent="0.25">
      <c r="A2437" s="6">
        <v>44656</v>
      </c>
      <c r="B2437" t="s">
        <v>26</v>
      </c>
      <c r="C2437">
        <v>69202</v>
      </c>
      <c r="D2437" t="s">
        <v>52</v>
      </c>
      <c r="E2437" s="7">
        <v>101.25</v>
      </c>
      <c r="F2437" t="s">
        <v>20</v>
      </c>
      <c r="G2437" t="s">
        <v>21</v>
      </c>
      <c r="H2437" t="str">
        <f>"CA3202204058648"</f>
        <v>CA3202204058648</v>
      </c>
      <c r="I2437" t="str">
        <f>"00120788612011EM5023JOLENEGARC"</f>
        <v>00120788612011EM5023JOLENEGARC</v>
      </c>
    </row>
    <row r="2438" spans="1:9" x14ac:dyDescent="0.25">
      <c r="A2438" s="6">
        <v>44656</v>
      </c>
      <c r="B2438" t="s">
        <v>26</v>
      </c>
      <c r="C2438">
        <v>69202</v>
      </c>
      <c r="D2438" t="s">
        <v>52</v>
      </c>
      <c r="E2438" s="7">
        <v>101.25</v>
      </c>
      <c r="F2438" t="s">
        <v>20</v>
      </c>
      <c r="G2438" t="s">
        <v>21</v>
      </c>
      <c r="H2438" t="str">
        <f>"CSA202204058648"</f>
        <v>CSA202204058648</v>
      </c>
      <c r="I2438" t="str">
        <f>"S RODRIGUEZ 001281730413050336"</f>
        <v>S RODRIGUEZ 001281730413050336</v>
      </c>
    </row>
    <row r="2439" spans="1:9" x14ac:dyDescent="0.25">
      <c r="A2439" s="6">
        <v>44656</v>
      </c>
      <c r="B2439" t="s">
        <v>26</v>
      </c>
      <c r="C2439">
        <v>69202</v>
      </c>
      <c r="D2439" t="s">
        <v>52</v>
      </c>
      <c r="E2439" s="7">
        <v>521.54</v>
      </c>
      <c r="F2439" t="s">
        <v>20</v>
      </c>
      <c r="G2439" t="s">
        <v>21</v>
      </c>
      <c r="H2439" t="str">
        <f>"CSI202204058648"</f>
        <v>CSI202204058648</v>
      </c>
      <c r="I2439" t="str">
        <f>"KTRINIDAD0014071774CVW2000777"</f>
        <v>KTRINIDAD0014071774CVW2000777</v>
      </c>
    </row>
    <row r="2440" spans="1:9" x14ac:dyDescent="0.25">
      <c r="A2440" s="6">
        <v>44656</v>
      </c>
      <c r="B2440" t="s">
        <v>26</v>
      </c>
      <c r="C2440">
        <v>69204</v>
      </c>
      <c r="D2440" t="s">
        <v>54</v>
      </c>
      <c r="E2440" s="7">
        <v>803.43</v>
      </c>
      <c r="F2440" t="s">
        <v>20</v>
      </c>
      <c r="G2440" t="s">
        <v>21</v>
      </c>
      <c r="H2440" t="str">
        <f>"BRE202204058648"</f>
        <v>BRE202204058648</v>
      </c>
      <c r="I2440" t="str">
        <f>"CASE #180-60751 457B DEDUCT"</f>
        <v>CASE #180-60751 457B DEDUCT</v>
      </c>
    </row>
    <row r="2441" spans="1:9" x14ac:dyDescent="0.25">
      <c r="A2441" s="6">
        <v>44657</v>
      </c>
      <c r="B2441" t="s">
        <v>26</v>
      </c>
      <c r="C2441">
        <v>69205</v>
      </c>
      <c r="D2441" t="s">
        <v>59</v>
      </c>
      <c r="E2441" s="7">
        <v>2150.4299999999998</v>
      </c>
      <c r="F2441" t="s">
        <v>20</v>
      </c>
      <c r="G2441" t="s">
        <v>21</v>
      </c>
      <c r="H2441" t="str">
        <f>"REISSUE CK#68669"</f>
        <v>REISSUE CK#68669</v>
      </c>
      <c r="I2441" t="str">
        <f>"FERGUSON WATERWORKS - MUNICIPA"</f>
        <v>FERGUSON WATERWORKS - MUNICIPA</v>
      </c>
    </row>
    <row r="2442" spans="1:9" x14ac:dyDescent="0.25">
      <c r="A2442" s="6">
        <v>44657</v>
      </c>
      <c r="B2442" t="s">
        <v>26</v>
      </c>
      <c r="C2442">
        <v>69206</v>
      </c>
      <c r="D2442" t="s">
        <v>637</v>
      </c>
      <c r="E2442" s="7">
        <v>75</v>
      </c>
      <c r="F2442" t="s">
        <v>20</v>
      </c>
      <c r="G2442" t="s">
        <v>21</v>
      </c>
      <c r="H2442" t="str">
        <f t="shared" ref="H2442:H2447" si="57">"042022-COUNCIL"</f>
        <v>042022-COUNCIL</v>
      </c>
      <c r="I2442" t="str">
        <f>""</f>
        <v/>
      </c>
    </row>
    <row r="2443" spans="1:9" x14ac:dyDescent="0.25">
      <c r="A2443" s="6">
        <v>44657</v>
      </c>
      <c r="B2443" t="s">
        <v>26</v>
      </c>
      <c r="C2443">
        <v>69207</v>
      </c>
      <c r="D2443" t="s">
        <v>36</v>
      </c>
      <c r="E2443" s="7">
        <v>75</v>
      </c>
      <c r="F2443" t="s">
        <v>20</v>
      </c>
      <c r="G2443" t="s">
        <v>21</v>
      </c>
      <c r="H2443" t="str">
        <f t="shared" si="57"/>
        <v>042022-COUNCIL</v>
      </c>
      <c r="I2443" t="str">
        <f>""</f>
        <v/>
      </c>
    </row>
    <row r="2444" spans="1:9" x14ac:dyDescent="0.25">
      <c r="A2444" s="6">
        <v>44657</v>
      </c>
      <c r="B2444" t="s">
        <v>26</v>
      </c>
      <c r="C2444">
        <v>69208</v>
      </c>
      <c r="D2444" t="s">
        <v>38</v>
      </c>
      <c r="E2444" s="7">
        <v>100</v>
      </c>
      <c r="F2444" t="s">
        <v>20</v>
      </c>
      <c r="G2444" t="s">
        <v>21</v>
      </c>
      <c r="H2444" t="str">
        <f t="shared" si="57"/>
        <v>042022-COUNCIL</v>
      </c>
      <c r="I2444" t="str">
        <f>""</f>
        <v/>
      </c>
    </row>
    <row r="2445" spans="1:9" x14ac:dyDescent="0.25">
      <c r="A2445" s="6">
        <v>44657</v>
      </c>
      <c r="B2445" t="s">
        <v>26</v>
      </c>
      <c r="C2445">
        <v>69209</v>
      </c>
      <c r="D2445" t="s">
        <v>558</v>
      </c>
      <c r="E2445" s="7">
        <v>75</v>
      </c>
      <c r="F2445" t="s">
        <v>20</v>
      </c>
      <c r="G2445" t="s">
        <v>21</v>
      </c>
      <c r="H2445" t="str">
        <f t="shared" si="57"/>
        <v>042022-COUNCIL</v>
      </c>
      <c r="I2445" t="str">
        <f>"MONTHLY COUNCIL CHECKS"</f>
        <v>MONTHLY COUNCIL CHECKS</v>
      </c>
    </row>
    <row r="2446" spans="1:9" x14ac:dyDescent="0.25">
      <c r="A2446" s="6">
        <v>44657</v>
      </c>
      <c r="B2446" t="s">
        <v>26</v>
      </c>
      <c r="C2446">
        <v>69210</v>
      </c>
      <c r="D2446" t="s">
        <v>889</v>
      </c>
      <c r="E2446" s="7">
        <v>75</v>
      </c>
      <c r="F2446" t="s">
        <v>20</v>
      </c>
      <c r="G2446" t="s">
        <v>21</v>
      </c>
      <c r="H2446" t="str">
        <f t="shared" si="57"/>
        <v>042022-COUNCIL</v>
      </c>
      <c r="I2446" t="str">
        <f>""</f>
        <v/>
      </c>
    </row>
    <row r="2447" spans="1:9" x14ac:dyDescent="0.25">
      <c r="A2447" s="6">
        <v>44657</v>
      </c>
      <c r="B2447" t="s">
        <v>26</v>
      </c>
      <c r="C2447">
        <v>69211</v>
      </c>
      <c r="D2447" t="s">
        <v>1011</v>
      </c>
      <c r="E2447" s="7">
        <v>75</v>
      </c>
      <c r="F2447" t="s">
        <v>20</v>
      </c>
      <c r="G2447" t="s">
        <v>21</v>
      </c>
      <c r="H2447" t="str">
        <f t="shared" si="57"/>
        <v>042022-COUNCIL</v>
      </c>
      <c r="I2447" t="str">
        <f>""</f>
        <v/>
      </c>
    </row>
    <row r="2448" spans="1:9" x14ac:dyDescent="0.25">
      <c r="A2448" s="6">
        <v>44659</v>
      </c>
      <c r="B2448" t="s">
        <v>26</v>
      </c>
      <c r="C2448">
        <v>69212</v>
      </c>
      <c r="D2448" t="s">
        <v>81</v>
      </c>
      <c r="E2448" s="7">
        <v>400</v>
      </c>
      <c r="F2448" t="s">
        <v>20</v>
      </c>
      <c r="G2448" t="s">
        <v>21</v>
      </c>
      <c r="H2448" t="str">
        <f>"CINCO DE MAYO 2022"</f>
        <v>CINCO DE MAYO 2022</v>
      </c>
      <c r="I2448" t="str">
        <f>"CITY OF FLORESVILLE -PETTY CAS"</f>
        <v>CITY OF FLORESVILLE -PETTY CAS</v>
      </c>
    </row>
    <row r="2449" spans="1:9" x14ac:dyDescent="0.25">
      <c r="A2449" s="6">
        <v>44664</v>
      </c>
      <c r="B2449" t="s">
        <v>26</v>
      </c>
      <c r="C2449">
        <v>69213</v>
      </c>
      <c r="D2449" t="s">
        <v>1145</v>
      </c>
      <c r="E2449" s="7">
        <v>460.7</v>
      </c>
      <c r="F2449" t="s">
        <v>20</v>
      </c>
      <c r="G2449" t="s">
        <v>21</v>
      </c>
      <c r="H2449" t="str">
        <f>"4   2021-064-04"</f>
        <v>4   2021-064-04</v>
      </c>
      <c r="I2449" t="str">
        <f>"6S ENGINEERING  INC"</f>
        <v>6S ENGINEERING  INC</v>
      </c>
    </row>
    <row r="2450" spans="1:9" x14ac:dyDescent="0.25">
      <c r="A2450" s="6">
        <v>44664</v>
      </c>
      <c r="B2450" t="s">
        <v>26</v>
      </c>
      <c r="C2450">
        <v>69214</v>
      </c>
      <c r="D2450" t="s">
        <v>991</v>
      </c>
      <c r="E2450" s="7">
        <v>400</v>
      </c>
      <c r="F2450" t="s">
        <v>20</v>
      </c>
      <c r="G2450" t="s">
        <v>21</v>
      </c>
      <c r="H2450" t="str">
        <f>"223103"</f>
        <v>223103</v>
      </c>
      <c r="I2450" t="str">
        <f>"ACADEMIC PRODUCTIONS/ NTFC  IN"</f>
        <v>ACADEMIC PRODUCTIONS/ NTFC  IN</v>
      </c>
    </row>
    <row r="2451" spans="1:9" x14ac:dyDescent="0.25">
      <c r="A2451" s="6">
        <v>44664</v>
      </c>
      <c r="B2451" t="s">
        <v>26</v>
      </c>
      <c r="C2451">
        <v>69215</v>
      </c>
      <c r="D2451" t="s">
        <v>139</v>
      </c>
      <c r="E2451" s="7">
        <v>65</v>
      </c>
      <c r="F2451" t="s">
        <v>20</v>
      </c>
      <c r="G2451" t="s">
        <v>21</v>
      </c>
      <c r="H2451" t="str">
        <f>"35319"</f>
        <v>35319</v>
      </c>
      <c r="I2451" t="str">
        <f>"ANGEL FIRE &amp; SAFETY"</f>
        <v>ANGEL FIRE &amp; SAFETY</v>
      </c>
    </row>
    <row r="2452" spans="1:9" x14ac:dyDescent="0.25">
      <c r="A2452" s="6">
        <v>44664</v>
      </c>
      <c r="B2452" t="s">
        <v>26</v>
      </c>
      <c r="C2452">
        <v>69216</v>
      </c>
      <c r="D2452" t="s">
        <v>195</v>
      </c>
      <c r="E2452" s="7">
        <v>2347.3000000000002</v>
      </c>
      <c r="F2452" t="s">
        <v>20</v>
      </c>
      <c r="G2452" t="s">
        <v>21</v>
      </c>
      <c r="H2452" t="str">
        <f>"INV-AIS-004938"</f>
        <v>INV-AIS-004938</v>
      </c>
      <c r="I2452" t="str">
        <f>"ARISTA INFORMATION SYSTEMS  IN"</f>
        <v>ARISTA INFORMATION SYSTEMS  IN</v>
      </c>
    </row>
    <row r="2453" spans="1:9" x14ac:dyDescent="0.25">
      <c r="A2453" s="6">
        <v>44664</v>
      </c>
      <c r="B2453" t="s">
        <v>26</v>
      </c>
      <c r="C2453">
        <v>69216</v>
      </c>
      <c r="D2453" t="s">
        <v>195</v>
      </c>
      <c r="E2453" s="7">
        <v>4861.82</v>
      </c>
      <c r="F2453" t="s">
        <v>20</v>
      </c>
      <c r="G2453" t="s">
        <v>21</v>
      </c>
      <c r="H2453" t="str">
        <f>"REISSUE CK#68585"</f>
        <v>REISSUE CK#68585</v>
      </c>
      <c r="I2453" t="str">
        <f>"ARISTA INFORMATION SYSTEMS  IN"</f>
        <v>ARISTA INFORMATION SYSTEMS  IN</v>
      </c>
    </row>
    <row r="2454" spans="1:9" x14ac:dyDescent="0.25">
      <c r="A2454" s="6">
        <v>44664</v>
      </c>
      <c r="B2454" t="s">
        <v>26</v>
      </c>
      <c r="C2454">
        <v>69217</v>
      </c>
      <c r="D2454" t="s">
        <v>781</v>
      </c>
      <c r="E2454" s="7">
        <v>70</v>
      </c>
      <c r="F2454" t="s">
        <v>20</v>
      </c>
      <c r="G2454" t="s">
        <v>21</v>
      </c>
      <c r="H2454" t="str">
        <f>"4/10/2022"</f>
        <v>4/10/2022</v>
      </c>
      <c r="I2454" t="str">
        <f>"ASHLEY MARTINEZ"</f>
        <v>ASHLEY MARTINEZ</v>
      </c>
    </row>
    <row r="2455" spans="1:9" x14ac:dyDescent="0.25">
      <c r="A2455" s="6">
        <v>44664</v>
      </c>
      <c r="B2455" t="s">
        <v>26</v>
      </c>
      <c r="C2455">
        <v>69218</v>
      </c>
      <c r="D2455" t="s">
        <v>836</v>
      </c>
      <c r="E2455" s="7">
        <v>4462.3999999999996</v>
      </c>
      <c r="F2455" t="s">
        <v>20</v>
      </c>
      <c r="G2455" t="s">
        <v>21</v>
      </c>
      <c r="H2455" t="str">
        <f>"82145"</f>
        <v>82145</v>
      </c>
      <c r="I2455" t="str">
        <f t="shared" ref="I2455:I2461" si="58">"BARCOM TECHNOLOGY SOLUTIONS  I"</f>
        <v>BARCOM TECHNOLOGY SOLUTIONS  I</v>
      </c>
    </row>
    <row r="2456" spans="1:9" x14ac:dyDescent="0.25">
      <c r="A2456" s="6">
        <v>44664</v>
      </c>
      <c r="B2456" t="s">
        <v>26</v>
      </c>
      <c r="C2456">
        <v>69218</v>
      </c>
      <c r="D2456" t="s">
        <v>836</v>
      </c>
      <c r="E2456" s="7">
        <v>1354</v>
      </c>
      <c r="F2456" t="s">
        <v>20</v>
      </c>
      <c r="G2456" t="s">
        <v>21</v>
      </c>
      <c r="H2456" t="str">
        <f>"82249"</f>
        <v>82249</v>
      </c>
      <c r="I2456" t="str">
        <f t="shared" si="58"/>
        <v>BARCOM TECHNOLOGY SOLUTIONS  I</v>
      </c>
    </row>
    <row r="2457" spans="1:9" x14ac:dyDescent="0.25">
      <c r="A2457" s="6">
        <v>44664</v>
      </c>
      <c r="B2457" t="s">
        <v>26</v>
      </c>
      <c r="C2457">
        <v>69218</v>
      </c>
      <c r="D2457" t="s">
        <v>836</v>
      </c>
      <c r="E2457" s="7">
        <v>1476.47</v>
      </c>
      <c r="F2457" t="s">
        <v>20</v>
      </c>
      <c r="G2457" t="s">
        <v>21</v>
      </c>
      <c r="H2457" t="str">
        <f>"83982"</f>
        <v>83982</v>
      </c>
      <c r="I2457" t="str">
        <f t="shared" si="58"/>
        <v>BARCOM TECHNOLOGY SOLUTIONS  I</v>
      </c>
    </row>
    <row r="2458" spans="1:9" x14ac:dyDescent="0.25">
      <c r="A2458" s="6">
        <v>44664</v>
      </c>
      <c r="B2458" t="s">
        <v>26</v>
      </c>
      <c r="C2458">
        <v>69218</v>
      </c>
      <c r="D2458" t="s">
        <v>836</v>
      </c>
      <c r="E2458" s="7">
        <v>381.55</v>
      </c>
      <c r="F2458" t="s">
        <v>20</v>
      </c>
      <c r="G2458" t="s">
        <v>21</v>
      </c>
      <c r="H2458" t="str">
        <f>"83983"</f>
        <v>83983</v>
      </c>
      <c r="I2458" t="str">
        <f t="shared" si="58"/>
        <v>BARCOM TECHNOLOGY SOLUTIONS  I</v>
      </c>
    </row>
    <row r="2459" spans="1:9" x14ac:dyDescent="0.25">
      <c r="A2459" s="6">
        <v>44664</v>
      </c>
      <c r="B2459" t="s">
        <v>26</v>
      </c>
      <c r="C2459">
        <v>69218</v>
      </c>
      <c r="D2459" t="s">
        <v>836</v>
      </c>
      <c r="E2459" s="7">
        <v>160</v>
      </c>
      <c r="F2459" t="s">
        <v>20</v>
      </c>
      <c r="G2459" t="s">
        <v>21</v>
      </c>
      <c r="H2459" t="str">
        <f>"83984"</f>
        <v>83984</v>
      </c>
      <c r="I2459" t="str">
        <f t="shared" si="58"/>
        <v>BARCOM TECHNOLOGY SOLUTIONS  I</v>
      </c>
    </row>
    <row r="2460" spans="1:9" x14ac:dyDescent="0.25">
      <c r="A2460" s="6">
        <v>44664</v>
      </c>
      <c r="B2460" t="s">
        <v>26</v>
      </c>
      <c r="C2460">
        <v>69218</v>
      </c>
      <c r="D2460" t="s">
        <v>836</v>
      </c>
      <c r="E2460" s="7">
        <v>4462.3999999999996</v>
      </c>
      <c r="F2460" t="s">
        <v>20</v>
      </c>
      <c r="G2460" t="s">
        <v>21</v>
      </c>
      <c r="H2460" t="str">
        <f>"84112"</f>
        <v>84112</v>
      </c>
      <c r="I2460" t="str">
        <f t="shared" si="58"/>
        <v>BARCOM TECHNOLOGY SOLUTIONS  I</v>
      </c>
    </row>
    <row r="2461" spans="1:9" x14ac:dyDescent="0.25">
      <c r="A2461" s="6">
        <v>44664</v>
      </c>
      <c r="B2461" t="s">
        <v>26</v>
      </c>
      <c r="C2461">
        <v>69218</v>
      </c>
      <c r="D2461" t="s">
        <v>836</v>
      </c>
      <c r="E2461" s="7">
        <v>1377.24</v>
      </c>
      <c r="F2461" t="s">
        <v>20</v>
      </c>
      <c r="G2461" t="s">
        <v>21</v>
      </c>
      <c r="H2461" t="str">
        <f>"84113"</f>
        <v>84113</v>
      </c>
      <c r="I2461" t="str">
        <f t="shared" si="58"/>
        <v>BARCOM TECHNOLOGY SOLUTIONS  I</v>
      </c>
    </row>
    <row r="2462" spans="1:9" x14ac:dyDescent="0.25">
      <c r="A2462" s="6">
        <v>44664</v>
      </c>
      <c r="B2462" t="s">
        <v>26</v>
      </c>
      <c r="C2462">
        <v>69221</v>
      </c>
      <c r="D2462" t="s">
        <v>102</v>
      </c>
      <c r="E2462" s="7">
        <v>66.41</v>
      </c>
      <c r="F2462" t="s">
        <v>20</v>
      </c>
      <c r="G2462" t="s">
        <v>21</v>
      </c>
      <c r="H2462" t="str">
        <f>"1120 D ST 4/2022"</f>
        <v>1120 D ST 4/2022</v>
      </c>
      <c r="I2462" t="str">
        <f>"CENTERPOINT ENERGY ENTEX"</f>
        <v>CENTERPOINT ENERGY ENTEX</v>
      </c>
    </row>
    <row r="2463" spans="1:9" x14ac:dyDescent="0.25">
      <c r="A2463" s="6">
        <v>44664</v>
      </c>
      <c r="B2463" t="s">
        <v>26</v>
      </c>
      <c r="C2463">
        <v>69221</v>
      </c>
      <c r="D2463" t="s">
        <v>102</v>
      </c>
      <c r="E2463" s="7">
        <v>39.83</v>
      </c>
      <c r="F2463" t="s">
        <v>20</v>
      </c>
      <c r="G2463" t="s">
        <v>21</v>
      </c>
      <c r="H2463" t="str">
        <f>"1200 1ST 4/2022"</f>
        <v>1200 1ST 4/2022</v>
      </c>
      <c r="I2463" t="str">
        <f>"CENTERPOINT ENERGY ENTEX"</f>
        <v>CENTERPOINT ENERGY ENTEX</v>
      </c>
    </row>
    <row r="2464" spans="1:9" x14ac:dyDescent="0.25">
      <c r="A2464" s="6">
        <v>44664</v>
      </c>
      <c r="B2464" t="s">
        <v>26</v>
      </c>
      <c r="C2464">
        <v>69221</v>
      </c>
      <c r="D2464" t="s">
        <v>102</v>
      </c>
      <c r="E2464" s="7">
        <v>43.03</v>
      </c>
      <c r="F2464" t="s">
        <v>20</v>
      </c>
      <c r="G2464" t="s">
        <v>21</v>
      </c>
      <c r="H2464" t="str">
        <f>"920 C ST 4/2022"</f>
        <v>920 C ST 4/2022</v>
      </c>
      <c r="I2464" t="str">
        <f>"CENTERPOINT ENERGY ENTEX"</f>
        <v>CENTERPOINT ENERGY ENTEX</v>
      </c>
    </row>
    <row r="2465" spans="1:9" x14ac:dyDescent="0.25">
      <c r="A2465" s="6">
        <v>44664</v>
      </c>
      <c r="B2465" t="s">
        <v>26</v>
      </c>
      <c r="C2465">
        <v>69222</v>
      </c>
      <c r="D2465" t="s">
        <v>63</v>
      </c>
      <c r="E2465" s="7">
        <v>28.98</v>
      </c>
      <c r="F2465" t="s">
        <v>20</v>
      </c>
      <c r="G2465" t="s">
        <v>21</v>
      </c>
      <c r="H2465" t="str">
        <f>"8405603365"</f>
        <v>8405603365</v>
      </c>
      <c r="I2465" t="str">
        <f>"CINTAS CORPORATION"</f>
        <v>CINTAS CORPORATION</v>
      </c>
    </row>
    <row r="2466" spans="1:9" x14ac:dyDescent="0.25">
      <c r="A2466" s="6">
        <v>44664</v>
      </c>
      <c r="B2466" t="s">
        <v>26</v>
      </c>
      <c r="C2466">
        <v>69223</v>
      </c>
      <c r="D2466" t="s">
        <v>71</v>
      </c>
      <c r="E2466" s="7">
        <v>267.33999999999997</v>
      </c>
      <c r="F2466" t="s">
        <v>20</v>
      </c>
      <c r="G2466" t="s">
        <v>21</v>
      </c>
      <c r="H2466" t="str">
        <f>"4111282855"</f>
        <v>4111282855</v>
      </c>
      <c r="I2466" t="str">
        <f t="shared" ref="I2466:I2479" si="59">"CINTAS CORPORATION #087"</f>
        <v>CINTAS CORPORATION #087</v>
      </c>
    </row>
    <row r="2467" spans="1:9" x14ac:dyDescent="0.25">
      <c r="A2467" s="6">
        <v>44664</v>
      </c>
      <c r="B2467" t="s">
        <v>26</v>
      </c>
      <c r="C2467">
        <v>69223</v>
      </c>
      <c r="D2467" t="s">
        <v>71</v>
      </c>
      <c r="E2467" s="7">
        <v>268.33999999999997</v>
      </c>
      <c r="F2467" t="s">
        <v>20</v>
      </c>
      <c r="G2467" t="s">
        <v>21</v>
      </c>
      <c r="H2467" t="str">
        <f>"4112659896"</f>
        <v>4112659896</v>
      </c>
      <c r="I2467" t="str">
        <f t="shared" si="59"/>
        <v>CINTAS CORPORATION #087</v>
      </c>
    </row>
    <row r="2468" spans="1:9" x14ac:dyDescent="0.25">
      <c r="A2468" s="6">
        <v>44664</v>
      </c>
      <c r="B2468" t="s">
        <v>26</v>
      </c>
      <c r="C2468">
        <v>69223</v>
      </c>
      <c r="D2468" t="s">
        <v>71</v>
      </c>
      <c r="E2468" s="7">
        <v>54.76</v>
      </c>
      <c r="F2468" t="s">
        <v>20</v>
      </c>
      <c r="G2468" t="s">
        <v>21</v>
      </c>
      <c r="H2468" t="str">
        <f>"4114694979"</f>
        <v>4114694979</v>
      </c>
      <c r="I2468" t="str">
        <f t="shared" si="59"/>
        <v>CINTAS CORPORATION #087</v>
      </c>
    </row>
    <row r="2469" spans="1:9" x14ac:dyDescent="0.25">
      <c r="A2469" s="6">
        <v>44664</v>
      </c>
      <c r="B2469" t="s">
        <v>26</v>
      </c>
      <c r="C2469">
        <v>69223</v>
      </c>
      <c r="D2469" t="s">
        <v>71</v>
      </c>
      <c r="E2469" s="7">
        <v>197.76</v>
      </c>
      <c r="F2469" t="s">
        <v>20</v>
      </c>
      <c r="G2469" t="s">
        <v>21</v>
      </c>
      <c r="H2469" t="str">
        <f>"4114694987"</f>
        <v>4114694987</v>
      </c>
      <c r="I2469" t="str">
        <f t="shared" si="59"/>
        <v>CINTAS CORPORATION #087</v>
      </c>
    </row>
    <row r="2470" spans="1:9" x14ac:dyDescent="0.25">
      <c r="A2470" s="6">
        <v>44664</v>
      </c>
      <c r="B2470" t="s">
        <v>26</v>
      </c>
      <c r="C2470">
        <v>69223</v>
      </c>
      <c r="D2470" t="s">
        <v>71</v>
      </c>
      <c r="E2470" s="7">
        <v>35.700000000000003</v>
      </c>
      <c r="F2470" t="s">
        <v>20</v>
      </c>
      <c r="G2470" t="s">
        <v>21</v>
      </c>
      <c r="H2470" t="str">
        <f>"4114695034"</f>
        <v>4114695034</v>
      </c>
      <c r="I2470" t="str">
        <f t="shared" si="59"/>
        <v>CINTAS CORPORATION #087</v>
      </c>
    </row>
    <row r="2471" spans="1:9" x14ac:dyDescent="0.25">
      <c r="A2471" s="6">
        <v>44664</v>
      </c>
      <c r="B2471" t="s">
        <v>26</v>
      </c>
      <c r="C2471">
        <v>69223</v>
      </c>
      <c r="D2471" t="s">
        <v>71</v>
      </c>
      <c r="E2471" s="7">
        <v>8.9</v>
      </c>
      <c r="F2471" t="s">
        <v>20</v>
      </c>
      <c r="G2471" t="s">
        <v>21</v>
      </c>
      <c r="H2471" t="str">
        <f>"4114695042"</f>
        <v>4114695042</v>
      </c>
      <c r="I2471" t="str">
        <f t="shared" si="59"/>
        <v>CINTAS CORPORATION #087</v>
      </c>
    </row>
    <row r="2472" spans="1:9" x14ac:dyDescent="0.25">
      <c r="A2472" s="6">
        <v>44664</v>
      </c>
      <c r="B2472" t="s">
        <v>26</v>
      </c>
      <c r="C2472">
        <v>69223</v>
      </c>
      <c r="D2472" t="s">
        <v>71</v>
      </c>
      <c r="E2472" s="7">
        <v>206.26</v>
      </c>
      <c r="F2472" t="s">
        <v>20</v>
      </c>
      <c r="G2472" t="s">
        <v>21</v>
      </c>
      <c r="H2472" t="str">
        <f>"4114695092"</f>
        <v>4114695092</v>
      </c>
      <c r="I2472" t="str">
        <f t="shared" si="59"/>
        <v>CINTAS CORPORATION #087</v>
      </c>
    </row>
    <row r="2473" spans="1:9" x14ac:dyDescent="0.25">
      <c r="A2473" s="6">
        <v>44664</v>
      </c>
      <c r="B2473" t="s">
        <v>26</v>
      </c>
      <c r="C2473">
        <v>69223</v>
      </c>
      <c r="D2473" t="s">
        <v>71</v>
      </c>
      <c r="E2473" s="7">
        <v>710.38</v>
      </c>
      <c r="F2473" t="s">
        <v>20</v>
      </c>
      <c r="G2473" t="s">
        <v>21</v>
      </c>
      <c r="H2473" t="str">
        <f>"4114695222"</f>
        <v>4114695222</v>
      </c>
      <c r="I2473" t="str">
        <f t="shared" si="59"/>
        <v>CINTAS CORPORATION #087</v>
      </c>
    </row>
    <row r="2474" spans="1:9" x14ac:dyDescent="0.25">
      <c r="A2474" s="6">
        <v>44664</v>
      </c>
      <c r="B2474" t="s">
        <v>26</v>
      </c>
      <c r="C2474">
        <v>69223</v>
      </c>
      <c r="D2474" t="s">
        <v>71</v>
      </c>
      <c r="E2474" s="7">
        <v>30.26</v>
      </c>
      <c r="F2474" t="s">
        <v>20</v>
      </c>
      <c r="G2474" t="s">
        <v>21</v>
      </c>
      <c r="H2474" t="str">
        <f>"4115368808"</f>
        <v>4115368808</v>
      </c>
      <c r="I2474" t="str">
        <f t="shared" si="59"/>
        <v>CINTAS CORPORATION #087</v>
      </c>
    </row>
    <row r="2475" spans="1:9" x14ac:dyDescent="0.25">
      <c r="A2475" s="6">
        <v>44664</v>
      </c>
      <c r="B2475" t="s">
        <v>26</v>
      </c>
      <c r="C2475">
        <v>69223</v>
      </c>
      <c r="D2475" t="s">
        <v>71</v>
      </c>
      <c r="E2475" s="7">
        <v>112.71</v>
      </c>
      <c r="F2475" t="s">
        <v>20</v>
      </c>
      <c r="G2475" t="s">
        <v>21</v>
      </c>
      <c r="H2475" t="str">
        <f>"4115368829"</f>
        <v>4115368829</v>
      </c>
      <c r="I2475" t="str">
        <f t="shared" si="59"/>
        <v>CINTAS CORPORATION #087</v>
      </c>
    </row>
    <row r="2476" spans="1:9" x14ac:dyDescent="0.25">
      <c r="A2476" s="6">
        <v>44664</v>
      </c>
      <c r="B2476" t="s">
        <v>26</v>
      </c>
      <c r="C2476">
        <v>69223</v>
      </c>
      <c r="D2476" t="s">
        <v>71</v>
      </c>
      <c r="E2476" s="7">
        <v>320.86</v>
      </c>
      <c r="F2476" t="s">
        <v>20</v>
      </c>
      <c r="G2476" t="s">
        <v>21</v>
      </c>
      <c r="H2476" t="str">
        <f>"4115368921"</f>
        <v>4115368921</v>
      </c>
      <c r="I2476" t="str">
        <f t="shared" si="59"/>
        <v>CINTAS CORPORATION #087</v>
      </c>
    </row>
    <row r="2477" spans="1:9" x14ac:dyDescent="0.25">
      <c r="A2477" s="6">
        <v>44664</v>
      </c>
      <c r="B2477" t="s">
        <v>26</v>
      </c>
      <c r="C2477">
        <v>69223</v>
      </c>
      <c r="D2477" t="s">
        <v>71</v>
      </c>
      <c r="E2477" s="7">
        <v>129.63</v>
      </c>
      <c r="F2477" t="s">
        <v>20</v>
      </c>
      <c r="G2477" t="s">
        <v>21</v>
      </c>
      <c r="H2477" t="str">
        <f>"4115368975"</f>
        <v>4115368975</v>
      </c>
      <c r="I2477" t="str">
        <f t="shared" si="59"/>
        <v>CINTAS CORPORATION #087</v>
      </c>
    </row>
    <row r="2478" spans="1:9" x14ac:dyDescent="0.25">
      <c r="A2478" s="6">
        <v>44664</v>
      </c>
      <c r="B2478" t="s">
        <v>26</v>
      </c>
      <c r="C2478">
        <v>69223</v>
      </c>
      <c r="D2478" t="s">
        <v>71</v>
      </c>
      <c r="E2478" s="7">
        <v>481.04</v>
      </c>
      <c r="F2478" t="s">
        <v>20</v>
      </c>
      <c r="G2478" t="s">
        <v>21</v>
      </c>
      <c r="H2478" t="str">
        <f>"4115369034"</f>
        <v>4115369034</v>
      </c>
      <c r="I2478" t="str">
        <f t="shared" si="59"/>
        <v>CINTAS CORPORATION #087</v>
      </c>
    </row>
    <row r="2479" spans="1:9" x14ac:dyDescent="0.25">
      <c r="A2479" s="6">
        <v>44664</v>
      </c>
      <c r="B2479" t="s">
        <v>26</v>
      </c>
      <c r="C2479">
        <v>69223</v>
      </c>
      <c r="D2479" t="s">
        <v>71</v>
      </c>
      <c r="E2479" s="7">
        <v>766.38</v>
      </c>
      <c r="F2479" t="s">
        <v>20</v>
      </c>
      <c r="G2479" t="s">
        <v>21</v>
      </c>
      <c r="H2479" t="str">
        <f>"411983042"</f>
        <v>411983042</v>
      </c>
      <c r="I2479" t="str">
        <f t="shared" si="59"/>
        <v>CINTAS CORPORATION #087</v>
      </c>
    </row>
    <row r="2480" spans="1:9" x14ac:dyDescent="0.25">
      <c r="A2480" s="6">
        <v>44664</v>
      </c>
      <c r="B2480" t="s">
        <v>26</v>
      </c>
      <c r="C2480">
        <v>69227</v>
      </c>
      <c r="D2480" t="s">
        <v>661</v>
      </c>
      <c r="E2480" s="7">
        <v>281.39</v>
      </c>
      <c r="F2480" t="s">
        <v>20</v>
      </c>
      <c r="G2480" t="s">
        <v>21</v>
      </c>
      <c r="H2480" t="str">
        <f>"8405623725"</f>
        <v>8405623725</v>
      </c>
      <c r="I2480" t="str">
        <f>"CINTAS FAS LOCKBOX 631025"</f>
        <v>CINTAS FAS LOCKBOX 631025</v>
      </c>
    </row>
    <row r="2481" spans="1:9" x14ac:dyDescent="0.25">
      <c r="A2481" s="6">
        <v>44664</v>
      </c>
      <c r="B2481" t="s">
        <v>26</v>
      </c>
      <c r="C2481">
        <v>69228</v>
      </c>
      <c r="D2481" t="s">
        <v>58</v>
      </c>
      <c r="E2481" s="7">
        <v>38</v>
      </c>
      <c r="F2481" t="s">
        <v>20</v>
      </c>
      <c r="G2481" t="s">
        <v>21</v>
      </c>
      <c r="H2481" t="str">
        <f>"670289"</f>
        <v>670289</v>
      </c>
      <c r="I2481" t="str">
        <f>"DEASON ANIMAL HOSPITAL"</f>
        <v>DEASON ANIMAL HOSPITAL</v>
      </c>
    </row>
    <row r="2482" spans="1:9" x14ac:dyDescent="0.25">
      <c r="A2482" s="6">
        <v>44664</v>
      </c>
      <c r="B2482" t="s">
        <v>26</v>
      </c>
      <c r="C2482">
        <v>69228</v>
      </c>
      <c r="D2482" t="s">
        <v>58</v>
      </c>
      <c r="E2482" s="7">
        <v>38</v>
      </c>
      <c r="F2482" t="s">
        <v>20</v>
      </c>
      <c r="G2482" t="s">
        <v>21</v>
      </c>
      <c r="H2482" t="str">
        <f>"670296"</f>
        <v>670296</v>
      </c>
      <c r="I2482" t="str">
        <f>"DEASON ANIMAL HOSPITAL"</f>
        <v>DEASON ANIMAL HOSPITAL</v>
      </c>
    </row>
    <row r="2483" spans="1:9" x14ac:dyDescent="0.25">
      <c r="A2483" s="6">
        <v>44664</v>
      </c>
      <c r="B2483" t="s">
        <v>26</v>
      </c>
      <c r="C2483">
        <v>69228</v>
      </c>
      <c r="D2483" t="s">
        <v>58</v>
      </c>
      <c r="E2483" s="7">
        <v>38</v>
      </c>
      <c r="F2483" t="s">
        <v>20</v>
      </c>
      <c r="G2483" t="s">
        <v>21</v>
      </c>
      <c r="H2483" t="str">
        <f>"670556"</f>
        <v>670556</v>
      </c>
      <c r="I2483" t="str">
        <f>"DEASON ANIMAL HOSPITAL"</f>
        <v>DEASON ANIMAL HOSPITAL</v>
      </c>
    </row>
    <row r="2484" spans="1:9" x14ac:dyDescent="0.25">
      <c r="A2484" s="6">
        <v>44664</v>
      </c>
      <c r="B2484" t="s">
        <v>26</v>
      </c>
      <c r="C2484">
        <v>69229</v>
      </c>
      <c r="D2484" t="s">
        <v>180</v>
      </c>
      <c r="E2484" s="7">
        <v>252.99</v>
      </c>
      <c r="F2484" t="s">
        <v>20</v>
      </c>
      <c r="G2484" t="s">
        <v>21</v>
      </c>
      <c r="H2484" t="str">
        <f>"2203-182603"</f>
        <v>2203-182603</v>
      </c>
      <c r="I2484" t="str">
        <f>"SPRINKLER SYSTEM"</f>
        <v>SPRINKLER SYSTEM</v>
      </c>
    </row>
    <row r="2485" spans="1:9" x14ac:dyDescent="0.25">
      <c r="A2485" s="6">
        <v>44664</v>
      </c>
      <c r="B2485" t="s">
        <v>26</v>
      </c>
      <c r="C2485">
        <v>69229</v>
      </c>
      <c r="D2485" t="s">
        <v>180</v>
      </c>
      <c r="E2485" s="7">
        <v>202.7</v>
      </c>
      <c r="F2485" t="s">
        <v>20</v>
      </c>
      <c r="G2485" t="s">
        <v>21</v>
      </c>
      <c r="H2485" t="str">
        <f>"2203-184307"</f>
        <v>2203-184307</v>
      </c>
      <c r="I2485" t="str">
        <f>"CONCRETE"</f>
        <v>CONCRETE</v>
      </c>
    </row>
    <row r="2486" spans="1:9" x14ac:dyDescent="0.25">
      <c r="A2486" s="6">
        <v>44664</v>
      </c>
      <c r="B2486" t="s">
        <v>26</v>
      </c>
      <c r="C2486">
        <v>69229</v>
      </c>
      <c r="D2486" t="s">
        <v>180</v>
      </c>
      <c r="E2486" s="7">
        <v>215.3</v>
      </c>
      <c r="F2486" t="s">
        <v>20</v>
      </c>
      <c r="G2486" t="s">
        <v>21</v>
      </c>
      <c r="H2486" t="str">
        <f>"2204-325608"</f>
        <v>2204-325608</v>
      </c>
      <c r="I2486" t="str">
        <f>"PALLET OF CEMENT"</f>
        <v>PALLET OF CEMENT</v>
      </c>
    </row>
    <row r="2487" spans="1:9" x14ac:dyDescent="0.25">
      <c r="A2487" s="6">
        <v>44664</v>
      </c>
      <c r="B2487" t="s">
        <v>26</v>
      </c>
      <c r="C2487">
        <v>69230</v>
      </c>
      <c r="D2487" t="s">
        <v>647</v>
      </c>
      <c r="E2487" s="7">
        <v>2386.81</v>
      </c>
      <c r="F2487" t="s">
        <v>20</v>
      </c>
      <c r="G2487" t="s">
        <v>21</v>
      </c>
      <c r="H2487" t="str">
        <f>"31407557"</f>
        <v>31407557</v>
      </c>
      <c r="I2487" t="str">
        <f>"DOCUMATION  INC."</f>
        <v>DOCUMATION  INC.</v>
      </c>
    </row>
    <row r="2488" spans="1:9" x14ac:dyDescent="0.25">
      <c r="A2488" s="6">
        <v>44664</v>
      </c>
      <c r="B2488" t="s">
        <v>26</v>
      </c>
      <c r="C2488">
        <v>69231</v>
      </c>
      <c r="D2488" t="s">
        <v>143</v>
      </c>
      <c r="E2488" s="7">
        <v>632.49</v>
      </c>
      <c r="F2488" t="s">
        <v>20</v>
      </c>
      <c r="G2488" t="s">
        <v>21</v>
      </c>
      <c r="H2488" t="str">
        <f>"9402663729"</f>
        <v>9402663729</v>
      </c>
      <c r="I2488" t="str">
        <f>"OIL FOR STREETS DEPT"</f>
        <v>OIL FOR STREETS DEPT</v>
      </c>
    </row>
    <row r="2489" spans="1:9" x14ac:dyDescent="0.25">
      <c r="A2489" s="6">
        <v>44664</v>
      </c>
      <c r="B2489" t="s">
        <v>26</v>
      </c>
      <c r="C2489">
        <v>69232</v>
      </c>
      <c r="D2489" t="s">
        <v>103</v>
      </c>
      <c r="E2489" s="7">
        <v>84057.57</v>
      </c>
      <c r="F2489" t="s">
        <v>20</v>
      </c>
      <c r="G2489" t="s">
        <v>21</v>
      </c>
      <c r="H2489" t="str">
        <f>"SALES TAX 4/2022"</f>
        <v>SALES TAX 4/2022</v>
      </c>
      <c r="I2489" t="str">
        <f>"F. E. D. C."</f>
        <v>F. E. D. C.</v>
      </c>
    </row>
    <row r="2490" spans="1:9" x14ac:dyDescent="0.25">
      <c r="A2490" s="6">
        <v>44664</v>
      </c>
      <c r="B2490" t="s">
        <v>26</v>
      </c>
      <c r="C2490">
        <v>69233</v>
      </c>
      <c r="D2490" t="s">
        <v>85</v>
      </c>
      <c r="E2490" s="7">
        <v>82.43</v>
      </c>
      <c r="F2490" t="s">
        <v>20</v>
      </c>
      <c r="G2490" t="s">
        <v>21</v>
      </c>
      <c r="H2490" t="str">
        <f>"3930579 APR.2022"</f>
        <v>3930579 APR.2022</v>
      </c>
      <c r="I2490" t="str">
        <f>"FRONTIER"</f>
        <v>FRONTIER</v>
      </c>
    </row>
    <row r="2491" spans="1:9" x14ac:dyDescent="0.25">
      <c r="A2491" s="6">
        <v>44664</v>
      </c>
      <c r="B2491" t="s">
        <v>26</v>
      </c>
      <c r="C2491">
        <v>69233</v>
      </c>
      <c r="D2491" t="s">
        <v>85</v>
      </c>
      <c r="E2491" s="7">
        <v>51.4</v>
      </c>
      <c r="F2491" t="s">
        <v>20</v>
      </c>
      <c r="G2491" t="s">
        <v>21</v>
      </c>
      <c r="H2491" t="str">
        <f>"3933180 APR.2022"</f>
        <v>3933180 APR.2022</v>
      </c>
      <c r="I2491" t="str">
        <f>"FRONTIER"</f>
        <v>FRONTIER</v>
      </c>
    </row>
    <row r="2492" spans="1:9" x14ac:dyDescent="0.25">
      <c r="A2492" s="6">
        <v>44664</v>
      </c>
      <c r="B2492" t="s">
        <v>26</v>
      </c>
      <c r="C2492">
        <v>69233</v>
      </c>
      <c r="D2492" t="s">
        <v>85</v>
      </c>
      <c r="E2492" s="7">
        <v>348.71</v>
      </c>
      <c r="F2492" t="s">
        <v>20</v>
      </c>
      <c r="G2492" t="s">
        <v>21</v>
      </c>
      <c r="H2492" t="str">
        <f>"3937050 MAR.2022"</f>
        <v>3937050 MAR.2022</v>
      </c>
      <c r="I2492" t="str">
        <f>"FRONTIER"</f>
        <v>FRONTIER</v>
      </c>
    </row>
    <row r="2493" spans="1:9" x14ac:dyDescent="0.25">
      <c r="A2493" s="6">
        <v>44664</v>
      </c>
      <c r="B2493" t="s">
        <v>26</v>
      </c>
      <c r="C2493">
        <v>69233</v>
      </c>
      <c r="D2493" t="s">
        <v>85</v>
      </c>
      <c r="E2493" s="7">
        <v>62.91</v>
      </c>
      <c r="F2493" t="s">
        <v>20</v>
      </c>
      <c r="G2493" t="s">
        <v>21</v>
      </c>
      <c r="H2493" t="str">
        <f>"3939791 APR.2022"</f>
        <v>3939791 APR.2022</v>
      </c>
      <c r="I2493" t="str">
        <f>"FRONTIER"</f>
        <v>FRONTIER</v>
      </c>
    </row>
    <row r="2494" spans="1:9" x14ac:dyDescent="0.25">
      <c r="A2494" s="6">
        <v>44664</v>
      </c>
      <c r="B2494" t="s">
        <v>26</v>
      </c>
      <c r="C2494">
        <v>69234</v>
      </c>
      <c r="D2494" t="s">
        <v>56</v>
      </c>
      <c r="E2494" s="7">
        <v>26.95</v>
      </c>
      <c r="F2494" t="s">
        <v>20</v>
      </c>
      <c r="G2494" t="s">
        <v>21</v>
      </c>
      <c r="H2494" t="str">
        <f>"199150"</f>
        <v>199150</v>
      </c>
      <c r="I2494" t="str">
        <f>"GERALD LUBIANSKI ENTERPRISES"</f>
        <v>GERALD LUBIANSKI ENTERPRISES</v>
      </c>
    </row>
    <row r="2495" spans="1:9" x14ac:dyDescent="0.25">
      <c r="A2495" s="6">
        <v>44664</v>
      </c>
      <c r="B2495" t="s">
        <v>26</v>
      </c>
      <c r="C2495">
        <v>69234</v>
      </c>
      <c r="D2495" t="s">
        <v>56</v>
      </c>
      <c r="E2495" s="7">
        <v>487.5</v>
      </c>
      <c r="F2495" t="s">
        <v>20</v>
      </c>
      <c r="G2495" t="s">
        <v>21</v>
      </c>
      <c r="H2495" t="str">
        <f>"199383"</f>
        <v>199383</v>
      </c>
      <c r="I2495" t="str">
        <f>"WEED KILLER"</f>
        <v>WEED KILLER</v>
      </c>
    </row>
    <row r="2496" spans="1:9" x14ac:dyDescent="0.25">
      <c r="A2496" s="6">
        <v>44664</v>
      </c>
      <c r="B2496" t="s">
        <v>26</v>
      </c>
      <c r="C2496">
        <v>69234</v>
      </c>
      <c r="D2496" t="s">
        <v>56</v>
      </c>
      <c r="E2496" s="7">
        <v>34.9</v>
      </c>
      <c r="F2496" t="s">
        <v>20</v>
      </c>
      <c r="G2496" t="s">
        <v>21</v>
      </c>
      <c r="H2496" t="str">
        <f>"199583"</f>
        <v>199583</v>
      </c>
      <c r="I2496" t="str">
        <f>"HYDRAULIC HOSE FITTING"</f>
        <v>HYDRAULIC HOSE FITTING</v>
      </c>
    </row>
    <row r="2497" spans="1:9" x14ac:dyDescent="0.25">
      <c r="A2497" s="6">
        <v>44664</v>
      </c>
      <c r="B2497" t="s">
        <v>26</v>
      </c>
      <c r="C2497">
        <v>69235</v>
      </c>
      <c r="D2497" t="s">
        <v>302</v>
      </c>
      <c r="E2497" s="7">
        <v>27.9</v>
      </c>
      <c r="F2497" t="s">
        <v>20</v>
      </c>
      <c r="G2497" t="s">
        <v>21</v>
      </c>
      <c r="H2497" t="str">
        <f>"9261593132"</f>
        <v>9261593132</v>
      </c>
      <c r="I2497" t="str">
        <f>"WWTP SUPPLIES"</f>
        <v>WWTP SUPPLIES</v>
      </c>
    </row>
    <row r="2498" spans="1:9" x14ac:dyDescent="0.25">
      <c r="A2498" s="6">
        <v>44664</v>
      </c>
      <c r="B2498" t="s">
        <v>26</v>
      </c>
      <c r="C2498">
        <v>69236</v>
      </c>
      <c r="D2498" t="s">
        <v>1032</v>
      </c>
      <c r="E2498" s="7">
        <v>38884</v>
      </c>
      <c r="F2498" t="s">
        <v>20</v>
      </c>
      <c r="G2498" t="s">
        <v>21</v>
      </c>
      <c r="H2498" t="str">
        <f>"3-22-17900 4/4/22"</f>
        <v>3-22-17900 4/4/22</v>
      </c>
      <c r="I2498" t="str">
        <f>"LEAL &amp; CARTER  P.C."</f>
        <v>LEAL &amp; CARTER  P.C.</v>
      </c>
    </row>
    <row r="2499" spans="1:9" x14ac:dyDescent="0.25">
      <c r="A2499" s="6">
        <v>44664</v>
      </c>
      <c r="B2499" t="s">
        <v>26</v>
      </c>
      <c r="C2499">
        <v>69237</v>
      </c>
      <c r="D2499" t="s">
        <v>843</v>
      </c>
      <c r="E2499" s="7">
        <v>270</v>
      </c>
      <c r="F2499" t="s">
        <v>20</v>
      </c>
      <c r="G2499" t="s">
        <v>21</v>
      </c>
      <c r="H2499" t="str">
        <f>"000049"</f>
        <v>000049</v>
      </c>
      <c r="I2499" t="str">
        <f>"BANNERS FOR WELLS"</f>
        <v>BANNERS FOR WELLS</v>
      </c>
    </row>
    <row r="2500" spans="1:9" x14ac:dyDescent="0.25">
      <c r="A2500" s="6">
        <v>44664</v>
      </c>
      <c r="B2500" t="s">
        <v>26</v>
      </c>
      <c r="C2500">
        <v>69238</v>
      </c>
      <c r="D2500" t="s">
        <v>107</v>
      </c>
      <c r="E2500" s="7">
        <v>7.99</v>
      </c>
      <c r="F2500" t="s">
        <v>20</v>
      </c>
      <c r="G2500" t="s">
        <v>21</v>
      </c>
      <c r="H2500" t="str">
        <f>"1166960-20220228"</f>
        <v>1166960-20220228</v>
      </c>
      <c r="I2500" t="str">
        <f>"LEXISNEXIS RISK SOLUTIONS"</f>
        <v>LEXISNEXIS RISK SOLUTIONS</v>
      </c>
    </row>
    <row r="2501" spans="1:9" x14ac:dyDescent="0.25">
      <c r="A2501" s="6">
        <v>44664</v>
      </c>
      <c r="B2501" t="s">
        <v>26</v>
      </c>
      <c r="C2501">
        <v>69239</v>
      </c>
      <c r="D2501" t="s">
        <v>824</v>
      </c>
      <c r="E2501" s="7">
        <v>70</v>
      </c>
      <c r="F2501" t="s">
        <v>20</v>
      </c>
      <c r="G2501" t="s">
        <v>21</v>
      </c>
      <c r="H2501" t="str">
        <f>"4/10/2022"</f>
        <v>4/10/2022</v>
      </c>
      <c r="I2501" t="str">
        <f>"MALLORY R. NELSON"</f>
        <v>MALLORY R. NELSON</v>
      </c>
    </row>
    <row r="2502" spans="1:9" x14ac:dyDescent="0.25">
      <c r="A2502" s="6">
        <v>44664</v>
      </c>
      <c r="B2502" t="s">
        <v>26</v>
      </c>
      <c r="C2502">
        <v>69240</v>
      </c>
      <c r="D2502" t="s">
        <v>326</v>
      </c>
      <c r="E2502" s="7">
        <v>53</v>
      </c>
      <c r="F2502" t="s">
        <v>20</v>
      </c>
      <c r="G2502" t="s">
        <v>21</v>
      </c>
      <c r="H2502" t="str">
        <f>"0025389400"</f>
        <v>0025389400</v>
      </c>
      <c r="I2502" t="str">
        <f>"MATHESON TRI-GAS INC"</f>
        <v>MATHESON TRI-GAS INC</v>
      </c>
    </row>
    <row r="2503" spans="1:9" x14ac:dyDescent="0.25">
      <c r="A2503" s="6">
        <v>44664</v>
      </c>
      <c r="B2503" t="s">
        <v>26</v>
      </c>
      <c r="C2503">
        <v>69241</v>
      </c>
      <c r="D2503" t="s">
        <v>124</v>
      </c>
      <c r="E2503" s="7">
        <v>12.92</v>
      </c>
      <c r="F2503" t="s">
        <v>20</v>
      </c>
      <c r="G2503" t="s">
        <v>21</v>
      </c>
      <c r="H2503" t="str">
        <f>"11118920"</f>
        <v>11118920</v>
      </c>
      <c r="I2503" t="str">
        <f>"WATER SUPPLIES"</f>
        <v>WATER SUPPLIES</v>
      </c>
    </row>
    <row r="2504" spans="1:9" x14ac:dyDescent="0.25">
      <c r="A2504" s="6">
        <v>44664</v>
      </c>
      <c r="B2504" t="s">
        <v>26</v>
      </c>
      <c r="C2504">
        <v>69241</v>
      </c>
      <c r="D2504" t="s">
        <v>124</v>
      </c>
      <c r="E2504" s="7">
        <v>49.03</v>
      </c>
      <c r="F2504" t="s">
        <v>20</v>
      </c>
      <c r="G2504" t="s">
        <v>21</v>
      </c>
      <c r="H2504" t="str">
        <f>"11119005"</f>
        <v>11119005</v>
      </c>
      <c r="I2504" t="str">
        <f>"WWTP SUPPLIES"</f>
        <v>WWTP SUPPLIES</v>
      </c>
    </row>
    <row r="2505" spans="1:9" x14ac:dyDescent="0.25">
      <c r="A2505" s="6">
        <v>44664</v>
      </c>
      <c r="B2505" t="s">
        <v>26</v>
      </c>
      <c r="C2505">
        <v>69241</v>
      </c>
      <c r="D2505" t="s">
        <v>124</v>
      </c>
      <c r="E2505" s="7">
        <v>121.87</v>
      </c>
      <c r="F2505" t="s">
        <v>20</v>
      </c>
      <c r="G2505" t="s">
        <v>21</v>
      </c>
      <c r="H2505" t="str">
        <f>"11119175"</f>
        <v>11119175</v>
      </c>
      <c r="I2505" t="str">
        <f>"PAINT"</f>
        <v>PAINT</v>
      </c>
    </row>
    <row r="2506" spans="1:9" x14ac:dyDescent="0.25">
      <c r="A2506" s="6">
        <v>44664</v>
      </c>
      <c r="B2506" t="s">
        <v>26</v>
      </c>
      <c r="C2506">
        <v>69242</v>
      </c>
      <c r="D2506" t="s">
        <v>345</v>
      </c>
      <c r="E2506" s="7">
        <v>275</v>
      </c>
      <c r="F2506" t="s">
        <v>20</v>
      </c>
      <c r="G2506" t="s">
        <v>21</v>
      </c>
      <c r="H2506" t="str">
        <f>"4/11/2022"</f>
        <v>4/11/2022</v>
      </c>
      <c r="I2506" t="str">
        <f>"MICHAEL ISAAC MARTINEZ"</f>
        <v>MICHAEL ISAAC MARTINEZ</v>
      </c>
    </row>
    <row r="2507" spans="1:9" x14ac:dyDescent="0.25">
      <c r="A2507" s="6">
        <v>44664</v>
      </c>
      <c r="B2507" t="s">
        <v>26</v>
      </c>
      <c r="C2507">
        <v>69243</v>
      </c>
      <c r="D2507" t="s">
        <v>948</v>
      </c>
      <c r="E2507" s="7">
        <v>580</v>
      </c>
      <c r="F2507" t="s">
        <v>20</v>
      </c>
      <c r="G2507" t="s">
        <v>21</v>
      </c>
      <c r="H2507" t="str">
        <f>"MMI145106"</f>
        <v>MMI145106</v>
      </c>
      <c r="I2507" t="str">
        <f>"MODERN MARKETING"</f>
        <v>MODERN MARKETING</v>
      </c>
    </row>
    <row r="2508" spans="1:9" x14ac:dyDescent="0.25">
      <c r="A2508" s="6">
        <v>44664</v>
      </c>
      <c r="B2508" t="s">
        <v>26</v>
      </c>
      <c r="C2508">
        <v>69244</v>
      </c>
      <c r="D2508" t="s">
        <v>327</v>
      </c>
      <c r="E2508" s="7">
        <v>130.16</v>
      </c>
      <c r="F2508" t="s">
        <v>20</v>
      </c>
      <c r="G2508" t="s">
        <v>21</v>
      </c>
      <c r="H2508" t="str">
        <f>"3022"</f>
        <v>3022</v>
      </c>
      <c r="I2508" t="str">
        <f>"MOY'S WATER WELL SERVICES"</f>
        <v>MOY'S WATER WELL SERVICES</v>
      </c>
    </row>
    <row r="2509" spans="1:9" x14ac:dyDescent="0.25">
      <c r="A2509" s="6">
        <v>44664</v>
      </c>
      <c r="B2509" t="s">
        <v>26</v>
      </c>
      <c r="C2509">
        <v>69245</v>
      </c>
      <c r="D2509" t="s">
        <v>512</v>
      </c>
      <c r="E2509" s="7">
        <v>102.8</v>
      </c>
      <c r="F2509" t="s">
        <v>20</v>
      </c>
      <c r="G2509" t="s">
        <v>21</v>
      </c>
      <c r="H2509" t="str">
        <f>"112556598"</f>
        <v>112556598</v>
      </c>
      <c r="I2509" t="str">
        <f>"PENS FOR CHIEF"</f>
        <v>PENS FOR CHIEF</v>
      </c>
    </row>
    <row r="2510" spans="1:9" x14ac:dyDescent="0.25">
      <c r="A2510" s="6">
        <v>44664</v>
      </c>
      <c r="B2510" t="s">
        <v>26</v>
      </c>
      <c r="C2510">
        <v>69246</v>
      </c>
      <c r="D2510" t="s">
        <v>1013</v>
      </c>
      <c r="E2510" s="7">
        <v>10000</v>
      </c>
      <c r="F2510" t="s">
        <v>20</v>
      </c>
      <c r="G2510" t="s">
        <v>21</v>
      </c>
      <c r="H2510" t="str">
        <f>"201"</f>
        <v>201</v>
      </c>
      <c r="I2510" t="str">
        <f>"6TH STREET DRAINAGE"</f>
        <v>6TH STREET DRAINAGE</v>
      </c>
    </row>
    <row r="2511" spans="1:9" x14ac:dyDescent="0.25">
      <c r="A2511" s="6">
        <v>44664</v>
      </c>
      <c r="B2511" t="s">
        <v>26</v>
      </c>
      <c r="C2511">
        <v>69247</v>
      </c>
      <c r="D2511" t="s">
        <v>1176</v>
      </c>
      <c r="E2511" s="7">
        <v>112</v>
      </c>
      <c r="F2511" t="s">
        <v>20</v>
      </c>
      <c r="G2511" t="s">
        <v>21</v>
      </c>
      <c r="H2511" t="str">
        <f>"000001984235"</f>
        <v>000001984235</v>
      </c>
      <c r="I2511" t="str">
        <f>"NOVA MEDICAL CENTERS"</f>
        <v>NOVA MEDICAL CENTERS</v>
      </c>
    </row>
    <row r="2512" spans="1:9" x14ac:dyDescent="0.25">
      <c r="A2512" s="6">
        <v>44664</v>
      </c>
      <c r="B2512" t="s">
        <v>26</v>
      </c>
      <c r="C2512">
        <v>69248</v>
      </c>
      <c r="D2512" t="s">
        <v>123</v>
      </c>
      <c r="E2512" s="7">
        <v>137.24</v>
      </c>
      <c r="F2512" t="s">
        <v>20</v>
      </c>
      <c r="G2512" t="s">
        <v>21</v>
      </c>
      <c r="H2512" t="str">
        <f>"233323362001"</f>
        <v>233323362001</v>
      </c>
      <c r="I2512" t="str">
        <f>"OFFICE SUPPLIES"</f>
        <v>OFFICE SUPPLIES</v>
      </c>
    </row>
    <row r="2513" spans="1:9" x14ac:dyDescent="0.25">
      <c r="A2513" s="6">
        <v>44664</v>
      </c>
      <c r="B2513" t="s">
        <v>26</v>
      </c>
      <c r="C2513">
        <v>69248</v>
      </c>
      <c r="D2513" t="s">
        <v>123</v>
      </c>
      <c r="E2513" s="7">
        <v>131.51</v>
      </c>
      <c r="F2513" t="s">
        <v>20</v>
      </c>
      <c r="G2513" t="s">
        <v>21</v>
      </c>
      <c r="H2513" t="str">
        <f>"233325369001"</f>
        <v>233325369001</v>
      </c>
      <c r="I2513" t="str">
        <f>"OFFICE SUPPLIES"</f>
        <v>OFFICE SUPPLIES</v>
      </c>
    </row>
    <row r="2514" spans="1:9" x14ac:dyDescent="0.25">
      <c r="A2514" s="6">
        <v>44664</v>
      </c>
      <c r="B2514" t="s">
        <v>26</v>
      </c>
      <c r="C2514">
        <v>69248</v>
      </c>
      <c r="D2514" t="s">
        <v>123</v>
      </c>
      <c r="E2514" s="7">
        <v>95.74</v>
      </c>
      <c r="F2514" t="s">
        <v>20</v>
      </c>
      <c r="G2514" t="s">
        <v>21</v>
      </c>
      <c r="H2514" t="str">
        <f>"234960361001"</f>
        <v>234960361001</v>
      </c>
      <c r="I2514" t="str">
        <f>"OFFICE DEPOT  INC."</f>
        <v>OFFICE DEPOT  INC.</v>
      </c>
    </row>
    <row r="2515" spans="1:9" x14ac:dyDescent="0.25">
      <c r="A2515" s="6">
        <v>44664</v>
      </c>
      <c r="B2515" t="s">
        <v>26</v>
      </c>
      <c r="C2515">
        <v>69248</v>
      </c>
      <c r="D2515" t="s">
        <v>123</v>
      </c>
      <c r="E2515" s="7">
        <v>37.590000000000003</v>
      </c>
      <c r="F2515" t="s">
        <v>20</v>
      </c>
      <c r="G2515" t="s">
        <v>21</v>
      </c>
      <c r="H2515" t="str">
        <f>"234960880001"</f>
        <v>234960880001</v>
      </c>
      <c r="I2515" t="str">
        <f>"OFFICE SUPPLIES"</f>
        <v>OFFICE SUPPLIES</v>
      </c>
    </row>
    <row r="2516" spans="1:9" x14ac:dyDescent="0.25">
      <c r="A2516" s="6">
        <v>44664</v>
      </c>
      <c r="B2516" t="s">
        <v>26</v>
      </c>
      <c r="C2516">
        <v>69250</v>
      </c>
      <c r="D2516" t="s">
        <v>106</v>
      </c>
      <c r="E2516" s="7">
        <v>108</v>
      </c>
      <c r="F2516" t="s">
        <v>20</v>
      </c>
      <c r="G2516" t="s">
        <v>21</v>
      </c>
      <c r="H2516" t="str">
        <f>"1ST QRT JAN-MAR"</f>
        <v>1ST QRT JAN-MAR</v>
      </c>
      <c r="I2516" t="str">
        <f>"OMNIBASE SERVICES OF TEXAS"</f>
        <v>OMNIBASE SERVICES OF TEXAS</v>
      </c>
    </row>
    <row r="2517" spans="1:9" x14ac:dyDescent="0.25">
      <c r="A2517" s="6">
        <v>44664</v>
      </c>
      <c r="B2517" t="s">
        <v>26</v>
      </c>
      <c r="C2517">
        <v>69251</v>
      </c>
      <c r="D2517" t="s">
        <v>947</v>
      </c>
      <c r="E2517" s="7">
        <v>44.29</v>
      </c>
      <c r="F2517" t="s">
        <v>20</v>
      </c>
      <c r="G2517" t="s">
        <v>21</v>
      </c>
      <c r="H2517" t="str">
        <f>"00193060"</f>
        <v>00193060</v>
      </c>
      <c r="I2517" t="str">
        <f>"PAINT SAN ANTONIO LLC"</f>
        <v>PAINT SAN ANTONIO LLC</v>
      </c>
    </row>
    <row r="2518" spans="1:9" x14ac:dyDescent="0.25">
      <c r="A2518" s="6">
        <v>44664</v>
      </c>
      <c r="B2518" t="s">
        <v>26</v>
      </c>
      <c r="C2518">
        <v>69252</v>
      </c>
      <c r="D2518" t="s">
        <v>1081</v>
      </c>
      <c r="E2518" s="7">
        <v>50</v>
      </c>
      <c r="F2518" t="s">
        <v>20</v>
      </c>
      <c r="G2518" t="s">
        <v>21</v>
      </c>
      <c r="H2518" t="str">
        <f>"34060"</f>
        <v>34060</v>
      </c>
      <c r="I2518" t="str">
        <f>"PINNACLE PEST DEFENSE"</f>
        <v>PINNACLE PEST DEFENSE</v>
      </c>
    </row>
    <row r="2519" spans="1:9" x14ac:dyDescent="0.25">
      <c r="A2519" s="6">
        <v>44664</v>
      </c>
      <c r="B2519" t="s">
        <v>26</v>
      </c>
      <c r="C2519">
        <v>69252</v>
      </c>
      <c r="D2519" t="s">
        <v>1081</v>
      </c>
      <c r="E2519" s="7">
        <v>433</v>
      </c>
      <c r="F2519" t="s">
        <v>20</v>
      </c>
      <c r="G2519" t="s">
        <v>21</v>
      </c>
      <c r="H2519" t="str">
        <f>"34465"</f>
        <v>34465</v>
      </c>
      <c r="I2519" t="str">
        <f>"PINNACLE PEST DEFENSE"</f>
        <v>PINNACLE PEST DEFENSE</v>
      </c>
    </row>
    <row r="2520" spans="1:9" x14ac:dyDescent="0.25">
      <c r="A2520" s="6">
        <v>44664</v>
      </c>
      <c r="B2520" t="s">
        <v>26</v>
      </c>
      <c r="C2520">
        <v>69253</v>
      </c>
      <c r="D2520" t="s">
        <v>169</v>
      </c>
      <c r="E2520" s="7">
        <v>17.579999999999998</v>
      </c>
      <c r="F2520" t="s">
        <v>20</v>
      </c>
      <c r="G2520" t="s">
        <v>21</v>
      </c>
      <c r="H2520" t="str">
        <f>"155805"</f>
        <v>155805</v>
      </c>
      <c r="I2520" t="str">
        <f>"THE POLICE AND SHERIFFS PRESS"</f>
        <v>THE POLICE AND SHERIFFS PRESS</v>
      </c>
    </row>
    <row r="2521" spans="1:9" x14ac:dyDescent="0.25">
      <c r="A2521" s="6">
        <v>44664</v>
      </c>
      <c r="B2521" t="s">
        <v>26</v>
      </c>
      <c r="C2521">
        <v>69254</v>
      </c>
      <c r="D2521" t="s">
        <v>62</v>
      </c>
      <c r="E2521" s="7">
        <v>233.75</v>
      </c>
      <c r="F2521" t="s">
        <v>20</v>
      </c>
      <c r="G2521" t="s">
        <v>21</v>
      </c>
      <c r="H2521" t="str">
        <f>"78952"</f>
        <v>78952</v>
      </c>
      <c r="I2521" t="str">
        <f>"PROFICIENT BENEFIT SOLUTIONS"</f>
        <v>PROFICIENT BENEFIT SOLUTIONS</v>
      </c>
    </row>
    <row r="2522" spans="1:9" x14ac:dyDescent="0.25">
      <c r="A2522" s="6">
        <v>44664</v>
      </c>
      <c r="B2522" t="s">
        <v>26</v>
      </c>
      <c r="C2522">
        <v>69255</v>
      </c>
      <c r="D2522" t="s">
        <v>131</v>
      </c>
      <c r="E2522" s="7">
        <v>179</v>
      </c>
      <c r="F2522" t="s">
        <v>20</v>
      </c>
      <c r="G2522" t="s">
        <v>21</v>
      </c>
      <c r="H2522" t="str">
        <f>"066754"</f>
        <v>066754</v>
      </c>
      <c r="I2522" t="str">
        <f>"BATTERY CHARGER"</f>
        <v>BATTERY CHARGER</v>
      </c>
    </row>
    <row r="2523" spans="1:9" x14ac:dyDescent="0.25">
      <c r="A2523" s="6">
        <v>44664</v>
      </c>
      <c r="B2523" t="s">
        <v>26</v>
      </c>
      <c r="C2523">
        <v>69255</v>
      </c>
      <c r="D2523" t="s">
        <v>131</v>
      </c>
      <c r="E2523" s="7">
        <v>86.6</v>
      </c>
      <c r="F2523" t="s">
        <v>20</v>
      </c>
      <c r="G2523" t="s">
        <v>21</v>
      </c>
      <c r="H2523" t="str">
        <f>"066821"</f>
        <v>066821</v>
      </c>
      <c r="I2523" t="str">
        <f>"SHOP SUPPLIES"</f>
        <v>SHOP SUPPLIES</v>
      </c>
    </row>
    <row r="2524" spans="1:9" x14ac:dyDescent="0.25">
      <c r="A2524" s="6">
        <v>44664</v>
      </c>
      <c r="B2524" t="s">
        <v>26</v>
      </c>
      <c r="C2524">
        <v>69256</v>
      </c>
      <c r="D2524" t="s">
        <v>126</v>
      </c>
      <c r="E2524" s="7">
        <v>316.3</v>
      </c>
      <c r="F2524" t="s">
        <v>20</v>
      </c>
      <c r="G2524" t="s">
        <v>21</v>
      </c>
      <c r="H2524" t="str">
        <f>"0859-003080038"</f>
        <v>0859-003080038</v>
      </c>
      <c r="I2524" t="str">
        <f>"REPUBLIC SERVICES #859"</f>
        <v>REPUBLIC SERVICES #859</v>
      </c>
    </row>
    <row r="2525" spans="1:9" x14ac:dyDescent="0.25">
      <c r="A2525" s="6">
        <v>44664</v>
      </c>
      <c r="B2525" t="s">
        <v>26</v>
      </c>
      <c r="C2525">
        <v>69256</v>
      </c>
      <c r="D2525" t="s">
        <v>126</v>
      </c>
      <c r="E2525" s="7">
        <v>94406.13</v>
      </c>
      <c r="F2525" t="s">
        <v>20</v>
      </c>
      <c r="G2525" t="s">
        <v>21</v>
      </c>
      <c r="H2525" t="str">
        <f>"0859-003084439"</f>
        <v>0859-003084439</v>
      </c>
      <c r="I2525" t="str">
        <f>"REPUBLIC SERVICES #859"</f>
        <v>REPUBLIC SERVICES #859</v>
      </c>
    </row>
    <row r="2526" spans="1:9" x14ac:dyDescent="0.25">
      <c r="A2526" s="6">
        <v>44664</v>
      </c>
      <c r="B2526" t="s">
        <v>26</v>
      </c>
      <c r="C2526">
        <v>69257</v>
      </c>
      <c r="D2526" t="s">
        <v>1143</v>
      </c>
      <c r="E2526" s="7">
        <v>84.41</v>
      </c>
      <c r="F2526" t="s">
        <v>20</v>
      </c>
      <c r="G2526" t="s">
        <v>21</v>
      </c>
      <c r="H2526" t="str">
        <f>"REIMSBMT KP SUP."</f>
        <v>REIMSBMT KP SUP.</v>
      </c>
      <c r="I2526" t="str">
        <f>"RUEBEN GARCIA"</f>
        <v>RUEBEN GARCIA</v>
      </c>
    </row>
    <row r="2527" spans="1:9" x14ac:dyDescent="0.25">
      <c r="A2527" s="6">
        <v>44664</v>
      </c>
      <c r="B2527" t="s">
        <v>26</v>
      </c>
      <c r="C2527">
        <v>69258</v>
      </c>
      <c r="D2527" t="s">
        <v>1181</v>
      </c>
      <c r="E2527" s="7">
        <v>275</v>
      </c>
      <c r="F2527" t="s">
        <v>20</v>
      </c>
      <c r="G2527" t="s">
        <v>21</v>
      </c>
      <c r="H2527" t="str">
        <f>"4/7/2022"</f>
        <v>4/7/2022</v>
      </c>
      <c r="I2527" t="str">
        <f>"SANTIAGO GONZALES"</f>
        <v>SANTIAGO GONZALES</v>
      </c>
    </row>
    <row r="2528" spans="1:9" x14ac:dyDescent="0.25">
      <c r="A2528" s="6">
        <v>44664</v>
      </c>
      <c r="B2528" t="s">
        <v>26</v>
      </c>
      <c r="C2528">
        <v>69259</v>
      </c>
      <c r="D2528" t="s">
        <v>346</v>
      </c>
      <c r="E2528" s="7">
        <v>13750</v>
      </c>
      <c r="F2528" t="s">
        <v>20</v>
      </c>
      <c r="G2528" t="s">
        <v>21</v>
      </c>
      <c r="H2528" t="str">
        <f>"3/11-4/10/2022"</f>
        <v>3/11-4/10/2022</v>
      </c>
      <c r="I2528" t="str">
        <f>"SYLVIA RODRIGUEZ"</f>
        <v>SYLVIA RODRIGUEZ</v>
      </c>
    </row>
    <row r="2529" spans="1:9" x14ac:dyDescent="0.25">
      <c r="A2529" s="6">
        <v>44664</v>
      </c>
      <c r="B2529" t="s">
        <v>26</v>
      </c>
      <c r="C2529">
        <v>69260</v>
      </c>
      <c r="D2529" t="s">
        <v>1141</v>
      </c>
      <c r="E2529" s="7">
        <v>266.27999999999997</v>
      </c>
      <c r="F2529" t="s">
        <v>20</v>
      </c>
      <c r="G2529" t="s">
        <v>21</v>
      </c>
      <c r="H2529" t="str">
        <f>"SS1-SS12449"</f>
        <v>SS1-SS12449</v>
      </c>
      <c r="I2529" t="str">
        <f t="shared" ref="I2529:I2538" si="60">"TEXAS LANDFILL MANAGEMENT  LLC"</f>
        <v>TEXAS LANDFILL MANAGEMENT  LLC</v>
      </c>
    </row>
    <row r="2530" spans="1:9" x14ac:dyDescent="0.25">
      <c r="A2530" s="6">
        <v>44664</v>
      </c>
      <c r="B2530" t="s">
        <v>26</v>
      </c>
      <c r="C2530">
        <v>69260</v>
      </c>
      <c r="D2530" t="s">
        <v>1141</v>
      </c>
      <c r="E2530" s="7">
        <v>291.2</v>
      </c>
      <c r="F2530" t="s">
        <v>20</v>
      </c>
      <c r="G2530" t="s">
        <v>21</v>
      </c>
      <c r="H2530" t="str">
        <f>"SS1-SS12457"</f>
        <v>SS1-SS12457</v>
      </c>
      <c r="I2530" t="str">
        <f t="shared" si="60"/>
        <v>TEXAS LANDFILL MANAGEMENT  LLC</v>
      </c>
    </row>
    <row r="2531" spans="1:9" x14ac:dyDescent="0.25">
      <c r="A2531" s="6">
        <v>44664</v>
      </c>
      <c r="B2531" t="s">
        <v>26</v>
      </c>
      <c r="C2531">
        <v>69260</v>
      </c>
      <c r="D2531" t="s">
        <v>1141</v>
      </c>
      <c r="E2531" s="7">
        <v>247.52</v>
      </c>
      <c r="F2531" t="s">
        <v>20</v>
      </c>
      <c r="G2531" t="s">
        <v>21</v>
      </c>
      <c r="H2531" t="str">
        <f>"SS1-SS12468"</f>
        <v>SS1-SS12468</v>
      </c>
      <c r="I2531" t="str">
        <f t="shared" si="60"/>
        <v>TEXAS LANDFILL MANAGEMENT  LLC</v>
      </c>
    </row>
    <row r="2532" spans="1:9" x14ac:dyDescent="0.25">
      <c r="A2532" s="6">
        <v>44664</v>
      </c>
      <c r="B2532" t="s">
        <v>26</v>
      </c>
      <c r="C2532">
        <v>69260</v>
      </c>
      <c r="D2532" t="s">
        <v>1141</v>
      </c>
      <c r="E2532" s="7">
        <v>272.72000000000003</v>
      </c>
      <c r="F2532" t="s">
        <v>20</v>
      </c>
      <c r="G2532" t="s">
        <v>21</v>
      </c>
      <c r="H2532" t="str">
        <f>"SS1-SS12489"</f>
        <v>SS1-SS12489</v>
      </c>
      <c r="I2532" t="str">
        <f t="shared" si="60"/>
        <v>TEXAS LANDFILL MANAGEMENT  LLC</v>
      </c>
    </row>
    <row r="2533" spans="1:9" x14ac:dyDescent="0.25">
      <c r="A2533" s="6">
        <v>44664</v>
      </c>
      <c r="B2533" t="s">
        <v>26</v>
      </c>
      <c r="C2533">
        <v>69260</v>
      </c>
      <c r="D2533" t="s">
        <v>1141</v>
      </c>
      <c r="E2533" s="7">
        <v>249.48</v>
      </c>
      <c r="F2533" t="s">
        <v>20</v>
      </c>
      <c r="G2533" t="s">
        <v>21</v>
      </c>
      <c r="H2533" t="str">
        <f>"SS1-SS12497"</f>
        <v>SS1-SS12497</v>
      </c>
      <c r="I2533" t="str">
        <f t="shared" si="60"/>
        <v>TEXAS LANDFILL MANAGEMENT  LLC</v>
      </c>
    </row>
    <row r="2534" spans="1:9" x14ac:dyDescent="0.25">
      <c r="A2534" s="6">
        <v>44664</v>
      </c>
      <c r="B2534" t="s">
        <v>26</v>
      </c>
      <c r="C2534">
        <v>69260</v>
      </c>
      <c r="D2534" t="s">
        <v>1141</v>
      </c>
      <c r="E2534" s="7">
        <v>274.68</v>
      </c>
      <c r="F2534" t="s">
        <v>20</v>
      </c>
      <c r="G2534" t="s">
        <v>21</v>
      </c>
      <c r="H2534" t="str">
        <f>"SS1-SS12501"</f>
        <v>SS1-SS12501</v>
      </c>
      <c r="I2534" t="str">
        <f t="shared" si="60"/>
        <v>TEXAS LANDFILL MANAGEMENT  LLC</v>
      </c>
    </row>
    <row r="2535" spans="1:9" x14ac:dyDescent="0.25">
      <c r="A2535" s="6">
        <v>44664</v>
      </c>
      <c r="B2535" t="s">
        <v>26</v>
      </c>
      <c r="C2535">
        <v>69260</v>
      </c>
      <c r="D2535" t="s">
        <v>1141</v>
      </c>
      <c r="E2535" s="7">
        <v>261.24</v>
      </c>
      <c r="F2535" t="s">
        <v>20</v>
      </c>
      <c r="G2535" t="s">
        <v>21</v>
      </c>
      <c r="H2535" t="str">
        <f>"SS1-SS12515"</f>
        <v>SS1-SS12515</v>
      </c>
      <c r="I2535" t="str">
        <f t="shared" si="60"/>
        <v>TEXAS LANDFILL MANAGEMENT  LLC</v>
      </c>
    </row>
    <row r="2536" spans="1:9" x14ac:dyDescent="0.25">
      <c r="A2536" s="6">
        <v>44664</v>
      </c>
      <c r="B2536" t="s">
        <v>26</v>
      </c>
      <c r="C2536">
        <v>69260</v>
      </c>
      <c r="D2536" t="s">
        <v>1141</v>
      </c>
      <c r="E2536" s="7">
        <v>281.39999999999998</v>
      </c>
      <c r="F2536" t="s">
        <v>20</v>
      </c>
      <c r="G2536" t="s">
        <v>21</v>
      </c>
      <c r="H2536" t="str">
        <f>"SS1-SS12520"</f>
        <v>SS1-SS12520</v>
      </c>
      <c r="I2536" t="str">
        <f t="shared" si="60"/>
        <v>TEXAS LANDFILL MANAGEMENT  LLC</v>
      </c>
    </row>
    <row r="2537" spans="1:9" x14ac:dyDescent="0.25">
      <c r="A2537" s="6">
        <v>44664</v>
      </c>
      <c r="B2537" t="s">
        <v>26</v>
      </c>
      <c r="C2537">
        <v>69260</v>
      </c>
      <c r="D2537" t="s">
        <v>1141</v>
      </c>
      <c r="E2537" s="7">
        <v>286.44</v>
      </c>
      <c r="F2537" t="s">
        <v>20</v>
      </c>
      <c r="G2537" t="s">
        <v>21</v>
      </c>
      <c r="H2537" t="str">
        <f>"SS1-SS12525"</f>
        <v>SS1-SS12525</v>
      </c>
      <c r="I2537" t="str">
        <f t="shared" si="60"/>
        <v>TEXAS LANDFILL MANAGEMENT  LLC</v>
      </c>
    </row>
    <row r="2538" spans="1:9" x14ac:dyDescent="0.25">
      <c r="A2538" s="6">
        <v>44664</v>
      </c>
      <c r="B2538" t="s">
        <v>26</v>
      </c>
      <c r="C2538">
        <v>69260</v>
      </c>
      <c r="D2538" t="s">
        <v>1141</v>
      </c>
      <c r="E2538" s="7">
        <v>264.60000000000002</v>
      </c>
      <c r="F2538" t="s">
        <v>20</v>
      </c>
      <c r="G2538" t="s">
        <v>21</v>
      </c>
      <c r="H2538" t="str">
        <f>"SS1-SS12564"</f>
        <v>SS1-SS12564</v>
      </c>
      <c r="I2538" t="str">
        <f t="shared" si="60"/>
        <v>TEXAS LANDFILL MANAGEMENT  LLC</v>
      </c>
    </row>
    <row r="2539" spans="1:9" x14ac:dyDescent="0.25">
      <c r="A2539" s="6">
        <v>44664</v>
      </c>
      <c r="B2539" t="s">
        <v>26</v>
      </c>
      <c r="C2539">
        <v>69262</v>
      </c>
      <c r="D2539" t="s">
        <v>640</v>
      </c>
      <c r="E2539" s="7">
        <v>1440</v>
      </c>
      <c r="F2539" t="s">
        <v>20</v>
      </c>
      <c r="G2539" t="s">
        <v>21</v>
      </c>
      <c r="H2539" t="str">
        <f>"65376"</f>
        <v>65376</v>
      </c>
      <c r="I2539" t="str">
        <f>"TEXAS WEDDINGS  LTD"</f>
        <v>TEXAS WEDDINGS  LTD</v>
      </c>
    </row>
    <row r="2540" spans="1:9" x14ac:dyDescent="0.25">
      <c r="A2540" s="6">
        <v>44664</v>
      </c>
      <c r="B2540" t="s">
        <v>26</v>
      </c>
      <c r="C2540">
        <v>69263</v>
      </c>
      <c r="D2540" t="s">
        <v>73</v>
      </c>
      <c r="E2540" s="7">
        <v>43661.25</v>
      </c>
      <c r="F2540" t="s">
        <v>20</v>
      </c>
      <c r="G2540" t="s">
        <v>21</v>
      </c>
      <c r="H2540" t="str">
        <f>"4/1/2022"</f>
        <v>4/1/2022</v>
      </c>
      <c r="I2540" t="str">
        <f>"TML INTERGOVERNMENTAL RISK POO"</f>
        <v>TML INTERGOVERNMENTAL RISK POO</v>
      </c>
    </row>
    <row r="2541" spans="1:9" x14ac:dyDescent="0.25">
      <c r="A2541" s="6">
        <v>44664</v>
      </c>
      <c r="B2541" t="s">
        <v>26</v>
      </c>
      <c r="C2541">
        <v>69264</v>
      </c>
      <c r="D2541" t="s">
        <v>75</v>
      </c>
      <c r="E2541" s="7">
        <v>199.99</v>
      </c>
      <c r="F2541" t="s">
        <v>20</v>
      </c>
      <c r="G2541" t="s">
        <v>21</v>
      </c>
      <c r="H2541" t="str">
        <f>"100816571"</f>
        <v>100816571</v>
      </c>
      <c r="I2541" t="str">
        <f>"AUGER FOR ROPING ARENA"</f>
        <v>AUGER FOR ROPING ARENA</v>
      </c>
    </row>
    <row r="2542" spans="1:9" x14ac:dyDescent="0.25">
      <c r="A2542" s="6">
        <v>44664</v>
      </c>
      <c r="B2542" t="s">
        <v>26</v>
      </c>
      <c r="C2542">
        <v>69264</v>
      </c>
      <c r="D2542" t="s">
        <v>75</v>
      </c>
      <c r="E2542" s="7">
        <v>125.95</v>
      </c>
      <c r="F2542" t="s">
        <v>20</v>
      </c>
      <c r="G2542" t="s">
        <v>21</v>
      </c>
      <c r="H2542" t="str">
        <f>"200965410"</f>
        <v>200965410</v>
      </c>
      <c r="I2542" t="str">
        <f>"CEMENT WORK"</f>
        <v>CEMENT WORK</v>
      </c>
    </row>
    <row r="2543" spans="1:9" x14ac:dyDescent="0.25">
      <c r="A2543" s="6">
        <v>44664</v>
      </c>
      <c r="B2543" t="s">
        <v>26</v>
      </c>
      <c r="C2543">
        <v>69264</v>
      </c>
      <c r="D2543" t="s">
        <v>75</v>
      </c>
      <c r="E2543" s="7">
        <v>14.97</v>
      </c>
      <c r="F2543" t="s">
        <v>20</v>
      </c>
      <c r="G2543" t="s">
        <v>21</v>
      </c>
      <c r="H2543" t="str">
        <f>"200966808"</f>
        <v>200966808</v>
      </c>
      <c r="I2543" t="str">
        <f>"PAINT AND TOOL BAGS"</f>
        <v>PAINT AND TOOL BAGS</v>
      </c>
    </row>
    <row r="2544" spans="1:9" x14ac:dyDescent="0.25">
      <c r="A2544" s="6">
        <v>44664</v>
      </c>
      <c r="B2544" t="s">
        <v>26</v>
      </c>
      <c r="C2544">
        <v>69265</v>
      </c>
      <c r="D2544" t="s">
        <v>698</v>
      </c>
      <c r="E2544" s="7">
        <v>100</v>
      </c>
      <c r="F2544" t="s">
        <v>20</v>
      </c>
      <c r="G2544" t="s">
        <v>21</v>
      </c>
      <c r="H2544" t="str">
        <f>"4/10/2022"</f>
        <v>4/10/2022</v>
      </c>
      <c r="I2544" t="str">
        <f>"TRACY ORTIZ"</f>
        <v>TRACY ORTIZ</v>
      </c>
    </row>
    <row r="2545" spans="1:9" x14ac:dyDescent="0.25">
      <c r="A2545" s="6">
        <v>44664</v>
      </c>
      <c r="B2545" t="s">
        <v>26</v>
      </c>
      <c r="C2545">
        <v>69266</v>
      </c>
      <c r="D2545" t="s">
        <v>644</v>
      </c>
      <c r="E2545" s="7">
        <v>95.04</v>
      </c>
      <c r="F2545" t="s">
        <v>20</v>
      </c>
      <c r="G2545" t="s">
        <v>21</v>
      </c>
      <c r="H2545" t="str">
        <f>"8213694647"</f>
        <v>8213694647</v>
      </c>
      <c r="I2545" t="str">
        <f t="shared" ref="I2545:I2569" si="61">"UNIFIRST CORPORATION"</f>
        <v>UNIFIRST CORPORATION</v>
      </c>
    </row>
    <row r="2546" spans="1:9" x14ac:dyDescent="0.25">
      <c r="A2546" s="6">
        <v>44664</v>
      </c>
      <c r="B2546" t="s">
        <v>26</v>
      </c>
      <c r="C2546">
        <v>69266</v>
      </c>
      <c r="D2546" t="s">
        <v>644</v>
      </c>
      <c r="E2546" s="7">
        <v>26.49</v>
      </c>
      <c r="F2546" t="s">
        <v>20</v>
      </c>
      <c r="G2546" t="s">
        <v>21</v>
      </c>
      <c r="H2546" t="str">
        <f>"8213699824"</f>
        <v>8213699824</v>
      </c>
      <c r="I2546" t="str">
        <f t="shared" si="61"/>
        <v>UNIFIRST CORPORATION</v>
      </c>
    </row>
    <row r="2547" spans="1:9" x14ac:dyDescent="0.25">
      <c r="A2547" s="6">
        <v>44664</v>
      </c>
      <c r="B2547" t="s">
        <v>26</v>
      </c>
      <c r="C2547">
        <v>69266</v>
      </c>
      <c r="D2547" t="s">
        <v>644</v>
      </c>
      <c r="E2547" s="7">
        <v>216.08</v>
      </c>
      <c r="F2547" t="s">
        <v>20</v>
      </c>
      <c r="G2547" t="s">
        <v>21</v>
      </c>
      <c r="H2547" t="str">
        <f>"8213699825"</f>
        <v>8213699825</v>
      </c>
      <c r="I2547" t="str">
        <f t="shared" si="61"/>
        <v>UNIFIRST CORPORATION</v>
      </c>
    </row>
    <row r="2548" spans="1:9" x14ac:dyDescent="0.25">
      <c r="A2548" s="6">
        <v>44664</v>
      </c>
      <c r="B2548" t="s">
        <v>26</v>
      </c>
      <c r="C2548">
        <v>69266</v>
      </c>
      <c r="D2548" t="s">
        <v>644</v>
      </c>
      <c r="E2548" s="7">
        <v>124.5</v>
      </c>
      <c r="F2548" t="s">
        <v>20</v>
      </c>
      <c r="G2548" t="s">
        <v>21</v>
      </c>
      <c r="H2548" t="str">
        <f>"8213699826"</f>
        <v>8213699826</v>
      </c>
      <c r="I2548" t="str">
        <f t="shared" si="61"/>
        <v>UNIFIRST CORPORATION</v>
      </c>
    </row>
    <row r="2549" spans="1:9" x14ac:dyDescent="0.25">
      <c r="A2549" s="6">
        <v>44664</v>
      </c>
      <c r="B2549" t="s">
        <v>26</v>
      </c>
      <c r="C2549">
        <v>69266</v>
      </c>
      <c r="D2549" t="s">
        <v>644</v>
      </c>
      <c r="E2549" s="7">
        <v>25.05</v>
      </c>
      <c r="F2549" t="s">
        <v>20</v>
      </c>
      <c r="G2549" t="s">
        <v>21</v>
      </c>
      <c r="H2549" t="str">
        <f>"8213699828"</f>
        <v>8213699828</v>
      </c>
      <c r="I2549" t="str">
        <f t="shared" si="61"/>
        <v>UNIFIRST CORPORATION</v>
      </c>
    </row>
    <row r="2550" spans="1:9" x14ac:dyDescent="0.25">
      <c r="A2550" s="6">
        <v>44664</v>
      </c>
      <c r="B2550" t="s">
        <v>26</v>
      </c>
      <c r="C2550">
        <v>69266</v>
      </c>
      <c r="D2550" t="s">
        <v>644</v>
      </c>
      <c r="E2550" s="7">
        <v>26.49</v>
      </c>
      <c r="F2550" t="s">
        <v>20</v>
      </c>
      <c r="G2550" t="s">
        <v>21</v>
      </c>
      <c r="H2550" t="str">
        <f>"8213699829"</f>
        <v>8213699829</v>
      </c>
      <c r="I2550" t="str">
        <f t="shared" si="61"/>
        <v>UNIFIRST CORPORATION</v>
      </c>
    </row>
    <row r="2551" spans="1:9" x14ac:dyDescent="0.25">
      <c r="A2551" s="6">
        <v>44664</v>
      </c>
      <c r="B2551" t="s">
        <v>26</v>
      </c>
      <c r="C2551">
        <v>69266</v>
      </c>
      <c r="D2551" t="s">
        <v>644</v>
      </c>
      <c r="E2551" s="7">
        <v>26.49</v>
      </c>
      <c r="F2551" t="s">
        <v>20</v>
      </c>
      <c r="G2551" t="s">
        <v>21</v>
      </c>
      <c r="H2551" t="str">
        <f>"8213710229"</f>
        <v>8213710229</v>
      </c>
      <c r="I2551" t="str">
        <f t="shared" si="61"/>
        <v>UNIFIRST CORPORATION</v>
      </c>
    </row>
    <row r="2552" spans="1:9" x14ac:dyDescent="0.25">
      <c r="A2552" s="6">
        <v>44664</v>
      </c>
      <c r="B2552" t="s">
        <v>26</v>
      </c>
      <c r="C2552">
        <v>69266</v>
      </c>
      <c r="D2552" t="s">
        <v>644</v>
      </c>
      <c r="E2552" s="7">
        <v>134.13</v>
      </c>
      <c r="F2552" t="s">
        <v>20</v>
      </c>
      <c r="G2552" t="s">
        <v>21</v>
      </c>
      <c r="H2552" t="str">
        <f>"8213710230"</f>
        <v>8213710230</v>
      </c>
      <c r="I2552" t="str">
        <f t="shared" si="61"/>
        <v>UNIFIRST CORPORATION</v>
      </c>
    </row>
    <row r="2553" spans="1:9" x14ac:dyDescent="0.25">
      <c r="A2553" s="6">
        <v>44664</v>
      </c>
      <c r="B2553" t="s">
        <v>26</v>
      </c>
      <c r="C2553">
        <v>69266</v>
      </c>
      <c r="D2553" t="s">
        <v>644</v>
      </c>
      <c r="E2553" s="7">
        <v>124.5</v>
      </c>
      <c r="F2553" t="s">
        <v>20</v>
      </c>
      <c r="G2553" t="s">
        <v>21</v>
      </c>
      <c r="H2553" t="str">
        <f>"8213710231"</f>
        <v>8213710231</v>
      </c>
      <c r="I2553" t="str">
        <f t="shared" si="61"/>
        <v>UNIFIRST CORPORATION</v>
      </c>
    </row>
    <row r="2554" spans="1:9" x14ac:dyDescent="0.25">
      <c r="A2554" s="6">
        <v>44664</v>
      </c>
      <c r="B2554" t="s">
        <v>26</v>
      </c>
      <c r="C2554">
        <v>69266</v>
      </c>
      <c r="D2554" t="s">
        <v>644</v>
      </c>
      <c r="E2554" s="7">
        <v>25.05</v>
      </c>
      <c r="F2554" t="s">
        <v>20</v>
      </c>
      <c r="G2554" t="s">
        <v>21</v>
      </c>
      <c r="H2554" t="str">
        <f>"8213710232"</f>
        <v>8213710232</v>
      </c>
      <c r="I2554" t="str">
        <f t="shared" si="61"/>
        <v>UNIFIRST CORPORATION</v>
      </c>
    </row>
    <row r="2555" spans="1:9" x14ac:dyDescent="0.25">
      <c r="A2555" s="6">
        <v>44664</v>
      </c>
      <c r="B2555" t="s">
        <v>26</v>
      </c>
      <c r="C2555">
        <v>69266</v>
      </c>
      <c r="D2555" t="s">
        <v>644</v>
      </c>
      <c r="E2555" s="7">
        <v>211.55</v>
      </c>
      <c r="F2555" t="s">
        <v>20</v>
      </c>
      <c r="G2555" t="s">
        <v>21</v>
      </c>
      <c r="H2555" t="str">
        <f>"8213710233"</f>
        <v>8213710233</v>
      </c>
      <c r="I2555" t="str">
        <f t="shared" si="61"/>
        <v>UNIFIRST CORPORATION</v>
      </c>
    </row>
    <row r="2556" spans="1:9" x14ac:dyDescent="0.25">
      <c r="A2556" s="6">
        <v>44664</v>
      </c>
      <c r="B2556" t="s">
        <v>26</v>
      </c>
      <c r="C2556">
        <v>69266</v>
      </c>
      <c r="D2556" t="s">
        <v>644</v>
      </c>
      <c r="E2556" s="7">
        <v>26.49</v>
      </c>
      <c r="F2556" t="s">
        <v>20</v>
      </c>
      <c r="G2556" t="s">
        <v>21</v>
      </c>
      <c r="H2556" t="str">
        <f>"8213710234"</f>
        <v>8213710234</v>
      </c>
      <c r="I2556" t="str">
        <f t="shared" si="61"/>
        <v>UNIFIRST CORPORATION</v>
      </c>
    </row>
    <row r="2557" spans="1:9" x14ac:dyDescent="0.25">
      <c r="A2557" s="6">
        <v>44664</v>
      </c>
      <c r="B2557" t="s">
        <v>26</v>
      </c>
      <c r="C2557">
        <v>69266</v>
      </c>
      <c r="D2557" t="s">
        <v>644</v>
      </c>
      <c r="E2557" s="7">
        <v>26.49</v>
      </c>
      <c r="F2557" t="s">
        <v>20</v>
      </c>
      <c r="G2557" t="s">
        <v>21</v>
      </c>
      <c r="H2557" t="str">
        <f>"8213712840"</f>
        <v>8213712840</v>
      </c>
      <c r="I2557" t="str">
        <f t="shared" si="61"/>
        <v>UNIFIRST CORPORATION</v>
      </c>
    </row>
    <row r="2558" spans="1:9" x14ac:dyDescent="0.25">
      <c r="A2558" s="6">
        <v>44664</v>
      </c>
      <c r="B2558" t="s">
        <v>26</v>
      </c>
      <c r="C2558">
        <v>69266</v>
      </c>
      <c r="D2558" t="s">
        <v>644</v>
      </c>
      <c r="E2558" s="7">
        <v>262.5</v>
      </c>
      <c r="F2558" t="s">
        <v>20</v>
      </c>
      <c r="G2558" t="s">
        <v>21</v>
      </c>
      <c r="H2558" t="str">
        <f>"8213712841"</f>
        <v>8213712841</v>
      </c>
      <c r="I2558" t="str">
        <f t="shared" si="61"/>
        <v>UNIFIRST CORPORATION</v>
      </c>
    </row>
    <row r="2559" spans="1:9" x14ac:dyDescent="0.25">
      <c r="A2559" s="6">
        <v>44664</v>
      </c>
      <c r="B2559" t="s">
        <v>26</v>
      </c>
      <c r="C2559">
        <v>69266</v>
      </c>
      <c r="D2559" t="s">
        <v>644</v>
      </c>
      <c r="E2559" s="7">
        <v>124.5</v>
      </c>
      <c r="F2559" t="s">
        <v>20</v>
      </c>
      <c r="G2559" t="s">
        <v>21</v>
      </c>
      <c r="H2559" t="str">
        <f>"8213712842"</f>
        <v>8213712842</v>
      </c>
      <c r="I2559" t="str">
        <f t="shared" si="61"/>
        <v>UNIFIRST CORPORATION</v>
      </c>
    </row>
    <row r="2560" spans="1:9" x14ac:dyDescent="0.25">
      <c r="A2560" s="6">
        <v>44664</v>
      </c>
      <c r="B2560" t="s">
        <v>26</v>
      </c>
      <c r="C2560">
        <v>69266</v>
      </c>
      <c r="D2560" t="s">
        <v>644</v>
      </c>
      <c r="E2560" s="7">
        <v>25.05</v>
      </c>
      <c r="F2560" t="s">
        <v>20</v>
      </c>
      <c r="G2560" t="s">
        <v>21</v>
      </c>
      <c r="H2560" t="str">
        <f>"8213712843"</f>
        <v>8213712843</v>
      </c>
      <c r="I2560" t="str">
        <f t="shared" si="61"/>
        <v>UNIFIRST CORPORATION</v>
      </c>
    </row>
    <row r="2561" spans="1:9" x14ac:dyDescent="0.25">
      <c r="A2561" s="6">
        <v>44664</v>
      </c>
      <c r="B2561" t="s">
        <v>26</v>
      </c>
      <c r="C2561">
        <v>69266</v>
      </c>
      <c r="D2561" t="s">
        <v>644</v>
      </c>
      <c r="E2561" s="7">
        <v>169.31</v>
      </c>
      <c r="F2561" t="s">
        <v>20</v>
      </c>
      <c r="G2561" t="s">
        <v>21</v>
      </c>
      <c r="H2561" t="str">
        <f>"8213712844"</f>
        <v>8213712844</v>
      </c>
      <c r="I2561" t="str">
        <f t="shared" si="61"/>
        <v>UNIFIRST CORPORATION</v>
      </c>
    </row>
    <row r="2562" spans="1:9" x14ac:dyDescent="0.25">
      <c r="A2562" s="6">
        <v>44664</v>
      </c>
      <c r="B2562" t="s">
        <v>26</v>
      </c>
      <c r="C2562">
        <v>69266</v>
      </c>
      <c r="D2562" t="s">
        <v>644</v>
      </c>
      <c r="E2562" s="7">
        <v>26.49</v>
      </c>
      <c r="F2562" t="s">
        <v>20</v>
      </c>
      <c r="G2562" t="s">
        <v>21</v>
      </c>
      <c r="H2562" t="str">
        <f>"8213712845"</f>
        <v>8213712845</v>
      </c>
      <c r="I2562" t="str">
        <f t="shared" si="61"/>
        <v>UNIFIRST CORPORATION</v>
      </c>
    </row>
    <row r="2563" spans="1:9" x14ac:dyDescent="0.25">
      <c r="A2563" s="6">
        <v>44664</v>
      </c>
      <c r="B2563" t="s">
        <v>26</v>
      </c>
      <c r="C2563">
        <v>69266</v>
      </c>
      <c r="D2563" t="s">
        <v>644</v>
      </c>
      <c r="E2563" s="7">
        <v>129.66999999999999</v>
      </c>
      <c r="F2563" t="s">
        <v>20</v>
      </c>
      <c r="G2563" t="s">
        <v>21</v>
      </c>
      <c r="H2563" t="str">
        <f>"8213715447"</f>
        <v>8213715447</v>
      </c>
      <c r="I2563" t="str">
        <f t="shared" si="61"/>
        <v>UNIFIRST CORPORATION</v>
      </c>
    </row>
    <row r="2564" spans="1:9" x14ac:dyDescent="0.25">
      <c r="A2564" s="6">
        <v>44664</v>
      </c>
      <c r="B2564" t="s">
        <v>26</v>
      </c>
      <c r="C2564">
        <v>69266</v>
      </c>
      <c r="D2564" t="s">
        <v>644</v>
      </c>
      <c r="E2564" s="7">
        <v>26.49</v>
      </c>
      <c r="F2564" t="s">
        <v>20</v>
      </c>
      <c r="G2564" t="s">
        <v>21</v>
      </c>
      <c r="H2564" t="str">
        <f>"8213715448"</f>
        <v>8213715448</v>
      </c>
      <c r="I2564" t="str">
        <f t="shared" si="61"/>
        <v>UNIFIRST CORPORATION</v>
      </c>
    </row>
    <row r="2565" spans="1:9" x14ac:dyDescent="0.25">
      <c r="A2565" s="6">
        <v>44664</v>
      </c>
      <c r="B2565" t="s">
        <v>26</v>
      </c>
      <c r="C2565">
        <v>69266</v>
      </c>
      <c r="D2565" t="s">
        <v>644</v>
      </c>
      <c r="E2565" s="7">
        <v>151.4</v>
      </c>
      <c r="F2565" t="s">
        <v>20</v>
      </c>
      <c r="G2565" t="s">
        <v>21</v>
      </c>
      <c r="H2565" t="str">
        <f>"8213715449"</f>
        <v>8213715449</v>
      </c>
      <c r="I2565" t="str">
        <f t="shared" si="61"/>
        <v>UNIFIRST CORPORATION</v>
      </c>
    </row>
    <row r="2566" spans="1:9" x14ac:dyDescent="0.25">
      <c r="A2566" s="6">
        <v>44664</v>
      </c>
      <c r="B2566" t="s">
        <v>26</v>
      </c>
      <c r="C2566">
        <v>69266</v>
      </c>
      <c r="D2566" t="s">
        <v>644</v>
      </c>
      <c r="E2566" s="7">
        <v>124.5</v>
      </c>
      <c r="F2566" t="s">
        <v>20</v>
      </c>
      <c r="G2566" t="s">
        <v>21</v>
      </c>
      <c r="H2566" t="str">
        <f>"8213715450"</f>
        <v>8213715450</v>
      </c>
      <c r="I2566" t="str">
        <f t="shared" si="61"/>
        <v>UNIFIRST CORPORATION</v>
      </c>
    </row>
    <row r="2567" spans="1:9" x14ac:dyDescent="0.25">
      <c r="A2567" s="6">
        <v>44664</v>
      </c>
      <c r="B2567" t="s">
        <v>26</v>
      </c>
      <c r="C2567">
        <v>69266</v>
      </c>
      <c r="D2567" t="s">
        <v>644</v>
      </c>
      <c r="E2567" s="7">
        <v>25.05</v>
      </c>
      <c r="F2567" t="s">
        <v>20</v>
      </c>
      <c r="G2567" t="s">
        <v>21</v>
      </c>
      <c r="H2567" t="str">
        <f>"8213715451"</f>
        <v>8213715451</v>
      </c>
      <c r="I2567" t="str">
        <f t="shared" si="61"/>
        <v>UNIFIRST CORPORATION</v>
      </c>
    </row>
    <row r="2568" spans="1:9" x14ac:dyDescent="0.25">
      <c r="A2568" s="6">
        <v>44664</v>
      </c>
      <c r="B2568" t="s">
        <v>26</v>
      </c>
      <c r="C2568">
        <v>69266</v>
      </c>
      <c r="D2568" t="s">
        <v>644</v>
      </c>
      <c r="E2568" s="7">
        <v>103.55</v>
      </c>
      <c r="F2568" t="s">
        <v>20</v>
      </c>
      <c r="G2568" t="s">
        <v>21</v>
      </c>
      <c r="H2568" t="str">
        <f>"8213715452"</f>
        <v>8213715452</v>
      </c>
      <c r="I2568" t="str">
        <f t="shared" si="61"/>
        <v>UNIFIRST CORPORATION</v>
      </c>
    </row>
    <row r="2569" spans="1:9" x14ac:dyDescent="0.25">
      <c r="A2569" s="6">
        <v>44664</v>
      </c>
      <c r="B2569" t="s">
        <v>26</v>
      </c>
      <c r="C2569">
        <v>69266</v>
      </c>
      <c r="D2569" t="s">
        <v>644</v>
      </c>
      <c r="E2569" s="7">
        <v>26.89</v>
      </c>
      <c r="F2569" t="s">
        <v>20</v>
      </c>
      <c r="G2569" t="s">
        <v>21</v>
      </c>
      <c r="H2569" t="str">
        <f>"8213715453"</f>
        <v>8213715453</v>
      </c>
      <c r="I2569" t="str">
        <f t="shared" si="61"/>
        <v>UNIFIRST CORPORATION</v>
      </c>
    </row>
    <row r="2570" spans="1:9" x14ac:dyDescent="0.25">
      <c r="A2570" s="6">
        <v>44664</v>
      </c>
      <c r="B2570" t="s">
        <v>26</v>
      </c>
      <c r="C2570">
        <v>69271</v>
      </c>
      <c r="D2570" t="s">
        <v>1026</v>
      </c>
      <c r="E2570" s="7">
        <v>1075.78</v>
      </c>
      <c r="F2570" t="s">
        <v>20</v>
      </c>
      <c r="G2570" t="s">
        <v>21</v>
      </c>
      <c r="H2570" t="str">
        <f>"INV345551"</f>
        <v>INV345551</v>
      </c>
      <c r="I2570" t="str">
        <f>"WWTP SUPPLIES"</f>
        <v>WWTP SUPPLIES</v>
      </c>
    </row>
    <row r="2571" spans="1:9" x14ac:dyDescent="0.25">
      <c r="A2571" s="6">
        <v>44664</v>
      </c>
      <c r="B2571" t="s">
        <v>26</v>
      </c>
      <c r="C2571">
        <v>69272</v>
      </c>
      <c r="D2571" t="s">
        <v>203</v>
      </c>
      <c r="E2571" s="7">
        <v>292.95</v>
      </c>
      <c r="F2571" t="s">
        <v>20</v>
      </c>
      <c r="G2571" t="s">
        <v>21</v>
      </c>
      <c r="H2571" t="str">
        <f>"910985"</f>
        <v>910985</v>
      </c>
      <c r="I2571" t="str">
        <f>"USA BLUEBOOK"</f>
        <v>USA BLUEBOOK</v>
      </c>
    </row>
    <row r="2572" spans="1:9" x14ac:dyDescent="0.25">
      <c r="A2572" s="6">
        <v>44664</v>
      </c>
      <c r="B2572" t="s">
        <v>26</v>
      </c>
      <c r="C2572">
        <v>69272</v>
      </c>
      <c r="D2572" t="s">
        <v>203</v>
      </c>
      <c r="E2572" s="7">
        <v>1195</v>
      </c>
      <c r="F2572" t="s">
        <v>20</v>
      </c>
      <c r="G2572" t="s">
        <v>21</v>
      </c>
      <c r="H2572" t="str">
        <f>"916151"</f>
        <v>916151</v>
      </c>
      <c r="I2572" t="str">
        <f>"USA BLUEBOOK"</f>
        <v>USA BLUEBOOK</v>
      </c>
    </row>
    <row r="2573" spans="1:9" x14ac:dyDescent="0.25">
      <c r="A2573" s="6">
        <v>44664</v>
      </c>
      <c r="B2573" t="s">
        <v>26</v>
      </c>
      <c r="C2573">
        <v>69272</v>
      </c>
      <c r="D2573" t="s">
        <v>203</v>
      </c>
      <c r="E2573" s="7">
        <v>745</v>
      </c>
      <c r="F2573" t="s">
        <v>20</v>
      </c>
      <c r="G2573" t="s">
        <v>21</v>
      </c>
      <c r="H2573" t="str">
        <f>"922551"</f>
        <v>922551</v>
      </c>
      <c r="I2573" t="str">
        <f>"USA BLUEBOOK"</f>
        <v>USA BLUEBOOK</v>
      </c>
    </row>
    <row r="2574" spans="1:9" x14ac:dyDescent="0.25">
      <c r="A2574" s="6">
        <v>44664</v>
      </c>
      <c r="B2574" t="s">
        <v>26</v>
      </c>
      <c r="C2574">
        <v>69273</v>
      </c>
      <c r="D2574" t="s">
        <v>122</v>
      </c>
      <c r="E2574" s="7">
        <v>10</v>
      </c>
      <c r="F2574" t="s">
        <v>20</v>
      </c>
      <c r="G2574" t="s">
        <v>21</v>
      </c>
      <c r="H2574" t="str">
        <f>"004609"</f>
        <v>004609</v>
      </c>
      <c r="I2574" t="str">
        <f>"VILLA TIRES"</f>
        <v>VILLA TIRES</v>
      </c>
    </row>
    <row r="2575" spans="1:9" x14ac:dyDescent="0.25">
      <c r="A2575" s="6">
        <v>44664</v>
      </c>
      <c r="B2575" t="s">
        <v>26</v>
      </c>
      <c r="C2575">
        <v>69274</v>
      </c>
      <c r="D2575" t="s">
        <v>202</v>
      </c>
      <c r="E2575" s="7">
        <v>54</v>
      </c>
      <c r="F2575" t="s">
        <v>20</v>
      </c>
      <c r="G2575" t="s">
        <v>21</v>
      </c>
      <c r="H2575" t="str">
        <f>"62420724*"</f>
        <v>62420724*</v>
      </c>
      <c r="I2575" t="str">
        <f>"VULCAN CONSTRUCTION MATERIALS"</f>
        <v>VULCAN CONSTRUCTION MATERIALS</v>
      </c>
    </row>
    <row r="2576" spans="1:9" x14ac:dyDescent="0.25">
      <c r="A2576" s="6">
        <v>44664</v>
      </c>
      <c r="B2576" t="s">
        <v>26</v>
      </c>
      <c r="C2576">
        <v>69275</v>
      </c>
      <c r="D2576" t="s">
        <v>104</v>
      </c>
      <c r="E2576" s="7">
        <v>468</v>
      </c>
      <c r="F2576" t="s">
        <v>20</v>
      </c>
      <c r="G2576" t="s">
        <v>21</v>
      </c>
      <c r="H2576" t="str">
        <f>"20639"</f>
        <v>20639</v>
      </c>
      <c r="I2576" t="str">
        <f>"50160940"</f>
        <v>50160940</v>
      </c>
    </row>
    <row r="2577" spans="1:9" x14ac:dyDescent="0.25">
      <c r="A2577" s="6">
        <v>44664</v>
      </c>
      <c r="B2577" t="s">
        <v>26</v>
      </c>
      <c r="C2577">
        <v>69275</v>
      </c>
      <c r="D2577" t="s">
        <v>104</v>
      </c>
      <c r="E2577" s="7">
        <v>39</v>
      </c>
      <c r="F2577" t="s">
        <v>20</v>
      </c>
      <c r="G2577" t="s">
        <v>21</v>
      </c>
      <c r="H2577" t="str">
        <f>"20640"</f>
        <v>20640</v>
      </c>
      <c r="I2577" t="str">
        <f t="shared" ref="I2577:I2585" si="62">"WILSON COUNTY NEWS"</f>
        <v>WILSON COUNTY NEWS</v>
      </c>
    </row>
    <row r="2578" spans="1:9" x14ac:dyDescent="0.25">
      <c r="A2578" s="6">
        <v>44664</v>
      </c>
      <c r="B2578" t="s">
        <v>26</v>
      </c>
      <c r="C2578">
        <v>69275</v>
      </c>
      <c r="D2578" t="s">
        <v>104</v>
      </c>
      <c r="E2578" s="7">
        <v>39</v>
      </c>
      <c r="F2578" t="s">
        <v>20</v>
      </c>
      <c r="G2578" t="s">
        <v>21</v>
      </c>
      <c r="H2578" t="str">
        <f>"20674"</f>
        <v>20674</v>
      </c>
      <c r="I2578" t="str">
        <f t="shared" si="62"/>
        <v>WILSON COUNTY NEWS</v>
      </c>
    </row>
    <row r="2579" spans="1:9" x14ac:dyDescent="0.25">
      <c r="A2579" s="6">
        <v>44664</v>
      </c>
      <c r="B2579" t="s">
        <v>26</v>
      </c>
      <c r="C2579">
        <v>69275</v>
      </c>
      <c r="D2579" t="s">
        <v>104</v>
      </c>
      <c r="E2579" s="7">
        <v>39</v>
      </c>
      <c r="F2579" t="s">
        <v>20</v>
      </c>
      <c r="G2579" t="s">
        <v>21</v>
      </c>
      <c r="H2579" t="str">
        <f>"21936"</f>
        <v>21936</v>
      </c>
      <c r="I2579" t="str">
        <f t="shared" si="62"/>
        <v>WILSON COUNTY NEWS</v>
      </c>
    </row>
    <row r="2580" spans="1:9" x14ac:dyDescent="0.25">
      <c r="A2580" s="6">
        <v>44664</v>
      </c>
      <c r="B2580" t="s">
        <v>26</v>
      </c>
      <c r="C2580">
        <v>69275</v>
      </c>
      <c r="D2580" t="s">
        <v>104</v>
      </c>
      <c r="E2580" s="7">
        <v>39</v>
      </c>
      <c r="F2580" t="s">
        <v>20</v>
      </c>
      <c r="G2580" t="s">
        <v>21</v>
      </c>
      <c r="H2580" t="str">
        <f>"23103"</f>
        <v>23103</v>
      </c>
      <c r="I2580" t="str">
        <f t="shared" si="62"/>
        <v>WILSON COUNTY NEWS</v>
      </c>
    </row>
    <row r="2581" spans="1:9" x14ac:dyDescent="0.25">
      <c r="A2581" s="6">
        <v>44664</v>
      </c>
      <c r="B2581" t="s">
        <v>26</v>
      </c>
      <c r="C2581">
        <v>69275</v>
      </c>
      <c r="D2581" t="s">
        <v>104</v>
      </c>
      <c r="E2581" s="7">
        <v>39</v>
      </c>
      <c r="F2581" t="s">
        <v>20</v>
      </c>
      <c r="G2581" t="s">
        <v>21</v>
      </c>
      <c r="H2581" t="str">
        <f>"24636"</f>
        <v>24636</v>
      </c>
      <c r="I2581" t="str">
        <f t="shared" si="62"/>
        <v>WILSON COUNTY NEWS</v>
      </c>
    </row>
    <row r="2582" spans="1:9" x14ac:dyDescent="0.25">
      <c r="A2582" s="6">
        <v>44664</v>
      </c>
      <c r="B2582" t="s">
        <v>26</v>
      </c>
      <c r="C2582">
        <v>69275</v>
      </c>
      <c r="D2582" t="s">
        <v>104</v>
      </c>
      <c r="E2582" s="7">
        <v>39</v>
      </c>
      <c r="F2582" t="s">
        <v>20</v>
      </c>
      <c r="G2582" t="s">
        <v>21</v>
      </c>
      <c r="H2582" t="str">
        <f>"25935"</f>
        <v>25935</v>
      </c>
      <c r="I2582" t="str">
        <f t="shared" si="62"/>
        <v>WILSON COUNTY NEWS</v>
      </c>
    </row>
    <row r="2583" spans="1:9" x14ac:dyDescent="0.25">
      <c r="A2583" s="6">
        <v>44664</v>
      </c>
      <c r="B2583" t="s">
        <v>26</v>
      </c>
      <c r="C2583">
        <v>69275</v>
      </c>
      <c r="D2583" t="s">
        <v>104</v>
      </c>
      <c r="E2583" s="7">
        <v>39</v>
      </c>
      <c r="F2583" t="s">
        <v>20</v>
      </c>
      <c r="G2583" t="s">
        <v>21</v>
      </c>
      <c r="H2583" t="str">
        <f>"28533"</f>
        <v>28533</v>
      </c>
      <c r="I2583" t="str">
        <f t="shared" si="62"/>
        <v>WILSON COUNTY NEWS</v>
      </c>
    </row>
    <row r="2584" spans="1:9" x14ac:dyDescent="0.25">
      <c r="A2584" s="6">
        <v>44664</v>
      </c>
      <c r="B2584" t="s">
        <v>26</v>
      </c>
      <c r="C2584">
        <v>69275</v>
      </c>
      <c r="D2584" t="s">
        <v>104</v>
      </c>
      <c r="E2584" s="7">
        <v>51.3</v>
      </c>
      <c r="F2584" t="s">
        <v>20</v>
      </c>
      <c r="G2584" t="s">
        <v>21</v>
      </c>
      <c r="H2584" t="str">
        <f>"30074"</f>
        <v>30074</v>
      </c>
      <c r="I2584" t="str">
        <f t="shared" si="62"/>
        <v>WILSON COUNTY NEWS</v>
      </c>
    </row>
    <row r="2585" spans="1:9" x14ac:dyDescent="0.25">
      <c r="A2585" s="6">
        <v>44664</v>
      </c>
      <c r="B2585" t="s">
        <v>26</v>
      </c>
      <c r="C2585">
        <v>69275</v>
      </c>
      <c r="D2585" t="s">
        <v>104</v>
      </c>
      <c r="E2585" s="7">
        <v>39</v>
      </c>
      <c r="F2585" t="s">
        <v>20</v>
      </c>
      <c r="G2585" t="s">
        <v>21</v>
      </c>
      <c r="H2585" t="str">
        <f>"40641"</f>
        <v>40641</v>
      </c>
      <c r="I2585" t="str">
        <f t="shared" si="62"/>
        <v>WILSON COUNTY NEWS</v>
      </c>
    </row>
    <row r="2586" spans="1:9" x14ac:dyDescent="0.25">
      <c r="A2586" s="6">
        <v>44664</v>
      </c>
      <c r="B2586" t="s">
        <v>26</v>
      </c>
      <c r="C2586">
        <v>69275</v>
      </c>
      <c r="D2586" t="s">
        <v>104</v>
      </c>
      <c r="E2586" s="7">
        <v>194.35</v>
      </c>
      <c r="F2586" t="s">
        <v>20</v>
      </c>
      <c r="G2586" t="s">
        <v>21</v>
      </c>
      <c r="H2586" t="str">
        <f>"45684"</f>
        <v>45684</v>
      </c>
      <c r="I2586" t="str">
        <f>"EXTENSION BOOKS"</f>
        <v>EXTENSION BOOKS</v>
      </c>
    </row>
    <row r="2587" spans="1:9" x14ac:dyDescent="0.25">
      <c r="A2587" s="6">
        <v>44664</v>
      </c>
      <c r="B2587" t="s">
        <v>91</v>
      </c>
      <c r="C2587">
        <v>69277</v>
      </c>
      <c r="D2587" t="s">
        <v>76</v>
      </c>
      <c r="E2587" s="7">
        <v>8097.34</v>
      </c>
      <c r="F2587" t="s">
        <v>20</v>
      </c>
      <c r="G2587" t="s">
        <v>21</v>
      </c>
      <c r="H2587" t="str">
        <f>"MARCH 2022"</f>
        <v>MARCH 2022</v>
      </c>
      <c r="I2587" t="str">
        <f>"WILSON COUNTY TAX COLLECTOR"</f>
        <v>WILSON COUNTY TAX COLLECTOR</v>
      </c>
    </row>
    <row r="2588" spans="1:9" x14ac:dyDescent="0.25">
      <c r="A2588" s="6">
        <v>44664</v>
      </c>
      <c r="B2588" t="s">
        <v>91</v>
      </c>
      <c r="C2588">
        <v>69277</v>
      </c>
      <c r="D2588" t="s">
        <v>76</v>
      </c>
      <c r="E2588" s="7">
        <v>8097.34</v>
      </c>
      <c r="F2588" t="s">
        <v>20</v>
      </c>
      <c r="G2588" t="s">
        <v>93</v>
      </c>
      <c r="H2588" t="str">
        <f>"CHECK"</f>
        <v>CHECK</v>
      </c>
      <c r="I2588" t="str">
        <f>""</f>
        <v/>
      </c>
    </row>
    <row r="2589" spans="1:9" x14ac:dyDescent="0.25">
      <c r="A2589" s="6">
        <v>44664</v>
      </c>
      <c r="B2589" t="s">
        <v>26</v>
      </c>
      <c r="C2589">
        <v>69278</v>
      </c>
      <c r="D2589" t="s">
        <v>1182</v>
      </c>
      <c r="E2589" s="7">
        <v>159.80000000000001</v>
      </c>
      <c r="F2589" t="s">
        <v>20</v>
      </c>
      <c r="G2589" t="s">
        <v>21</v>
      </c>
      <c r="H2589" t="str">
        <f>"INV140929995"</f>
        <v>INV140929995</v>
      </c>
      <c r="I2589" t="str">
        <f>"ZOOM VIDEO COMMUNICATIONS INC"</f>
        <v>ZOOM VIDEO COMMUNICATIONS INC</v>
      </c>
    </row>
    <row r="2590" spans="1:9" x14ac:dyDescent="0.25">
      <c r="A2590" s="6">
        <v>44664</v>
      </c>
      <c r="B2590" t="s">
        <v>91</v>
      </c>
      <c r="C2590">
        <v>69279</v>
      </c>
      <c r="D2590" t="s">
        <v>1145</v>
      </c>
      <c r="E2590" s="7">
        <v>460.7</v>
      </c>
      <c r="F2590" t="s">
        <v>20</v>
      </c>
      <c r="G2590" t="s">
        <v>21</v>
      </c>
      <c r="H2590" t="str">
        <f>"4  2021-064-04"</f>
        <v>4  2021-064-04</v>
      </c>
      <c r="I2590" t="str">
        <f>"6S ENGINEERING  INC"</f>
        <v>6S ENGINEERING  INC</v>
      </c>
    </row>
    <row r="2591" spans="1:9" x14ac:dyDescent="0.25">
      <c r="A2591" s="6">
        <v>44664</v>
      </c>
      <c r="B2591" t="s">
        <v>91</v>
      </c>
      <c r="C2591">
        <v>69279</v>
      </c>
      <c r="D2591" t="s">
        <v>1145</v>
      </c>
      <c r="E2591" s="7">
        <v>460.7</v>
      </c>
      <c r="F2591" t="s">
        <v>20</v>
      </c>
      <c r="G2591" t="s">
        <v>93</v>
      </c>
      <c r="H2591" t="str">
        <f>"CHECK"</f>
        <v>CHECK</v>
      </c>
      <c r="I2591" t="str">
        <f>""</f>
        <v/>
      </c>
    </row>
    <row r="2592" spans="1:9" x14ac:dyDescent="0.25">
      <c r="A2592" s="6">
        <v>44664</v>
      </c>
      <c r="B2592" t="s">
        <v>26</v>
      </c>
      <c r="C2592">
        <v>69280</v>
      </c>
      <c r="D2592" t="s">
        <v>609</v>
      </c>
      <c r="E2592" s="7">
        <v>628.76</v>
      </c>
      <c r="F2592" t="s">
        <v>20</v>
      </c>
      <c r="G2592" t="s">
        <v>21</v>
      </c>
      <c r="H2592" t="str">
        <f>"32534465"</f>
        <v>32534465</v>
      </c>
      <c r="I2592" t="str">
        <f>"HYDRALIC OIL"</f>
        <v>HYDRALIC OIL</v>
      </c>
    </row>
    <row r="2593" spans="1:9" x14ac:dyDescent="0.25">
      <c r="A2593" s="6">
        <v>44664</v>
      </c>
      <c r="B2593" t="s">
        <v>26</v>
      </c>
      <c r="C2593">
        <v>69281</v>
      </c>
      <c r="D2593" t="s">
        <v>1136</v>
      </c>
      <c r="E2593" s="7">
        <v>1000</v>
      </c>
      <c r="F2593" t="s">
        <v>20</v>
      </c>
      <c r="G2593" t="s">
        <v>21</v>
      </c>
      <c r="H2593" t="str">
        <f>"INV0122"</f>
        <v>INV0122</v>
      </c>
      <c r="I2593" t="str">
        <f>"RIVER PARK LIFT STATION"</f>
        <v>RIVER PARK LIFT STATION</v>
      </c>
    </row>
    <row r="2594" spans="1:9" x14ac:dyDescent="0.25">
      <c r="A2594" s="6">
        <v>44664</v>
      </c>
      <c r="B2594" t="s">
        <v>26</v>
      </c>
      <c r="C2594">
        <v>69282</v>
      </c>
      <c r="D2594" t="s">
        <v>92</v>
      </c>
      <c r="E2594" s="7">
        <v>17850.830000000002</v>
      </c>
      <c r="F2594" t="s">
        <v>20</v>
      </c>
      <c r="G2594" t="s">
        <v>21</v>
      </c>
      <c r="H2594" t="str">
        <f>"RET202203088642"</f>
        <v>RET202203088642</v>
      </c>
      <c r="I2594" t="str">
        <f>"TMRS CITY OF FLORESVILLE"</f>
        <v>TMRS CITY OF FLORESVILLE</v>
      </c>
    </row>
    <row r="2595" spans="1:9" x14ac:dyDescent="0.25">
      <c r="A2595" s="6">
        <v>44664</v>
      </c>
      <c r="B2595" t="s">
        <v>26</v>
      </c>
      <c r="C2595">
        <v>69282</v>
      </c>
      <c r="D2595" t="s">
        <v>92</v>
      </c>
      <c r="E2595" s="7">
        <v>17394.41</v>
      </c>
      <c r="F2595" t="s">
        <v>20</v>
      </c>
      <c r="G2595" t="s">
        <v>21</v>
      </c>
      <c r="H2595" t="str">
        <f>"RET202203228646"</f>
        <v>RET202203228646</v>
      </c>
      <c r="I2595" t="str">
        <f>"TMRS CITY OF FLORESVILLE"</f>
        <v>TMRS CITY OF FLORESVILLE</v>
      </c>
    </row>
    <row r="2596" spans="1:9" x14ac:dyDescent="0.25">
      <c r="A2596" s="6">
        <v>44670</v>
      </c>
      <c r="B2596" t="s">
        <v>26</v>
      </c>
      <c r="C2596">
        <v>69290</v>
      </c>
      <c r="D2596" t="s">
        <v>51</v>
      </c>
      <c r="E2596" s="7">
        <v>13.85</v>
      </c>
      <c r="F2596" t="s">
        <v>20</v>
      </c>
      <c r="G2596" t="s">
        <v>21</v>
      </c>
      <c r="H2596" t="str">
        <f>"CLE202204198650"</f>
        <v>CLE202204198650</v>
      </c>
      <c r="I2596" t="str">
        <f>"CLEAT ONLY DUES"</f>
        <v>CLEAT ONLY DUES</v>
      </c>
    </row>
    <row r="2597" spans="1:9" x14ac:dyDescent="0.25">
      <c r="A2597" s="6">
        <v>44670</v>
      </c>
      <c r="B2597" t="s">
        <v>26</v>
      </c>
      <c r="C2597">
        <v>69290</v>
      </c>
      <c r="D2597" t="s">
        <v>51</v>
      </c>
      <c r="E2597" s="7">
        <v>313.99</v>
      </c>
      <c r="F2597" t="s">
        <v>20</v>
      </c>
      <c r="G2597" t="s">
        <v>21</v>
      </c>
      <c r="H2597" t="str">
        <f>"PDD202204198650"</f>
        <v>PDD202204198650</v>
      </c>
      <c r="I2597" t="str">
        <f>"POLICE OFFICERS ASSOC DUES"</f>
        <v>POLICE OFFICERS ASSOC DUES</v>
      </c>
    </row>
    <row r="2598" spans="1:9" x14ac:dyDescent="0.25">
      <c r="A2598" s="6">
        <v>44670</v>
      </c>
      <c r="B2598" t="s">
        <v>26</v>
      </c>
      <c r="C2598">
        <v>69291</v>
      </c>
      <c r="D2598" t="s">
        <v>52</v>
      </c>
      <c r="E2598" s="7">
        <v>101.25</v>
      </c>
      <c r="F2598" t="s">
        <v>20</v>
      </c>
      <c r="G2598" t="s">
        <v>21</v>
      </c>
      <c r="H2598" t="str">
        <f>"CA1202204198650"</f>
        <v>CA1202204198650</v>
      </c>
      <c r="I2598" t="str">
        <f>"K RAMIREZ 001200229510060343CV"</f>
        <v>K RAMIREZ 001200229510060343CV</v>
      </c>
    </row>
    <row r="2599" spans="1:9" x14ac:dyDescent="0.25">
      <c r="A2599" s="6">
        <v>44670</v>
      </c>
      <c r="B2599" t="s">
        <v>26</v>
      </c>
      <c r="C2599">
        <v>69291</v>
      </c>
      <c r="D2599" t="s">
        <v>52</v>
      </c>
      <c r="E2599" s="7">
        <v>101.25</v>
      </c>
      <c r="F2599" t="s">
        <v>20</v>
      </c>
      <c r="G2599" t="s">
        <v>21</v>
      </c>
      <c r="H2599" t="str">
        <f>"CA2202204198650"</f>
        <v>CA2202204198650</v>
      </c>
      <c r="I2599" t="str">
        <f>"L HERNANDEZ 001016025203080354"</f>
        <v>L HERNANDEZ 001016025203080354</v>
      </c>
    </row>
    <row r="2600" spans="1:9" x14ac:dyDescent="0.25">
      <c r="A2600" s="6">
        <v>44670</v>
      </c>
      <c r="B2600" t="s">
        <v>26</v>
      </c>
      <c r="C2600">
        <v>69291</v>
      </c>
      <c r="D2600" t="s">
        <v>52</v>
      </c>
      <c r="E2600" s="7">
        <v>101.25</v>
      </c>
      <c r="F2600" t="s">
        <v>20</v>
      </c>
      <c r="G2600" t="s">
        <v>21</v>
      </c>
      <c r="H2600" t="str">
        <f>"CA3202204198650"</f>
        <v>CA3202204198650</v>
      </c>
      <c r="I2600" t="str">
        <f>"00120788612011EM5023JOLENEGARC"</f>
        <v>00120788612011EM5023JOLENEGARC</v>
      </c>
    </row>
    <row r="2601" spans="1:9" x14ac:dyDescent="0.25">
      <c r="A2601" s="6">
        <v>44670</v>
      </c>
      <c r="B2601" t="s">
        <v>26</v>
      </c>
      <c r="C2601">
        <v>69291</v>
      </c>
      <c r="D2601" t="s">
        <v>52</v>
      </c>
      <c r="E2601" s="7">
        <v>101.25</v>
      </c>
      <c r="F2601" t="s">
        <v>20</v>
      </c>
      <c r="G2601" t="s">
        <v>21</v>
      </c>
      <c r="H2601" t="str">
        <f>"CSA202204198650"</f>
        <v>CSA202204198650</v>
      </c>
      <c r="I2601" t="str">
        <f>"S RODRIGUEZ 001281730413050336"</f>
        <v>S RODRIGUEZ 001281730413050336</v>
      </c>
    </row>
    <row r="2602" spans="1:9" x14ac:dyDescent="0.25">
      <c r="A2602" s="6">
        <v>44670</v>
      </c>
      <c r="B2602" t="s">
        <v>26</v>
      </c>
      <c r="C2602">
        <v>69291</v>
      </c>
      <c r="D2602" t="s">
        <v>52</v>
      </c>
      <c r="E2602" s="7">
        <v>521.54</v>
      </c>
      <c r="F2602" t="s">
        <v>20</v>
      </c>
      <c r="G2602" t="s">
        <v>21</v>
      </c>
      <c r="H2602" t="str">
        <f>"CSI202204198650"</f>
        <v>CSI202204198650</v>
      </c>
      <c r="I2602" t="str">
        <f>"KTRINIDAD0014071774CVW2000777"</f>
        <v>KTRINIDAD0014071774CVW2000777</v>
      </c>
    </row>
    <row r="2603" spans="1:9" x14ac:dyDescent="0.25">
      <c r="A2603" s="6">
        <v>44670</v>
      </c>
      <c r="B2603" t="s">
        <v>26</v>
      </c>
      <c r="C2603">
        <v>69293</v>
      </c>
      <c r="D2603" t="s">
        <v>54</v>
      </c>
      <c r="E2603" s="7">
        <v>803.43</v>
      </c>
      <c r="F2603" t="s">
        <v>20</v>
      </c>
      <c r="G2603" t="s">
        <v>21</v>
      </c>
      <c r="H2603" t="str">
        <f>"BRE202204198650"</f>
        <v>BRE202204198650</v>
      </c>
      <c r="I2603" t="str">
        <f>"CASE #180-60751 457B DEDUCT"</f>
        <v>CASE #180-60751 457B DEDUCT</v>
      </c>
    </row>
    <row r="2604" spans="1:9" x14ac:dyDescent="0.25">
      <c r="A2604" s="6">
        <v>44671</v>
      </c>
      <c r="B2604" t="s">
        <v>26</v>
      </c>
      <c r="C2604">
        <v>69294</v>
      </c>
      <c r="D2604" t="s">
        <v>179</v>
      </c>
      <c r="E2604" s="7">
        <v>64.44</v>
      </c>
      <c r="F2604" t="s">
        <v>20</v>
      </c>
      <c r="G2604" t="s">
        <v>21</v>
      </c>
      <c r="H2604" t="str">
        <f>"268999"</f>
        <v>268999</v>
      </c>
      <c r="I2604" t="str">
        <f>"OIL CHANGE UNIT 337"</f>
        <v>OIL CHANGE UNIT 337</v>
      </c>
    </row>
    <row r="2605" spans="1:9" x14ac:dyDescent="0.25">
      <c r="A2605" s="6">
        <v>44671</v>
      </c>
      <c r="B2605" t="s">
        <v>26</v>
      </c>
      <c r="C2605">
        <v>69295</v>
      </c>
      <c r="D2605" t="s">
        <v>189</v>
      </c>
      <c r="E2605" s="7">
        <v>2775</v>
      </c>
      <c r="F2605" t="s">
        <v>20</v>
      </c>
      <c r="G2605" t="s">
        <v>21</v>
      </c>
      <c r="H2605" t="str">
        <f>"SWO0230405-1"</f>
        <v>SWO0230405-1</v>
      </c>
      <c r="I2605" t="str">
        <f>"ASCO"</f>
        <v>ASCO</v>
      </c>
    </row>
    <row r="2606" spans="1:9" x14ac:dyDescent="0.25">
      <c r="A2606" s="6">
        <v>44671</v>
      </c>
      <c r="B2606" t="s">
        <v>26</v>
      </c>
      <c r="C2606">
        <v>69296</v>
      </c>
      <c r="D2606" t="s">
        <v>63</v>
      </c>
      <c r="E2606" s="7">
        <v>165.23</v>
      </c>
      <c r="F2606" t="s">
        <v>20</v>
      </c>
      <c r="G2606" t="s">
        <v>21</v>
      </c>
      <c r="H2606" t="str">
        <f>"8405622929"</f>
        <v>8405622929</v>
      </c>
      <c r="I2606" t="str">
        <f>"CINTAS CORPORATION"</f>
        <v>CINTAS CORPORATION</v>
      </c>
    </row>
    <row r="2607" spans="1:9" x14ac:dyDescent="0.25">
      <c r="A2607" s="6">
        <v>44671</v>
      </c>
      <c r="B2607" t="s">
        <v>26</v>
      </c>
      <c r="C2607">
        <v>69296</v>
      </c>
      <c r="D2607" t="s">
        <v>63</v>
      </c>
      <c r="E2607" s="7">
        <v>574</v>
      </c>
      <c r="F2607" t="s">
        <v>20</v>
      </c>
      <c r="G2607" t="s">
        <v>21</v>
      </c>
      <c r="H2607" t="str">
        <f>"8405622930"</f>
        <v>8405622930</v>
      </c>
      <c r="I2607" t="str">
        <f>"CINTAS CORPORATION"</f>
        <v>CINTAS CORPORATION</v>
      </c>
    </row>
    <row r="2608" spans="1:9" x14ac:dyDescent="0.25">
      <c r="A2608" s="6">
        <v>44671</v>
      </c>
      <c r="B2608" t="s">
        <v>26</v>
      </c>
      <c r="C2608">
        <v>69297</v>
      </c>
      <c r="D2608" t="s">
        <v>633</v>
      </c>
      <c r="E2608" s="7">
        <v>498.99</v>
      </c>
      <c r="F2608" t="s">
        <v>20</v>
      </c>
      <c r="G2608" t="s">
        <v>21</v>
      </c>
      <c r="H2608" t="str">
        <f>"0096561080"</f>
        <v>0096561080</v>
      </c>
      <c r="I2608" t="str">
        <f>"CINTAS FIRE 636525"</f>
        <v>CINTAS FIRE 636525</v>
      </c>
    </row>
    <row r="2609" spans="1:9" x14ac:dyDescent="0.25">
      <c r="A2609" s="6">
        <v>44671</v>
      </c>
      <c r="B2609" t="s">
        <v>26</v>
      </c>
      <c r="C2609">
        <v>69298</v>
      </c>
      <c r="D2609" t="s">
        <v>1172</v>
      </c>
      <c r="E2609" s="7">
        <v>1200</v>
      </c>
      <c r="F2609" t="s">
        <v>20</v>
      </c>
      <c r="G2609" t="s">
        <v>21</v>
      </c>
      <c r="H2609" t="str">
        <f>"415"</f>
        <v>415</v>
      </c>
      <c r="I2609" t="str">
        <f>"CUTLER PEESE"</f>
        <v>CUTLER PEESE</v>
      </c>
    </row>
    <row r="2610" spans="1:9" x14ac:dyDescent="0.25">
      <c r="A2610" s="6">
        <v>44671</v>
      </c>
      <c r="B2610" t="s">
        <v>26</v>
      </c>
      <c r="C2610">
        <v>69299</v>
      </c>
      <c r="D2610" t="s">
        <v>1183</v>
      </c>
      <c r="E2610" s="7">
        <v>100</v>
      </c>
      <c r="F2610" t="s">
        <v>20</v>
      </c>
      <c r="G2610" t="s">
        <v>21</v>
      </c>
      <c r="H2610" t="str">
        <f>"4/15/2022 EASTER"</f>
        <v>4/15/2022 EASTER</v>
      </c>
      <c r="I2610" t="str">
        <f>"DANIEL PRADO"</f>
        <v>DANIEL PRADO</v>
      </c>
    </row>
    <row r="2611" spans="1:9" x14ac:dyDescent="0.25">
      <c r="A2611" s="6">
        <v>44671</v>
      </c>
      <c r="B2611" t="s">
        <v>26</v>
      </c>
      <c r="C2611">
        <v>69300</v>
      </c>
      <c r="D2611" t="s">
        <v>77</v>
      </c>
      <c r="E2611" s="7">
        <v>30</v>
      </c>
      <c r="F2611" t="s">
        <v>20</v>
      </c>
      <c r="G2611" t="s">
        <v>21</v>
      </c>
      <c r="H2611" t="str">
        <f>"DE85000506-22"</f>
        <v>DE85000506-22</v>
      </c>
      <c r="I2611" t="str">
        <f>"DPC INDUSTRIES  INC."</f>
        <v>DPC INDUSTRIES  INC.</v>
      </c>
    </row>
    <row r="2612" spans="1:9" x14ac:dyDescent="0.25">
      <c r="A2612" s="6">
        <v>44671</v>
      </c>
      <c r="B2612" t="s">
        <v>26</v>
      </c>
      <c r="C2612">
        <v>69300</v>
      </c>
      <c r="D2612" t="s">
        <v>77</v>
      </c>
      <c r="E2612" s="7">
        <v>250</v>
      </c>
      <c r="F2612" t="s">
        <v>20</v>
      </c>
      <c r="G2612" t="s">
        <v>21</v>
      </c>
      <c r="H2612" t="str">
        <f>"DE85000691-22"</f>
        <v>DE85000691-22</v>
      </c>
      <c r="I2612" t="str">
        <f>"DPC INDUSTRIES  INC."</f>
        <v>DPC INDUSTRIES  INC.</v>
      </c>
    </row>
    <row r="2613" spans="1:9" x14ac:dyDescent="0.25">
      <c r="A2613" s="6">
        <v>44671</v>
      </c>
      <c r="B2613" t="s">
        <v>26</v>
      </c>
      <c r="C2613">
        <v>69301</v>
      </c>
      <c r="D2613" t="s">
        <v>325</v>
      </c>
      <c r="E2613" s="7">
        <v>131.02000000000001</v>
      </c>
      <c r="F2613" t="s">
        <v>20</v>
      </c>
      <c r="G2613" t="s">
        <v>21</v>
      </c>
      <c r="H2613" t="str">
        <f>"ID#2470001 4/4/22"</f>
        <v>ID#2470001 4/4/22</v>
      </c>
      <c r="I2613" t="str">
        <f>"DSHS CENTRAL LAB MC2004"</f>
        <v>DSHS CENTRAL LAB MC2004</v>
      </c>
    </row>
    <row r="2614" spans="1:9" x14ac:dyDescent="0.25">
      <c r="A2614" s="6">
        <v>44671</v>
      </c>
      <c r="B2614" t="s">
        <v>26</v>
      </c>
      <c r="C2614">
        <v>69302</v>
      </c>
      <c r="D2614" t="s">
        <v>1046</v>
      </c>
      <c r="E2614" s="7">
        <v>670</v>
      </c>
      <c r="F2614" t="s">
        <v>20</v>
      </c>
      <c r="G2614" t="s">
        <v>21</v>
      </c>
      <c r="H2614" t="str">
        <f>"1787"</f>
        <v>1787</v>
      </c>
      <c r="I2614" t="str">
        <f>"HWY 97 LIFT STATION"</f>
        <v>HWY 97 LIFT STATION</v>
      </c>
    </row>
    <row r="2615" spans="1:9" x14ac:dyDescent="0.25">
      <c r="A2615" s="6">
        <v>44671</v>
      </c>
      <c r="B2615" t="s">
        <v>26</v>
      </c>
      <c r="C2615">
        <v>69303</v>
      </c>
      <c r="D2615" t="s">
        <v>85</v>
      </c>
      <c r="E2615" s="7">
        <v>85.85</v>
      </c>
      <c r="F2615" t="s">
        <v>20</v>
      </c>
      <c r="G2615" t="s">
        <v>21</v>
      </c>
      <c r="H2615" t="str">
        <f>"3938193 APR.2022"</f>
        <v>3938193 APR.2022</v>
      </c>
      <c r="I2615" t="str">
        <f>"FRONTIER"</f>
        <v>FRONTIER</v>
      </c>
    </row>
    <row r="2616" spans="1:9" x14ac:dyDescent="0.25">
      <c r="A2616" s="6">
        <v>44671</v>
      </c>
      <c r="B2616" t="s">
        <v>26</v>
      </c>
      <c r="C2616">
        <v>69303</v>
      </c>
      <c r="D2616" t="s">
        <v>85</v>
      </c>
      <c r="E2616" s="7">
        <v>1909</v>
      </c>
      <c r="F2616" t="s">
        <v>20</v>
      </c>
      <c r="G2616" t="s">
        <v>21</v>
      </c>
      <c r="H2616" t="str">
        <f>"8301970025 4/2022"</f>
        <v>8301970025 4/2022</v>
      </c>
      <c r="I2616" t="str">
        <f>"FRONTIER"</f>
        <v>FRONTIER</v>
      </c>
    </row>
    <row r="2617" spans="1:9" x14ac:dyDescent="0.25">
      <c r="A2617" s="6">
        <v>44671</v>
      </c>
      <c r="B2617" t="s">
        <v>26</v>
      </c>
      <c r="C2617">
        <v>69303</v>
      </c>
      <c r="D2617" t="s">
        <v>85</v>
      </c>
      <c r="E2617" s="7">
        <v>205.02</v>
      </c>
      <c r="F2617" t="s">
        <v>20</v>
      </c>
      <c r="G2617" t="s">
        <v>21</v>
      </c>
      <c r="H2617" t="str">
        <f>"8301970102 4/2022"</f>
        <v>8301970102 4/2022</v>
      </c>
      <c r="I2617" t="str">
        <f>"FRONTIER"</f>
        <v>FRONTIER</v>
      </c>
    </row>
    <row r="2618" spans="1:9" x14ac:dyDescent="0.25">
      <c r="A2618" s="6">
        <v>44671</v>
      </c>
      <c r="B2618" t="s">
        <v>26</v>
      </c>
      <c r="C2618">
        <v>69305</v>
      </c>
      <c r="D2618" t="s">
        <v>194</v>
      </c>
      <c r="E2618" s="7">
        <v>46.75</v>
      </c>
      <c r="F2618" t="s">
        <v>20</v>
      </c>
      <c r="G2618" t="s">
        <v>21</v>
      </c>
      <c r="H2618" t="str">
        <f>"020657417"</f>
        <v>020657417</v>
      </c>
      <c r="I2618" t="str">
        <f>"GALLS  LLC-D.B.A. STERLING'S U"</f>
        <v>GALLS  LLC-D.B.A. STERLING'S U</v>
      </c>
    </row>
    <row r="2619" spans="1:9" x14ac:dyDescent="0.25">
      <c r="A2619" s="6">
        <v>44671</v>
      </c>
      <c r="B2619" t="s">
        <v>26</v>
      </c>
      <c r="C2619">
        <v>69306</v>
      </c>
      <c r="D2619" t="s">
        <v>449</v>
      </c>
      <c r="E2619" s="7">
        <v>632.77</v>
      </c>
      <c r="F2619" t="s">
        <v>20</v>
      </c>
      <c r="G2619" t="s">
        <v>21</v>
      </c>
      <c r="H2619" t="str">
        <f>"32538415"</f>
        <v>32538415</v>
      </c>
      <c r="I2619" t="str">
        <f>"GOLDEN WEST PACKAGING"</f>
        <v>GOLDEN WEST PACKAGING</v>
      </c>
    </row>
    <row r="2620" spans="1:9" x14ac:dyDescent="0.25">
      <c r="A2620" s="6">
        <v>44671</v>
      </c>
      <c r="B2620" t="s">
        <v>26</v>
      </c>
      <c r="C2620">
        <v>69307</v>
      </c>
      <c r="D2620" t="s">
        <v>1177</v>
      </c>
      <c r="E2620" s="7">
        <v>8500</v>
      </c>
      <c r="F2620" t="s">
        <v>20</v>
      </c>
      <c r="G2620" t="s">
        <v>21</v>
      </c>
      <c r="H2620" t="str">
        <f>"REISSUE CK#69114"</f>
        <v>REISSUE CK#69114</v>
      </c>
      <c r="I2620" t="str">
        <f>"HECTOR GOMEZ"</f>
        <v>HECTOR GOMEZ</v>
      </c>
    </row>
    <row r="2621" spans="1:9" x14ac:dyDescent="0.25">
      <c r="A2621" s="6">
        <v>44671</v>
      </c>
      <c r="B2621" t="s">
        <v>26</v>
      </c>
      <c r="C2621">
        <v>69308</v>
      </c>
      <c r="D2621" t="s">
        <v>117</v>
      </c>
      <c r="E2621" s="7">
        <v>7465.61</v>
      </c>
      <c r="F2621" t="s">
        <v>20</v>
      </c>
      <c r="G2621" t="s">
        <v>21</v>
      </c>
      <c r="H2621" t="str">
        <f>"3/2020-11/2021"</f>
        <v>3/2020-11/2021</v>
      </c>
      <c r="I2621" t="str">
        <f>"LINEBARGER GOGGAN BLAIR &amp; SAMP"</f>
        <v>LINEBARGER GOGGAN BLAIR &amp; SAMP</v>
      </c>
    </row>
    <row r="2622" spans="1:9" x14ac:dyDescent="0.25">
      <c r="A2622" s="6">
        <v>44671</v>
      </c>
      <c r="B2622" t="s">
        <v>26</v>
      </c>
      <c r="C2622">
        <v>69308</v>
      </c>
      <c r="D2622" t="s">
        <v>117</v>
      </c>
      <c r="E2622" s="7">
        <v>1342.62</v>
      </c>
      <c r="F2622" t="s">
        <v>20</v>
      </c>
      <c r="G2622" t="s">
        <v>21</v>
      </c>
      <c r="H2622" t="str">
        <f>"MARCH 2022"</f>
        <v>MARCH 2022</v>
      </c>
      <c r="I2622" t="str">
        <f>"LINEBARGER GOGGAN BLAIR &amp; SAMP"</f>
        <v>LINEBARGER GOGGAN BLAIR &amp; SAMP</v>
      </c>
    </row>
    <row r="2623" spans="1:9" x14ac:dyDescent="0.25">
      <c r="A2623" s="6">
        <v>44671</v>
      </c>
      <c r="B2623" t="s">
        <v>26</v>
      </c>
      <c r="C2623">
        <v>69309</v>
      </c>
      <c r="D2623" t="s">
        <v>1136</v>
      </c>
      <c r="E2623" s="7">
        <v>300</v>
      </c>
      <c r="F2623" t="s">
        <v>20</v>
      </c>
      <c r="G2623" t="s">
        <v>21</v>
      </c>
      <c r="H2623" t="str">
        <f>"INV0125"</f>
        <v>INV0125</v>
      </c>
      <c r="I2623" t="str">
        <f>"LUX ELECTRIC LLC"</f>
        <v>LUX ELECTRIC LLC</v>
      </c>
    </row>
    <row r="2624" spans="1:9" x14ac:dyDescent="0.25">
      <c r="A2624" s="6">
        <v>44671</v>
      </c>
      <c r="B2624" t="s">
        <v>26</v>
      </c>
      <c r="C2624">
        <v>69310</v>
      </c>
      <c r="D2624" t="s">
        <v>824</v>
      </c>
      <c r="E2624" s="7">
        <v>65.94</v>
      </c>
      <c r="F2624" t="s">
        <v>20</v>
      </c>
      <c r="G2624" t="s">
        <v>21</v>
      </c>
      <c r="H2624" t="str">
        <f>"4/16/2022"</f>
        <v>4/16/2022</v>
      </c>
      <c r="I2624" t="str">
        <f>"MALLORY R. NELSON"</f>
        <v>MALLORY R. NELSON</v>
      </c>
    </row>
    <row r="2625" spans="1:9" x14ac:dyDescent="0.25">
      <c r="A2625" s="6">
        <v>44671</v>
      </c>
      <c r="B2625" t="s">
        <v>26</v>
      </c>
      <c r="C2625">
        <v>69311</v>
      </c>
      <c r="D2625" t="s">
        <v>124</v>
      </c>
      <c r="E2625" s="7">
        <v>20.93</v>
      </c>
      <c r="F2625" t="s">
        <v>20</v>
      </c>
      <c r="G2625" t="s">
        <v>21</v>
      </c>
      <c r="H2625" t="str">
        <f>"11120003"</f>
        <v>11120003</v>
      </c>
      <c r="I2625" t="str">
        <f>"MCCOY'S CORPORATION"</f>
        <v>MCCOY'S CORPORATION</v>
      </c>
    </row>
    <row r="2626" spans="1:9" x14ac:dyDescent="0.25">
      <c r="A2626" s="6">
        <v>44671</v>
      </c>
      <c r="B2626" t="s">
        <v>26</v>
      </c>
      <c r="C2626">
        <v>69311</v>
      </c>
      <c r="D2626" t="s">
        <v>124</v>
      </c>
      <c r="E2626" s="7">
        <v>3.08</v>
      </c>
      <c r="F2626" t="s">
        <v>20</v>
      </c>
      <c r="G2626" t="s">
        <v>21</v>
      </c>
      <c r="H2626" t="str">
        <f>"11120013"</f>
        <v>11120013</v>
      </c>
      <c r="I2626" t="str">
        <f>"MCCOY'S CORPORATION"</f>
        <v>MCCOY'S CORPORATION</v>
      </c>
    </row>
    <row r="2627" spans="1:9" x14ac:dyDescent="0.25">
      <c r="A2627" s="6">
        <v>44671</v>
      </c>
      <c r="B2627" t="s">
        <v>26</v>
      </c>
      <c r="C2627">
        <v>69311</v>
      </c>
      <c r="D2627" t="s">
        <v>124</v>
      </c>
      <c r="E2627" s="7">
        <v>76.34</v>
      </c>
      <c r="F2627" t="s">
        <v>20</v>
      </c>
      <c r="G2627" t="s">
        <v>21</v>
      </c>
      <c r="H2627" t="str">
        <f>"11120038"</f>
        <v>11120038</v>
      </c>
      <c r="I2627" t="str">
        <f>"MOLDED JUNCTION BOX"</f>
        <v>MOLDED JUNCTION BOX</v>
      </c>
    </row>
    <row r="2628" spans="1:9" x14ac:dyDescent="0.25">
      <c r="A2628" s="6">
        <v>44671</v>
      </c>
      <c r="B2628" t="s">
        <v>26</v>
      </c>
      <c r="C2628">
        <v>69311</v>
      </c>
      <c r="D2628" t="s">
        <v>124</v>
      </c>
      <c r="E2628" s="7">
        <v>129</v>
      </c>
      <c r="F2628" t="s">
        <v>20</v>
      </c>
      <c r="G2628" t="s">
        <v>21</v>
      </c>
      <c r="H2628" t="str">
        <f>"11120180"</f>
        <v>11120180</v>
      </c>
      <c r="I2628" t="str">
        <f>"SUPPLIES"</f>
        <v>SUPPLIES</v>
      </c>
    </row>
    <row r="2629" spans="1:9" x14ac:dyDescent="0.25">
      <c r="A2629" s="6">
        <v>44671</v>
      </c>
      <c r="B2629" t="s">
        <v>26</v>
      </c>
      <c r="C2629">
        <v>69312</v>
      </c>
      <c r="D2629" t="s">
        <v>345</v>
      </c>
      <c r="E2629" s="7">
        <v>280.5</v>
      </c>
      <c r="F2629" t="s">
        <v>20</v>
      </c>
      <c r="G2629" t="s">
        <v>21</v>
      </c>
      <c r="H2629" t="str">
        <f>"4/18/2022"</f>
        <v>4/18/2022</v>
      </c>
      <c r="I2629" t="str">
        <f>"MICHAEL ISAAC MARTINEZ"</f>
        <v>MICHAEL ISAAC MARTINEZ</v>
      </c>
    </row>
    <row r="2630" spans="1:9" x14ac:dyDescent="0.25">
      <c r="A2630" s="6">
        <v>44671</v>
      </c>
      <c r="B2630" t="s">
        <v>26</v>
      </c>
      <c r="C2630">
        <v>69313</v>
      </c>
      <c r="D2630" t="s">
        <v>1140</v>
      </c>
      <c r="E2630" s="7">
        <v>55</v>
      </c>
      <c r="F2630" t="s">
        <v>20</v>
      </c>
      <c r="G2630" t="s">
        <v>21</v>
      </c>
      <c r="H2630" t="str">
        <f>"4/16/2022"</f>
        <v>4/16/2022</v>
      </c>
      <c r="I2630" t="str">
        <f>"MIRANDA ESTRADA"</f>
        <v>MIRANDA ESTRADA</v>
      </c>
    </row>
    <row r="2631" spans="1:9" x14ac:dyDescent="0.25">
      <c r="A2631" s="6">
        <v>44671</v>
      </c>
      <c r="B2631" t="s">
        <v>26</v>
      </c>
      <c r="C2631">
        <v>69314</v>
      </c>
      <c r="D2631" t="s">
        <v>1013</v>
      </c>
      <c r="E2631" s="7">
        <v>11525</v>
      </c>
      <c r="F2631" t="s">
        <v>20</v>
      </c>
      <c r="G2631" t="s">
        <v>21</v>
      </c>
      <c r="H2631" t="str">
        <f>"203"</f>
        <v>203</v>
      </c>
      <c r="I2631" t="str">
        <f>"WATER CROSSING @6TH ST"</f>
        <v>WATER CROSSING @6TH ST</v>
      </c>
    </row>
    <row r="2632" spans="1:9" x14ac:dyDescent="0.25">
      <c r="A2632" s="6">
        <v>44671</v>
      </c>
      <c r="B2632" t="s">
        <v>26</v>
      </c>
      <c r="C2632">
        <v>69315</v>
      </c>
      <c r="D2632" t="s">
        <v>1152</v>
      </c>
      <c r="E2632" s="7">
        <v>55.57</v>
      </c>
      <c r="F2632" t="s">
        <v>20</v>
      </c>
      <c r="G2632" t="s">
        <v>21</v>
      </c>
      <c r="H2632" t="str">
        <f>"9567  050120221"</f>
        <v>9567  050120221</v>
      </c>
      <c r="I2632" t="str">
        <f>"PITNEY BOWES PURCHASE POWER"</f>
        <v>PITNEY BOWES PURCHASE POWER</v>
      </c>
    </row>
    <row r="2633" spans="1:9" x14ac:dyDescent="0.25">
      <c r="A2633" s="6">
        <v>44671</v>
      </c>
      <c r="B2633" t="s">
        <v>26</v>
      </c>
      <c r="C2633">
        <v>69316</v>
      </c>
      <c r="D2633" t="s">
        <v>187</v>
      </c>
      <c r="E2633" s="7">
        <v>2215.6999999999998</v>
      </c>
      <c r="F2633" t="s">
        <v>20</v>
      </c>
      <c r="G2633" t="s">
        <v>21</v>
      </c>
      <c r="H2633" t="str">
        <f>"WI017485"</f>
        <v>WI017485</v>
      </c>
      <c r="I2633" t="str">
        <f>"BUCKET TRUCK REPAIR"</f>
        <v>BUCKET TRUCK REPAIR</v>
      </c>
    </row>
    <row r="2634" spans="1:9" x14ac:dyDescent="0.25">
      <c r="A2634" s="6">
        <v>44671</v>
      </c>
      <c r="B2634" t="s">
        <v>26</v>
      </c>
      <c r="C2634">
        <v>69317</v>
      </c>
      <c r="D2634" t="s">
        <v>114</v>
      </c>
      <c r="E2634" s="7">
        <v>9097.14</v>
      </c>
      <c r="F2634" t="s">
        <v>20</v>
      </c>
      <c r="G2634" t="s">
        <v>21</v>
      </c>
      <c r="H2634" t="str">
        <f>"QRT END 3/31/2022"</f>
        <v>QRT END 3/31/2022</v>
      </c>
      <c r="I2634" t="str">
        <f>"STATE COMPTROLLER"</f>
        <v>STATE COMPTROLLER</v>
      </c>
    </row>
    <row r="2635" spans="1:9" x14ac:dyDescent="0.25">
      <c r="A2635" s="6">
        <v>44671</v>
      </c>
      <c r="B2635" t="s">
        <v>26</v>
      </c>
      <c r="C2635">
        <v>69318</v>
      </c>
      <c r="D2635" t="s">
        <v>610</v>
      </c>
      <c r="E2635" s="7">
        <v>18</v>
      </c>
      <c r="F2635" t="s">
        <v>20</v>
      </c>
      <c r="G2635" t="s">
        <v>21</v>
      </c>
      <c r="H2635" t="str">
        <f>"C-1079 2022-04-05"</f>
        <v>C-1079 2022-04-05</v>
      </c>
      <c r="I2635" t="str">
        <f>"TEXAS MUNICIPAL LEAGUE INTERGO"</f>
        <v>TEXAS MUNICIPAL LEAGUE INTERGO</v>
      </c>
    </row>
    <row r="2636" spans="1:9" x14ac:dyDescent="0.25">
      <c r="A2636" s="6">
        <v>44671</v>
      </c>
      <c r="B2636" t="s">
        <v>26</v>
      </c>
      <c r="C2636">
        <v>69319</v>
      </c>
      <c r="D2636" t="s">
        <v>698</v>
      </c>
      <c r="E2636" s="7">
        <v>65.930000000000007</v>
      </c>
      <c r="F2636" t="s">
        <v>20</v>
      </c>
      <c r="G2636" t="s">
        <v>21</v>
      </c>
      <c r="H2636" t="str">
        <f>"4/16/2022"</f>
        <v>4/16/2022</v>
      </c>
      <c r="I2636" t="str">
        <f>"TRACY ORTIZ"</f>
        <v>TRACY ORTIZ</v>
      </c>
    </row>
    <row r="2637" spans="1:9" x14ac:dyDescent="0.25">
      <c r="A2637" s="6">
        <v>44671</v>
      </c>
      <c r="B2637" t="s">
        <v>26</v>
      </c>
      <c r="C2637">
        <v>69320</v>
      </c>
      <c r="D2637" t="s">
        <v>1184</v>
      </c>
      <c r="E2637" s="7">
        <v>4548.8999999999996</v>
      </c>
      <c r="F2637" t="s">
        <v>20</v>
      </c>
      <c r="G2637" t="s">
        <v>21</v>
      </c>
      <c r="H2637" t="str">
        <f>"54886"</f>
        <v>54886</v>
      </c>
      <c r="I2637" t="str">
        <f>"PITCH MOUND"</f>
        <v>PITCH MOUND</v>
      </c>
    </row>
    <row r="2638" spans="1:9" x14ac:dyDescent="0.25">
      <c r="A2638" s="6">
        <v>44671</v>
      </c>
      <c r="B2638" t="s">
        <v>26</v>
      </c>
      <c r="C2638">
        <v>69321</v>
      </c>
      <c r="D2638" t="s">
        <v>61</v>
      </c>
      <c r="E2638" s="7">
        <v>473.81</v>
      </c>
      <c r="F2638" t="s">
        <v>20</v>
      </c>
      <c r="G2638" t="s">
        <v>21</v>
      </c>
      <c r="H2638" t="str">
        <f>"025-374412"</f>
        <v>025-374412</v>
      </c>
      <c r="I2638" t="str">
        <f>"TYLER TECHNOLOGIES  INC."</f>
        <v>TYLER TECHNOLOGIES  INC.</v>
      </c>
    </row>
    <row r="2639" spans="1:9" x14ac:dyDescent="0.25">
      <c r="A2639" s="6">
        <v>44671</v>
      </c>
      <c r="B2639" t="s">
        <v>26</v>
      </c>
      <c r="C2639">
        <v>69322</v>
      </c>
      <c r="D2639" t="s">
        <v>235</v>
      </c>
      <c r="E2639" s="7">
        <v>7200</v>
      </c>
      <c r="F2639" t="s">
        <v>20</v>
      </c>
      <c r="G2639" t="s">
        <v>21</v>
      </c>
      <c r="H2639" t="str">
        <f>"APRIL- 2022"</f>
        <v>APRIL- 2022</v>
      </c>
      <c r="I2639" t="str">
        <f>"WILSON COUNTY AUDITOR"</f>
        <v>WILSON COUNTY AUDITOR</v>
      </c>
    </row>
    <row r="2640" spans="1:9" x14ac:dyDescent="0.25">
      <c r="A2640" s="6">
        <v>44671</v>
      </c>
      <c r="B2640" t="s">
        <v>26</v>
      </c>
      <c r="C2640">
        <v>69323</v>
      </c>
      <c r="D2640" t="s">
        <v>184</v>
      </c>
      <c r="E2640" s="7">
        <v>864</v>
      </c>
      <c r="F2640" t="s">
        <v>20</v>
      </c>
      <c r="G2640" t="s">
        <v>21</v>
      </c>
      <c r="H2640" t="str">
        <f>"1066-654"</f>
        <v>1066-654</v>
      </c>
      <c r="I2640" t="str">
        <f>"POLLUTION CONTROL SERVICES"</f>
        <v>POLLUTION CONTROL SERVICES</v>
      </c>
    </row>
    <row r="2641" spans="1:9" x14ac:dyDescent="0.25">
      <c r="A2641" s="6">
        <v>44671</v>
      </c>
      <c r="B2641" t="s">
        <v>26</v>
      </c>
      <c r="C2641">
        <v>69323</v>
      </c>
      <c r="D2641" t="s">
        <v>184</v>
      </c>
      <c r="E2641" s="7">
        <v>252</v>
      </c>
      <c r="F2641" t="s">
        <v>20</v>
      </c>
      <c r="G2641" t="s">
        <v>21</v>
      </c>
      <c r="H2641" t="str">
        <f>"1066-655"</f>
        <v>1066-655</v>
      </c>
      <c r="I2641" t="str">
        <f>"POLLUTION CONTROL SERVICES"</f>
        <v>POLLUTION CONTROL SERVICES</v>
      </c>
    </row>
    <row r="2642" spans="1:9" x14ac:dyDescent="0.25">
      <c r="A2642" s="6">
        <v>44671</v>
      </c>
      <c r="B2642" t="s">
        <v>26</v>
      </c>
      <c r="C2642">
        <v>69324</v>
      </c>
      <c r="D2642" t="s">
        <v>213</v>
      </c>
      <c r="E2642" s="7">
        <v>8097.34</v>
      </c>
      <c r="F2642" t="s">
        <v>20</v>
      </c>
      <c r="G2642" t="s">
        <v>21</v>
      </c>
      <c r="H2642" t="str">
        <f>"MARCH 2022"</f>
        <v>MARCH 2022</v>
      </c>
      <c r="I2642" t="str">
        <f>"RIVER BEND COMMUNITY DEVELOPME"</f>
        <v>RIVER BEND COMMUNITY DEVELOPME</v>
      </c>
    </row>
    <row r="2643" spans="1:9" x14ac:dyDescent="0.25">
      <c r="A2643" s="6">
        <v>44671</v>
      </c>
      <c r="B2643" t="s">
        <v>26</v>
      </c>
      <c r="C2643">
        <v>69325</v>
      </c>
      <c r="D2643" t="s">
        <v>328</v>
      </c>
      <c r="E2643" s="7">
        <v>1250</v>
      </c>
      <c r="F2643" t="s">
        <v>20</v>
      </c>
      <c r="G2643" t="s">
        <v>21</v>
      </c>
      <c r="H2643" t="str">
        <f>"7021865"</f>
        <v>7021865</v>
      </c>
      <c r="I2643" t="str">
        <f>"KOLOGIK"</f>
        <v>KOLOGIK</v>
      </c>
    </row>
    <row r="2644" spans="1:9" x14ac:dyDescent="0.25">
      <c r="A2644" s="6">
        <v>44673</v>
      </c>
      <c r="B2644" t="s">
        <v>26</v>
      </c>
      <c r="C2644">
        <v>69326</v>
      </c>
      <c r="D2644" t="s">
        <v>81</v>
      </c>
      <c r="E2644" s="7">
        <v>250</v>
      </c>
      <c r="F2644" t="s">
        <v>20</v>
      </c>
      <c r="G2644" t="s">
        <v>21</v>
      </c>
      <c r="H2644" t="str">
        <f>"C.PEREZ 4.23.2022"</f>
        <v>C.PEREZ 4.23.2022</v>
      </c>
      <c r="I2644" t="str">
        <f>"CITY OF FLORESVILLE -PETTY CAS"</f>
        <v>CITY OF FLORESVILLE -PETTY CAS</v>
      </c>
    </row>
    <row r="2645" spans="1:9" x14ac:dyDescent="0.25">
      <c r="A2645" s="6">
        <v>44678</v>
      </c>
      <c r="B2645" t="s">
        <v>26</v>
      </c>
      <c r="C2645">
        <v>69327</v>
      </c>
      <c r="D2645" t="s">
        <v>179</v>
      </c>
      <c r="E2645" s="7">
        <v>64.44</v>
      </c>
      <c r="F2645" t="s">
        <v>20</v>
      </c>
      <c r="G2645" t="s">
        <v>21</v>
      </c>
      <c r="H2645" t="str">
        <f>"268929"</f>
        <v>268929</v>
      </c>
      <c r="I2645" t="str">
        <f>"ANCIRA FORD-MERCURY"</f>
        <v>ANCIRA FORD-MERCURY</v>
      </c>
    </row>
    <row r="2646" spans="1:9" x14ac:dyDescent="0.25">
      <c r="A2646" s="6">
        <v>44678</v>
      </c>
      <c r="B2646" t="s">
        <v>26</v>
      </c>
      <c r="C2646">
        <v>69328</v>
      </c>
      <c r="D2646" t="s">
        <v>63</v>
      </c>
      <c r="E2646" s="7">
        <v>159.54</v>
      </c>
      <c r="F2646" t="s">
        <v>20</v>
      </c>
      <c r="G2646" t="s">
        <v>21</v>
      </c>
      <c r="H2646" t="str">
        <f>"8405640052"</f>
        <v>8405640052</v>
      </c>
      <c r="I2646" t="str">
        <f>"CINTAS CORPORATION"</f>
        <v>CINTAS CORPORATION</v>
      </c>
    </row>
    <row r="2647" spans="1:9" x14ac:dyDescent="0.25">
      <c r="A2647" s="6">
        <v>44678</v>
      </c>
      <c r="B2647" t="s">
        <v>26</v>
      </c>
      <c r="C2647">
        <v>69329</v>
      </c>
      <c r="D2647" t="s">
        <v>29</v>
      </c>
      <c r="E2647" s="7">
        <v>1805</v>
      </c>
      <c r="F2647" t="s">
        <v>20</v>
      </c>
      <c r="G2647" t="s">
        <v>21</v>
      </c>
      <c r="H2647" t="str">
        <f>"57558"</f>
        <v>57558</v>
      </c>
      <c r="I2647" t="str">
        <f>"M &amp; S ENGINEERING  LLC"</f>
        <v>M &amp; S ENGINEERING  LLC</v>
      </c>
    </row>
    <row r="2648" spans="1:9" x14ac:dyDescent="0.25">
      <c r="A2648" s="6">
        <v>44678</v>
      </c>
      <c r="B2648" t="s">
        <v>26</v>
      </c>
      <c r="C2648">
        <v>69330</v>
      </c>
      <c r="D2648" t="s">
        <v>71</v>
      </c>
      <c r="E2648" s="7">
        <v>296.14</v>
      </c>
      <c r="F2648" t="s">
        <v>20</v>
      </c>
      <c r="G2648" t="s">
        <v>21</v>
      </c>
      <c r="H2648" t="str">
        <f>"4109868498"</f>
        <v>4109868498</v>
      </c>
      <c r="I2648" t="str">
        <f t="shared" ref="I2648:I2661" si="63">"CINTAS CORPORATION #087"</f>
        <v>CINTAS CORPORATION #087</v>
      </c>
    </row>
    <row r="2649" spans="1:9" x14ac:dyDescent="0.25">
      <c r="A2649" s="6">
        <v>44678</v>
      </c>
      <c r="B2649" t="s">
        <v>26</v>
      </c>
      <c r="C2649">
        <v>69330</v>
      </c>
      <c r="D2649" t="s">
        <v>71</v>
      </c>
      <c r="E2649" s="7">
        <v>83.56</v>
      </c>
      <c r="F2649" t="s">
        <v>20</v>
      </c>
      <c r="G2649" t="s">
        <v>21</v>
      </c>
      <c r="H2649" t="str">
        <f>"4114052904"</f>
        <v>4114052904</v>
      </c>
      <c r="I2649" t="str">
        <f t="shared" si="63"/>
        <v>CINTAS CORPORATION #087</v>
      </c>
    </row>
    <row r="2650" spans="1:9" x14ac:dyDescent="0.25">
      <c r="A2650" s="6">
        <v>44678</v>
      </c>
      <c r="B2650" t="s">
        <v>26</v>
      </c>
      <c r="C2650">
        <v>69330</v>
      </c>
      <c r="D2650" t="s">
        <v>71</v>
      </c>
      <c r="E2650" s="7">
        <v>8.9</v>
      </c>
      <c r="F2650" t="s">
        <v>20</v>
      </c>
      <c r="G2650" t="s">
        <v>21</v>
      </c>
      <c r="H2650" t="str">
        <f>"4116110620"</f>
        <v>4116110620</v>
      </c>
      <c r="I2650" t="str">
        <f t="shared" si="63"/>
        <v>CINTAS CORPORATION #087</v>
      </c>
    </row>
    <row r="2651" spans="1:9" x14ac:dyDescent="0.25">
      <c r="A2651" s="6">
        <v>44678</v>
      </c>
      <c r="B2651" t="s">
        <v>26</v>
      </c>
      <c r="C2651">
        <v>69330</v>
      </c>
      <c r="D2651" t="s">
        <v>71</v>
      </c>
      <c r="E2651" s="7">
        <v>54.76</v>
      </c>
      <c r="F2651" t="s">
        <v>20</v>
      </c>
      <c r="G2651" t="s">
        <v>21</v>
      </c>
      <c r="H2651" t="str">
        <f>"4116110649"</f>
        <v>4116110649</v>
      </c>
      <c r="I2651" t="str">
        <f t="shared" si="63"/>
        <v>CINTAS CORPORATION #087</v>
      </c>
    </row>
    <row r="2652" spans="1:9" x14ac:dyDescent="0.25">
      <c r="A2652" s="6">
        <v>44678</v>
      </c>
      <c r="B2652" t="s">
        <v>26</v>
      </c>
      <c r="C2652">
        <v>69330</v>
      </c>
      <c r="D2652" t="s">
        <v>71</v>
      </c>
      <c r="E2652" s="7">
        <v>497.58</v>
      </c>
      <c r="F2652" t="s">
        <v>20</v>
      </c>
      <c r="G2652" t="s">
        <v>21</v>
      </c>
      <c r="H2652" t="str">
        <f>"4116110717"</f>
        <v>4116110717</v>
      </c>
      <c r="I2652" t="str">
        <f t="shared" si="63"/>
        <v>CINTAS CORPORATION #087</v>
      </c>
    </row>
    <row r="2653" spans="1:9" x14ac:dyDescent="0.25">
      <c r="A2653" s="6">
        <v>44678</v>
      </c>
      <c r="B2653" t="s">
        <v>26</v>
      </c>
      <c r="C2653">
        <v>69330</v>
      </c>
      <c r="D2653" t="s">
        <v>71</v>
      </c>
      <c r="E2653" s="7">
        <v>35.700000000000003</v>
      </c>
      <c r="F2653" t="s">
        <v>20</v>
      </c>
      <c r="G2653" t="s">
        <v>21</v>
      </c>
      <c r="H2653" t="str">
        <f>"4116110723"</f>
        <v>4116110723</v>
      </c>
      <c r="I2653" t="str">
        <f t="shared" si="63"/>
        <v>CINTAS CORPORATION #087</v>
      </c>
    </row>
    <row r="2654" spans="1:9" x14ac:dyDescent="0.25">
      <c r="A2654" s="6">
        <v>44678</v>
      </c>
      <c r="B2654" t="s">
        <v>26</v>
      </c>
      <c r="C2654">
        <v>69330</v>
      </c>
      <c r="D2654" t="s">
        <v>71</v>
      </c>
      <c r="E2654" s="7">
        <v>155.86000000000001</v>
      </c>
      <c r="F2654" t="s">
        <v>20</v>
      </c>
      <c r="G2654" t="s">
        <v>21</v>
      </c>
      <c r="H2654" t="str">
        <f>"4116110735"</f>
        <v>4116110735</v>
      </c>
      <c r="I2654" t="str">
        <f t="shared" si="63"/>
        <v>CINTAS CORPORATION #087</v>
      </c>
    </row>
    <row r="2655" spans="1:9" x14ac:dyDescent="0.25">
      <c r="A2655" s="6">
        <v>44678</v>
      </c>
      <c r="B2655" t="s">
        <v>26</v>
      </c>
      <c r="C2655">
        <v>69330</v>
      </c>
      <c r="D2655" t="s">
        <v>71</v>
      </c>
      <c r="E2655" s="7">
        <v>30.26</v>
      </c>
      <c r="F2655" t="s">
        <v>20</v>
      </c>
      <c r="G2655" t="s">
        <v>21</v>
      </c>
      <c r="H2655" t="str">
        <f>"4116110742"</f>
        <v>4116110742</v>
      </c>
      <c r="I2655" t="str">
        <f t="shared" si="63"/>
        <v>CINTAS CORPORATION #087</v>
      </c>
    </row>
    <row r="2656" spans="1:9" x14ac:dyDescent="0.25">
      <c r="A2656" s="6">
        <v>44678</v>
      </c>
      <c r="B2656" t="s">
        <v>26</v>
      </c>
      <c r="C2656">
        <v>69330</v>
      </c>
      <c r="D2656" t="s">
        <v>71</v>
      </c>
      <c r="E2656" s="7">
        <v>31.89</v>
      </c>
      <c r="F2656" t="s">
        <v>20</v>
      </c>
      <c r="G2656" t="s">
        <v>21</v>
      </c>
      <c r="H2656" t="str">
        <f>"4116748351"</f>
        <v>4116748351</v>
      </c>
      <c r="I2656" t="str">
        <f t="shared" si="63"/>
        <v>CINTAS CORPORATION #087</v>
      </c>
    </row>
    <row r="2657" spans="1:9" x14ac:dyDescent="0.25">
      <c r="A2657" s="6">
        <v>44678</v>
      </c>
      <c r="B2657" t="s">
        <v>26</v>
      </c>
      <c r="C2657">
        <v>69330</v>
      </c>
      <c r="D2657" t="s">
        <v>71</v>
      </c>
      <c r="E2657" s="7">
        <v>164.25</v>
      </c>
      <c r="F2657" t="s">
        <v>20</v>
      </c>
      <c r="G2657" t="s">
        <v>21</v>
      </c>
      <c r="H2657" t="str">
        <f>"4116748390"</f>
        <v>4116748390</v>
      </c>
      <c r="I2657" t="str">
        <f t="shared" si="63"/>
        <v>CINTAS CORPORATION #087</v>
      </c>
    </row>
    <row r="2658" spans="1:9" x14ac:dyDescent="0.25">
      <c r="A2658" s="6">
        <v>44678</v>
      </c>
      <c r="B2658" t="s">
        <v>26</v>
      </c>
      <c r="C2658">
        <v>69330</v>
      </c>
      <c r="D2658" t="s">
        <v>71</v>
      </c>
      <c r="E2658" s="7">
        <v>118.8</v>
      </c>
      <c r="F2658" t="s">
        <v>20</v>
      </c>
      <c r="G2658" t="s">
        <v>21</v>
      </c>
      <c r="H2658" t="str">
        <f>"4116748400"</f>
        <v>4116748400</v>
      </c>
      <c r="I2658" t="str">
        <f t="shared" si="63"/>
        <v>CINTAS CORPORATION #087</v>
      </c>
    </row>
    <row r="2659" spans="1:9" x14ac:dyDescent="0.25">
      <c r="A2659" s="6">
        <v>44678</v>
      </c>
      <c r="B2659" t="s">
        <v>26</v>
      </c>
      <c r="C2659">
        <v>69330</v>
      </c>
      <c r="D2659" t="s">
        <v>71</v>
      </c>
      <c r="E2659" s="7">
        <v>90.43</v>
      </c>
      <c r="F2659" t="s">
        <v>20</v>
      </c>
      <c r="G2659" t="s">
        <v>21</v>
      </c>
      <c r="H2659" t="str">
        <f>"4116748492"</f>
        <v>4116748492</v>
      </c>
      <c r="I2659" t="str">
        <f t="shared" si="63"/>
        <v>CINTAS CORPORATION #087</v>
      </c>
    </row>
    <row r="2660" spans="1:9" x14ac:dyDescent="0.25">
      <c r="A2660" s="6">
        <v>44678</v>
      </c>
      <c r="B2660" t="s">
        <v>26</v>
      </c>
      <c r="C2660">
        <v>69330</v>
      </c>
      <c r="D2660" t="s">
        <v>71</v>
      </c>
      <c r="E2660" s="7">
        <v>39.200000000000003</v>
      </c>
      <c r="F2660" t="s">
        <v>20</v>
      </c>
      <c r="G2660" t="s">
        <v>21</v>
      </c>
      <c r="H2660" t="str">
        <f>"4116755489"</f>
        <v>4116755489</v>
      </c>
      <c r="I2660" t="str">
        <f t="shared" si="63"/>
        <v>CINTAS CORPORATION #087</v>
      </c>
    </row>
    <row r="2661" spans="1:9" x14ac:dyDescent="0.25">
      <c r="A2661" s="6">
        <v>44678</v>
      </c>
      <c r="B2661" t="s">
        <v>26</v>
      </c>
      <c r="C2661">
        <v>69330</v>
      </c>
      <c r="D2661" t="s">
        <v>71</v>
      </c>
      <c r="E2661" s="7">
        <v>244.86</v>
      </c>
      <c r="F2661" t="s">
        <v>20</v>
      </c>
      <c r="G2661" t="s">
        <v>21</v>
      </c>
      <c r="H2661" t="str">
        <f>"4116755532"</f>
        <v>4116755532</v>
      </c>
      <c r="I2661" t="str">
        <f t="shared" si="63"/>
        <v>CINTAS CORPORATION #087</v>
      </c>
    </row>
    <row r="2662" spans="1:9" x14ac:dyDescent="0.25">
      <c r="A2662" s="6">
        <v>44678</v>
      </c>
      <c r="B2662" t="s">
        <v>26</v>
      </c>
      <c r="C2662">
        <v>69334</v>
      </c>
      <c r="D2662" t="s">
        <v>122</v>
      </c>
      <c r="E2662" s="7">
        <v>10</v>
      </c>
      <c r="F2662" t="s">
        <v>20</v>
      </c>
      <c r="G2662" t="s">
        <v>21</v>
      </c>
      <c r="H2662" t="str">
        <f>"004628"</f>
        <v>004628</v>
      </c>
      <c r="I2662" t="str">
        <f>"VILLA TIRES"</f>
        <v>VILLA TIRES</v>
      </c>
    </row>
    <row r="2663" spans="1:9" x14ac:dyDescent="0.25">
      <c r="A2663" s="6">
        <v>44678</v>
      </c>
      <c r="B2663" t="s">
        <v>26</v>
      </c>
      <c r="C2663">
        <v>69335</v>
      </c>
      <c r="D2663" t="s">
        <v>661</v>
      </c>
      <c r="E2663" s="7">
        <v>400.17</v>
      </c>
      <c r="F2663" t="s">
        <v>20</v>
      </c>
      <c r="G2663" t="s">
        <v>21</v>
      </c>
      <c r="H2663" t="str">
        <f>"8405483815"</f>
        <v>8405483815</v>
      </c>
      <c r="I2663" t="str">
        <f>"CINTAS FAS LOCKBOX 631025"</f>
        <v>CINTAS FAS LOCKBOX 631025</v>
      </c>
    </row>
    <row r="2664" spans="1:9" x14ac:dyDescent="0.25">
      <c r="A2664" s="6">
        <v>44678</v>
      </c>
      <c r="B2664" t="s">
        <v>26</v>
      </c>
      <c r="C2664">
        <v>69336</v>
      </c>
      <c r="D2664" t="s">
        <v>124</v>
      </c>
      <c r="E2664" s="7">
        <v>7.89</v>
      </c>
      <c r="F2664" t="s">
        <v>20</v>
      </c>
      <c r="G2664" t="s">
        <v>21</v>
      </c>
      <c r="H2664" t="str">
        <f>"11120502"</f>
        <v>11120502</v>
      </c>
      <c r="I2664" t="str">
        <f>"MCCOY'S CORPORATION"</f>
        <v>MCCOY'S CORPORATION</v>
      </c>
    </row>
    <row r="2665" spans="1:9" x14ac:dyDescent="0.25">
      <c r="A2665" s="6">
        <v>44678</v>
      </c>
      <c r="B2665" t="s">
        <v>26</v>
      </c>
      <c r="C2665">
        <v>69337</v>
      </c>
      <c r="D2665" t="s">
        <v>79</v>
      </c>
      <c r="E2665" s="7">
        <v>27.74</v>
      </c>
      <c r="F2665" t="s">
        <v>20</v>
      </c>
      <c r="G2665" t="s">
        <v>21</v>
      </c>
      <c r="H2665" t="str">
        <f>"7-724-02426"</f>
        <v>7-724-02426</v>
      </c>
      <c r="I2665" t="str">
        <f>"FEDEX"</f>
        <v>FEDEX</v>
      </c>
    </row>
    <row r="2666" spans="1:9" x14ac:dyDescent="0.25">
      <c r="A2666" s="6">
        <v>44678</v>
      </c>
      <c r="B2666" t="s">
        <v>26</v>
      </c>
      <c r="C2666">
        <v>69338</v>
      </c>
      <c r="D2666" t="s">
        <v>81</v>
      </c>
      <c r="E2666" s="7">
        <v>160.97999999999999</v>
      </c>
      <c r="F2666" t="s">
        <v>20</v>
      </c>
      <c r="G2666" t="s">
        <v>21</v>
      </c>
      <c r="H2666" t="str">
        <f>"A.MARTINEZ 4/26/22"</f>
        <v>A.MARTINEZ 4/26/22</v>
      </c>
      <c r="I2666" t="str">
        <f>"CITY OF FLORESVILLE -PETTY CAS"</f>
        <v>CITY OF FLORESVILLE -PETTY CAS</v>
      </c>
    </row>
    <row r="2667" spans="1:9" x14ac:dyDescent="0.25">
      <c r="A2667" s="6">
        <v>44678</v>
      </c>
      <c r="B2667" t="s">
        <v>26</v>
      </c>
      <c r="C2667">
        <v>69339</v>
      </c>
      <c r="D2667" t="s">
        <v>85</v>
      </c>
      <c r="E2667" s="7">
        <v>61.33</v>
      </c>
      <c r="F2667" t="s">
        <v>20</v>
      </c>
      <c r="G2667" t="s">
        <v>21</v>
      </c>
      <c r="H2667" t="str">
        <f>"2162733 APR.2022"</f>
        <v>2162733 APR.2022</v>
      </c>
      <c r="I2667" t="str">
        <f t="shared" ref="I2667:I2675" si="64">"FRONTIER"</f>
        <v>FRONTIER</v>
      </c>
    </row>
    <row r="2668" spans="1:9" x14ac:dyDescent="0.25">
      <c r="A2668" s="6">
        <v>44678</v>
      </c>
      <c r="B2668" t="s">
        <v>26</v>
      </c>
      <c r="C2668">
        <v>69339</v>
      </c>
      <c r="D2668" t="s">
        <v>85</v>
      </c>
      <c r="E2668" s="7">
        <v>538.65</v>
      </c>
      <c r="F2668" t="s">
        <v>20</v>
      </c>
      <c r="G2668" t="s">
        <v>21</v>
      </c>
      <c r="H2668" t="str">
        <f>"2162745 APR.2022"</f>
        <v>2162745 APR.2022</v>
      </c>
      <c r="I2668" t="str">
        <f t="shared" si="64"/>
        <v>FRONTIER</v>
      </c>
    </row>
    <row r="2669" spans="1:9" x14ac:dyDescent="0.25">
      <c r="A2669" s="6">
        <v>44678</v>
      </c>
      <c r="B2669" t="s">
        <v>26</v>
      </c>
      <c r="C2669">
        <v>69339</v>
      </c>
      <c r="D2669" t="s">
        <v>85</v>
      </c>
      <c r="E2669" s="7">
        <v>60.15</v>
      </c>
      <c r="F2669" t="s">
        <v>20</v>
      </c>
      <c r="G2669" t="s">
        <v>21</v>
      </c>
      <c r="H2669" t="str">
        <f>"2162755 APR.2022"</f>
        <v>2162755 APR.2022</v>
      </c>
      <c r="I2669" t="str">
        <f t="shared" si="64"/>
        <v>FRONTIER</v>
      </c>
    </row>
    <row r="2670" spans="1:9" x14ac:dyDescent="0.25">
      <c r="A2670" s="6">
        <v>44678</v>
      </c>
      <c r="B2670" t="s">
        <v>26</v>
      </c>
      <c r="C2670">
        <v>69339</v>
      </c>
      <c r="D2670" t="s">
        <v>85</v>
      </c>
      <c r="E2670" s="7">
        <v>46.59</v>
      </c>
      <c r="F2670" t="s">
        <v>20</v>
      </c>
      <c r="G2670" t="s">
        <v>21</v>
      </c>
      <c r="H2670" t="str">
        <f>"2166794 APR.2022"</f>
        <v>2166794 APR.2022</v>
      </c>
      <c r="I2670" t="str">
        <f t="shared" si="64"/>
        <v>FRONTIER</v>
      </c>
    </row>
    <row r="2671" spans="1:9" x14ac:dyDescent="0.25">
      <c r="A2671" s="6">
        <v>44678</v>
      </c>
      <c r="B2671" t="s">
        <v>26</v>
      </c>
      <c r="C2671">
        <v>69339</v>
      </c>
      <c r="D2671" t="s">
        <v>85</v>
      </c>
      <c r="E2671" s="7">
        <v>36.14</v>
      </c>
      <c r="F2671" t="s">
        <v>20</v>
      </c>
      <c r="G2671" t="s">
        <v>21</v>
      </c>
      <c r="H2671" t="str">
        <f>"3932056 APR.2022"</f>
        <v>3932056 APR.2022</v>
      </c>
      <c r="I2671" t="str">
        <f t="shared" si="64"/>
        <v>FRONTIER</v>
      </c>
    </row>
    <row r="2672" spans="1:9" x14ac:dyDescent="0.25">
      <c r="A2672" s="6">
        <v>44678</v>
      </c>
      <c r="B2672" t="s">
        <v>26</v>
      </c>
      <c r="C2672">
        <v>69339</v>
      </c>
      <c r="D2672" t="s">
        <v>85</v>
      </c>
      <c r="E2672" s="7">
        <v>71.33</v>
      </c>
      <c r="F2672" t="s">
        <v>20</v>
      </c>
      <c r="G2672" t="s">
        <v>21</v>
      </c>
      <c r="H2672" t="str">
        <f>"3932804 APR.2022"</f>
        <v>3932804 APR.2022</v>
      </c>
      <c r="I2672" t="str">
        <f t="shared" si="64"/>
        <v>FRONTIER</v>
      </c>
    </row>
    <row r="2673" spans="1:9" x14ac:dyDescent="0.25">
      <c r="A2673" s="6">
        <v>44678</v>
      </c>
      <c r="B2673" t="s">
        <v>26</v>
      </c>
      <c r="C2673">
        <v>69339</v>
      </c>
      <c r="D2673" t="s">
        <v>85</v>
      </c>
      <c r="E2673" s="7">
        <v>45.41</v>
      </c>
      <c r="F2673" t="s">
        <v>20</v>
      </c>
      <c r="G2673" t="s">
        <v>21</v>
      </c>
      <c r="H2673" t="str">
        <f>"3933186 APR.2022"</f>
        <v>3933186 APR.2022</v>
      </c>
      <c r="I2673" t="str">
        <f t="shared" si="64"/>
        <v>FRONTIER</v>
      </c>
    </row>
    <row r="2674" spans="1:9" x14ac:dyDescent="0.25">
      <c r="A2674" s="6">
        <v>44678</v>
      </c>
      <c r="B2674" t="s">
        <v>26</v>
      </c>
      <c r="C2674">
        <v>69339</v>
      </c>
      <c r="D2674" t="s">
        <v>85</v>
      </c>
      <c r="E2674" s="7">
        <v>69.64</v>
      </c>
      <c r="F2674" t="s">
        <v>20</v>
      </c>
      <c r="G2674" t="s">
        <v>21</v>
      </c>
      <c r="H2674" t="str">
        <f>"3936616 APR.2022"</f>
        <v>3936616 APR.2022</v>
      </c>
      <c r="I2674" t="str">
        <f t="shared" si="64"/>
        <v>FRONTIER</v>
      </c>
    </row>
    <row r="2675" spans="1:9" x14ac:dyDescent="0.25">
      <c r="A2675" s="6">
        <v>44678</v>
      </c>
      <c r="B2675" t="s">
        <v>26</v>
      </c>
      <c r="C2675">
        <v>69339</v>
      </c>
      <c r="D2675" t="s">
        <v>85</v>
      </c>
      <c r="E2675" s="7">
        <v>41.46</v>
      </c>
      <c r="F2675" t="s">
        <v>20</v>
      </c>
      <c r="G2675" t="s">
        <v>21</v>
      </c>
      <c r="H2675" t="str">
        <f>"3939456 APR.2022"</f>
        <v>3939456 APR.2022</v>
      </c>
      <c r="I2675" t="str">
        <f t="shared" si="64"/>
        <v>FRONTIER</v>
      </c>
    </row>
    <row r="2676" spans="1:9" x14ac:dyDescent="0.25">
      <c r="A2676" s="6">
        <v>44678</v>
      </c>
      <c r="B2676" t="s">
        <v>26</v>
      </c>
      <c r="C2676">
        <v>69341</v>
      </c>
      <c r="D2676" t="s">
        <v>345</v>
      </c>
      <c r="E2676" s="7">
        <v>308</v>
      </c>
      <c r="F2676" t="s">
        <v>20</v>
      </c>
      <c r="G2676" t="s">
        <v>21</v>
      </c>
      <c r="H2676" t="str">
        <f>"04/25/2022"</f>
        <v>04/25/2022</v>
      </c>
      <c r="I2676" t="str">
        <f>"MICHAEL ISAAC MARTINEZ"</f>
        <v>MICHAEL ISAAC MARTINEZ</v>
      </c>
    </row>
    <row r="2677" spans="1:9" x14ac:dyDescent="0.25">
      <c r="A2677" s="6">
        <v>44678</v>
      </c>
      <c r="B2677" t="s">
        <v>26</v>
      </c>
      <c r="C2677">
        <v>69342</v>
      </c>
      <c r="D2677" t="s">
        <v>323</v>
      </c>
      <c r="E2677" s="7">
        <v>630</v>
      </c>
      <c r="F2677" t="s">
        <v>20</v>
      </c>
      <c r="G2677" t="s">
        <v>21</v>
      </c>
      <c r="H2677" t="str">
        <f>"10943"</f>
        <v>10943</v>
      </c>
      <c r="I2677" t="str">
        <f>"POLLOK SELF STORAGE LLC"</f>
        <v>POLLOK SELF STORAGE LLC</v>
      </c>
    </row>
    <row r="2678" spans="1:9" x14ac:dyDescent="0.25">
      <c r="A2678" s="6">
        <v>44678</v>
      </c>
      <c r="B2678" t="s">
        <v>26</v>
      </c>
      <c r="C2678">
        <v>69343</v>
      </c>
      <c r="D2678" t="s">
        <v>446</v>
      </c>
      <c r="E2678" s="7">
        <v>140</v>
      </c>
      <c r="F2678" t="s">
        <v>20</v>
      </c>
      <c r="G2678" t="s">
        <v>21</v>
      </c>
      <c r="H2678" t="str">
        <f>"EASTER EVENT 2022"</f>
        <v>EASTER EVENT 2022</v>
      </c>
      <c r="I2678" t="str">
        <f>"ISAIAH BARRIENTEZ"</f>
        <v>ISAIAH BARRIENTEZ</v>
      </c>
    </row>
    <row r="2679" spans="1:9" x14ac:dyDescent="0.25">
      <c r="A2679" s="6">
        <v>44678</v>
      </c>
      <c r="B2679" t="s">
        <v>26</v>
      </c>
      <c r="C2679">
        <v>69344</v>
      </c>
      <c r="D2679" t="s">
        <v>528</v>
      </c>
      <c r="E2679" s="7">
        <v>312.33</v>
      </c>
      <c r="F2679" t="s">
        <v>20</v>
      </c>
      <c r="G2679" t="s">
        <v>21</v>
      </c>
      <c r="H2679" t="str">
        <f>"10813875"</f>
        <v>10813875</v>
      </c>
      <c r="I2679" t="str">
        <f>"PROSTAR SERVICES INC"</f>
        <v>PROSTAR SERVICES INC</v>
      </c>
    </row>
    <row r="2680" spans="1:9" x14ac:dyDescent="0.25">
      <c r="A2680" s="6">
        <v>44678</v>
      </c>
      <c r="B2680" t="s">
        <v>26</v>
      </c>
      <c r="C2680">
        <v>69345</v>
      </c>
      <c r="D2680" t="s">
        <v>647</v>
      </c>
      <c r="E2680" s="7">
        <v>3040</v>
      </c>
      <c r="F2680" t="s">
        <v>20</v>
      </c>
      <c r="G2680" t="s">
        <v>21</v>
      </c>
      <c r="H2680" t="str">
        <f>"3149425"</f>
        <v>3149425</v>
      </c>
      <c r="I2680" t="str">
        <f>"DOCUMATION  INC."</f>
        <v>DOCUMATION  INC.</v>
      </c>
    </row>
    <row r="2681" spans="1:9" x14ac:dyDescent="0.25">
      <c r="A2681" s="6">
        <v>44678</v>
      </c>
      <c r="B2681" t="s">
        <v>26</v>
      </c>
      <c r="C2681">
        <v>69346</v>
      </c>
      <c r="D2681" t="s">
        <v>698</v>
      </c>
      <c r="E2681" s="7">
        <v>123.59</v>
      </c>
      <c r="F2681" t="s">
        <v>20</v>
      </c>
      <c r="G2681" t="s">
        <v>21</v>
      </c>
      <c r="H2681" t="str">
        <f>"4/23/2022"</f>
        <v>4/23/2022</v>
      </c>
      <c r="I2681" t="str">
        <f>"TRACY ORTIZ"</f>
        <v>TRACY ORTIZ</v>
      </c>
    </row>
    <row r="2682" spans="1:9" x14ac:dyDescent="0.25">
      <c r="A2682" s="6">
        <v>44678</v>
      </c>
      <c r="B2682" t="s">
        <v>26</v>
      </c>
      <c r="C2682">
        <v>69347</v>
      </c>
      <c r="D2682" t="s">
        <v>781</v>
      </c>
      <c r="E2682" s="7">
        <v>123.59</v>
      </c>
      <c r="F2682" t="s">
        <v>20</v>
      </c>
      <c r="G2682" t="s">
        <v>21</v>
      </c>
      <c r="H2682" t="str">
        <f>"4/23/2022"</f>
        <v>4/23/2022</v>
      </c>
      <c r="I2682" t="str">
        <f>"ASHLEY MARTINEZ"</f>
        <v>ASHLEY MARTINEZ</v>
      </c>
    </row>
    <row r="2683" spans="1:9" x14ac:dyDescent="0.25">
      <c r="A2683" s="6">
        <v>44678</v>
      </c>
      <c r="B2683" t="s">
        <v>26</v>
      </c>
      <c r="C2683">
        <v>69348</v>
      </c>
      <c r="D2683" t="s">
        <v>824</v>
      </c>
      <c r="E2683" s="7">
        <v>121.09</v>
      </c>
      <c r="F2683" t="s">
        <v>20</v>
      </c>
      <c r="G2683" t="s">
        <v>21</v>
      </c>
      <c r="H2683" t="str">
        <f>"4/23/2022"</f>
        <v>4/23/2022</v>
      </c>
      <c r="I2683" t="str">
        <f>"MALLORY R. NELSON"</f>
        <v>MALLORY R. NELSON</v>
      </c>
    </row>
    <row r="2684" spans="1:9" x14ac:dyDescent="0.25">
      <c r="A2684" s="6">
        <v>44678</v>
      </c>
      <c r="B2684" t="s">
        <v>26</v>
      </c>
      <c r="C2684">
        <v>69349</v>
      </c>
      <c r="D2684" t="s">
        <v>1130</v>
      </c>
      <c r="E2684" s="7">
        <v>7779.83</v>
      </c>
      <c r="F2684" t="s">
        <v>20</v>
      </c>
      <c r="G2684" t="s">
        <v>21</v>
      </c>
      <c r="H2684" t="str">
        <f>"155400"</f>
        <v>155400</v>
      </c>
      <c r="I2684" t="str">
        <f>"AZAVAR"</f>
        <v>AZAVAR</v>
      </c>
    </row>
    <row r="2685" spans="1:9" x14ac:dyDescent="0.25">
      <c r="A2685" s="6">
        <v>44678</v>
      </c>
      <c r="B2685" t="s">
        <v>26</v>
      </c>
      <c r="C2685">
        <v>69350</v>
      </c>
      <c r="D2685" t="s">
        <v>1172</v>
      </c>
      <c r="E2685" s="7">
        <v>2055</v>
      </c>
      <c r="F2685" t="s">
        <v>20</v>
      </c>
      <c r="G2685" t="s">
        <v>21</v>
      </c>
      <c r="H2685" t="str">
        <f>"422"</f>
        <v>422</v>
      </c>
      <c r="I2685" t="str">
        <f>"CUTLER PEESE"</f>
        <v>CUTLER PEESE</v>
      </c>
    </row>
    <row r="2686" spans="1:9" x14ac:dyDescent="0.25">
      <c r="A2686" s="6">
        <v>44678</v>
      </c>
      <c r="B2686" t="s">
        <v>26</v>
      </c>
      <c r="C2686">
        <v>69351</v>
      </c>
      <c r="D2686" t="s">
        <v>1168</v>
      </c>
      <c r="E2686" s="7">
        <v>91.08</v>
      </c>
      <c r="F2686" t="s">
        <v>20</v>
      </c>
      <c r="G2686" t="s">
        <v>21</v>
      </c>
      <c r="H2686" t="str">
        <f>"4/23/2022"</f>
        <v>4/23/2022</v>
      </c>
      <c r="I2686" t="str">
        <f>"LAWRENCE JUSTIN BERNAL"</f>
        <v>LAWRENCE JUSTIN BERNAL</v>
      </c>
    </row>
    <row r="2687" spans="1:9" x14ac:dyDescent="0.25">
      <c r="A2687" s="6">
        <v>44678</v>
      </c>
      <c r="B2687" t="s">
        <v>26</v>
      </c>
      <c r="C2687">
        <v>69352</v>
      </c>
      <c r="D2687" t="s">
        <v>1185</v>
      </c>
      <c r="E2687" s="7">
        <v>200</v>
      </c>
      <c r="F2687" t="s">
        <v>20</v>
      </c>
      <c r="G2687" t="s">
        <v>21</v>
      </c>
      <c r="H2687" t="str">
        <f>"CINCO DE MAYO 2022"</f>
        <v>CINCO DE MAYO 2022</v>
      </c>
      <c r="I2687" t="str">
        <f>"GRUPO FOLKLORICO DE BENDICIONE"</f>
        <v>GRUPO FOLKLORICO DE BENDICIONE</v>
      </c>
    </row>
    <row r="2688" spans="1:9" x14ac:dyDescent="0.25">
      <c r="A2688" s="6">
        <v>44678</v>
      </c>
      <c r="B2688" t="s">
        <v>26</v>
      </c>
      <c r="C2688">
        <v>69353</v>
      </c>
      <c r="D2688" t="s">
        <v>1186</v>
      </c>
      <c r="E2688" s="7">
        <v>320</v>
      </c>
      <c r="F2688" t="s">
        <v>20</v>
      </c>
      <c r="G2688" t="s">
        <v>21</v>
      </c>
      <c r="H2688" t="str">
        <f>"2022-0505-001"</f>
        <v>2022-0505-001</v>
      </c>
      <c r="I2688" t="str">
        <f>"SUCH FUN ENTERTAINERS"</f>
        <v>SUCH FUN ENTERTAINERS</v>
      </c>
    </row>
    <row r="2689" spans="1:9" x14ac:dyDescent="0.25">
      <c r="A2689" s="6">
        <v>44678</v>
      </c>
      <c r="B2689" t="s">
        <v>26</v>
      </c>
      <c r="C2689">
        <v>69354</v>
      </c>
      <c r="D2689" t="s">
        <v>1187</v>
      </c>
      <c r="E2689" s="7">
        <v>62.21</v>
      </c>
      <c r="F2689" t="s">
        <v>20</v>
      </c>
      <c r="G2689" t="s">
        <v>21</v>
      </c>
      <c r="H2689" t="str">
        <f>"100025721968"</f>
        <v>100025721968</v>
      </c>
      <c r="I2689" t="str">
        <f>"PENN CREDIT CORPORATION"</f>
        <v>PENN CREDIT CORPORATION</v>
      </c>
    </row>
    <row r="2690" spans="1:9" x14ac:dyDescent="0.25">
      <c r="A2690" s="6">
        <v>44678</v>
      </c>
      <c r="B2690" t="s">
        <v>26</v>
      </c>
      <c r="C2690">
        <v>69355</v>
      </c>
      <c r="D2690" t="s">
        <v>1188</v>
      </c>
      <c r="E2690" s="7">
        <v>1000</v>
      </c>
      <c r="F2690" t="s">
        <v>20</v>
      </c>
      <c r="G2690" t="s">
        <v>21</v>
      </c>
      <c r="H2690" t="str">
        <f>"4TH OF JULY DEPOSI"</f>
        <v>4TH OF JULY DEPOSI</v>
      </c>
      <c r="I2690" t="str">
        <f>"GRUPO VISION"</f>
        <v>GRUPO VISION</v>
      </c>
    </row>
    <row r="2691" spans="1:9" x14ac:dyDescent="0.25">
      <c r="A2691" s="6">
        <v>44678</v>
      </c>
      <c r="B2691" t="s">
        <v>26</v>
      </c>
      <c r="C2691">
        <v>69356</v>
      </c>
      <c r="D2691" t="s">
        <v>179</v>
      </c>
      <c r="E2691" s="7">
        <v>75.47</v>
      </c>
      <c r="F2691" t="s">
        <v>20</v>
      </c>
      <c r="G2691" t="s">
        <v>21</v>
      </c>
      <c r="H2691" t="str">
        <f>"269193"</f>
        <v>269193</v>
      </c>
      <c r="I2691" t="str">
        <f>"UNIT 341"</f>
        <v>UNIT 341</v>
      </c>
    </row>
    <row r="2692" spans="1:9" x14ac:dyDescent="0.25">
      <c r="A2692" s="6">
        <v>44678</v>
      </c>
      <c r="B2692" t="s">
        <v>26</v>
      </c>
      <c r="C2692">
        <v>69357</v>
      </c>
      <c r="D2692" t="s">
        <v>288</v>
      </c>
      <c r="E2692" s="7">
        <v>1961.08</v>
      </c>
      <c r="F2692" t="s">
        <v>20</v>
      </c>
      <c r="G2692" t="s">
        <v>21</v>
      </c>
      <c r="H2692" t="str">
        <f>"INUS065787"</f>
        <v>INUS065787</v>
      </c>
      <c r="I2692" t="str">
        <f>"TASERS FOR PD"</f>
        <v>TASERS FOR PD</v>
      </c>
    </row>
    <row r="2693" spans="1:9" x14ac:dyDescent="0.25">
      <c r="A2693" s="6">
        <v>44678</v>
      </c>
      <c r="B2693" t="s">
        <v>26</v>
      </c>
      <c r="C2693">
        <v>69358</v>
      </c>
      <c r="D2693" t="s">
        <v>77</v>
      </c>
      <c r="E2693" s="7">
        <v>1202.6199999999999</v>
      </c>
      <c r="F2693" t="s">
        <v>20</v>
      </c>
      <c r="G2693" t="s">
        <v>21</v>
      </c>
      <c r="H2693" t="str">
        <f>"857000730-22"</f>
        <v>857000730-22</v>
      </c>
      <c r="I2693" t="str">
        <f>"CHLORINE B &amp; HOSPITAL"</f>
        <v>CHLORINE B &amp; HOSPITAL</v>
      </c>
    </row>
    <row r="2694" spans="1:9" x14ac:dyDescent="0.25">
      <c r="A2694" s="6">
        <v>44678</v>
      </c>
      <c r="B2694" t="s">
        <v>26</v>
      </c>
      <c r="C2694">
        <v>69358</v>
      </c>
      <c r="D2694" t="s">
        <v>77</v>
      </c>
      <c r="E2694" s="7">
        <v>1202.6199999999999</v>
      </c>
      <c r="F2694" t="s">
        <v>20</v>
      </c>
      <c r="G2694" t="s">
        <v>21</v>
      </c>
      <c r="H2694" t="str">
        <f>"857000731-22"</f>
        <v>857000731-22</v>
      </c>
      <c r="I2694" t="str">
        <f>"CHLORINE"</f>
        <v>CHLORINE</v>
      </c>
    </row>
    <row r="2695" spans="1:9" x14ac:dyDescent="0.25">
      <c r="A2695" s="6">
        <v>44678</v>
      </c>
      <c r="B2695" t="s">
        <v>26</v>
      </c>
      <c r="C2695">
        <v>69358</v>
      </c>
      <c r="D2695" t="s">
        <v>77</v>
      </c>
      <c r="E2695" s="7">
        <v>1202.6199999999999</v>
      </c>
      <c r="F2695" t="s">
        <v>20</v>
      </c>
      <c r="G2695" t="s">
        <v>21</v>
      </c>
      <c r="H2695" t="str">
        <f>"857000732-22"</f>
        <v>857000732-22</v>
      </c>
      <c r="I2695" t="str">
        <f>"CHLORINE B &amp; HOSPITAL"</f>
        <v>CHLORINE B &amp; HOSPITAL</v>
      </c>
    </row>
    <row r="2696" spans="1:9" x14ac:dyDescent="0.25">
      <c r="A2696" s="6">
        <v>44678</v>
      </c>
      <c r="B2696" t="s">
        <v>26</v>
      </c>
      <c r="C2696">
        <v>69359</v>
      </c>
      <c r="D2696" t="s">
        <v>59</v>
      </c>
      <c r="E2696" s="7">
        <v>399.81</v>
      </c>
      <c r="F2696" t="s">
        <v>20</v>
      </c>
      <c r="G2696" t="s">
        <v>21</v>
      </c>
      <c r="H2696" t="str">
        <f>"1157082"</f>
        <v>1157082</v>
      </c>
      <c r="I2696" t="str">
        <f>"WATER SUPPLIES"</f>
        <v>WATER SUPPLIES</v>
      </c>
    </row>
    <row r="2697" spans="1:9" x14ac:dyDescent="0.25">
      <c r="A2697" s="6">
        <v>44678</v>
      </c>
      <c r="B2697" t="s">
        <v>26</v>
      </c>
      <c r="C2697">
        <v>69359</v>
      </c>
      <c r="D2697" t="s">
        <v>59</v>
      </c>
      <c r="E2697" s="7">
        <v>548.6</v>
      </c>
      <c r="F2697" t="s">
        <v>20</v>
      </c>
      <c r="G2697" t="s">
        <v>21</v>
      </c>
      <c r="H2697" t="str">
        <f>"1162226"</f>
        <v>1162226</v>
      </c>
      <c r="I2697" t="str">
        <f>"WRENCHES WATER DEPT"</f>
        <v>WRENCHES WATER DEPT</v>
      </c>
    </row>
    <row r="2698" spans="1:9" x14ac:dyDescent="0.25">
      <c r="A2698" s="6">
        <v>44678</v>
      </c>
      <c r="B2698" t="s">
        <v>26</v>
      </c>
      <c r="C2698">
        <v>69359</v>
      </c>
      <c r="D2698" t="s">
        <v>59</v>
      </c>
      <c r="E2698" s="7">
        <v>1125</v>
      </c>
      <c r="F2698" t="s">
        <v>20</v>
      </c>
      <c r="G2698" t="s">
        <v>21</v>
      </c>
      <c r="H2698" t="str">
        <f>"1163917"</f>
        <v>1163917</v>
      </c>
      <c r="I2698" t="str">
        <f>"MISC STOCK"</f>
        <v>MISC STOCK</v>
      </c>
    </row>
    <row r="2699" spans="1:9" x14ac:dyDescent="0.25">
      <c r="A2699" s="6">
        <v>44678</v>
      </c>
      <c r="B2699" t="s">
        <v>26</v>
      </c>
      <c r="C2699">
        <v>69359</v>
      </c>
      <c r="D2699" t="s">
        <v>59</v>
      </c>
      <c r="E2699" s="7">
        <v>1079.74</v>
      </c>
      <c r="F2699" t="s">
        <v>20</v>
      </c>
      <c r="G2699" t="s">
        <v>21</v>
      </c>
      <c r="H2699" t="str">
        <f>"1163922"</f>
        <v>1163922</v>
      </c>
      <c r="I2699" t="str">
        <f>"MISC STOCK"</f>
        <v>MISC STOCK</v>
      </c>
    </row>
    <row r="2700" spans="1:9" x14ac:dyDescent="0.25">
      <c r="A2700" s="6">
        <v>44678</v>
      </c>
      <c r="B2700" t="s">
        <v>26</v>
      </c>
      <c r="C2700">
        <v>69360</v>
      </c>
      <c r="D2700" t="s">
        <v>56</v>
      </c>
      <c r="E2700" s="7">
        <v>26.95</v>
      </c>
      <c r="F2700" t="s">
        <v>20</v>
      </c>
      <c r="G2700" t="s">
        <v>21</v>
      </c>
      <c r="H2700" t="str">
        <f>"200086"</f>
        <v>200086</v>
      </c>
      <c r="I2700" t="str">
        <f>"DOG FOOD"</f>
        <v>DOG FOOD</v>
      </c>
    </row>
    <row r="2701" spans="1:9" x14ac:dyDescent="0.25">
      <c r="A2701" s="6">
        <v>44678</v>
      </c>
      <c r="B2701" t="s">
        <v>26</v>
      </c>
      <c r="C2701">
        <v>69361</v>
      </c>
      <c r="D2701" t="s">
        <v>124</v>
      </c>
      <c r="E2701" s="7">
        <v>20.45</v>
      </c>
      <c r="F2701" t="s">
        <v>20</v>
      </c>
      <c r="G2701" t="s">
        <v>21</v>
      </c>
      <c r="H2701" t="str">
        <f>"11120166"</f>
        <v>11120166</v>
      </c>
      <c r="I2701" t="str">
        <f>"SPRAY PAINT"</f>
        <v>SPRAY PAINT</v>
      </c>
    </row>
    <row r="2702" spans="1:9" x14ac:dyDescent="0.25">
      <c r="A2702" s="6">
        <v>44678</v>
      </c>
      <c r="B2702" t="s">
        <v>26</v>
      </c>
      <c r="C2702">
        <v>69361</v>
      </c>
      <c r="D2702" t="s">
        <v>124</v>
      </c>
      <c r="E2702" s="7">
        <v>21.79</v>
      </c>
      <c r="F2702" t="s">
        <v>20</v>
      </c>
      <c r="G2702" t="s">
        <v>21</v>
      </c>
      <c r="H2702" t="str">
        <f>"11120461"</f>
        <v>11120461</v>
      </c>
      <c r="I2702" t="str">
        <f>"LODI RESTROOM"</f>
        <v>LODI RESTROOM</v>
      </c>
    </row>
    <row r="2703" spans="1:9" x14ac:dyDescent="0.25">
      <c r="A2703" s="6">
        <v>44678</v>
      </c>
      <c r="B2703" t="s">
        <v>26</v>
      </c>
      <c r="C2703">
        <v>69361</v>
      </c>
      <c r="D2703" t="s">
        <v>124</v>
      </c>
      <c r="E2703" s="7">
        <v>136.86000000000001</v>
      </c>
      <c r="F2703" t="s">
        <v>20</v>
      </c>
      <c r="G2703" t="s">
        <v>21</v>
      </c>
      <c r="H2703" t="str">
        <f>"11120462"</f>
        <v>11120462</v>
      </c>
      <c r="I2703" t="str">
        <f>"BEERWAREHOUSE"</f>
        <v>BEERWAREHOUSE</v>
      </c>
    </row>
    <row r="2704" spans="1:9" x14ac:dyDescent="0.25">
      <c r="A2704" s="6">
        <v>44678</v>
      </c>
      <c r="B2704" t="s">
        <v>26</v>
      </c>
      <c r="C2704">
        <v>69362</v>
      </c>
      <c r="D2704" t="s">
        <v>123</v>
      </c>
      <c r="E2704" s="7">
        <v>77.260000000000005</v>
      </c>
      <c r="F2704" t="s">
        <v>20</v>
      </c>
      <c r="G2704" t="s">
        <v>21</v>
      </c>
      <c r="H2704" t="str">
        <f>"234914043001"</f>
        <v>234914043001</v>
      </c>
      <c r="I2704" t="str">
        <f>"OFFICE SUPPLIES"</f>
        <v>OFFICE SUPPLIES</v>
      </c>
    </row>
    <row r="2705" spans="1:9" x14ac:dyDescent="0.25">
      <c r="A2705" s="6">
        <v>44678</v>
      </c>
      <c r="B2705" t="s">
        <v>26</v>
      </c>
      <c r="C2705">
        <v>69362</v>
      </c>
      <c r="D2705" t="s">
        <v>123</v>
      </c>
      <c r="E2705" s="7">
        <v>98.21</v>
      </c>
      <c r="F2705" t="s">
        <v>20</v>
      </c>
      <c r="G2705" t="s">
        <v>21</v>
      </c>
      <c r="H2705" t="str">
        <f>"237010988001"</f>
        <v>237010988001</v>
      </c>
      <c r="I2705" t="str">
        <f>"OFFICE SUPPLIES"</f>
        <v>OFFICE SUPPLIES</v>
      </c>
    </row>
    <row r="2706" spans="1:9" x14ac:dyDescent="0.25">
      <c r="A2706" s="6">
        <v>44678</v>
      </c>
      <c r="B2706" t="s">
        <v>26</v>
      </c>
      <c r="C2706">
        <v>69362</v>
      </c>
      <c r="D2706" t="s">
        <v>123</v>
      </c>
      <c r="E2706" s="7">
        <v>74.150000000000006</v>
      </c>
      <c r="F2706" t="s">
        <v>20</v>
      </c>
      <c r="G2706" t="s">
        <v>21</v>
      </c>
      <c r="H2706" t="str">
        <f>"237524065001"</f>
        <v>237524065001</v>
      </c>
      <c r="I2706" t="str">
        <f>"OFFICE SUPPLIES"</f>
        <v>OFFICE SUPPLIES</v>
      </c>
    </row>
    <row r="2707" spans="1:9" x14ac:dyDescent="0.25">
      <c r="A2707" s="6">
        <v>44678</v>
      </c>
      <c r="B2707" t="s">
        <v>26</v>
      </c>
      <c r="C2707">
        <v>69362</v>
      </c>
      <c r="D2707" t="s">
        <v>123</v>
      </c>
      <c r="E2707" s="7">
        <v>61.79</v>
      </c>
      <c r="F2707" t="s">
        <v>20</v>
      </c>
      <c r="G2707" t="s">
        <v>21</v>
      </c>
      <c r="H2707" t="str">
        <f>"238735039001"</f>
        <v>238735039001</v>
      </c>
      <c r="I2707" t="str">
        <f>"OFFICE SUPPLIES"</f>
        <v>OFFICE SUPPLIES</v>
      </c>
    </row>
    <row r="2708" spans="1:9" x14ac:dyDescent="0.25">
      <c r="A2708" s="6">
        <v>44678</v>
      </c>
      <c r="B2708" t="s">
        <v>26</v>
      </c>
      <c r="C2708">
        <v>69364</v>
      </c>
      <c r="D2708" t="s">
        <v>202</v>
      </c>
      <c r="E2708" s="7">
        <v>1491.97</v>
      </c>
      <c r="F2708" t="s">
        <v>20</v>
      </c>
      <c r="G2708" t="s">
        <v>21</v>
      </c>
      <c r="H2708" t="str">
        <f>"62448122"</f>
        <v>62448122</v>
      </c>
      <c r="I2708" t="str">
        <f>"A-2 BASE"</f>
        <v>A-2 BASE</v>
      </c>
    </row>
    <row r="2709" spans="1:9" x14ac:dyDescent="0.25">
      <c r="A2709" s="6">
        <v>44679</v>
      </c>
      <c r="B2709" t="s">
        <v>26</v>
      </c>
      <c r="C2709">
        <v>69365</v>
      </c>
      <c r="D2709" t="s">
        <v>1189</v>
      </c>
      <c r="E2709" s="7">
        <v>300</v>
      </c>
      <c r="F2709" t="s">
        <v>20</v>
      </c>
      <c r="G2709" t="s">
        <v>21</v>
      </c>
      <c r="H2709" t="str">
        <f>"CINCO DE MAYO '22"</f>
        <v>CINCO DE MAYO '22</v>
      </c>
      <c r="I2709" t="str">
        <f>"Jose Mendez"</f>
        <v>Jose Mendez</v>
      </c>
    </row>
    <row r="2710" spans="1:9" x14ac:dyDescent="0.25">
      <c r="A2710" s="6">
        <v>44679</v>
      </c>
      <c r="B2710" t="s">
        <v>26</v>
      </c>
      <c r="C2710">
        <v>69366</v>
      </c>
      <c r="D2710" t="s">
        <v>927</v>
      </c>
      <c r="E2710" s="7">
        <v>1370.37</v>
      </c>
      <c r="F2710" t="s">
        <v>20</v>
      </c>
      <c r="G2710" t="s">
        <v>21</v>
      </c>
      <c r="H2710" t="str">
        <f>"CITY 0000009"</f>
        <v>CITY 0000009</v>
      </c>
      <c r="I2710" t="str">
        <f>"JOELZ LAWN MOWING SERVICE"</f>
        <v>JOELZ LAWN MOWING SERVICE</v>
      </c>
    </row>
    <row r="2711" spans="1:9" x14ac:dyDescent="0.25">
      <c r="A2711" s="6">
        <v>44679</v>
      </c>
      <c r="B2711" t="s">
        <v>26</v>
      </c>
      <c r="C2711">
        <v>69367</v>
      </c>
      <c r="D2711" t="s">
        <v>1190</v>
      </c>
      <c r="E2711" s="7">
        <v>310.91000000000003</v>
      </c>
      <c r="F2711" t="s">
        <v>20</v>
      </c>
      <c r="G2711" t="s">
        <v>21</v>
      </c>
      <c r="H2711" t="str">
        <f>"000202204228651"</f>
        <v>000202204228651</v>
      </c>
      <c r="I2711" t="str">
        <f>"US REFUND"</f>
        <v>US REFUND</v>
      </c>
    </row>
    <row r="2712" spans="1:9" x14ac:dyDescent="0.25">
      <c r="A2712" s="6">
        <v>44679</v>
      </c>
      <c r="B2712" t="s">
        <v>26</v>
      </c>
      <c r="C2712">
        <v>69368</v>
      </c>
      <c r="D2712" t="s">
        <v>1191</v>
      </c>
      <c r="E2712" s="7">
        <v>17.13</v>
      </c>
      <c r="F2712" t="s">
        <v>20</v>
      </c>
      <c r="G2712" t="s">
        <v>21</v>
      </c>
      <c r="H2712" t="str">
        <f>"000202204228652"</f>
        <v>000202204228652</v>
      </c>
      <c r="I2712" t="str">
        <f>"US REFUND"</f>
        <v>US REFUND</v>
      </c>
    </row>
    <row r="2713" spans="1:9" x14ac:dyDescent="0.25">
      <c r="A2713" s="6">
        <v>44684</v>
      </c>
      <c r="B2713" t="s">
        <v>26</v>
      </c>
      <c r="C2713">
        <v>69369</v>
      </c>
      <c r="D2713" t="s">
        <v>205</v>
      </c>
      <c r="E2713" s="7">
        <v>677.18</v>
      </c>
      <c r="F2713" t="s">
        <v>20</v>
      </c>
      <c r="G2713" t="s">
        <v>21</v>
      </c>
      <c r="H2713" t="str">
        <f>"05/03/2022"</f>
        <v>05/03/2022</v>
      </c>
      <c r="I2713" t="str">
        <f>"SILVER EAGLE DISTRIBUTORS"</f>
        <v>SILVER EAGLE DISTRIBUTORS</v>
      </c>
    </row>
    <row r="2714" spans="1:9" x14ac:dyDescent="0.25">
      <c r="A2714" s="6">
        <v>44684</v>
      </c>
      <c r="B2714" t="s">
        <v>91</v>
      </c>
      <c r="C2714">
        <v>69370</v>
      </c>
      <c r="D2714" t="s">
        <v>1192</v>
      </c>
      <c r="E2714" s="7">
        <v>740</v>
      </c>
      <c r="F2714" t="s">
        <v>20</v>
      </c>
      <c r="G2714" t="s">
        <v>21</v>
      </c>
      <c r="H2714" t="str">
        <f>"2018"</f>
        <v>2018</v>
      </c>
      <c r="I2714" t="str">
        <f>"MARIACHI ALMA DE MEXICO"</f>
        <v>MARIACHI ALMA DE MEXICO</v>
      </c>
    </row>
    <row r="2715" spans="1:9" x14ac:dyDescent="0.25">
      <c r="A2715" s="6">
        <v>44684</v>
      </c>
      <c r="B2715" t="s">
        <v>91</v>
      </c>
      <c r="C2715">
        <v>69370</v>
      </c>
      <c r="D2715" t="s">
        <v>1192</v>
      </c>
      <c r="E2715" s="7">
        <v>740</v>
      </c>
      <c r="F2715" t="s">
        <v>20</v>
      </c>
      <c r="G2715" t="s">
        <v>93</v>
      </c>
      <c r="H2715" t="str">
        <f>"CHECK"</f>
        <v>CHECK</v>
      </c>
      <c r="I2715" t="str">
        <f>""</f>
        <v/>
      </c>
    </row>
    <row r="2716" spans="1:9" x14ac:dyDescent="0.25">
      <c r="A2716" s="6">
        <v>44684</v>
      </c>
      <c r="B2716" t="s">
        <v>26</v>
      </c>
      <c r="C2716">
        <v>69377</v>
      </c>
      <c r="D2716" t="s">
        <v>51</v>
      </c>
      <c r="E2716" s="7">
        <v>13.85</v>
      </c>
      <c r="F2716" t="s">
        <v>20</v>
      </c>
      <c r="G2716" t="s">
        <v>21</v>
      </c>
      <c r="H2716" t="str">
        <f>"CLE202205038654"</f>
        <v>CLE202205038654</v>
      </c>
      <c r="I2716" t="str">
        <f>"CLEAT ONLY DUES"</f>
        <v>CLEAT ONLY DUES</v>
      </c>
    </row>
    <row r="2717" spans="1:9" x14ac:dyDescent="0.25">
      <c r="A2717" s="6">
        <v>44684</v>
      </c>
      <c r="B2717" t="s">
        <v>26</v>
      </c>
      <c r="C2717">
        <v>69377</v>
      </c>
      <c r="D2717" t="s">
        <v>51</v>
      </c>
      <c r="E2717" s="7">
        <v>313.99</v>
      </c>
      <c r="F2717" t="s">
        <v>20</v>
      </c>
      <c r="G2717" t="s">
        <v>21</v>
      </c>
      <c r="H2717" t="str">
        <f>"PDD202205038654"</f>
        <v>PDD202205038654</v>
      </c>
      <c r="I2717" t="str">
        <f>"POLICE OFFICERS ASSOC DUES"</f>
        <v>POLICE OFFICERS ASSOC DUES</v>
      </c>
    </row>
    <row r="2718" spans="1:9" x14ac:dyDescent="0.25">
      <c r="A2718" s="6">
        <v>44684</v>
      </c>
      <c r="B2718" t="s">
        <v>26</v>
      </c>
      <c r="C2718">
        <v>69378</v>
      </c>
      <c r="D2718" t="s">
        <v>52</v>
      </c>
      <c r="E2718" s="7">
        <v>101.25</v>
      </c>
      <c r="F2718" t="s">
        <v>20</v>
      </c>
      <c r="G2718" t="s">
        <v>21</v>
      </c>
      <c r="H2718" t="str">
        <f>"CA1202205038654"</f>
        <v>CA1202205038654</v>
      </c>
      <c r="I2718" t="str">
        <f>"K RAMIREZ 001200229510060343CV"</f>
        <v>K RAMIREZ 001200229510060343CV</v>
      </c>
    </row>
    <row r="2719" spans="1:9" x14ac:dyDescent="0.25">
      <c r="A2719" s="6">
        <v>44684</v>
      </c>
      <c r="B2719" t="s">
        <v>26</v>
      </c>
      <c r="C2719">
        <v>69378</v>
      </c>
      <c r="D2719" t="s">
        <v>52</v>
      </c>
      <c r="E2719" s="7">
        <v>101.25</v>
      </c>
      <c r="F2719" t="s">
        <v>20</v>
      </c>
      <c r="G2719" t="s">
        <v>21</v>
      </c>
      <c r="H2719" t="str">
        <f>"CA2202205038654"</f>
        <v>CA2202205038654</v>
      </c>
      <c r="I2719" t="str">
        <f>"L HERNANDEZ 001016025203080354"</f>
        <v>L HERNANDEZ 001016025203080354</v>
      </c>
    </row>
    <row r="2720" spans="1:9" x14ac:dyDescent="0.25">
      <c r="A2720" s="6">
        <v>44684</v>
      </c>
      <c r="B2720" t="s">
        <v>26</v>
      </c>
      <c r="C2720">
        <v>69378</v>
      </c>
      <c r="D2720" t="s">
        <v>52</v>
      </c>
      <c r="E2720" s="7">
        <v>101.25</v>
      </c>
      <c r="F2720" t="s">
        <v>20</v>
      </c>
      <c r="G2720" t="s">
        <v>21</v>
      </c>
      <c r="H2720" t="str">
        <f>"CA3202205038654"</f>
        <v>CA3202205038654</v>
      </c>
      <c r="I2720" t="str">
        <f>"00120788612011EM5023JOLENEGARC"</f>
        <v>00120788612011EM5023JOLENEGARC</v>
      </c>
    </row>
    <row r="2721" spans="1:9" x14ac:dyDescent="0.25">
      <c r="A2721" s="6">
        <v>44684</v>
      </c>
      <c r="B2721" t="s">
        <v>26</v>
      </c>
      <c r="C2721">
        <v>69378</v>
      </c>
      <c r="D2721" t="s">
        <v>52</v>
      </c>
      <c r="E2721" s="7">
        <v>101.25</v>
      </c>
      <c r="F2721" t="s">
        <v>20</v>
      </c>
      <c r="G2721" t="s">
        <v>21</v>
      </c>
      <c r="H2721" t="str">
        <f>"CSA202205038654"</f>
        <v>CSA202205038654</v>
      </c>
      <c r="I2721" t="str">
        <f>"S RODRIGUEZ 001281730413050336"</f>
        <v>S RODRIGUEZ 001281730413050336</v>
      </c>
    </row>
    <row r="2722" spans="1:9" x14ac:dyDescent="0.25">
      <c r="A2722" s="6">
        <v>44684</v>
      </c>
      <c r="B2722" t="s">
        <v>26</v>
      </c>
      <c r="C2722">
        <v>69378</v>
      </c>
      <c r="D2722" t="s">
        <v>52</v>
      </c>
      <c r="E2722" s="7">
        <v>521.54</v>
      </c>
      <c r="F2722" t="s">
        <v>20</v>
      </c>
      <c r="G2722" t="s">
        <v>21</v>
      </c>
      <c r="H2722" t="str">
        <f>"CSI202205038654"</f>
        <v>CSI202205038654</v>
      </c>
      <c r="I2722" t="str">
        <f>"KTRINIDAD0014071774CVW2000777"</f>
        <v>KTRINIDAD0014071774CVW2000777</v>
      </c>
    </row>
    <row r="2723" spans="1:9" x14ac:dyDescent="0.25">
      <c r="A2723" s="6">
        <v>44684</v>
      </c>
      <c r="B2723" t="s">
        <v>26</v>
      </c>
      <c r="C2723">
        <v>69380</v>
      </c>
      <c r="D2723" t="s">
        <v>54</v>
      </c>
      <c r="E2723" s="7">
        <v>803.43</v>
      </c>
      <c r="F2723" t="s">
        <v>20</v>
      </c>
      <c r="G2723" t="s">
        <v>21</v>
      </c>
      <c r="H2723" t="str">
        <f>"BRE202205038654"</f>
        <v>BRE202205038654</v>
      </c>
      <c r="I2723" t="str">
        <f>"CASE #180-60751 457B DEDUCT"</f>
        <v>CASE #180-60751 457B DEDUCT</v>
      </c>
    </row>
    <row r="2724" spans="1:9" x14ac:dyDescent="0.25">
      <c r="A2724" s="6">
        <v>44685</v>
      </c>
      <c r="B2724" t="s">
        <v>26</v>
      </c>
      <c r="C2724">
        <v>69381</v>
      </c>
      <c r="D2724" t="s">
        <v>1154</v>
      </c>
      <c r="E2724" s="7">
        <v>835.76</v>
      </c>
      <c r="F2724" t="s">
        <v>20</v>
      </c>
      <c r="G2724" t="s">
        <v>21</v>
      </c>
      <c r="H2724" t="str">
        <f>"5/2/2022"</f>
        <v>5/2/2022</v>
      </c>
      <c r="I2724" t="str">
        <f>"GLAZIERS"</f>
        <v>GLAZIERS</v>
      </c>
    </row>
    <row r="2725" spans="1:9" x14ac:dyDescent="0.25">
      <c r="A2725" s="6">
        <v>44685</v>
      </c>
      <c r="B2725" t="s">
        <v>26</v>
      </c>
      <c r="C2725">
        <v>69382</v>
      </c>
      <c r="D2725" t="s">
        <v>80</v>
      </c>
      <c r="E2725" s="7">
        <v>750</v>
      </c>
      <c r="F2725" t="s">
        <v>20</v>
      </c>
      <c r="G2725" t="s">
        <v>21</v>
      </c>
      <c r="H2725" t="str">
        <f>"1648-20220501-01"</f>
        <v>1648-20220501-01</v>
      </c>
      <c r="I2725" t="str">
        <f>"LVWIFI.COM"</f>
        <v>LVWIFI.COM</v>
      </c>
    </row>
    <row r="2726" spans="1:9" x14ac:dyDescent="0.25">
      <c r="A2726" s="6">
        <v>44685</v>
      </c>
      <c r="B2726" t="s">
        <v>26</v>
      </c>
      <c r="C2726">
        <v>69382</v>
      </c>
      <c r="D2726" t="s">
        <v>80</v>
      </c>
      <c r="E2726" s="7">
        <v>750</v>
      </c>
      <c r="F2726" t="s">
        <v>20</v>
      </c>
      <c r="G2726" t="s">
        <v>21</v>
      </c>
      <c r="H2726" t="str">
        <f>"2313-20220501-1"</f>
        <v>2313-20220501-1</v>
      </c>
      <c r="I2726" t="str">
        <f>"LVWIFI.COM"</f>
        <v>LVWIFI.COM</v>
      </c>
    </row>
    <row r="2727" spans="1:9" x14ac:dyDescent="0.25">
      <c r="A2727" s="6">
        <v>44685</v>
      </c>
      <c r="B2727" t="s">
        <v>26</v>
      </c>
      <c r="C2727">
        <v>69383</v>
      </c>
      <c r="D2727" t="s">
        <v>81</v>
      </c>
      <c r="E2727" s="7">
        <v>940</v>
      </c>
      <c r="F2727" t="s">
        <v>20</v>
      </c>
      <c r="G2727" t="s">
        <v>21</v>
      </c>
      <c r="H2727" t="str">
        <f>"CINCO DE MAYO 5/22"</f>
        <v>CINCO DE MAYO 5/22</v>
      </c>
      <c r="I2727" t="str">
        <f>"CITY OF FLORESVILLE -PETTY CAS"</f>
        <v>CITY OF FLORESVILLE -PETTY CAS</v>
      </c>
    </row>
    <row r="2728" spans="1:9" x14ac:dyDescent="0.25">
      <c r="A2728" s="6">
        <v>44685</v>
      </c>
      <c r="B2728" t="s">
        <v>26</v>
      </c>
      <c r="C2728">
        <v>69384</v>
      </c>
      <c r="D2728" t="s">
        <v>512</v>
      </c>
      <c r="E2728" s="7">
        <v>127.81</v>
      </c>
      <c r="F2728" t="s">
        <v>20</v>
      </c>
      <c r="G2728" t="s">
        <v>21</v>
      </c>
      <c r="H2728" t="str">
        <f>"112554386"</f>
        <v>112554386</v>
      </c>
      <c r="I2728" t="str">
        <f>"NATIONAL PEN CO. LLC"</f>
        <v>NATIONAL PEN CO. LLC</v>
      </c>
    </row>
    <row r="2729" spans="1:9" x14ac:dyDescent="0.25">
      <c r="A2729" s="6">
        <v>44685</v>
      </c>
      <c r="B2729" t="s">
        <v>26</v>
      </c>
      <c r="C2729">
        <v>69385</v>
      </c>
      <c r="D2729" t="s">
        <v>132</v>
      </c>
      <c r="E2729" s="7">
        <v>127.75</v>
      </c>
      <c r="F2729" t="s">
        <v>20</v>
      </c>
      <c r="G2729" t="s">
        <v>21</v>
      </c>
      <c r="H2729" t="str">
        <f>"16992887 042122"</f>
        <v>16992887 042122</v>
      </c>
      <c r="I2729" t="str">
        <f>"SPARKLETTS &amp; SIERRA SPRINGS"</f>
        <v>SPARKLETTS &amp; SIERRA SPRINGS</v>
      </c>
    </row>
    <row r="2730" spans="1:9" x14ac:dyDescent="0.25">
      <c r="A2730" s="6">
        <v>44685</v>
      </c>
      <c r="B2730" t="s">
        <v>26</v>
      </c>
      <c r="C2730">
        <v>69386</v>
      </c>
      <c r="D2730" t="s">
        <v>345</v>
      </c>
      <c r="E2730" s="7">
        <v>346.5</v>
      </c>
      <c r="F2730" t="s">
        <v>20</v>
      </c>
      <c r="G2730" t="s">
        <v>21</v>
      </c>
      <c r="H2730" t="str">
        <f>"5/2/2022"</f>
        <v>5/2/2022</v>
      </c>
      <c r="I2730" t="str">
        <f>"MICHAEL ISAAC MARTINEZ"</f>
        <v>MICHAEL ISAAC MARTINEZ</v>
      </c>
    </row>
    <row r="2731" spans="1:9" x14ac:dyDescent="0.25">
      <c r="A2731" s="6">
        <v>44685</v>
      </c>
      <c r="B2731" t="s">
        <v>26</v>
      </c>
      <c r="C2731">
        <v>69387</v>
      </c>
      <c r="D2731" t="s">
        <v>233</v>
      </c>
      <c r="E2731" s="7">
        <v>175</v>
      </c>
      <c r="F2731" t="s">
        <v>20</v>
      </c>
      <c r="G2731" t="s">
        <v>21</v>
      </c>
      <c r="H2731" t="str">
        <f>"CINCO DE MAYO 2022"</f>
        <v>CINCO DE MAYO 2022</v>
      </c>
      <c r="I2731" t="str">
        <f>"STEFANO CANTU"</f>
        <v>STEFANO CANTU</v>
      </c>
    </row>
    <row r="2732" spans="1:9" x14ac:dyDescent="0.25">
      <c r="A2732" s="6">
        <v>44685</v>
      </c>
      <c r="B2732" t="s">
        <v>26</v>
      </c>
      <c r="C2732">
        <v>69388</v>
      </c>
      <c r="D2732" t="s">
        <v>446</v>
      </c>
      <c r="E2732" s="7">
        <v>175</v>
      </c>
      <c r="F2732" t="s">
        <v>20</v>
      </c>
      <c r="G2732" t="s">
        <v>21</v>
      </c>
      <c r="H2732" t="str">
        <f>"CINCO DE MAYO 2022"</f>
        <v>CINCO DE MAYO 2022</v>
      </c>
      <c r="I2732" t="str">
        <f>"ISAIAH BARRIENTEZ"</f>
        <v>ISAIAH BARRIENTEZ</v>
      </c>
    </row>
    <row r="2733" spans="1:9" x14ac:dyDescent="0.25">
      <c r="A2733" s="6">
        <v>44685</v>
      </c>
      <c r="B2733" t="s">
        <v>26</v>
      </c>
      <c r="C2733">
        <v>69389</v>
      </c>
      <c r="D2733" t="s">
        <v>450</v>
      </c>
      <c r="E2733" s="7">
        <v>500</v>
      </c>
      <c r="F2733" t="s">
        <v>20</v>
      </c>
      <c r="G2733" t="s">
        <v>21</v>
      </c>
      <c r="H2733" t="str">
        <f>"EASTER CELEB 2022"</f>
        <v>EASTER CELEB 2022</v>
      </c>
      <c r="I2733" t="str">
        <f>"FOUR STAR ENTERTAINMENT"</f>
        <v>FOUR STAR ENTERTAINMENT</v>
      </c>
    </row>
    <row r="2734" spans="1:9" x14ac:dyDescent="0.25">
      <c r="A2734" s="6">
        <v>44685</v>
      </c>
      <c r="B2734" t="s">
        <v>26</v>
      </c>
      <c r="C2734">
        <v>69390</v>
      </c>
      <c r="D2734" t="s">
        <v>739</v>
      </c>
      <c r="E2734" s="7">
        <v>1413.71</v>
      </c>
      <c r="F2734" t="s">
        <v>20</v>
      </c>
      <c r="G2734" t="s">
        <v>21</v>
      </c>
      <c r="H2734" t="str">
        <f>"5286X04272022"</f>
        <v>5286X04272022</v>
      </c>
      <c r="I2734" t="str">
        <f>"FIRSTNET/AT&amp;T MOBILITY LLC"</f>
        <v>FIRSTNET/AT&amp;T MOBILITY LLC</v>
      </c>
    </row>
    <row r="2735" spans="1:9" x14ac:dyDescent="0.25">
      <c r="A2735" s="6">
        <v>44685</v>
      </c>
      <c r="B2735" t="s">
        <v>26</v>
      </c>
      <c r="C2735">
        <v>69391</v>
      </c>
      <c r="D2735" t="s">
        <v>1030</v>
      </c>
      <c r="E2735" s="7">
        <v>16723.75</v>
      </c>
      <c r="F2735" t="s">
        <v>20</v>
      </c>
      <c r="G2735" t="s">
        <v>21</v>
      </c>
      <c r="H2735" t="str">
        <f>"PAY APP #3 4/29/22"</f>
        <v>PAY APP #3 4/29/22</v>
      </c>
      <c r="I2735" t="str">
        <f>"TRIUN  LLC"</f>
        <v>TRIUN  LLC</v>
      </c>
    </row>
    <row r="2736" spans="1:9" x14ac:dyDescent="0.25">
      <c r="A2736" s="6">
        <v>44685</v>
      </c>
      <c r="B2736" t="s">
        <v>26</v>
      </c>
      <c r="C2736">
        <v>69392</v>
      </c>
      <c r="D2736" t="s">
        <v>1122</v>
      </c>
      <c r="E2736" s="7">
        <v>6995</v>
      </c>
      <c r="F2736" t="s">
        <v>20</v>
      </c>
      <c r="G2736" t="s">
        <v>21</v>
      </c>
      <c r="H2736" t="str">
        <f>"042422"</f>
        <v>042422</v>
      </c>
      <c r="I2736" t="str">
        <f>"BOSTEX FENCE CO"</f>
        <v>BOSTEX FENCE CO</v>
      </c>
    </row>
    <row r="2737" spans="1:9" x14ac:dyDescent="0.25">
      <c r="A2737" s="6">
        <v>44685</v>
      </c>
      <c r="B2737" t="s">
        <v>26</v>
      </c>
      <c r="C2737">
        <v>69393</v>
      </c>
      <c r="D2737" t="s">
        <v>1172</v>
      </c>
      <c r="E2737" s="7">
        <v>685</v>
      </c>
      <c r="F2737" t="s">
        <v>20</v>
      </c>
      <c r="G2737" t="s">
        <v>21</v>
      </c>
      <c r="H2737" t="str">
        <f>"427"</f>
        <v>427</v>
      </c>
      <c r="I2737" t="str">
        <f>"CUTLER PEESE"</f>
        <v>CUTLER PEESE</v>
      </c>
    </row>
    <row r="2738" spans="1:9" x14ac:dyDescent="0.25">
      <c r="A2738" s="6">
        <v>44685</v>
      </c>
      <c r="B2738" t="s">
        <v>26</v>
      </c>
      <c r="C2738">
        <v>69394</v>
      </c>
      <c r="D2738" t="s">
        <v>81</v>
      </c>
      <c r="E2738" s="7">
        <v>111.9</v>
      </c>
      <c r="F2738" t="s">
        <v>20</v>
      </c>
      <c r="G2738" t="s">
        <v>21</v>
      </c>
      <c r="H2738" t="str">
        <f>"A.MARTINEZ 5/4/22"</f>
        <v>A.MARTINEZ 5/4/22</v>
      </c>
      <c r="I2738" t="str">
        <f>"CITY OF FLORESVILLE -PETTY CAS"</f>
        <v>CITY OF FLORESVILLE -PETTY CAS</v>
      </c>
    </row>
    <row r="2739" spans="1:9" x14ac:dyDescent="0.25">
      <c r="A2739" s="6">
        <v>44685</v>
      </c>
      <c r="B2739" t="s">
        <v>26</v>
      </c>
      <c r="C2739">
        <v>69395</v>
      </c>
      <c r="D2739" t="s">
        <v>1116</v>
      </c>
      <c r="E2739" s="7">
        <v>150</v>
      </c>
      <c r="F2739" t="s">
        <v>20</v>
      </c>
      <c r="G2739" t="s">
        <v>21</v>
      </c>
      <c r="H2739" t="str">
        <f>"000004"</f>
        <v>000004</v>
      </c>
      <c r="I2739" t="str">
        <f>"TARA LYNN MAZUR"</f>
        <v>TARA LYNN MAZUR</v>
      </c>
    </row>
    <row r="2740" spans="1:9" x14ac:dyDescent="0.25">
      <c r="A2740" s="6">
        <v>44685</v>
      </c>
      <c r="B2740" t="s">
        <v>26</v>
      </c>
      <c r="C2740">
        <v>69396</v>
      </c>
      <c r="D2740" t="s">
        <v>31</v>
      </c>
      <c r="E2740" s="7">
        <v>5067.76</v>
      </c>
      <c r="F2740" t="s">
        <v>20</v>
      </c>
      <c r="G2740" t="s">
        <v>21</v>
      </c>
      <c r="H2740" t="str">
        <f>"2022298"</f>
        <v>2022298</v>
      </c>
      <c r="I2740" t="str">
        <f>"THE LAW OFFICE OF TOM CALDWELL"</f>
        <v>THE LAW OFFICE OF TOM CALDWELL</v>
      </c>
    </row>
    <row r="2741" spans="1:9" x14ac:dyDescent="0.25">
      <c r="A2741" s="6">
        <v>44685</v>
      </c>
      <c r="B2741" t="s">
        <v>26</v>
      </c>
      <c r="C2741">
        <v>69397</v>
      </c>
      <c r="D2741" t="s">
        <v>81</v>
      </c>
      <c r="E2741" s="7">
        <v>243.84</v>
      </c>
      <c r="F2741" t="s">
        <v>20</v>
      </c>
      <c r="G2741" t="s">
        <v>21</v>
      </c>
      <c r="H2741" t="str">
        <f>"A.MONTOYA 5/4/22"</f>
        <v>A.MONTOYA 5/4/22</v>
      </c>
      <c r="I2741" t="str">
        <f>"CITY OF FLORESVILLE -PETTY CAS"</f>
        <v>CITY OF FLORESVILLE -PETTY CAS</v>
      </c>
    </row>
    <row r="2742" spans="1:9" x14ac:dyDescent="0.25">
      <c r="A2742" s="6">
        <v>44685</v>
      </c>
      <c r="B2742" t="s">
        <v>26</v>
      </c>
      <c r="C2742">
        <v>69398</v>
      </c>
      <c r="D2742" t="s">
        <v>1193</v>
      </c>
      <c r="E2742" s="7">
        <v>85</v>
      </c>
      <c r="F2742" t="s">
        <v>20</v>
      </c>
      <c r="G2742" t="s">
        <v>21</v>
      </c>
      <c r="H2742" t="str">
        <f>"PHYSICAL EXAM"</f>
        <v>PHYSICAL EXAM</v>
      </c>
      <c r="I2742" t="str">
        <f>"RUBEN SANCHEZ"</f>
        <v>RUBEN SANCHEZ</v>
      </c>
    </row>
    <row r="2743" spans="1:9" x14ac:dyDescent="0.25">
      <c r="A2743" s="6">
        <v>44685</v>
      </c>
      <c r="B2743" t="s">
        <v>26</v>
      </c>
      <c r="C2743">
        <v>69399</v>
      </c>
      <c r="D2743" t="s">
        <v>637</v>
      </c>
      <c r="E2743" s="7">
        <v>75</v>
      </c>
      <c r="F2743" t="s">
        <v>20</v>
      </c>
      <c r="G2743" t="s">
        <v>21</v>
      </c>
      <c r="H2743" t="str">
        <f>"52022-COUNCIL"</f>
        <v>52022-COUNCIL</v>
      </c>
      <c r="I2743" t="str">
        <f>""</f>
        <v/>
      </c>
    </row>
    <row r="2744" spans="1:9" x14ac:dyDescent="0.25">
      <c r="A2744" s="6">
        <v>44685</v>
      </c>
      <c r="B2744" t="s">
        <v>26</v>
      </c>
      <c r="C2744">
        <v>69400</v>
      </c>
      <c r="D2744" t="s">
        <v>81</v>
      </c>
      <c r="E2744" s="7">
        <v>326.05</v>
      </c>
      <c r="F2744" t="s">
        <v>20</v>
      </c>
      <c r="G2744" t="s">
        <v>21</v>
      </c>
      <c r="H2744" t="str">
        <f>"EVENT CENTER5/22"</f>
        <v>EVENT CENTER5/22</v>
      </c>
      <c r="I2744" t="str">
        <f>"CITY OF FLORESVILLE -PETTY CAS"</f>
        <v>CITY OF FLORESVILLE -PETTY CAS</v>
      </c>
    </row>
    <row r="2745" spans="1:9" x14ac:dyDescent="0.25">
      <c r="A2745" s="6">
        <v>44685</v>
      </c>
      <c r="B2745" t="s">
        <v>26</v>
      </c>
      <c r="C2745">
        <v>69401</v>
      </c>
      <c r="D2745" t="s">
        <v>36</v>
      </c>
      <c r="E2745" s="7">
        <v>75</v>
      </c>
      <c r="F2745" t="s">
        <v>20</v>
      </c>
      <c r="G2745" t="s">
        <v>21</v>
      </c>
      <c r="H2745" t="str">
        <f>"52022-COUNCIL"</f>
        <v>52022-COUNCIL</v>
      </c>
      <c r="I2745" t="str">
        <f>""</f>
        <v/>
      </c>
    </row>
    <row r="2746" spans="1:9" x14ac:dyDescent="0.25">
      <c r="A2746" s="6">
        <v>44685</v>
      </c>
      <c r="B2746" t="s">
        <v>26</v>
      </c>
      <c r="C2746">
        <v>69402</v>
      </c>
      <c r="D2746" t="s">
        <v>38</v>
      </c>
      <c r="E2746" s="7">
        <v>100</v>
      </c>
      <c r="F2746" t="s">
        <v>20</v>
      </c>
      <c r="G2746" t="s">
        <v>21</v>
      </c>
      <c r="H2746" t="str">
        <f>"52022-COUNCIL"</f>
        <v>52022-COUNCIL</v>
      </c>
      <c r="I2746" t="str">
        <f>""</f>
        <v/>
      </c>
    </row>
    <row r="2747" spans="1:9" x14ac:dyDescent="0.25">
      <c r="A2747" s="6">
        <v>44685</v>
      </c>
      <c r="B2747" t="s">
        <v>26</v>
      </c>
      <c r="C2747">
        <v>69403</v>
      </c>
      <c r="D2747" t="s">
        <v>558</v>
      </c>
      <c r="E2747" s="7">
        <v>75</v>
      </c>
      <c r="F2747" t="s">
        <v>20</v>
      </c>
      <c r="G2747" t="s">
        <v>21</v>
      </c>
      <c r="H2747" t="str">
        <f>"52022-COUNCIL"</f>
        <v>52022-COUNCIL</v>
      </c>
      <c r="I2747" t="str">
        <f>"MONTHLY COUNCIL CHECKS"</f>
        <v>MONTHLY COUNCIL CHECKS</v>
      </c>
    </row>
    <row r="2748" spans="1:9" x14ac:dyDescent="0.25">
      <c r="A2748" s="6">
        <v>44685</v>
      </c>
      <c r="B2748" t="s">
        <v>26</v>
      </c>
      <c r="C2748">
        <v>69404</v>
      </c>
      <c r="D2748" t="s">
        <v>889</v>
      </c>
      <c r="E2748" s="7">
        <v>75</v>
      </c>
      <c r="F2748" t="s">
        <v>20</v>
      </c>
      <c r="G2748" t="s">
        <v>21</v>
      </c>
      <c r="H2748" t="str">
        <f>"52022-COUNCIL"</f>
        <v>52022-COUNCIL</v>
      </c>
      <c r="I2748" t="str">
        <f>""</f>
        <v/>
      </c>
    </row>
    <row r="2749" spans="1:9" x14ac:dyDescent="0.25">
      <c r="A2749" s="6">
        <v>44685</v>
      </c>
      <c r="B2749" t="s">
        <v>26</v>
      </c>
      <c r="C2749">
        <v>69405</v>
      </c>
      <c r="D2749" t="s">
        <v>1011</v>
      </c>
      <c r="E2749" s="7">
        <v>75</v>
      </c>
      <c r="F2749" t="s">
        <v>20</v>
      </c>
      <c r="G2749" t="s">
        <v>21</v>
      </c>
      <c r="H2749" t="str">
        <f>"52022-COUNCIL"</f>
        <v>52022-COUNCIL</v>
      </c>
      <c r="I2749" t="str">
        <f>""</f>
        <v/>
      </c>
    </row>
    <row r="2750" spans="1:9" x14ac:dyDescent="0.25">
      <c r="A2750" s="6">
        <v>44685</v>
      </c>
      <c r="B2750" t="s">
        <v>26</v>
      </c>
      <c r="C2750">
        <v>69406</v>
      </c>
      <c r="D2750" t="s">
        <v>95</v>
      </c>
      <c r="E2750" s="7">
        <v>12.66</v>
      </c>
      <c r="F2750" t="s">
        <v>20</v>
      </c>
      <c r="G2750" t="s">
        <v>21</v>
      </c>
      <c r="H2750" t="str">
        <f>"LEA202204058648"</f>
        <v>LEA202204058648</v>
      </c>
      <c r="I2750" t="str">
        <f>"INSURANCE"</f>
        <v>INSURANCE</v>
      </c>
    </row>
    <row r="2751" spans="1:9" x14ac:dyDescent="0.25">
      <c r="A2751" s="6">
        <v>44685</v>
      </c>
      <c r="B2751" t="s">
        <v>26</v>
      </c>
      <c r="C2751">
        <v>69406</v>
      </c>
      <c r="D2751" t="s">
        <v>95</v>
      </c>
      <c r="E2751" s="7">
        <v>12.66</v>
      </c>
      <c r="F2751" t="s">
        <v>20</v>
      </c>
      <c r="G2751" t="s">
        <v>21</v>
      </c>
      <c r="H2751" t="str">
        <f>"LEA202204198650"</f>
        <v>LEA202204198650</v>
      </c>
      <c r="I2751" t="str">
        <f>"INSURANCE"</f>
        <v>INSURANCE</v>
      </c>
    </row>
    <row r="2752" spans="1:9" x14ac:dyDescent="0.25">
      <c r="A2752" s="6">
        <v>44685</v>
      </c>
      <c r="B2752" t="s">
        <v>26</v>
      </c>
      <c r="C2752">
        <v>69407</v>
      </c>
      <c r="D2752" t="s">
        <v>96</v>
      </c>
      <c r="E2752" s="7">
        <v>112.62</v>
      </c>
      <c r="F2752" t="s">
        <v>20</v>
      </c>
      <c r="G2752" t="s">
        <v>21</v>
      </c>
      <c r="H2752" t="str">
        <f>"PPL202204058648"</f>
        <v>PPL202204058648</v>
      </c>
      <c r="I2752" t="str">
        <f>"INSURANCE"</f>
        <v>INSURANCE</v>
      </c>
    </row>
    <row r="2753" spans="1:9" x14ac:dyDescent="0.25">
      <c r="A2753" s="6">
        <v>44685</v>
      </c>
      <c r="B2753" t="s">
        <v>26</v>
      </c>
      <c r="C2753">
        <v>69407</v>
      </c>
      <c r="D2753" t="s">
        <v>96</v>
      </c>
      <c r="E2753" s="7">
        <v>112.62</v>
      </c>
      <c r="F2753" t="s">
        <v>20</v>
      </c>
      <c r="G2753" t="s">
        <v>21</v>
      </c>
      <c r="H2753" t="str">
        <f>"PPL202204198650"</f>
        <v>PPL202204198650</v>
      </c>
      <c r="I2753" t="str">
        <f>"INSURANCE"</f>
        <v>INSURANCE</v>
      </c>
    </row>
    <row r="2754" spans="1:9" x14ac:dyDescent="0.25">
      <c r="A2754" s="6">
        <v>44685</v>
      </c>
      <c r="B2754" t="s">
        <v>26</v>
      </c>
      <c r="C2754">
        <v>69408</v>
      </c>
      <c r="D2754" t="s">
        <v>92</v>
      </c>
      <c r="E2754" s="7">
        <v>17350.21</v>
      </c>
      <c r="F2754" t="s">
        <v>20</v>
      </c>
      <c r="G2754" t="s">
        <v>21</v>
      </c>
      <c r="H2754" t="str">
        <f>"RET202204058648"</f>
        <v>RET202204058648</v>
      </c>
      <c r="I2754" t="str">
        <f>"TMRS CITY OF FLORESVILLE"</f>
        <v>TMRS CITY OF FLORESVILLE</v>
      </c>
    </row>
    <row r="2755" spans="1:9" x14ac:dyDescent="0.25">
      <c r="A2755" s="6">
        <v>44685</v>
      </c>
      <c r="B2755" t="s">
        <v>26</v>
      </c>
      <c r="C2755">
        <v>69408</v>
      </c>
      <c r="D2755" t="s">
        <v>92</v>
      </c>
      <c r="E2755" s="7">
        <v>17432.759999999998</v>
      </c>
      <c r="F2755" t="s">
        <v>20</v>
      </c>
      <c r="G2755" t="s">
        <v>21</v>
      </c>
      <c r="H2755" t="str">
        <f>"RET202204198650"</f>
        <v>RET202204198650</v>
      </c>
      <c r="I2755" t="str">
        <f>"TMRS CITY OF FLORESVILLE"</f>
        <v>TMRS CITY OF FLORESVILLE</v>
      </c>
    </row>
    <row r="2756" spans="1:9" x14ac:dyDescent="0.25">
      <c r="A2756" s="6">
        <v>44685</v>
      </c>
      <c r="B2756" t="s">
        <v>26</v>
      </c>
      <c r="C2756">
        <v>69412</v>
      </c>
      <c r="D2756" t="s">
        <v>205</v>
      </c>
      <c r="E2756" s="7">
        <v>47</v>
      </c>
      <c r="F2756" t="s">
        <v>20</v>
      </c>
      <c r="G2756" t="s">
        <v>21</v>
      </c>
      <c r="H2756" t="str">
        <f>"05/04/2022"</f>
        <v>05/04/2022</v>
      </c>
      <c r="I2756" t="str">
        <f>"SILVER EAGLE DISTRIBUTORS"</f>
        <v>SILVER EAGLE DISTRIBUTORS</v>
      </c>
    </row>
    <row r="2757" spans="1:9" x14ac:dyDescent="0.25">
      <c r="A2757" s="6">
        <v>44690</v>
      </c>
      <c r="B2757" t="s">
        <v>26</v>
      </c>
      <c r="C2757">
        <v>69413</v>
      </c>
      <c r="D2757" t="s">
        <v>90</v>
      </c>
      <c r="E2757" s="7">
        <v>42.84</v>
      </c>
      <c r="F2757" t="s">
        <v>20</v>
      </c>
      <c r="G2757" t="s">
        <v>329</v>
      </c>
      <c r="H2757" t="str">
        <f>"954902*"</f>
        <v>954902*</v>
      </c>
      <c r="I2757" t="str">
        <f>"AFLAC"</f>
        <v>AFLAC</v>
      </c>
    </row>
    <row r="2758" spans="1:9" x14ac:dyDescent="0.25">
      <c r="A2758" s="6">
        <v>44690</v>
      </c>
      <c r="B2758" t="s">
        <v>26</v>
      </c>
      <c r="C2758">
        <v>69413</v>
      </c>
      <c r="D2758" t="s">
        <v>90</v>
      </c>
      <c r="E2758" s="7">
        <v>88.57</v>
      </c>
      <c r="F2758" t="s">
        <v>20</v>
      </c>
      <c r="G2758" t="s">
        <v>21</v>
      </c>
      <c r="H2758" t="str">
        <f>"ACA202204058648"</f>
        <v>ACA202204058648</v>
      </c>
      <c r="I2758" t="str">
        <f>"AFLAC INSURANCE"</f>
        <v>AFLAC INSURANCE</v>
      </c>
    </row>
    <row r="2759" spans="1:9" x14ac:dyDescent="0.25">
      <c r="A2759" s="6">
        <v>44690</v>
      </c>
      <c r="B2759" t="s">
        <v>26</v>
      </c>
      <c r="C2759">
        <v>69413</v>
      </c>
      <c r="D2759" t="s">
        <v>90</v>
      </c>
      <c r="E2759" s="7">
        <v>88.57</v>
      </c>
      <c r="F2759" t="s">
        <v>20</v>
      </c>
      <c r="G2759" t="s">
        <v>21</v>
      </c>
      <c r="H2759" t="str">
        <f>"ACA202204198650"</f>
        <v>ACA202204198650</v>
      </c>
      <c r="I2759" t="str">
        <f>"AFLAC INSURANCE"</f>
        <v>AFLAC INSURANCE</v>
      </c>
    </row>
    <row r="2760" spans="1:9" x14ac:dyDescent="0.25">
      <c r="A2760" s="6">
        <v>44690</v>
      </c>
      <c r="B2760" t="s">
        <v>26</v>
      </c>
      <c r="C2760">
        <v>69413</v>
      </c>
      <c r="D2760" t="s">
        <v>90</v>
      </c>
      <c r="E2760" s="7">
        <v>88.57</v>
      </c>
      <c r="F2760" t="s">
        <v>20</v>
      </c>
      <c r="G2760" t="s">
        <v>21</v>
      </c>
      <c r="H2760" t="str">
        <f>"ACA202205038654"</f>
        <v>ACA202205038654</v>
      </c>
      <c r="I2760" t="str">
        <f>"AFLAC INSURANCE"</f>
        <v>AFLAC INSURANCE</v>
      </c>
    </row>
    <row r="2761" spans="1:9" x14ac:dyDescent="0.25">
      <c r="A2761" s="6">
        <v>44690</v>
      </c>
      <c r="B2761" t="s">
        <v>26</v>
      </c>
      <c r="C2761">
        <v>69413</v>
      </c>
      <c r="D2761" t="s">
        <v>90</v>
      </c>
      <c r="E2761" s="7">
        <v>15.06</v>
      </c>
      <c r="F2761" t="s">
        <v>20</v>
      </c>
      <c r="G2761" t="s">
        <v>21</v>
      </c>
      <c r="H2761" t="str">
        <f>"ADR202204058648"</f>
        <v>ADR202204058648</v>
      </c>
      <c r="I2761" t="str">
        <f>"INSURANCE"</f>
        <v>INSURANCE</v>
      </c>
    </row>
    <row r="2762" spans="1:9" x14ac:dyDescent="0.25">
      <c r="A2762" s="6">
        <v>44690</v>
      </c>
      <c r="B2762" t="s">
        <v>26</v>
      </c>
      <c r="C2762">
        <v>69413</v>
      </c>
      <c r="D2762" t="s">
        <v>90</v>
      </c>
      <c r="E2762" s="7">
        <v>15.06</v>
      </c>
      <c r="F2762" t="s">
        <v>20</v>
      </c>
      <c r="G2762" t="s">
        <v>21</v>
      </c>
      <c r="H2762" t="str">
        <f>"ADR202204198650"</f>
        <v>ADR202204198650</v>
      </c>
      <c r="I2762" t="str">
        <f>"INSURANCE"</f>
        <v>INSURANCE</v>
      </c>
    </row>
    <row r="2763" spans="1:9" x14ac:dyDescent="0.25">
      <c r="A2763" s="6">
        <v>44690</v>
      </c>
      <c r="B2763" t="s">
        <v>26</v>
      </c>
      <c r="C2763">
        <v>69413</v>
      </c>
      <c r="D2763" t="s">
        <v>90</v>
      </c>
      <c r="E2763" s="7">
        <v>15.06</v>
      </c>
      <c r="F2763" t="s">
        <v>20</v>
      </c>
      <c r="G2763" t="s">
        <v>21</v>
      </c>
      <c r="H2763" t="str">
        <f>"ADR202205038654"</f>
        <v>ADR202205038654</v>
      </c>
      <c r="I2763" t="str">
        <f>"INSURANCE"</f>
        <v>INSURANCE</v>
      </c>
    </row>
    <row r="2764" spans="1:9" x14ac:dyDescent="0.25">
      <c r="A2764" s="6">
        <v>44690</v>
      </c>
      <c r="B2764" t="s">
        <v>26</v>
      </c>
      <c r="C2764">
        <v>69413</v>
      </c>
      <c r="D2764" t="s">
        <v>90</v>
      </c>
      <c r="E2764" s="7">
        <v>466.86</v>
      </c>
      <c r="F2764" t="s">
        <v>20</v>
      </c>
      <c r="G2764" t="s">
        <v>21</v>
      </c>
      <c r="H2764" t="str">
        <f>"AF1202204058648"</f>
        <v>AF1202204058648</v>
      </c>
      <c r="I2764" t="str">
        <f>"AFLAC INSURANCE"</f>
        <v>AFLAC INSURANCE</v>
      </c>
    </row>
    <row r="2765" spans="1:9" x14ac:dyDescent="0.25">
      <c r="A2765" s="6">
        <v>44690</v>
      </c>
      <c r="B2765" t="s">
        <v>26</v>
      </c>
      <c r="C2765">
        <v>69413</v>
      </c>
      <c r="D2765" t="s">
        <v>90</v>
      </c>
      <c r="E2765" s="7">
        <v>466.86</v>
      </c>
      <c r="F2765" t="s">
        <v>20</v>
      </c>
      <c r="G2765" t="s">
        <v>21</v>
      </c>
      <c r="H2765" t="str">
        <f>"AF1202204198650"</f>
        <v>AF1202204198650</v>
      </c>
      <c r="I2765" t="str">
        <f>"AFLAC INSURANCE"</f>
        <v>AFLAC INSURANCE</v>
      </c>
    </row>
    <row r="2766" spans="1:9" x14ac:dyDescent="0.25">
      <c r="A2766" s="6">
        <v>44690</v>
      </c>
      <c r="B2766" t="s">
        <v>26</v>
      </c>
      <c r="C2766">
        <v>69413</v>
      </c>
      <c r="D2766" t="s">
        <v>90</v>
      </c>
      <c r="E2766" s="7">
        <v>466.86</v>
      </c>
      <c r="F2766" t="s">
        <v>20</v>
      </c>
      <c r="G2766" t="s">
        <v>21</v>
      </c>
      <c r="H2766" t="str">
        <f>"AF1202205038654"</f>
        <v>AF1202205038654</v>
      </c>
      <c r="I2766" t="str">
        <f>"AFLAC INSURANCE"</f>
        <v>AFLAC INSURANCE</v>
      </c>
    </row>
    <row r="2767" spans="1:9" x14ac:dyDescent="0.25">
      <c r="A2767" s="6">
        <v>44690</v>
      </c>
      <c r="B2767" t="s">
        <v>26</v>
      </c>
      <c r="C2767">
        <v>69413</v>
      </c>
      <c r="D2767" t="s">
        <v>90</v>
      </c>
      <c r="E2767" s="7">
        <v>102.24</v>
      </c>
      <c r="F2767" t="s">
        <v>20</v>
      </c>
      <c r="G2767" t="s">
        <v>21</v>
      </c>
      <c r="H2767" t="str">
        <f>"AFS202204058648"</f>
        <v>AFS202204058648</v>
      </c>
      <c r="I2767" t="str">
        <f>"AFLAC STD"</f>
        <v>AFLAC STD</v>
      </c>
    </row>
    <row r="2768" spans="1:9" x14ac:dyDescent="0.25">
      <c r="A2768" s="6">
        <v>44690</v>
      </c>
      <c r="B2768" t="s">
        <v>26</v>
      </c>
      <c r="C2768">
        <v>69413</v>
      </c>
      <c r="D2768" t="s">
        <v>90</v>
      </c>
      <c r="E2768" s="7">
        <v>102.24</v>
      </c>
      <c r="F2768" t="s">
        <v>20</v>
      </c>
      <c r="G2768" t="s">
        <v>21</v>
      </c>
      <c r="H2768" t="str">
        <f>"AFS202204198650"</f>
        <v>AFS202204198650</v>
      </c>
      <c r="I2768" t="str">
        <f>"AFLAC STD"</f>
        <v>AFLAC STD</v>
      </c>
    </row>
    <row r="2769" spans="1:9" x14ac:dyDescent="0.25">
      <c r="A2769" s="6">
        <v>44690</v>
      </c>
      <c r="B2769" t="s">
        <v>26</v>
      </c>
      <c r="C2769">
        <v>69413</v>
      </c>
      <c r="D2769" t="s">
        <v>90</v>
      </c>
      <c r="E2769" s="7">
        <v>102.24</v>
      </c>
      <c r="F2769" t="s">
        <v>20</v>
      </c>
      <c r="G2769" t="s">
        <v>21</v>
      </c>
      <c r="H2769" t="str">
        <f>"AFS202205038654"</f>
        <v>AFS202205038654</v>
      </c>
      <c r="I2769" t="str">
        <f>"AFLAC STD"</f>
        <v>AFLAC STD</v>
      </c>
    </row>
    <row r="2770" spans="1:9" x14ac:dyDescent="0.25">
      <c r="A2770" s="6">
        <v>44690</v>
      </c>
      <c r="B2770" t="s">
        <v>26</v>
      </c>
      <c r="C2770">
        <v>69413</v>
      </c>
      <c r="D2770" t="s">
        <v>90</v>
      </c>
      <c r="E2770" s="7">
        <v>33.54</v>
      </c>
      <c r="F2770" t="s">
        <v>20</v>
      </c>
      <c r="G2770" t="s">
        <v>21</v>
      </c>
      <c r="H2770" t="str">
        <f>"ASP202204058648"</f>
        <v>ASP202204058648</v>
      </c>
      <c r="I2770" t="str">
        <f t="shared" ref="I2770:I2775" si="65">"AFLAC INSURANCE"</f>
        <v>AFLAC INSURANCE</v>
      </c>
    </row>
    <row r="2771" spans="1:9" x14ac:dyDescent="0.25">
      <c r="A2771" s="6">
        <v>44690</v>
      </c>
      <c r="B2771" t="s">
        <v>26</v>
      </c>
      <c r="C2771">
        <v>69413</v>
      </c>
      <c r="D2771" t="s">
        <v>90</v>
      </c>
      <c r="E2771" s="7">
        <v>33.54</v>
      </c>
      <c r="F2771" t="s">
        <v>20</v>
      </c>
      <c r="G2771" t="s">
        <v>21</v>
      </c>
      <c r="H2771" t="str">
        <f>"ASP202204198650"</f>
        <v>ASP202204198650</v>
      </c>
      <c r="I2771" t="str">
        <f t="shared" si="65"/>
        <v>AFLAC INSURANCE</v>
      </c>
    </row>
    <row r="2772" spans="1:9" x14ac:dyDescent="0.25">
      <c r="A2772" s="6">
        <v>44690</v>
      </c>
      <c r="B2772" t="s">
        <v>26</v>
      </c>
      <c r="C2772">
        <v>69413</v>
      </c>
      <c r="D2772" t="s">
        <v>90</v>
      </c>
      <c r="E2772" s="7">
        <v>33.54</v>
      </c>
      <c r="F2772" t="s">
        <v>20</v>
      </c>
      <c r="G2772" t="s">
        <v>21</v>
      </c>
      <c r="H2772" t="str">
        <f>"ASP202205038654"</f>
        <v>ASP202205038654</v>
      </c>
      <c r="I2772" t="str">
        <f t="shared" si="65"/>
        <v>AFLAC INSURANCE</v>
      </c>
    </row>
    <row r="2773" spans="1:9" x14ac:dyDescent="0.25">
      <c r="A2773" s="6">
        <v>44690</v>
      </c>
      <c r="B2773" t="s">
        <v>26</v>
      </c>
      <c r="C2773">
        <v>69413</v>
      </c>
      <c r="D2773" t="s">
        <v>90</v>
      </c>
      <c r="E2773" s="7">
        <v>143.76</v>
      </c>
      <c r="F2773" t="s">
        <v>20</v>
      </c>
      <c r="G2773" t="s">
        <v>21</v>
      </c>
      <c r="H2773" t="str">
        <f>"HCO202204058648"</f>
        <v>HCO202204058648</v>
      </c>
      <c r="I2773" t="str">
        <f t="shared" si="65"/>
        <v>AFLAC INSURANCE</v>
      </c>
    </row>
    <row r="2774" spans="1:9" x14ac:dyDescent="0.25">
      <c r="A2774" s="6">
        <v>44690</v>
      </c>
      <c r="B2774" t="s">
        <v>26</v>
      </c>
      <c r="C2774">
        <v>69413</v>
      </c>
      <c r="D2774" t="s">
        <v>90</v>
      </c>
      <c r="E2774" s="7">
        <v>143.76</v>
      </c>
      <c r="F2774" t="s">
        <v>20</v>
      </c>
      <c r="G2774" t="s">
        <v>21</v>
      </c>
      <c r="H2774" t="str">
        <f>"HCO202204198650"</f>
        <v>HCO202204198650</v>
      </c>
      <c r="I2774" t="str">
        <f t="shared" si="65"/>
        <v>AFLAC INSURANCE</v>
      </c>
    </row>
    <row r="2775" spans="1:9" x14ac:dyDescent="0.25">
      <c r="A2775" s="6">
        <v>44690</v>
      </c>
      <c r="B2775" t="s">
        <v>26</v>
      </c>
      <c r="C2775">
        <v>69413</v>
      </c>
      <c r="D2775" t="s">
        <v>90</v>
      </c>
      <c r="E2775" s="7">
        <v>143.76</v>
      </c>
      <c r="F2775" t="s">
        <v>20</v>
      </c>
      <c r="G2775" t="s">
        <v>21</v>
      </c>
      <c r="H2775" t="str">
        <f>"HCO202205038654"</f>
        <v>HCO202205038654</v>
      </c>
      <c r="I2775" t="str">
        <f t="shared" si="65"/>
        <v>AFLAC INSURANCE</v>
      </c>
    </row>
    <row r="2776" spans="1:9" x14ac:dyDescent="0.25">
      <c r="A2776" s="6">
        <v>44690</v>
      </c>
      <c r="B2776" t="s">
        <v>26</v>
      </c>
      <c r="C2776">
        <v>69420</v>
      </c>
      <c r="D2776" t="s">
        <v>98</v>
      </c>
      <c r="E2776" s="7">
        <v>-572.62</v>
      </c>
      <c r="F2776" t="s">
        <v>20</v>
      </c>
      <c r="G2776" t="s">
        <v>24</v>
      </c>
      <c r="H2776" t="str">
        <f>"APRIL 2022"</f>
        <v>APRIL 2022</v>
      </c>
      <c r="I2776" t="str">
        <f>"DEARBORN LIFE INSURANCE COMPAN"</f>
        <v>DEARBORN LIFE INSURANCE COMPAN</v>
      </c>
    </row>
    <row r="2777" spans="1:9" x14ac:dyDescent="0.25">
      <c r="A2777" s="6">
        <v>44690</v>
      </c>
      <c r="B2777" t="s">
        <v>26</v>
      </c>
      <c r="C2777">
        <v>69420</v>
      </c>
      <c r="D2777" t="s">
        <v>98</v>
      </c>
      <c r="E2777" s="7">
        <v>381.39</v>
      </c>
      <c r="F2777" t="s">
        <v>20</v>
      </c>
      <c r="G2777" t="s">
        <v>21</v>
      </c>
      <c r="H2777" t="str">
        <f>"STD202204058648"</f>
        <v>STD202204058648</v>
      </c>
      <c r="I2777" t="str">
        <f>"SHORT TERM DISABILITY"</f>
        <v>SHORT TERM DISABILITY</v>
      </c>
    </row>
    <row r="2778" spans="1:9" x14ac:dyDescent="0.25">
      <c r="A2778" s="6">
        <v>44690</v>
      </c>
      <c r="B2778" t="s">
        <v>26</v>
      </c>
      <c r="C2778">
        <v>69420</v>
      </c>
      <c r="D2778" t="s">
        <v>98</v>
      </c>
      <c r="E2778" s="7">
        <v>381.39</v>
      </c>
      <c r="F2778" t="s">
        <v>20</v>
      </c>
      <c r="G2778" t="s">
        <v>21</v>
      </c>
      <c r="H2778" t="str">
        <f>"STD202204198650"</f>
        <v>STD202204198650</v>
      </c>
      <c r="I2778" t="str">
        <f>"SHORT TERM DISABILITY"</f>
        <v>SHORT TERM DISABILITY</v>
      </c>
    </row>
    <row r="2779" spans="1:9" x14ac:dyDescent="0.25">
      <c r="A2779" s="6">
        <v>44690</v>
      </c>
      <c r="B2779" t="s">
        <v>26</v>
      </c>
      <c r="C2779">
        <v>69420</v>
      </c>
      <c r="D2779" t="s">
        <v>98</v>
      </c>
      <c r="E2779" s="7">
        <v>289.37</v>
      </c>
      <c r="F2779" t="s">
        <v>20</v>
      </c>
      <c r="G2779" t="s">
        <v>21</v>
      </c>
      <c r="H2779" t="str">
        <f>"VIS202204058648"</f>
        <v>VIS202204058648</v>
      </c>
      <c r="I2779" t="str">
        <f>"VISION INSURANCE"</f>
        <v>VISION INSURANCE</v>
      </c>
    </row>
    <row r="2780" spans="1:9" x14ac:dyDescent="0.25">
      <c r="A2780" s="6">
        <v>44690</v>
      </c>
      <c r="B2780" t="s">
        <v>26</v>
      </c>
      <c r="C2780">
        <v>69420</v>
      </c>
      <c r="D2780" t="s">
        <v>98</v>
      </c>
      <c r="E2780" s="7">
        <v>289.37</v>
      </c>
      <c r="F2780" t="s">
        <v>20</v>
      </c>
      <c r="G2780" t="s">
        <v>21</v>
      </c>
      <c r="H2780" t="str">
        <f>"VIS202204198650"</f>
        <v>VIS202204198650</v>
      </c>
      <c r="I2780" t="str">
        <f>"VISION INSURANCE"</f>
        <v>VISION INSURANCE</v>
      </c>
    </row>
    <row r="2781" spans="1:9" x14ac:dyDescent="0.25">
      <c r="A2781" s="6">
        <v>44690</v>
      </c>
      <c r="B2781" t="s">
        <v>26</v>
      </c>
      <c r="C2781">
        <v>69420</v>
      </c>
      <c r="D2781" t="s">
        <v>98</v>
      </c>
      <c r="E2781" s="7">
        <v>66.13</v>
      </c>
      <c r="F2781" t="s">
        <v>20</v>
      </c>
      <c r="G2781" t="s">
        <v>21</v>
      </c>
      <c r="H2781" t="str">
        <f>"VLC202204058648"</f>
        <v>VLC202204058648</v>
      </c>
      <c r="I2781" t="str">
        <f>"CHILD LIFE INSURANCE"</f>
        <v>CHILD LIFE INSURANCE</v>
      </c>
    </row>
    <row r="2782" spans="1:9" x14ac:dyDescent="0.25">
      <c r="A2782" s="6">
        <v>44690</v>
      </c>
      <c r="B2782" t="s">
        <v>26</v>
      </c>
      <c r="C2782">
        <v>69420</v>
      </c>
      <c r="D2782" t="s">
        <v>98</v>
      </c>
      <c r="E2782" s="7">
        <v>66.13</v>
      </c>
      <c r="F2782" t="s">
        <v>20</v>
      </c>
      <c r="G2782" t="s">
        <v>21</v>
      </c>
      <c r="H2782" t="str">
        <f>"VLC202204198650"</f>
        <v>VLC202204198650</v>
      </c>
      <c r="I2782" t="str">
        <f>"CHILD LIFE INSURANCE"</f>
        <v>CHILD LIFE INSURANCE</v>
      </c>
    </row>
    <row r="2783" spans="1:9" x14ac:dyDescent="0.25">
      <c r="A2783" s="6">
        <v>44690</v>
      </c>
      <c r="B2783" t="s">
        <v>26</v>
      </c>
      <c r="C2783">
        <v>69420</v>
      </c>
      <c r="D2783" t="s">
        <v>98</v>
      </c>
      <c r="E2783" s="7">
        <v>133.66</v>
      </c>
      <c r="F2783" t="s">
        <v>20</v>
      </c>
      <c r="G2783" t="s">
        <v>21</v>
      </c>
      <c r="H2783" t="str">
        <f>"VLS202204058648"</f>
        <v>VLS202204058648</v>
      </c>
      <c r="I2783" t="str">
        <f>"SPOUSE LIFE"</f>
        <v>SPOUSE LIFE</v>
      </c>
    </row>
    <row r="2784" spans="1:9" x14ac:dyDescent="0.25">
      <c r="A2784" s="6">
        <v>44690</v>
      </c>
      <c r="B2784" t="s">
        <v>26</v>
      </c>
      <c r="C2784">
        <v>69420</v>
      </c>
      <c r="D2784" t="s">
        <v>98</v>
      </c>
      <c r="E2784" s="7">
        <v>133.66</v>
      </c>
      <c r="F2784" t="s">
        <v>20</v>
      </c>
      <c r="G2784" t="s">
        <v>21</v>
      </c>
      <c r="H2784" t="str">
        <f>"VLS202204198650"</f>
        <v>VLS202204198650</v>
      </c>
      <c r="I2784" t="str">
        <f>"SPOUSE LIFE"</f>
        <v>SPOUSE LIFE</v>
      </c>
    </row>
    <row r="2785" spans="1:9" x14ac:dyDescent="0.25">
      <c r="A2785" s="6">
        <v>44690</v>
      </c>
      <c r="B2785" t="s">
        <v>26</v>
      </c>
      <c r="C2785">
        <v>69420</v>
      </c>
      <c r="D2785" t="s">
        <v>98</v>
      </c>
      <c r="E2785" s="7">
        <v>92.11</v>
      </c>
      <c r="F2785" t="s">
        <v>20</v>
      </c>
      <c r="G2785" t="s">
        <v>21</v>
      </c>
      <c r="H2785" t="str">
        <f>"VOE202204058648"</f>
        <v>VOE202204058648</v>
      </c>
      <c r="I2785" t="str">
        <f>"EMPLOYEE LIFE"</f>
        <v>EMPLOYEE LIFE</v>
      </c>
    </row>
    <row r="2786" spans="1:9" x14ac:dyDescent="0.25">
      <c r="A2786" s="6">
        <v>44690</v>
      </c>
      <c r="B2786" t="s">
        <v>26</v>
      </c>
      <c r="C2786">
        <v>69420</v>
      </c>
      <c r="D2786" t="s">
        <v>98</v>
      </c>
      <c r="E2786" s="7">
        <v>92.11</v>
      </c>
      <c r="F2786" t="s">
        <v>20</v>
      </c>
      <c r="G2786" t="s">
        <v>21</v>
      </c>
      <c r="H2786" t="str">
        <f>"VOE202204198650"</f>
        <v>VOE202204198650</v>
      </c>
      <c r="I2786" t="str">
        <f>"EMPLOYEE LIFE"</f>
        <v>EMPLOYEE LIFE</v>
      </c>
    </row>
    <row r="2787" spans="1:9" x14ac:dyDescent="0.25">
      <c r="A2787" s="6">
        <v>44690</v>
      </c>
      <c r="B2787" t="s">
        <v>26</v>
      </c>
      <c r="C2787">
        <v>69420</v>
      </c>
      <c r="D2787" t="s">
        <v>98</v>
      </c>
      <c r="E2787" s="7">
        <v>694.63</v>
      </c>
      <c r="F2787" t="s">
        <v>20</v>
      </c>
      <c r="G2787" t="s">
        <v>21</v>
      </c>
      <c r="H2787" t="str">
        <f>"VOL202204058648"</f>
        <v>VOL202204058648</v>
      </c>
      <c r="I2787" t="str">
        <f>"LIFE"</f>
        <v>LIFE</v>
      </c>
    </row>
    <row r="2788" spans="1:9" x14ac:dyDescent="0.25">
      <c r="A2788" s="6">
        <v>44690</v>
      </c>
      <c r="B2788" t="s">
        <v>26</v>
      </c>
      <c r="C2788">
        <v>69420</v>
      </c>
      <c r="D2788" t="s">
        <v>98</v>
      </c>
      <c r="E2788" s="7">
        <v>694.63</v>
      </c>
      <c r="F2788" t="s">
        <v>20</v>
      </c>
      <c r="G2788" t="s">
        <v>21</v>
      </c>
      <c r="H2788" t="str">
        <f>"VOL202204198650"</f>
        <v>VOL202204198650</v>
      </c>
      <c r="I2788" t="str">
        <f>"LIFE"</f>
        <v>LIFE</v>
      </c>
    </row>
    <row r="2789" spans="1:9" x14ac:dyDescent="0.25">
      <c r="A2789" s="6">
        <v>44691</v>
      </c>
      <c r="B2789" t="s">
        <v>26</v>
      </c>
      <c r="C2789">
        <v>69430</v>
      </c>
      <c r="D2789" t="s">
        <v>97</v>
      </c>
      <c r="E2789" s="7">
        <v>-532.91</v>
      </c>
      <c r="F2789" t="s">
        <v>20</v>
      </c>
      <c r="G2789" t="s">
        <v>24</v>
      </c>
      <c r="H2789" t="str">
        <f>"MAY 2022*"</f>
        <v>MAY 2022*</v>
      </c>
      <c r="I2789" t="str">
        <f>"HEALTH CARE SERVICE CORPORATIO"</f>
        <v>HEALTH CARE SERVICE CORPORATIO</v>
      </c>
    </row>
    <row r="2790" spans="1:9" x14ac:dyDescent="0.25">
      <c r="A2790" s="6">
        <v>44691</v>
      </c>
      <c r="B2790" t="s">
        <v>26</v>
      </c>
      <c r="C2790">
        <v>69430</v>
      </c>
      <c r="D2790" t="s">
        <v>97</v>
      </c>
      <c r="E2790" s="7">
        <v>1135.6099999999999</v>
      </c>
      <c r="F2790" t="s">
        <v>20</v>
      </c>
      <c r="G2790" t="s">
        <v>21</v>
      </c>
      <c r="H2790" t="str">
        <f>"DEN202204058648"</f>
        <v>DEN202204058648</v>
      </c>
      <c r="I2790" t="str">
        <f>"DENTAL INSURANCE"</f>
        <v>DENTAL INSURANCE</v>
      </c>
    </row>
    <row r="2791" spans="1:9" x14ac:dyDescent="0.25">
      <c r="A2791" s="6">
        <v>44691</v>
      </c>
      <c r="B2791" t="s">
        <v>26</v>
      </c>
      <c r="C2791">
        <v>69430</v>
      </c>
      <c r="D2791" t="s">
        <v>97</v>
      </c>
      <c r="E2791" s="7">
        <v>1135.6099999999999</v>
      </c>
      <c r="F2791" t="s">
        <v>20</v>
      </c>
      <c r="G2791" t="s">
        <v>21</v>
      </c>
      <c r="H2791" t="str">
        <f>"DEN202204198650"</f>
        <v>DEN202204198650</v>
      </c>
      <c r="I2791" t="str">
        <f>"DENTAL INSURANCE"</f>
        <v>DENTAL INSURANCE</v>
      </c>
    </row>
    <row r="2792" spans="1:9" x14ac:dyDescent="0.25">
      <c r="A2792" s="6">
        <v>44691</v>
      </c>
      <c r="B2792" t="s">
        <v>26</v>
      </c>
      <c r="C2792">
        <v>69430</v>
      </c>
      <c r="D2792" t="s">
        <v>97</v>
      </c>
      <c r="E2792" s="7">
        <v>20045.95</v>
      </c>
      <c r="F2792" t="s">
        <v>20</v>
      </c>
      <c r="G2792" t="s">
        <v>21</v>
      </c>
      <c r="H2792" t="str">
        <f>"MED202204058648"</f>
        <v>MED202204058648</v>
      </c>
      <c r="I2792" t="str">
        <f>"HEALTH &amp; DENTAL INSURANCE"</f>
        <v>HEALTH &amp; DENTAL INSURANCE</v>
      </c>
    </row>
    <row r="2793" spans="1:9" x14ac:dyDescent="0.25">
      <c r="A2793" s="6">
        <v>44691</v>
      </c>
      <c r="B2793" t="s">
        <v>26</v>
      </c>
      <c r="C2793">
        <v>69430</v>
      </c>
      <c r="D2793" t="s">
        <v>97</v>
      </c>
      <c r="E2793" s="7">
        <v>20045.95</v>
      </c>
      <c r="F2793" t="s">
        <v>20</v>
      </c>
      <c r="G2793" t="s">
        <v>21</v>
      </c>
      <c r="H2793" t="str">
        <f>"MED202204198650"</f>
        <v>MED202204198650</v>
      </c>
      <c r="I2793" t="str">
        <f>"HEALTH &amp; DENTAL INSURANCE"</f>
        <v>HEALTH &amp; DENTAL INSURANCE</v>
      </c>
    </row>
    <row r="2794" spans="1:9" x14ac:dyDescent="0.25">
      <c r="A2794" s="6">
        <v>44691</v>
      </c>
      <c r="B2794" t="s">
        <v>26</v>
      </c>
      <c r="C2794">
        <v>69435</v>
      </c>
      <c r="D2794" t="s">
        <v>761</v>
      </c>
      <c r="E2794" s="7">
        <v>45.98</v>
      </c>
      <c r="F2794" t="s">
        <v>20</v>
      </c>
      <c r="G2794" t="s">
        <v>21</v>
      </c>
      <c r="H2794" t="str">
        <f>"101-147489"</f>
        <v>101-147489</v>
      </c>
      <c r="I2794" t="str">
        <f>"ICE BUCKETS AND BAGS"</f>
        <v>ICE BUCKETS AND BAGS</v>
      </c>
    </row>
    <row r="2795" spans="1:9" x14ac:dyDescent="0.25">
      <c r="A2795" s="6">
        <v>44691</v>
      </c>
      <c r="B2795" t="s">
        <v>26</v>
      </c>
      <c r="C2795">
        <v>69436</v>
      </c>
      <c r="D2795" t="s">
        <v>1074</v>
      </c>
      <c r="E2795" s="7">
        <v>18.96</v>
      </c>
      <c r="F2795" t="s">
        <v>20</v>
      </c>
      <c r="G2795" t="s">
        <v>21</v>
      </c>
      <c r="H2795" t="str">
        <f>"191H-NN4V-HNLW"</f>
        <v>191H-NN4V-HNLW</v>
      </c>
      <c r="I2795" t="str">
        <f>"CALENDER - 22-25"</f>
        <v>CALENDER - 22-25</v>
      </c>
    </row>
    <row r="2796" spans="1:9" x14ac:dyDescent="0.25">
      <c r="A2796" s="6">
        <v>44691</v>
      </c>
      <c r="B2796" t="s">
        <v>26</v>
      </c>
      <c r="C2796">
        <v>69436</v>
      </c>
      <c r="D2796" t="s">
        <v>1074</v>
      </c>
      <c r="E2796" s="7">
        <v>103.79</v>
      </c>
      <c r="F2796" t="s">
        <v>20</v>
      </c>
      <c r="G2796" t="s">
        <v>21</v>
      </c>
      <c r="H2796" t="str">
        <f>"19NK-9QWC-KKTP"</f>
        <v>19NK-9QWC-KKTP</v>
      </c>
      <c r="I2796" t="str">
        <f>"DOG KENNEL SUPPLIES"</f>
        <v>DOG KENNEL SUPPLIES</v>
      </c>
    </row>
    <row r="2797" spans="1:9" x14ac:dyDescent="0.25">
      <c r="A2797" s="6">
        <v>44691</v>
      </c>
      <c r="B2797" t="s">
        <v>26</v>
      </c>
      <c r="C2797">
        <v>69436</v>
      </c>
      <c r="D2797" t="s">
        <v>1074</v>
      </c>
      <c r="E2797" s="7">
        <v>47.46</v>
      </c>
      <c r="F2797" t="s">
        <v>20</v>
      </c>
      <c r="G2797" t="s">
        <v>21</v>
      </c>
      <c r="H2797" t="str">
        <f>"1H3T-MCRF-KL4N"</f>
        <v>1H3T-MCRF-KL4N</v>
      </c>
      <c r="I2797" t="str">
        <f>"FILE FOLDERS"</f>
        <v>FILE FOLDERS</v>
      </c>
    </row>
    <row r="2798" spans="1:9" x14ac:dyDescent="0.25">
      <c r="A2798" s="6">
        <v>44691</v>
      </c>
      <c r="B2798" t="s">
        <v>26</v>
      </c>
      <c r="C2798">
        <v>69436</v>
      </c>
      <c r="D2798" t="s">
        <v>1074</v>
      </c>
      <c r="E2798" s="7">
        <v>48.88</v>
      </c>
      <c r="F2798" t="s">
        <v>20</v>
      </c>
      <c r="G2798" t="s">
        <v>21</v>
      </c>
      <c r="H2798" t="str">
        <f>"1H3T-MCRF-KL4N*"</f>
        <v>1H3T-MCRF-KL4N*</v>
      </c>
      <c r="I2798" t="str">
        <f>"AMAZON CAPITAL SERVICES"</f>
        <v>AMAZON CAPITAL SERVICES</v>
      </c>
    </row>
    <row r="2799" spans="1:9" x14ac:dyDescent="0.25">
      <c r="A2799" s="6">
        <v>44691</v>
      </c>
      <c r="B2799" t="s">
        <v>26</v>
      </c>
      <c r="C2799">
        <v>69436</v>
      </c>
      <c r="D2799" t="s">
        <v>1074</v>
      </c>
      <c r="E2799" s="7">
        <v>26.64</v>
      </c>
      <c r="F2799" t="s">
        <v>20</v>
      </c>
      <c r="G2799" t="s">
        <v>21</v>
      </c>
      <c r="H2799" t="str">
        <f>"1HN7-XLR4-JR74"</f>
        <v>1HN7-XLR4-JR74</v>
      </c>
      <c r="I2799" t="str">
        <f>"OFFICE SUPPLIES"</f>
        <v>OFFICE SUPPLIES</v>
      </c>
    </row>
    <row r="2800" spans="1:9" x14ac:dyDescent="0.25">
      <c r="A2800" s="6">
        <v>44691</v>
      </c>
      <c r="B2800" t="s">
        <v>26</v>
      </c>
      <c r="C2800">
        <v>69436</v>
      </c>
      <c r="D2800" t="s">
        <v>1074</v>
      </c>
      <c r="E2800" s="7">
        <v>25.94</v>
      </c>
      <c r="F2800" t="s">
        <v>20</v>
      </c>
      <c r="G2800" t="s">
        <v>21</v>
      </c>
      <c r="H2800" t="str">
        <f>"1HN7-XLR4-M9YQ"</f>
        <v>1HN7-XLR4-M9YQ</v>
      </c>
      <c r="I2800" t="str">
        <f>"CINCO DE MAYO"</f>
        <v>CINCO DE MAYO</v>
      </c>
    </row>
    <row r="2801" spans="1:9" x14ac:dyDescent="0.25">
      <c r="A2801" s="6">
        <v>44691</v>
      </c>
      <c r="B2801" t="s">
        <v>26</v>
      </c>
      <c r="C2801">
        <v>69436</v>
      </c>
      <c r="D2801" t="s">
        <v>1074</v>
      </c>
      <c r="E2801" s="7">
        <v>73.989999999999995</v>
      </c>
      <c r="F2801" t="s">
        <v>20</v>
      </c>
      <c r="G2801" t="s">
        <v>21</v>
      </c>
      <c r="H2801" t="str">
        <f>"1KJ4-3L46-KJ6V"</f>
        <v>1KJ4-3L46-KJ6V</v>
      </c>
      <c r="I2801" t="str">
        <f>"AMAZON CAPITAL SERVICES"</f>
        <v>AMAZON CAPITAL SERVICES</v>
      </c>
    </row>
    <row r="2802" spans="1:9" x14ac:dyDescent="0.25">
      <c r="A2802" s="6">
        <v>44691</v>
      </c>
      <c r="B2802" t="s">
        <v>26</v>
      </c>
      <c r="C2802">
        <v>69436</v>
      </c>
      <c r="D2802" t="s">
        <v>1074</v>
      </c>
      <c r="E2802" s="7">
        <v>108.4</v>
      </c>
      <c r="F2802" t="s">
        <v>20</v>
      </c>
      <c r="G2802" t="s">
        <v>21</v>
      </c>
      <c r="H2802" t="str">
        <f>"1KJ4-3L46-L3YJ"</f>
        <v>1KJ4-3L46-L3YJ</v>
      </c>
      <c r="I2802" t="str">
        <f>"PD OFFICE SUPPLIES"</f>
        <v>PD OFFICE SUPPLIES</v>
      </c>
    </row>
    <row r="2803" spans="1:9" x14ac:dyDescent="0.25">
      <c r="A2803" s="6">
        <v>44691</v>
      </c>
      <c r="B2803" t="s">
        <v>26</v>
      </c>
      <c r="C2803">
        <v>69436</v>
      </c>
      <c r="D2803" t="s">
        <v>1074</v>
      </c>
      <c r="E2803" s="7">
        <v>249.97</v>
      </c>
      <c r="F2803" t="s">
        <v>20</v>
      </c>
      <c r="G2803" t="s">
        <v>21</v>
      </c>
      <c r="H2803" t="str">
        <f>"1P1Y-PQWC-KKTP"</f>
        <v>1P1Y-PQWC-KKTP</v>
      </c>
      <c r="I2803" t="str">
        <f>"DEHUMIDIFIER"</f>
        <v>DEHUMIDIFIER</v>
      </c>
    </row>
    <row r="2804" spans="1:9" x14ac:dyDescent="0.25">
      <c r="A2804" s="6">
        <v>44691</v>
      </c>
      <c r="B2804" t="s">
        <v>26</v>
      </c>
      <c r="C2804">
        <v>69436</v>
      </c>
      <c r="D2804" t="s">
        <v>1074</v>
      </c>
      <c r="E2804" s="7">
        <v>105.23</v>
      </c>
      <c r="F2804" t="s">
        <v>20</v>
      </c>
      <c r="G2804" t="s">
        <v>21</v>
      </c>
      <c r="H2804" t="str">
        <f>"1RLK-C3VM-LFPY"</f>
        <v>1RLK-C3VM-LFPY</v>
      </c>
      <c r="I2804" t="str">
        <f>"CINCO DE MAYO SUPPLIES"</f>
        <v>CINCO DE MAYO SUPPLIES</v>
      </c>
    </row>
    <row r="2805" spans="1:9" x14ac:dyDescent="0.25">
      <c r="A2805" s="6">
        <v>44691</v>
      </c>
      <c r="B2805" t="s">
        <v>26</v>
      </c>
      <c r="C2805">
        <v>69436</v>
      </c>
      <c r="D2805" t="s">
        <v>1074</v>
      </c>
      <c r="E2805" s="7">
        <v>57.96</v>
      </c>
      <c r="F2805" t="s">
        <v>20</v>
      </c>
      <c r="G2805" t="s">
        <v>21</v>
      </c>
      <c r="H2805" t="str">
        <f>"1RLK-C3VM-LNVF"</f>
        <v>1RLK-C3VM-LNVF</v>
      </c>
      <c r="I2805" t="str">
        <f>"OFFICE SUPPLIES"</f>
        <v>OFFICE SUPPLIES</v>
      </c>
    </row>
    <row r="2806" spans="1:9" x14ac:dyDescent="0.25">
      <c r="A2806" s="6">
        <v>44691</v>
      </c>
      <c r="B2806" t="s">
        <v>26</v>
      </c>
      <c r="C2806">
        <v>69439</v>
      </c>
      <c r="D2806" t="s">
        <v>179</v>
      </c>
      <c r="E2806" s="7">
        <v>675.25</v>
      </c>
      <c r="F2806" t="s">
        <v>20</v>
      </c>
      <c r="G2806" t="s">
        <v>21</v>
      </c>
      <c r="H2806" t="str">
        <f>"269102"</f>
        <v>269102</v>
      </c>
      <c r="I2806" t="str">
        <f>"UNIT 327 WARRENT CAR"</f>
        <v>UNIT 327 WARRENT CAR</v>
      </c>
    </row>
    <row r="2807" spans="1:9" x14ac:dyDescent="0.25">
      <c r="A2807" s="6">
        <v>44691</v>
      </c>
      <c r="B2807" t="s">
        <v>26</v>
      </c>
      <c r="C2807">
        <v>69440</v>
      </c>
      <c r="D2807" t="s">
        <v>139</v>
      </c>
      <c r="E2807" s="7">
        <v>65</v>
      </c>
      <c r="F2807" t="s">
        <v>20</v>
      </c>
      <c r="G2807" t="s">
        <v>21</v>
      </c>
      <c r="H2807" t="str">
        <f>"35613"</f>
        <v>35613</v>
      </c>
      <c r="I2807" t="str">
        <f>"ANGEL FIRE &amp; SAFETY"</f>
        <v>ANGEL FIRE &amp; SAFETY</v>
      </c>
    </row>
    <row r="2808" spans="1:9" x14ac:dyDescent="0.25">
      <c r="A2808" s="6">
        <v>44691</v>
      </c>
      <c r="B2808" t="s">
        <v>26</v>
      </c>
      <c r="C2808">
        <v>69441</v>
      </c>
      <c r="D2808" t="s">
        <v>83</v>
      </c>
      <c r="E2808" s="7">
        <v>1080</v>
      </c>
      <c r="F2808" t="s">
        <v>20</v>
      </c>
      <c r="G2808" t="s">
        <v>21</v>
      </c>
      <c r="H2808" t="str">
        <f>"2006675"</f>
        <v>2006675</v>
      </c>
      <c r="I2808" t="str">
        <f>"APPRIVER"</f>
        <v>APPRIVER</v>
      </c>
    </row>
    <row r="2809" spans="1:9" x14ac:dyDescent="0.25">
      <c r="A2809" s="6">
        <v>44691</v>
      </c>
      <c r="B2809" t="s">
        <v>26</v>
      </c>
      <c r="C2809">
        <v>69442</v>
      </c>
      <c r="D2809" t="s">
        <v>781</v>
      </c>
      <c r="E2809" s="7">
        <v>103.23</v>
      </c>
      <c r="F2809" t="s">
        <v>20</v>
      </c>
      <c r="G2809" t="s">
        <v>21</v>
      </c>
      <c r="H2809" t="str">
        <f>"05/09/2022"</f>
        <v>05/09/2022</v>
      </c>
      <c r="I2809" t="str">
        <f>"ASHLEY MARTINEZ"</f>
        <v>ASHLEY MARTINEZ</v>
      </c>
    </row>
    <row r="2810" spans="1:9" x14ac:dyDescent="0.25">
      <c r="A2810" s="6">
        <v>44691</v>
      </c>
      <c r="B2810" t="s">
        <v>26</v>
      </c>
      <c r="C2810">
        <v>69443</v>
      </c>
      <c r="D2810" t="s">
        <v>115</v>
      </c>
      <c r="E2810" s="7">
        <v>32.89</v>
      </c>
      <c r="F2810" t="s">
        <v>20</v>
      </c>
      <c r="G2810" t="s">
        <v>21</v>
      </c>
      <c r="H2810" t="str">
        <f>"3547231741"</f>
        <v>3547231741</v>
      </c>
      <c r="I2810" t="str">
        <f>"DINO'S TRUCK"</f>
        <v>DINO'S TRUCK</v>
      </c>
    </row>
    <row r="2811" spans="1:9" x14ac:dyDescent="0.25">
      <c r="A2811" s="6">
        <v>44691</v>
      </c>
      <c r="B2811" t="s">
        <v>26</v>
      </c>
      <c r="C2811">
        <v>69443</v>
      </c>
      <c r="D2811" t="s">
        <v>115</v>
      </c>
      <c r="E2811" s="7">
        <v>16.07</v>
      </c>
      <c r="F2811" t="s">
        <v>20</v>
      </c>
      <c r="G2811" t="s">
        <v>21</v>
      </c>
      <c r="H2811" t="str">
        <f>"3547245023"</f>
        <v>3547245023</v>
      </c>
      <c r="I2811" t="str">
        <f>"UNIT 327 PD UNIT"</f>
        <v>UNIT 327 PD UNIT</v>
      </c>
    </row>
    <row r="2812" spans="1:9" x14ac:dyDescent="0.25">
      <c r="A2812" s="6">
        <v>44691</v>
      </c>
      <c r="B2812" t="s">
        <v>26</v>
      </c>
      <c r="C2812">
        <v>69443</v>
      </c>
      <c r="D2812" t="s">
        <v>115</v>
      </c>
      <c r="E2812" s="7">
        <v>155.88999999999999</v>
      </c>
      <c r="F2812" t="s">
        <v>20</v>
      </c>
      <c r="G2812" t="s">
        <v>21</v>
      </c>
      <c r="H2812" t="str">
        <f>"3547246582"</f>
        <v>3547246582</v>
      </c>
      <c r="I2812" t="str">
        <f>"BATTERY"</f>
        <v>BATTERY</v>
      </c>
    </row>
    <row r="2813" spans="1:9" x14ac:dyDescent="0.25">
      <c r="A2813" s="6">
        <v>44691</v>
      </c>
      <c r="B2813" t="s">
        <v>26</v>
      </c>
      <c r="C2813">
        <v>69443</v>
      </c>
      <c r="D2813" t="s">
        <v>115</v>
      </c>
      <c r="E2813" s="7">
        <v>175.92</v>
      </c>
      <c r="F2813" t="s">
        <v>20</v>
      </c>
      <c r="G2813" t="s">
        <v>21</v>
      </c>
      <c r="H2813" t="str">
        <f>"3547246583"</f>
        <v>3547246583</v>
      </c>
      <c r="I2813" t="str">
        <f>"SHOP SUPPLIES"</f>
        <v>SHOP SUPPLIES</v>
      </c>
    </row>
    <row r="2814" spans="1:9" x14ac:dyDescent="0.25">
      <c r="A2814" s="6">
        <v>44691</v>
      </c>
      <c r="B2814" t="s">
        <v>26</v>
      </c>
      <c r="C2814">
        <v>69443</v>
      </c>
      <c r="D2814" t="s">
        <v>115</v>
      </c>
      <c r="E2814" s="7">
        <v>45.25</v>
      </c>
      <c r="F2814" t="s">
        <v>20</v>
      </c>
      <c r="G2814" t="s">
        <v>21</v>
      </c>
      <c r="H2814" t="str">
        <f>"3547246584"</f>
        <v>3547246584</v>
      </c>
      <c r="I2814" t="str">
        <f>"WATER DEPT -ADOLPH"</f>
        <v>WATER DEPT -ADOLPH</v>
      </c>
    </row>
    <row r="2815" spans="1:9" x14ac:dyDescent="0.25">
      <c r="A2815" s="6">
        <v>44691</v>
      </c>
      <c r="B2815" t="s">
        <v>26</v>
      </c>
      <c r="C2815">
        <v>69443</v>
      </c>
      <c r="D2815" t="s">
        <v>115</v>
      </c>
      <c r="E2815" s="7">
        <v>171.98</v>
      </c>
      <c r="F2815" t="s">
        <v>20</v>
      </c>
      <c r="G2815" t="s">
        <v>21</v>
      </c>
      <c r="H2815" t="str">
        <f>"3547251682"</f>
        <v>3547251682</v>
      </c>
      <c r="I2815" t="str">
        <f>"BATTERY FOR DISTRIBUTER"</f>
        <v>BATTERY FOR DISTRIBUTER</v>
      </c>
    </row>
    <row r="2816" spans="1:9" x14ac:dyDescent="0.25">
      <c r="A2816" s="6">
        <v>44691</v>
      </c>
      <c r="B2816" t="s">
        <v>26</v>
      </c>
      <c r="C2816">
        <v>69444</v>
      </c>
      <c r="D2816" t="s">
        <v>836</v>
      </c>
      <c r="E2816" s="7">
        <v>4462.3999999999996</v>
      </c>
      <c r="F2816" t="s">
        <v>20</v>
      </c>
      <c r="G2816" t="s">
        <v>21</v>
      </c>
      <c r="H2816" t="str">
        <f>"85195"</f>
        <v>85195</v>
      </c>
      <c r="I2816" t="str">
        <f>"BARCOM TECHNOLOGY SOLUTIONS  I"</f>
        <v>BARCOM TECHNOLOGY SOLUTIONS  I</v>
      </c>
    </row>
    <row r="2817" spans="1:9" x14ac:dyDescent="0.25">
      <c r="A2817" s="6">
        <v>44691</v>
      </c>
      <c r="B2817" t="s">
        <v>26</v>
      </c>
      <c r="C2817">
        <v>69444</v>
      </c>
      <c r="D2817" t="s">
        <v>836</v>
      </c>
      <c r="E2817" s="7">
        <v>1423.44</v>
      </c>
      <c r="F2817" t="s">
        <v>20</v>
      </c>
      <c r="G2817" t="s">
        <v>21</v>
      </c>
      <c r="H2817" t="str">
        <f>"85196"</f>
        <v>85196</v>
      </c>
      <c r="I2817" t="str">
        <f>"BARCOM TECHNOLOGY SOLUTIONS  I"</f>
        <v>BARCOM TECHNOLOGY SOLUTIONS  I</v>
      </c>
    </row>
    <row r="2818" spans="1:9" x14ac:dyDescent="0.25">
      <c r="A2818" s="6">
        <v>44691</v>
      </c>
      <c r="B2818" t="s">
        <v>26</v>
      </c>
      <c r="C2818">
        <v>69446</v>
      </c>
      <c r="D2818" t="s">
        <v>823</v>
      </c>
      <c r="E2818" s="7">
        <v>246.01</v>
      </c>
      <c r="F2818" t="s">
        <v>20</v>
      </c>
      <c r="G2818" t="s">
        <v>21</v>
      </c>
      <c r="H2818" t="str">
        <f>"14309"</f>
        <v>14309</v>
      </c>
      <c r="I2818" t="str">
        <f>"PROXIMITY SWITCH"</f>
        <v>PROXIMITY SWITCH</v>
      </c>
    </row>
    <row r="2819" spans="1:9" x14ac:dyDescent="0.25">
      <c r="A2819" s="6">
        <v>44691</v>
      </c>
      <c r="B2819" t="s">
        <v>26</v>
      </c>
      <c r="C2819">
        <v>69447</v>
      </c>
      <c r="D2819" t="s">
        <v>1063</v>
      </c>
      <c r="E2819" s="7">
        <v>6408.78</v>
      </c>
      <c r="F2819" t="s">
        <v>20</v>
      </c>
      <c r="G2819" t="s">
        <v>21</v>
      </c>
      <c r="H2819" t="str">
        <f>"18033450"</f>
        <v>18033450</v>
      </c>
      <c r="I2819" t="str">
        <f>"TYPE D COLD MIX"</f>
        <v>TYPE D COLD MIX</v>
      </c>
    </row>
    <row r="2820" spans="1:9" x14ac:dyDescent="0.25">
      <c r="A2820" s="6">
        <v>44691</v>
      </c>
      <c r="B2820" t="s">
        <v>26</v>
      </c>
      <c r="C2820">
        <v>69448</v>
      </c>
      <c r="D2820" t="s">
        <v>63</v>
      </c>
      <c r="E2820" s="7">
        <v>266.06</v>
      </c>
      <c r="F2820" t="s">
        <v>20</v>
      </c>
      <c r="G2820" t="s">
        <v>21</v>
      </c>
      <c r="H2820" t="str">
        <f>"84045647484"</f>
        <v>84045647484</v>
      </c>
      <c r="I2820" t="str">
        <f>"CINTAS CORPORATION"</f>
        <v>CINTAS CORPORATION</v>
      </c>
    </row>
    <row r="2821" spans="1:9" x14ac:dyDescent="0.25">
      <c r="A2821" s="6">
        <v>44691</v>
      </c>
      <c r="B2821" t="s">
        <v>26</v>
      </c>
      <c r="C2821">
        <v>69449</v>
      </c>
      <c r="D2821" t="s">
        <v>71</v>
      </c>
      <c r="E2821" s="7">
        <v>403.72</v>
      </c>
      <c r="F2821" t="s">
        <v>20</v>
      </c>
      <c r="G2821" t="s">
        <v>21</v>
      </c>
      <c r="H2821" t="str">
        <f>"4116748602"</f>
        <v>4116748602</v>
      </c>
      <c r="I2821" t="str">
        <f t="shared" ref="I2821:I2833" si="66">"CINTAS CORPORATION #087"</f>
        <v>CINTAS CORPORATION #087</v>
      </c>
    </row>
    <row r="2822" spans="1:9" x14ac:dyDescent="0.25">
      <c r="A2822" s="6">
        <v>44691</v>
      </c>
      <c r="B2822" t="s">
        <v>26</v>
      </c>
      <c r="C2822">
        <v>69449</v>
      </c>
      <c r="D2822" t="s">
        <v>71</v>
      </c>
      <c r="E2822" s="7">
        <v>37.1</v>
      </c>
      <c r="F2822" t="s">
        <v>20</v>
      </c>
      <c r="G2822" t="s">
        <v>21</v>
      </c>
      <c r="H2822" t="str">
        <f>"4117421379"</f>
        <v>4117421379</v>
      </c>
      <c r="I2822" t="str">
        <f t="shared" si="66"/>
        <v>CINTAS CORPORATION #087</v>
      </c>
    </row>
    <row r="2823" spans="1:9" x14ac:dyDescent="0.25">
      <c r="A2823" s="6">
        <v>44691</v>
      </c>
      <c r="B2823" t="s">
        <v>26</v>
      </c>
      <c r="C2823">
        <v>69449</v>
      </c>
      <c r="D2823" t="s">
        <v>71</v>
      </c>
      <c r="E2823" s="7">
        <v>9.3800000000000008</v>
      </c>
      <c r="F2823" t="s">
        <v>20</v>
      </c>
      <c r="G2823" t="s">
        <v>21</v>
      </c>
      <c r="H2823" t="str">
        <f>"4117421385"</f>
        <v>4117421385</v>
      </c>
      <c r="I2823" t="str">
        <f t="shared" si="66"/>
        <v>CINTAS CORPORATION #087</v>
      </c>
    </row>
    <row r="2824" spans="1:9" x14ac:dyDescent="0.25">
      <c r="A2824" s="6">
        <v>44691</v>
      </c>
      <c r="B2824" t="s">
        <v>26</v>
      </c>
      <c r="C2824">
        <v>69449</v>
      </c>
      <c r="D2824" t="s">
        <v>71</v>
      </c>
      <c r="E2824" s="7">
        <v>31.89</v>
      </c>
      <c r="F2824" t="s">
        <v>20</v>
      </c>
      <c r="G2824" t="s">
        <v>21</v>
      </c>
      <c r="H2824" t="str">
        <f>"4117421421"</f>
        <v>4117421421</v>
      </c>
      <c r="I2824" t="str">
        <f t="shared" si="66"/>
        <v>CINTAS CORPORATION #087</v>
      </c>
    </row>
    <row r="2825" spans="1:9" x14ac:dyDescent="0.25">
      <c r="A2825" s="6">
        <v>44691</v>
      </c>
      <c r="B2825" t="s">
        <v>26</v>
      </c>
      <c r="C2825">
        <v>69449</v>
      </c>
      <c r="D2825" t="s">
        <v>71</v>
      </c>
      <c r="E2825" s="7">
        <v>57.72</v>
      </c>
      <c r="F2825" t="s">
        <v>20</v>
      </c>
      <c r="G2825" t="s">
        <v>21</v>
      </c>
      <c r="H2825" t="str">
        <f>"4117421464"</f>
        <v>4117421464</v>
      </c>
      <c r="I2825" t="str">
        <f t="shared" si="66"/>
        <v>CINTAS CORPORATION #087</v>
      </c>
    </row>
    <row r="2826" spans="1:9" x14ac:dyDescent="0.25">
      <c r="A2826" s="6">
        <v>44691</v>
      </c>
      <c r="B2826" t="s">
        <v>26</v>
      </c>
      <c r="C2826">
        <v>69449</v>
      </c>
      <c r="D2826" t="s">
        <v>71</v>
      </c>
      <c r="E2826" s="7">
        <v>217.37</v>
      </c>
      <c r="F2826" t="s">
        <v>20</v>
      </c>
      <c r="G2826" t="s">
        <v>21</v>
      </c>
      <c r="H2826" t="str">
        <f>"4117421519"</f>
        <v>4117421519</v>
      </c>
      <c r="I2826" t="str">
        <f t="shared" si="66"/>
        <v>CINTAS CORPORATION #087</v>
      </c>
    </row>
    <row r="2827" spans="1:9" x14ac:dyDescent="0.25">
      <c r="A2827" s="6">
        <v>44691</v>
      </c>
      <c r="B2827" t="s">
        <v>26</v>
      </c>
      <c r="C2827">
        <v>69449</v>
      </c>
      <c r="D2827" t="s">
        <v>71</v>
      </c>
      <c r="E2827" s="7">
        <v>742.62</v>
      </c>
      <c r="F2827" t="s">
        <v>20</v>
      </c>
      <c r="G2827" t="s">
        <v>21</v>
      </c>
      <c r="H2827" t="str">
        <f>"4117421601"</f>
        <v>4117421601</v>
      </c>
      <c r="I2827" t="str">
        <f t="shared" si="66"/>
        <v>CINTAS CORPORATION #087</v>
      </c>
    </row>
    <row r="2828" spans="1:9" x14ac:dyDescent="0.25">
      <c r="A2828" s="6">
        <v>44691</v>
      </c>
      <c r="B2828" t="s">
        <v>26</v>
      </c>
      <c r="C2828">
        <v>69449</v>
      </c>
      <c r="D2828" t="s">
        <v>71</v>
      </c>
      <c r="E2828" s="7">
        <v>31.89</v>
      </c>
      <c r="F2828" t="s">
        <v>20</v>
      </c>
      <c r="G2828" t="s">
        <v>21</v>
      </c>
      <c r="H2828" t="str">
        <f>"4118129936"</f>
        <v>4118129936</v>
      </c>
      <c r="I2828" t="str">
        <f t="shared" si="66"/>
        <v>CINTAS CORPORATION #087</v>
      </c>
    </row>
    <row r="2829" spans="1:9" x14ac:dyDescent="0.25">
      <c r="A2829" s="6">
        <v>44691</v>
      </c>
      <c r="B2829" t="s">
        <v>26</v>
      </c>
      <c r="C2829">
        <v>69449</v>
      </c>
      <c r="D2829" t="s">
        <v>71</v>
      </c>
      <c r="E2829" s="7">
        <v>136.63</v>
      </c>
      <c r="F2829" t="s">
        <v>20</v>
      </c>
      <c r="G2829" t="s">
        <v>21</v>
      </c>
      <c r="H2829" t="str">
        <f>"4118129977"</f>
        <v>4118129977</v>
      </c>
      <c r="I2829" t="str">
        <f t="shared" si="66"/>
        <v>CINTAS CORPORATION #087</v>
      </c>
    </row>
    <row r="2830" spans="1:9" x14ac:dyDescent="0.25">
      <c r="A2830" s="6">
        <v>44691</v>
      </c>
      <c r="B2830" t="s">
        <v>26</v>
      </c>
      <c r="C2830">
        <v>69449</v>
      </c>
      <c r="D2830" t="s">
        <v>71</v>
      </c>
      <c r="E2830" s="7">
        <v>118.8</v>
      </c>
      <c r="F2830" t="s">
        <v>20</v>
      </c>
      <c r="G2830" t="s">
        <v>21</v>
      </c>
      <c r="H2830" t="str">
        <f>"4118130026"</f>
        <v>4118130026</v>
      </c>
      <c r="I2830" t="str">
        <f t="shared" si="66"/>
        <v>CINTAS CORPORATION #087</v>
      </c>
    </row>
    <row r="2831" spans="1:9" x14ac:dyDescent="0.25">
      <c r="A2831" s="6">
        <v>44691</v>
      </c>
      <c r="B2831" t="s">
        <v>26</v>
      </c>
      <c r="C2831">
        <v>69449</v>
      </c>
      <c r="D2831" t="s">
        <v>71</v>
      </c>
      <c r="E2831" s="7">
        <v>516.66999999999996</v>
      </c>
      <c r="F2831" t="s">
        <v>20</v>
      </c>
      <c r="G2831" t="s">
        <v>21</v>
      </c>
      <c r="H2831" t="str">
        <f>"4118130030"</f>
        <v>4118130030</v>
      </c>
      <c r="I2831" t="str">
        <f t="shared" si="66"/>
        <v>CINTAS CORPORATION #087</v>
      </c>
    </row>
    <row r="2832" spans="1:9" x14ac:dyDescent="0.25">
      <c r="A2832" s="6">
        <v>44691</v>
      </c>
      <c r="B2832" t="s">
        <v>26</v>
      </c>
      <c r="C2832">
        <v>69449</v>
      </c>
      <c r="D2832" t="s">
        <v>71</v>
      </c>
      <c r="E2832" s="7">
        <v>79.28</v>
      </c>
      <c r="F2832" t="s">
        <v>20</v>
      </c>
      <c r="G2832" t="s">
        <v>21</v>
      </c>
      <c r="H2832" t="str">
        <f>"4118130047"</f>
        <v>4118130047</v>
      </c>
      <c r="I2832" t="str">
        <f t="shared" si="66"/>
        <v>CINTAS CORPORATION #087</v>
      </c>
    </row>
    <row r="2833" spans="1:9" x14ac:dyDescent="0.25">
      <c r="A2833" s="6">
        <v>44691</v>
      </c>
      <c r="B2833" t="s">
        <v>26</v>
      </c>
      <c r="C2833">
        <v>69449</v>
      </c>
      <c r="D2833" t="s">
        <v>71</v>
      </c>
      <c r="E2833" s="7">
        <v>164.25</v>
      </c>
      <c r="F2833" t="s">
        <v>20</v>
      </c>
      <c r="G2833" t="s">
        <v>21</v>
      </c>
      <c r="H2833" t="str">
        <f>"4118130145"</f>
        <v>4118130145</v>
      </c>
      <c r="I2833" t="str">
        <f t="shared" si="66"/>
        <v>CINTAS CORPORATION #087</v>
      </c>
    </row>
    <row r="2834" spans="1:9" x14ac:dyDescent="0.25">
      <c r="A2834" s="6">
        <v>44691</v>
      </c>
      <c r="B2834" t="s">
        <v>26</v>
      </c>
      <c r="C2834">
        <v>69453</v>
      </c>
      <c r="D2834" t="s">
        <v>81</v>
      </c>
      <c r="E2834" s="7">
        <v>89.06</v>
      </c>
      <c r="F2834" t="s">
        <v>20</v>
      </c>
      <c r="G2834" t="s">
        <v>21</v>
      </c>
      <c r="H2834" t="str">
        <f>"5/9/2022 A.MARTINE"</f>
        <v>5/9/2022 A.MARTINE</v>
      </c>
      <c r="I2834" t="str">
        <f>"CITY OF FLORESVILLE -PETTY CAS"</f>
        <v>CITY OF FLORESVILLE -PETTY CAS</v>
      </c>
    </row>
    <row r="2835" spans="1:9" x14ac:dyDescent="0.25">
      <c r="A2835" s="6">
        <v>44691</v>
      </c>
      <c r="B2835" t="s">
        <v>26</v>
      </c>
      <c r="C2835">
        <v>69454</v>
      </c>
      <c r="D2835" t="s">
        <v>1194</v>
      </c>
      <c r="E2835" s="7">
        <v>15000</v>
      </c>
      <c r="F2835" t="s">
        <v>20</v>
      </c>
      <c r="G2835" t="s">
        <v>21</v>
      </c>
      <c r="H2835" t="str">
        <f>"3900"</f>
        <v>3900</v>
      </c>
      <c r="I2835" t="str">
        <f>"CUSTOM POOLS  INC"</f>
        <v>CUSTOM POOLS  INC</v>
      </c>
    </row>
    <row r="2836" spans="1:9" x14ac:dyDescent="0.25">
      <c r="A2836" s="6">
        <v>44691</v>
      </c>
      <c r="B2836" t="s">
        <v>26</v>
      </c>
      <c r="C2836">
        <v>69455</v>
      </c>
      <c r="D2836" t="s">
        <v>180</v>
      </c>
      <c r="E2836" s="7">
        <v>139.5</v>
      </c>
      <c r="F2836" t="s">
        <v>20</v>
      </c>
      <c r="G2836" t="s">
        <v>21</v>
      </c>
      <c r="H2836" t="str">
        <f>"2204-198730"</f>
        <v>2204-198730</v>
      </c>
      <c r="I2836" t="str">
        <f>"30 BAGS OF CEMENT"</f>
        <v>30 BAGS OF CEMENT</v>
      </c>
    </row>
    <row r="2837" spans="1:9" x14ac:dyDescent="0.25">
      <c r="A2837" s="6">
        <v>44691</v>
      </c>
      <c r="B2837" t="s">
        <v>26</v>
      </c>
      <c r="C2837">
        <v>69455</v>
      </c>
      <c r="D2837" t="s">
        <v>180</v>
      </c>
      <c r="E2837" s="7">
        <v>33.4</v>
      </c>
      <c r="F2837" t="s">
        <v>20</v>
      </c>
      <c r="G2837" t="s">
        <v>21</v>
      </c>
      <c r="H2837" t="str">
        <f>"2204-199924"</f>
        <v>2204-199924</v>
      </c>
      <c r="I2837" t="str">
        <f>"WATER LEAK SUPPLIES"</f>
        <v>WATER LEAK SUPPLIES</v>
      </c>
    </row>
    <row r="2838" spans="1:9" x14ac:dyDescent="0.25">
      <c r="A2838" s="6">
        <v>44691</v>
      </c>
      <c r="B2838" t="s">
        <v>26</v>
      </c>
      <c r="C2838">
        <v>69455</v>
      </c>
      <c r="D2838" t="s">
        <v>180</v>
      </c>
      <c r="E2838" s="7">
        <v>59.98</v>
      </c>
      <c r="F2838" t="s">
        <v>20</v>
      </c>
      <c r="G2838" t="s">
        <v>21</v>
      </c>
      <c r="H2838" t="str">
        <f>"2204-202735"</f>
        <v>2204-202735</v>
      </c>
      <c r="I2838" t="str">
        <f>"DITTMAR LUMBER CO."</f>
        <v>DITTMAR LUMBER CO.</v>
      </c>
    </row>
    <row r="2839" spans="1:9" x14ac:dyDescent="0.25">
      <c r="A2839" s="6">
        <v>44691</v>
      </c>
      <c r="B2839" t="s">
        <v>26</v>
      </c>
      <c r="C2839">
        <v>69455</v>
      </c>
      <c r="D2839" t="s">
        <v>180</v>
      </c>
      <c r="E2839" s="7">
        <v>59.98</v>
      </c>
      <c r="F2839" t="s">
        <v>20</v>
      </c>
      <c r="G2839" t="s">
        <v>21</v>
      </c>
      <c r="H2839" t="str">
        <f>"2204-V02706"</f>
        <v>2204-V02706</v>
      </c>
      <c r="I2839" t="str">
        <f>"DAVID MARTINEZ"</f>
        <v>DAVID MARTINEZ</v>
      </c>
    </row>
    <row r="2840" spans="1:9" x14ac:dyDescent="0.25">
      <c r="A2840" s="6">
        <v>44691</v>
      </c>
      <c r="B2840" t="s">
        <v>26</v>
      </c>
      <c r="C2840">
        <v>69456</v>
      </c>
      <c r="D2840" t="s">
        <v>64</v>
      </c>
      <c r="E2840" s="7">
        <v>3965.29</v>
      </c>
      <c r="F2840" t="s">
        <v>20</v>
      </c>
      <c r="G2840" t="s">
        <v>21</v>
      </c>
      <c r="H2840" t="str">
        <f>"8834"</f>
        <v>8834</v>
      </c>
      <c r="I2840" t="str">
        <f>"DREWA DESIGNS  INC."</f>
        <v>DREWA DESIGNS  INC.</v>
      </c>
    </row>
    <row r="2841" spans="1:9" x14ac:dyDescent="0.25">
      <c r="A2841" s="6">
        <v>44691</v>
      </c>
      <c r="B2841" t="s">
        <v>26</v>
      </c>
      <c r="C2841">
        <v>69457</v>
      </c>
      <c r="D2841" t="s">
        <v>69</v>
      </c>
      <c r="E2841" s="7">
        <v>1408.78</v>
      </c>
      <c r="F2841" t="s">
        <v>20</v>
      </c>
      <c r="G2841" t="s">
        <v>21</v>
      </c>
      <c r="H2841" t="str">
        <f>"3C16595"</f>
        <v>3C16595</v>
      </c>
      <c r="I2841" t="str">
        <f>"WEEK EATERS/SUPPLIES"</f>
        <v>WEEK EATERS/SUPPLIES</v>
      </c>
    </row>
    <row r="2842" spans="1:9" x14ac:dyDescent="0.25">
      <c r="A2842" s="6">
        <v>44691</v>
      </c>
      <c r="B2842" t="s">
        <v>26</v>
      </c>
      <c r="C2842">
        <v>69457</v>
      </c>
      <c r="D2842" t="s">
        <v>69</v>
      </c>
      <c r="E2842" s="7">
        <v>853.27</v>
      </c>
      <c r="F2842" t="s">
        <v>20</v>
      </c>
      <c r="G2842" t="s">
        <v>21</v>
      </c>
      <c r="H2842" t="str">
        <f>"3C17531"</f>
        <v>3C17531</v>
      </c>
      <c r="I2842" t="str">
        <f>"PARK SUPPLIES"</f>
        <v>PARK SUPPLIES</v>
      </c>
    </row>
    <row r="2843" spans="1:9" x14ac:dyDescent="0.25">
      <c r="A2843" s="6">
        <v>44691</v>
      </c>
      <c r="B2843" t="s">
        <v>26</v>
      </c>
      <c r="C2843">
        <v>69458</v>
      </c>
      <c r="D2843" t="s">
        <v>79</v>
      </c>
      <c r="E2843" s="7">
        <v>7.31</v>
      </c>
      <c r="F2843" t="s">
        <v>20</v>
      </c>
      <c r="G2843" t="s">
        <v>21</v>
      </c>
      <c r="H2843" t="str">
        <f>"7-739-40400"</f>
        <v>7-739-40400</v>
      </c>
      <c r="I2843" t="str">
        <f>"FEDEX"</f>
        <v>FEDEX</v>
      </c>
    </row>
    <row r="2844" spans="1:9" x14ac:dyDescent="0.25">
      <c r="A2844" s="6">
        <v>44691</v>
      </c>
      <c r="B2844" t="s">
        <v>26</v>
      </c>
      <c r="C2844">
        <v>69458</v>
      </c>
      <c r="D2844" t="s">
        <v>79</v>
      </c>
      <c r="E2844" s="7">
        <v>11.31</v>
      </c>
      <c r="F2844" t="s">
        <v>20</v>
      </c>
      <c r="G2844" t="s">
        <v>21</v>
      </c>
      <c r="H2844" t="str">
        <f>"7-746-34071"</f>
        <v>7-746-34071</v>
      </c>
      <c r="I2844" t="str">
        <f>"FEDEX"</f>
        <v>FEDEX</v>
      </c>
    </row>
    <row r="2845" spans="1:9" x14ac:dyDescent="0.25">
      <c r="A2845" s="6">
        <v>44691</v>
      </c>
      <c r="B2845" t="s">
        <v>26</v>
      </c>
      <c r="C2845">
        <v>69459</v>
      </c>
      <c r="D2845" t="s">
        <v>59</v>
      </c>
      <c r="E2845" s="7">
        <v>471.86</v>
      </c>
      <c r="F2845" t="s">
        <v>20</v>
      </c>
      <c r="G2845" t="s">
        <v>21</v>
      </c>
      <c r="H2845" t="str">
        <f>"1160048"</f>
        <v>1160048</v>
      </c>
      <c r="I2845" t="str">
        <f>"WATER SUPPLIES"</f>
        <v>WATER SUPPLIES</v>
      </c>
    </row>
    <row r="2846" spans="1:9" x14ac:dyDescent="0.25">
      <c r="A2846" s="6">
        <v>44691</v>
      </c>
      <c r="B2846" t="s">
        <v>26</v>
      </c>
      <c r="C2846">
        <v>69459</v>
      </c>
      <c r="D2846" t="s">
        <v>59</v>
      </c>
      <c r="E2846" s="7">
        <v>1009.5</v>
      </c>
      <c r="F2846" t="s">
        <v>20</v>
      </c>
      <c r="G2846" t="s">
        <v>21</v>
      </c>
      <c r="H2846" t="str">
        <f>"1165389"</f>
        <v>1165389</v>
      </c>
      <c r="I2846" t="str">
        <f>"MISC STOCK"</f>
        <v>MISC STOCK</v>
      </c>
    </row>
    <row r="2847" spans="1:9" x14ac:dyDescent="0.25">
      <c r="A2847" s="6">
        <v>44691</v>
      </c>
      <c r="B2847" t="s">
        <v>26</v>
      </c>
      <c r="C2847">
        <v>69459</v>
      </c>
      <c r="D2847" t="s">
        <v>59</v>
      </c>
      <c r="E2847" s="7">
        <v>8235.5400000000009</v>
      </c>
      <c r="F2847" t="s">
        <v>20</v>
      </c>
      <c r="G2847" t="s">
        <v>21</v>
      </c>
      <c r="H2847" t="str">
        <f>"1169259"</f>
        <v>1169259</v>
      </c>
      <c r="I2847" t="str">
        <f>"MISC STOCK"</f>
        <v>MISC STOCK</v>
      </c>
    </row>
    <row r="2848" spans="1:9" x14ac:dyDescent="0.25">
      <c r="A2848" s="6">
        <v>44691</v>
      </c>
      <c r="B2848" t="s">
        <v>26</v>
      </c>
      <c r="C2848">
        <v>69460</v>
      </c>
      <c r="D2848" t="s">
        <v>562</v>
      </c>
      <c r="E2848" s="7">
        <v>315.16000000000003</v>
      </c>
      <c r="F2848" t="s">
        <v>20</v>
      </c>
      <c r="G2848" t="s">
        <v>21</v>
      </c>
      <c r="H2848" t="str">
        <f>"COURT SEC CONF."</f>
        <v>COURT SEC CONF.</v>
      </c>
      <c r="I2848" t="str">
        <f>"FONDA KELLNER"</f>
        <v>FONDA KELLNER</v>
      </c>
    </row>
    <row r="2849" spans="1:9" x14ac:dyDescent="0.25">
      <c r="A2849" s="6">
        <v>44691</v>
      </c>
      <c r="B2849" t="s">
        <v>26</v>
      </c>
      <c r="C2849">
        <v>69461</v>
      </c>
      <c r="D2849" t="s">
        <v>85</v>
      </c>
      <c r="E2849" s="7">
        <v>61.33</v>
      </c>
      <c r="F2849" t="s">
        <v>20</v>
      </c>
      <c r="G2849" t="s">
        <v>21</v>
      </c>
      <c r="H2849" t="str">
        <f>"2162691 APR.2022"</f>
        <v>2162691 APR.2022</v>
      </c>
      <c r="I2849" t="str">
        <f>"FRONTIER"</f>
        <v>FRONTIER</v>
      </c>
    </row>
    <row r="2850" spans="1:9" x14ac:dyDescent="0.25">
      <c r="A2850" s="6">
        <v>44691</v>
      </c>
      <c r="B2850" t="s">
        <v>26</v>
      </c>
      <c r="C2850">
        <v>69461</v>
      </c>
      <c r="D2850" t="s">
        <v>85</v>
      </c>
      <c r="E2850" s="7">
        <v>42.64</v>
      </c>
      <c r="F2850" t="s">
        <v>20</v>
      </c>
      <c r="G2850" t="s">
        <v>21</v>
      </c>
      <c r="H2850" t="str">
        <f>"3933718 APR.2022"</f>
        <v>3933718 APR.2022</v>
      </c>
      <c r="I2850" t="str">
        <f>"FRONTIER"</f>
        <v>FRONTIER</v>
      </c>
    </row>
    <row r="2851" spans="1:9" x14ac:dyDescent="0.25">
      <c r="A2851" s="6">
        <v>44691</v>
      </c>
      <c r="B2851" t="s">
        <v>26</v>
      </c>
      <c r="C2851">
        <v>69461</v>
      </c>
      <c r="D2851" t="s">
        <v>85</v>
      </c>
      <c r="E2851" s="7">
        <v>480</v>
      </c>
      <c r="F2851" t="s">
        <v>20</v>
      </c>
      <c r="G2851" t="s">
        <v>21</v>
      </c>
      <c r="H2851" t="str">
        <f>"8311970046 APR2022"</f>
        <v>8311970046 APR2022</v>
      </c>
      <c r="I2851" t="str">
        <f>"FRONTIER"</f>
        <v>FRONTIER</v>
      </c>
    </row>
    <row r="2852" spans="1:9" x14ac:dyDescent="0.25">
      <c r="A2852" s="6">
        <v>44691</v>
      </c>
      <c r="B2852" t="s">
        <v>26</v>
      </c>
      <c r="C2852">
        <v>69462</v>
      </c>
      <c r="D2852" t="s">
        <v>194</v>
      </c>
      <c r="E2852" s="7">
        <v>4.78</v>
      </c>
      <c r="F2852" t="s">
        <v>20</v>
      </c>
      <c r="G2852" t="s">
        <v>21</v>
      </c>
      <c r="H2852" t="str">
        <f>"020873556"</f>
        <v>020873556</v>
      </c>
      <c r="I2852" t="str">
        <f>"GALLS  LLC-D.B.A. STERLING'S U"</f>
        <v>GALLS  LLC-D.B.A. STERLING'S U</v>
      </c>
    </row>
    <row r="2853" spans="1:9" x14ac:dyDescent="0.25">
      <c r="A2853" s="6">
        <v>44691</v>
      </c>
      <c r="B2853" t="s">
        <v>26</v>
      </c>
      <c r="C2853">
        <v>69463</v>
      </c>
      <c r="D2853" t="s">
        <v>398</v>
      </c>
      <c r="E2853" s="7">
        <v>56.5</v>
      </c>
      <c r="F2853" t="s">
        <v>20</v>
      </c>
      <c r="G2853" t="s">
        <v>21</v>
      </c>
      <c r="H2853" t="str">
        <f>"20220503"</f>
        <v>20220503</v>
      </c>
      <c r="I2853" t="str">
        <f>"INTERCEPTOR TECHNOLOGY GROUP L"</f>
        <v>INTERCEPTOR TECHNOLOGY GROUP L</v>
      </c>
    </row>
    <row r="2854" spans="1:9" x14ac:dyDescent="0.25">
      <c r="A2854" s="6">
        <v>44691</v>
      </c>
      <c r="B2854" t="s">
        <v>26</v>
      </c>
      <c r="C2854">
        <v>69463</v>
      </c>
      <c r="D2854" t="s">
        <v>398</v>
      </c>
      <c r="E2854" s="7">
        <v>605.65</v>
      </c>
      <c r="F2854" t="s">
        <v>20</v>
      </c>
      <c r="G2854" t="s">
        <v>21</v>
      </c>
      <c r="H2854" t="str">
        <f>"2073"</f>
        <v>2073</v>
      </c>
      <c r="I2854" t="str">
        <f>"INTERCEPTOR TECHNOLOGY GROUP L"</f>
        <v>INTERCEPTOR TECHNOLOGY GROUP L</v>
      </c>
    </row>
    <row r="2855" spans="1:9" x14ac:dyDescent="0.25">
      <c r="A2855" s="6">
        <v>44691</v>
      </c>
      <c r="B2855" t="s">
        <v>26</v>
      </c>
      <c r="C2855">
        <v>69464</v>
      </c>
      <c r="D2855" t="s">
        <v>927</v>
      </c>
      <c r="E2855" s="7">
        <v>1370.37</v>
      </c>
      <c r="F2855" t="s">
        <v>20</v>
      </c>
      <c r="G2855" t="s">
        <v>21</v>
      </c>
      <c r="H2855" t="str">
        <f>"CITY0000010"</f>
        <v>CITY0000010</v>
      </c>
      <c r="I2855" t="str">
        <f>"JOELZ LAWN MOWING SERVICE"</f>
        <v>JOELZ LAWN MOWING SERVICE</v>
      </c>
    </row>
    <row r="2856" spans="1:9" x14ac:dyDescent="0.25">
      <c r="A2856" s="6">
        <v>44691</v>
      </c>
      <c r="B2856" t="s">
        <v>26</v>
      </c>
      <c r="C2856">
        <v>69465</v>
      </c>
      <c r="D2856" t="s">
        <v>107</v>
      </c>
      <c r="E2856" s="7">
        <v>23.45</v>
      </c>
      <c r="F2856" t="s">
        <v>20</v>
      </c>
      <c r="G2856" t="s">
        <v>21</v>
      </c>
      <c r="H2856" t="str">
        <f>"1166960-20220331"</f>
        <v>1166960-20220331</v>
      </c>
      <c r="I2856" t="str">
        <f>"LEXISNEXIS RISK SOLUTIONS"</f>
        <v>LEXISNEXIS RISK SOLUTIONS</v>
      </c>
    </row>
    <row r="2857" spans="1:9" x14ac:dyDescent="0.25">
      <c r="A2857" s="6">
        <v>44691</v>
      </c>
      <c r="B2857" t="s">
        <v>26</v>
      </c>
      <c r="C2857">
        <v>69466</v>
      </c>
      <c r="D2857" t="s">
        <v>1136</v>
      </c>
      <c r="E2857" s="7">
        <v>1050</v>
      </c>
      <c r="F2857" t="s">
        <v>20</v>
      </c>
      <c r="G2857" t="s">
        <v>21</v>
      </c>
      <c r="H2857" t="str">
        <f>"INV0128"</f>
        <v>INV0128</v>
      </c>
      <c r="I2857" t="str">
        <f>"HOSPITAL BLVD"</f>
        <v>HOSPITAL BLVD</v>
      </c>
    </row>
    <row r="2858" spans="1:9" x14ac:dyDescent="0.25">
      <c r="A2858" s="6">
        <v>44691</v>
      </c>
      <c r="B2858" t="s">
        <v>26</v>
      </c>
      <c r="C2858">
        <v>69466</v>
      </c>
      <c r="D2858" t="s">
        <v>1136</v>
      </c>
      <c r="E2858" s="7">
        <v>450</v>
      </c>
      <c r="F2858" t="s">
        <v>20</v>
      </c>
      <c r="G2858" t="s">
        <v>21</v>
      </c>
      <c r="H2858" t="str">
        <f>"INV0132"</f>
        <v>INV0132</v>
      </c>
      <c r="I2858" t="str">
        <f>"LUX ELECTRIC LLC"</f>
        <v>LUX ELECTRIC LLC</v>
      </c>
    </row>
    <row r="2859" spans="1:9" x14ac:dyDescent="0.25">
      <c r="A2859" s="6">
        <v>44691</v>
      </c>
      <c r="B2859" t="s">
        <v>26</v>
      </c>
      <c r="C2859">
        <v>69466</v>
      </c>
      <c r="D2859" t="s">
        <v>1136</v>
      </c>
      <c r="E2859" s="7">
        <v>450</v>
      </c>
      <c r="F2859" t="s">
        <v>20</v>
      </c>
      <c r="G2859" t="s">
        <v>21</v>
      </c>
      <c r="H2859" t="str">
        <f>"INV0133"</f>
        <v>INV0133</v>
      </c>
      <c r="I2859" t="str">
        <f>"LUX ELECTRIC LLC"</f>
        <v>LUX ELECTRIC LLC</v>
      </c>
    </row>
    <row r="2860" spans="1:9" x14ac:dyDescent="0.25">
      <c r="A2860" s="6">
        <v>44691</v>
      </c>
      <c r="B2860" t="s">
        <v>26</v>
      </c>
      <c r="C2860">
        <v>69467</v>
      </c>
      <c r="D2860" t="s">
        <v>824</v>
      </c>
      <c r="E2860" s="7">
        <v>103.23</v>
      </c>
      <c r="F2860" t="s">
        <v>20</v>
      </c>
      <c r="G2860" t="s">
        <v>21</v>
      </c>
      <c r="H2860" t="str">
        <f>"05/09/2022"</f>
        <v>05/09/2022</v>
      </c>
      <c r="I2860" t="str">
        <f>"MALLORY R. NELSON"</f>
        <v>MALLORY R. NELSON</v>
      </c>
    </row>
    <row r="2861" spans="1:9" x14ac:dyDescent="0.25">
      <c r="A2861" s="6">
        <v>44691</v>
      </c>
      <c r="B2861" t="s">
        <v>26</v>
      </c>
      <c r="C2861">
        <v>69468</v>
      </c>
      <c r="D2861" t="s">
        <v>326</v>
      </c>
      <c r="E2861" s="7">
        <v>53</v>
      </c>
      <c r="F2861" t="s">
        <v>20</v>
      </c>
      <c r="G2861" t="s">
        <v>21</v>
      </c>
      <c r="H2861" t="str">
        <f>"0025564756"</f>
        <v>0025564756</v>
      </c>
      <c r="I2861" t="str">
        <f>"MATHESON TRI-GAS INC"</f>
        <v>MATHESON TRI-GAS INC</v>
      </c>
    </row>
    <row r="2862" spans="1:9" x14ac:dyDescent="0.25">
      <c r="A2862" s="6">
        <v>44691</v>
      </c>
      <c r="B2862" t="s">
        <v>26</v>
      </c>
      <c r="C2862">
        <v>69469</v>
      </c>
      <c r="D2862" t="s">
        <v>124</v>
      </c>
      <c r="E2862" s="7">
        <v>39.97</v>
      </c>
      <c r="F2862" t="s">
        <v>20</v>
      </c>
      <c r="G2862" t="s">
        <v>21</v>
      </c>
      <c r="H2862" t="str">
        <f>"11120007"</f>
        <v>11120007</v>
      </c>
      <c r="I2862" t="str">
        <f>"WWTP"</f>
        <v>WWTP</v>
      </c>
    </row>
    <row r="2863" spans="1:9" x14ac:dyDescent="0.25">
      <c r="A2863" s="6">
        <v>44691</v>
      </c>
      <c r="B2863" t="s">
        <v>26</v>
      </c>
      <c r="C2863">
        <v>69470</v>
      </c>
      <c r="D2863" t="s">
        <v>345</v>
      </c>
      <c r="E2863" s="7">
        <v>440</v>
      </c>
      <c r="F2863" t="s">
        <v>20</v>
      </c>
      <c r="G2863" t="s">
        <v>21</v>
      </c>
      <c r="H2863" t="str">
        <f>"05/09/2022"</f>
        <v>05/09/2022</v>
      </c>
      <c r="I2863" t="str">
        <f>"MICHAEL ISAAC MARTINEZ"</f>
        <v>MICHAEL ISAAC MARTINEZ</v>
      </c>
    </row>
    <row r="2864" spans="1:9" x14ac:dyDescent="0.25">
      <c r="A2864" s="6">
        <v>44691</v>
      </c>
      <c r="B2864" t="s">
        <v>26</v>
      </c>
      <c r="C2864">
        <v>69471</v>
      </c>
      <c r="D2864" t="s">
        <v>1140</v>
      </c>
      <c r="E2864" s="7">
        <v>103.23</v>
      </c>
      <c r="F2864" t="s">
        <v>20</v>
      </c>
      <c r="G2864" t="s">
        <v>21</v>
      </c>
      <c r="H2864" t="str">
        <f>"05/09/2022"</f>
        <v>05/09/2022</v>
      </c>
      <c r="I2864" t="str">
        <f>"MIRANDA ESTRADA"</f>
        <v>MIRANDA ESTRADA</v>
      </c>
    </row>
    <row r="2865" spans="1:9" x14ac:dyDescent="0.25">
      <c r="A2865" s="6">
        <v>44691</v>
      </c>
      <c r="B2865" t="s">
        <v>26</v>
      </c>
      <c r="C2865">
        <v>69472</v>
      </c>
      <c r="D2865" t="s">
        <v>137</v>
      </c>
      <c r="E2865" s="7">
        <v>51.95</v>
      </c>
      <c r="F2865" t="s">
        <v>20</v>
      </c>
      <c r="G2865" t="s">
        <v>21</v>
      </c>
      <c r="H2865" t="str">
        <f>"35638"</f>
        <v>35638</v>
      </c>
      <c r="I2865" t="str">
        <f>"OMNIBUS-M  INC.D.B.A."</f>
        <v>OMNIBUS-M  INC.D.B.A.</v>
      </c>
    </row>
    <row r="2866" spans="1:9" x14ac:dyDescent="0.25">
      <c r="A2866" s="6">
        <v>44691</v>
      </c>
      <c r="B2866" t="s">
        <v>26</v>
      </c>
      <c r="C2866">
        <v>69472</v>
      </c>
      <c r="D2866" t="s">
        <v>137</v>
      </c>
      <c r="E2866" s="7">
        <v>69.95</v>
      </c>
      <c r="F2866" t="s">
        <v>20</v>
      </c>
      <c r="G2866" t="s">
        <v>21</v>
      </c>
      <c r="H2866" t="str">
        <f>"35639"</f>
        <v>35639</v>
      </c>
      <c r="I2866" t="str">
        <f>"OMNIBUS-M  INC.D.B.A."</f>
        <v>OMNIBUS-M  INC.D.B.A.</v>
      </c>
    </row>
    <row r="2867" spans="1:9" x14ac:dyDescent="0.25">
      <c r="A2867" s="6">
        <v>44691</v>
      </c>
      <c r="B2867" t="s">
        <v>26</v>
      </c>
      <c r="C2867">
        <v>69473</v>
      </c>
      <c r="D2867" t="s">
        <v>1081</v>
      </c>
      <c r="E2867" s="7">
        <v>433</v>
      </c>
      <c r="F2867" t="s">
        <v>20</v>
      </c>
      <c r="G2867" t="s">
        <v>21</v>
      </c>
      <c r="H2867" t="str">
        <f>"35474"</f>
        <v>35474</v>
      </c>
      <c r="I2867" t="str">
        <f>"PINNACLE PEST DEFENSE"</f>
        <v>PINNACLE PEST DEFENSE</v>
      </c>
    </row>
    <row r="2868" spans="1:9" x14ac:dyDescent="0.25">
      <c r="A2868" s="6">
        <v>44691</v>
      </c>
      <c r="B2868" t="s">
        <v>26</v>
      </c>
      <c r="C2868">
        <v>69473</v>
      </c>
      <c r="D2868" t="s">
        <v>1081</v>
      </c>
      <c r="E2868" s="7">
        <v>502.88</v>
      </c>
      <c r="F2868" t="s">
        <v>20</v>
      </c>
      <c r="G2868" t="s">
        <v>21</v>
      </c>
      <c r="H2868" t="str">
        <f>"35479"</f>
        <v>35479</v>
      </c>
      <c r="I2868" t="str">
        <f>"PINNACLE PEST DEFENSE"</f>
        <v>PINNACLE PEST DEFENSE</v>
      </c>
    </row>
    <row r="2869" spans="1:9" x14ac:dyDescent="0.25">
      <c r="A2869" s="6">
        <v>44691</v>
      </c>
      <c r="B2869" t="s">
        <v>26</v>
      </c>
      <c r="C2869">
        <v>69474</v>
      </c>
      <c r="D2869" t="s">
        <v>987</v>
      </c>
      <c r="E2869" s="7">
        <v>153.97999999999999</v>
      </c>
      <c r="F2869" t="s">
        <v>20</v>
      </c>
      <c r="G2869" t="s">
        <v>21</v>
      </c>
      <c r="H2869" t="str">
        <f>"INV828236"</f>
        <v>INV828236</v>
      </c>
      <c r="I2869" t="str">
        <f>"BASEBALL FIELD SUPPLIES"</f>
        <v>BASEBALL FIELD SUPPLIES</v>
      </c>
    </row>
    <row r="2870" spans="1:9" x14ac:dyDescent="0.25">
      <c r="A2870" s="6">
        <v>44691</v>
      </c>
      <c r="B2870" t="s">
        <v>26</v>
      </c>
      <c r="C2870">
        <v>69475</v>
      </c>
      <c r="D2870" t="s">
        <v>184</v>
      </c>
      <c r="E2870" s="7">
        <v>1004</v>
      </c>
      <c r="F2870" t="s">
        <v>20</v>
      </c>
      <c r="G2870" t="s">
        <v>21</v>
      </c>
      <c r="H2870" t="str">
        <f>"1066-964"</f>
        <v>1066-964</v>
      </c>
      <c r="I2870" t="str">
        <f>"POLLUTION CONTROL SERVICES"</f>
        <v>POLLUTION CONTROL SERVICES</v>
      </c>
    </row>
    <row r="2871" spans="1:9" x14ac:dyDescent="0.25">
      <c r="A2871" s="6">
        <v>44691</v>
      </c>
      <c r="B2871" t="s">
        <v>26</v>
      </c>
      <c r="C2871">
        <v>69475</v>
      </c>
      <c r="D2871" t="s">
        <v>184</v>
      </c>
      <c r="E2871" s="7">
        <v>252</v>
      </c>
      <c r="F2871" t="s">
        <v>20</v>
      </c>
      <c r="G2871" t="s">
        <v>21</v>
      </c>
      <c r="H2871" t="str">
        <f>"1066-965"</f>
        <v>1066-965</v>
      </c>
      <c r="I2871" t="str">
        <f>"POLLUTION CONTROL SERVICES"</f>
        <v>POLLUTION CONTROL SERVICES</v>
      </c>
    </row>
    <row r="2872" spans="1:9" x14ac:dyDescent="0.25">
      <c r="A2872" s="6">
        <v>44691</v>
      </c>
      <c r="B2872" t="s">
        <v>26</v>
      </c>
      <c r="C2872">
        <v>69476</v>
      </c>
      <c r="D2872" t="s">
        <v>62</v>
      </c>
      <c r="E2872" s="7">
        <v>233.75</v>
      </c>
      <c r="F2872" t="s">
        <v>20</v>
      </c>
      <c r="G2872" t="s">
        <v>21</v>
      </c>
      <c r="H2872" t="str">
        <f>"79471"</f>
        <v>79471</v>
      </c>
      <c r="I2872" t="str">
        <f>"PROFICIENT BENEFIT SOLUTIONS"</f>
        <v>PROFICIENT BENEFIT SOLUTIONS</v>
      </c>
    </row>
    <row r="2873" spans="1:9" x14ac:dyDescent="0.25">
      <c r="A2873" s="6">
        <v>44691</v>
      </c>
      <c r="B2873" t="s">
        <v>26</v>
      </c>
      <c r="C2873">
        <v>69477</v>
      </c>
      <c r="D2873" t="s">
        <v>119</v>
      </c>
      <c r="E2873" s="7">
        <v>44</v>
      </c>
      <c r="F2873" t="s">
        <v>20</v>
      </c>
      <c r="G2873" t="s">
        <v>21</v>
      </c>
      <c r="H2873" t="str">
        <f>"88308"</f>
        <v>88308</v>
      </c>
      <c r="I2873" t="str">
        <f>"PRUSKI'S TIRE SHOP  L.L.C."</f>
        <v>PRUSKI'S TIRE SHOP  L.L.C.</v>
      </c>
    </row>
    <row r="2874" spans="1:9" x14ac:dyDescent="0.25">
      <c r="A2874" s="6">
        <v>44691</v>
      </c>
      <c r="B2874" t="s">
        <v>26</v>
      </c>
      <c r="C2874">
        <v>69478</v>
      </c>
      <c r="D2874" t="s">
        <v>131</v>
      </c>
      <c r="E2874" s="7">
        <v>69.55</v>
      </c>
      <c r="F2874" t="s">
        <v>20</v>
      </c>
      <c r="G2874" t="s">
        <v>21</v>
      </c>
      <c r="H2874" t="str">
        <f>"067341"</f>
        <v>067341</v>
      </c>
      <c r="I2874" t="str">
        <f>"WWTP"</f>
        <v>WWTP</v>
      </c>
    </row>
    <row r="2875" spans="1:9" x14ac:dyDescent="0.25">
      <c r="A2875" s="6">
        <v>44691</v>
      </c>
      <c r="B2875" t="s">
        <v>26</v>
      </c>
      <c r="C2875">
        <v>69479</v>
      </c>
      <c r="D2875" t="s">
        <v>126</v>
      </c>
      <c r="E2875" s="7">
        <v>2330.5100000000002</v>
      </c>
      <c r="F2875" t="s">
        <v>20</v>
      </c>
      <c r="G2875" t="s">
        <v>21</v>
      </c>
      <c r="H2875" t="str">
        <f>"0859-003102119"</f>
        <v>0859-003102119</v>
      </c>
      <c r="I2875" t="str">
        <f>"REPUBLIC SERVICES #859"</f>
        <v>REPUBLIC SERVICES #859</v>
      </c>
    </row>
    <row r="2876" spans="1:9" x14ac:dyDescent="0.25">
      <c r="A2876" s="6">
        <v>44691</v>
      </c>
      <c r="B2876" t="s">
        <v>26</v>
      </c>
      <c r="C2876">
        <v>69479</v>
      </c>
      <c r="D2876" t="s">
        <v>126</v>
      </c>
      <c r="E2876" s="7">
        <v>94281.02</v>
      </c>
      <c r="F2876" t="s">
        <v>20</v>
      </c>
      <c r="G2876" t="s">
        <v>21</v>
      </c>
      <c r="H2876" t="str">
        <f>"0859-003107676"</f>
        <v>0859-003107676</v>
      </c>
      <c r="I2876" t="str">
        <f>"REPUBLIC SERVICES #859"</f>
        <v>REPUBLIC SERVICES #859</v>
      </c>
    </row>
    <row r="2877" spans="1:9" x14ac:dyDescent="0.25">
      <c r="A2877" s="6">
        <v>44691</v>
      </c>
      <c r="B2877" t="s">
        <v>26</v>
      </c>
      <c r="C2877">
        <v>69480</v>
      </c>
      <c r="D2877" t="s">
        <v>1195</v>
      </c>
      <c r="E2877" s="7">
        <v>2292.5</v>
      </c>
      <c r="F2877" t="s">
        <v>20</v>
      </c>
      <c r="G2877" t="s">
        <v>21</v>
      </c>
      <c r="H2877" t="str">
        <f>"CUSTOMER REIMBSTMT"</f>
        <v>CUSTOMER REIMBSTMT</v>
      </c>
      <c r="I2877" t="str">
        <f>"RICARDO MONTES JR"</f>
        <v>RICARDO MONTES JR</v>
      </c>
    </row>
    <row r="2878" spans="1:9" x14ac:dyDescent="0.25">
      <c r="A2878" s="6">
        <v>44691</v>
      </c>
      <c r="B2878" t="s">
        <v>26</v>
      </c>
      <c r="C2878">
        <v>69481</v>
      </c>
      <c r="D2878" t="s">
        <v>213</v>
      </c>
      <c r="E2878" s="7">
        <v>2430.2399999999998</v>
      </c>
      <c r="F2878" t="s">
        <v>20</v>
      </c>
      <c r="G2878" t="s">
        <v>21</v>
      </c>
      <c r="H2878" t="str">
        <f>"APRIL 2022"</f>
        <v>APRIL 2022</v>
      </c>
      <c r="I2878" t="str">
        <f>"RIVER BEND COMMUNITY DEVELOPME"</f>
        <v>RIVER BEND COMMUNITY DEVELOPME</v>
      </c>
    </row>
    <row r="2879" spans="1:9" x14ac:dyDescent="0.25">
      <c r="A2879" s="6">
        <v>44691</v>
      </c>
      <c r="B2879" t="s">
        <v>26</v>
      </c>
      <c r="C2879">
        <v>69482</v>
      </c>
      <c r="D2879" t="s">
        <v>1196</v>
      </c>
      <c r="E2879" s="7">
        <v>50</v>
      </c>
      <c r="F2879" t="s">
        <v>20</v>
      </c>
      <c r="G2879" t="s">
        <v>21</v>
      </c>
      <c r="H2879" t="str">
        <f>"4/16/22 DEP.REFUND"</f>
        <v>4/16/22 DEP.REFUND</v>
      </c>
      <c r="I2879" t="str">
        <f>"REFUND"</f>
        <v>REFUND</v>
      </c>
    </row>
    <row r="2880" spans="1:9" x14ac:dyDescent="0.25">
      <c r="A2880" s="6">
        <v>44691</v>
      </c>
      <c r="B2880" t="s">
        <v>26</v>
      </c>
      <c r="C2880">
        <v>69483</v>
      </c>
      <c r="D2880" t="s">
        <v>1091</v>
      </c>
      <c r="E2880" s="7">
        <v>260.39</v>
      </c>
      <c r="F2880" t="s">
        <v>20</v>
      </c>
      <c r="G2880" t="s">
        <v>21</v>
      </c>
      <c r="H2880" t="str">
        <f>"00303"</f>
        <v>00303</v>
      </c>
      <c r="I2880" t="str">
        <f>"SECOND NATURE COMPOST LLC"</f>
        <v>SECOND NATURE COMPOST LLC</v>
      </c>
    </row>
    <row r="2881" spans="1:9" x14ac:dyDescent="0.25">
      <c r="A2881" s="6">
        <v>44691</v>
      </c>
      <c r="B2881" t="s">
        <v>26</v>
      </c>
      <c r="C2881">
        <v>69484</v>
      </c>
      <c r="D2881" t="s">
        <v>975</v>
      </c>
      <c r="E2881" s="7">
        <v>64.72</v>
      </c>
      <c r="F2881" t="s">
        <v>20</v>
      </c>
      <c r="G2881" t="s">
        <v>21</v>
      </c>
      <c r="H2881" t="str">
        <f>"P97934"</f>
        <v>P97934</v>
      </c>
      <c r="I2881" t="str">
        <f>"TELLUS EQUIPMENT SOLUTIONS  LL"</f>
        <v>TELLUS EQUIPMENT SOLUTIONS  LL</v>
      </c>
    </row>
    <row r="2882" spans="1:9" x14ac:dyDescent="0.25">
      <c r="A2882" s="6">
        <v>44691</v>
      </c>
      <c r="B2882" t="s">
        <v>26</v>
      </c>
      <c r="C2882">
        <v>69485</v>
      </c>
      <c r="D2882" t="s">
        <v>640</v>
      </c>
      <c r="E2882" s="7">
        <v>3300</v>
      </c>
      <c r="F2882" t="s">
        <v>20</v>
      </c>
      <c r="G2882" t="s">
        <v>21</v>
      </c>
      <c r="H2882" t="str">
        <f>"1149"</f>
        <v>1149</v>
      </c>
      <c r="I2882" t="str">
        <f>"THE CEREMONY"</f>
        <v>THE CEREMONY</v>
      </c>
    </row>
    <row r="2883" spans="1:9" x14ac:dyDescent="0.25">
      <c r="A2883" s="6">
        <v>44691</v>
      </c>
      <c r="B2883" t="s">
        <v>26</v>
      </c>
      <c r="C2883">
        <v>69486</v>
      </c>
      <c r="D2883" t="s">
        <v>698</v>
      </c>
      <c r="E2883" s="7">
        <v>98.23</v>
      </c>
      <c r="F2883" t="s">
        <v>20</v>
      </c>
      <c r="G2883" t="s">
        <v>21</v>
      </c>
      <c r="H2883" t="str">
        <f>"05/09/2022"</f>
        <v>05/09/2022</v>
      </c>
      <c r="I2883" t="str">
        <f>"TRACY ORTIZ"</f>
        <v>TRACY ORTIZ</v>
      </c>
    </row>
    <row r="2884" spans="1:9" x14ac:dyDescent="0.25">
      <c r="A2884" s="6">
        <v>44691</v>
      </c>
      <c r="B2884" t="s">
        <v>26</v>
      </c>
      <c r="C2884">
        <v>69487</v>
      </c>
      <c r="D2884" t="s">
        <v>644</v>
      </c>
      <c r="E2884" s="7">
        <v>133.33000000000001</v>
      </c>
      <c r="F2884" t="s">
        <v>20</v>
      </c>
      <c r="G2884" t="s">
        <v>21</v>
      </c>
      <c r="H2884" t="str">
        <f>"8213718074"</f>
        <v>8213718074</v>
      </c>
      <c r="I2884" t="str">
        <f t="shared" ref="I2884:I2899" si="67">"UNIFIRST CORPORATION"</f>
        <v>UNIFIRST CORPORATION</v>
      </c>
    </row>
    <row r="2885" spans="1:9" x14ac:dyDescent="0.25">
      <c r="A2885" s="6">
        <v>44691</v>
      </c>
      <c r="B2885" t="s">
        <v>26</v>
      </c>
      <c r="C2885">
        <v>69487</v>
      </c>
      <c r="D2885" t="s">
        <v>644</v>
      </c>
      <c r="E2885" s="7">
        <v>129.58000000000001</v>
      </c>
      <c r="F2885" t="s">
        <v>20</v>
      </c>
      <c r="G2885" t="s">
        <v>21</v>
      </c>
      <c r="H2885" t="str">
        <f>"8213720645"</f>
        <v>8213720645</v>
      </c>
      <c r="I2885" t="str">
        <f t="shared" si="67"/>
        <v>UNIFIRST CORPORATION</v>
      </c>
    </row>
    <row r="2886" spans="1:9" x14ac:dyDescent="0.25">
      <c r="A2886" s="6">
        <v>44691</v>
      </c>
      <c r="B2886" t="s">
        <v>26</v>
      </c>
      <c r="C2886">
        <v>69487</v>
      </c>
      <c r="D2886" t="s">
        <v>644</v>
      </c>
      <c r="E2886" s="7">
        <v>129.58000000000001</v>
      </c>
      <c r="F2886" t="s">
        <v>20</v>
      </c>
      <c r="G2886" t="s">
        <v>21</v>
      </c>
      <c r="H2886" t="str">
        <f>"8213723227"</f>
        <v>8213723227</v>
      </c>
      <c r="I2886" t="str">
        <f t="shared" si="67"/>
        <v>UNIFIRST CORPORATION</v>
      </c>
    </row>
    <row r="2887" spans="1:9" x14ac:dyDescent="0.25">
      <c r="A2887" s="6">
        <v>44691</v>
      </c>
      <c r="B2887" t="s">
        <v>26</v>
      </c>
      <c r="C2887">
        <v>69487</v>
      </c>
      <c r="D2887" t="s">
        <v>644</v>
      </c>
      <c r="E2887" s="7">
        <v>26.49</v>
      </c>
      <c r="F2887" t="s">
        <v>20</v>
      </c>
      <c r="G2887" t="s">
        <v>21</v>
      </c>
      <c r="H2887" t="str">
        <f>"8213723228"</f>
        <v>8213723228</v>
      </c>
      <c r="I2887" t="str">
        <f t="shared" si="67"/>
        <v>UNIFIRST CORPORATION</v>
      </c>
    </row>
    <row r="2888" spans="1:9" x14ac:dyDescent="0.25">
      <c r="A2888" s="6">
        <v>44691</v>
      </c>
      <c r="B2888" t="s">
        <v>26</v>
      </c>
      <c r="C2888">
        <v>69487</v>
      </c>
      <c r="D2888" t="s">
        <v>644</v>
      </c>
      <c r="E2888" s="7">
        <v>262.94</v>
      </c>
      <c r="F2888" t="s">
        <v>20</v>
      </c>
      <c r="G2888" t="s">
        <v>21</v>
      </c>
      <c r="H2888" t="str">
        <f>"8213723229"</f>
        <v>8213723229</v>
      </c>
      <c r="I2888" t="str">
        <f t="shared" si="67"/>
        <v>UNIFIRST CORPORATION</v>
      </c>
    </row>
    <row r="2889" spans="1:9" x14ac:dyDescent="0.25">
      <c r="A2889" s="6">
        <v>44691</v>
      </c>
      <c r="B2889" t="s">
        <v>26</v>
      </c>
      <c r="C2889">
        <v>69487</v>
      </c>
      <c r="D2889" t="s">
        <v>644</v>
      </c>
      <c r="E2889" s="7">
        <v>230.76</v>
      </c>
      <c r="F2889" t="s">
        <v>20</v>
      </c>
      <c r="G2889" t="s">
        <v>21</v>
      </c>
      <c r="H2889" t="str">
        <f>"8213723230"</f>
        <v>8213723230</v>
      </c>
      <c r="I2889" t="str">
        <f t="shared" si="67"/>
        <v>UNIFIRST CORPORATION</v>
      </c>
    </row>
    <row r="2890" spans="1:9" x14ac:dyDescent="0.25">
      <c r="A2890" s="6">
        <v>44691</v>
      </c>
      <c r="B2890" t="s">
        <v>26</v>
      </c>
      <c r="C2890">
        <v>69487</v>
      </c>
      <c r="D2890" t="s">
        <v>644</v>
      </c>
      <c r="E2890" s="7">
        <v>25.05</v>
      </c>
      <c r="F2890" t="s">
        <v>20</v>
      </c>
      <c r="G2890" t="s">
        <v>21</v>
      </c>
      <c r="H2890" t="str">
        <f>"8213723231"</f>
        <v>8213723231</v>
      </c>
      <c r="I2890" t="str">
        <f t="shared" si="67"/>
        <v>UNIFIRST CORPORATION</v>
      </c>
    </row>
    <row r="2891" spans="1:9" x14ac:dyDescent="0.25">
      <c r="A2891" s="6">
        <v>44691</v>
      </c>
      <c r="B2891" t="s">
        <v>26</v>
      </c>
      <c r="C2891">
        <v>69487</v>
      </c>
      <c r="D2891" t="s">
        <v>644</v>
      </c>
      <c r="E2891" s="7">
        <v>103.55</v>
      </c>
      <c r="F2891" t="s">
        <v>20</v>
      </c>
      <c r="G2891" t="s">
        <v>21</v>
      </c>
      <c r="H2891" t="str">
        <f>"8213723232"</f>
        <v>8213723232</v>
      </c>
      <c r="I2891" t="str">
        <f t="shared" si="67"/>
        <v>UNIFIRST CORPORATION</v>
      </c>
    </row>
    <row r="2892" spans="1:9" x14ac:dyDescent="0.25">
      <c r="A2892" s="6">
        <v>44691</v>
      </c>
      <c r="B2892" t="s">
        <v>26</v>
      </c>
      <c r="C2892">
        <v>69487</v>
      </c>
      <c r="D2892" t="s">
        <v>644</v>
      </c>
      <c r="E2892" s="7">
        <v>26.49</v>
      </c>
      <c r="F2892" t="s">
        <v>20</v>
      </c>
      <c r="G2892" t="s">
        <v>21</v>
      </c>
      <c r="H2892" t="str">
        <f>"8213723233"</f>
        <v>8213723233</v>
      </c>
      <c r="I2892" t="str">
        <f t="shared" si="67"/>
        <v>UNIFIRST CORPORATION</v>
      </c>
    </row>
    <row r="2893" spans="1:9" x14ac:dyDescent="0.25">
      <c r="A2893" s="6">
        <v>44691</v>
      </c>
      <c r="B2893" t="s">
        <v>26</v>
      </c>
      <c r="C2893">
        <v>69487</v>
      </c>
      <c r="D2893" t="s">
        <v>644</v>
      </c>
      <c r="E2893" s="7">
        <v>131.54</v>
      </c>
      <c r="F2893" t="s">
        <v>20</v>
      </c>
      <c r="G2893" t="s">
        <v>21</v>
      </c>
      <c r="H2893" t="str">
        <f>"8213725825"</f>
        <v>8213725825</v>
      </c>
      <c r="I2893" t="str">
        <f t="shared" si="67"/>
        <v>UNIFIRST CORPORATION</v>
      </c>
    </row>
    <row r="2894" spans="1:9" x14ac:dyDescent="0.25">
      <c r="A2894" s="6">
        <v>44691</v>
      </c>
      <c r="B2894" t="s">
        <v>26</v>
      </c>
      <c r="C2894">
        <v>69487</v>
      </c>
      <c r="D2894" t="s">
        <v>644</v>
      </c>
      <c r="E2894" s="7">
        <v>26.49</v>
      </c>
      <c r="F2894" t="s">
        <v>20</v>
      </c>
      <c r="G2894" t="s">
        <v>21</v>
      </c>
      <c r="H2894" t="str">
        <f>"8213725826"</f>
        <v>8213725826</v>
      </c>
      <c r="I2894" t="str">
        <f t="shared" si="67"/>
        <v>UNIFIRST CORPORATION</v>
      </c>
    </row>
    <row r="2895" spans="1:9" x14ac:dyDescent="0.25">
      <c r="A2895" s="6">
        <v>44691</v>
      </c>
      <c r="B2895" t="s">
        <v>26</v>
      </c>
      <c r="C2895">
        <v>69487</v>
      </c>
      <c r="D2895" t="s">
        <v>644</v>
      </c>
      <c r="E2895" s="7">
        <v>166.69</v>
      </c>
      <c r="F2895" t="s">
        <v>20</v>
      </c>
      <c r="G2895" t="s">
        <v>21</v>
      </c>
      <c r="H2895" t="str">
        <f>"8213725827"</f>
        <v>8213725827</v>
      </c>
      <c r="I2895" t="str">
        <f t="shared" si="67"/>
        <v>UNIFIRST CORPORATION</v>
      </c>
    </row>
    <row r="2896" spans="1:9" x14ac:dyDescent="0.25">
      <c r="A2896" s="6">
        <v>44691</v>
      </c>
      <c r="B2896" t="s">
        <v>26</v>
      </c>
      <c r="C2896">
        <v>69487</v>
      </c>
      <c r="D2896" t="s">
        <v>644</v>
      </c>
      <c r="E2896" s="7">
        <v>130.87</v>
      </c>
      <c r="F2896" t="s">
        <v>20</v>
      </c>
      <c r="G2896" t="s">
        <v>21</v>
      </c>
      <c r="H2896" t="str">
        <f>"8213725828"</f>
        <v>8213725828</v>
      </c>
      <c r="I2896" t="str">
        <f t="shared" si="67"/>
        <v>UNIFIRST CORPORATION</v>
      </c>
    </row>
    <row r="2897" spans="1:9" x14ac:dyDescent="0.25">
      <c r="A2897" s="6">
        <v>44691</v>
      </c>
      <c r="B2897" t="s">
        <v>26</v>
      </c>
      <c r="C2897">
        <v>69487</v>
      </c>
      <c r="D2897" t="s">
        <v>644</v>
      </c>
      <c r="E2897" s="7">
        <v>25.05</v>
      </c>
      <c r="F2897" t="s">
        <v>20</v>
      </c>
      <c r="G2897" t="s">
        <v>21</v>
      </c>
      <c r="H2897" t="str">
        <f>"8213725829"</f>
        <v>8213725829</v>
      </c>
      <c r="I2897" t="str">
        <f t="shared" si="67"/>
        <v>UNIFIRST CORPORATION</v>
      </c>
    </row>
    <row r="2898" spans="1:9" x14ac:dyDescent="0.25">
      <c r="A2898" s="6">
        <v>44691</v>
      </c>
      <c r="B2898" t="s">
        <v>26</v>
      </c>
      <c r="C2898">
        <v>69487</v>
      </c>
      <c r="D2898" t="s">
        <v>644</v>
      </c>
      <c r="E2898" s="7">
        <v>104.6</v>
      </c>
      <c r="F2898" t="s">
        <v>20</v>
      </c>
      <c r="G2898" t="s">
        <v>21</v>
      </c>
      <c r="H2898" t="str">
        <f>"8213725830"</f>
        <v>8213725830</v>
      </c>
      <c r="I2898" t="str">
        <f t="shared" si="67"/>
        <v>UNIFIRST CORPORATION</v>
      </c>
    </row>
    <row r="2899" spans="1:9" x14ac:dyDescent="0.25">
      <c r="A2899" s="6">
        <v>44691</v>
      </c>
      <c r="B2899" t="s">
        <v>26</v>
      </c>
      <c r="C2899">
        <v>69487</v>
      </c>
      <c r="D2899" t="s">
        <v>644</v>
      </c>
      <c r="E2899" s="7">
        <v>26.89</v>
      </c>
      <c r="F2899" t="s">
        <v>20</v>
      </c>
      <c r="G2899" t="s">
        <v>21</v>
      </c>
      <c r="H2899" t="str">
        <f>"8213725831"</f>
        <v>8213725831</v>
      </c>
      <c r="I2899" t="str">
        <f t="shared" si="67"/>
        <v>UNIFIRST CORPORATION</v>
      </c>
    </row>
    <row r="2900" spans="1:9" x14ac:dyDescent="0.25">
      <c r="A2900" s="6">
        <v>44691</v>
      </c>
      <c r="B2900" t="s">
        <v>26</v>
      </c>
      <c r="C2900">
        <v>69490</v>
      </c>
      <c r="D2900" t="s">
        <v>74</v>
      </c>
      <c r="E2900" s="7">
        <v>2395.38</v>
      </c>
      <c r="F2900" t="s">
        <v>20</v>
      </c>
      <c r="G2900" t="s">
        <v>21</v>
      </c>
      <c r="H2900" t="str">
        <f>"9904911456"</f>
        <v>9904911456</v>
      </c>
      <c r="I2900" t="str">
        <f>"VERIZON WIRELESS"</f>
        <v>VERIZON WIRELESS</v>
      </c>
    </row>
    <row r="2901" spans="1:9" x14ac:dyDescent="0.25">
      <c r="A2901" s="6">
        <v>44691</v>
      </c>
      <c r="B2901" t="s">
        <v>26</v>
      </c>
      <c r="C2901">
        <v>69490</v>
      </c>
      <c r="D2901" t="s">
        <v>74</v>
      </c>
      <c r="E2901" s="7">
        <v>751.49</v>
      </c>
      <c r="F2901" t="s">
        <v>20</v>
      </c>
      <c r="G2901" t="s">
        <v>21</v>
      </c>
      <c r="H2901" t="str">
        <f>"9904911457"</f>
        <v>9904911457</v>
      </c>
      <c r="I2901" t="str">
        <f>"VERIZON WIRELESS"</f>
        <v>VERIZON WIRELESS</v>
      </c>
    </row>
    <row r="2902" spans="1:9" x14ac:dyDescent="0.25">
      <c r="A2902" s="6">
        <v>44691</v>
      </c>
      <c r="B2902" t="s">
        <v>26</v>
      </c>
      <c r="C2902">
        <v>69492</v>
      </c>
      <c r="D2902" t="s">
        <v>122</v>
      </c>
      <c r="E2902" s="7">
        <v>30</v>
      </c>
      <c r="F2902" t="s">
        <v>20</v>
      </c>
      <c r="G2902" t="s">
        <v>21</v>
      </c>
      <c r="H2902" t="str">
        <f>"004638"</f>
        <v>004638</v>
      </c>
      <c r="I2902" t="str">
        <f>"VILLA TIRES"</f>
        <v>VILLA TIRES</v>
      </c>
    </row>
    <row r="2903" spans="1:9" x14ac:dyDescent="0.25">
      <c r="A2903" s="6">
        <v>44691</v>
      </c>
      <c r="B2903" t="s">
        <v>26</v>
      </c>
      <c r="C2903">
        <v>69492</v>
      </c>
      <c r="D2903" t="s">
        <v>122</v>
      </c>
      <c r="E2903" s="7">
        <v>10</v>
      </c>
      <c r="F2903" t="s">
        <v>20</v>
      </c>
      <c r="G2903" t="s">
        <v>21</v>
      </c>
      <c r="H2903" t="str">
        <f>"004640"</f>
        <v>004640</v>
      </c>
      <c r="I2903" t="str">
        <f>"VILLA TIRES"</f>
        <v>VILLA TIRES</v>
      </c>
    </row>
    <row r="2904" spans="1:9" x14ac:dyDescent="0.25">
      <c r="A2904" s="6">
        <v>44691</v>
      </c>
      <c r="B2904" t="s">
        <v>26</v>
      </c>
      <c r="C2904">
        <v>69492</v>
      </c>
      <c r="D2904" t="s">
        <v>122</v>
      </c>
      <c r="E2904" s="7">
        <v>10</v>
      </c>
      <c r="F2904" t="s">
        <v>20</v>
      </c>
      <c r="G2904" t="s">
        <v>21</v>
      </c>
      <c r="H2904" t="str">
        <f>"004646"</f>
        <v>004646</v>
      </c>
      <c r="I2904" t="str">
        <f>"VILLA TIRES"</f>
        <v>VILLA TIRES</v>
      </c>
    </row>
    <row r="2905" spans="1:9" x14ac:dyDescent="0.25">
      <c r="A2905" s="6">
        <v>44691</v>
      </c>
      <c r="B2905" t="s">
        <v>26</v>
      </c>
      <c r="C2905">
        <v>69493</v>
      </c>
      <c r="D2905" t="s">
        <v>202</v>
      </c>
      <c r="E2905" s="7">
        <v>2144.0100000000002</v>
      </c>
      <c r="F2905" t="s">
        <v>20</v>
      </c>
      <c r="G2905" t="s">
        <v>21</v>
      </c>
      <c r="H2905" t="str">
        <f>"62451571"</f>
        <v>62451571</v>
      </c>
      <c r="I2905" t="str">
        <f>"COLD MIX FOR STREETS DEPT"</f>
        <v>COLD MIX FOR STREETS DEPT</v>
      </c>
    </row>
    <row r="2906" spans="1:9" x14ac:dyDescent="0.25">
      <c r="A2906" s="6">
        <v>44691</v>
      </c>
      <c r="B2906" t="s">
        <v>26</v>
      </c>
      <c r="C2906">
        <v>69494</v>
      </c>
      <c r="D2906" t="s">
        <v>104</v>
      </c>
      <c r="E2906" s="7">
        <v>513.20000000000005</v>
      </c>
      <c r="F2906" t="s">
        <v>20</v>
      </c>
      <c r="G2906" t="s">
        <v>21</v>
      </c>
      <c r="H2906" t="str">
        <f>"30343"</f>
        <v>30343</v>
      </c>
      <c r="I2906" t="str">
        <f>"WILSON COUNTY NEWS"</f>
        <v>WILSON COUNTY NEWS</v>
      </c>
    </row>
    <row r="2907" spans="1:9" x14ac:dyDescent="0.25">
      <c r="A2907" s="6">
        <v>44691</v>
      </c>
      <c r="B2907" t="s">
        <v>26</v>
      </c>
      <c r="C2907">
        <v>69494</v>
      </c>
      <c r="D2907" t="s">
        <v>104</v>
      </c>
      <c r="E2907" s="7">
        <v>150</v>
      </c>
      <c r="F2907" t="s">
        <v>20</v>
      </c>
      <c r="G2907" t="s">
        <v>21</v>
      </c>
      <c r="H2907" t="str">
        <f>"30377"</f>
        <v>30377</v>
      </c>
      <c r="I2907" t="str">
        <f>"WILSON COUNTY NEWS"</f>
        <v>WILSON COUNTY NEWS</v>
      </c>
    </row>
    <row r="2908" spans="1:9" x14ac:dyDescent="0.25">
      <c r="A2908" s="6">
        <v>44691</v>
      </c>
      <c r="B2908" t="s">
        <v>26</v>
      </c>
      <c r="C2908">
        <v>69494</v>
      </c>
      <c r="D2908" t="s">
        <v>104</v>
      </c>
      <c r="E2908" s="7">
        <v>34.200000000000003</v>
      </c>
      <c r="F2908" t="s">
        <v>20</v>
      </c>
      <c r="G2908" t="s">
        <v>21</v>
      </c>
      <c r="H2908" t="str">
        <f>"31498"</f>
        <v>31498</v>
      </c>
      <c r="I2908" t="str">
        <f>"WILSON COUNTY NEWS"</f>
        <v>WILSON COUNTY NEWS</v>
      </c>
    </row>
    <row r="2909" spans="1:9" x14ac:dyDescent="0.25">
      <c r="A2909" s="6">
        <v>44691</v>
      </c>
      <c r="B2909" t="s">
        <v>26</v>
      </c>
      <c r="C2909">
        <v>69495</v>
      </c>
      <c r="D2909" t="s">
        <v>375</v>
      </c>
      <c r="E2909" s="7">
        <v>50</v>
      </c>
      <c r="F2909" t="s">
        <v>20</v>
      </c>
      <c r="G2909" t="s">
        <v>21</v>
      </c>
      <c r="H2909" t="str">
        <f>"4/18/22 DEP.REFUND"</f>
        <v>4/18/22 DEP.REFUND</v>
      </c>
      <c r="I2909" t="str">
        <f t="shared" ref="I2909:I2915" si="68">"REFUND"</f>
        <v>REFUND</v>
      </c>
    </row>
    <row r="2910" spans="1:9" x14ac:dyDescent="0.25">
      <c r="A2910" s="6">
        <v>44691</v>
      </c>
      <c r="B2910" t="s">
        <v>26</v>
      </c>
      <c r="C2910">
        <v>69496</v>
      </c>
      <c r="D2910" t="s">
        <v>1197</v>
      </c>
      <c r="E2910" s="7">
        <v>50</v>
      </c>
      <c r="F2910" t="s">
        <v>20</v>
      </c>
      <c r="G2910" t="s">
        <v>21</v>
      </c>
      <c r="H2910" t="str">
        <f>"4/2/22 DEP.REFUND"</f>
        <v>4/2/22 DEP.REFUND</v>
      </c>
      <c r="I2910" t="str">
        <f t="shared" si="68"/>
        <v>REFUND</v>
      </c>
    </row>
    <row r="2911" spans="1:9" x14ac:dyDescent="0.25">
      <c r="A2911" s="6">
        <v>44691</v>
      </c>
      <c r="B2911" t="s">
        <v>26</v>
      </c>
      <c r="C2911">
        <v>69497</v>
      </c>
      <c r="D2911" t="s">
        <v>1198</v>
      </c>
      <c r="E2911" s="7">
        <v>50</v>
      </c>
      <c r="F2911" t="s">
        <v>20</v>
      </c>
      <c r="G2911" t="s">
        <v>21</v>
      </c>
      <c r="H2911" t="str">
        <f>"4/23/22 DEP REFUND"</f>
        <v>4/23/22 DEP REFUND</v>
      </c>
      <c r="I2911" t="str">
        <f t="shared" si="68"/>
        <v>REFUND</v>
      </c>
    </row>
    <row r="2912" spans="1:9" x14ac:dyDescent="0.25">
      <c r="A2912" s="6">
        <v>44691</v>
      </c>
      <c r="B2912" t="s">
        <v>26</v>
      </c>
      <c r="C2912">
        <v>69498</v>
      </c>
      <c r="D2912" t="s">
        <v>1199</v>
      </c>
      <c r="E2912" s="7">
        <v>50</v>
      </c>
      <c r="F2912" t="s">
        <v>20</v>
      </c>
      <c r="G2912" t="s">
        <v>21</v>
      </c>
      <c r="H2912" t="str">
        <f>"49/22 DEP. REFUND"</f>
        <v>49/22 DEP. REFUND</v>
      </c>
      <c r="I2912" t="str">
        <f t="shared" si="68"/>
        <v>REFUND</v>
      </c>
    </row>
    <row r="2913" spans="1:9" x14ac:dyDescent="0.25">
      <c r="A2913" s="6">
        <v>44691</v>
      </c>
      <c r="B2913" t="s">
        <v>26</v>
      </c>
      <c r="C2913">
        <v>69499</v>
      </c>
      <c r="D2913" t="s">
        <v>1200</v>
      </c>
      <c r="E2913" s="7">
        <v>50</v>
      </c>
      <c r="F2913" t="s">
        <v>20</v>
      </c>
      <c r="G2913" t="s">
        <v>21</v>
      </c>
      <c r="H2913" t="str">
        <f>"DEPOSIT RETURN"</f>
        <v>DEPOSIT RETURN</v>
      </c>
      <c r="I2913" t="str">
        <f t="shared" si="68"/>
        <v>REFUND</v>
      </c>
    </row>
    <row r="2914" spans="1:9" x14ac:dyDescent="0.25">
      <c r="A2914" s="6">
        <v>44691</v>
      </c>
      <c r="B2914" t="s">
        <v>26</v>
      </c>
      <c r="C2914">
        <v>69500</v>
      </c>
      <c r="D2914" t="s">
        <v>1201</v>
      </c>
      <c r="E2914" s="7">
        <v>50</v>
      </c>
      <c r="F2914" t="s">
        <v>20</v>
      </c>
      <c r="G2914" t="s">
        <v>21</v>
      </c>
      <c r="H2914" t="str">
        <f>"DEPOSTI REFUND"</f>
        <v>DEPOSTI REFUND</v>
      </c>
      <c r="I2914" t="str">
        <f t="shared" si="68"/>
        <v>REFUND</v>
      </c>
    </row>
    <row r="2915" spans="1:9" x14ac:dyDescent="0.25">
      <c r="A2915" s="6">
        <v>44691</v>
      </c>
      <c r="B2915" t="s">
        <v>26</v>
      </c>
      <c r="C2915">
        <v>69501</v>
      </c>
      <c r="D2915" t="s">
        <v>1202</v>
      </c>
      <c r="E2915" s="7">
        <v>50</v>
      </c>
      <c r="F2915" t="s">
        <v>20</v>
      </c>
      <c r="G2915" t="s">
        <v>21</v>
      </c>
      <c r="H2915" t="str">
        <f>"REFUND DEPOSIT"</f>
        <v>REFUND DEPOSIT</v>
      </c>
      <c r="I2915" t="str">
        <f t="shared" si="68"/>
        <v>REFUND</v>
      </c>
    </row>
    <row r="2916" spans="1:9" x14ac:dyDescent="0.25">
      <c r="A2916" s="6">
        <v>44692</v>
      </c>
      <c r="B2916" t="s">
        <v>26</v>
      </c>
      <c r="C2916">
        <v>69502</v>
      </c>
      <c r="D2916" t="s">
        <v>1203</v>
      </c>
      <c r="E2916" s="7">
        <v>559.80999999999995</v>
      </c>
      <c r="F2916" t="s">
        <v>20</v>
      </c>
      <c r="G2916" t="s">
        <v>21</v>
      </c>
      <c r="H2916" t="str">
        <f>"4/28/2022"</f>
        <v>4/28/2022</v>
      </c>
      <c r="I2916" t="str">
        <f>"TREE CONNECTION"</f>
        <v>TREE CONNECTION</v>
      </c>
    </row>
    <row r="2917" spans="1:9" x14ac:dyDescent="0.25">
      <c r="A2917" s="6">
        <v>44692</v>
      </c>
      <c r="B2917" t="s">
        <v>26</v>
      </c>
      <c r="C2917">
        <v>69503</v>
      </c>
      <c r="D2917" t="s">
        <v>104</v>
      </c>
      <c r="E2917" s="7">
        <v>194.35</v>
      </c>
      <c r="F2917" t="s">
        <v>20</v>
      </c>
      <c r="G2917" t="s">
        <v>21</v>
      </c>
      <c r="H2917" t="str">
        <f>"30681"</f>
        <v>30681</v>
      </c>
      <c r="I2917" t="str">
        <f>"WILSON COUNTY NEWS"</f>
        <v>WILSON COUNTY NEWS</v>
      </c>
    </row>
    <row r="2918" spans="1:9" x14ac:dyDescent="0.25">
      <c r="A2918" s="6">
        <v>44692</v>
      </c>
      <c r="B2918" t="s">
        <v>26</v>
      </c>
      <c r="C2918">
        <v>69504</v>
      </c>
      <c r="D2918" t="s">
        <v>761</v>
      </c>
      <c r="E2918" s="7">
        <v>99</v>
      </c>
      <c r="F2918" t="s">
        <v>20</v>
      </c>
      <c r="G2918" t="s">
        <v>21</v>
      </c>
      <c r="H2918" t="str">
        <f>"101-147489*"</f>
        <v>101-147489*</v>
      </c>
      <c r="I2918" t="str">
        <f>"ICE BUCKETS AND BAGS"</f>
        <v>ICE BUCKETS AND BAGS</v>
      </c>
    </row>
    <row r="2919" spans="1:9" x14ac:dyDescent="0.25">
      <c r="A2919" s="6">
        <v>44692</v>
      </c>
      <c r="B2919" t="s">
        <v>91</v>
      </c>
      <c r="C2919">
        <v>69505</v>
      </c>
      <c r="D2919" t="s">
        <v>1156</v>
      </c>
      <c r="E2919" s="7">
        <v>110</v>
      </c>
      <c r="F2919" t="s">
        <v>20</v>
      </c>
      <c r="G2919" t="s">
        <v>21</v>
      </c>
      <c r="H2919" t="str">
        <f>"2501"</f>
        <v>2501</v>
      </c>
      <c r="I2919" t="str">
        <f>"WILSON COUNTY CLERK  EVA S. MA"</f>
        <v>WILSON COUNTY CLERK  EVA S. MA</v>
      </c>
    </row>
    <row r="2920" spans="1:9" x14ac:dyDescent="0.25">
      <c r="A2920" s="6">
        <v>44692</v>
      </c>
      <c r="B2920" t="s">
        <v>91</v>
      </c>
      <c r="C2920">
        <v>69505</v>
      </c>
      <c r="D2920" t="s">
        <v>1156</v>
      </c>
      <c r="E2920" s="7">
        <v>110</v>
      </c>
      <c r="F2920" t="s">
        <v>20</v>
      </c>
      <c r="G2920" t="s">
        <v>93</v>
      </c>
      <c r="H2920" t="str">
        <f>"CHECK"</f>
        <v>CHECK</v>
      </c>
      <c r="I2920" t="str">
        <f>""</f>
        <v/>
      </c>
    </row>
    <row r="2921" spans="1:9" x14ac:dyDescent="0.25">
      <c r="A2921" s="6">
        <v>44692</v>
      </c>
      <c r="B2921" t="s">
        <v>26</v>
      </c>
      <c r="C2921">
        <v>69506</v>
      </c>
      <c r="D2921" t="s">
        <v>1154</v>
      </c>
      <c r="E2921" s="7">
        <v>1258.5999999999999</v>
      </c>
      <c r="F2921" t="s">
        <v>20</v>
      </c>
      <c r="G2921" t="s">
        <v>21</v>
      </c>
      <c r="H2921" t="str">
        <f>"5/11/2022"</f>
        <v>5/11/2022</v>
      </c>
      <c r="I2921" t="str">
        <f>"GLAZIERS"</f>
        <v>GLAZIERS</v>
      </c>
    </row>
    <row r="2922" spans="1:9" x14ac:dyDescent="0.25">
      <c r="A2922" s="6">
        <v>44692</v>
      </c>
      <c r="B2922" t="s">
        <v>91</v>
      </c>
      <c r="C2922">
        <v>69507</v>
      </c>
      <c r="D2922" t="s">
        <v>1179</v>
      </c>
      <c r="E2922" s="7">
        <v>318</v>
      </c>
      <c r="F2922" t="s">
        <v>20</v>
      </c>
      <c r="G2922" t="s">
        <v>21</v>
      </c>
      <c r="H2922" t="str">
        <f>"CINCO DE MAYO '22"</f>
        <v>CINCO DE MAYO '22</v>
      </c>
      <c r="I2922" t="str">
        <f>"SALOME MARTINEZ ESPARZA"</f>
        <v>SALOME MARTINEZ ESPARZA</v>
      </c>
    </row>
    <row r="2923" spans="1:9" x14ac:dyDescent="0.25">
      <c r="A2923" s="6">
        <v>44692</v>
      </c>
      <c r="B2923" t="s">
        <v>91</v>
      </c>
      <c r="C2923">
        <v>69507</v>
      </c>
      <c r="D2923" t="s">
        <v>1179</v>
      </c>
      <c r="E2923" s="7">
        <v>318</v>
      </c>
      <c r="F2923" t="s">
        <v>20</v>
      </c>
      <c r="G2923" t="s">
        <v>93</v>
      </c>
      <c r="H2923" t="str">
        <f>"CHECK"</f>
        <v>CHECK</v>
      </c>
      <c r="I2923" t="str">
        <f>""</f>
        <v/>
      </c>
    </row>
    <row r="2924" spans="1:9" x14ac:dyDescent="0.25">
      <c r="A2924" s="6">
        <v>44692</v>
      </c>
      <c r="B2924" t="s">
        <v>91</v>
      </c>
      <c r="C2924">
        <v>69508</v>
      </c>
      <c r="D2924" t="s">
        <v>1178</v>
      </c>
      <c r="E2924" s="7">
        <v>258</v>
      </c>
      <c r="F2924" t="s">
        <v>20</v>
      </c>
      <c r="G2924" t="s">
        <v>21</v>
      </c>
      <c r="H2924" t="str">
        <f>"CINCO DE MAYO '22"</f>
        <v>CINCO DE MAYO '22</v>
      </c>
      <c r="I2924" t="str">
        <f>"MARY D. GARCIA"</f>
        <v>MARY D. GARCIA</v>
      </c>
    </row>
    <row r="2925" spans="1:9" x14ac:dyDescent="0.25">
      <c r="A2925" s="6">
        <v>44692</v>
      </c>
      <c r="B2925" t="s">
        <v>91</v>
      </c>
      <c r="C2925">
        <v>69508</v>
      </c>
      <c r="D2925" t="s">
        <v>1178</v>
      </c>
      <c r="E2925" s="7">
        <v>258</v>
      </c>
      <c r="F2925" t="s">
        <v>20</v>
      </c>
      <c r="G2925" t="s">
        <v>93</v>
      </c>
      <c r="H2925" t="str">
        <f>"CHECK"</f>
        <v>CHECK</v>
      </c>
      <c r="I2925" t="str">
        <f>""</f>
        <v/>
      </c>
    </row>
    <row r="2926" spans="1:9" x14ac:dyDescent="0.25">
      <c r="A2926" s="6">
        <v>44692</v>
      </c>
      <c r="B2926" t="s">
        <v>26</v>
      </c>
      <c r="C2926">
        <v>69509</v>
      </c>
      <c r="D2926" t="s">
        <v>1204</v>
      </c>
      <c r="E2926" s="7">
        <v>78</v>
      </c>
      <c r="F2926" t="s">
        <v>20</v>
      </c>
      <c r="G2926" t="s">
        <v>21</v>
      </c>
      <c r="H2926" t="str">
        <f>"CINCO DE MAYO '22"</f>
        <v>CINCO DE MAYO '22</v>
      </c>
      <c r="I2926" t="str">
        <f>"REBECCA VALDEZ"</f>
        <v>REBECCA VALDEZ</v>
      </c>
    </row>
    <row r="2927" spans="1:9" x14ac:dyDescent="0.25">
      <c r="A2927" s="6">
        <v>44692</v>
      </c>
      <c r="B2927" t="s">
        <v>26</v>
      </c>
      <c r="C2927">
        <v>69510</v>
      </c>
      <c r="D2927" t="s">
        <v>1205</v>
      </c>
      <c r="E2927" s="7">
        <v>78</v>
      </c>
      <c r="F2927" t="s">
        <v>20</v>
      </c>
      <c r="G2927" t="s">
        <v>21</v>
      </c>
      <c r="H2927" t="str">
        <f>"CINCO DE MAYO '22"</f>
        <v>CINCO DE MAYO '22</v>
      </c>
      <c r="I2927" t="str">
        <f>"ALICE D HERNANDEZ"</f>
        <v>ALICE D HERNANDEZ</v>
      </c>
    </row>
    <row r="2928" spans="1:9" x14ac:dyDescent="0.25">
      <c r="A2928" s="6">
        <v>44693</v>
      </c>
      <c r="B2928" t="s">
        <v>26</v>
      </c>
      <c r="C2928">
        <v>69511</v>
      </c>
      <c r="D2928" t="s">
        <v>102</v>
      </c>
      <c r="E2928" s="7">
        <v>40.76</v>
      </c>
      <c r="F2928" t="s">
        <v>20</v>
      </c>
      <c r="G2928" t="s">
        <v>21</v>
      </c>
      <c r="H2928" t="str">
        <f>"1120 D.ST 5/22"</f>
        <v>1120 D.ST 5/22</v>
      </c>
      <c r="I2928" t="str">
        <f>"CENTERPOINT ENERGY ENTEX"</f>
        <v>CENTERPOINT ENERGY ENTEX</v>
      </c>
    </row>
    <row r="2929" spans="1:9" x14ac:dyDescent="0.25">
      <c r="A2929" s="6">
        <v>44693</v>
      </c>
      <c r="B2929" t="s">
        <v>26</v>
      </c>
      <c r="C2929">
        <v>69511</v>
      </c>
      <c r="D2929" t="s">
        <v>102</v>
      </c>
      <c r="E2929" s="7">
        <v>38.78</v>
      </c>
      <c r="F2929" t="s">
        <v>20</v>
      </c>
      <c r="G2929" t="s">
        <v>21</v>
      </c>
      <c r="H2929" t="str">
        <f>"1200 1ST  5/22"</f>
        <v>1200 1ST  5/22</v>
      </c>
      <c r="I2929" t="str">
        <f>"CENTERPOINT ENERGY ENTEX"</f>
        <v>CENTERPOINT ENERGY ENTEX</v>
      </c>
    </row>
    <row r="2930" spans="1:9" x14ac:dyDescent="0.25">
      <c r="A2930" s="6">
        <v>44693</v>
      </c>
      <c r="B2930" t="s">
        <v>26</v>
      </c>
      <c r="C2930">
        <v>69511</v>
      </c>
      <c r="D2930" t="s">
        <v>102</v>
      </c>
      <c r="E2930" s="7">
        <v>41.98</v>
      </c>
      <c r="F2930" t="s">
        <v>20</v>
      </c>
      <c r="G2930" t="s">
        <v>21</v>
      </c>
      <c r="H2930" t="str">
        <f>"920 C ST 5/22"</f>
        <v>920 C ST 5/22</v>
      </c>
      <c r="I2930" t="str">
        <f>"CENTERPOINT ENERGY ENTEX"</f>
        <v>CENTERPOINT ENERGY ENTEX</v>
      </c>
    </row>
    <row r="2931" spans="1:9" x14ac:dyDescent="0.25">
      <c r="A2931" s="6">
        <v>44693</v>
      </c>
      <c r="B2931" t="s">
        <v>26</v>
      </c>
      <c r="C2931">
        <v>69512</v>
      </c>
      <c r="D2931" t="s">
        <v>1179</v>
      </c>
      <c r="E2931" s="7">
        <v>318</v>
      </c>
      <c r="F2931" t="s">
        <v>20</v>
      </c>
      <c r="G2931" t="s">
        <v>21</v>
      </c>
      <c r="H2931" t="str">
        <f>"CINCO/LINES"</f>
        <v>CINCO/LINES</v>
      </c>
      <c r="I2931" t="str">
        <f>"SALOME MARTINEZ ESPARZA"</f>
        <v>SALOME MARTINEZ ESPARZA</v>
      </c>
    </row>
    <row r="2932" spans="1:9" x14ac:dyDescent="0.25">
      <c r="A2932" s="6">
        <v>44693</v>
      </c>
      <c r="B2932" t="s">
        <v>26</v>
      </c>
      <c r="C2932">
        <v>69513</v>
      </c>
      <c r="D2932" t="s">
        <v>1178</v>
      </c>
      <c r="E2932" s="7">
        <v>258</v>
      </c>
      <c r="F2932" t="s">
        <v>20</v>
      </c>
      <c r="G2932" t="s">
        <v>21</v>
      </c>
      <c r="H2932" t="str">
        <f>"CINCO/LINENS"</f>
        <v>CINCO/LINENS</v>
      </c>
      <c r="I2932" t="str">
        <f>"MARY D. GARCIA"</f>
        <v>MARY D. GARCIA</v>
      </c>
    </row>
    <row r="2933" spans="1:9" x14ac:dyDescent="0.25">
      <c r="A2933" s="6">
        <v>44693</v>
      </c>
      <c r="B2933" t="s">
        <v>26</v>
      </c>
      <c r="C2933">
        <v>69514</v>
      </c>
      <c r="D2933" t="s">
        <v>205</v>
      </c>
      <c r="E2933" s="7">
        <v>1939.26</v>
      </c>
      <c r="F2933" t="s">
        <v>20</v>
      </c>
      <c r="G2933" t="s">
        <v>21</v>
      </c>
      <c r="H2933" t="str">
        <f>"5/12/2022"</f>
        <v>5/12/2022</v>
      </c>
      <c r="I2933" t="str">
        <f>"SILVER EAGLE DISTRIBUTORS"</f>
        <v>SILVER EAGLE DISTRIBUTORS</v>
      </c>
    </row>
    <row r="2934" spans="1:9" x14ac:dyDescent="0.25">
      <c r="A2934" s="6">
        <v>44698</v>
      </c>
      <c r="B2934" t="s">
        <v>26</v>
      </c>
      <c r="C2934">
        <v>69515</v>
      </c>
      <c r="D2934" t="s">
        <v>139</v>
      </c>
      <c r="E2934" s="7">
        <v>278</v>
      </c>
      <c r="F2934" t="s">
        <v>20</v>
      </c>
      <c r="G2934" t="s">
        <v>21</v>
      </c>
      <c r="H2934" t="str">
        <f>"35724"</f>
        <v>35724</v>
      </c>
      <c r="I2934" t="str">
        <f>"ANGEL FIRE &amp; SAFETY"</f>
        <v>ANGEL FIRE &amp; SAFETY</v>
      </c>
    </row>
    <row r="2935" spans="1:9" x14ac:dyDescent="0.25">
      <c r="A2935" s="6">
        <v>44698</v>
      </c>
      <c r="B2935" t="s">
        <v>26</v>
      </c>
      <c r="C2935">
        <v>69516</v>
      </c>
      <c r="D2935" t="s">
        <v>195</v>
      </c>
      <c r="E2935" s="7">
        <v>1871.94</v>
      </c>
      <c r="F2935" t="s">
        <v>20</v>
      </c>
      <c r="G2935" t="s">
        <v>21</v>
      </c>
      <c r="H2935" t="str">
        <f>"INV-AIS-0005268"</f>
        <v>INV-AIS-0005268</v>
      </c>
      <c r="I2935" t="str">
        <f>"ARISTA INFORMATION SYSTEMS  IN"</f>
        <v>ARISTA INFORMATION SYSTEMS  IN</v>
      </c>
    </row>
    <row r="2936" spans="1:9" x14ac:dyDescent="0.25">
      <c r="A2936" s="6">
        <v>44698</v>
      </c>
      <c r="B2936" t="s">
        <v>26</v>
      </c>
      <c r="C2936">
        <v>69517</v>
      </c>
      <c r="D2936" t="s">
        <v>781</v>
      </c>
      <c r="E2936" s="7">
        <v>221.21</v>
      </c>
      <c r="F2936" t="s">
        <v>20</v>
      </c>
      <c r="G2936" t="s">
        <v>21</v>
      </c>
      <c r="H2936" t="str">
        <f>"5/13-5/15/2022"</f>
        <v>5/13-5/15/2022</v>
      </c>
      <c r="I2936" t="str">
        <f>"ASHLEY MARTINEZ"</f>
        <v>ASHLEY MARTINEZ</v>
      </c>
    </row>
    <row r="2937" spans="1:9" x14ac:dyDescent="0.25">
      <c r="A2937" s="6">
        <v>44698</v>
      </c>
      <c r="B2937" t="s">
        <v>26</v>
      </c>
      <c r="C2937">
        <v>69518</v>
      </c>
      <c r="D2937" t="s">
        <v>821</v>
      </c>
      <c r="E2937" s="7">
        <v>3359.79</v>
      </c>
      <c r="F2937" t="s">
        <v>20</v>
      </c>
      <c r="G2937" t="s">
        <v>21</v>
      </c>
      <c r="H2937" t="str">
        <f>"SSW07171T5SZ"</f>
        <v>SSW07171T5SZ</v>
      </c>
      <c r="I2937" t="str">
        <f>"HOSPITAL BLVD"</f>
        <v>HOSPITAL BLVD</v>
      </c>
    </row>
    <row r="2938" spans="1:9" x14ac:dyDescent="0.25">
      <c r="A2938" s="6">
        <v>44698</v>
      </c>
      <c r="B2938" t="s">
        <v>26</v>
      </c>
      <c r="C2938">
        <v>69519</v>
      </c>
      <c r="D2938" t="s">
        <v>836</v>
      </c>
      <c r="E2938" s="7">
        <v>4449.8</v>
      </c>
      <c r="F2938" t="s">
        <v>20</v>
      </c>
      <c r="G2938" t="s">
        <v>21</v>
      </c>
      <c r="H2938" t="str">
        <f>"80392*REISSUE"</f>
        <v>80392*REISSUE</v>
      </c>
      <c r="I2938" t="str">
        <f>"BARCOM TECHNOLOGY SOLUTIONS  I"</f>
        <v>BARCOM TECHNOLOGY SOLUTIONS  I</v>
      </c>
    </row>
    <row r="2939" spans="1:9" x14ac:dyDescent="0.25">
      <c r="A2939" s="6">
        <v>44698</v>
      </c>
      <c r="B2939" t="s">
        <v>26</v>
      </c>
      <c r="C2939">
        <v>69519</v>
      </c>
      <c r="D2939" t="s">
        <v>836</v>
      </c>
      <c r="E2939" s="7">
        <v>1285.96</v>
      </c>
      <c r="F2939" t="s">
        <v>20</v>
      </c>
      <c r="G2939" t="s">
        <v>21</v>
      </c>
      <c r="H2939" t="str">
        <f>"80393*REISSUE"</f>
        <v>80393*REISSUE</v>
      </c>
      <c r="I2939" t="str">
        <f>"BARCOM TECHNOLOGY SOLUTIONS  I"</f>
        <v>BARCOM TECHNOLOGY SOLUTIONS  I</v>
      </c>
    </row>
    <row r="2940" spans="1:9" x14ac:dyDescent="0.25">
      <c r="A2940" s="6">
        <v>44698</v>
      </c>
      <c r="B2940" t="s">
        <v>26</v>
      </c>
      <c r="C2940">
        <v>69519</v>
      </c>
      <c r="D2940" t="s">
        <v>836</v>
      </c>
      <c r="E2940" s="7">
        <v>339</v>
      </c>
      <c r="F2940" t="s">
        <v>20</v>
      </c>
      <c r="G2940" t="s">
        <v>21</v>
      </c>
      <c r="H2940" t="str">
        <f>"81037*REISSUE"</f>
        <v>81037*REISSUE</v>
      </c>
      <c r="I2940" t="str">
        <f>"BARCOM TECHNOLOGY SOLUTIONS  I"</f>
        <v>BARCOM TECHNOLOGY SOLUTIONS  I</v>
      </c>
    </row>
    <row r="2941" spans="1:9" x14ac:dyDescent="0.25">
      <c r="A2941" s="6">
        <v>44698</v>
      </c>
      <c r="B2941" t="s">
        <v>26</v>
      </c>
      <c r="C2941">
        <v>69519</v>
      </c>
      <c r="D2941" t="s">
        <v>836</v>
      </c>
      <c r="E2941" s="7">
        <v>150</v>
      </c>
      <c r="F2941" t="s">
        <v>20</v>
      </c>
      <c r="G2941" t="s">
        <v>21</v>
      </c>
      <c r="H2941" t="str">
        <f>"81038*REISSUE"</f>
        <v>81038*REISSUE</v>
      </c>
      <c r="I2941" t="str">
        <f>"BARCOM TECHNOLOGY SOLUTIONS  I"</f>
        <v>BARCOM TECHNOLOGY SOLUTIONS  I</v>
      </c>
    </row>
    <row r="2942" spans="1:9" x14ac:dyDescent="0.25">
      <c r="A2942" s="6">
        <v>44698</v>
      </c>
      <c r="B2942" t="s">
        <v>26</v>
      </c>
      <c r="C2942">
        <v>69521</v>
      </c>
      <c r="D2942" t="s">
        <v>168</v>
      </c>
      <c r="E2942" s="7">
        <v>1445</v>
      </c>
      <c r="F2942" t="s">
        <v>20</v>
      </c>
      <c r="G2942" t="s">
        <v>21</v>
      </c>
      <c r="H2942" t="str">
        <f>"LI-8385"</f>
        <v>LI-8385</v>
      </c>
      <c r="I2942" t="str">
        <f t="shared" ref="I2942:I2948" si="69">"BEXAR COUNTY AUDITOR/ATTN:CRIM"</f>
        <v>BEXAR COUNTY AUDITOR/ATTN:CRIM</v>
      </c>
    </row>
    <row r="2943" spans="1:9" x14ac:dyDescent="0.25">
      <c r="A2943" s="6">
        <v>44698</v>
      </c>
      <c r="B2943" t="s">
        <v>26</v>
      </c>
      <c r="C2943">
        <v>69521</v>
      </c>
      <c r="D2943" t="s">
        <v>168</v>
      </c>
      <c r="E2943" s="7">
        <v>60</v>
      </c>
      <c r="F2943" t="s">
        <v>20</v>
      </c>
      <c r="G2943" t="s">
        <v>21</v>
      </c>
      <c r="H2943" t="str">
        <f>"LI-8386"</f>
        <v>LI-8386</v>
      </c>
      <c r="I2943" t="str">
        <f t="shared" si="69"/>
        <v>BEXAR COUNTY AUDITOR/ATTN:CRIM</v>
      </c>
    </row>
    <row r="2944" spans="1:9" x14ac:dyDescent="0.25">
      <c r="A2944" s="6">
        <v>44698</v>
      </c>
      <c r="B2944" t="s">
        <v>26</v>
      </c>
      <c r="C2944">
        <v>69521</v>
      </c>
      <c r="D2944" t="s">
        <v>168</v>
      </c>
      <c r="E2944" s="7">
        <v>60</v>
      </c>
      <c r="F2944" t="s">
        <v>20</v>
      </c>
      <c r="G2944" t="s">
        <v>21</v>
      </c>
      <c r="H2944" t="str">
        <f>"LI-8387"</f>
        <v>LI-8387</v>
      </c>
      <c r="I2944" t="str">
        <f t="shared" si="69"/>
        <v>BEXAR COUNTY AUDITOR/ATTN:CRIM</v>
      </c>
    </row>
    <row r="2945" spans="1:9" x14ac:dyDescent="0.25">
      <c r="A2945" s="6">
        <v>44698</v>
      </c>
      <c r="B2945" t="s">
        <v>26</v>
      </c>
      <c r="C2945">
        <v>69521</v>
      </c>
      <c r="D2945" t="s">
        <v>168</v>
      </c>
      <c r="E2945" s="7">
        <v>99</v>
      </c>
      <c r="F2945" t="s">
        <v>20</v>
      </c>
      <c r="G2945" t="s">
        <v>21</v>
      </c>
      <c r="H2945" t="str">
        <f>"LI-8388"</f>
        <v>LI-8388</v>
      </c>
      <c r="I2945" t="str">
        <f t="shared" si="69"/>
        <v>BEXAR COUNTY AUDITOR/ATTN:CRIM</v>
      </c>
    </row>
    <row r="2946" spans="1:9" x14ac:dyDescent="0.25">
      <c r="A2946" s="6">
        <v>44698</v>
      </c>
      <c r="B2946" t="s">
        <v>26</v>
      </c>
      <c r="C2946">
        <v>69521</v>
      </c>
      <c r="D2946" t="s">
        <v>168</v>
      </c>
      <c r="E2946" s="7">
        <v>177</v>
      </c>
      <c r="F2946" t="s">
        <v>20</v>
      </c>
      <c r="G2946" t="s">
        <v>21</v>
      </c>
      <c r="H2946" t="str">
        <f>"LI-8389"</f>
        <v>LI-8389</v>
      </c>
      <c r="I2946" t="str">
        <f t="shared" si="69"/>
        <v>BEXAR COUNTY AUDITOR/ATTN:CRIM</v>
      </c>
    </row>
    <row r="2947" spans="1:9" x14ac:dyDescent="0.25">
      <c r="A2947" s="6">
        <v>44698</v>
      </c>
      <c r="B2947" t="s">
        <v>26</v>
      </c>
      <c r="C2947">
        <v>69521</v>
      </c>
      <c r="D2947" t="s">
        <v>168</v>
      </c>
      <c r="E2947" s="7">
        <v>99</v>
      </c>
      <c r="F2947" t="s">
        <v>20</v>
      </c>
      <c r="G2947" t="s">
        <v>21</v>
      </c>
      <c r="H2947" t="str">
        <f>"LI-8390"</f>
        <v>LI-8390</v>
      </c>
      <c r="I2947" t="str">
        <f t="shared" si="69"/>
        <v>BEXAR COUNTY AUDITOR/ATTN:CRIM</v>
      </c>
    </row>
    <row r="2948" spans="1:9" x14ac:dyDescent="0.25">
      <c r="A2948" s="6">
        <v>44698</v>
      </c>
      <c r="B2948" t="s">
        <v>26</v>
      </c>
      <c r="C2948">
        <v>69521</v>
      </c>
      <c r="D2948" t="s">
        <v>168</v>
      </c>
      <c r="E2948" s="7">
        <v>60</v>
      </c>
      <c r="F2948" t="s">
        <v>20</v>
      </c>
      <c r="G2948" t="s">
        <v>21</v>
      </c>
      <c r="H2948" t="str">
        <f>"LI-8391"</f>
        <v>LI-8391</v>
      </c>
      <c r="I2948" t="str">
        <f t="shared" si="69"/>
        <v>BEXAR COUNTY AUDITOR/ATTN:CRIM</v>
      </c>
    </row>
    <row r="2949" spans="1:9" x14ac:dyDescent="0.25">
      <c r="A2949" s="6">
        <v>44698</v>
      </c>
      <c r="B2949" t="s">
        <v>26</v>
      </c>
      <c r="C2949">
        <v>69523</v>
      </c>
      <c r="D2949" t="s">
        <v>1053</v>
      </c>
      <c r="E2949" s="7">
        <v>384.3</v>
      </c>
      <c r="F2949" t="s">
        <v>20</v>
      </c>
      <c r="G2949" t="s">
        <v>21</v>
      </c>
      <c r="H2949" t="str">
        <f>"RA134002910:01"</f>
        <v>RA134002910:01</v>
      </c>
      <c r="I2949" t="str">
        <f>"BRUCKNER'S TRUCK &amp; EQUIPMENT"</f>
        <v>BRUCKNER'S TRUCK &amp; EQUIPMENT</v>
      </c>
    </row>
    <row r="2950" spans="1:9" x14ac:dyDescent="0.25">
      <c r="A2950" s="6">
        <v>44698</v>
      </c>
      <c r="B2950" t="s">
        <v>26</v>
      </c>
      <c r="C2950">
        <v>69524</v>
      </c>
      <c r="D2950" t="s">
        <v>110</v>
      </c>
      <c r="E2950" s="7">
        <v>2875</v>
      </c>
      <c r="F2950" t="s">
        <v>20</v>
      </c>
      <c r="G2950" t="s">
        <v>21</v>
      </c>
      <c r="H2950" t="str">
        <f>"22028384"</f>
        <v>22028384</v>
      </c>
      <c r="I2950" t="str">
        <f t="shared" ref="I2950:I2960" si="70">"BUREAU VERITAS NORTH AMERICA"</f>
        <v>BUREAU VERITAS NORTH AMERICA</v>
      </c>
    </row>
    <row r="2951" spans="1:9" x14ac:dyDescent="0.25">
      <c r="A2951" s="6">
        <v>44698</v>
      </c>
      <c r="B2951" t="s">
        <v>26</v>
      </c>
      <c r="C2951">
        <v>69524</v>
      </c>
      <c r="D2951" t="s">
        <v>110</v>
      </c>
      <c r="E2951" s="7">
        <v>1750</v>
      </c>
      <c r="F2951" t="s">
        <v>20</v>
      </c>
      <c r="G2951" t="s">
        <v>21</v>
      </c>
      <c r="H2951" t="str">
        <f>"22028385"</f>
        <v>22028385</v>
      </c>
      <c r="I2951" t="str">
        <f t="shared" si="70"/>
        <v>BUREAU VERITAS NORTH AMERICA</v>
      </c>
    </row>
    <row r="2952" spans="1:9" x14ac:dyDescent="0.25">
      <c r="A2952" s="6">
        <v>44698</v>
      </c>
      <c r="B2952" t="s">
        <v>26</v>
      </c>
      <c r="C2952">
        <v>69524</v>
      </c>
      <c r="D2952" t="s">
        <v>110</v>
      </c>
      <c r="E2952" s="7">
        <v>1062.9000000000001</v>
      </c>
      <c r="F2952" t="s">
        <v>20</v>
      </c>
      <c r="G2952" t="s">
        <v>21</v>
      </c>
      <c r="H2952" t="str">
        <f>"22028386"</f>
        <v>22028386</v>
      </c>
      <c r="I2952" t="str">
        <f t="shared" si="70"/>
        <v>BUREAU VERITAS NORTH AMERICA</v>
      </c>
    </row>
    <row r="2953" spans="1:9" x14ac:dyDescent="0.25">
      <c r="A2953" s="6">
        <v>44698</v>
      </c>
      <c r="B2953" t="s">
        <v>26</v>
      </c>
      <c r="C2953">
        <v>69524</v>
      </c>
      <c r="D2953" t="s">
        <v>110</v>
      </c>
      <c r="E2953" s="7">
        <v>428.25</v>
      </c>
      <c r="F2953" t="s">
        <v>20</v>
      </c>
      <c r="G2953" t="s">
        <v>21</v>
      </c>
      <c r="H2953" t="str">
        <f>"22028387"</f>
        <v>22028387</v>
      </c>
      <c r="I2953" t="str">
        <f t="shared" si="70"/>
        <v>BUREAU VERITAS NORTH AMERICA</v>
      </c>
    </row>
    <row r="2954" spans="1:9" x14ac:dyDescent="0.25">
      <c r="A2954" s="6">
        <v>44698</v>
      </c>
      <c r="B2954" t="s">
        <v>26</v>
      </c>
      <c r="C2954">
        <v>69524</v>
      </c>
      <c r="D2954" t="s">
        <v>110</v>
      </c>
      <c r="E2954" s="7">
        <v>76.92</v>
      </c>
      <c r="F2954" t="s">
        <v>20</v>
      </c>
      <c r="G2954" t="s">
        <v>21</v>
      </c>
      <c r="H2954" t="str">
        <f>"22028388"</f>
        <v>22028388</v>
      </c>
      <c r="I2954" t="str">
        <f t="shared" si="70"/>
        <v>BUREAU VERITAS NORTH AMERICA</v>
      </c>
    </row>
    <row r="2955" spans="1:9" x14ac:dyDescent="0.25">
      <c r="A2955" s="6">
        <v>44698</v>
      </c>
      <c r="B2955" t="s">
        <v>26</v>
      </c>
      <c r="C2955">
        <v>69524</v>
      </c>
      <c r="D2955" t="s">
        <v>110</v>
      </c>
      <c r="E2955" s="7">
        <v>117.15</v>
      </c>
      <c r="F2955" t="s">
        <v>20</v>
      </c>
      <c r="G2955" t="s">
        <v>21</v>
      </c>
      <c r="H2955" t="str">
        <f>"22028389"</f>
        <v>22028389</v>
      </c>
      <c r="I2955" t="str">
        <f t="shared" si="70"/>
        <v>BUREAU VERITAS NORTH AMERICA</v>
      </c>
    </row>
    <row r="2956" spans="1:9" x14ac:dyDescent="0.25">
      <c r="A2956" s="6">
        <v>44698</v>
      </c>
      <c r="B2956" t="s">
        <v>26</v>
      </c>
      <c r="C2956">
        <v>69524</v>
      </c>
      <c r="D2956" t="s">
        <v>110</v>
      </c>
      <c r="E2956" s="7">
        <v>400</v>
      </c>
      <c r="F2956" t="s">
        <v>20</v>
      </c>
      <c r="G2956" t="s">
        <v>21</v>
      </c>
      <c r="H2956" t="str">
        <f>"22028390"</f>
        <v>22028390</v>
      </c>
      <c r="I2956" t="str">
        <f t="shared" si="70"/>
        <v>BUREAU VERITAS NORTH AMERICA</v>
      </c>
    </row>
    <row r="2957" spans="1:9" x14ac:dyDescent="0.25">
      <c r="A2957" s="6">
        <v>44698</v>
      </c>
      <c r="B2957" t="s">
        <v>26</v>
      </c>
      <c r="C2957">
        <v>69524</v>
      </c>
      <c r="D2957" t="s">
        <v>110</v>
      </c>
      <c r="E2957" s="7">
        <v>400</v>
      </c>
      <c r="F2957" t="s">
        <v>20</v>
      </c>
      <c r="G2957" t="s">
        <v>21</v>
      </c>
      <c r="H2957" t="str">
        <f>"22028391"</f>
        <v>22028391</v>
      </c>
      <c r="I2957" t="str">
        <f t="shared" si="70"/>
        <v>BUREAU VERITAS NORTH AMERICA</v>
      </c>
    </row>
    <row r="2958" spans="1:9" x14ac:dyDescent="0.25">
      <c r="A2958" s="6">
        <v>44698</v>
      </c>
      <c r="B2958" t="s">
        <v>26</v>
      </c>
      <c r="C2958">
        <v>69524</v>
      </c>
      <c r="D2958" t="s">
        <v>110</v>
      </c>
      <c r="E2958" s="7">
        <v>76.92</v>
      </c>
      <c r="F2958" t="s">
        <v>20</v>
      </c>
      <c r="G2958" t="s">
        <v>21</v>
      </c>
      <c r="H2958" t="str">
        <f>"22028392"</f>
        <v>22028392</v>
      </c>
      <c r="I2958" t="str">
        <f t="shared" si="70"/>
        <v>BUREAU VERITAS NORTH AMERICA</v>
      </c>
    </row>
    <row r="2959" spans="1:9" x14ac:dyDescent="0.25">
      <c r="A2959" s="6">
        <v>44698</v>
      </c>
      <c r="B2959" t="s">
        <v>26</v>
      </c>
      <c r="C2959">
        <v>69524</v>
      </c>
      <c r="D2959" t="s">
        <v>110</v>
      </c>
      <c r="E2959" s="7">
        <v>76.92</v>
      </c>
      <c r="F2959" t="s">
        <v>20</v>
      </c>
      <c r="G2959" t="s">
        <v>21</v>
      </c>
      <c r="H2959" t="str">
        <f>"22028393"</f>
        <v>22028393</v>
      </c>
      <c r="I2959" t="str">
        <f t="shared" si="70"/>
        <v>BUREAU VERITAS NORTH AMERICA</v>
      </c>
    </row>
    <row r="2960" spans="1:9" x14ac:dyDescent="0.25">
      <c r="A2960" s="6">
        <v>44698</v>
      </c>
      <c r="B2960" t="s">
        <v>26</v>
      </c>
      <c r="C2960">
        <v>69524</v>
      </c>
      <c r="D2960" t="s">
        <v>110</v>
      </c>
      <c r="E2960" s="7">
        <v>76.92</v>
      </c>
      <c r="F2960" t="s">
        <v>20</v>
      </c>
      <c r="G2960" t="s">
        <v>21</v>
      </c>
      <c r="H2960" t="str">
        <f>"22028394"</f>
        <v>22028394</v>
      </c>
      <c r="I2960" t="str">
        <f t="shared" si="70"/>
        <v>BUREAU VERITAS NORTH AMERICA</v>
      </c>
    </row>
    <row r="2961" spans="1:9" x14ac:dyDescent="0.25">
      <c r="A2961" s="6">
        <v>44698</v>
      </c>
      <c r="B2961" t="s">
        <v>26</v>
      </c>
      <c r="C2961">
        <v>69526</v>
      </c>
      <c r="D2961" t="s">
        <v>1155</v>
      </c>
      <c r="E2961" s="7">
        <v>180.94</v>
      </c>
      <c r="F2961" t="s">
        <v>20</v>
      </c>
      <c r="G2961" t="s">
        <v>21</v>
      </c>
      <c r="H2961" t="str">
        <f>"13-33556"</f>
        <v>13-33556</v>
      </c>
      <c r="I2961" t="str">
        <f>"SAFETY EQUIPMENT FOR PARK"</f>
        <v>SAFETY EQUIPMENT FOR PARK</v>
      </c>
    </row>
    <row r="2962" spans="1:9" x14ac:dyDescent="0.25">
      <c r="A2962" s="6">
        <v>44698</v>
      </c>
      <c r="B2962" t="s">
        <v>26</v>
      </c>
      <c r="C2962">
        <v>69527</v>
      </c>
      <c r="D2962" t="s">
        <v>0</v>
      </c>
      <c r="E2962" s="7">
        <v>2701.25</v>
      </c>
      <c r="F2962" t="s">
        <v>20</v>
      </c>
      <c r="G2962" t="s">
        <v>21</v>
      </c>
      <c r="H2962" t="str">
        <f>"3/10-4/10/2022"</f>
        <v>3/10-4/10/2022</v>
      </c>
      <c r="I2962" t="str">
        <f>"CITY OF FLORESVILLE"</f>
        <v>CITY OF FLORESVILLE</v>
      </c>
    </row>
    <row r="2963" spans="1:9" x14ac:dyDescent="0.25">
      <c r="A2963" s="6">
        <v>44698</v>
      </c>
      <c r="B2963" t="s">
        <v>26</v>
      </c>
      <c r="C2963">
        <v>69528</v>
      </c>
      <c r="D2963" t="s">
        <v>58</v>
      </c>
      <c r="E2963" s="7">
        <v>76</v>
      </c>
      <c r="F2963" t="s">
        <v>20</v>
      </c>
      <c r="G2963" t="s">
        <v>21</v>
      </c>
      <c r="H2963" t="str">
        <f>"673569"</f>
        <v>673569</v>
      </c>
      <c r="I2963" t="str">
        <f>"DEASON ANIMAL HOSPITAL"</f>
        <v>DEASON ANIMAL HOSPITAL</v>
      </c>
    </row>
    <row r="2964" spans="1:9" x14ac:dyDescent="0.25">
      <c r="A2964" s="6">
        <v>44698</v>
      </c>
      <c r="B2964" t="s">
        <v>26</v>
      </c>
      <c r="C2964">
        <v>69529</v>
      </c>
      <c r="D2964" t="s">
        <v>77</v>
      </c>
      <c r="E2964" s="7">
        <v>30</v>
      </c>
      <c r="F2964" t="s">
        <v>20</v>
      </c>
      <c r="G2964" t="s">
        <v>21</v>
      </c>
      <c r="H2964" t="str">
        <f>"DE85000751-22"</f>
        <v>DE85000751-22</v>
      </c>
      <c r="I2964" t="str">
        <f>"DPC INDUSTRIES  INC."</f>
        <v>DPC INDUSTRIES  INC.</v>
      </c>
    </row>
    <row r="2965" spans="1:9" x14ac:dyDescent="0.25">
      <c r="A2965" s="6">
        <v>44698</v>
      </c>
      <c r="B2965" t="s">
        <v>26</v>
      </c>
      <c r="C2965">
        <v>69529</v>
      </c>
      <c r="D2965" t="s">
        <v>77</v>
      </c>
      <c r="E2965" s="7">
        <v>210</v>
      </c>
      <c r="F2965" t="s">
        <v>20</v>
      </c>
      <c r="G2965" t="s">
        <v>21</v>
      </c>
      <c r="H2965" t="str">
        <f>"DE85000936-11"</f>
        <v>DE85000936-11</v>
      </c>
      <c r="I2965" t="str">
        <f>"DPC INDUSTRIES  INC."</f>
        <v>DPC INDUSTRIES  INC.</v>
      </c>
    </row>
    <row r="2966" spans="1:9" x14ac:dyDescent="0.25">
      <c r="A2966" s="6">
        <v>44698</v>
      </c>
      <c r="B2966" t="s">
        <v>26</v>
      </c>
      <c r="C2966">
        <v>69530</v>
      </c>
      <c r="D2966" t="s">
        <v>325</v>
      </c>
      <c r="E2966" s="7">
        <v>329.92</v>
      </c>
      <c r="F2966" t="s">
        <v>20</v>
      </c>
      <c r="G2966" t="s">
        <v>21</v>
      </c>
      <c r="H2966" t="str">
        <f>"ID#2470001 5/16/22"</f>
        <v>ID#2470001 5/16/22</v>
      </c>
      <c r="I2966" t="str">
        <f>"DSHS CENTRAL LAB MC2004"</f>
        <v>DSHS CENTRAL LAB MC2004</v>
      </c>
    </row>
    <row r="2967" spans="1:9" x14ac:dyDescent="0.25">
      <c r="A2967" s="6">
        <v>44698</v>
      </c>
      <c r="B2967" t="s">
        <v>26</v>
      </c>
      <c r="C2967">
        <v>69531</v>
      </c>
      <c r="D2967" t="s">
        <v>937</v>
      </c>
      <c r="E2967" s="7">
        <v>125.1</v>
      </c>
      <c r="F2967" t="s">
        <v>20</v>
      </c>
      <c r="G2967" t="s">
        <v>21</v>
      </c>
      <c r="H2967" t="str">
        <f>"88-82715"</f>
        <v>88-82715</v>
      </c>
      <c r="I2967" t="str">
        <f>"WWTP SUPPLIES"</f>
        <v>WWTP SUPPLIES</v>
      </c>
    </row>
    <row r="2968" spans="1:9" x14ac:dyDescent="0.25">
      <c r="A2968" s="6">
        <v>44698</v>
      </c>
      <c r="B2968" t="s">
        <v>26</v>
      </c>
      <c r="C2968">
        <v>69531</v>
      </c>
      <c r="D2968" t="s">
        <v>937</v>
      </c>
      <c r="E2968" s="7">
        <v>144.76</v>
      </c>
      <c r="F2968" t="s">
        <v>20</v>
      </c>
      <c r="G2968" t="s">
        <v>21</v>
      </c>
      <c r="H2968" t="str">
        <f>"88-82715-01"</f>
        <v>88-82715-01</v>
      </c>
      <c r="I2968" t="str">
        <f>"WWTP SUPPLIES"</f>
        <v>WWTP SUPPLIES</v>
      </c>
    </row>
    <row r="2969" spans="1:9" x14ac:dyDescent="0.25">
      <c r="A2969" s="6">
        <v>44698</v>
      </c>
      <c r="B2969" t="s">
        <v>26</v>
      </c>
      <c r="C2969">
        <v>69531</v>
      </c>
      <c r="D2969" t="s">
        <v>937</v>
      </c>
      <c r="E2969" s="7">
        <v>2.44</v>
      </c>
      <c r="F2969" t="s">
        <v>20</v>
      </c>
      <c r="G2969" t="s">
        <v>21</v>
      </c>
      <c r="H2969" t="str">
        <f>"88-82715-02"</f>
        <v>88-82715-02</v>
      </c>
      <c r="I2969" t="str">
        <f>"WWTP SUPPLIES"</f>
        <v>WWTP SUPPLIES</v>
      </c>
    </row>
    <row r="2970" spans="1:9" x14ac:dyDescent="0.25">
      <c r="A2970" s="6">
        <v>44698</v>
      </c>
      <c r="B2970" t="s">
        <v>26</v>
      </c>
      <c r="C2970">
        <v>69532</v>
      </c>
      <c r="D2970" t="s">
        <v>69</v>
      </c>
      <c r="E2970" s="7">
        <v>369.98</v>
      </c>
      <c r="F2970" t="s">
        <v>20</v>
      </c>
      <c r="G2970" t="s">
        <v>21</v>
      </c>
      <c r="H2970" t="str">
        <f>"3C17813"</f>
        <v>3C17813</v>
      </c>
      <c r="I2970" t="str">
        <f>"BLADES FOR MOWERS"</f>
        <v>BLADES FOR MOWERS</v>
      </c>
    </row>
    <row r="2971" spans="1:9" x14ac:dyDescent="0.25">
      <c r="A2971" s="6">
        <v>44698</v>
      </c>
      <c r="B2971" t="s">
        <v>26</v>
      </c>
      <c r="C2971">
        <v>69533</v>
      </c>
      <c r="D2971" t="s">
        <v>103</v>
      </c>
      <c r="E2971" s="7">
        <v>113202.7</v>
      </c>
      <c r="F2971" t="s">
        <v>20</v>
      </c>
      <c r="G2971" t="s">
        <v>21</v>
      </c>
      <c r="H2971" t="str">
        <f>"MAY 2022 SALES TAX"</f>
        <v>MAY 2022 SALES TAX</v>
      </c>
      <c r="I2971" t="str">
        <f>"F. E. D. C."</f>
        <v>F. E. D. C.</v>
      </c>
    </row>
    <row r="2972" spans="1:9" x14ac:dyDescent="0.25">
      <c r="A2972" s="6">
        <v>44698</v>
      </c>
      <c r="B2972" t="s">
        <v>26</v>
      </c>
      <c r="C2972">
        <v>69534</v>
      </c>
      <c r="D2972" t="s">
        <v>59</v>
      </c>
      <c r="E2972" s="7">
        <v>912</v>
      </c>
      <c r="F2972" t="s">
        <v>20</v>
      </c>
      <c r="G2972" t="s">
        <v>21</v>
      </c>
      <c r="H2972" t="str">
        <f>"1155745-1"</f>
        <v>1155745-1</v>
      </c>
      <c r="I2972" t="str">
        <f>"WATER SUPPLIES"</f>
        <v>WATER SUPPLIES</v>
      </c>
    </row>
    <row r="2973" spans="1:9" x14ac:dyDescent="0.25">
      <c r="A2973" s="6">
        <v>44698</v>
      </c>
      <c r="B2973" t="s">
        <v>26</v>
      </c>
      <c r="C2973">
        <v>69534</v>
      </c>
      <c r="D2973" t="s">
        <v>59</v>
      </c>
      <c r="E2973" s="7">
        <v>544.66999999999996</v>
      </c>
      <c r="F2973" t="s">
        <v>20</v>
      </c>
      <c r="G2973" t="s">
        <v>21</v>
      </c>
      <c r="H2973" t="str">
        <f>"1171867"</f>
        <v>1171867</v>
      </c>
      <c r="I2973" t="str">
        <f>"Reed Tapping Machine part"</f>
        <v>Reed Tapping Machine part</v>
      </c>
    </row>
    <row r="2974" spans="1:9" x14ac:dyDescent="0.25">
      <c r="A2974" s="6">
        <v>44698</v>
      </c>
      <c r="B2974" t="s">
        <v>26</v>
      </c>
      <c r="C2974">
        <v>69535</v>
      </c>
      <c r="D2974" t="s">
        <v>85</v>
      </c>
      <c r="E2974" s="7">
        <v>82.43</v>
      </c>
      <c r="F2974" t="s">
        <v>20</v>
      </c>
      <c r="G2974" t="s">
        <v>21</v>
      </c>
      <c r="H2974" t="str">
        <f>"3930579 MAY 2022"</f>
        <v>3930579 MAY 2022</v>
      </c>
      <c r="I2974" t="str">
        <f>"FRONTIER"</f>
        <v>FRONTIER</v>
      </c>
    </row>
    <row r="2975" spans="1:9" x14ac:dyDescent="0.25">
      <c r="A2975" s="6">
        <v>44698</v>
      </c>
      <c r="B2975" t="s">
        <v>26</v>
      </c>
      <c r="C2975">
        <v>69535</v>
      </c>
      <c r="D2975" t="s">
        <v>85</v>
      </c>
      <c r="E2975" s="7">
        <v>350.26</v>
      </c>
      <c r="F2975" t="s">
        <v>20</v>
      </c>
      <c r="G2975" t="s">
        <v>21</v>
      </c>
      <c r="H2975" t="str">
        <f>"3937050 MAY 2022"</f>
        <v>3937050 MAY 2022</v>
      </c>
      <c r="I2975" t="str">
        <f>"FRONTIER"</f>
        <v>FRONTIER</v>
      </c>
    </row>
    <row r="2976" spans="1:9" x14ac:dyDescent="0.25">
      <c r="A2976" s="6">
        <v>44698</v>
      </c>
      <c r="B2976" t="s">
        <v>26</v>
      </c>
      <c r="C2976">
        <v>69535</v>
      </c>
      <c r="D2976" t="s">
        <v>85</v>
      </c>
      <c r="E2976" s="7">
        <v>62.91</v>
      </c>
      <c r="F2976" t="s">
        <v>20</v>
      </c>
      <c r="G2976" t="s">
        <v>21</v>
      </c>
      <c r="H2976" t="str">
        <f>"3939791 MAY 2022"</f>
        <v>3939791 MAY 2022</v>
      </c>
      <c r="I2976" t="str">
        <f>"FRONTIER"</f>
        <v>FRONTIER</v>
      </c>
    </row>
    <row r="2977" spans="1:9" x14ac:dyDescent="0.25">
      <c r="A2977" s="6">
        <v>44698</v>
      </c>
      <c r="B2977" t="s">
        <v>26</v>
      </c>
      <c r="C2977">
        <v>69536</v>
      </c>
      <c r="D2977" t="s">
        <v>194</v>
      </c>
      <c r="E2977" s="7">
        <v>87.98</v>
      </c>
      <c r="F2977" t="s">
        <v>20</v>
      </c>
      <c r="G2977" t="s">
        <v>21</v>
      </c>
      <c r="H2977" t="str">
        <f>"020951257"</f>
        <v>020951257</v>
      </c>
      <c r="I2977" t="str">
        <f>"GALLS  LLC-D.B.A. STERLING'S U"</f>
        <v>GALLS  LLC-D.B.A. STERLING'S U</v>
      </c>
    </row>
    <row r="2978" spans="1:9" x14ac:dyDescent="0.25">
      <c r="A2978" s="6">
        <v>44698</v>
      </c>
      <c r="B2978" t="s">
        <v>26</v>
      </c>
      <c r="C2978">
        <v>69536</v>
      </c>
      <c r="D2978" t="s">
        <v>194</v>
      </c>
      <c r="E2978" s="7">
        <v>45.81</v>
      </c>
      <c r="F2978" t="s">
        <v>20</v>
      </c>
      <c r="G2978" t="s">
        <v>21</v>
      </c>
      <c r="H2978" t="str">
        <f>"020961898"</f>
        <v>020961898</v>
      </c>
      <c r="I2978" t="str">
        <f>"GALLS  LLC-D.B.A. STERLING'S U"</f>
        <v>GALLS  LLC-D.B.A. STERLING'S U</v>
      </c>
    </row>
    <row r="2979" spans="1:9" x14ac:dyDescent="0.25">
      <c r="A2979" s="6">
        <v>44698</v>
      </c>
      <c r="B2979" t="s">
        <v>26</v>
      </c>
      <c r="C2979">
        <v>69537</v>
      </c>
      <c r="D2979" t="s">
        <v>125</v>
      </c>
      <c r="E2979" s="7">
        <v>180</v>
      </c>
      <c r="F2979" t="s">
        <v>20</v>
      </c>
      <c r="G2979" t="s">
        <v>21</v>
      </c>
      <c r="H2979" t="str">
        <f>"21-1050-APRIL-2022"</f>
        <v>21-1050-APRIL-2022</v>
      </c>
      <c r="I2979" t="str">
        <f>"INTREPID SURVEYING CORPORATION"</f>
        <v>INTREPID SURVEYING CORPORATION</v>
      </c>
    </row>
    <row r="2980" spans="1:9" x14ac:dyDescent="0.25">
      <c r="A2980" s="6">
        <v>44698</v>
      </c>
      <c r="B2980" t="s">
        <v>26</v>
      </c>
      <c r="C2980">
        <v>69538</v>
      </c>
      <c r="D2980" t="s">
        <v>116</v>
      </c>
      <c r="E2980" s="7">
        <v>412.8</v>
      </c>
      <c r="F2980" t="s">
        <v>20</v>
      </c>
      <c r="G2980" t="s">
        <v>21</v>
      </c>
      <c r="H2980" t="str">
        <f>"INV001184411"</f>
        <v>INV001184411</v>
      </c>
      <c r="I2980" t="str">
        <f>"POOL SUPPLIES"</f>
        <v>POOL SUPPLIES</v>
      </c>
    </row>
    <row r="2981" spans="1:9" x14ac:dyDescent="0.25">
      <c r="A2981" s="6">
        <v>44698</v>
      </c>
      <c r="B2981" t="s">
        <v>26</v>
      </c>
      <c r="C2981">
        <v>69539</v>
      </c>
      <c r="D2981" t="s">
        <v>328</v>
      </c>
      <c r="E2981" s="7">
        <v>1250</v>
      </c>
      <c r="F2981" t="s">
        <v>20</v>
      </c>
      <c r="G2981" t="s">
        <v>21</v>
      </c>
      <c r="H2981" t="str">
        <f>"7021971"</f>
        <v>7021971</v>
      </c>
      <c r="I2981" t="str">
        <f>"KOLOGIK"</f>
        <v>KOLOGIK</v>
      </c>
    </row>
    <row r="2982" spans="1:9" x14ac:dyDescent="0.25">
      <c r="A2982" s="6">
        <v>44698</v>
      </c>
      <c r="B2982" t="s">
        <v>26</v>
      </c>
      <c r="C2982">
        <v>69540</v>
      </c>
      <c r="D2982" t="s">
        <v>1032</v>
      </c>
      <c r="E2982" s="7">
        <v>24759</v>
      </c>
      <c r="F2982" t="s">
        <v>20</v>
      </c>
      <c r="G2982" t="s">
        <v>21</v>
      </c>
      <c r="H2982" t="str">
        <f>"4-22-17936 5/5/22"</f>
        <v>4-22-17936 5/5/22</v>
      </c>
      <c r="I2982" t="str">
        <f>"LEAL &amp; CARTER  P.C."</f>
        <v>LEAL &amp; CARTER  P.C.</v>
      </c>
    </row>
    <row r="2983" spans="1:9" x14ac:dyDescent="0.25">
      <c r="A2983" s="6">
        <v>44698</v>
      </c>
      <c r="B2983" t="s">
        <v>26</v>
      </c>
      <c r="C2983">
        <v>69541</v>
      </c>
      <c r="D2983" t="s">
        <v>105</v>
      </c>
      <c r="E2983" s="7">
        <v>7</v>
      </c>
      <c r="F2983" t="s">
        <v>20</v>
      </c>
      <c r="G2983" t="s">
        <v>21</v>
      </c>
      <c r="H2983" t="str">
        <f>"419681"</f>
        <v>419681</v>
      </c>
      <c r="I2983" t="str">
        <f>"INSPECTION PD UNIT 330"</f>
        <v>INSPECTION PD UNIT 330</v>
      </c>
    </row>
    <row r="2984" spans="1:9" x14ac:dyDescent="0.25">
      <c r="A2984" s="6">
        <v>44698</v>
      </c>
      <c r="B2984" t="s">
        <v>26</v>
      </c>
      <c r="C2984">
        <v>69541</v>
      </c>
      <c r="D2984" t="s">
        <v>105</v>
      </c>
      <c r="E2984" s="7">
        <v>7</v>
      </c>
      <c r="F2984" t="s">
        <v>20</v>
      </c>
      <c r="G2984" t="s">
        <v>21</v>
      </c>
      <c r="H2984" t="str">
        <f>"419687"</f>
        <v>419687</v>
      </c>
      <c r="I2984" t="str">
        <f>"INSPECTION CHIEF'S UNIT"</f>
        <v>INSPECTION CHIEF'S UNIT</v>
      </c>
    </row>
    <row r="2985" spans="1:9" x14ac:dyDescent="0.25">
      <c r="A2985" s="6">
        <v>44698</v>
      </c>
      <c r="B2985" t="s">
        <v>26</v>
      </c>
      <c r="C2985">
        <v>69541</v>
      </c>
      <c r="D2985" t="s">
        <v>105</v>
      </c>
      <c r="E2985" s="7">
        <v>7</v>
      </c>
      <c r="F2985" t="s">
        <v>20</v>
      </c>
      <c r="G2985" t="s">
        <v>21</v>
      </c>
      <c r="H2985" t="str">
        <f>"420083"</f>
        <v>420083</v>
      </c>
      <c r="I2985" t="str">
        <f>"STREET PETER BELT DUMP TR"</f>
        <v>STREET PETER BELT DUMP TR</v>
      </c>
    </row>
    <row r="2986" spans="1:9" x14ac:dyDescent="0.25">
      <c r="A2986" s="6">
        <v>44698</v>
      </c>
      <c r="B2986" t="s">
        <v>26</v>
      </c>
      <c r="C2986">
        <v>69541</v>
      </c>
      <c r="D2986" t="s">
        <v>105</v>
      </c>
      <c r="E2986" s="7">
        <v>7</v>
      </c>
      <c r="F2986" t="s">
        <v>20</v>
      </c>
      <c r="G2986" t="s">
        <v>21</v>
      </c>
      <c r="H2986" t="str">
        <f>"420209"</f>
        <v>420209</v>
      </c>
      <c r="I2986" t="str">
        <f>"DISTRIBUTOR INSPECTION"</f>
        <v>DISTRIBUTOR INSPECTION</v>
      </c>
    </row>
    <row r="2987" spans="1:9" x14ac:dyDescent="0.25">
      <c r="A2987" s="6">
        <v>44698</v>
      </c>
      <c r="B2987" t="s">
        <v>26</v>
      </c>
      <c r="C2987">
        <v>69542</v>
      </c>
      <c r="D2987" t="s">
        <v>824</v>
      </c>
      <c r="E2987" s="7">
        <v>176.21</v>
      </c>
      <c r="F2987" t="s">
        <v>20</v>
      </c>
      <c r="G2987" t="s">
        <v>21</v>
      </c>
      <c r="H2987" t="str">
        <f>"5/13 &amp; 5/15/2022"</f>
        <v>5/13 &amp; 5/15/2022</v>
      </c>
      <c r="I2987" t="str">
        <f>"MALLORY R. NELSON"</f>
        <v>MALLORY R. NELSON</v>
      </c>
    </row>
    <row r="2988" spans="1:9" x14ac:dyDescent="0.25">
      <c r="A2988" s="6">
        <v>44698</v>
      </c>
      <c r="B2988" t="s">
        <v>26</v>
      </c>
      <c r="C2988">
        <v>69543</v>
      </c>
      <c r="D2988" t="s">
        <v>1206</v>
      </c>
      <c r="E2988" s="7">
        <v>175.2</v>
      </c>
      <c r="F2988" t="s">
        <v>20</v>
      </c>
      <c r="G2988" t="s">
        <v>21</v>
      </c>
      <c r="H2988" t="str">
        <f>"001"</f>
        <v>001</v>
      </c>
      <c r="I2988" t="str">
        <f>"LIFEGUARD SHIRTS"</f>
        <v>LIFEGUARD SHIRTS</v>
      </c>
    </row>
    <row r="2989" spans="1:9" x14ac:dyDescent="0.25">
      <c r="A2989" s="6">
        <v>44698</v>
      </c>
      <c r="B2989" t="s">
        <v>26</v>
      </c>
      <c r="C2989">
        <v>69544</v>
      </c>
      <c r="D2989" t="s">
        <v>326</v>
      </c>
      <c r="E2989" s="7">
        <v>488.77</v>
      </c>
      <c r="F2989" t="s">
        <v>20</v>
      </c>
      <c r="G2989" t="s">
        <v>21</v>
      </c>
      <c r="H2989" t="str">
        <f>"0025631429"</f>
        <v>0025631429</v>
      </c>
      <c r="I2989" t="str">
        <f>"MATHESON TRI-GAS INC"</f>
        <v>MATHESON TRI-GAS INC</v>
      </c>
    </row>
    <row r="2990" spans="1:9" x14ac:dyDescent="0.25">
      <c r="A2990" s="6">
        <v>44698</v>
      </c>
      <c r="B2990" t="s">
        <v>26</v>
      </c>
      <c r="C2990">
        <v>69545</v>
      </c>
      <c r="D2990" t="s">
        <v>124</v>
      </c>
      <c r="E2990" s="7">
        <v>91.38</v>
      </c>
      <c r="F2990" t="s">
        <v>20</v>
      </c>
      <c r="G2990" t="s">
        <v>21</v>
      </c>
      <c r="H2990" t="str">
        <f>"11121554"</f>
        <v>11121554</v>
      </c>
      <c r="I2990" t="str">
        <f>"MCCOY'S CORPORATION"</f>
        <v>MCCOY'S CORPORATION</v>
      </c>
    </row>
    <row r="2991" spans="1:9" x14ac:dyDescent="0.25">
      <c r="A2991" s="6">
        <v>44698</v>
      </c>
      <c r="B2991" t="s">
        <v>26</v>
      </c>
      <c r="C2991">
        <v>69546</v>
      </c>
      <c r="D2991" t="s">
        <v>345</v>
      </c>
      <c r="E2991" s="7">
        <v>379.5</v>
      </c>
      <c r="F2991" t="s">
        <v>20</v>
      </c>
      <c r="G2991" t="s">
        <v>21</v>
      </c>
      <c r="H2991" t="str">
        <f>"5/16/2022"</f>
        <v>5/16/2022</v>
      </c>
      <c r="I2991" t="str">
        <f>"MICHAEL ISAAC MARTINEZ"</f>
        <v>MICHAEL ISAAC MARTINEZ</v>
      </c>
    </row>
    <row r="2992" spans="1:9" x14ac:dyDescent="0.25">
      <c r="A2992" s="6">
        <v>44698</v>
      </c>
      <c r="B2992" t="s">
        <v>26</v>
      </c>
      <c r="C2992">
        <v>69547</v>
      </c>
      <c r="D2992" t="s">
        <v>1140</v>
      </c>
      <c r="E2992" s="7">
        <v>146.21</v>
      </c>
      <c r="F2992" t="s">
        <v>20</v>
      </c>
      <c r="G2992" t="s">
        <v>21</v>
      </c>
      <c r="H2992" t="str">
        <f>"5/13 &amp; 5/15/2022"</f>
        <v>5/13 &amp; 5/15/2022</v>
      </c>
      <c r="I2992" t="str">
        <f>"MIRANDA ESTRADA"</f>
        <v>MIRANDA ESTRADA</v>
      </c>
    </row>
    <row r="2993" spans="1:9" x14ac:dyDescent="0.25">
      <c r="A2993" s="6">
        <v>44698</v>
      </c>
      <c r="B2993" t="s">
        <v>26</v>
      </c>
      <c r="C2993">
        <v>69548</v>
      </c>
      <c r="D2993" t="s">
        <v>1176</v>
      </c>
      <c r="E2993" s="7">
        <v>56</v>
      </c>
      <c r="F2993" t="s">
        <v>20</v>
      </c>
      <c r="G2993" t="s">
        <v>21</v>
      </c>
      <c r="H2993" t="str">
        <f>"000002005096"</f>
        <v>000002005096</v>
      </c>
      <c r="I2993" t="str">
        <f>"NOVA MEDICAL CENTERS"</f>
        <v>NOVA MEDICAL CENTERS</v>
      </c>
    </row>
    <row r="2994" spans="1:9" x14ac:dyDescent="0.25">
      <c r="A2994" s="6">
        <v>44698</v>
      </c>
      <c r="B2994" t="s">
        <v>26</v>
      </c>
      <c r="C2994">
        <v>69549</v>
      </c>
      <c r="D2994" t="s">
        <v>1081</v>
      </c>
      <c r="E2994" s="7">
        <v>858</v>
      </c>
      <c r="F2994" t="s">
        <v>20</v>
      </c>
      <c r="G2994" t="s">
        <v>21</v>
      </c>
      <c r="H2994" t="str">
        <f>"36291"</f>
        <v>36291</v>
      </c>
      <c r="I2994" t="str">
        <f>"PINNACLE PEST DEFENSE"</f>
        <v>PINNACLE PEST DEFENSE</v>
      </c>
    </row>
    <row r="2995" spans="1:9" x14ac:dyDescent="0.25">
      <c r="A2995" s="6">
        <v>44698</v>
      </c>
      <c r="B2995" t="s">
        <v>26</v>
      </c>
      <c r="C2995">
        <v>69550</v>
      </c>
      <c r="D2995" t="s">
        <v>1207</v>
      </c>
      <c r="E2995" s="7">
        <v>3268.75</v>
      </c>
      <c r="F2995" t="s">
        <v>20</v>
      </c>
      <c r="G2995" t="s">
        <v>21</v>
      </c>
      <c r="H2995" t="str">
        <f>"422531"</f>
        <v>422531</v>
      </c>
      <c r="I2995" t="str">
        <f>"MANHOLE CAMERA RIVERBEND"</f>
        <v>MANHOLE CAMERA RIVERBEND</v>
      </c>
    </row>
    <row r="2996" spans="1:9" x14ac:dyDescent="0.25">
      <c r="A2996" s="6">
        <v>44698</v>
      </c>
      <c r="B2996" t="s">
        <v>26</v>
      </c>
      <c r="C2996">
        <v>69551</v>
      </c>
      <c r="D2996" t="s">
        <v>1152</v>
      </c>
      <c r="E2996" s="7">
        <v>601</v>
      </c>
      <c r="F2996" t="s">
        <v>20</v>
      </c>
      <c r="G2996" t="s">
        <v>21</v>
      </c>
      <c r="H2996" t="str">
        <f>"9567-5/20-2022"</f>
        <v>9567-5/20-2022</v>
      </c>
      <c r="I2996" t="str">
        <f>"PITNEY BOWES PURCHASE POWER"</f>
        <v>PITNEY BOWES PURCHASE POWER</v>
      </c>
    </row>
    <row r="2997" spans="1:9" x14ac:dyDescent="0.25">
      <c r="A2997" s="6">
        <v>44698</v>
      </c>
      <c r="B2997" t="s">
        <v>26</v>
      </c>
      <c r="C2997">
        <v>69552</v>
      </c>
      <c r="D2997" t="s">
        <v>1133</v>
      </c>
      <c r="E2997" s="7">
        <v>2308</v>
      </c>
      <c r="F2997" t="s">
        <v>20</v>
      </c>
      <c r="G2997" t="s">
        <v>21</v>
      </c>
      <c r="H2997" t="str">
        <f>"82603163"</f>
        <v>82603163</v>
      </c>
      <c r="I2997" t="str">
        <f>"Shafer- Anderson Holdings  LLC"</f>
        <v>Shafer- Anderson Holdings  LLC</v>
      </c>
    </row>
    <row r="2998" spans="1:9" x14ac:dyDescent="0.25">
      <c r="A2998" s="6">
        <v>44698</v>
      </c>
      <c r="B2998" t="s">
        <v>26</v>
      </c>
      <c r="C2998">
        <v>69552</v>
      </c>
      <c r="D2998" t="s">
        <v>1133</v>
      </c>
      <c r="E2998" s="7">
        <v>663.03</v>
      </c>
      <c r="F2998" t="s">
        <v>20</v>
      </c>
      <c r="G2998" t="s">
        <v>21</v>
      </c>
      <c r="H2998" t="str">
        <f>"87035033"</f>
        <v>87035033</v>
      </c>
      <c r="I2998" t="str">
        <f>"EVENT CENTER A/C WORK"</f>
        <v>EVENT CENTER A/C WORK</v>
      </c>
    </row>
    <row r="2999" spans="1:9" x14ac:dyDescent="0.25">
      <c r="A2999" s="6">
        <v>44698</v>
      </c>
      <c r="B2999" t="s">
        <v>26</v>
      </c>
      <c r="C2999">
        <v>69553</v>
      </c>
      <c r="D2999" t="s">
        <v>346</v>
      </c>
      <c r="E2999" s="7">
        <v>13750</v>
      </c>
      <c r="F2999" t="s">
        <v>20</v>
      </c>
      <c r="G2999" t="s">
        <v>21</v>
      </c>
      <c r="H2999" t="str">
        <f>"4/11-5/11/2022"</f>
        <v>4/11-5/11/2022</v>
      </c>
      <c r="I2999" t="str">
        <f>"SYLVIA RODRIGUEZ"</f>
        <v>SYLVIA RODRIGUEZ</v>
      </c>
    </row>
    <row r="3000" spans="1:9" x14ac:dyDescent="0.25">
      <c r="A3000" s="6">
        <v>44698</v>
      </c>
      <c r="B3000" t="s">
        <v>26</v>
      </c>
      <c r="C3000">
        <v>69554</v>
      </c>
      <c r="D3000" t="s">
        <v>75</v>
      </c>
      <c r="E3000" s="7">
        <v>159.99</v>
      </c>
      <c r="F3000" t="s">
        <v>20</v>
      </c>
      <c r="G3000" t="s">
        <v>21</v>
      </c>
      <c r="H3000" t="str">
        <f>"100828271"</f>
        <v>100828271</v>
      </c>
      <c r="I3000" t="str">
        <f>"BOOTS FOR DAVID M"</f>
        <v>BOOTS FOR DAVID M</v>
      </c>
    </row>
    <row r="3001" spans="1:9" x14ac:dyDescent="0.25">
      <c r="A3001" s="6">
        <v>44698</v>
      </c>
      <c r="B3001" t="s">
        <v>26</v>
      </c>
      <c r="C3001">
        <v>69554</v>
      </c>
      <c r="D3001" t="s">
        <v>75</v>
      </c>
      <c r="E3001" s="7">
        <v>50.87</v>
      </c>
      <c r="F3001" t="s">
        <v>20</v>
      </c>
      <c r="G3001" t="s">
        <v>21</v>
      </c>
      <c r="H3001" t="str">
        <f>"100828290"</f>
        <v>100828290</v>
      </c>
      <c r="I3001" t="str">
        <f>"DOG FOOD FOR K-9"</f>
        <v>DOG FOOD FOR K-9</v>
      </c>
    </row>
    <row r="3002" spans="1:9" x14ac:dyDescent="0.25">
      <c r="A3002" s="6">
        <v>44698</v>
      </c>
      <c r="B3002" t="s">
        <v>26</v>
      </c>
      <c r="C3002">
        <v>69555</v>
      </c>
      <c r="D3002" t="s">
        <v>698</v>
      </c>
      <c r="E3002" s="7">
        <v>221.21</v>
      </c>
      <c r="F3002" t="s">
        <v>20</v>
      </c>
      <c r="G3002" t="s">
        <v>21</v>
      </c>
      <c r="H3002" t="str">
        <f>"5/13-5/15/2022"</f>
        <v>5/13-5/15/2022</v>
      </c>
      <c r="I3002" t="str">
        <f>"TRACY ORTIZ"</f>
        <v>TRACY ORTIZ</v>
      </c>
    </row>
    <row r="3003" spans="1:9" x14ac:dyDescent="0.25">
      <c r="A3003" s="6">
        <v>44698</v>
      </c>
      <c r="B3003" t="s">
        <v>26</v>
      </c>
      <c r="C3003">
        <v>69556</v>
      </c>
      <c r="D3003" t="s">
        <v>61</v>
      </c>
      <c r="E3003" s="7">
        <v>48571</v>
      </c>
      <c r="F3003" t="s">
        <v>20</v>
      </c>
      <c r="G3003" t="s">
        <v>21</v>
      </c>
      <c r="H3003" t="str">
        <f>"025-074996"</f>
        <v>025-074996</v>
      </c>
      <c r="I3003" t="str">
        <f>"TYLER TECHNOLOGIES  INC."</f>
        <v>TYLER TECHNOLOGIES  INC.</v>
      </c>
    </row>
    <row r="3004" spans="1:9" x14ac:dyDescent="0.25">
      <c r="A3004" s="6">
        <v>44698</v>
      </c>
      <c r="B3004" t="s">
        <v>26</v>
      </c>
      <c r="C3004">
        <v>69557</v>
      </c>
      <c r="D3004" t="s">
        <v>186</v>
      </c>
      <c r="E3004" s="7">
        <v>9931.51</v>
      </c>
      <c r="F3004" t="s">
        <v>20</v>
      </c>
      <c r="G3004" t="s">
        <v>21</v>
      </c>
      <c r="H3004" t="str">
        <f>"3RD QRT7/1-9/30/"</f>
        <v>3RD QRT7/1-9/30/</v>
      </c>
      <c r="I3004" t="str">
        <f>"WILSON COUNTY APPRAISAL DISTRI"</f>
        <v>WILSON COUNTY APPRAISAL DISTRI</v>
      </c>
    </row>
    <row r="3005" spans="1:9" x14ac:dyDescent="0.25">
      <c r="A3005" s="6">
        <v>44698</v>
      </c>
      <c r="B3005" t="s">
        <v>26</v>
      </c>
      <c r="C3005">
        <v>69558</v>
      </c>
      <c r="D3005" t="s">
        <v>1208</v>
      </c>
      <c r="E3005" s="7">
        <v>9172.8799999999992</v>
      </c>
      <c r="F3005" t="s">
        <v>20</v>
      </c>
      <c r="G3005" t="s">
        <v>21</v>
      </c>
      <c r="H3005" t="str">
        <f>"10584"</f>
        <v>10584</v>
      </c>
      <c r="I3005" t="str">
        <f>"LA VERNIA PUMP &amp; SUPPLY  INC"</f>
        <v>LA VERNIA PUMP &amp; SUPPLY  INC</v>
      </c>
    </row>
    <row r="3006" spans="1:9" x14ac:dyDescent="0.25">
      <c r="A3006" s="6">
        <v>44698</v>
      </c>
      <c r="B3006" t="s">
        <v>26</v>
      </c>
      <c r="C3006">
        <v>69563</v>
      </c>
      <c r="D3006" t="s">
        <v>51</v>
      </c>
      <c r="E3006" s="7">
        <v>13.85</v>
      </c>
      <c r="F3006" t="s">
        <v>20</v>
      </c>
      <c r="G3006" t="s">
        <v>21</v>
      </c>
      <c r="H3006" t="str">
        <f>"CLE202205178657"</f>
        <v>CLE202205178657</v>
      </c>
      <c r="I3006" t="str">
        <f>"CLEAT ONLY DUES"</f>
        <v>CLEAT ONLY DUES</v>
      </c>
    </row>
    <row r="3007" spans="1:9" x14ac:dyDescent="0.25">
      <c r="A3007" s="6">
        <v>44698</v>
      </c>
      <c r="B3007" t="s">
        <v>26</v>
      </c>
      <c r="C3007">
        <v>69563</v>
      </c>
      <c r="D3007" t="s">
        <v>51</v>
      </c>
      <c r="E3007" s="7">
        <v>332.46</v>
      </c>
      <c r="F3007" t="s">
        <v>20</v>
      </c>
      <c r="G3007" t="s">
        <v>21</v>
      </c>
      <c r="H3007" t="str">
        <f>"PDD202205178657"</f>
        <v>PDD202205178657</v>
      </c>
      <c r="I3007" t="str">
        <f>"POLICE OFFICERS ASSOC DUES"</f>
        <v>POLICE OFFICERS ASSOC DUES</v>
      </c>
    </row>
    <row r="3008" spans="1:9" x14ac:dyDescent="0.25">
      <c r="A3008" s="6">
        <v>44698</v>
      </c>
      <c r="B3008" t="s">
        <v>26</v>
      </c>
      <c r="C3008">
        <v>69564</v>
      </c>
      <c r="D3008" t="s">
        <v>52</v>
      </c>
      <c r="E3008" s="7">
        <v>101.25</v>
      </c>
      <c r="F3008" t="s">
        <v>20</v>
      </c>
      <c r="G3008" t="s">
        <v>21</v>
      </c>
      <c r="H3008" t="str">
        <f>"CA1202205178657"</f>
        <v>CA1202205178657</v>
      </c>
      <c r="I3008" t="str">
        <f>"K RAMIREZ 001200229510060343CV"</f>
        <v>K RAMIREZ 001200229510060343CV</v>
      </c>
    </row>
    <row r="3009" spans="1:9" x14ac:dyDescent="0.25">
      <c r="A3009" s="6">
        <v>44698</v>
      </c>
      <c r="B3009" t="s">
        <v>26</v>
      </c>
      <c r="C3009">
        <v>69564</v>
      </c>
      <c r="D3009" t="s">
        <v>52</v>
      </c>
      <c r="E3009" s="7">
        <v>101.25</v>
      </c>
      <c r="F3009" t="s">
        <v>20</v>
      </c>
      <c r="G3009" t="s">
        <v>21</v>
      </c>
      <c r="H3009" t="str">
        <f>"CA2202205178657"</f>
        <v>CA2202205178657</v>
      </c>
      <c r="I3009" t="str">
        <f>"L HERNANDEZ 001016025203080354"</f>
        <v>L HERNANDEZ 001016025203080354</v>
      </c>
    </row>
    <row r="3010" spans="1:9" x14ac:dyDescent="0.25">
      <c r="A3010" s="6">
        <v>44698</v>
      </c>
      <c r="B3010" t="s">
        <v>26</v>
      </c>
      <c r="C3010">
        <v>69564</v>
      </c>
      <c r="D3010" t="s">
        <v>52</v>
      </c>
      <c r="E3010" s="7">
        <v>101.25</v>
      </c>
      <c r="F3010" t="s">
        <v>20</v>
      </c>
      <c r="G3010" t="s">
        <v>21</v>
      </c>
      <c r="H3010" t="str">
        <f>"CA3202205178657"</f>
        <v>CA3202205178657</v>
      </c>
      <c r="I3010" t="str">
        <f>"00120788612011EM5023JOLENEGARC"</f>
        <v>00120788612011EM5023JOLENEGARC</v>
      </c>
    </row>
    <row r="3011" spans="1:9" x14ac:dyDescent="0.25">
      <c r="A3011" s="6">
        <v>44698</v>
      </c>
      <c r="B3011" t="s">
        <v>26</v>
      </c>
      <c r="C3011">
        <v>69564</v>
      </c>
      <c r="D3011" t="s">
        <v>52</v>
      </c>
      <c r="E3011" s="7">
        <v>101.25</v>
      </c>
      <c r="F3011" t="s">
        <v>20</v>
      </c>
      <c r="G3011" t="s">
        <v>21</v>
      </c>
      <c r="H3011" t="str">
        <f>"CSA202205178657"</f>
        <v>CSA202205178657</v>
      </c>
      <c r="I3011" t="str">
        <f>"S RODRIGUEZ 001281730413050336"</f>
        <v>S RODRIGUEZ 001281730413050336</v>
      </c>
    </row>
    <row r="3012" spans="1:9" x14ac:dyDescent="0.25">
      <c r="A3012" s="6">
        <v>44698</v>
      </c>
      <c r="B3012" t="s">
        <v>26</v>
      </c>
      <c r="C3012">
        <v>69564</v>
      </c>
      <c r="D3012" t="s">
        <v>52</v>
      </c>
      <c r="E3012" s="7">
        <v>521.54</v>
      </c>
      <c r="F3012" t="s">
        <v>20</v>
      </c>
      <c r="G3012" t="s">
        <v>21</v>
      </c>
      <c r="H3012" t="str">
        <f>"CSI202205178657"</f>
        <v>CSI202205178657</v>
      </c>
      <c r="I3012" t="str">
        <f>"KTRINIDAD0014071774CVW2000777"</f>
        <v>KTRINIDAD0014071774CVW2000777</v>
      </c>
    </row>
    <row r="3013" spans="1:9" x14ac:dyDescent="0.25">
      <c r="A3013" s="6">
        <v>44698</v>
      </c>
      <c r="B3013" t="s">
        <v>26</v>
      </c>
      <c r="C3013">
        <v>69566</v>
      </c>
      <c r="D3013" t="s">
        <v>54</v>
      </c>
      <c r="E3013" s="7">
        <v>803.43</v>
      </c>
      <c r="F3013" t="s">
        <v>20</v>
      </c>
      <c r="G3013" t="s">
        <v>21</v>
      </c>
      <c r="H3013" t="str">
        <f>"BRE202205178657"</f>
        <v>BRE202205178657</v>
      </c>
      <c r="I3013" t="str">
        <f>"CASE #180-60751 457B DEDUCT"</f>
        <v>CASE #180-60751 457B DEDUCT</v>
      </c>
    </row>
    <row r="3014" spans="1:9" x14ac:dyDescent="0.25">
      <c r="A3014" s="6">
        <v>44698</v>
      </c>
      <c r="B3014" t="s">
        <v>26</v>
      </c>
      <c r="C3014">
        <v>69567</v>
      </c>
      <c r="D3014" t="s">
        <v>29</v>
      </c>
      <c r="E3014" s="7">
        <v>5890</v>
      </c>
      <c r="F3014" t="s">
        <v>20</v>
      </c>
      <c r="G3014" t="s">
        <v>21</v>
      </c>
      <c r="H3014" t="str">
        <f>"58686"</f>
        <v>58686</v>
      </c>
      <c r="I3014" t="str">
        <f>"M &amp; S ENGINEERING  LLC"</f>
        <v>M &amp; S ENGINEERING  LLC</v>
      </c>
    </row>
    <row r="3015" spans="1:9" x14ac:dyDescent="0.25">
      <c r="A3015" s="6">
        <v>44699</v>
      </c>
      <c r="B3015" t="s">
        <v>26</v>
      </c>
      <c r="C3015">
        <v>69568</v>
      </c>
      <c r="D3015" t="s">
        <v>880</v>
      </c>
      <c r="E3015" s="7">
        <v>300</v>
      </c>
      <c r="F3015" t="s">
        <v>20</v>
      </c>
      <c r="G3015" t="s">
        <v>21</v>
      </c>
      <c r="H3015" t="str">
        <f>"1242"</f>
        <v>1242</v>
      </c>
      <c r="I3015" t="str">
        <f>"ATASCOSA COUNTRY RADIO"</f>
        <v>ATASCOSA COUNTRY RADIO</v>
      </c>
    </row>
    <row r="3016" spans="1:9" x14ac:dyDescent="0.25">
      <c r="A3016" s="6">
        <v>44699</v>
      </c>
      <c r="B3016" t="s">
        <v>26</v>
      </c>
      <c r="C3016">
        <v>69569</v>
      </c>
      <c r="D3016" t="s">
        <v>1136</v>
      </c>
      <c r="E3016" s="7">
        <v>600</v>
      </c>
      <c r="F3016" t="s">
        <v>20</v>
      </c>
      <c r="G3016" t="s">
        <v>21</v>
      </c>
      <c r="H3016" t="str">
        <f>"INV0136"</f>
        <v>INV0136</v>
      </c>
      <c r="I3016" t="str">
        <f>"LUX ELECTRIC LLC"</f>
        <v>LUX ELECTRIC LLC</v>
      </c>
    </row>
    <row r="3017" spans="1:9" x14ac:dyDescent="0.25">
      <c r="A3017" s="6">
        <v>44699</v>
      </c>
      <c r="B3017" t="s">
        <v>26</v>
      </c>
      <c r="C3017">
        <v>69570</v>
      </c>
      <c r="D3017" t="s">
        <v>1209</v>
      </c>
      <c r="E3017" s="7">
        <v>50</v>
      </c>
      <c r="F3017" t="s">
        <v>20</v>
      </c>
      <c r="G3017" t="s">
        <v>21</v>
      </c>
      <c r="H3017" t="str">
        <f>"5/7/22 REFUND"</f>
        <v>5/7/22 REFUND</v>
      </c>
      <c r="I3017" t="str">
        <f>"REFUND"</f>
        <v>REFUND</v>
      </c>
    </row>
    <row r="3018" spans="1:9" x14ac:dyDescent="0.25">
      <c r="A3018" s="6">
        <v>44700</v>
      </c>
      <c r="B3018" t="s">
        <v>26</v>
      </c>
      <c r="C3018">
        <v>69571</v>
      </c>
      <c r="D3018" t="s">
        <v>233</v>
      </c>
      <c r="E3018" s="7">
        <v>175</v>
      </c>
      <c r="F3018" t="s">
        <v>20</v>
      </c>
      <c r="G3018" t="s">
        <v>21</v>
      </c>
      <c r="H3018" t="str">
        <f>"SECURITY EV 5/2022"</f>
        <v>SECURITY EV 5/2022</v>
      </c>
      <c r="I3018" t="str">
        <f>"STEFANO CANTU"</f>
        <v>STEFANO CANTU</v>
      </c>
    </row>
    <row r="3019" spans="1:9" x14ac:dyDescent="0.25">
      <c r="A3019" s="6">
        <v>44701</v>
      </c>
      <c r="B3019" t="s">
        <v>26</v>
      </c>
      <c r="C3019">
        <v>69572</v>
      </c>
      <c r="D3019" t="s">
        <v>431</v>
      </c>
      <c r="E3019" s="7">
        <v>2875</v>
      </c>
      <c r="F3019" t="s">
        <v>20</v>
      </c>
      <c r="G3019" t="s">
        <v>21</v>
      </c>
      <c r="H3019" t="str">
        <f>"1"</f>
        <v>1</v>
      </c>
      <c r="I3019" t="str">
        <f>"ANDRES IBARRA"</f>
        <v>ANDRES IBARRA</v>
      </c>
    </row>
    <row r="3020" spans="1:9" x14ac:dyDescent="0.25">
      <c r="A3020" s="6">
        <v>44701</v>
      </c>
      <c r="B3020" t="s">
        <v>26</v>
      </c>
      <c r="C3020">
        <v>69573</v>
      </c>
      <c r="D3020" t="s">
        <v>1210</v>
      </c>
      <c r="E3020" s="7">
        <v>2875</v>
      </c>
      <c r="F3020" t="s">
        <v>20</v>
      </c>
      <c r="G3020" t="s">
        <v>21</v>
      </c>
      <c r="H3020" t="str">
        <f>"1"</f>
        <v>1</v>
      </c>
      <c r="I3020" t="str">
        <f>"VICTOR IBARRA"</f>
        <v>VICTOR IBARRA</v>
      </c>
    </row>
    <row r="3021" spans="1:9" x14ac:dyDescent="0.25">
      <c r="A3021" s="6">
        <v>44706</v>
      </c>
      <c r="B3021" t="s">
        <v>26</v>
      </c>
      <c r="C3021">
        <v>69574</v>
      </c>
      <c r="D3021" t="s">
        <v>483</v>
      </c>
      <c r="E3021" s="7">
        <v>84.76</v>
      </c>
      <c r="F3021" t="s">
        <v>20</v>
      </c>
      <c r="G3021" t="s">
        <v>21</v>
      </c>
      <c r="H3021" t="str">
        <f>"5490565"</f>
        <v>5490565</v>
      </c>
      <c r="I3021" t="str">
        <f>"BRASS PART"</f>
        <v>BRASS PART</v>
      </c>
    </row>
    <row r="3022" spans="1:9" x14ac:dyDescent="0.25">
      <c r="A3022" s="6">
        <v>44706</v>
      </c>
      <c r="B3022" t="s">
        <v>26</v>
      </c>
      <c r="C3022">
        <v>69575</v>
      </c>
      <c r="D3022" t="s">
        <v>179</v>
      </c>
      <c r="E3022" s="7">
        <v>61.74</v>
      </c>
      <c r="F3022" t="s">
        <v>20</v>
      </c>
      <c r="G3022" t="s">
        <v>21</v>
      </c>
      <c r="H3022" t="str">
        <f>"269700"</f>
        <v>269700</v>
      </c>
      <c r="I3022" t="str">
        <f>"ANCIRA FORD-MERCURY"</f>
        <v>ANCIRA FORD-MERCURY</v>
      </c>
    </row>
    <row r="3023" spans="1:9" x14ac:dyDescent="0.25">
      <c r="A3023" s="6">
        <v>44706</v>
      </c>
      <c r="B3023" t="s">
        <v>26</v>
      </c>
      <c r="C3023">
        <v>69576</v>
      </c>
      <c r="D3023" t="s">
        <v>189</v>
      </c>
      <c r="E3023" s="7">
        <v>5622.39</v>
      </c>
      <c r="F3023" t="s">
        <v>20</v>
      </c>
      <c r="G3023" t="s">
        <v>21</v>
      </c>
      <c r="H3023" t="str">
        <f>"SWO230405-1"</f>
        <v>SWO230405-1</v>
      </c>
      <c r="I3023" t="str">
        <f>"ASCO"</f>
        <v>ASCO</v>
      </c>
    </row>
    <row r="3024" spans="1:9" x14ac:dyDescent="0.25">
      <c r="A3024" s="6">
        <v>44706</v>
      </c>
      <c r="B3024" t="s">
        <v>26</v>
      </c>
      <c r="C3024">
        <v>69577</v>
      </c>
      <c r="D3024" t="s">
        <v>949</v>
      </c>
      <c r="E3024" s="7">
        <v>90</v>
      </c>
      <c r="F3024" t="s">
        <v>20</v>
      </c>
      <c r="G3024" t="s">
        <v>21</v>
      </c>
      <c r="H3024" t="str">
        <f>"19829"</f>
        <v>19829</v>
      </c>
      <c r="I3024" t="str">
        <f>"SHIRTS"</f>
        <v>SHIRTS</v>
      </c>
    </row>
    <row r="3025" spans="1:9" x14ac:dyDescent="0.25">
      <c r="A3025" s="6">
        <v>44706</v>
      </c>
      <c r="B3025" t="s">
        <v>26</v>
      </c>
      <c r="C3025">
        <v>69578</v>
      </c>
      <c r="D3025" t="s">
        <v>115</v>
      </c>
      <c r="E3025" s="7">
        <v>129.99</v>
      </c>
      <c r="F3025" t="s">
        <v>20</v>
      </c>
      <c r="G3025" t="s">
        <v>21</v>
      </c>
      <c r="H3025" t="str">
        <f>"3547262589"</f>
        <v>3547262589</v>
      </c>
      <c r="I3025" t="str">
        <f>"OIL CHANGES FOR WATER"</f>
        <v>OIL CHANGES FOR WATER</v>
      </c>
    </row>
    <row r="3026" spans="1:9" x14ac:dyDescent="0.25">
      <c r="A3026" s="6">
        <v>44706</v>
      </c>
      <c r="B3026" t="s">
        <v>26</v>
      </c>
      <c r="C3026">
        <v>69579</v>
      </c>
      <c r="D3026" t="s">
        <v>836</v>
      </c>
      <c r="E3026" s="7">
        <v>225</v>
      </c>
      <c r="F3026" t="s">
        <v>20</v>
      </c>
      <c r="G3026" t="s">
        <v>21</v>
      </c>
      <c r="H3026" t="str">
        <f>"85691"</f>
        <v>85691</v>
      </c>
      <c r="I3026" t="str">
        <f>"BARCOM TECHNOLOGY SOLUTIONS  I"</f>
        <v>BARCOM TECHNOLOGY SOLUTIONS  I</v>
      </c>
    </row>
    <row r="3027" spans="1:9" x14ac:dyDescent="0.25">
      <c r="A3027" s="6">
        <v>44706</v>
      </c>
      <c r="B3027" t="s">
        <v>26</v>
      </c>
      <c r="C3027">
        <v>69580</v>
      </c>
      <c r="D3027" t="s">
        <v>63</v>
      </c>
      <c r="E3027" s="7">
        <v>1036.8499999999999</v>
      </c>
      <c r="F3027" t="s">
        <v>20</v>
      </c>
      <c r="G3027" t="s">
        <v>21</v>
      </c>
      <c r="H3027" t="str">
        <f>"8405683044"</f>
        <v>8405683044</v>
      </c>
      <c r="I3027" t="str">
        <f>"CINTAS CORPORATION"</f>
        <v>CINTAS CORPORATION</v>
      </c>
    </row>
    <row r="3028" spans="1:9" x14ac:dyDescent="0.25">
      <c r="A3028" s="6">
        <v>44706</v>
      </c>
      <c r="B3028" t="s">
        <v>26</v>
      </c>
      <c r="C3028">
        <v>69581</v>
      </c>
      <c r="D3028" t="s">
        <v>71</v>
      </c>
      <c r="E3028" s="7">
        <v>37.1</v>
      </c>
      <c r="F3028" t="s">
        <v>20</v>
      </c>
      <c r="G3028" t="s">
        <v>21</v>
      </c>
      <c r="H3028" t="str">
        <f>"4118796300"</f>
        <v>4118796300</v>
      </c>
      <c r="I3028" t="str">
        <f t="shared" ref="I3028:I3036" si="71">"CINTAS CORPORATION #087"</f>
        <v>CINTAS CORPORATION #087</v>
      </c>
    </row>
    <row r="3029" spans="1:9" x14ac:dyDescent="0.25">
      <c r="A3029" s="6">
        <v>44706</v>
      </c>
      <c r="B3029" t="s">
        <v>26</v>
      </c>
      <c r="C3029">
        <v>69581</v>
      </c>
      <c r="D3029" t="s">
        <v>71</v>
      </c>
      <c r="E3029" s="7">
        <v>57.72</v>
      </c>
      <c r="F3029" t="s">
        <v>20</v>
      </c>
      <c r="G3029" t="s">
        <v>21</v>
      </c>
      <c r="H3029" t="str">
        <f>"4118796316"</f>
        <v>4118796316</v>
      </c>
      <c r="I3029" t="str">
        <f t="shared" si="71"/>
        <v>CINTAS CORPORATION #087</v>
      </c>
    </row>
    <row r="3030" spans="1:9" x14ac:dyDescent="0.25">
      <c r="A3030" s="6">
        <v>44706</v>
      </c>
      <c r="B3030" t="s">
        <v>26</v>
      </c>
      <c r="C3030">
        <v>69581</v>
      </c>
      <c r="D3030" t="s">
        <v>71</v>
      </c>
      <c r="E3030" s="7">
        <v>810.89</v>
      </c>
      <c r="F3030" t="s">
        <v>20</v>
      </c>
      <c r="G3030" t="s">
        <v>21</v>
      </c>
      <c r="H3030" t="str">
        <f>"4118796338"</f>
        <v>4118796338</v>
      </c>
      <c r="I3030" t="str">
        <f t="shared" si="71"/>
        <v>CINTAS CORPORATION #087</v>
      </c>
    </row>
    <row r="3031" spans="1:9" x14ac:dyDescent="0.25">
      <c r="A3031" s="6">
        <v>44706</v>
      </c>
      <c r="B3031" t="s">
        <v>26</v>
      </c>
      <c r="C3031">
        <v>69581</v>
      </c>
      <c r="D3031" t="s">
        <v>71</v>
      </c>
      <c r="E3031" s="7">
        <v>31.89</v>
      </c>
      <c r="F3031" t="s">
        <v>20</v>
      </c>
      <c r="G3031" t="s">
        <v>21</v>
      </c>
      <c r="H3031" t="str">
        <f>"4118796342"</f>
        <v>4118796342</v>
      </c>
      <c r="I3031" t="str">
        <f t="shared" si="71"/>
        <v>CINTAS CORPORATION #087</v>
      </c>
    </row>
    <row r="3032" spans="1:9" x14ac:dyDescent="0.25">
      <c r="A3032" s="6">
        <v>44706</v>
      </c>
      <c r="B3032" t="s">
        <v>26</v>
      </c>
      <c r="C3032">
        <v>69581</v>
      </c>
      <c r="D3032" t="s">
        <v>71</v>
      </c>
      <c r="E3032" s="7">
        <v>9.3800000000000008</v>
      </c>
      <c r="F3032" t="s">
        <v>20</v>
      </c>
      <c r="G3032" t="s">
        <v>21</v>
      </c>
      <c r="H3032" t="str">
        <f>"4118796374"</f>
        <v>4118796374</v>
      </c>
      <c r="I3032" t="str">
        <f t="shared" si="71"/>
        <v>CINTAS CORPORATION #087</v>
      </c>
    </row>
    <row r="3033" spans="1:9" x14ac:dyDescent="0.25">
      <c r="A3033" s="6">
        <v>44706</v>
      </c>
      <c r="B3033" t="s">
        <v>26</v>
      </c>
      <c r="C3033">
        <v>69581</v>
      </c>
      <c r="D3033" t="s">
        <v>71</v>
      </c>
      <c r="E3033" s="7">
        <v>164.25</v>
      </c>
      <c r="F3033" t="s">
        <v>20</v>
      </c>
      <c r="G3033" t="s">
        <v>21</v>
      </c>
      <c r="H3033" t="str">
        <f>"4118796484"</f>
        <v>4118796484</v>
      </c>
      <c r="I3033" t="str">
        <f t="shared" si="71"/>
        <v>CINTAS CORPORATION #087</v>
      </c>
    </row>
    <row r="3034" spans="1:9" x14ac:dyDescent="0.25">
      <c r="A3034" s="6">
        <v>44706</v>
      </c>
      <c r="B3034" t="s">
        <v>26</v>
      </c>
      <c r="C3034">
        <v>69581</v>
      </c>
      <c r="D3034" t="s">
        <v>71</v>
      </c>
      <c r="E3034" s="7">
        <v>151.76</v>
      </c>
      <c r="F3034" t="s">
        <v>20</v>
      </c>
      <c r="G3034" t="s">
        <v>21</v>
      </c>
      <c r="H3034" t="str">
        <f>"4119495131"</f>
        <v>4119495131</v>
      </c>
      <c r="I3034" t="str">
        <f t="shared" si="71"/>
        <v>CINTAS CORPORATION #087</v>
      </c>
    </row>
    <row r="3035" spans="1:9" x14ac:dyDescent="0.25">
      <c r="A3035" s="6">
        <v>44706</v>
      </c>
      <c r="B3035" t="s">
        <v>26</v>
      </c>
      <c r="C3035">
        <v>69581</v>
      </c>
      <c r="D3035" t="s">
        <v>71</v>
      </c>
      <c r="E3035" s="7">
        <v>244.86</v>
      </c>
      <c r="F3035" t="s">
        <v>20</v>
      </c>
      <c r="G3035" t="s">
        <v>21</v>
      </c>
      <c r="H3035" t="str">
        <f>"4119495157"</f>
        <v>4119495157</v>
      </c>
      <c r="I3035" t="str">
        <f t="shared" si="71"/>
        <v>CINTAS CORPORATION #087</v>
      </c>
    </row>
    <row r="3036" spans="1:9" x14ac:dyDescent="0.25">
      <c r="A3036" s="6">
        <v>44706</v>
      </c>
      <c r="B3036" t="s">
        <v>26</v>
      </c>
      <c r="C3036">
        <v>69581</v>
      </c>
      <c r="D3036" t="s">
        <v>71</v>
      </c>
      <c r="E3036" s="7">
        <v>88.06</v>
      </c>
      <c r="F3036" t="s">
        <v>20</v>
      </c>
      <c r="G3036" t="s">
        <v>21</v>
      </c>
      <c r="H3036" t="str">
        <f>"4119495202"</f>
        <v>4119495202</v>
      </c>
      <c r="I3036" t="str">
        <f t="shared" si="71"/>
        <v>CINTAS CORPORATION #087</v>
      </c>
    </row>
    <row r="3037" spans="1:9" x14ac:dyDescent="0.25">
      <c r="A3037" s="6">
        <v>44706</v>
      </c>
      <c r="B3037" t="s">
        <v>26</v>
      </c>
      <c r="C3037">
        <v>69583</v>
      </c>
      <c r="D3037" t="s">
        <v>77</v>
      </c>
      <c r="E3037" s="7">
        <v>1031.96</v>
      </c>
      <c r="F3037" t="s">
        <v>20</v>
      </c>
      <c r="G3037" t="s">
        <v>21</v>
      </c>
      <c r="H3037" t="str">
        <f>"857000976-22"</f>
        <v>857000976-22</v>
      </c>
      <c r="I3037" t="str">
        <f>"DPC INDUSTRIES  INC."</f>
        <v>DPC INDUSTRIES  INC.</v>
      </c>
    </row>
    <row r="3038" spans="1:9" x14ac:dyDescent="0.25">
      <c r="A3038" s="6">
        <v>44706</v>
      </c>
      <c r="B3038" t="s">
        <v>26</v>
      </c>
      <c r="C3038">
        <v>69583</v>
      </c>
      <c r="D3038" t="s">
        <v>77</v>
      </c>
      <c r="E3038" s="7">
        <v>861.3</v>
      </c>
      <c r="F3038" t="s">
        <v>20</v>
      </c>
      <c r="G3038" t="s">
        <v>21</v>
      </c>
      <c r="H3038" t="str">
        <f>"857000977-22"</f>
        <v>857000977-22</v>
      </c>
      <c r="I3038" t="str">
        <f>"DPC INDUSTRIES  INC."</f>
        <v>DPC INDUSTRIES  INC.</v>
      </c>
    </row>
    <row r="3039" spans="1:9" x14ac:dyDescent="0.25">
      <c r="A3039" s="6">
        <v>44706</v>
      </c>
      <c r="B3039" t="s">
        <v>26</v>
      </c>
      <c r="C3039">
        <v>69584</v>
      </c>
      <c r="D3039" t="s">
        <v>937</v>
      </c>
      <c r="E3039" s="7">
        <v>251.19</v>
      </c>
      <c r="F3039" t="s">
        <v>20</v>
      </c>
      <c r="G3039" t="s">
        <v>21</v>
      </c>
      <c r="H3039" t="str">
        <f>"88-83292-01"</f>
        <v>88-83292-01</v>
      </c>
      <c r="I3039" t="str">
        <f>"WWTP"</f>
        <v>WWTP</v>
      </c>
    </row>
    <row r="3040" spans="1:9" x14ac:dyDescent="0.25">
      <c r="A3040" s="6">
        <v>44706</v>
      </c>
      <c r="B3040" t="s">
        <v>26</v>
      </c>
      <c r="C3040">
        <v>69585</v>
      </c>
      <c r="D3040" t="s">
        <v>69</v>
      </c>
      <c r="E3040" s="7">
        <v>18.16</v>
      </c>
      <c r="F3040" t="s">
        <v>20</v>
      </c>
      <c r="G3040" t="s">
        <v>21</v>
      </c>
      <c r="H3040" t="str">
        <f>"3C18042"</f>
        <v>3C18042</v>
      </c>
      <c r="I3040" t="str">
        <f>"OIL SUPPLIES"</f>
        <v>OIL SUPPLIES</v>
      </c>
    </row>
    <row r="3041" spans="1:9" x14ac:dyDescent="0.25">
      <c r="A3041" s="6">
        <v>44706</v>
      </c>
      <c r="B3041" t="s">
        <v>26</v>
      </c>
      <c r="C3041">
        <v>69586</v>
      </c>
      <c r="D3041" t="s">
        <v>79</v>
      </c>
      <c r="E3041" s="7">
        <v>23.34</v>
      </c>
      <c r="F3041" t="s">
        <v>20</v>
      </c>
      <c r="G3041" t="s">
        <v>21</v>
      </c>
      <c r="H3041" t="str">
        <f>"7-754-00899"</f>
        <v>7-754-00899</v>
      </c>
      <c r="I3041" t="str">
        <f>"FEDEX"</f>
        <v>FEDEX</v>
      </c>
    </row>
    <row r="3042" spans="1:9" x14ac:dyDescent="0.25">
      <c r="A3042" s="6">
        <v>44706</v>
      </c>
      <c r="B3042" t="s">
        <v>26</v>
      </c>
      <c r="C3042">
        <v>69587</v>
      </c>
      <c r="D3042" t="s">
        <v>59</v>
      </c>
      <c r="E3042" s="7">
        <v>560</v>
      </c>
      <c r="F3042" t="s">
        <v>20</v>
      </c>
      <c r="G3042" t="s">
        <v>21</v>
      </c>
      <c r="H3042" t="str">
        <f>"1171268"</f>
        <v>1171268</v>
      </c>
      <c r="I3042" t="str">
        <f>"FERGUSON WATERWORKS - MUNICIPA"</f>
        <v>FERGUSON WATERWORKS - MUNICIPA</v>
      </c>
    </row>
    <row r="3043" spans="1:9" x14ac:dyDescent="0.25">
      <c r="A3043" s="6">
        <v>44706</v>
      </c>
      <c r="B3043" t="s">
        <v>26</v>
      </c>
      <c r="C3043">
        <v>69588</v>
      </c>
      <c r="D3043" t="s">
        <v>85</v>
      </c>
      <c r="E3043" s="7">
        <v>61.33</v>
      </c>
      <c r="F3043" t="s">
        <v>20</v>
      </c>
      <c r="G3043" t="s">
        <v>21</v>
      </c>
      <c r="H3043" t="str">
        <f>"2162733 MAY 2022"</f>
        <v>2162733 MAY 2022</v>
      </c>
      <c r="I3043" t="str">
        <f t="shared" ref="I3043:I3050" si="72">"FRONTIER"</f>
        <v>FRONTIER</v>
      </c>
    </row>
    <row r="3044" spans="1:9" x14ac:dyDescent="0.25">
      <c r="A3044" s="6">
        <v>44706</v>
      </c>
      <c r="B3044" t="s">
        <v>26</v>
      </c>
      <c r="C3044">
        <v>69588</v>
      </c>
      <c r="D3044" t="s">
        <v>85</v>
      </c>
      <c r="E3044" s="7">
        <v>538.65</v>
      </c>
      <c r="F3044" t="s">
        <v>20</v>
      </c>
      <c r="G3044" t="s">
        <v>21</v>
      </c>
      <c r="H3044" t="str">
        <f>"2162745 MAY 2022"</f>
        <v>2162745 MAY 2022</v>
      </c>
      <c r="I3044" t="str">
        <f t="shared" si="72"/>
        <v>FRONTIER</v>
      </c>
    </row>
    <row r="3045" spans="1:9" x14ac:dyDescent="0.25">
      <c r="A3045" s="6">
        <v>44706</v>
      </c>
      <c r="B3045" t="s">
        <v>26</v>
      </c>
      <c r="C3045">
        <v>69588</v>
      </c>
      <c r="D3045" t="s">
        <v>85</v>
      </c>
      <c r="E3045" s="7">
        <v>60.16</v>
      </c>
      <c r="F3045" t="s">
        <v>20</v>
      </c>
      <c r="G3045" t="s">
        <v>21</v>
      </c>
      <c r="H3045" t="str">
        <f>"2162755 MAY 2022"</f>
        <v>2162755 MAY 2022</v>
      </c>
      <c r="I3045" t="str">
        <f t="shared" si="72"/>
        <v>FRONTIER</v>
      </c>
    </row>
    <row r="3046" spans="1:9" x14ac:dyDescent="0.25">
      <c r="A3046" s="6">
        <v>44706</v>
      </c>
      <c r="B3046" t="s">
        <v>26</v>
      </c>
      <c r="C3046">
        <v>69588</v>
      </c>
      <c r="D3046" t="s">
        <v>85</v>
      </c>
      <c r="E3046" s="7">
        <v>71.33</v>
      </c>
      <c r="F3046" t="s">
        <v>20</v>
      </c>
      <c r="G3046" t="s">
        <v>21</v>
      </c>
      <c r="H3046" t="str">
        <f>"3932804 MAY 2022"</f>
        <v>3932804 MAY 2022</v>
      </c>
      <c r="I3046" t="str">
        <f t="shared" si="72"/>
        <v>FRONTIER</v>
      </c>
    </row>
    <row r="3047" spans="1:9" x14ac:dyDescent="0.25">
      <c r="A3047" s="6">
        <v>44706</v>
      </c>
      <c r="B3047" t="s">
        <v>26</v>
      </c>
      <c r="C3047">
        <v>69588</v>
      </c>
      <c r="D3047" t="s">
        <v>85</v>
      </c>
      <c r="E3047" s="7">
        <v>46.59</v>
      </c>
      <c r="F3047" t="s">
        <v>20</v>
      </c>
      <c r="G3047" t="s">
        <v>21</v>
      </c>
      <c r="H3047" t="str">
        <f>"3936794 MAY 2022"</f>
        <v>3936794 MAY 2022</v>
      </c>
      <c r="I3047" t="str">
        <f t="shared" si="72"/>
        <v>FRONTIER</v>
      </c>
    </row>
    <row r="3048" spans="1:9" x14ac:dyDescent="0.25">
      <c r="A3048" s="6">
        <v>44706</v>
      </c>
      <c r="B3048" t="s">
        <v>26</v>
      </c>
      <c r="C3048">
        <v>69588</v>
      </c>
      <c r="D3048" t="s">
        <v>85</v>
      </c>
      <c r="E3048" s="7">
        <v>85.85</v>
      </c>
      <c r="F3048" t="s">
        <v>20</v>
      </c>
      <c r="G3048" t="s">
        <v>21</v>
      </c>
      <c r="H3048" t="str">
        <f>"3938193 MAY 2022"</f>
        <v>3938193 MAY 2022</v>
      </c>
      <c r="I3048" t="str">
        <f t="shared" si="72"/>
        <v>FRONTIER</v>
      </c>
    </row>
    <row r="3049" spans="1:9" x14ac:dyDescent="0.25">
      <c r="A3049" s="6">
        <v>44706</v>
      </c>
      <c r="B3049" t="s">
        <v>26</v>
      </c>
      <c r="C3049">
        <v>69588</v>
      </c>
      <c r="D3049" t="s">
        <v>85</v>
      </c>
      <c r="E3049" s="7">
        <v>1909</v>
      </c>
      <c r="F3049" t="s">
        <v>20</v>
      </c>
      <c r="G3049" t="s">
        <v>21</v>
      </c>
      <c r="H3049" t="str">
        <f>"8301970025 MAY2022"</f>
        <v>8301970025 MAY2022</v>
      </c>
      <c r="I3049" t="str">
        <f t="shared" si="72"/>
        <v>FRONTIER</v>
      </c>
    </row>
    <row r="3050" spans="1:9" x14ac:dyDescent="0.25">
      <c r="A3050" s="6">
        <v>44706</v>
      </c>
      <c r="B3050" t="s">
        <v>26</v>
      </c>
      <c r="C3050">
        <v>69588</v>
      </c>
      <c r="D3050" t="s">
        <v>85</v>
      </c>
      <c r="E3050" s="7">
        <v>205.02</v>
      </c>
      <c r="F3050" t="s">
        <v>20</v>
      </c>
      <c r="G3050" t="s">
        <v>21</v>
      </c>
      <c r="H3050" t="str">
        <f>"8301970102 5/22"</f>
        <v>8301970102 5/22</v>
      </c>
      <c r="I3050" t="str">
        <f t="shared" si="72"/>
        <v>FRONTIER</v>
      </c>
    </row>
    <row r="3051" spans="1:9" x14ac:dyDescent="0.25">
      <c r="A3051" s="6">
        <v>44706</v>
      </c>
      <c r="B3051" t="s">
        <v>26</v>
      </c>
      <c r="C3051">
        <v>69591</v>
      </c>
      <c r="D3051" t="s">
        <v>56</v>
      </c>
      <c r="E3051" s="7">
        <v>32.950000000000003</v>
      </c>
      <c r="F3051" t="s">
        <v>20</v>
      </c>
      <c r="G3051" t="s">
        <v>21</v>
      </c>
      <c r="H3051" t="str">
        <f>"200856"</f>
        <v>200856</v>
      </c>
      <c r="I3051" t="str">
        <f>"DOG FOOD"</f>
        <v>DOG FOOD</v>
      </c>
    </row>
    <row r="3052" spans="1:9" x14ac:dyDescent="0.25">
      <c r="A3052" s="6">
        <v>44706</v>
      </c>
      <c r="B3052" t="s">
        <v>26</v>
      </c>
      <c r="C3052">
        <v>69592</v>
      </c>
      <c r="D3052" t="s">
        <v>97</v>
      </c>
      <c r="E3052" s="7">
        <v>619.49</v>
      </c>
      <c r="F3052" t="s">
        <v>20</v>
      </c>
      <c r="G3052" t="s">
        <v>21</v>
      </c>
      <c r="H3052" t="str">
        <f>"J.EVINS MAY 2022"</f>
        <v>J.EVINS MAY 2022</v>
      </c>
      <c r="I3052" t="str">
        <f>"HEALTH CARE SERVICE CORPORATIO"</f>
        <v>HEALTH CARE SERVICE CORPORATIO</v>
      </c>
    </row>
    <row r="3053" spans="1:9" x14ac:dyDescent="0.25">
      <c r="A3053" s="6">
        <v>44706</v>
      </c>
      <c r="B3053" t="s">
        <v>26</v>
      </c>
      <c r="C3053">
        <v>69593</v>
      </c>
      <c r="D3053" t="s">
        <v>1211</v>
      </c>
      <c r="E3053" s="7">
        <v>840</v>
      </c>
      <c r="F3053" t="s">
        <v>20</v>
      </c>
      <c r="G3053" t="s">
        <v>21</v>
      </c>
      <c r="H3053" t="str">
        <f>"CELEBRATE AMER.'22"</f>
        <v>CELEBRATE AMER.'22</v>
      </c>
      <c r="I3053" t="str">
        <f>"JERRY DELEON JR."</f>
        <v>JERRY DELEON JR.</v>
      </c>
    </row>
    <row r="3054" spans="1:9" x14ac:dyDescent="0.25">
      <c r="A3054" s="6">
        <v>44706</v>
      </c>
      <c r="B3054" t="s">
        <v>26</v>
      </c>
      <c r="C3054">
        <v>69594</v>
      </c>
      <c r="D3054" t="s">
        <v>927</v>
      </c>
      <c r="E3054" s="7">
        <v>1370.37</v>
      </c>
      <c r="F3054" t="s">
        <v>20</v>
      </c>
      <c r="G3054" t="s">
        <v>21</v>
      </c>
      <c r="H3054" t="str">
        <f>"CITY0000011"</f>
        <v>CITY0000011</v>
      </c>
      <c r="I3054" t="str">
        <f>"JOELZ LAWN MOWING SERVICE"</f>
        <v>JOELZ LAWN MOWING SERVICE</v>
      </c>
    </row>
    <row r="3055" spans="1:9" x14ac:dyDescent="0.25">
      <c r="A3055" s="6">
        <v>44706</v>
      </c>
      <c r="B3055" t="s">
        <v>26</v>
      </c>
      <c r="C3055">
        <v>69595</v>
      </c>
      <c r="D3055" t="s">
        <v>116</v>
      </c>
      <c r="E3055" s="7">
        <v>414.2</v>
      </c>
      <c r="F3055" t="s">
        <v>20</v>
      </c>
      <c r="G3055" t="s">
        <v>21</v>
      </c>
      <c r="H3055" t="str">
        <f>"INV001194448"</f>
        <v>INV001194448</v>
      </c>
      <c r="I3055" t="str">
        <f>"SWIMSUITS FOR POOL"</f>
        <v>SWIMSUITS FOR POOL</v>
      </c>
    </row>
    <row r="3056" spans="1:9" x14ac:dyDescent="0.25">
      <c r="A3056" s="6">
        <v>44706</v>
      </c>
      <c r="B3056" t="s">
        <v>26</v>
      </c>
      <c r="C3056">
        <v>69596</v>
      </c>
      <c r="D3056" t="s">
        <v>560</v>
      </c>
      <c r="E3056" s="7">
        <v>520</v>
      </c>
      <c r="F3056" t="s">
        <v>20</v>
      </c>
      <c r="G3056" t="s">
        <v>21</v>
      </c>
      <c r="H3056" t="str">
        <f>"RS00157"</f>
        <v>RS00157</v>
      </c>
      <c r="I3056" t="str">
        <f>"KINLOCH EQUIPMENT &amp; SUPPLY  IN"</f>
        <v>KINLOCH EQUIPMENT &amp; SUPPLY  IN</v>
      </c>
    </row>
    <row r="3057" spans="1:9" x14ac:dyDescent="0.25">
      <c r="A3057" s="6">
        <v>44706</v>
      </c>
      <c r="B3057" t="s">
        <v>26</v>
      </c>
      <c r="C3057">
        <v>69596</v>
      </c>
      <c r="D3057" t="s">
        <v>560</v>
      </c>
      <c r="E3057" s="7">
        <v>2341.48</v>
      </c>
      <c r="F3057" t="s">
        <v>20</v>
      </c>
      <c r="G3057" t="s">
        <v>21</v>
      </c>
      <c r="H3057" t="str">
        <f>"WS01621"</f>
        <v>WS01621</v>
      </c>
      <c r="I3057" t="str">
        <f>"KINLOCH EQUIPMENT &amp; SUPPLY  IN"</f>
        <v>KINLOCH EQUIPMENT &amp; SUPPLY  IN</v>
      </c>
    </row>
    <row r="3058" spans="1:9" x14ac:dyDescent="0.25">
      <c r="A3058" s="6">
        <v>44706</v>
      </c>
      <c r="B3058" t="s">
        <v>26</v>
      </c>
      <c r="C3058">
        <v>69597</v>
      </c>
      <c r="D3058" t="s">
        <v>117</v>
      </c>
      <c r="E3058" s="7">
        <v>1531.49</v>
      </c>
      <c r="F3058" t="s">
        <v>20</v>
      </c>
      <c r="G3058" t="s">
        <v>21</v>
      </c>
      <c r="H3058" t="str">
        <f>"APRIL 2022"</f>
        <v>APRIL 2022</v>
      </c>
      <c r="I3058" t="str">
        <f>"LINEBARGER GOGGAN BLAIR &amp; SAMP"</f>
        <v>LINEBARGER GOGGAN BLAIR &amp; SAMP</v>
      </c>
    </row>
    <row r="3059" spans="1:9" x14ac:dyDescent="0.25">
      <c r="A3059" s="6">
        <v>44706</v>
      </c>
      <c r="B3059" t="s">
        <v>91</v>
      </c>
      <c r="C3059">
        <v>69598</v>
      </c>
      <c r="D3059" t="s">
        <v>1212</v>
      </c>
      <c r="E3059" s="7">
        <v>1500</v>
      </c>
      <c r="F3059" t="s">
        <v>20</v>
      </c>
      <c r="G3059" t="s">
        <v>21</v>
      </c>
      <c r="H3059" t="str">
        <f>"GOLD TRMNT 2022"</f>
        <v>GOLD TRMNT 2022</v>
      </c>
      <c r="I3059" t="str">
        <f>"LIONS CLUB OF FLORESVILLE"</f>
        <v>LIONS CLUB OF FLORESVILLE</v>
      </c>
    </row>
    <row r="3060" spans="1:9" x14ac:dyDescent="0.25">
      <c r="A3060" s="6">
        <v>44706</v>
      </c>
      <c r="B3060" t="s">
        <v>91</v>
      </c>
      <c r="C3060">
        <v>69598</v>
      </c>
      <c r="D3060" t="s">
        <v>1212</v>
      </c>
      <c r="E3060" s="7">
        <v>1500</v>
      </c>
      <c r="F3060" t="s">
        <v>20</v>
      </c>
      <c r="G3060" t="s">
        <v>93</v>
      </c>
      <c r="H3060" t="str">
        <f>"CHECK"</f>
        <v>CHECK</v>
      </c>
      <c r="I3060" t="str">
        <f>""</f>
        <v/>
      </c>
    </row>
    <row r="3061" spans="1:9" x14ac:dyDescent="0.25">
      <c r="A3061" s="6">
        <v>44706</v>
      </c>
      <c r="B3061" t="s">
        <v>26</v>
      </c>
      <c r="C3061">
        <v>69599</v>
      </c>
      <c r="D3061" t="s">
        <v>1136</v>
      </c>
      <c r="E3061" s="7">
        <v>4200</v>
      </c>
      <c r="F3061" t="s">
        <v>20</v>
      </c>
      <c r="G3061" t="s">
        <v>21</v>
      </c>
      <c r="H3061" t="str">
        <f>"INV0140"</f>
        <v>INV0140</v>
      </c>
      <c r="I3061" t="str">
        <f>"LUX ELECTRIC LLC"</f>
        <v>LUX ELECTRIC LLC</v>
      </c>
    </row>
    <row r="3062" spans="1:9" x14ac:dyDescent="0.25">
      <c r="A3062" s="6">
        <v>44706</v>
      </c>
      <c r="B3062" t="s">
        <v>26</v>
      </c>
      <c r="C3062">
        <v>69600</v>
      </c>
      <c r="D3062" t="s">
        <v>1213</v>
      </c>
      <c r="E3062" s="7">
        <v>250</v>
      </c>
      <c r="F3062" t="s">
        <v>20</v>
      </c>
      <c r="G3062" t="s">
        <v>21</v>
      </c>
      <c r="H3062" t="str">
        <f>"FULL RFND 5/22/22"</f>
        <v>FULL RFND 5/22/22</v>
      </c>
      <c r="I3062" t="str">
        <f>"REFUND"</f>
        <v>REFUND</v>
      </c>
    </row>
    <row r="3063" spans="1:9" x14ac:dyDescent="0.25">
      <c r="A3063" s="6">
        <v>44706</v>
      </c>
      <c r="B3063" t="s">
        <v>26</v>
      </c>
      <c r="C3063">
        <v>69601</v>
      </c>
      <c r="D3063" t="s">
        <v>326</v>
      </c>
      <c r="E3063" s="7">
        <v>32.54</v>
      </c>
      <c r="F3063" t="s">
        <v>20</v>
      </c>
      <c r="G3063" t="s">
        <v>21</v>
      </c>
      <c r="H3063" t="str">
        <f>"0025651499"</f>
        <v>0025651499</v>
      </c>
      <c r="I3063" t="str">
        <f>"MATHESON TRI-GAS INC"</f>
        <v>MATHESON TRI-GAS INC</v>
      </c>
    </row>
    <row r="3064" spans="1:9" x14ac:dyDescent="0.25">
      <c r="A3064" s="6">
        <v>44706</v>
      </c>
      <c r="B3064" t="s">
        <v>26</v>
      </c>
      <c r="C3064">
        <v>69601</v>
      </c>
      <c r="D3064" t="s">
        <v>326</v>
      </c>
      <c r="E3064" s="7">
        <v>96.31</v>
      </c>
      <c r="F3064" t="s">
        <v>20</v>
      </c>
      <c r="G3064" t="s">
        <v>21</v>
      </c>
      <c r="H3064" t="str">
        <f>"0025657969"</f>
        <v>0025657969</v>
      </c>
      <c r="I3064" t="str">
        <f>"EQUIPMENT REPAIR"</f>
        <v>EQUIPMENT REPAIR</v>
      </c>
    </row>
    <row r="3065" spans="1:9" x14ac:dyDescent="0.25">
      <c r="A3065" s="6">
        <v>44706</v>
      </c>
      <c r="B3065" t="s">
        <v>26</v>
      </c>
      <c r="C3065">
        <v>69601</v>
      </c>
      <c r="D3065" t="s">
        <v>326</v>
      </c>
      <c r="E3065" s="7">
        <v>67.67</v>
      </c>
      <c r="F3065" t="s">
        <v>20</v>
      </c>
      <c r="G3065" t="s">
        <v>21</v>
      </c>
      <c r="H3065" t="str">
        <f>"0025659169"</f>
        <v>0025659169</v>
      </c>
      <c r="I3065" t="str">
        <f>"OXYGEN TANK"</f>
        <v>OXYGEN TANK</v>
      </c>
    </row>
    <row r="3066" spans="1:9" x14ac:dyDescent="0.25">
      <c r="A3066" s="6">
        <v>44706</v>
      </c>
      <c r="B3066" t="s">
        <v>26</v>
      </c>
      <c r="C3066">
        <v>69601</v>
      </c>
      <c r="D3066" t="s">
        <v>326</v>
      </c>
      <c r="E3066" s="7">
        <v>309.22000000000003</v>
      </c>
      <c r="F3066" t="s">
        <v>20</v>
      </c>
      <c r="G3066" t="s">
        <v>21</v>
      </c>
      <c r="H3066" t="str">
        <f>"0025676948"</f>
        <v>0025676948</v>
      </c>
      <c r="I3066" t="str">
        <f>"WELDING RODS OXYGEN"</f>
        <v>WELDING RODS OXYGEN</v>
      </c>
    </row>
    <row r="3067" spans="1:9" x14ac:dyDescent="0.25">
      <c r="A3067" s="6">
        <v>44706</v>
      </c>
      <c r="B3067" t="s">
        <v>26</v>
      </c>
      <c r="C3067">
        <v>69602</v>
      </c>
      <c r="D3067" t="s">
        <v>124</v>
      </c>
      <c r="E3067" s="7">
        <v>48.47</v>
      </c>
      <c r="F3067" t="s">
        <v>20</v>
      </c>
      <c r="G3067" t="s">
        <v>21</v>
      </c>
      <c r="H3067" t="str">
        <f>"11122122"</f>
        <v>11122122</v>
      </c>
      <c r="I3067" t="str">
        <f>"BEERWAREHOUSE REPAIR"</f>
        <v>BEERWAREHOUSE REPAIR</v>
      </c>
    </row>
    <row r="3068" spans="1:9" x14ac:dyDescent="0.25">
      <c r="A3068" s="6">
        <v>44706</v>
      </c>
      <c r="B3068" t="s">
        <v>26</v>
      </c>
      <c r="C3068">
        <v>69603</v>
      </c>
      <c r="D3068" t="s">
        <v>345</v>
      </c>
      <c r="E3068" s="7">
        <v>533.5</v>
      </c>
      <c r="F3068" t="s">
        <v>20</v>
      </c>
      <c r="G3068" t="s">
        <v>21</v>
      </c>
      <c r="H3068" t="str">
        <f>"5/23/2022"</f>
        <v>5/23/2022</v>
      </c>
      <c r="I3068" t="str">
        <f>"MICHAEL ISAAC MARTINEZ"</f>
        <v>MICHAEL ISAAC MARTINEZ</v>
      </c>
    </row>
    <row r="3069" spans="1:9" x14ac:dyDescent="0.25">
      <c r="A3069" s="6">
        <v>44706</v>
      </c>
      <c r="B3069" t="s">
        <v>26</v>
      </c>
      <c r="C3069">
        <v>69604</v>
      </c>
      <c r="D3069" t="s">
        <v>240</v>
      </c>
      <c r="E3069" s="7">
        <v>1252.8499999999999</v>
      </c>
      <c r="F3069" t="s">
        <v>20</v>
      </c>
      <c r="G3069" t="s">
        <v>21</v>
      </c>
      <c r="H3069" t="str">
        <f>"0229486-IN"</f>
        <v>0229486-IN</v>
      </c>
      <c r="I3069" t="str">
        <f>"NEW POLICE UNIFORM"</f>
        <v>NEW POLICE UNIFORM</v>
      </c>
    </row>
    <row r="3070" spans="1:9" x14ac:dyDescent="0.25">
      <c r="A3070" s="6">
        <v>44706</v>
      </c>
      <c r="B3070" t="s">
        <v>26</v>
      </c>
      <c r="C3070">
        <v>69605</v>
      </c>
      <c r="D3070" t="s">
        <v>1013</v>
      </c>
      <c r="E3070" s="7">
        <v>1800</v>
      </c>
      <c r="F3070" t="s">
        <v>20</v>
      </c>
      <c r="G3070" t="s">
        <v>21</v>
      </c>
      <c r="H3070" t="str">
        <f>"204"</f>
        <v>204</v>
      </c>
      <c r="I3070" t="str">
        <f>"DIVING BOARD REPAIR"</f>
        <v>DIVING BOARD REPAIR</v>
      </c>
    </row>
    <row r="3071" spans="1:9" x14ac:dyDescent="0.25">
      <c r="A3071" s="6">
        <v>44706</v>
      </c>
      <c r="B3071" t="s">
        <v>26</v>
      </c>
      <c r="C3071">
        <v>69606</v>
      </c>
      <c r="D3071" t="s">
        <v>215</v>
      </c>
      <c r="E3071" s="7">
        <v>6073.85</v>
      </c>
      <c r="F3071" t="s">
        <v>20</v>
      </c>
      <c r="G3071" t="s">
        <v>21</v>
      </c>
      <c r="H3071" t="str">
        <f>"OP0000015558"</f>
        <v>OP0000015558</v>
      </c>
      <c r="I3071" t="str">
        <f>"SELF PRIMING PUMP"</f>
        <v>SELF PRIMING PUMP</v>
      </c>
    </row>
    <row r="3072" spans="1:9" x14ac:dyDescent="0.25">
      <c r="A3072" s="6">
        <v>44706</v>
      </c>
      <c r="B3072" t="s">
        <v>26</v>
      </c>
      <c r="C3072">
        <v>69607</v>
      </c>
      <c r="D3072" t="s">
        <v>123</v>
      </c>
      <c r="E3072" s="7">
        <v>74.84</v>
      </c>
      <c r="F3072" t="s">
        <v>20</v>
      </c>
      <c r="G3072" t="s">
        <v>21</v>
      </c>
      <c r="H3072" t="str">
        <f>"241407575001"</f>
        <v>241407575001</v>
      </c>
      <c r="I3072" t="str">
        <f>"OFFICE DEPOT  INC."</f>
        <v>OFFICE DEPOT  INC.</v>
      </c>
    </row>
    <row r="3073" spans="1:9" x14ac:dyDescent="0.25">
      <c r="A3073" s="6">
        <v>44706</v>
      </c>
      <c r="B3073" t="s">
        <v>26</v>
      </c>
      <c r="C3073">
        <v>69607</v>
      </c>
      <c r="D3073" t="s">
        <v>123</v>
      </c>
      <c r="E3073" s="7">
        <v>59.78</v>
      </c>
      <c r="F3073" t="s">
        <v>20</v>
      </c>
      <c r="G3073" t="s">
        <v>21</v>
      </c>
      <c r="H3073" t="str">
        <f>"241408187001"</f>
        <v>241408187001</v>
      </c>
      <c r="I3073" t="str">
        <f>"OFFICE DEPOT  INC."</f>
        <v>OFFICE DEPOT  INC.</v>
      </c>
    </row>
    <row r="3074" spans="1:9" x14ac:dyDescent="0.25">
      <c r="A3074" s="6">
        <v>44706</v>
      </c>
      <c r="B3074" t="s">
        <v>26</v>
      </c>
      <c r="C3074">
        <v>69607</v>
      </c>
      <c r="D3074" t="s">
        <v>123</v>
      </c>
      <c r="E3074" s="7">
        <v>36.94</v>
      </c>
      <c r="F3074" t="s">
        <v>20</v>
      </c>
      <c r="G3074" t="s">
        <v>21</v>
      </c>
      <c r="H3074" t="str">
        <f>"242408330001"</f>
        <v>242408330001</v>
      </c>
      <c r="I3074" t="str">
        <f>"OFFICE SUPPLIES"</f>
        <v>OFFICE SUPPLIES</v>
      </c>
    </row>
    <row r="3075" spans="1:9" x14ac:dyDescent="0.25">
      <c r="A3075" s="6">
        <v>44706</v>
      </c>
      <c r="B3075" t="s">
        <v>26</v>
      </c>
      <c r="C3075">
        <v>69607</v>
      </c>
      <c r="D3075" t="s">
        <v>123</v>
      </c>
      <c r="E3075" s="7">
        <v>50.89</v>
      </c>
      <c r="F3075" t="s">
        <v>20</v>
      </c>
      <c r="G3075" t="s">
        <v>21</v>
      </c>
      <c r="H3075" t="str">
        <f>"242409456001"</f>
        <v>242409456001</v>
      </c>
      <c r="I3075" t="str">
        <f>"OFFICE SUPPLIES"</f>
        <v>OFFICE SUPPLIES</v>
      </c>
    </row>
    <row r="3076" spans="1:9" x14ac:dyDescent="0.25">
      <c r="A3076" s="6">
        <v>44706</v>
      </c>
      <c r="B3076" t="s">
        <v>26</v>
      </c>
      <c r="C3076">
        <v>69607</v>
      </c>
      <c r="D3076" t="s">
        <v>123</v>
      </c>
      <c r="E3076" s="7">
        <v>245.79</v>
      </c>
      <c r="F3076" t="s">
        <v>20</v>
      </c>
      <c r="G3076" t="s">
        <v>21</v>
      </c>
      <c r="H3076" t="str">
        <f>"243681164001"</f>
        <v>243681164001</v>
      </c>
      <c r="I3076" t="str">
        <f>"OFFICE SUPPLIES"</f>
        <v>OFFICE SUPPLIES</v>
      </c>
    </row>
    <row r="3077" spans="1:9" x14ac:dyDescent="0.25">
      <c r="A3077" s="6">
        <v>44706</v>
      </c>
      <c r="B3077" t="s">
        <v>26</v>
      </c>
      <c r="C3077">
        <v>69607</v>
      </c>
      <c r="D3077" t="s">
        <v>123</v>
      </c>
      <c r="E3077" s="7">
        <v>189.24</v>
      </c>
      <c r="F3077" t="s">
        <v>20</v>
      </c>
      <c r="G3077" t="s">
        <v>21</v>
      </c>
      <c r="H3077" t="str">
        <f>"243932635001"</f>
        <v>243932635001</v>
      </c>
      <c r="I3077" t="str">
        <f>"OFFICE SUPPLIES"</f>
        <v>OFFICE SUPPLIES</v>
      </c>
    </row>
    <row r="3078" spans="1:9" x14ac:dyDescent="0.25">
      <c r="A3078" s="6">
        <v>44706</v>
      </c>
      <c r="B3078" t="s">
        <v>26</v>
      </c>
      <c r="C3078">
        <v>69609</v>
      </c>
      <c r="D3078" t="s">
        <v>137</v>
      </c>
      <c r="E3078" s="7">
        <v>51.95</v>
      </c>
      <c r="F3078" t="s">
        <v>20</v>
      </c>
      <c r="G3078" t="s">
        <v>21</v>
      </c>
      <c r="H3078" t="str">
        <f>"36637"</f>
        <v>36637</v>
      </c>
      <c r="I3078" t="str">
        <f>"OMNIBUS-M  INC.D.B.A."</f>
        <v>OMNIBUS-M  INC.D.B.A.</v>
      </c>
    </row>
    <row r="3079" spans="1:9" x14ac:dyDescent="0.25">
      <c r="A3079" s="6">
        <v>44706</v>
      </c>
      <c r="B3079" t="s">
        <v>26</v>
      </c>
      <c r="C3079">
        <v>69609</v>
      </c>
      <c r="D3079" t="s">
        <v>137</v>
      </c>
      <c r="E3079" s="7">
        <v>69.95</v>
      </c>
      <c r="F3079" t="s">
        <v>20</v>
      </c>
      <c r="G3079" t="s">
        <v>21</v>
      </c>
      <c r="H3079" t="str">
        <f>"36638"</f>
        <v>36638</v>
      </c>
      <c r="I3079" t="str">
        <f>"OMNIBUS-M  INC.D.B.A."</f>
        <v>OMNIBUS-M  INC.D.B.A.</v>
      </c>
    </row>
    <row r="3080" spans="1:9" x14ac:dyDescent="0.25">
      <c r="A3080" s="6">
        <v>44706</v>
      </c>
      <c r="B3080" t="s">
        <v>26</v>
      </c>
      <c r="C3080">
        <v>69610</v>
      </c>
      <c r="D3080" t="s">
        <v>959</v>
      </c>
      <c r="E3080" s="7">
        <v>700</v>
      </c>
      <c r="F3080" t="s">
        <v>20</v>
      </c>
      <c r="G3080" t="s">
        <v>21</v>
      </c>
      <c r="H3080" t="str">
        <f>"100"</f>
        <v>100</v>
      </c>
      <c r="I3080" t="str">
        <f>"CHEMICALS FOR POOL"</f>
        <v>CHEMICALS FOR POOL</v>
      </c>
    </row>
    <row r="3081" spans="1:9" x14ac:dyDescent="0.25">
      <c r="A3081" s="6">
        <v>44706</v>
      </c>
      <c r="B3081" t="s">
        <v>26</v>
      </c>
      <c r="C3081">
        <v>69611</v>
      </c>
      <c r="D3081" t="s">
        <v>169</v>
      </c>
      <c r="E3081" s="7">
        <v>17.579999999999998</v>
      </c>
      <c r="F3081" t="s">
        <v>20</v>
      </c>
      <c r="G3081" t="s">
        <v>21</v>
      </c>
      <c r="H3081" t="str">
        <f>"162412"</f>
        <v>162412</v>
      </c>
      <c r="I3081" t="str">
        <f>"THE POLICE AND SHERIFFS PRESS"</f>
        <v>THE POLICE AND SHERIFFS PRESS</v>
      </c>
    </row>
    <row r="3082" spans="1:9" x14ac:dyDescent="0.25">
      <c r="A3082" s="6">
        <v>44706</v>
      </c>
      <c r="B3082" t="s">
        <v>26</v>
      </c>
      <c r="C3082">
        <v>69612</v>
      </c>
      <c r="D3082" t="s">
        <v>323</v>
      </c>
      <c r="E3082" s="7">
        <v>630</v>
      </c>
      <c r="F3082" t="s">
        <v>20</v>
      </c>
      <c r="G3082" t="s">
        <v>21</v>
      </c>
      <c r="H3082" t="str">
        <f>"11228"</f>
        <v>11228</v>
      </c>
      <c r="I3082" t="str">
        <f>"POLLOK SELF STORAGE LLC"</f>
        <v>POLLOK SELF STORAGE LLC</v>
      </c>
    </row>
    <row r="3083" spans="1:9" x14ac:dyDescent="0.25">
      <c r="A3083" s="6">
        <v>44706</v>
      </c>
      <c r="B3083" t="s">
        <v>26</v>
      </c>
      <c r="C3083">
        <v>69613</v>
      </c>
      <c r="D3083" t="s">
        <v>528</v>
      </c>
      <c r="E3083" s="7">
        <v>427.19</v>
      </c>
      <c r="F3083" t="s">
        <v>20</v>
      </c>
      <c r="G3083" t="s">
        <v>21</v>
      </c>
      <c r="H3083" t="str">
        <f>"10832367"</f>
        <v>10832367</v>
      </c>
      <c r="I3083" t="str">
        <f>"PROSTAR SERVICES INC"</f>
        <v>PROSTAR SERVICES INC</v>
      </c>
    </row>
    <row r="3084" spans="1:9" x14ac:dyDescent="0.25">
      <c r="A3084" s="6">
        <v>44706</v>
      </c>
      <c r="B3084" t="s">
        <v>26</v>
      </c>
      <c r="C3084">
        <v>69614</v>
      </c>
      <c r="D3084" t="s">
        <v>131</v>
      </c>
      <c r="E3084" s="7">
        <v>32.979999999999997</v>
      </c>
      <c r="F3084" t="s">
        <v>20</v>
      </c>
      <c r="G3084" t="s">
        <v>21</v>
      </c>
      <c r="H3084" t="str">
        <f>"067899"</f>
        <v>067899</v>
      </c>
      <c r="I3084" t="str">
        <f>"MUD FLAPS"</f>
        <v>MUD FLAPS</v>
      </c>
    </row>
    <row r="3085" spans="1:9" x14ac:dyDescent="0.25">
      <c r="A3085" s="6">
        <v>44706</v>
      </c>
      <c r="B3085" t="s">
        <v>26</v>
      </c>
      <c r="C3085">
        <v>69615</v>
      </c>
      <c r="D3085" t="s">
        <v>975</v>
      </c>
      <c r="E3085" s="7">
        <v>124.99</v>
      </c>
      <c r="F3085" t="s">
        <v>20</v>
      </c>
      <c r="G3085" t="s">
        <v>21</v>
      </c>
      <c r="H3085" t="str">
        <f>"P01725"</f>
        <v>P01725</v>
      </c>
      <c r="I3085" t="str">
        <f>"TELLUS EQUIPMENT SOLUTIONS  LL"</f>
        <v>TELLUS EQUIPMENT SOLUTIONS  LL</v>
      </c>
    </row>
    <row r="3086" spans="1:9" x14ac:dyDescent="0.25">
      <c r="A3086" s="6">
        <v>44706</v>
      </c>
      <c r="B3086" t="s">
        <v>26</v>
      </c>
      <c r="C3086">
        <v>69616</v>
      </c>
      <c r="D3086" t="s">
        <v>61</v>
      </c>
      <c r="E3086" s="7">
        <v>150</v>
      </c>
      <c r="F3086" t="s">
        <v>20</v>
      </c>
      <c r="G3086" t="s">
        <v>21</v>
      </c>
      <c r="H3086" t="str">
        <f>"025-379575"</f>
        <v>025-379575</v>
      </c>
      <c r="I3086" t="str">
        <f>"TYLER TECHNOLOGIES  INC."</f>
        <v>TYLER TECHNOLOGIES  INC.</v>
      </c>
    </row>
    <row r="3087" spans="1:9" x14ac:dyDescent="0.25">
      <c r="A3087" s="6">
        <v>44706</v>
      </c>
      <c r="B3087" t="s">
        <v>26</v>
      </c>
      <c r="C3087">
        <v>69617</v>
      </c>
      <c r="D3087" t="s">
        <v>644</v>
      </c>
      <c r="E3087" s="7">
        <v>29.49</v>
      </c>
      <c r="F3087" t="s">
        <v>20</v>
      </c>
      <c r="G3087" t="s">
        <v>21</v>
      </c>
      <c r="H3087" t="str">
        <f>"8213718075"</f>
        <v>8213718075</v>
      </c>
      <c r="I3087" t="str">
        <f t="shared" ref="I3087:I3118" si="73">"UNIFIRST CORPORATION"</f>
        <v>UNIFIRST CORPORATION</v>
      </c>
    </row>
    <row r="3088" spans="1:9" x14ac:dyDescent="0.25">
      <c r="A3088" s="6">
        <v>44706</v>
      </c>
      <c r="B3088" t="s">
        <v>26</v>
      </c>
      <c r="C3088">
        <v>69617</v>
      </c>
      <c r="D3088" t="s">
        <v>644</v>
      </c>
      <c r="E3088" s="7">
        <v>151.4</v>
      </c>
      <c r="F3088" t="s">
        <v>20</v>
      </c>
      <c r="G3088" t="s">
        <v>21</v>
      </c>
      <c r="H3088" t="str">
        <f>"8213718076"</f>
        <v>8213718076</v>
      </c>
      <c r="I3088" t="str">
        <f t="shared" si="73"/>
        <v>UNIFIRST CORPORATION</v>
      </c>
    </row>
    <row r="3089" spans="1:9" x14ac:dyDescent="0.25">
      <c r="A3089" s="6">
        <v>44706</v>
      </c>
      <c r="B3089" t="s">
        <v>26</v>
      </c>
      <c r="C3089">
        <v>69617</v>
      </c>
      <c r="D3089" t="s">
        <v>644</v>
      </c>
      <c r="E3089" s="7">
        <v>124.5</v>
      </c>
      <c r="F3089" t="s">
        <v>20</v>
      </c>
      <c r="G3089" t="s">
        <v>21</v>
      </c>
      <c r="H3089" t="str">
        <f>"8213718077"</f>
        <v>8213718077</v>
      </c>
      <c r="I3089" t="str">
        <f t="shared" si="73"/>
        <v>UNIFIRST CORPORATION</v>
      </c>
    </row>
    <row r="3090" spans="1:9" x14ac:dyDescent="0.25">
      <c r="A3090" s="6">
        <v>44706</v>
      </c>
      <c r="B3090" t="s">
        <v>26</v>
      </c>
      <c r="C3090">
        <v>69617</v>
      </c>
      <c r="D3090" t="s">
        <v>644</v>
      </c>
      <c r="E3090" s="7">
        <v>25.05</v>
      </c>
      <c r="F3090" t="s">
        <v>20</v>
      </c>
      <c r="G3090" t="s">
        <v>21</v>
      </c>
      <c r="H3090" t="str">
        <f>"8213718078"</f>
        <v>8213718078</v>
      </c>
      <c r="I3090" t="str">
        <f t="shared" si="73"/>
        <v>UNIFIRST CORPORATION</v>
      </c>
    </row>
    <row r="3091" spans="1:9" x14ac:dyDescent="0.25">
      <c r="A3091" s="6">
        <v>44706</v>
      </c>
      <c r="B3091" t="s">
        <v>26</v>
      </c>
      <c r="C3091">
        <v>69617</v>
      </c>
      <c r="D3091" t="s">
        <v>644</v>
      </c>
      <c r="E3091" s="7">
        <v>103.55</v>
      </c>
      <c r="F3091" t="s">
        <v>20</v>
      </c>
      <c r="G3091" t="s">
        <v>21</v>
      </c>
      <c r="H3091" t="str">
        <f>"8213718079"</f>
        <v>8213718079</v>
      </c>
      <c r="I3091" t="str">
        <f t="shared" si="73"/>
        <v>UNIFIRST CORPORATION</v>
      </c>
    </row>
    <row r="3092" spans="1:9" x14ac:dyDescent="0.25">
      <c r="A3092" s="6">
        <v>44706</v>
      </c>
      <c r="B3092" t="s">
        <v>26</v>
      </c>
      <c r="C3092">
        <v>69617</v>
      </c>
      <c r="D3092" t="s">
        <v>644</v>
      </c>
      <c r="E3092" s="7">
        <v>103.55</v>
      </c>
      <c r="F3092" t="s">
        <v>20</v>
      </c>
      <c r="G3092" t="s">
        <v>21</v>
      </c>
      <c r="H3092" t="str">
        <f>"8213718080"</f>
        <v>8213718080</v>
      </c>
      <c r="I3092" t="str">
        <f t="shared" si="73"/>
        <v>UNIFIRST CORPORATION</v>
      </c>
    </row>
    <row r="3093" spans="1:9" x14ac:dyDescent="0.25">
      <c r="A3093" s="6">
        <v>44706</v>
      </c>
      <c r="B3093" t="s">
        <v>26</v>
      </c>
      <c r="C3093">
        <v>69617</v>
      </c>
      <c r="D3093" t="s">
        <v>644</v>
      </c>
      <c r="E3093" s="7">
        <v>29.49</v>
      </c>
      <c r="F3093" t="s">
        <v>20</v>
      </c>
      <c r="G3093" t="s">
        <v>21</v>
      </c>
      <c r="H3093" t="str">
        <f>"8213720646"</f>
        <v>8213720646</v>
      </c>
      <c r="I3093" t="str">
        <f t="shared" si="73"/>
        <v>UNIFIRST CORPORATION</v>
      </c>
    </row>
    <row r="3094" spans="1:9" x14ac:dyDescent="0.25">
      <c r="A3094" s="6">
        <v>44706</v>
      </c>
      <c r="B3094" t="s">
        <v>26</v>
      </c>
      <c r="C3094">
        <v>69617</v>
      </c>
      <c r="D3094" t="s">
        <v>644</v>
      </c>
      <c r="E3094" s="7">
        <v>173.51</v>
      </c>
      <c r="F3094" t="s">
        <v>20</v>
      </c>
      <c r="G3094" t="s">
        <v>21</v>
      </c>
      <c r="H3094" t="str">
        <f>"8213720647"</f>
        <v>8213720647</v>
      </c>
      <c r="I3094" t="str">
        <f t="shared" si="73"/>
        <v>UNIFIRST CORPORATION</v>
      </c>
    </row>
    <row r="3095" spans="1:9" x14ac:dyDescent="0.25">
      <c r="A3095" s="6">
        <v>44706</v>
      </c>
      <c r="B3095" t="s">
        <v>26</v>
      </c>
      <c r="C3095">
        <v>69617</v>
      </c>
      <c r="D3095" t="s">
        <v>644</v>
      </c>
      <c r="E3095" s="7">
        <v>124.5</v>
      </c>
      <c r="F3095" t="s">
        <v>20</v>
      </c>
      <c r="G3095" t="s">
        <v>21</v>
      </c>
      <c r="H3095" t="str">
        <f>"8213720648"</f>
        <v>8213720648</v>
      </c>
      <c r="I3095" t="str">
        <f t="shared" si="73"/>
        <v>UNIFIRST CORPORATION</v>
      </c>
    </row>
    <row r="3096" spans="1:9" x14ac:dyDescent="0.25">
      <c r="A3096" s="6">
        <v>44706</v>
      </c>
      <c r="B3096" t="s">
        <v>26</v>
      </c>
      <c r="C3096">
        <v>69617</v>
      </c>
      <c r="D3096" t="s">
        <v>644</v>
      </c>
      <c r="E3096" s="7">
        <v>25.05</v>
      </c>
      <c r="F3096" t="s">
        <v>20</v>
      </c>
      <c r="G3096" t="s">
        <v>21</v>
      </c>
      <c r="H3096" t="str">
        <f>"8213720649"</f>
        <v>8213720649</v>
      </c>
      <c r="I3096" t="str">
        <f t="shared" si="73"/>
        <v>UNIFIRST CORPORATION</v>
      </c>
    </row>
    <row r="3097" spans="1:9" x14ac:dyDescent="0.25">
      <c r="A3097" s="6">
        <v>44706</v>
      </c>
      <c r="B3097" t="s">
        <v>26</v>
      </c>
      <c r="C3097">
        <v>69617</v>
      </c>
      <c r="D3097" t="s">
        <v>644</v>
      </c>
      <c r="E3097" s="7">
        <v>103.55</v>
      </c>
      <c r="F3097" t="s">
        <v>20</v>
      </c>
      <c r="G3097" t="s">
        <v>21</v>
      </c>
      <c r="H3097" t="str">
        <f>"8213720650"</f>
        <v>8213720650</v>
      </c>
      <c r="I3097" t="str">
        <f t="shared" si="73"/>
        <v>UNIFIRST CORPORATION</v>
      </c>
    </row>
    <row r="3098" spans="1:9" x14ac:dyDescent="0.25">
      <c r="A3098" s="6">
        <v>44706</v>
      </c>
      <c r="B3098" t="s">
        <v>26</v>
      </c>
      <c r="C3098">
        <v>69617</v>
      </c>
      <c r="D3098" t="s">
        <v>644</v>
      </c>
      <c r="E3098" s="7">
        <v>26.49</v>
      </c>
      <c r="F3098" t="s">
        <v>20</v>
      </c>
      <c r="G3098" t="s">
        <v>21</v>
      </c>
      <c r="H3098" t="str">
        <f>"8213720651"</f>
        <v>8213720651</v>
      </c>
      <c r="I3098" t="str">
        <f t="shared" si="73"/>
        <v>UNIFIRST CORPORATION</v>
      </c>
    </row>
    <row r="3099" spans="1:9" x14ac:dyDescent="0.25">
      <c r="A3099" s="6">
        <v>44706</v>
      </c>
      <c r="B3099" t="s">
        <v>26</v>
      </c>
      <c r="C3099">
        <v>69617</v>
      </c>
      <c r="D3099" t="s">
        <v>644</v>
      </c>
      <c r="E3099" s="7">
        <v>132.58000000000001</v>
      </c>
      <c r="F3099" t="s">
        <v>20</v>
      </c>
      <c r="G3099" t="s">
        <v>21</v>
      </c>
      <c r="H3099" t="str">
        <f>"8213728447"</f>
        <v>8213728447</v>
      </c>
      <c r="I3099" t="str">
        <f t="shared" si="73"/>
        <v>UNIFIRST CORPORATION</v>
      </c>
    </row>
    <row r="3100" spans="1:9" x14ac:dyDescent="0.25">
      <c r="A3100" s="6">
        <v>44706</v>
      </c>
      <c r="B3100" t="s">
        <v>26</v>
      </c>
      <c r="C3100">
        <v>69617</v>
      </c>
      <c r="D3100" t="s">
        <v>644</v>
      </c>
      <c r="E3100" s="7">
        <v>29.49</v>
      </c>
      <c r="F3100" t="s">
        <v>20</v>
      </c>
      <c r="G3100" t="s">
        <v>21</v>
      </c>
      <c r="H3100" t="str">
        <f>"8213728448"</f>
        <v>8213728448</v>
      </c>
      <c r="I3100" t="str">
        <f t="shared" si="73"/>
        <v>UNIFIRST CORPORATION</v>
      </c>
    </row>
    <row r="3101" spans="1:9" x14ac:dyDescent="0.25">
      <c r="A3101" s="6">
        <v>44706</v>
      </c>
      <c r="B3101" t="s">
        <v>26</v>
      </c>
      <c r="C3101">
        <v>69617</v>
      </c>
      <c r="D3101" t="s">
        <v>644</v>
      </c>
      <c r="E3101" s="7">
        <v>169.69</v>
      </c>
      <c r="F3101" t="s">
        <v>20</v>
      </c>
      <c r="G3101" t="s">
        <v>21</v>
      </c>
      <c r="H3101" t="str">
        <f>"8213728449"</f>
        <v>8213728449</v>
      </c>
      <c r="I3101" t="str">
        <f t="shared" si="73"/>
        <v>UNIFIRST CORPORATION</v>
      </c>
    </row>
    <row r="3102" spans="1:9" x14ac:dyDescent="0.25">
      <c r="A3102" s="6">
        <v>44706</v>
      </c>
      <c r="B3102" t="s">
        <v>26</v>
      </c>
      <c r="C3102">
        <v>69617</v>
      </c>
      <c r="D3102" t="s">
        <v>644</v>
      </c>
      <c r="E3102" s="7">
        <v>133.87</v>
      </c>
      <c r="F3102" t="s">
        <v>20</v>
      </c>
      <c r="G3102" t="s">
        <v>21</v>
      </c>
      <c r="H3102" t="str">
        <f>"8213728450"</f>
        <v>8213728450</v>
      </c>
      <c r="I3102" t="str">
        <f t="shared" si="73"/>
        <v>UNIFIRST CORPORATION</v>
      </c>
    </row>
    <row r="3103" spans="1:9" x14ac:dyDescent="0.25">
      <c r="A3103" s="6">
        <v>44706</v>
      </c>
      <c r="B3103" t="s">
        <v>26</v>
      </c>
      <c r="C3103">
        <v>69617</v>
      </c>
      <c r="D3103" t="s">
        <v>644</v>
      </c>
      <c r="E3103" s="7">
        <v>28.05</v>
      </c>
      <c r="F3103" t="s">
        <v>20</v>
      </c>
      <c r="G3103" t="s">
        <v>21</v>
      </c>
      <c r="H3103" t="str">
        <f>"8213728451"</f>
        <v>8213728451</v>
      </c>
      <c r="I3103" t="str">
        <f t="shared" si="73"/>
        <v>UNIFIRST CORPORATION</v>
      </c>
    </row>
    <row r="3104" spans="1:9" x14ac:dyDescent="0.25">
      <c r="A3104" s="6">
        <v>44706</v>
      </c>
      <c r="B3104" t="s">
        <v>26</v>
      </c>
      <c r="C3104">
        <v>69617</v>
      </c>
      <c r="D3104" t="s">
        <v>644</v>
      </c>
      <c r="E3104" s="7">
        <v>106.55</v>
      </c>
      <c r="F3104" t="s">
        <v>20</v>
      </c>
      <c r="G3104" t="s">
        <v>21</v>
      </c>
      <c r="H3104" t="str">
        <f>"8213728452"</f>
        <v>8213728452</v>
      </c>
      <c r="I3104" t="str">
        <f t="shared" si="73"/>
        <v>UNIFIRST CORPORATION</v>
      </c>
    </row>
    <row r="3105" spans="1:9" x14ac:dyDescent="0.25">
      <c r="A3105" s="6">
        <v>44706</v>
      </c>
      <c r="B3105" t="s">
        <v>26</v>
      </c>
      <c r="C3105">
        <v>69617</v>
      </c>
      <c r="D3105" t="s">
        <v>644</v>
      </c>
      <c r="E3105" s="7">
        <v>30.84</v>
      </c>
      <c r="F3105" t="s">
        <v>20</v>
      </c>
      <c r="G3105" t="s">
        <v>21</v>
      </c>
      <c r="H3105" t="str">
        <f>"8213728453"</f>
        <v>8213728453</v>
      </c>
      <c r="I3105" t="str">
        <f t="shared" si="73"/>
        <v>UNIFIRST CORPORATION</v>
      </c>
    </row>
    <row r="3106" spans="1:9" x14ac:dyDescent="0.25">
      <c r="A3106" s="6">
        <v>44706</v>
      </c>
      <c r="B3106" t="s">
        <v>26</v>
      </c>
      <c r="C3106">
        <v>69617</v>
      </c>
      <c r="D3106" t="s">
        <v>644</v>
      </c>
      <c r="E3106" s="7">
        <v>255.42</v>
      </c>
      <c r="F3106" t="s">
        <v>20</v>
      </c>
      <c r="G3106" t="s">
        <v>21</v>
      </c>
      <c r="H3106" t="str">
        <f>"8213731054"</f>
        <v>8213731054</v>
      </c>
      <c r="I3106" t="str">
        <f t="shared" si="73"/>
        <v>UNIFIRST CORPORATION</v>
      </c>
    </row>
    <row r="3107" spans="1:9" x14ac:dyDescent="0.25">
      <c r="A3107" s="6">
        <v>44706</v>
      </c>
      <c r="B3107" t="s">
        <v>26</v>
      </c>
      <c r="C3107">
        <v>69617</v>
      </c>
      <c r="D3107" t="s">
        <v>644</v>
      </c>
      <c r="E3107" s="7">
        <v>29.49</v>
      </c>
      <c r="F3107" t="s">
        <v>20</v>
      </c>
      <c r="G3107" t="s">
        <v>21</v>
      </c>
      <c r="H3107" t="str">
        <f>"8213731055"</f>
        <v>8213731055</v>
      </c>
      <c r="I3107" t="str">
        <f t="shared" si="73"/>
        <v>UNIFIRST CORPORATION</v>
      </c>
    </row>
    <row r="3108" spans="1:9" x14ac:dyDescent="0.25">
      <c r="A3108" s="6">
        <v>44706</v>
      </c>
      <c r="B3108" t="s">
        <v>26</v>
      </c>
      <c r="C3108">
        <v>69617</v>
      </c>
      <c r="D3108" t="s">
        <v>644</v>
      </c>
      <c r="E3108" s="7">
        <v>218.42</v>
      </c>
      <c r="F3108" t="s">
        <v>20</v>
      </c>
      <c r="G3108" t="s">
        <v>21</v>
      </c>
      <c r="H3108" t="str">
        <f>"8213731056"</f>
        <v>8213731056</v>
      </c>
      <c r="I3108" t="str">
        <f t="shared" si="73"/>
        <v>UNIFIRST CORPORATION</v>
      </c>
    </row>
    <row r="3109" spans="1:9" x14ac:dyDescent="0.25">
      <c r="A3109" s="6">
        <v>44706</v>
      </c>
      <c r="B3109" t="s">
        <v>26</v>
      </c>
      <c r="C3109">
        <v>69617</v>
      </c>
      <c r="D3109" t="s">
        <v>644</v>
      </c>
      <c r="E3109" s="7">
        <v>133.87</v>
      </c>
      <c r="F3109" t="s">
        <v>20</v>
      </c>
      <c r="G3109" t="s">
        <v>21</v>
      </c>
      <c r="H3109" t="str">
        <f>"8213731057"</f>
        <v>8213731057</v>
      </c>
      <c r="I3109" t="str">
        <f t="shared" si="73"/>
        <v>UNIFIRST CORPORATION</v>
      </c>
    </row>
    <row r="3110" spans="1:9" x14ac:dyDescent="0.25">
      <c r="A3110" s="6">
        <v>44706</v>
      </c>
      <c r="B3110" t="s">
        <v>26</v>
      </c>
      <c r="C3110">
        <v>69617</v>
      </c>
      <c r="D3110" t="s">
        <v>644</v>
      </c>
      <c r="E3110" s="7">
        <v>66</v>
      </c>
      <c r="F3110" t="s">
        <v>20</v>
      </c>
      <c r="G3110" t="s">
        <v>21</v>
      </c>
      <c r="H3110" t="str">
        <f>"8213731058"</f>
        <v>8213731058</v>
      </c>
      <c r="I3110" t="str">
        <f t="shared" si="73"/>
        <v>UNIFIRST CORPORATION</v>
      </c>
    </row>
    <row r="3111" spans="1:9" x14ac:dyDescent="0.25">
      <c r="A3111" s="6">
        <v>44706</v>
      </c>
      <c r="B3111" t="s">
        <v>26</v>
      </c>
      <c r="C3111">
        <v>69617</v>
      </c>
      <c r="D3111" t="s">
        <v>644</v>
      </c>
      <c r="E3111" s="7">
        <v>205.77</v>
      </c>
      <c r="F3111" t="s">
        <v>20</v>
      </c>
      <c r="G3111" t="s">
        <v>21</v>
      </c>
      <c r="H3111" t="str">
        <f>"8213731059"</f>
        <v>8213731059</v>
      </c>
      <c r="I3111" t="str">
        <f t="shared" si="73"/>
        <v>UNIFIRST CORPORATION</v>
      </c>
    </row>
    <row r="3112" spans="1:9" x14ac:dyDescent="0.25">
      <c r="A3112" s="6">
        <v>44706</v>
      </c>
      <c r="B3112" t="s">
        <v>26</v>
      </c>
      <c r="C3112">
        <v>69617</v>
      </c>
      <c r="D3112" t="s">
        <v>644</v>
      </c>
      <c r="E3112" s="7">
        <v>205.77</v>
      </c>
      <c r="F3112" t="s">
        <v>20</v>
      </c>
      <c r="G3112" t="s">
        <v>21</v>
      </c>
      <c r="H3112" t="str">
        <f>"8213731060"</f>
        <v>8213731060</v>
      </c>
      <c r="I3112" t="str">
        <f t="shared" si="73"/>
        <v>UNIFIRST CORPORATION</v>
      </c>
    </row>
    <row r="3113" spans="1:9" x14ac:dyDescent="0.25">
      <c r="A3113" s="6">
        <v>44706</v>
      </c>
      <c r="B3113" t="s">
        <v>26</v>
      </c>
      <c r="C3113">
        <v>69617</v>
      </c>
      <c r="D3113" t="s">
        <v>644</v>
      </c>
      <c r="E3113" s="7">
        <v>102.75</v>
      </c>
      <c r="F3113" t="s">
        <v>20</v>
      </c>
      <c r="G3113" t="s">
        <v>21</v>
      </c>
      <c r="H3113" t="str">
        <f>"8213733647"</f>
        <v>8213733647</v>
      </c>
      <c r="I3113" t="str">
        <f t="shared" si="73"/>
        <v>UNIFIRST CORPORATION</v>
      </c>
    </row>
    <row r="3114" spans="1:9" x14ac:dyDescent="0.25">
      <c r="A3114" s="6">
        <v>44706</v>
      </c>
      <c r="B3114" t="s">
        <v>26</v>
      </c>
      <c r="C3114">
        <v>69617</v>
      </c>
      <c r="D3114" t="s">
        <v>644</v>
      </c>
      <c r="E3114" s="7">
        <v>29.49</v>
      </c>
      <c r="F3114" t="s">
        <v>20</v>
      </c>
      <c r="G3114" t="s">
        <v>21</v>
      </c>
      <c r="H3114" t="str">
        <f>"8213733648"</f>
        <v>8213733648</v>
      </c>
      <c r="I3114" t="str">
        <f t="shared" si="73"/>
        <v>UNIFIRST CORPORATION</v>
      </c>
    </row>
    <row r="3115" spans="1:9" x14ac:dyDescent="0.25">
      <c r="A3115" s="6">
        <v>44706</v>
      </c>
      <c r="B3115" t="s">
        <v>26</v>
      </c>
      <c r="C3115">
        <v>69617</v>
      </c>
      <c r="D3115" t="s">
        <v>644</v>
      </c>
      <c r="E3115" s="7">
        <v>152.41999999999999</v>
      </c>
      <c r="F3115" t="s">
        <v>20</v>
      </c>
      <c r="G3115" t="s">
        <v>21</v>
      </c>
      <c r="H3115" t="str">
        <f>"8213733649"</f>
        <v>8213733649</v>
      </c>
      <c r="I3115" t="str">
        <f t="shared" si="73"/>
        <v>UNIFIRST CORPORATION</v>
      </c>
    </row>
    <row r="3116" spans="1:9" x14ac:dyDescent="0.25">
      <c r="A3116" s="6">
        <v>44706</v>
      </c>
      <c r="B3116" t="s">
        <v>26</v>
      </c>
      <c r="C3116">
        <v>69617</v>
      </c>
      <c r="D3116" t="s">
        <v>644</v>
      </c>
      <c r="E3116" s="7">
        <v>133.87</v>
      </c>
      <c r="F3116" t="s">
        <v>20</v>
      </c>
      <c r="G3116" t="s">
        <v>21</v>
      </c>
      <c r="H3116" t="str">
        <f>"8213733650"</f>
        <v>8213733650</v>
      </c>
      <c r="I3116" t="str">
        <f t="shared" si="73"/>
        <v>UNIFIRST CORPORATION</v>
      </c>
    </row>
    <row r="3117" spans="1:9" x14ac:dyDescent="0.25">
      <c r="A3117" s="6">
        <v>44706</v>
      </c>
      <c r="B3117" t="s">
        <v>26</v>
      </c>
      <c r="C3117">
        <v>69617</v>
      </c>
      <c r="D3117" t="s">
        <v>644</v>
      </c>
      <c r="E3117" s="7">
        <v>12.82</v>
      </c>
      <c r="F3117" t="s">
        <v>20</v>
      </c>
      <c r="G3117" t="s">
        <v>21</v>
      </c>
      <c r="H3117" t="str">
        <f>"8213733652"</f>
        <v>8213733652</v>
      </c>
      <c r="I3117" t="str">
        <f t="shared" si="73"/>
        <v>UNIFIRST CORPORATION</v>
      </c>
    </row>
    <row r="3118" spans="1:9" x14ac:dyDescent="0.25">
      <c r="A3118" s="6">
        <v>44706</v>
      </c>
      <c r="B3118" t="s">
        <v>26</v>
      </c>
      <c r="C3118">
        <v>69617</v>
      </c>
      <c r="D3118" t="s">
        <v>644</v>
      </c>
      <c r="E3118" s="7">
        <v>29.49</v>
      </c>
      <c r="F3118" t="s">
        <v>20</v>
      </c>
      <c r="G3118" t="s">
        <v>21</v>
      </c>
      <c r="H3118" t="str">
        <f>"8213733653"</f>
        <v>8213733653</v>
      </c>
      <c r="I3118" t="str">
        <f t="shared" si="73"/>
        <v>UNIFIRST CORPORATION</v>
      </c>
    </row>
    <row r="3119" spans="1:9" x14ac:dyDescent="0.25">
      <c r="A3119" s="6">
        <v>44706</v>
      </c>
      <c r="B3119" t="s">
        <v>26</v>
      </c>
      <c r="C3119">
        <v>69623</v>
      </c>
      <c r="D3119" t="s">
        <v>203</v>
      </c>
      <c r="E3119" s="7">
        <v>477.57</v>
      </c>
      <c r="F3119" t="s">
        <v>20</v>
      </c>
      <c r="G3119" t="s">
        <v>21</v>
      </c>
      <c r="H3119" t="str">
        <f>"973062"</f>
        <v>973062</v>
      </c>
      <c r="I3119" t="str">
        <f>"WWTP SUPPLIES"</f>
        <v>WWTP SUPPLIES</v>
      </c>
    </row>
    <row r="3120" spans="1:9" x14ac:dyDescent="0.25">
      <c r="A3120" s="6">
        <v>44707</v>
      </c>
      <c r="B3120" t="s">
        <v>26</v>
      </c>
      <c r="C3120">
        <v>69624</v>
      </c>
      <c r="D3120" t="s">
        <v>568</v>
      </c>
      <c r="E3120" s="7">
        <v>810.12</v>
      </c>
      <c r="F3120" t="s">
        <v>20</v>
      </c>
      <c r="G3120" t="s">
        <v>21</v>
      </c>
      <c r="H3120" t="str">
        <f>"23502000"</f>
        <v>23502000</v>
      </c>
      <c r="I3120" t="str">
        <f>"TIRE HUB"</f>
        <v>TIRE HUB</v>
      </c>
    </row>
    <row r="3121" spans="1:9" x14ac:dyDescent="0.25">
      <c r="A3121" s="6">
        <v>44707</v>
      </c>
      <c r="B3121" t="s">
        <v>26</v>
      </c>
      <c r="C3121">
        <v>69624</v>
      </c>
      <c r="D3121" t="s">
        <v>568</v>
      </c>
      <c r="E3121" s="7">
        <v>472</v>
      </c>
      <c r="F3121" t="s">
        <v>20</v>
      </c>
      <c r="G3121" t="s">
        <v>21</v>
      </c>
      <c r="H3121" t="str">
        <f>"24027503"</f>
        <v>24027503</v>
      </c>
      <c r="I3121" t="str">
        <f>"TIRE HUB"</f>
        <v>TIRE HUB</v>
      </c>
    </row>
    <row r="3122" spans="1:9" x14ac:dyDescent="0.25">
      <c r="A3122" s="6">
        <v>44707</v>
      </c>
      <c r="B3122" t="s">
        <v>26</v>
      </c>
      <c r="C3122">
        <v>69625</v>
      </c>
      <c r="D3122" t="s">
        <v>431</v>
      </c>
      <c r="E3122" s="7">
        <v>2875</v>
      </c>
      <c r="F3122" t="s">
        <v>20</v>
      </c>
      <c r="G3122" t="s">
        <v>21</v>
      </c>
      <c r="H3122" t="str">
        <f>"2"</f>
        <v>2</v>
      </c>
      <c r="I3122" t="str">
        <f>"ANDRES IBARRA"</f>
        <v>ANDRES IBARRA</v>
      </c>
    </row>
    <row r="3123" spans="1:9" x14ac:dyDescent="0.25">
      <c r="A3123" s="6">
        <v>44707</v>
      </c>
      <c r="B3123" t="s">
        <v>26</v>
      </c>
      <c r="C3123">
        <v>69626</v>
      </c>
      <c r="D3123" t="s">
        <v>1210</v>
      </c>
      <c r="E3123" s="7">
        <v>2875</v>
      </c>
      <c r="F3123" t="s">
        <v>20</v>
      </c>
      <c r="G3123" t="s">
        <v>21</v>
      </c>
      <c r="H3123" t="str">
        <f>"2"</f>
        <v>2</v>
      </c>
      <c r="I3123" t="str">
        <f>"VICTOR IBARRA"</f>
        <v>VICTOR IBARRA</v>
      </c>
    </row>
    <row r="3124" spans="1:9" x14ac:dyDescent="0.25">
      <c r="A3124" s="6">
        <v>44707</v>
      </c>
      <c r="B3124" t="s">
        <v>26</v>
      </c>
      <c r="C3124">
        <v>69627</v>
      </c>
      <c r="D3124" t="s">
        <v>443</v>
      </c>
      <c r="E3124" s="7">
        <v>8950</v>
      </c>
      <c r="F3124" t="s">
        <v>20</v>
      </c>
      <c r="G3124" t="s">
        <v>21</v>
      </c>
      <c r="H3124" t="str">
        <f>"10811"</f>
        <v>10811</v>
      </c>
      <c r="I3124" t="str">
        <f>"RENOVATING BALL FIELDS"</f>
        <v>RENOVATING BALL FIELDS</v>
      </c>
    </row>
    <row r="3125" spans="1:9" x14ac:dyDescent="0.25">
      <c r="A3125" s="6">
        <v>44712</v>
      </c>
      <c r="B3125" t="s">
        <v>26</v>
      </c>
      <c r="C3125">
        <v>69628</v>
      </c>
      <c r="D3125" t="s">
        <v>1208</v>
      </c>
      <c r="E3125" s="7">
        <v>4061.99</v>
      </c>
      <c r="F3125" t="s">
        <v>20</v>
      </c>
      <c r="G3125" t="s">
        <v>21</v>
      </c>
      <c r="H3125" t="str">
        <f>"10674"</f>
        <v>10674</v>
      </c>
      <c r="I3125" t="str">
        <f>"LA VERNIA PUMP &amp; SUPPLY  INC"</f>
        <v>LA VERNIA PUMP &amp; SUPPLY  INC</v>
      </c>
    </row>
    <row r="3126" spans="1:9" x14ac:dyDescent="0.25">
      <c r="A3126" s="6">
        <v>44712</v>
      </c>
      <c r="B3126" t="s">
        <v>26</v>
      </c>
      <c r="C3126">
        <v>69634</v>
      </c>
      <c r="D3126" t="s">
        <v>51</v>
      </c>
      <c r="E3126" s="7">
        <v>13.85</v>
      </c>
      <c r="F3126" t="s">
        <v>20</v>
      </c>
      <c r="G3126" t="s">
        <v>21</v>
      </c>
      <c r="H3126" t="str">
        <f>"CLE202205318658"</f>
        <v>CLE202205318658</v>
      </c>
      <c r="I3126" t="str">
        <f>"CLEAT ONLY DUES"</f>
        <v>CLEAT ONLY DUES</v>
      </c>
    </row>
    <row r="3127" spans="1:9" x14ac:dyDescent="0.25">
      <c r="A3127" s="6">
        <v>44712</v>
      </c>
      <c r="B3127" t="s">
        <v>26</v>
      </c>
      <c r="C3127">
        <v>69634</v>
      </c>
      <c r="D3127" t="s">
        <v>51</v>
      </c>
      <c r="E3127" s="7">
        <v>332.46</v>
      </c>
      <c r="F3127" t="s">
        <v>20</v>
      </c>
      <c r="G3127" t="s">
        <v>21</v>
      </c>
      <c r="H3127" t="str">
        <f>"PDD202205318658"</f>
        <v>PDD202205318658</v>
      </c>
      <c r="I3127" t="str">
        <f>"POLICE OFFICERS ASSOC DUES"</f>
        <v>POLICE OFFICERS ASSOC DUES</v>
      </c>
    </row>
    <row r="3128" spans="1:9" x14ac:dyDescent="0.25">
      <c r="A3128" s="6">
        <v>44712</v>
      </c>
      <c r="B3128" t="s">
        <v>26</v>
      </c>
      <c r="C3128">
        <v>69635</v>
      </c>
      <c r="D3128" t="s">
        <v>52</v>
      </c>
      <c r="E3128" s="7">
        <v>101.25</v>
      </c>
      <c r="F3128" t="s">
        <v>20</v>
      </c>
      <c r="G3128" t="s">
        <v>21</v>
      </c>
      <c r="H3128" t="str">
        <f>"CA1202205318658"</f>
        <v>CA1202205318658</v>
      </c>
      <c r="I3128" t="str">
        <f>"K RAMIREZ 001200229510060343CV"</f>
        <v>K RAMIREZ 001200229510060343CV</v>
      </c>
    </row>
    <row r="3129" spans="1:9" x14ac:dyDescent="0.25">
      <c r="A3129" s="6">
        <v>44712</v>
      </c>
      <c r="B3129" t="s">
        <v>26</v>
      </c>
      <c r="C3129">
        <v>69635</v>
      </c>
      <c r="D3129" t="s">
        <v>52</v>
      </c>
      <c r="E3129" s="7">
        <v>101.25</v>
      </c>
      <c r="F3129" t="s">
        <v>20</v>
      </c>
      <c r="G3129" t="s">
        <v>21</v>
      </c>
      <c r="H3129" t="str">
        <f>"CA2202205318658"</f>
        <v>CA2202205318658</v>
      </c>
      <c r="I3129" t="str">
        <f>"L HERNANDEZ 001016025203080354"</f>
        <v>L HERNANDEZ 001016025203080354</v>
      </c>
    </row>
    <row r="3130" spans="1:9" x14ac:dyDescent="0.25">
      <c r="A3130" s="6">
        <v>44712</v>
      </c>
      <c r="B3130" t="s">
        <v>26</v>
      </c>
      <c r="C3130">
        <v>69635</v>
      </c>
      <c r="D3130" t="s">
        <v>52</v>
      </c>
      <c r="E3130" s="7">
        <v>101.25</v>
      </c>
      <c r="F3130" t="s">
        <v>20</v>
      </c>
      <c r="G3130" t="s">
        <v>21</v>
      </c>
      <c r="H3130" t="str">
        <f>"CA3202205318658"</f>
        <v>CA3202205318658</v>
      </c>
      <c r="I3130" t="str">
        <f>"00120788612011EM5023JOLENEGARC"</f>
        <v>00120788612011EM5023JOLENEGARC</v>
      </c>
    </row>
    <row r="3131" spans="1:9" x14ac:dyDescent="0.25">
      <c r="A3131" s="6">
        <v>44712</v>
      </c>
      <c r="B3131" t="s">
        <v>26</v>
      </c>
      <c r="C3131">
        <v>69635</v>
      </c>
      <c r="D3131" t="s">
        <v>52</v>
      </c>
      <c r="E3131" s="7">
        <v>101.25</v>
      </c>
      <c r="F3131" t="s">
        <v>20</v>
      </c>
      <c r="G3131" t="s">
        <v>21</v>
      </c>
      <c r="H3131" t="str">
        <f>"CSA202205318658"</f>
        <v>CSA202205318658</v>
      </c>
      <c r="I3131" t="str">
        <f>"S RODRIGUEZ 001281730413050336"</f>
        <v>S RODRIGUEZ 001281730413050336</v>
      </c>
    </row>
    <row r="3132" spans="1:9" x14ac:dyDescent="0.25">
      <c r="A3132" s="6">
        <v>44712</v>
      </c>
      <c r="B3132" t="s">
        <v>26</v>
      </c>
      <c r="C3132">
        <v>69635</v>
      </c>
      <c r="D3132" t="s">
        <v>52</v>
      </c>
      <c r="E3132" s="7">
        <v>521.54</v>
      </c>
      <c r="F3132" t="s">
        <v>20</v>
      </c>
      <c r="G3132" t="s">
        <v>21</v>
      </c>
      <c r="H3132" t="str">
        <f>"CSI202205318658"</f>
        <v>CSI202205318658</v>
      </c>
      <c r="I3132" t="str">
        <f>"KTRINIDAD0014071774CVW2000777"</f>
        <v>KTRINIDAD0014071774CVW2000777</v>
      </c>
    </row>
    <row r="3133" spans="1:9" x14ac:dyDescent="0.25">
      <c r="A3133" s="6">
        <v>44712</v>
      </c>
      <c r="B3133" t="s">
        <v>26</v>
      </c>
      <c r="C3133">
        <v>69637</v>
      </c>
      <c r="D3133" t="s">
        <v>54</v>
      </c>
      <c r="E3133" s="7">
        <v>803.43</v>
      </c>
      <c r="F3133" t="s">
        <v>20</v>
      </c>
      <c r="G3133" t="s">
        <v>21</v>
      </c>
      <c r="H3133" t="str">
        <f>"BRE202205318658"</f>
        <v>BRE202205318658</v>
      </c>
      <c r="I3133" t="str">
        <f>"CASE #180-60751 457B DEDUCT"</f>
        <v>CASE #180-60751 457B DEDUCT</v>
      </c>
    </row>
    <row r="3134" spans="1:9" x14ac:dyDescent="0.25">
      <c r="A3134" s="6">
        <v>44713</v>
      </c>
      <c r="B3134" t="s">
        <v>26</v>
      </c>
      <c r="C3134">
        <v>69638</v>
      </c>
      <c r="D3134" t="s">
        <v>1029</v>
      </c>
      <c r="E3134" s="7">
        <v>481.64</v>
      </c>
      <c r="F3134" t="s">
        <v>20</v>
      </c>
      <c r="G3134" t="s">
        <v>21</v>
      </c>
      <c r="H3134" t="str">
        <f>"TCMA 2022 CONF."</f>
        <v>TCMA 2022 CONF.</v>
      </c>
      <c r="I3134" t="str">
        <f>"ANDY JOSLIN"</f>
        <v>ANDY JOSLIN</v>
      </c>
    </row>
    <row r="3135" spans="1:9" x14ac:dyDescent="0.25">
      <c r="A3135" s="6">
        <v>44713</v>
      </c>
      <c r="B3135" t="s">
        <v>26</v>
      </c>
      <c r="C3135">
        <v>69639</v>
      </c>
      <c r="D3135" t="s">
        <v>781</v>
      </c>
      <c r="E3135" s="7">
        <v>60</v>
      </c>
      <c r="F3135" t="s">
        <v>20</v>
      </c>
      <c r="G3135" t="s">
        <v>21</v>
      </c>
      <c r="H3135" t="str">
        <f>"5/28/2022"</f>
        <v>5/28/2022</v>
      </c>
      <c r="I3135" t="str">
        <f>"ASHLEY MARTINEZ"</f>
        <v>ASHLEY MARTINEZ</v>
      </c>
    </row>
    <row r="3136" spans="1:9" x14ac:dyDescent="0.25">
      <c r="A3136" s="6">
        <v>44713</v>
      </c>
      <c r="B3136" t="s">
        <v>26</v>
      </c>
      <c r="C3136">
        <v>69640</v>
      </c>
      <c r="D3136" t="s">
        <v>336</v>
      </c>
      <c r="E3136" s="7">
        <v>27</v>
      </c>
      <c r="F3136" t="s">
        <v>20</v>
      </c>
      <c r="G3136" t="s">
        <v>21</v>
      </c>
      <c r="H3136" t="str">
        <f>"TCIC/TLETS 6/2022"</f>
        <v>TCIC/TLETS 6/2022</v>
      </c>
      <c r="I3136" t="str">
        <f>"BILLY HERRERA"</f>
        <v>BILLY HERRERA</v>
      </c>
    </row>
    <row r="3137" spans="1:9" x14ac:dyDescent="0.25">
      <c r="A3137" s="6">
        <v>44713</v>
      </c>
      <c r="B3137" t="s">
        <v>26</v>
      </c>
      <c r="C3137">
        <v>69641</v>
      </c>
      <c r="D3137" t="s">
        <v>63</v>
      </c>
      <c r="E3137" s="7">
        <v>321.61</v>
      </c>
      <c r="F3137" t="s">
        <v>20</v>
      </c>
      <c r="G3137" t="s">
        <v>21</v>
      </c>
      <c r="H3137" t="str">
        <f>"8405693144"</f>
        <v>8405693144</v>
      </c>
      <c r="I3137" t="str">
        <f>"CINTAS CORPORATION"</f>
        <v>CINTAS CORPORATION</v>
      </c>
    </row>
    <row r="3138" spans="1:9" x14ac:dyDescent="0.25">
      <c r="A3138" s="6">
        <v>44713</v>
      </c>
      <c r="B3138" t="s">
        <v>26</v>
      </c>
      <c r="C3138">
        <v>69642</v>
      </c>
      <c r="D3138" t="s">
        <v>71</v>
      </c>
      <c r="E3138" s="7">
        <v>9.3800000000000008</v>
      </c>
      <c r="F3138" t="s">
        <v>20</v>
      </c>
      <c r="G3138" t="s">
        <v>21</v>
      </c>
      <c r="H3138" t="str">
        <f>"4120161151"</f>
        <v>4120161151</v>
      </c>
      <c r="I3138" t="str">
        <f t="shared" ref="I3138:I3143" si="74">"CINTAS CORPORATION #087"</f>
        <v>CINTAS CORPORATION #087</v>
      </c>
    </row>
    <row r="3139" spans="1:9" x14ac:dyDescent="0.25">
      <c r="A3139" s="6">
        <v>44713</v>
      </c>
      <c r="B3139" t="s">
        <v>26</v>
      </c>
      <c r="C3139">
        <v>69642</v>
      </c>
      <c r="D3139" t="s">
        <v>71</v>
      </c>
      <c r="E3139" s="7">
        <v>37.1</v>
      </c>
      <c r="F3139" t="s">
        <v>20</v>
      </c>
      <c r="G3139" t="s">
        <v>21</v>
      </c>
      <c r="H3139" t="str">
        <f>"4120161195"</f>
        <v>4120161195</v>
      </c>
      <c r="I3139" t="str">
        <f t="shared" si="74"/>
        <v>CINTAS CORPORATION #087</v>
      </c>
    </row>
    <row r="3140" spans="1:9" x14ac:dyDescent="0.25">
      <c r="A3140" s="6">
        <v>44713</v>
      </c>
      <c r="B3140" t="s">
        <v>26</v>
      </c>
      <c r="C3140">
        <v>69642</v>
      </c>
      <c r="D3140" t="s">
        <v>71</v>
      </c>
      <c r="E3140" s="7">
        <v>57.72</v>
      </c>
      <c r="F3140" t="s">
        <v>20</v>
      </c>
      <c r="G3140" t="s">
        <v>21</v>
      </c>
      <c r="H3140" t="str">
        <f>"4120161214"</f>
        <v>4120161214</v>
      </c>
      <c r="I3140" t="str">
        <f t="shared" si="74"/>
        <v>CINTAS CORPORATION #087</v>
      </c>
    </row>
    <row r="3141" spans="1:9" x14ac:dyDescent="0.25">
      <c r="A3141" s="6">
        <v>44713</v>
      </c>
      <c r="B3141" t="s">
        <v>26</v>
      </c>
      <c r="C3141">
        <v>69642</v>
      </c>
      <c r="D3141" t="s">
        <v>71</v>
      </c>
      <c r="E3141" s="7">
        <v>436.89</v>
      </c>
      <c r="F3141" t="s">
        <v>20</v>
      </c>
      <c r="G3141" t="s">
        <v>21</v>
      </c>
      <c r="H3141" t="str">
        <f>"4120161365"</f>
        <v>4120161365</v>
      </c>
      <c r="I3141" t="str">
        <f t="shared" si="74"/>
        <v>CINTAS CORPORATION #087</v>
      </c>
    </row>
    <row r="3142" spans="1:9" x14ac:dyDescent="0.25">
      <c r="A3142" s="6">
        <v>44713</v>
      </c>
      <c r="B3142" t="s">
        <v>26</v>
      </c>
      <c r="C3142">
        <v>69642</v>
      </c>
      <c r="D3142" t="s">
        <v>71</v>
      </c>
      <c r="E3142" s="7">
        <v>885.94</v>
      </c>
      <c r="F3142" t="s">
        <v>20</v>
      </c>
      <c r="G3142" t="s">
        <v>21</v>
      </c>
      <c r="H3142" t="str">
        <f>"4120161367"</f>
        <v>4120161367</v>
      </c>
      <c r="I3142" t="str">
        <f t="shared" si="74"/>
        <v>CINTAS CORPORATION #087</v>
      </c>
    </row>
    <row r="3143" spans="1:9" x14ac:dyDescent="0.25">
      <c r="A3143" s="6">
        <v>44713</v>
      </c>
      <c r="B3143" t="s">
        <v>26</v>
      </c>
      <c r="C3143">
        <v>69642</v>
      </c>
      <c r="D3143" t="s">
        <v>71</v>
      </c>
      <c r="E3143" s="7">
        <v>31.89</v>
      </c>
      <c r="F3143" t="s">
        <v>20</v>
      </c>
      <c r="G3143" t="s">
        <v>21</v>
      </c>
      <c r="H3143" t="str">
        <f>"412061213"</f>
        <v>412061213</v>
      </c>
      <c r="I3143" t="str">
        <f t="shared" si="74"/>
        <v>CINTAS CORPORATION #087</v>
      </c>
    </row>
    <row r="3144" spans="1:9" x14ac:dyDescent="0.25">
      <c r="A3144" s="6">
        <v>44713</v>
      </c>
      <c r="B3144" t="s">
        <v>91</v>
      </c>
      <c r="C3144">
        <v>69644</v>
      </c>
      <c r="D3144" t="s">
        <v>0</v>
      </c>
      <c r="E3144" s="7">
        <v>2508.75</v>
      </c>
      <c r="F3144" t="s">
        <v>20</v>
      </c>
      <c r="G3144" t="s">
        <v>21</v>
      </c>
      <c r="H3144" t="str">
        <f>"4/10-5/10/2022"</f>
        <v>4/10-5/10/2022</v>
      </c>
      <c r="I3144" t="str">
        <f>"CITY OF FLORESVILLE"</f>
        <v>CITY OF FLORESVILLE</v>
      </c>
    </row>
    <row r="3145" spans="1:9" x14ac:dyDescent="0.25">
      <c r="A3145" s="6">
        <v>44713</v>
      </c>
      <c r="B3145" t="s">
        <v>91</v>
      </c>
      <c r="C3145">
        <v>69644</v>
      </c>
      <c r="D3145" t="s">
        <v>0</v>
      </c>
      <c r="E3145" s="7">
        <v>121.43</v>
      </c>
      <c r="F3145" t="s">
        <v>20</v>
      </c>
      <c r="G3145" t="s">
        <v>21</v>
      </c>
      <c r="H3145" t="str">
        <f>"A.MARTINEZ 6/1/22"</f>
        <v>A.MARTINEZ 6/1/22</v>
      </c>
      <c r="I3145" t="str">
        <f>"CITY OF FLORESVILLE"</f>
        <v>CITY OF FLORESVILLE</v>
      </c>
    </row>
    <row r="3146" spans="1:9" x14ac:dyDescent="0.25">
      <c r="A3146" s="6">
        <v>44713</v>
      </c>
      <c r="B3146" t="s">
        <v>91</v>
      </c>
      <c r="C3146">
        <v>69644</v>
      </c>
      <c r="D3146" t="s">
        <v>0</v>
      </c>
      <c r="E3146" s="7">
        <v>2630.18</v>
      </c>
      <c r="F3146" t="s">
        <v>20</v>
      </c>
      <c r="G3146" t="s">
        <v>93</v>
      </c>
      <c r="H3146" t="str">
        <f>"CHECK"</f>
        <v>CHECK</v>
      </c>
      <c r="I3146" t="str">
        <f>""</f>
        <v/>
      </c>
    </row>
    <row r="3147" spans="1:9" x14ac:dyDescent="0.25">
      <c r="A3147" s="6">
        <v>44713</v>
      </c>
      <c r="B3147" t="s">
        <v>26</v>
      </c>
      <c r="C3147">
        <v>69646</v>
      </c>
      <c r="D3147" t="s">
        <v>1214</v>
      </c>
      <c r="E3147" s="7">
        <v>247.55</v>
      </c>
      <c r="F3147" t="s">
        <v>20</v>
      </c>
      <c r="G3147" t="s">
        <v>21</v>
      </c>
      <c r="H3147" t="str">
        <f>"00072765"</f>
        <v>00072765</v>
      </c>
      <c r="I3147" t="str">
        <f>"DAILEY WELLS COMMUNICATIONS  I"</f>
        <v>DAILEY WELLS COMMUNICATIONS  I</v>
      </c>
    </row>
    <row r="3148" spans="1:9" x14ac:dyDescent="0.25">
      <c r="A3148" s="6">
        <v>44713</v>
      </c>
      <c r="B3148" t="s">
        <v>26</v>
      </c>
      <c r="C3148">
        <v>69647</v>
      </c>
      <c r="D3148" t="s">
        <v>647</v>
      </c>
      <c r="E3148" s="7">
        <v>3429</v>
      </c>
      <c r="F3148" t="s">
        <v>20</v>
      </c>
      <c r="G3148" t="s">
        <v>21</v>
      </c>
      <c r="H3148" t="str">
        <f>"31608701"</f>
        <v>31608701</v>
      </c>
      <c r="I3148" t="str">
        <f>"DOCUMATION  INC."</f>
        <v>DOCUMATION  INC.</v>
      </c>
    </row>
    <row r="3149" spans="1:9" x14ac:dyDescent="0.25">
      <c r="A3149" s="6">
        <v>44713</v>
      </c>
      <c r="B3149" t="s">
        <v>26</v>
      </c>
      <c r="C3149">
        <v>69648</v>
      </c>
      <c r="D3149" t="s">
        <v>79</v>
      </c>
      <c r="E3149" s="7">
        <v>7.31</v>
      </c>
      <c r="F3149" t="s">
        <v>20</v>
      </c>
      <c r="G3149" t="s">
        <v>21</v>
      </c>
      <c r="H3149" t="str">
        <f>"7-761-33095"</f>
        <v>7-761-33095</v>
      </c>
      <c r="I3149" t="str">
        <f>"FEDEX"</f>
        <v>FEDEX</v>
      </c>
    </row>
    <row r="3150" spans="1:9" x14ac:dyDescent="0.25">
      <c r="A3150" s="6">
        <v>44713</v>
      </c>
      <c r="B3150" t="s">
        <v>26</v>
      </c>
      <c r="C3150">
        <v>69649</v>
      </c>
      <c r="D3150" t="s">
        <v>85</v>
      </c>
      <c r="E3150" s="7">
        <v>61.33</v>
      </c>
      <c r="F3150" t="s">
        <v>20</v>
      </c>
      <c r="G3150" t="s">
        <v>21</v>
      </c>
      <c r="H3150" t="str">
        <f>"2162691 MAY 2022"</f>
        <v>2162691 MAY 2022</v>
      </c>
      <c r="I3150" t="str">
        <f t="shared" ref="I3150:I3156" si="75">"FRONTIER"</f>
        <v>FRONTIER</v>
      </c>
    </row>
    <row r="3151" spans="1:9" x14ac:dyDescent="0.25">
      <c r="A3151" s="6">
        <v>44713</v>
      </c>
      <c r="B3151" t="s">
        <v>26</v>
      </c>
      <c r="C3151">
        <v>69649</v>
      </c>
      <c r="D3151" t="s">
        <v>85</v>
      </c>
      <c r="E3151" s="7">
        <v>36.14</v>
      </c>
      <c r="F3151" t="s">
        <v>20</v>
      </c>
      <c r="G3151" t="s">
        <v>21</v>
      </c>
      <c r="H3151" t="str">
        <f>"3932056 MAY 2022"</f>
        <v>3932056 MAY 2022</v>
      </c>
      <c r="I3151" t="str">
        <f t="shared" si="75"/>
        <v>FRONTIER</v>
      </c>
    </row>
    <row r="3152" spans="1:9" x14ac:dyDescent="0.25">
      <c r="A3152" s="6">
        <v>44713</v>
      </c>
      <c r="B3152" t="s">
        <v>26</v>
      </c>
      <c r="C3152">
        <v>69649</v>
      </c>
      <c r="D3152" t="s">
        <v>85</v>
      </c>
      <c r="E3152" s="7">
        <v>45.41</v>
      </c>
      <c r="F3152" t="s">
        <v>20</v>
      </c>
      <c r="G3152" t="s">
        <v>21</v>
      </c>
      <c r="H3152" t="str">
        <f>"39331186 MAY 2022"</f>
        <v>39331186 MAY 2022</v>
      </c>
      <c r="I3152" t="str">
        <f t="shared" si="75"/>
        <v>FRONTIER</v>
      </c>
    </row>
    <row r="3153" spans="1:9" x14ac:dyDescent="0.25">
      <c r="A3153" s="6">
        <v>44713</v>
      </c>
      <c r="B3153" t="s">
        <v>26</v>
      </c>
      <c r="C3153">
        <v>69649</v>
      </c>
      <c r="D3153" t="s">
        <v>85</v>
      </c>
      <c r="E3153" s="7">
        <v>42.64</v>
      </c>
      <c r="F3153" t="s">
        <v>20</v>
      </c>
      <c r="G3153" t="s">
        <v>21</v>
      </c>
      <c r="H3153" t="str">
        <f>"3933718 JUNE 2022"</f>
        <v>3933718 JUNE 2022</v>
      </c>
      <c r="I3153" t="str">
        <f t="shared" si="75"/>
        <v>FRONTIER</v>
      </c>
    </row>
    <row r="3154" spans="1:9" x14ac:dyDescent="0.25">
      <c r="A3154" s="6">
        <v>44713</v>
      </c>
      <c r="B3154" t="s">
        <v>26</v>
      </c>
      <c r="C3154">
        <v>69649</v>
      </c>
      <c r="D3154" t="s">
        <v>85</v>
      </c>
      <c r="E3154" s="7">
        <v>69.64</v>
      </c>
      <c r="F3154" t="s">
        <v>20</v>
      </c>
      <c r="G3154" t="s">
        <v>21</v>
      </c>
      <c r="H3154" t="str">
        <f>"3936616 MAY 2022"</f>
        <v>3936616 MAY 2022</v>
      </c>
      <c r="I3154" t="str">
        <f t="shared" si="75"/>
        <v>FRONTIER</v>
      </c>
    </row>
    <row r="3155" spans="1:9" x14ac:dyDescent="0.25">
      <c r="A3155" s="6">
        <v>44713</v>
      </c>
      <c r="B3155" t="s">
        <v>26</v>
      </c>
      <c r="C3155">
        <v>69649</v>
      </c>
      <c r="D3155" t="s">
        <v>85</v>
      </c>
      <c r="E3155" s="7">
        <v>41.46</v>
      </c>
      <c r="F3155" t="s">
        <v>20</v>
      </c>
      <c r="G3155" t="s">
        <v>21</v>
      </c>
      <c r="H3155" t="str">
        <f>"3939456 MAY 2022"</f>
        <v>3939456 MAY 2022</v>
      </c>
      <c r="I3155" t="str">
        <f t="shared" si="75"/>
        <v>FRONTIER</v>
      </c>
    </row>
    <row r="3156" spans="1:9" x14ac:dyDescent="0.25">
      <c r="A3156" s="6">
        <v>44713</v>
      </c>
      <c r="B3156" t="s">
        <v>26</v>
      </c>
      <c r="C3156">
        <v>69649</v>
      </c>
      <c r="D3156" t="s">
        <v>85</v>
      </c>
      <c r="E3156" s="7">
        <v>480</v>
      </c>
      <c r="F3156" t="s">
        <v>20</v>
      </c>
      <c r="G3156" t="s">
        <v>21</v>
      </c>
      <c r="H3156" t="str">
        <f>"8301970046 MAY'22"</f>
        <v>8301970046 MAY'22</v>
      </c>
      <c r="I3156" t="str">
        <f t="shared" si="75"/>
        <v>FRONTIER</v>
      </c>
    </row>
    <row r="3157" spans="1:9" x14ac:dyDescent="0.25">
      <c r="A3157" s="6">
        <v>44713</v>
      </c>
      <c r="B3157" t="s">
        <v>26</v>
      </c>
      <c r="C3157">
        <v>69651</v>
      </c>
      <c r="D3157" t="s">
        <v>446</v>
      </c>
      <c r="E3157" s="7">
        <v>27</v>
      </c>
      <c r="F3157" t="s">
        <v>20</v>
      </c>
      <c r="G3157" t="s">
        <v>21</v>
      </c>
      <c r="H3157" t="str">
        <f>"TCIC/TLETS 6/2022"</f>
        <v>TCIC/TLETS 6/2022</v>
      </c>
      <c r="I3157" t="str">
        <f>"ISAIAH BARRIENTEZ"</f>
        <v>ISAIAH BARRIENTEZ</v>
      </c>
    </row>
    <row r="3158" spans="1:9" x14ac:dyDescent="0.25">
      <c r="A3158" s="6">
        <v>44713</v>
      </c>
      <c r="B3158" t="s">
        <v>26</v>
      </c>
      <c r="C3158">
        <v>69652</v>
      </c>
      <c r="D3158" t="s">
        <v>1136</v>
      </c>
      <c r="E3158" s="7">
        <v>600</v>
      </c>
      <c r="F3158" t="s">
        <v>20</v>
      </c>
      <c r="G3158" t="s">
        <v>21</v>
      </c>
      <c r="H3158" t="str">
        <f>"INV0141"</f>
        <v>INV0141</v>
      </c>
      <c r="I3158" t="str">
        <f>"LUX ELECTRIC LLC"</f>
        <v>LUX ELECTRIC LLC</v>
      </c>
    </row>
    <row r="3159" spans="1:9" x14ac:dyDescent="0.25">
      <c r="A3159" s="6">
        <v>44713</v>
      </c>
      <c r="B3159" t="s">
        <v>26</v>
      </c>
      <c r="C3159">
        <v>69653</v>
      </c>
      <c r="D3159" t="s">
        <v>80</v>
      </c>
      <c r="E3159" s="7">
        <v>750</v>
      </c>
      <c r="F3159" t="s">
        <v>20</v>
      </c>
      <c r="G3159" t="s">
        <v>21</v>
      </c>
      <c r="H3159" t="str">
        <f>"1648-20220601-1"</f>
        <v>1648-20220601-1</v>
      </c>
      <c r="I3159" t="str">
        <f>"LVWIFI.COM"</f>
        <v>LVWIFI.COM</v>
      </c>
    </row>
    <row r="3160" spans="1:9" x14ac:dyDescent="0.25">
      <c r="A3160" s="6">
        <v>44713</v>
      </c>
      <c r="B3160" t="s">
        <v>26</v>
      </c>
      <c r="C3160">
        <v>69653</v>
      </c>
      <c r="D3160" t="s">
        <v>80</v>
      </c>
      <c r="E3160" s="7">
        <v>750</v>
      </c>
      <c r="F3160" t="s">
        <v>20</v>
      </c>
      <c r="G3160" t="s">
        <v>21</v>
      </c>
      <c r="H3160" t="str">
        <f>"2313-20220601-1"</f>
        <v>2313-20220601-1</v>
      </c>
      <c r="I3160" t="str">
        <f>"LVWIFI.COM"</f>
        <v>LVWIFI.COM</v>
      </c>
    </row>
    <row r="3161" spans="1:9" x14ac:dyDescent="0.25">
      <c r="A3161" s="6">
        <v>44713</v>
      </c>
      <c r="B3161" t="s">
        <v>26</v>
      </c>
      <c r="C3161">
        <v>69654</v>
      </c>
      <c r="D3161" t="s">
        <v>345</v>
      </c>
      <c r="E3161" s="7">
        <v>297</v>
      </c>
      <c r="F3161" t="s">
        <v>20</v>
      </c>
      <c r="G3161" t="s">
        <v>21</v>
      </c>
      <c r="H3161" t="str">
        <f>"5/31/2022"</f>
        <v>5/31/2022</v>
      </c>
      <c r="I3161" t="str">
        <f>"MICHAEL ISAAC MARTINEZ"</f>
        <v>MICHAEL ISAAC MARTINEZ</v>
      </c>
    </row>
    <row r="3162" spans="1:9" x14ac:dyDescent="0.25">
      <c r="A3162" s="6">
        <v>44713</v>
      </c>
      <c r="B3162" t="s">
        <v>26</v>
      </c>
      <c r="C3162">
        <v>69655</v>
      </c>
      <c r="D3162" t="s">
        <v>1081</v>
      </c>
      <c r="E3162" s="7">
        <v>858</v>
      </c>
      <c r="F3162" t="s">
        <v>20</v>
      </c>
      <c r="G3162" t="s">
        <v>21</v>
      </c>
      <c r="H3162" t="str">
        <f>"36825"</f>
        <v>36825</v>
      </c>
      <c r="I3162" t="str">
        <f>"PINNACLE PEST DEFENSE"</f>
        <v>PINNACLE PEST DEFENSE</v>
      </c>
    </row>
    <row r="3163" spans="1:9" x14ac:dyDescent="0.25">
      <c r="A3163" s="6">
        <v>44713</v>
      </c>
      <c r="B3163" t="s">
        <v>26</v>
      </c>
      <c r="C3163">
        <v>69655</v>
      </c>
      <c r="D3163" t="s">
        <v>1081</v>
      </c>
      <c r="E3163" s="7">
        <v>433</v>
      </c>
      <c r="F3163" t="s">
        <v>20</v>
      </c>
      <c r="G3163" t="s">
        <v>21</v>
      </c>
      <c r="H3163" t="str">
        <f>"37085"</f>
        <v>37085</v>
      </c>
      <c r="I3163" t="str">
        <f>"PINNACLE PEST DEFENSE"</f>
        <v>PINNACLE PEST DEFENSE</v>
      </c>
    </row>
    <row r="3164" spans="1:9" x14ac:dyDescent="0.25">
      <c r="A3164" s="6">
        <v>44713</v>
      </c>
      <c r="B3164" t="s">
        <v>26</v>
      </c>
      <c r="C3164">
        <v>69655</v>
      </c>
      <c r="D3164" t="s">
        <v>1081</v>
      </c>
      <c r="E3164" s="7">
        <v>350</v>
      </c>
      <c r="F3164" t="s">
        <v>20</v>
      </c>
      <c r="G3164" t="s">
        <v>21</v>
      </c>
      <c r="H3164" t="str">
        <f>"37086"</f>
        <v>37086</v>
      </c>
      <c r="I3164" t="str">
        <f>"PINNACLE PEST DEFENSE"</f>
        <v>PINNACLE PEST DEFENSE</v>
      </c>
    </row>
    <row r="3165" spans="1:9" x14ac:dyDescent="0.25">
      <c r="A3165" s="6">
        <v>44713</v>
      </c>
      <c r="B3165" t="s">
        <v>26</v>
      </c>
      <c r="C3165">
        <v>69656</v>
      </c>
      <c r="D3165" t="s">
        <v>720</v>
      </c>
      <c r="E3165" s="7">
        <v>6062.5</v>
      </c>
      <c r="F3165" t="s">
        <v>20</v>
      </c>
      <c r="G3165" t="s">
        <v>21</v>
      </c>
      <c r="H3165" t="str">
        <f>"220117"</f>
        <v>220117</v>
      </c>
      <c r="I3165" t="str">
        <f>"PIRATE FIREWORKS  LLC"</f>
        <v>PIRATE FIREWORKS  LLC</v>
      </c>
    </row>
    <row r="3166" spans="1:9" x14ac:dyDescent="0.25">
      <c r="A3166" s="6">
        <v>44713</v>
      </c>
      <c r="B3166" t="s">
        <v>26</v>
      </c>
      <c r="C3166">
        <v>69657</v>
      </c>
      <c r="D3166" t="s">
        <v>1143</v>
      </c>
      <c r="E3166" s="7">
        <v>27</v>
      </c>
      <c r="F3166" t="s">
        <v>20</v>
      </c>
      <c r="G3166" t="s">
        <v>21</v>
      </c>
      <c r="H3166" t="str">
        <f>"TCIC/TLETS 6/2022"</f>
        <v>TCIC/TLETS 6/2022</v>
      </c>
      <c r="I3166" t="str">
        <f>"RUEBEN GARCIA"</f>
        <v>RUEBEN GARCIA</v>
      </c>
    </row>
    <row r="3167" spans="1:9" x14ac:dyDescent="0.25">
      <c r="A3167" s="6">
        <v>44713</v>
      </c>
      <c r="B3167" t="s">
        <v>26</v>
      </c>
      <c r="C3167">
        <v>69658</v>
      </c>
      <c r="D3167" t="s">
        <v>132</v>
      </c>
      <c r="E3167" s="7">
        <v>206.03</v>
      </c>
      <c r="F3167" t="s">
        <v>20</v>
      </c>
      <c r="G3167" t="s">
        <v>21</v>
      </c>
      <c r="H3167" t="str">
        <f>"16992887 051922"</f>
        <v>16992887 051922</v>
      </c>
      <c r="I3167" t="str">
        <f>"SPARKLETTS &amp; SIERRA SPRINGS"</f>
        <v>SPARKLETTS &amp; SIERRA SPRINGS</v>
      </c>
    </row>
    <row r="3168" spans="1:9" x14ac:dyDescent="0.25">
      <c r="A3168" s="6">
        <v>44713</v>
      </c>
      <c r="B3168" t="s">
        <v>26</v>
      </c>
      <c r="C3168">
        <v>69659</v>
      </c>
      <c r="D3168" t="s">
        <v>698</v>
      </c>
      <c r="E3168" s="7">
        <v>55</v>
      </c>
      <c r="F3168" t="s">
        <v>20</v>
      </c>
      <c r="G3168" t="s">
        <v>21</v>
      </c>
      <c r="H3168" t="str">
        <f>"5/28/2022"</f>
        <v>5/28/2022</v>
      </c>
      <c r="I3168" t="str">
        <f>"TRACY ORTIZ"</f>
        <v>TRACY ORTIZ</v>
      </c>
    </row>
    <row r="3169" spans="1:9" x14ac:dyDescent="0.25">
      <c r="A3169" s="6">
        <v>44713</v>
      </c>
      <c r="B3169" t="s">
        <v>26</v>
      </c>
      <c r="C3169">
        <v>69660</v>
      </c>
      <c r="D3169" t="s">
        <v>1030</v>
      </c>
      <c r="E3169" s="7">
        <v>240643.84</v>
      </c>
      <c r="F3169" t="s">
        <v>20</v>
      </c>
      <c r="G3169" t="s">
        <v>21</v>
      </c>
      <c r="H3169" t="str">
        <f>"PAY APP #4  5/26/2"</f>
        <v>PAY APP #4  5/26/2</v>
      </c>
      <c r="I3169" t="str">
        <f>"TRIUN  LLC"</f>
        <v>TRIUN  LLC</v>
      </c>
    </row>
    <row r="3170" spans="1:9" x14ac:dyDescent="0.25">
      <c r="A3170" s="6">
        <v>44713</v>
      </c>
      <c r="B3170" t="s">
        <v>26</v>
      </c>
      <c r="C3170">
        <v>69661</v>
      </c>
      <c r="D3170" t="s">
        <v>1215</v>
      </c>
      <c r="E3170" s="7">
        <v>12026.16</v>
      </c>
      <c r="F3170" t="s">
        <v>20</v>
      </c>
      <c r="G3170" t="s">
        <v>21</v>
      </c>
      <c r="H3170" t="str">
        <f>"WC22-01"</f>
        <v>WC22-01</v>
      </c>
      <c r="I3170" t="str">
        <f>"WILSON COUNTY ELECTIONS"</f>
        <v>WILSON COUNTY ELECTIONS</v>
      </c>
    </row>
    <row r="3171" spans="1:9" x14ac:dyDescent="0.25">
      <c r="A3171" s="6">
        <v>44713</v>
      </c>
      <c r="B3171" t="s">
        <v>26</v>
      </c>
      <c r="C3171">
        <v>69662</v>
      </c>
      <c r="D3171" t="s">
        <v>71</v>
      </c>
      <c r="E3171" s="7">
        <v>2223.63</v>
      </c>
      <c r="F3171" t="s">
        <v>20</v>
      </c>
      <c r="G3171" t="s">
        <v>21</v>
      </c>
      <c r="H3171" t="str">
        <f>"REISSUE CK#68405"</f>
        <v>REISSUE CK#68405</v>
      </c>
      <c r="I3171" t="str">
        <f>"CINTAS CORPORATION #087"</f>
        <v>CINTAS CORPORATION #087</v>
      </c>
    </row>
    <row r="3172" spans="1:9" x14ac:dyDescent="0.25">
      <c r="A3172" s="6">
        <v>44713</v>
      </c>
      <c r="B3172" t="s">
        <v>26</v>
      </c>
      <c r="C3172">
        <v>69665</v>
      </c>
      <c r="D3172" t="s">
        <v>291</v>
      </c>
      <c r="E3172" s="7">
        <v>100</v>
      </c>
      <c r="F3172" t="s">
        <v>20</v>
      </c>
      <c r="G3172" t="s">
        <v>21</v>
      </c>
      <c r="H3172" t="str">
        <f>"6/1/2022"</f>
        <v>6/1/2022</v>
      </c>
      <c r="I3172" t="str">
        <f>"WILSON COUNTY HISTORICAL SOCIE"</f>
        <v>WILSON COUNTY HISTORICAL SOCIE</v>
      </c>
    </row>
    <row r="3173" spans="1:9" x14ac:dyDescent="0.25">
      <c r="A3173" s="6">
        <v>44713</v>
      </c>
      <c r="B3173" t="s">
        <v>26</v>
      </c>
      <c r="C3173">
        <v>69666</v>
      </c>
      <c r="D3173" t="s">
        <v>302</v>
      </c>
      <c r="E3173" s="7">
        <v>172.85</v>
      </c>
      <c r="F3173" t="s">
        <v>20</v>
      </c>
      <c r="G3173" t="s">
        <v>21</v>
      </c>
      <c r="H3173" t="str">
        <f>"9315534272"</f>
        <v>9315534272</v>
      </c>
      <c r="I3173" t="str">
        <f>"WWTP SUPPLIES"</f>
        <v>WWTP SUPPLIES</v>
      </c>
    </row>
    <row r="3174" spans="1:9" x14ac:dyDescent="0.25">
      <c r="A3174" s="6">
        <v>44713</v>
      </c>
      <c r="B3174" t="s">
        <v>26</v>
      </c>
      <c r="C3174">
        <v>69667</v>
      </c>
      <c r="D3174" t="s">
        <v>258</v>
      </c>
      <c r="E3174" s="7">
        <v>14284.82</v>
      </c>
      <c r="F3174" t="s">
        <v>20</v>
      </c>
      <c r="G3174" t="s">
        <v>21</v>
      </c>
      <c r="H3174" t="str">
        <f>"2/22-5/31/2022"</f>
        <v>2/22-5/31/2022</v>
      </c>
      <c r="I3174" t="str">
        <f>"FUEL FOR EVENT CENTER AC"</f>
        <v>FUEL FOR EVENT CENTER AC</v>
      </c>
    </row>
    <row r="3175" spans="1:9" x14ac:dyDescent="0.25">
      <c r="A3175" s="6">
        <v>44713</v>
      </c>
      <c r="B3175" t="s">
        <v>26</v>
      </c>
      <c r="C3175">
        <v>69668</v>
      </c>
      <c r="D3175" t="s">
        <v>1216</v>
      </c>
      <c r="E3175" s="7">
        <v>1923.75</v>
      </c>
      <c r="F3175" t="s">
        <v>20</v>
      </c>
      <c r="G3175" t="s">
        <v>21</v>
      </c>
      <c r="H3175" t="str">
        <f>"SI-44011"</f>
        <v>SI-44011</v>
      </c>
      <c r="I3175" t="str">
        <f>"97 LIFT STATION"</f>
        <v>97 LIFT STATION</v>
      </c>
    </row>
    <row r="3176" spans="1:9" x14ac:dyDescent="0.25">
      <c r="A3176" s="6">
        <v>44713</v>
      </c>
      <c r="B3176" t="s">
        <v>26</v>
      </c>
      <c r="C3176">
        <v>69669</v>
      </c>
      <c r="D3176" t="s">
        <v>36</v>
      </c>
      <c r="E3176" s="7">
        <v>75</v>
      </c>
      <c r="F3176" t="s">
        <v>20</v>
      </c>
      <c r="G3176" t="s">
        <v>21</v>
      </c>
      <c r="H3176" t="str">
        <f t="shared" ref="H3176:H3181" si="76">"062022-MONTHLY"</f>
        <v>062022-MONTHLY</v>
      </c>
      <c r="I3176" t="str">
        <f>""</f>
        <v/>
      </c>
    </row>
    <row r="3177" spans="1:9" x14ac:dyDescent="0.25">
      <c r="A3177" s="6">
        <v>44713</v>
      </c>
      <c r="B3177" t="s">
        <v>26</v>
      </c>
      <c r="C3177">
        <v>69670</v>
      </c>
      <c r="D3177" t="s">
        <v>38</v>
      </c>
      <c r="E3177" s="7">
        <v>100</v>
      </c>
      <c r="F3177" t="s">
        <v>20</v>
      </c>
      <c r="G3177" t="s">
        <v>21</v>
      </c>
      <c r="H3177" t="str">
        <f t="shared" si="76"/>
        <v>062022-MONTHLY</v>
      </c>
      <c r="I3177" t="str">
        <f>""</f>
        <v/>
      </c>
    </row>
    <row r="3178" spans="1:9" x14ac:dyDescent="0.25">
      <c r="A3178" s="6">
        <v>44713</v>
      </c>
      <c r="B3178" t="s">
        <v>26</v>
      </c>
      <c r="C3178">
        <v>69671</v>
      </c>
      <c r="D3178" t="s">
        <v>558</v>
      </c>
      <c r="E3178" s="7">
        <v>75</v>
      </c>
      <c r="F3178" t="s">
        <v>20</v>
      </c>
      <c r="G3178" t="s">
        <v>21</v>
      </c>
      <c r="H3178" t="str">
        <f t="shared" si="76"/>
        <v>062022-MONTHLY</v>
      </c>
      <c r="I3178" t="str">
        <f>""</f>
        <v/>
      </c>
    </row>
    <row r="3179" spans="1:9" x14ac:dyDescent="0.25">
      <c r="A3179" s="6">
        <v>44713</v>
      </c>
      <c r="B3179" t="s">
        <v>26</v>
      </c>
      <c r="C3179">
        <v>69672</v>
      </c>
      <c r="D3179" t="s">
        <v>889</v>
      </c>
      <c r="E3179" s="7">
        <v>75</v>
      </c>
      <c r="F3179" t="s">
        <v>20</v>
      </c>
      <c r="G3179" t="s">
        <v>21</v>
      </c>
      <c r="H3179" t="str">
        <f t="shared" si="76"/>
        <v>062022-MONTHLY</v>
      </c>
      <c r="I3179" t="str">
        <f>""</f>
        <v/>
      </c>
    </row>
    <row r="3180" spans="1:9" x14ac:dyDescent="0.25">
      <c r="A3180" s="6">
        <v>44713</v>
      </c>
      <c r="B3180" t="s">
        <v>26</v>
      </c>
      <c r="C3180">
        <v>69673</v>
      </c>
      <c r="D3180" t="s">
        <v>1011</v>
      </c>
      <c r="E3180" s="7">
        <v>75</v>
      </c>
      <c r="F3180" t="s">
        <v>20</v>
      </c>
      <c r="G3180" t="s">
        <v>21</v>
      </c>
      <c r="H3180" t="str">
        <f t="shared" si="76"/>
        <v>062022-MONTHLY</v>
      </c>
      <c r="I3180" t="str">
        <f>""</f>
        <v/>
      </c>
    </row>
    <row r="3181" spans="1:9" x14ac:dyDescent="0.25">
      <c r="A3181" s="6">
        <v>44713</v>
      </c>
      <c r="B3181" t="s">
        <v>91</v>
      </c>
      <c r="C3181">
        <v>69674</v>
      </c>
      <c r="D3181" t="s">
        <v>1217</v>
      </c>
      <c r="E3181" s="7">
        <v>75</v>
      </c>
      <c r="F3181" t="s">
        <v>20</v>
      </c>
      <c r="G3181" t="s">
        <v>21</v>
      </c>
      <c r="H3181" t="str">
        <f t="shared" si="76"/>
        <v>062022-MONTHLY</v>
      </c>
      <c r="I3181" t="str">
        <f>""</f>
        <v/>
      </c>
    </row>
    <row r="3182" spans="1:9" x14ac:dyDescent="0.25">
      <c r="A3182" s="6">
        <v>44713</v>
      </c>
      <c r="B3182" t="s">
        <v>91</v>
      </c>
      <c r="C3182">
        <v>69674</v>
      </c>
      <c r="D3182" t="s">
        <v>1217</v>
      </c>
      <c r="E3182" s="7">
        <v>75</v>
      </c>
      <c r="F3182" t="s">
        <v>20</v>
      </c>
      <c r="G3182" t="s">
        <v>93</v>
      </c>
      <c r="H3182" t="str">
        <f>"CHECK"</f>
        <v>CHECK</v>
      </c>
      <c r="I3182" t="str">
        <f>""</f>
        <v/>
      </c>
    </row>
    <row r="3183" spans="1:9" x14ac:dyDescent="0.25">
      <c r="A3183" s="6">
        <v>44714</v>
      </c>
      <c r="B3183" t="s">
        <v>26</v>
      </c>
      <c r="C3183">
        <v>69675</v>
      </c>
      <c r="D3183" t="s">
        <v>81</v>
      </c>
      <c r="E3183" s="7">
        <v>85</v>
      </c>
      <c r="F3183" t="s">
        <v>20</v>
      </c>
      <c r="G3183" t="s">
        <v>21</v>
      </c>
      <c r="H3183" t="str">
        <f>"EVENT CNTR 6/2/22"</f>
        <v>EVENT CNTR 6/2/22</v>
      </c>
      <c r="I3183" t="str">
        <f>"CITY OF FLORESVILLE -PETTY CAS"</f>
        <v>CITY OF FLORESVILLE -PETTY CAS</v>
      </c>
    </row>
    <row r="3184" spans="1:9" x14ac:dyDescent="0.25">
      <c r="A3184" s="6">
        <v>44715</v>
      </c>
      <c r="B3184" t="s">
        <v>26</v>
      </c>
      <c r="C3184">
        <v>69676</v>
      </c>
      <c r="D3184" t="s">
        <v>0</v>
      </c>
      <c r="E3184" s="7">
        <v>2508.75</v>
      </c>
      <c r="F3184" t="s">
        <v>20</v>
      </c>
      <c r="G3184" t="s">
        <v>21</v>
      </c>
      <c r="H3184" t="str">
        <f>"4/10-5/10/2022*"</f>
        <v>4/10-5/10/2022*</v>
      </c>
      <c r="I3184" t="str">
        <f>"CITY OF FLORESVILLE"</f>
        <v>CITY OF FLORESVILLE</v>
      </c>
    </row>
    <row r="3185" spans="1:9" x14ac:dyDescent="0.25">
      <c r="A3185" s="6">
        <v>44715</v>
      </c>
      <c r="B3185" t="s">
        <v>26</v>
      </c>
      <c r="C3185">
        <v>69677</v>
      </c>
      <c r="D3185" t="s">
        <v>81</v>
      </c>
      <c r="E3185" s="7">
        <v>121.43</v>
      </c>
      <c r="F3185" t="s">
        <v>20</v>
      </c>
      <c r="G3185" t="s">
        <v>21</v>
      </c>
      <c r="H3185" t="str">
        <f>"A.MARTINEZ 6/2/22"</f>
        <v>A.MARTINEZ 6/2/22</v>
      </c>
      <c r="I3185" t="str">
        <f>"CITY OF FLORESVILLE -PETTY CAS"</f>
        <v>CITY OF FLORESVILLE -PETTY CAS</v>
      </c>
    </row>
    <row r="3186" spans="1:9" x14ac:dyDescent="0.25">
      <c r="A3186" s="6">
        <v>44715</v>
      </c>
      <c r="B3186" t="s">
        <v>26</v>
      </c>
      <c r="C3186">
        <v>69678</v>
      </c>
      <c r="D3186" t="s">
        <v>81</v>
      </c>
      <c r="E3186" s="7">
        <v>2000</v>
      </c>
      <c r="F3186" t="s">
        <v>20</v>
      </c>
      <c r="G3186" t="s">
        <v>21</v>
      </c>
      <c r="H3186" t="str">
        <f>"4TH OF JULY 2022"</f>
        <v>4TH OF JULY 2022</v>
      </c>
      <c r="I3186" t="str">
        <f>"CITY OF FLORESVILLE -PETTY CAS"</f>
        <v>CITY OF FLORESVILLE -PETTY CAS</v>
      </c>
    </row>
    <row r="3187" spans="1:9" x14ac:dyDescent="0.25">
      <c r="A3187" s="6">
        <v>44715</v>
      </c>
      <c r="B3187" t="s">
        <v>26</v>
      </c>
      <c r="C3187">
        <v>69679</v>
      </c>
      <c r="D3187" t="s">
        <v>1218</v>
      </c>
      <c r="E3187" s="7">
        <v>800</v>
      </c>
      <c r="F3187" t="s">
        <v>20</v>
      </c>
      <c r="G3187" t="s">
        <v>21</v>
      </c>
      <c r="H3187" t="str">
        <f>"4TH OF JULY 2022"</f>
        <v>4TH OF JULY 2022</v>
      </c>
      <c r="I3187" t="str">
        <f>"BIG R.I.G COUNTRY  LLC"</f>
        <v>BIG R.I.G COUNTRY  LLC</v>
      </c>
    </row>
    <row r="3188" spans="1:9" x14ac:dyDescent="0.25">
      <c r="A3188" s="6">
        <v>44715</v>
      </c>
      <c r="B3188" t="s">
        <v>26</v>
      </c>
      <c r="C3188">
        <v>69680</v>
      </c>
      <c r="D3188" t="s">
        <v>1219</v>
      </c>
      <c r="E3188" s="7">
        <v>750</v>
      </c>
      <c r="F3188" t="s">
        <v>20</v>
      </c>
      <c r="G3188" t="s">
        <v>21</v>
      </c>
      <c r="H3188" t="str">
        <f>"4TH OF JULY'22 DEP"</f>
        <v>4TH OF JULY'22 DEP</v>
      </c>
      <c r="I3188" t="str">
        <f>"SMALL TOWN HABIT"</f>
        <v>SMALL TOWN HABIT</v>
      </c>
    </row>
    <row r="3189" spans="1:9" x14ac:dyDescent="0.25">
      <c r="A3189" s="6">
        <v>44715</v>
      </c>
      <c r="B3189" t="s">
        <v>91</v>
      </c>
      <c r="C3189">
        <v>69681</v>
      </c>
      <c r="D3189" t="s">
        <v>1219</v>
      </c>
      <c r="E3189" s="7">
        <v>1500</v>
      </c>
      <c r="F3189" t="s">
        <v>20</v>
      </c>
      <c r="G3189" t="s">
        <v>21</v>
      </c>
      <c r="H3189" t="str">
        <f>"4TH OF JULY 2022"</f>
        <v>4TH OF JULY 2022</v>
      </c>
      <c r="I3189" t="str">
        <f>"SMALL TOWN HABIT"</f>
        <v>SMALL TOWN HABIT</v>
      </c>
    </row>
    <row r="3190" spans="1:9" x14ac:dyDescent="0.25">
      <c r="A3190" s="6">
        <v>44715</v>
      </c>
      <c r="B3190" t="s">
        <v>91</v>
      </c>
      <c r="C3190">
        <v>69681</v>
      </c>
      <c r="D3190" t="s">
        <v>1219</v>
      </c>
      <c r="E3190" s="7">
        <v>1500</v>
      </c>
      <c r="F3190" t="s">
        <v>20</v>
      </c>
      <c r="G3190" t="s">
        <v>93</v>
      </c>
      <c r="H3190" t="str">
        <f>"CHECK"</f>
        <v>CHECK</v>
      </c>
      <c r="I3190" t="str">
        <f>""</f>
        <v/>
      </c>
    </row>
    <row r="3191" spans="1:9" x14ac:dyDescent="0.25">
      <c r="A3191" s="6">
        <v>44720</v>
      </c>
      <c r="B3191" t="s">
        <v>91</v>
      </c>
      <c r="C3191">
        <v>69682</v>
      </c>
      <c r="D3191" t="s">
        <v>423</v>
      </c>
      <c r="E3191" s="7">
        <v>238</v>
      </c>
      <c r="F3191" t="s">
        <v>20</v>
      </c>
      <c r="G3191" t="s">
        <v>21</v>
      </c>
      <c r="H3191" t="str">
        <f>"7002005714"</f>
        <v>7002005714</v>
      </c>
      <c r="I3191" t="str">
        <f>"AMERICAN WATER WORKS ASSOCIATI"</f>
        <v>AMERICAN WATER WORKS ASSOCIATI</v>
      </c>
    </row>
    <row r="3192" spans="1:9" x14ac:dyDescent="0.25">
      <c r="A3192" s="6">
        <v>44720</v>
      </c>
      <c r="B3192" t="s">
        <v>91</v>
      </c>
      <c r="C3192">
        <v>69682</v>
      </c>
      <c r="D3192" t="s">
        <v>423</v>
      </c>
      <c r="E3192" s="7">
        <v>238</v>
      </c>
      <c r="F3192" t="s">
        <v>20</v>
      </c>
      <c r="G3192" t="s">
        <v>93</v>
      </c>
      <c r="H3192" t="str">
        <f>"CHECK"</f>
        <v>CHECK</v>
      </c>
      <c r="I3192" t="str">
        <f>""</f>
        <v/>
      </c>
    </row>
    <row r="3193" spans="1:9" x14ac:dyDescent="0.25">
      <c r="A3193" s="6">
        <v>44720</v>
      </c>
      <c r="B3193" t="s">
        <v>26</v>
      </c>
      <c r="C3193">
        <v>69683</v>
      </c>
      <c r="D3193" t="s">
        <v>139</v>
      </c>
      <c r="E3193" s="7">
        <v>65</v>
      </c>
      <c r="F3193" t="s">
        <v>20</v>
      </c>
      <c r="G3193" t="s">
        <v>21</v>
      </c>
      <c r="H3193" t="str">
        <f>"35900"</f>
        <v>35900</v>
      </c>
      <c r="I3193" t="str">
        <f>"ANGEL FIRE &amp; SAFETY"</f>
        <v>ANGEL FIRE &amp; SAFETY</v>
      </c>
    </row>
    <row r="3194" spans="1:9" x14ac:dyDescent="0.25">
      <c r="A3194" s="6">
        <v>44720</v>
      </c>
      <c r="B3194" t="s">
        <v>26</v>
      </c>
      <c r="C3194">
        <v>69684</v>
      </c>
      <c r="D3194" t="s">
        <v>83</v>
      </c>
      <c r="E3194" s="7">
        <v>1080</v>
      </c>
      <c r="F3194" t="s">
        <v>20</v>
      </c>
      <c r="G3194" t="s">
        <v>21</v>
      </c>
      <c r="H3194" t="str">
        <f>"2045351"</f>
        <v>2045351</v>
      </c>
      <c r="I3194" t="str">
        <f>"APPRIVER"</f>
        <v>APPRIVER</v>
      </c>
    </row>
    <row r="3195" spans="1:9" x14ac:dyDescent="0.25">
      <c r="A3195" s="6">
        <v>44720</v>
      </c>
      <c r="B3195" t="s">
        <v>26</v>
      </c>
      <c r="C3195">
        <v>69685</v>
      </c>
      <c r="D3195" t="s">
        <v>781</v>
      </c>
      <c r="E3195" s="7">
        <v>90.85</v>
      </c>
      <c r="F3195" t="s">
        <v>20</v>
      </c>
      <c r="G3195" t="s">
        <v>21</v>
      </c>
      <c r="H3195" t="str">
        <f>"06/04/2022"</f>
        <v>06/04/2022</v>
      </c>
      <c r="I3195" t="str">
        <f>"ASHLEY MARTINEZ"</f>
        <v>ASHLEY MARTINEZ</v>
      </c>
    </row>
    <row r="3196" spans="1:9" x14ac:dyDescent="0.25">
      <c r="A3196" s="6">
        <v>44720</v>
      </c>
      <c r="B3196" t="s">
        <v>26</v>
      </c>
      <c r="C3196">
        <v>69686</v>
      </c>
      <c r="D3196" t="s">
        <v>115</v>
      </c>
      <c r="E3196" s="7">
        <v>2.89</v>
      </c>
      <c r="F3196" t="s">
        <v>20</v>
      </c>
      <c r="G3196" t="s">
        <v>21</v>
      </c>
      <c r="H3196" t="str">
        <f>"3547271949"</f>
        <v>3547271949</v>
      </c>
      <c r="I3196" t="str">
        <f>"OIL FILTER"</f>
        <v>OIL FILTER</v>
      </c>
    </row>
    <row r="3197" spans="1:9" x14ac:dyDescent="0.25">
      <c r="A3197" s="6">
        <v>44720</v>
      </c>
      <c r="B3197" t="s">
        <v>26</v>
      </c>
      <c r="C3197">
        <v>69687</v>
      </c>
      <c r="D3197" t="s">
        <v>836</v>
      </c>
      <c r="E3197" s="7">
        <v>4462.3999999999996</v>
      </c>
      <c r="F3197" t="s">
        <v>20</v>
      </c>
      <c r="G3197" t="s">
        <v>21</v>
      </c>
      <c r="H3197" t="str">
        <f>"85912"</f>
        <v>85912</v>
      </c>
      <c r="I3197" t="str">
        <f>"BARCOM TECHNOLOGY SOLUTIONS  I"</f>
        <v>BARCOM TECHNOLOGY SOLUTIONS  I</v>
      </c>
    </row>
    <row r="3198" spans="1:9" x14ac:dyDescent="0.25">
      <c r="A3198" s="6">
        <v>44720</v>
      </c>
      <c r="B3198" t="s">
        <v>26</v>
      </c>
      <c r="C3198">
        <v>69687</v>
      </c>
      <c r="D3198" t="s">
        <v>836</v>
      </c>
      <c r="E3198" s="7">
        <v>1407.2</v>
      </c>
      <c r="F3198" t="s">
        <v>20</v>
      </c>
      <c r="G3198" t="s">
        <v>21</v>
      </c>
      <c r="H3198" t="str">
        <f>"85913"</f>
        <v>85913</v>
      </c>
      <c r="I3198" t="str">
        <f>"BARCOM TECHNOLOGY SOLUTIONS  I"</f>
        <v>BARCOM TECHNOLOGY SOLUTIONS  I</v>
      </c>
    </row>
    <row r="3199" spans="1:9" x14ac:dyDescent="0.25">
      <c r="A3199" s="6">
        <v>44720</v>
      </c>
      <c r="B3199" t="s">
        <v>26</v>
      </c>
      <c r="C3199">
        <v>69687</v>
      </c>
      <c r="D3199" t="s">
        <v>836</v>
      </c>
      <c r="E3199" s="7">
        <v>135</v>
      </c>
      <c r="F3199" t="s">
        <v>20</v>
      </c>
      <c r="G3199" t="s">
        <v>21</v>
      </c>
      <c r="H3199" t="str">
        <f>"86476"</f>
        <v>86476</v>
      </c>
      <c r="I3199" t="str">
        <f>"BARCOM TECHNOLOGY SOLUTIONS  I"</f>
        <v>BARCOM TECHNOLOGY SOLUTIONS  I</v>
      </c>
    </row>
    <row r="3200" spans="1:9" x14ac:dyDescent="0.25">
      <c r="A3200" s="6">
        <v>44720</v>
      </c>
      <c r="B3200" t="s">
        <v>26</v>
      </c>
      <c r="C3200">
        <v>69689</v>
      </c>
      <c r="D3200" t="s">
        <v>1155</v>
      </c>
      <c r="E3200" s="7">
        <v>228.46</v>
      </c>
      <c r="F3200" t="s">
        <v>20</v>
      </c>
      <c r="G3200" t="s">
        <v>21</v>
      </c>
      <c r="H3200" t="str">
        <f>"13-33782"</f>
        <v>13-33782</v>
      </c>
      <c r="I3200" t="str">
        <f>"SAFETY SUPPLIES"</f>
        <v>SAFETY SUPPLIES</v>
      </c>
    </row>
    <row r="3201" spans="1:9" x14ac:dyDescent="0.25">
      <c r="A3201" s="6">
        <v>44720</v>
      </c>
      <c r="B3201" t="s">
        <v>26</v>
      </c>
      <c r="C3201">
        <v>69690</v>
      </c>
      <c r="D3201" t="s">
        <v>38</v>
      </c>
      <c r="E3201" s="7">
        <v>32.369999999999997</v>
      </c>
      <c r="F3201" t="s">
        <v>20</v>
      </c>
      <c r="G3201" t="s">
        <v>21</v>
      </c>
      <c r="H3201" t="str">
        <f>"FX4E SHIRTS"</f>
        <v>FX4E SHIRTS</v>
      </c>
      <c r="I3201" t="str">
        <f>"CECELIA GONZALEZ-DIPPEL"</f>
        <v>CECELIA GONZALEZ-DIPPEL</v>
      </c>
    </row>
    <row r="3202" spans="1:9" x14ac:dyDescent="0.25">
      <c r="A3202" s="6">
        <v>44720</v>
      </c>
      <c r="B3202" t="s">
        <v>26</v>
      </c>
      <c r="C3202">
        <v>69691</v>
      </c>
      <c r="D3202" t="s">
        <v>1220</v>
      </c>
      <c r="E3202" s="7">
        <v>11640.5</v>
      </c>
      <c r="F3202" t="s">
        <v>20</v>
      </c>
      <c r="G3202" t="s">
        <v>21</v>
      </c>
      <c r="H3202" t="str">
        <f>"1673"</f>
        <v>1673</v>
      </c>
      <c r="I3202" t="str">
        <f>"80 TON PORTABLE A/C"</f>
        <v>80 TON PORTABLE A/C</v>
      </c>
    </row>
    <row r="3203" spans="1:9" x14ac:dyDescent="0.25">
      <c r="A3203" s="6">
        <v>44720</v>
      </c>
      <c r="B3203" t="s">
        <v>26</v>
      </c>
      <c r="C3203">
        <v>69692</v>
      </c>
      <c r="D3203" t="s">
        <v>71</v>
      </c>
      <c r="E3203" s="7">
        <v>79.28</v>
      </c>
      <c r="F3203" t="s">
        <v>20</v>
      </c>
      <c r="G3203" t="s">
        <v>21</v>
      </c>
      <c r="H3203" t="str">
        <f>"4120957251"</f>
        <v>4120957251</v>
      </c>
      <c r="I3203" t="str">
        <f t="shared" ref="I3203:I3212" si="77">"CINTAS CORPORATION #087"</f>
        <v>CINTAS CORPORATION #087</v>
      </c>
    </row>
    <row r="3204" spans="1:9" x14ac:dyDescent="0.25">
      <c r="A3204" s="6">
        <v>44720</v>
      </c>
      <c r="B3204" t="s">
        <v>26</v>
      </c>
      <c r="C3204">
        <v>69692</v>
      </c>
      <c r="D3204" t="s">
        <v>71</v>
      </c>
      <c r="E3204" s="7">
        <v>275.68</v>
      </c>
      <c r="F3204" t="s">
        <v>20</v>
      </c>
      <c r="G3204" t="s">
        <v>21</v>
      </c>
      <c r="H3204" t="str">
        <f>"4120957277"</f>
        <v>4120957277</v>
      </c>
      <c r="I3204" t="str">
        <f t="shared" si="77"/>
        <v>CINTAS CORPORATION #087</v>
      </c>
    </row>
    <row r="3205" spans="1:9" x14ac:dyDescent="0.25">
      <c r="A3205" s="6">
        <v>44720</v>
      </c>
      <c r="B3205" t="s">
        <v>26</v>
      </c>
      <c r="C3205">
        <v>69692</v>
      </c>
      <c r="D3205" t="s">
        <v>71</v>
      </c>
      <c r="E3205" s="7">
        <v>90.43</v>
      </c>
      <c r="F3205" t="s">
        <v>20</v>
      </c>
      <c r="G3205" t="s">
        <v>21</v>
      </c>
      <c r="H3205" t="str">
        <f>"4120957285"</f>
        <v>4120957285</v>
      </c>
      <c r="I3205" t="str">
        <f t="shared" si="77"/>
        <v>CINTAS CORPORATION #087</v>
      </c>
    </row>
    <row r="3206" spans="1:9" x14ac:dyDescent="0.25">
      <c r="A3206" s="6">
        <v>44720</v>
      </c>
      <c r="B3206" t="s">
        <v>26</v>
      </c>
      <c r="C3206">
        <v>69692</v>
      </c>
      <c r="D3206" t="s">
        <v>71</v>
      </c>
      <c r="E3206" s="7">
        <v>164.22</v>
      </c>
      <c r="F3206" t="s">
        <v>20</v>
      </c>
      <c r="G3206" t="s">
        <v>21</v>
      </c>
      <c r="H3206" t="str">
        <f>"4120957298"</f>
        <v>4120957298</v>
      </c>
      <c r="I3206" t="str">
        <f t="shared" si="77"/>
        <v>CINTAS CORPORATION #087</v>
      </c>
    </row>
    <row r="3207" spans="1:9" x14ac:dyDescent="0.25">
      <c r="A3207" s="6">
        <v>44720</v>
      </c>
      <c r="B3207" t="s">
        <v>26</v>
      </c>
      <c r="C3207">
        <v>69692</v>
      </c>
      <c r="D3207" t="s">
        <v>71</v>
      </c>
      <c r="E3207" s="7">
        <v>9.3800000000000008</v>
      </c>
      <c r="F3207" t="s">
        <v>20</v>
      </c>
      <c r="G3207" t="s">
        <v>21</v>
      </c>
      <c r="H3207" t="str">
        <f>"4121579400"</f>
        <v>4121579400</v>
      </c>
      <c r="I3207" t="str">
        <f t="shared" si="77"/>
        <v>CINTAS CORPORATION #087</v>
      </c>
    </row>
    <row r="3208" spans="1:9" x14ac:dyDescent="0.25">
      <c r="A3208" s="6">
        <v>44720</v>
      </c>
      <c r="B3208" t="s">
        <v>26</v>
      </c>
      <c r="C3208">
        <v>69692</v>
      </c>
      <c r="D3208" t="s">
        <v>71</v>
      </c>
      <c r="E3208" s="7">
        <v>31.89</v>
      </c>
      <c r="F3208" t="s">
        <v>20</v>
      </c>
      <c r="G3208" t="s">
        <v>21</v>
      </c>
      <c r="H3208" t="str">
        <f>"4121579427"</f>
        <v>4121579427</v>
      </c>
      <c r="I3208" t="str">
        <f t="shared" si="77"/>
        <v>CINTAS CORPORATION #087</v>
      </c>
    </row>
    <row r="3209" spans="1:9" x14ac:dyDescent="0.25">
      <c r="A3209" s="6">
        <v>44720</v>
      </c>
      <c r="B3209" t="s">
        <v>26</v>
      </c>
      <c r="C3209">
        <v>69692</v>
      </c>
      <c r="D3209" t="s">
        <v>71</v>
      </c>
      <c r="E3209" s="7">
        <v>57.72</v>
      </c>
      <c r="F3209" t="s">
        <v>20</v>
      </c>
      <c r="G3209" t="s">
        <v>21</v>
      </c>
      <c r="H3209" t="str">
        <f>"4121579443"</f>
        <v>4121579443</v>
      </c>
      <c r="I3209" t="str">
        <f t="shared" si="77"/>
        <v>CINTAS CORPORATION #087</v>
      </c>
    </row>
    <row r="3210" spans="1:9" x14ac:dyDescent="0.25">
      <c r="A3210" s="6">
        <v>44720</v>
      </c>
      <c r="B3210" t="s">
        <v>26</v>
      </c>
      <c r="C3210">
        <v>69692</v>
      </c>
      <c r="D3210" t="s">
        <v>71</v>
      </c>
      <c r="E3210" s="7">
        <v>37.1</v>
      </c>
      <c r="F3210" t="s">
        <v>20</v>
      </c>
      <c r="G3210" t="s">
        <v>21</v>
      </c>
      <c r="H3210" t="str">
        <f>"4121579444"</f>
        <v>4121579444</v>
      </c>
      <c r="I3210" t="str">
        <f t="shared" si="77"/>
        <v>CINTAS CORPORATION #087</v>
      </c>
    </row>
    <row r="3211" spans="1:9" x14ac:dyDescent="0.25">
      <c r="A3211" s="6">
        <v>44720</v>
      </c>
      <c r="B3211" t="s">
        <v>26</v>
      </c>
      <c r="C3211">
        <v>69692</v>
      </c>
      <c r="D3211" t="s">
        <v>71</v>
      </c>
      <c r="E3211" s="7">
        <v>518.33000000000004</v>
      </c>
      <c r="F3211" t="s">
        <v>20</v>
      </c>
      <c r="G3211" t="s">
        <v>21</v>
      </c>
      <c r="H3211" t="str">
        <f>"4121579523"</f>
        <v>4121579523</v>
      </c>
      <c r="I3211" t="str">
        <f t="shared" si="77"/>
        <v>CINTAS CORPORATION #087</v>
      </c>
    </row>
    <row r="3212" spans="1:9" x14ac:dyDescent="0.25">
      <c r="A3212" s="6">
        <v>44720</v>
      </c>
      <c r="B3212" t="s">
        <v>26</v>
      </c>
      <c r="C3212">
        <v>69692</v>
      </c>
      <c r="D3212" t="s">
        <v>71</v>
      </c>
      <c r="E3212" s="7">
        <v>164.22</v>
      </c>
      <c r="F3212" t="s">
        <v>20</v>
      </c>
      <c r="G3212" t="s">
        <v>21</v>
      </c>
      <c r="H3212" t="str">
        <f>"4121579542"</f>
        <v>4121579542</v>
      </c>
      <c r="I3212" t="str">
        <f t="shared" si="77"/>
        <v>CINTAS CORPORATION #087</v>
      </c>
    </row>
    <row r="3213" spans="1:9" x14ac:dyDescent="0.25">
      <c r="A3213" s="6">
        <v>44720</v>
      </c>
      <c r="B3213" t="s">
        <v>26</v>
      </c>
      <c r="C3213">
        <v>69695</v>
      </c>
      <c r="D3213" t="s">
        <v>661</v>
      </c>
      <c r="E3213" s="7">
        <v>449.05</v>
      </c>
      <c r="F3213" t="s">
        <v>20</v>
      </c>
      <c r="G3213" t="s">
        <v>21</v>
      </c>
      <c r="H3213" t="str">
        <f>"8405716374"</f>
        <v>8405716374</v>
      </c>
      <c r="I3213" t="str">
        <f>"CINTAS FAS LOCKBOX 631025"</f>
        <v>CINTAS FAS LOCKBOX 631025</v>
      </c>
    </row>
    <row r="3214" spans="1:9" x14ac:dyDescent="0.25">
      <c r="A3214" s="6">
        <v>44720</v>
      </c>
      <c r="B3214" t="s">
        <v>26</v>
      </c>
      <c r="C3214">
        <v>69696</v>
      </c>
      <c r="D3214" t="s">
        <v>81</v>
      </c>
      <c r="E3214" s="7">
        <v>141.84</v>
      </c>
      <c r="F3214" t="s">
        <v>20</v>
      </c>
      <c r="G3214" t="s">
        <v>21</v>
      </c>
      <c r="H3214" t="str">
        <f>"A.MARTINEZ 6/7/22"</f>
        <v>A.MARTINEZ 6/7/22</v>
      </c>
      <c r="I3214" t="str">
        <f>"CITY OF FLORESVILLE -PETTY CAS"</f>
        <v>CITY OF FLORESVILLE -PETTY CAS</v>
      </c>
    </row>
    <row r="3215" spans="1:9" x14ac:dyDescent="0.25">
      <c r="A3215" s="6">
        <v>44720</v>
      </c>
      <c r="B3215" t="s">
        <v>26</v>
      </c>
      <c r="C3215">
        <v>69697</v>
      </c>
      <c r="D3215" t="s">
        <v>58</v>
      </c>
      <c r="E3215" s="7">
        <v>38</v>
      </c>
      <c r="F3215" t="s">
        <v>20</v>
      </c>
      <c r="G3215" t="s">
        <v>21</v>
      </c>
      <c r="H3215" t="str">
        <f>"675140"</f>
        <v>675140</v>
      </c>
      <c r="I3215" t="str">
        <f>"DEASON ANIMAL HOSPITAL"</f>
        <v>DEASON ANIMAL HOSPITAL</v>
      </c>
    </row>
    <row r="3216" spans="1:9" x14ac:dyDescent="0.25">
      <c r="A3216" s="6">
        <v>44720</v>
      </c>
      <c r="B3216" t="s">
        <v>26</v>
      </c>
      <c r="C3216">
        <v>69697</v>
      </c>
      <c r="D3216" t="s">
        <v>58</v>
      </c>
      <c r="E3216" s="7">
        <v>38</v>
      </c>
      <c r="F3216" t="s">
        <v>20</v>
      </c>
      <c r="G3216" t="s">
        <v>21</v>
      </c>
      <c r="H3216" t="str">
        <f>"675770"</f>
        <v>675770</v>
      </c>
      <c r="I3216" t="str">
        <f>"DEASON ANIMAL HOSPITAL"</f>
        <v>DEASON ANIMAL HOSPITAL</v>
      </c>
    </row>
    <row r="3217" spans="1:9" x14ac:dyDescent="0.25">
      <c r="A3217" s="6">
        <v>44720</v>
      </c>
      <c r="B3217" t="s">
        <v>26</v>
      </c>
      <c r="C3217">
        <v>69697</v>
      </c>
      <c r="D3217" t="s">
        <v>58</v>
      </c>
      <c r="E3217" s="7">
        <v>38</v>
      </c>
      <c r="F3217" t="s">
        <v>20</v>
      </c>
      <c r="G3217" t="s">
        <v>21</v>
      </c>
      <c r="H3217" t="str">
        <f>"677550"</f>
        <v>677550</v>
      </c>
      <c r="I3217" t="str">
        <f>"DEASON ANIMAL HOSPITAL"</f>
        <v>DEASON ANIMAL HOSPITAL</v>
      </c>
    </row>
    <row r="3218" spans="1:9" x14ac:dyDescent="0.25">
      <c r="A3218" s="6">
        <v>44720</v>
      </c>
      <c r="B3218" t="s">
        <v>26</v>
      </c>
      <c r="C3218">
        <v>69697</v>
      </c>
      <c r="D3218" t="s">
        <v>58</v>
      </c>
      <c r="E3218" s="7">
        <v>38</v>
      </c>
      <c r="F3218" t="s">
        <v>20</v>
      </c>
      <c r="G3218" t="s">
        <v>21</v>
      </c>
      <c r="H3218" t="str">
        <f>"677821"</f>
        <v>677821</v>
      </c>
      <c r="I3218" t="str">
        <f>"DEASON ANIMAL HOSPITAL"</f>
        <v>DEASON ANIMAL HOSPITAL</v>
      </c>
    </row>
    <row r="3219" spans="1:9" x14ac:dyDescent="0.25">
      <c r="A3219" s="6">
        <v>44720</v>
      </c>
      <c r="B3219" t="s">
        <v>26</v>
      </c>
      <c r="C3219">
        <v>69697</v>
      </c>
      <c r="D3219" t="s">
        <v>58</v>
      </c>
      <c r="E3219" s="7">
        <v>38</v>
      </c>
      <c r="F3219" t="s">
        <v>20</v>
      </c>
      <c r="G3219" t="s">
        <v>21</v>
      </c>
      <c r="H3219" t="str">
        <f>"677892"</f>
        <v>677892</v>
      </c>
      <c r="I3219" t="str">
        <f>"DEASON ANIMAL HOSPITAL"</f>
        <v>DEASON ANIMAL HOSPITAL</v>
      </c>
    </row>
    <row r="3220" spans="1:9" x14ac:dyDescent="0.25">
      <c r="A3220" s="6">
        <v>44720</v>
      </c>
      <c r="B3220" t="s">
        <v>26</v>
      </c>
      <c r="C3220">
        <v>69698</v>
      </c>
      <c r="D3220" t="s">
        <v>64</v>
      </c>
      <c r="E3220" s="7">
        <v>4484</v>
      </c>
      <c r="F3220" t="s">
        <v>20</v>
      </c>
      <c r="G3220" t="s">
        <v>21</v>
      </c>
      <c r="H3220" t="str">
        <f>"8896"</f>
        <v>8896</v>
      </c>
      <c r="I3220" t="str">
        <f>"DREWA DESIGNS  INC."</f>
        <v>DREWA DESIGNS  INC.</v>
      </c>
    </row>
    <row r="3221" spans="1:9" x14ac:dyDescent="0.25">
      <c r="A3221" s="6">
        <v>44720</v>
      </c>
      <c r="B3221" t="s">
        <v>91</v>
      </c>
      <c r="C3221">
        <v>69699</v>
      </c>
      <c r="D3221" t="s">
        <v>69</v>
      </c>
      <c r="E3221" s="7">
        <v>4.8499999999999996</v>
      </c>
      <c r="F3221" t="s">
        <v>20</v>
      </c>
      <c r="G3221" t="s">
        <v>21</v>
      </c>
      <c r="H3221" t="str">
        <f>"3C18223"</f>
        <v>3C18223</v>
      </c>
      <c r="I3221" t="str">
        <f>"EWALD KUBOTA  INC."</f>
        <v>EWALD KUBOTA  INC.</v>
      </c>
    </row>
    <row r="3222" spans="1:9" x14ac:dyDescent="0.25">
      <c r="A3222" s="6">
        <v>44720</v>
      </c>
      <c r="B3222" t="s">
        <v>91</v>
      </c>
      <c r="C3222">
        <v>69699</v>
      </c>
      <c r="D3222" t="s">
        <v>69</v>
      </c>
      <c r="E3222" s="7">
        <v>4.8499999999999996</v>
      </c>
      <c r="F3222" t="s">
        <v>20</v>
      </c>
      <c r="G3222" t="s">
        <v>93</v>
      </c>
      <c r="H3222" t="str">
        <f>"CHECK"</f>
        <v>CHECK</v>
      </c>
      <c r="I3222" t="str">
        <f>""</f>
        <v/>
      </c>
    </row>
    <row r="3223" spans="1:9" x14ac:dyDescent="0.25">
      <c r="A3223" s="6">
        <v>44720</v>
      </c>
      <c r="B3223" t="s">
        <v>26</v>
      </c>
      <c r="C3223">
        <v>69700</v>
      </c>
      <c r="D3223" t="s">
        <v>79</v>
      </c>
      <c r="E3223" s="7">
        <v>7.31</v>
      </c>
      <c r="F3223" t="s">
        <v>20</v>
      </c>
      <c r="G3223" t="s">
        <v>21</v>
      </c>
      <c r="H3223" t="str">
        <f>"7-768-25075"</f>
        <v>7-768-25075</v>
      </c>
      <c r="I3223" t="str">
        <f>"FEDEX"</f>
        <v>FEDEX</v>
      </c>
    </row>
    <row r="3224" spans="1:9" x14ac:dyDescent="0.25">
      <c r="A3224" s="6">
        <v>44720</v>
      </c>
      <c r="B3224" t="s">
        <v>26</v>
      </c>
      <c r="C3224">
        <v>69701</v>
      </c>
      <c r="D3224" t="s">
        <v>59</v>
      </c>
      <c r="E3224" s="7">
        <v>469.34</v>
      </c>
      <c r="F3224" t="s">
        <v>20</v>
      </c>
      <c r="G3224" t="s">
        <v>21</v>
      </c>
      <c r="H3224" t="str">
        <f>"1177755"</f>
        <v>1177755</v>
      </c>
      <c r="I3224" t="str">
        <f>"COMP BALL PART FOR WATER"</f>
        <v>COMP BALL PART FOR WATER</v>
      </c>
    </row>
    <row r="3225" spans="1:9" x14ac:dyDescent="0.25">
      <c r="A3225" s="6">
        <v>44720</v>
      </c>
      <c r="B3225" t="s">
        <v>26</v>
      </c>
      <c r="C3225">
        <v>69702</v>
      </c>
      <c r="D3225" t="s">
        <v>85</v>
      </c>
      <c r="E3225" s="7">
        <v>82.43</v>
      </c>
      <c r="F3225" t="s">
        <v>20</v>
      </c>
      <c r="G3225" t="s">
        <v>21</v>
      </c>
      <c r="H3225" t="str">
        <f>"3930579 JUNE 2022"</f>
        <v>3930579 JUNE 2022</v>
      </c>
      <c r="I3225" t="str">
        <f>"FRONTIER"</f>
        <v>FRONTIER</v>
      </c>
    </row>
    <row r="3226" spans="1:9" x14ac:dyDescent="0.25">
      <c r="A3226" s="6">
        <v>44720</v>
      </c>
      <c r="B3226" t="s">
        <v>26</v>
      </c>
      <c r="C3226">
        <v>69702</v>
      </c>
      <c r="D3226" t="s">
        <v>85</v>
      </c>
      <c r="E3226" s="7">
        <v>350.8</v>
      </c>
      <c r="F3226" t="s">
        <v>20</v>
      </c>
      <c r="G3226" t="s">
        <v>21</v>
      </c>
      <c r="H3226" t="str">
        <f>"3937050 JUNE 2022"</f>
        <v>3937050 JUNE 2022</v>
      </c>
      <c r="I3226" t="str">
        <f>"FRONTIER"</f>
        <v>FRONTIER</v>
      </c>
    </row>
    <row r="3227" spans="1:9" x14ac:dyDescent="0.25">
      <c r="A3227" s="6">
        <v>44720</v>
      </c>
      <c r="B3227" t="s">
        <v>26</v>
      </c>
      <c r="C3227">
        <v>69702</v>
      </c>
      <c r="D3227" t="s">
        <v>85</v>
      </c>
      <c r="E3227" s="7">
        <v>62.91</v>
      </c>
      <c r="F3227" t="s">
        <v>20</v>
      </c>
      <c r="G3227" t="s">
        <v>21</v>
      </c>
      <c r="H3227" t="str">
        <f>"3939791 JUNE 2022"</f>
        <v>3939791 JUNE 2022</v>
      </c>
      <c r="I3227" t="str">
        <f>"FRONTIER"</f>
        <v>FRONTIER</v>
      </c>
    </row>
    <row r="3228" spans="1:9" x14ac:dyDescent="0.25">
      <c r="A3228" s="6">
        <v>44720</v>
      </c>
      <c r="B3228" t="s">
        <v>26</v>
      </c>
      <c r="C3228">
        <v>69703</v>
      </c>
      <c r="D3228" t="s">
        <v>1221</v>
      </c>
      <c r="E3228" s="7">
        <v>24727.86</v>
      </c>
      <c r="F3228" t="s">
        <v>20</v>
      </c>
      <c r="G3228" t="s">
        <v>21</v>
      </c>
      <c r="H3228" t="str">
        <f>"8110"</f>
        <v>8110</v>
      </c>
      <c r="I3228" t="str">
        <f>"BEER WAREHOUSE DECK"</f>
        <v>BEER WAREHOUSE DECK</v>
      </c>
    </row>
    <row r="3229" spans="1:9" x14ac:dyDescent="0.25">
      <c r="A3229" s="6">
        <v>44720</v>
      </c>
      <c r="B3229" t="s">
        <v>26</v>
      </c>
      <c r="C3229">
        <v>69704</v>
      </c>
      <c r="D3229" t="s">
        <v>430</v>
      </c>
      <c r="E3229" s="7">
        <v>65</v>
      </c>
      <c r="F3229" t="s">
        <v>20</v>
      </c>
      <c r="G3229" t="s">
        <v>21</v>
      </c>
      <c r="H3229" t="str">
        <f>"TASER COURSE 6/22"</f>
        <v>TASER COURSE 6/22</v>
      </c>
      <c r="I3229" t="str">
        <f>"GILBERT RODRIGUEZ"</f>
        <v>GILBERT RODRIGUEZ</v>
      </c>
    </row>
    <row r="3230" spans="1:9" x14ac:dyDescent="0.25">
      <c r="A3230" s="6">
        <v>44720</v>
      </c>
      <c r="B3230" t="s">
        <v>26</v>
      </c>
      <c r="C3230">
        <v>69705</v>
      </c>
      <c r="D3230" t="s">
        <v>398</v>
      </c>
      <c r="E3230" s="7">
        <v>56.5</v>
      </c>
      <c r="F3230" t="s">
        <v>20</v>
      </c>
      <c r="G3230" t="s">
        <v>21</v>
      </c>
      <c r="H3230" t="str">
        <f>"20220601"</f>
        <v>20220601</v>
      </c>
      <c r="I3230" t="str">
        <f>"INTERCEPTOR TECHNOLOGY GROUP L"</f>
        <v>INTERCEPTOR TECHNOLOGY GROUP L</v>
      </c>
    </row>
    <row r="3231" spans="1:9" x14ac:dyDescent="0.25">
      <c r="A3231" s="6">
        <v>44720</v>
      </c>
      <c r="B3231" t="s">
        <v>26</v>
      </c>
      <c r="C3231">
        <v>69706</v>
      </c>
      <c r="D3231" t="s">
        <v>125</v>
      </c>
      <c r="E3231" s="7">
        <v>450</v>
      </c>
      <c r="F3231" t="s">
        <v>20</v>
      </c>
      <c r="G3231" t="s">
        <v>21</v>
      </c>
      <c r="H3231" t="str">
        <f>"21-1050 MAY 2022"</f>
        <v>21-1050 MAY 2022</v>
      </c>
      <c r="I3231" t="str">
        <f>"INTREPID SURVEYING CORPORATION"</f>
        <v>INTREPID SURVEYING CORPORATION</v>
      </c>
    </row>
    <row r="3232" spans="1:9" x14ac:dyDescent="0.25">
      <c r="A3232" s="6">
        <v>44720</v>
      </c>
      <c r="B3232" t="s">
        <v>26</v>
      </c>
      <c r="C3232">
        <v>69707</v>
      </c>
      <c r="D3232" t="s">
        <v>927</v>
      </c>
      <c r="E3232" s="7">
        <v>1370.37</v>
      </c>
      <c r="F3232" t="s">
        <v>20</v>
      </c>
      <c r="G3232" t="s">
        <v>21</v>
      </c>
      <c r="H3232" t="str">
        <f>"CITY0000012"</f>
        <v>CITY0000012</v>
      </c>
      <c r="I3232" t="str">
        <f>"JOELZ LAWN MOWING SERVICE"</f>
        <v>JOELZ LAWN MOWING SERVICE</v>
      </c>
    </row>
    <row r="3233" spans="1:9" x14ac:dyDescent="0.25">
      <c r="A3233" s="6">
        <v>44720</v>
      </c>
      <c r="B3233" t="s">
        <v>26</v>
      </c>
      <c r="C3233">
        <v>69708</v>
      </c>
      <c r="D3233" t="s">
        <v>1032</v>
      </c>
      <c r="E3233" s="7">
        <v>12650</v>
      </c>
      <c r="F3233" t="s">
        <v>20</v>
      </c>
      <c r="G3233" t="s">
        <v>21</v>
      </c>
      <c r="H3233" t="str">
        <f>"5-22-17969 6/2/22"</f>
        <v>5-22-17969 6/2/22</v>
      </c>
      <c r="I3233" t="str">
        <f>"LEAL &amp; CARTER  P.C."</f>
        <v>LEAL &amp; CARTER  P.C.</v>
      </c>
    </row>
    <row r="3234" spans="1:9" x14ac:dyDescent="0.25">
      <c r="A3234" s="6">
        <v>44720</v>
      </c>
      <c r="B3234" t="s">
        <v>91</v>
      </c>
      <c r="C3234">
        <v>69709</v>
      </c>
      <c r="D3234" t="s">
        <v>95</v>
      </c>
      <c r="E3234" s="7">
        <v>12.66</v>
      </c>
      <c r="F3234" t="s">
        <v>20</v>
      </c>
      <c r="G3234" t="s">
        <v>21</v>
      </c>
      <c r="H3234" t="str">
        <f>"LEA202205318658"</f>
        <v>LEA202205318658</v>
      </c>
      <c r="I3234" t="str">
        <f>"INSURANCE"</f>
        <v>INSURANCE</v>
      </c>
    </row>
    <row r="3235" spans="1:9" x14ac:dyDescent="0.25">
      <c r="A3235" s="6">
        <v>44720</v>
      </c>
      <c r="B3235" t="s">
        <v>91</v>
      </c>
      <c r="C3235">
        <v>69709</v>
      </c>
      <c r="D3235" t="s">
        <v>95</v>
      </c>
      <c r="E3235" s="7">
        <v>12.66</v>
      </c>
      <c r="F3235" t="s">
        <v>20</v>
      </c>
      <c r="G3235" t="s">
        <v>93</v>
      </c>
      <c r="H3235" t="str">
        <f>"CHECK"</f>
        <v>CHECK</v>
      </c>
      <c r="I3235" t="str">
        <f>""</f>
        <v/>
      </c>
    </row>
    <row r="3236" spans="1:9" x14ac:dyDescent="0.25">
      <c r="A3236" s="6">
        <v>44720</v>
      </c>
      <c r="B3236" t="s">
        <v>26</v>
      </c>
      <c r="C3236">
        <v>69710</v>
      </c>
      <c r="D3236" t="s">
        <v>1136</v>
      </c>
      <c r="E3236" s="7">
        <v>3680</v>
      </c>
      <c r="F3236" t="s">
        <v>20</v>
      </c>
      <c r="G3236" t="s">
        <v>21</v>
      </c>
      <c r="H3236" t="str">
        <f>"INV0139"</f>
        <v>INV0139</v>
      </c>
      <c r="I3236" t="str">
        <f>"HOSPITAL BLVD POLE LIGHT"</f>
        <v>HOSPITAL BLVD POLE LIGHT</v>
      </c>
    </row>
    <row r="3237" spans="1:9" x14ac:dyDescent="0.25">
      <c r="A3237" s="6">
        <v>44720</v>
      </c>
      <c r="B3237" t="s">
        <v>26</v>
      </c>
      <c r="C3237">
        <v>69711</v>
      </c>
      <c r="D3237" t="s">
        <v>29</v>
      </c>
      <c r="E3237" s="7">
        <v>3315</v>
      </c>
      <c r="F3237" t="s">
        <v>20</v>
      </c>
      <c r="G3237" t="s">
        <v>21</v>
      </c>
      <c r="H3237" t="str">
        <f>"56805"</f>
        <v>56805</v>
      </c>
      <c r="I3237" t="str">
        <f>"M &amp; S ENGINEERING  LLC"</f>
        <v>M &amp; S ENGINEERING  LLC</v>
      </c>
    </row>
    <row r="3238" spans="1:9" x14ac:dyDescent="0.25">
      <c r="A3238" s="6">
        <v>44720</v>
      </c>
      <c r="B3238" t="s">
        <v>26</v>
      </c>
      <c r="C3238">
        <v>69711</v>
      </c>
      <c r="D3238" t="s">
        <v>29</v>
      </c>
      <c r="E3238" s="7">
        <v>4100.9799999999996</v>
      </c>
      <c r="F3238" t="s">
        <v>20</v>
      </c>
      <c r="G3238" t="s">
        <v>21</v>
      </c>
      <c r="H3238" t="str">
        <f>"57571"</f>
        <v>57571</v>
      </c>
      <c r="I3238" t="str">
        <f>"M &amp; S ENGINEERING  LLC"</f>
        <v>M &amp; S ENGINEERING  LLC</v>
      </c>
    </row>
    <row r="3239" spans="1:9" x14ac:dyDescent="0.25">
      <c r="A3239" s="6">
        <v>44720</v>
      </c>
      <c r="B3239" t="s">
        <v>26</v>
      </c>
      <c r="C3239">
        <v>69711</v>
      </c>
      <c r="D3239" t="s">
        <v>29</v>
      </c>
      <c r="E3239" s="7">
        <v>10151.01</v>
      </c>
      <c r="F3239" t="s">
        <v>20</v>
      </c>
      <c r="G3239" t="s">
        <v>21</v>
      </c>
      <c r="H3239" t="str">
        <f>"58696"</f>
        <v>58696</v>
      </c>
      <c r="I3239" t="str">
        <f>"M &amp; S ENGINEERING  LLC"</f>
        <v>M &amp; S ENGINEERING  LLC</v>
      </c>
    </row>
    <row r="3240" spans="1:9" x14ac:dyDescent="0.25">
      <c r="A3240" s="6">
        <v>44720</v>
      </c>
      <c r="B3240" t="s">
        <v>26</v>
      </c>
      <c r="C3240">
        <v>69712</v>
      </c>
      <c r="D3240" t="s">
        <v>326</v>
      </c>
      <c r="E3240" s="7">
        <v>53</v>
      </c>
      <c r="F3240" t="s">
        <v>20</v>
      </c>
      <c r="G3240" t="s">
        <v>21</v>
      </c>
      <c r="H3240" t="str">
        <f>"0025749428"</f>
        <v>0025749428</v>
      </c>
      <c r="I3240" t="str">
        <f>"MATHESON TRI-GAS INC"</f>
        <v>MATHESON TRI-GAS INC</v>
      </c>
    </row>
    <row r="3241" spans="1:9" x14ac:dyDescent="0.25">
      <c r="A3241" s="6">
        <v>44720</v>
      </c>
      <c r="B3241" t="s">
        <v>26</v>
      </c>
      <c r="C3241">
        <v>69713</v>
      </c>
      <c r="D3241" t="s">
        <v>124</v>
      </c>
      <c r="E3241" s="7">
        <v>204.41</v>
      </c>
      <c r="F3241" t="s">
        <v>20</v>
      </c>
      <c r="G3241" t="s">
        <v>21</v>
      </c>
      <c r="H3241" t="str">
        <f>"11122221"</f>
        <v>11122221</v>
      </c>
      <c r="I3241" t="str">
        <f>"WWTP"</f>
        <v>WWTP</v>
      </c>
    </row>
    <row r="3242" spans="1:9" x14ac:dyDescent="0.25">
      <c r="A3242" s="6">
        <v>44720</v>
      </c>
      <c r="B3242" t="s">
        <v>26</v>
      </c>
      <c r="C3242">
        <v>69714</v>
      </c>
      <c r="D3242" t="s">
        <v>345</v>
      </c>
      <c r="E3242" s="7">
        <v>341</v>
      </c>
      <c r="F3242" t="s">
        <v>20</v>
      </c>
      <c r="G3242" t="s">
        <v>21</v>
      </c>
      <c r="H3242" t="str">
        <f>"6/6/2022"</f>
        <v>6/6/2022</v>
      </c>
      <c r="I3242" t="str">
        <f>"MICHAEL ISAAC MARTINEZ"</f>
        <v>MICHAEL ISAAC MARTINEZ</v>
      </c>
    </row>
    <row r="3243" spans="1:9" x14ac:dyDescent="0.25">
      <c r="A3243" s="6">
        <v>44720</v>
      </c>
      <c r="B3243" t="s">
        <v>26</v>
      </c>
      <c r="C3243">
        <v>69715</v>
      </c>
      <c r="D3243" t="s">
        <v>689</v>
      </c>
      <c r="E3243" s="7">
        <v>2123</v>
      </c>
      <c r="F3243" t="s">
        <v>20</v>
      </c>
      <c r="G3243" t="s">
        <v>21</v>
      </c>
      <c r="H3243" t="str">
        <f>"4234"</f>
        <v>4234</v>
      </c>
      <c r="I3243" t="str">
        <f>"MOY'S WATER WELL DRILLING &amp; SE"</f>
        <v>MOY'S WATER WELL DRILLING &amp; SE</v>
      </c>
    </row>
    <row r="3244" spans="1:9" x14ac:dyDescent="0.25">
      <c r="A3244" s="6">
        <v>44720</v>
      </c>
      <c r="B3244" t="s">
        <v>26</v>
      </c>
      <c r="C3244">
        <v>69716</v>
      </c>
      <c r="D3244" t="s">
        <v>327</v>
      </c>
      <c r="E3244" s="7">
        <v>28.3</v>
      </c>
      <c r="F3244" t="s">
        <v>20</v>
      </c>
      <c r="G3244" t="s">
        <v>21</v>
      </c>
      <c r="H3244" t="str">
        <f>"2980"</f>
        <v>2980</v>
      </c>
      <c r="I3244" t="str">
        <f>"MOY'S WATER WELL SERVICES"</f>
        <v>MOY'S WATER WELL SERVICES</v>
      </c>
    </row>
    <row r="3245" spans="1:9" x14ac:dyDescent="0.25">
      <c r="A3245" s="6">
        <v>44720</v>
      </c>
      <c r="B3245" t="s">
        <v>26</v>
      </c>
      <c r="C3245">
        <v>69716</v>
      </c>
      <c r="D3245" t="s">
        <v>327</v>
      </c>
      <c r="E3245" s="7">
        <v>24.68</v>
      </c>
      <c r="F3245" t="s">
        <v>20</v>
      </c>
      <c r="G3245" t="s">
        <v>21</v>
      </c>
      <c r="H3245" t="str">
        <f>"3142"</f>
        <v>3142</v>
      </c>
      <c r="I3245" t="str">
        <f>"MOY'S WATER WELL SERVICES"</f>
        <v>MOY'S WATER WELL SERVICES</v>
      </c>
    </row>
    <row r="3246" spans="1:9" x14ac:dyDescent="0.25">
      <c r="A3246" s="6">
        <v>44720</v>
      </c>
      <c r="B3246" t="s">
        <v>26</v>
      </c>
      <c r="C3246">
        <v>69717</v>
      </c>
      <c r="D3246" t="s">
        <v>123</v>
      </c>
      <c r="E3246" s="7">
        <v>13.04</v>
      </c>
      <c r="F3246" t="s">
        <v>20</v>
      </c>
      <c r="G3246" t="s">
        <v>21</v>
      </c>
      <c r="H3246" t="str">
        <f>"247428126001"</f>
        <v>247428126001</v>
      </c>
      <c r="I3246" t="str">
        <f>"OFFICE DEPOT  INC."</f>
        <v>OFFICE DEPOT  INC.</v>
      </c>
    </row>
    <row r="3247" spans="1:9" x14ac:dyDescent="0.25">
      <c r="A3247" s="6">
        <v>44720</v>
      </c>
      <c r="B3247" t="s">
        <v>26</v>
      </c>
      <c r="C3247">
        <v>69718</v>
      </c>
      <c r="D3247" t="s">
        <v>959</v>
      </c>
      <c r="E3247" s="7">
        <v>302.37</v>
      </c>
      <c r="F3247" t="s">
        <v>20</v>
      </c>
      <c r="G3247" t="s">
        <v>21</v>
      </c>
      <c r="H3247" t="str">
        <f>"101"</f>
        <v>101</v>
      </c>
      <c r="I3247" t="str">
        <f>"OUTDOOR FUN AND SUN"</f>
        <v>OUTDOOR FUN AND SUN</v>
      </c>
    </row>
    <row r="3248" spans="1:9" x14ac:dyDescent="0.25">
      <c r="A3248" s="6">
        <v>44720</v>
      </c>
      <c r="B3248" t="s">
        <v>26</v>
      </c>
      <c r="C3248">
        <v>69719</v>
      </c>
      <c r="D3248" t="s">
        <v>1081</v>
      </c>
      <c r="E3248" s="7">
        <v>858</v>
      </c>
      <c r="F3248" t="s">
        <v>20</v>
      </c>
      <c r="G3248" t="s">
        <v>21</v>
      </c>
      <c r="H3248" t="str">
        <f>"37121"</f>
        <v>37121</v>
      </c>
      <c r="I3248" t="str">
        <f>"PINNACLE PEST DEFENSE"</f>
        <v>PINNACLE PEST DEFENSE</v>
      </c>
    </row>
    <row r="3249" spans="1:9" x14ac:dyDescent="0.25">
      <c r="A3249" s="6">
        <v>44720</v>
      </c>
      <c r="B3249" t="s">
        <v>26</v>
      </c>
      <c r="C3249">
        <v>69720</v>
      </c>
      <c r="D3249" t="s">
        <v>62</v>
      </c>
      <c r="E3249" s="7">
        <v>233.75</v>
      </c>
      <c r="F3249" t="s">
        <v>20</v>
      </c>
      <c r="G3249" t="s">
        <v>21</v>
      </c>
      <c r="H3249" t="str">
        <f>"79974"</f>
        <v>79974</v>
      </c>
      <c r="I3249" t="str">
        <f>"PROFICIENT BENEFIT SOLUTIONS"</f>
        <v>PROFICIENT BENEFIT SOLUTIONS</v>
      </c>
    </row>
    <row r="3250" spans="1:9" x14ac:dyDescent="0.25">
      <c r="A3250" s="6">
        <v>44720</v>
      </c>
      <c r="B3250" t="s">
        <v>26</v>
      </c>
      <c r="C3250">
        <v>69721</v>
      </c>
      <c r="D3250" t="s">
        <v>119</v>
      </c>
      <c r="E3250" s="7">
        <v>183.75</v>
      </c>
      <c r="F3250" t="s">
        <v>20</v>
      </c>
      <c r="G3250" t="s">
        <v>21</v>
      </c>
      <c r="H3250" t="str">
        <f>"89189"</f>
        <v>89189</v>
      </c>
      <c r="I3250" t="str">
        <f>"PRUSKI'S TIRE SHOP  L.L.C."</f>
        <v>PRUSKI'S TIRE SHOP  L.L.C.</v>
      </c>
    </row>
    <row r="3251" spans="1:9" x14ac:dyDescent="0.25">
      <c r="A3251" s="6">
        <v>44720</v>
      </c>
      <c r="B3251" t="s">
        <v>26</v>
      </c>
      <c r="C3251">
        <v>69722</v>
      </c>
      <c r="D3251" t="s">
        <v>252</v>
      </c>
      <c r="E3251" s="7">
        <v>56345.72</v>
      </c>
      <c r="F3251" t="s">
        <v>20</v>
      </c>
      <c r="G3251" t="s">
        <v>21</v>
      </c>
      <c r="H3251" t="str">
        <f>"PAY APP #2 3/20/22"</f>
        <v>PAY APP #2 3/20/22</v>
      </c>
      <c r="I3251" t="str">
        <f>"RAM II GENERAL CONTRACTOR INC."</f>
        <v>RAM II GENERAL CONTRACTOR INC.</v>
      </c>
    </row>
    <row r="3252" spans="1:9" x14ac:dyDescent="0.25">
      <c r="A3252" s="6">
        <v>44720</v>
      </c>
      <c r="B3252" t="s">
        <v>26</v>
      </c>
      <c r="C3252">
        <v>69723</v>
      </c>
      <c r="D3252" t="s">
        <v>213</v>
      </c>
      <c r="E3252" s="7">
        <v>922.02</v>
      </c>
      <c r="F3252" t="s">
        <v>20</v>
      </c>
      <c r="G3252" t="s">
        <v>21</v>
      </c>
      <c r="H3252" t="str">
        <f>"MAY 2022"</f>
        <v>MAY 2022</v>
      </c>
      <c r="I3252" t="str">
        <f>"RIVER BEND COMMUNITY DEVELOPME"</f>
        <v>RIVER BEND COMMUNITY DEVELOPME</v>
      </c>
    </row>
    <row r="3253" spans="1:9" x14ac:dyDescent="0.25">
      <c r="A3253" s="6">
        <v>44720</v>
      </c>
      <c r="B3253" t="s">
        <v>26</v>
      </c>
      <c r="C3253">
        <v>69724</v>
      </c>
      <c r="D3253" t="s">
        <v>1033</v>
      </c>
      <c r="E3253" s="7">
        <v>4392.6400000000003</v>
      </c>
      <c r="F3253" t="s">
        <v>20</v>
      </c>
      <c r="G3253" t="s">
        <v>21</v>
      </c>
      <c r="H3253" t="str">
        <f>"1292"</f>
        <v>1292</v>
      </c>
      <c r="I3253" t="str">
        <f>"2017 FORD EXPLORER 331"</f>
        <v>2017 FORD EXPLORER 331</v>
      </c>
    </row>
    <row r="3254" spans="1:9" x14ac:dyDescent="0.25">
      <c r="A3254" s="6">
        <v>44720</v>
      </c>
      <c r="B3254" t="s">
        <v>26</v>
      </c>
      <c r="C3254">
        <v>69725</v>
      </c>
      <c r="D3254" t="s">
        <v>31</v>
      </c>
      <c r="E3254" s="7">
        <v>2000</v>
      </c>
      <c r="F3254" t="s">
        <v>20</v>
      </c>
      <c r="G3254" t="s">
        <v>21</v>
      </c>
      <c r="H3254" t="str">
        <f>"2022301"</f>
        <v>2022301</v>
      </c>
      <c r="I3254" t="str">
        <f>"THE LAW OFFICE OF TOM CALDWELL"</f>
        <v>THE LAW OFFICE OF TOM CALDWELL</v>
      </c>
    </row>
    <row r="3255" spans="1:9" x14ac:dyDescent="0.25">
      <c r="A3255" s="6">
        <v>44720</v>
      </c>
      <c r="B3255" t="s">
        <v>26</v>
      </c>
      <c r="C3255">
        <v>69726</v>
      </c>
      <c r="D3255" t="s">
        <v>698</v>
      </c>
      <c r="E3255" s="7">
        <v>90.85</v>
      </c>
      <c r="F3255" t="s">
        <v>20</v>
      </c>
      <c r="G3255" t="s">
        <v>21</v>
      </c>
      <c r="H3255" t="str">
        <f>"6/4/2022"</f>
        <v>6/4/2022</v>
      </c>
      <c r="I3255" t="str">
        <f>"TRACY ORTIZ"</f>
        <v>TRACY ORTIZ</v>
      </c>
    </row>
    <row r="3256" spans="1:9" x14ac:dyDescent="0.25">
      <c r="A3256" s="6">
        <v>44720</v>
      </c>
      <c r="B3256" t="s">
        <v>26</v>
      </c>
      <c r="C3256">
        <v>69727</v>
      </c>
      <c r="D3256" t="s">
        <v>644</v>
      </c>
      <c r="E3256" s="7">
        <v>102.75</v>
      </c>
      <c r="F3256" t="s">
        <v>20</v>
      </c>
      <c r="G3256" t="s">
        <v>21</v>
      </c>
      <c r="H3256" t="str">
        <f>"8213736251"</f>
        <v>8213736251</v>
      </c>
      <c r="I3256" t="str">
        <f t="shared" ref="I3256:I3261" si="78">"UNIFIRST CORPORATION"</f>
        <v>UNIFIRST CORPORATION</v>
      </c>
    </row>
    <row r="3257" spans="1:9" x14ac:dyDescent="0.25">
      <c r="A3257" s="6">
        <v>44720</v>
      </c>
      <c r="B3257" t="s">
        <v>26</v>
      </c>
      <c r="C3257">
        <v>69727</v>
      </c>
      <c r="D3257" t="s">
        <v>644</v>
      </c>
      <c r="E3257" s="7">
        <v>29.49</v>
      </c>
      <c r="F3257" t="s">
        <v>20</v>
      </c>
      <c r="G3257" t="s">
        <v>21</v>
      </c>
      <c r="H3257" t="str">
        <f>"8213736252"</f>
        <v>8213736252</v>
      </c>
      <c r="I3257" t="str">
        <f t="shared" si="78"/>
        <v>UNIFIRST CORPORATION</v>
      </c>
    </row>
    <row r="3258" spans="1:9" x14ac:dyDescent="0.25">
      <c r="A3258" s="6">
        <v>44720</v>
      </c>
      <c r="B3258" t="s">
        <v>26</v>
      </c>
      <c r="C3258">
        <v>69727</v>
      </c>
      <c r="D3258" t="s">
        <v>644</v>
      </c>
      <c r="E3258" s="7">
        <v>152.41999999999999</v>
      </c>
      <c r="F3258" t="s">
        <v>20</v>
      </c>
      <c r="G3258" t="s">
        <v>21</v>
      </c>
      <c r="H3258" t="str">
        <f>"8213736253"</f>
        <v>8213736253</v>
      </c>
      <c r="I3258" t="str">
        <f t="shared" si="78"/>
        <v>UNIFIRST CORPORATION</v>
      </c>
    </row>
    <row r="3259" spans="1:9" x14ac:dyDescent="0.25">
      <c r="A3259" s="6">
        <v>44720</v>
      </c>
      <c r="B3259" t="s">
        <v>26</v>
      </c>
      <c r="C3259">
        <v>69727</v>
      </c>
      <c r="D3259" t="s">
        <v>644</v>
      </c>
      <c r="E3259" s="7">
        <v>133.87</v>
      </c>
      <c r="F3259" t="s">
        <v>20</v>
      </c>
      <c r="G3259" t="s">
        <v>21</v>
      </c>
      <c r="H3259" t="str">
        <f>"8213736254"</f>
        <v>8213736254</v>
      </c>
      <c r="I3259" t="str">
        <f t="shared" si="78"/>
        <v>UNIFIRST CORPORATION</v>
      </c>
    </row>
    <row r="3260" spans="1:9" x14ac:dyDescent="0.25">
      <c r="A3260" s="6">
        <v>44720</v>
      </c>
      <c r="B3260" t="s">
        <v>26</v>
      </c>
      <c r="C3260">
        <v>69727</v>
      </c>
      <c r="D3260" t="s">
        <v>644</v>
      </c>
      <c r="E3260" s="7">
        <v>123.82</v>
      </c>
      <c r="F3260" t="s">
        <v>20</v>
      </c>
      <c r="G3260" t="s">
        <v>21</v>
      </c>
      <c r="H3260" t="str">
        <f>"8213736256"</f>
        <v>8213736256</v>
      </c>
      <c r="I3260" t="str">
        <f t="shared" si="78"/>
        <v>UNIFIRST CORPORATION</v>
      </c>
    </row>
    <row r="3261" spans="1:9" x14ac:dyDescent="0.25">
      <c r="A3261" s="6">
        <v>44720</v>
      </c>
      <c r="B3261" t="s">
        <v>26</v>
      </c>
      <c r="C3261">
        <v>69727</v>
      </c>
      <c r="D3261" t="s">
        <v>644</v>
      </c>
      <c r="E3261" s="7">
        <v>29.49</v>
      </c>
      <c r="F3261" t="s">
        <v>20</v>
      </c>
      <c r="G3261" t="s">
        <v>21</v>
      </c>
      <c r="H3261" t="str">
        <f>"8213736257"</f>
        <v>8213736257</v>
      </c>
      <c r="I3261" t="str">
        <f t="shared" si="78"/>
        <v>UNIFIRST CORPORATION</v>
      </c>
    </row>
    <row r="3262" spans="1:9" x14ac:dyDescent="0.25">
      <c r="A3262" s="6">
        <v>44720</v>
      </c>
      <c r="B3262" t="s">
        <v>26</v>
      </c>
      <c r="C3262">
        <v>69729</v>
      </c>
      <c r="D3262" t="s">
        <v>237</v>
      </c>
      <c r="E3262" s="7">
        <v>891</v>
      </c>
      <c r="F3262" t="s">
        <v>20</v>
      </c>
      <c r="G3262" t="s">
        <v>21</v>
      </c>
      <c r="H3262" t="str">
        <f>"206607659-001"</f>
        <v>206607659-001</v>
      </c>
      <c r="I3262" t="str">
        <f>"TOOLS/SUPPLIES"</f>
        <v>TOOLS/SUPPLIES</v>
      </c>
    </row>
    <row r="3263" spans="1:9" x14ac:dyDescent="0.25">
      <c r="A3263" s="6">
        <v>44720</v>
      </c>
      <c r="B3263" t="s">
        <v>26</v>
      </c>
      <c r="C3263">
        <v>69729</v>
      </c>
      <c r="D3263" t="s">
        <v>237</v>
      </c>
      <c r="E3263" s="7">
        <v>382.67</v>
      </c>
      <c r="F3263" t="s">
        <v>20</v>
      </c>
      <c r="G3263" t="s">
        <v>21</v>
      </c>
      <c r="H3263" t="str">
        <f>"206610562-001"</f>
        <v>206610562-001</v>
      </c>
      <c r="I3263" t="str">
        <f>"TOOLS/SUPPLIES"</f>
        <v>TOOLS/SUPPLIES</v>
      </c>
    </row>
    <row r="3264" spans="1:9" x14ac:dyDescent="0.25">
      <c r="A3264" s="6">
        <v>44720</v>
      </c>
      <c r="B3264" t="s">
        <v>26</v>
      </c>
      <c r="C3264">
        <v>69730</v>
      </c>
      <c r="D3264" t="s">
        <v>122</v>
      </c>
      <c r="E3264" s="7">
        <v>258</v>
      </c>
      <c r="F3264" t="s">
        <v>20</v>
      </c>
      <c r="G3264" t="s">
        <v>21</v>
      </c>
      <c r="H3264" t="str">
        <f>"004666"</f>
        <v>004666</v>
      </c>
      <c r="I3264" t="str">
        <f>"VILLA TIRES"</f>
        <v>VILLA TIRES</v>
      </c>
    </row>
    <row r="3265" spans="1:9" x14ac:dyDescent="0.25">
      <c r="A3265" s="6">
        <v>44720</v>
      </c>
      <c r="B3265" t="s">
        <v>26</v>
      </c>
      <c r="C3265">
        <v>69730</v>
      </c>
      <c r="D3265" t="s">
        <v>122</v>
      </c>
      <c r="E3265" s="7">
        <v>529</v>
      </c>
      <c r="F3265" t="s">
        <v>20</v>
      </c>
      <c r="G3265" t="s">
        <v>21</v>
      </c>
      <c r="H3265" t="str">
        <f>"004675"</f>
        <v>004675</v>
      </c>
      <c r="I3265" t="str">
        <f>"TIRE FOR MACK TRUCK"</f>
        <v>TIRE FOR MACK TRUCK</v>
      </c>
    </row>
    <row r="3266" spans="1:9" x14ac:dyDescent="0.25">
      <c r="A3266" s="6">
        <v>44720</v>
      </c>
      <c r="B3266" t="s">
        <v>26</v>
      </c>
      <c r="C3266">
        <v>69731</v>
      </c>
      <c r="D3266" t="s">
        <v>202</v>
      </c>
      <c r="E3266" s="7">
        <v>851.62</v>
      </c>
      <c r="F3266" t="s">
        <v>20</v>
      </c>
      <c r="G3266" t="s">
        <v>21</v>
      </c>
      <c r="H3266" t="str">
        <f>"62465756"</f>
        <v>62465756</v>
      </c>
      <c r="I3266" t="str">
        <f>"VULCAN CONSTRUCTION MATERIALS"</f>
        <v>VULCAN CONSTRUCTION MATERIALS</v>
      </c>
    </row>
    <row r="3267" spans="1:9" x14ac:dyDescent="0.25">
      <c r="A3267" s="6">
        <v>44721</v>
      </c>
      <c r="B3267" t="s">
        <v>91</v>
      </c>
      <c r="C3267">
        <v>69732</v>
      </c>
      <c r="D3267" t="s">
        <v>1222</v>
      </c>
      <c r="E3267" s="7">
        <v>1824.76</v>
      </c>
      <c r="F3267" t="s">
        <v>20</v>
      </c>
      <c r="G3267" t="s">
        <v>21</v>
      </c>
      <c r="H3267" t="str">
        <f>"FACADEGRANT 5/9/22"</f>
        <v>FACADEGRANT 5/9/22</v>
      </c>
      <c r="I3267" t="str">
        <f>"LORI DELAGARZA"</f>
        <v>LORI DELAGARZA</v>
      </c>
    </row>
    <row r="3268" spans="1:9" x14ac:dyDescent="0.25">
      <c r="A3268" s="6">
        <v>44721</v>
      </c>
      <c r="B3268" t="s">
        <v>91</v>
      </c>
      <c r="C3268">
        <v>69732</v>
      </c>
      <c r="D3268" t="s">
        <v>1222</v>
      </c>
      <c r="E3268" s="7">
        <v>1824.76</v>
      </c>
      <c r="F3268" t="s">
        <v>20</v>
      </c>
      <c r="G3268" t="s">
        <v>93</v>
      </c>
      <c r="H3268" t="str">
        <f>"CHECK"</f>
        <v>CHECK</v>
      </c>
      <c r="I3268" t="str">
        <f>""</f>
        <v/>
      </c>
    </row>
    <row r="3269" spans="1:9" x14ac:dyDescent="0.25">
      <c r="A3269" s="6">
        <v>44721</v>
      </c>
      <c r="B3269" t="s">
        <v>26</v>
      </c>
      <c r="C3269">
        <v>69733</v>
      </c>
      <c r="D3269" t="s">
        <v>90</v>
      </c>
      <c r="E3269" s="7">
        <v>88.57</v>
      </c>
      <c r="F3269" t="s">
        <v>20</v>
      </c>
      <c r="G3269" t="s">
        <v>21</v>
      </c>
      <c r="H3269" t="str">
        <f>"ACA202205178657"</f>
        <v>ACA202205178657</v>
      </c>
      <c r="I3269" t="str">
        <f>"AFLAC INSURANCE"</f>
        <v>AFLAC INSURANCE</v>
      </c>
    </row>
    <row r="3270" spans="1:9" x14ac:dyDescent="0.25">
      <c r="A3270" s="6">
        <v>44721</v>
      </c>
      <c r="B3270" t="s">
        <v>26</v>
      </c>
      <c r="C3270">
        <v>69733</v>
      </c>
      <c r="D3270" t="s">
        <v>90</v>
      </c>
      <c r="E3270" s="7">
        <v>88.57</v>
      </c>
      <c r="F3270" t="s">
        <v>20</v>
      </c>
      <c r="G3270" t="s">
        <v>21</v>
      </c>
      <c r="H3270" t="str">
        <f>"ACA202205318658"</f>
        <v>ACA202205318658</v>
      </c>
      <c r="I3270" t="str">
        <f>"AFLAC INSURANCE"</f>
        <v>AFLAC INSURANCE</v>
      </c>
    </row>
    <row r="3271" spans="1:9" x14ac:dyDescent="0.25">
      <c r="A3271" s="6">
        <v>44721</v>
      </c>
      <c r="B3271" t="s">
        <v>26</v>
      </c>
      <c r="C3271">
        <v>69733</v>
      </c>
      <c r="D3271" t="s">
        <v>90</v>
      </c>
      <c r="E3271" s="7">
        <v>15.06</v>
      </c>
      <c r="F3271" t="s">
        <v>20</v>
      </c>
      <c r="G3271" t="s">
        <v>21</v>
      </c>
      <c r="H3271" t="str">
        <f>"ADR202205178657"</f>
        <v>ADR202205178657</v>
      </c>
      <c r="I3271" t="str">
        <f>"INSURANCE"</f>
        <v>INSURANCE</v>
      </c>
    </row>
    <row r="3272" spans="1:9" x14ac:dyDescent="0.25">
      <c r="A3272" s="6">
        <v>44721</v>
      </c>
      <c r="B3272" t="s">
        <v>26</v>
      </c>
      <c r="C3272">
        <v>69733</v>
      </c>
      <c r="D3272" t="s">
        <v>90</v>
      </c>
      <c r="E3272" s="7">
        <v>15.06</v>
      </c>
      <c r="F3272" t="s">
        <v>20</v>
      </c>
      <c r="G3272" t="s">
        <v>21</v>
      </c>
      <c r="H3272" t="str">
        <f>"ADR202205318658"</f>
        <v>ADR202205318658</v>
      </c>
      <c r="I3272" t="str">
        <f>"INSURANCE"</f>
        <v>INSURANCE</v>
      </c>
    </row>
    <row r="3273" spans="1:9" x14ac:dyDescent="0.25">
      <c r="A3273" s="6">
        <v>44721</v>
      </c>
      <c r="B3273" t="s">
        <v>26</v>
      </c>
      <c r="C3273">
        <v>69733</v>
      </c>
      <c r="D3273" t="s">
        <v>90</v>
      </c>
      <c r="E3273" s="7">
        <v>466.86</v>
      </c>
      <c r="F3273" t="s">
        <v>20</v>
      </c>
      <c r="G3273" t="s">
        <v>21</v>
      </c>
      <c r="H3273" t="str">
        <f>"AF1202205178657"</f>
        <v>AF1202205178657</v>
      </c>
      <c r="I3273" t="str">
        <f>"AFLAC INSURANCE"</f>
        <v>AFLAC INSURANCE</v>
      </c>
    </row>
    <row r="3274" spans="1:9" x14ac:dyDescent="0.25">
      <c r="A3274" s="6">
        <v>44721</v>
      </c>
      <c r="B3274" t="s">
        <v>26</v>
      </c>
      <c r="C3274">
        <v>69733</v>
      </c>
      <c r="D3274" t="s">
        <v>90</v>
      </c>
      <c r="E3274" s="7">
        <v>466.86</v>
      </c>
      <c r="F3274" t="s">
        <v>20</v>
      </c>
      <c r="G3274" t="s">
        <v>21</v>
      </c>
      <c r="H3274" t="str">
        <f>"AF1202205318658"</f>
        <v>AF1202205318658</v>
      </c>
      <c r="I3274" t="str">
        <f>"AFLAC INSURANCE"</f>
        <v>AFLAC INSURANCE</v>
      </c>
    </row>
    <row r="3275" spans="1:9" x14ac:dyDescent="0.25">
      <c r="A3275" s="6">
        <v>44721</v>
      </c>
      <c r="B3275" t="s">
        <v>26</v>
      </c>
      <c r="C3275">
        <v>69733</v>
      </c>
      <c r="D3275" t="s">
        <v>90</v>
      </c>
      <c r="E3275" s="7">
        <v>102.24</v>
      </c>
      <c r="F3275" t="s">
        <v>20</v>
      </c>
      <c r="G3275" t="s">
        <v>21</v>
      </c>
      <c r="H3275" t="str">
        <f>"AFS202205178657"</f>
        <v>AFS202205178657</v>
      </c>
      <c r="I3275" t="str">
        <f>"AFLAC STD"</f>
        <v>AFLAC STD</v>
      </c>
    </row>
    <row r="3276" spans="1:9" x14ac:dyDescent="0.25">
      <c r="A3276" s="6">
        <v>44721</v>
      </c>
      <c r="B3276" t="s">
        <v>26</v>
      </c>
      <c r="C3276">
        <v>69733</v>
      </c>
      <c r="D3276" t="s">
        <v>90</v>
      </c>
      <c r="E3276" s="7">
        <v>102.24</v>
      </c>
      <c r="F3276" t="s">
        <v>20</v>
      </c>
      <c r="G3276" t="s">
        <v>21</v>
      </c>
      <c r="H3276" t="str">
        <f>"AFS202205318658"</f>
        <v>AFS202205318658</v>
      </c>
      <c r="I3276" t="str">
        <f>"AFLAC STD"</f>
        <v>AFLAC STD</v>
      </c>
    </row>
    <row r="3277" spans="1:9" x14ac:dyDescent="0.25">
      <c r="A3277" s="6">
        <v>44721</v>
      </c>
      <c r="B3277" t="s">
        <v>26</v>
      </c>
      <c r="C3277">
        <v>69733</v>
      </c>
      <c r="D3277" t="s">
        <v>90</v>
      </c>
      <c r="E3277" s="7">
        <v>33.54</v>
      </c>
      <c r="F3277" t="s">
        <v>20</v>
      </c>
      <c r="G3277" t="s">
        <v>21</v>
      </c>
      <c r="H3277" t="str">
        <f>"ASP202205178657"</f>
        <v>ASP202205178657</v>
      </c>
      <c r="I3277" t="str">
        <f>"AFLAC INSURANCE"</f>
        <v>AFLAC INSURANCE</v>
      </c>
    </row>
    <row r="3278" spans="1:9" x14ac:dyDescent="0.25">
      <c r="A3278" s="6">
        <v>44721</v>
      </c>
      <c r="B3278" t="s">
        <v>26</v>
      </c>
      <c r="C3278">
        <v>69733</v>
      </c>
      <c r="D3278" t="s">
        <v>90</v>
      </c>
      <c r="E3278" s="7">
        <v>33.54</v>
      </c>
      <c r="F3278" t="s">
        <v>20</v>
      </c>
      <c r="G3278" t="s">
        <v>21</v>
      </c>
      <c r="H3278" t="str">
        <f>"ASP202205318658"</f>
        <v>ASP202205318658</v>
      </c>
      <c r="I3278" t="str">
        <f>"AFLAC INSURANCE"</f>
        <v>AFLAC INSURANCE</v>
      </c>
    </row>
    <row r="3279" spans="1:9" x14ac:dyDescent="0.25">
      <c r="A3279" s="6">
        <v>44721</v>
      </c>
      <c r="B3279" t="s">
        <v>26</v>
      </c>
      <c r="C3279">
        <v>69733</v>
      </c>
      <c r="D3279" t="s">
        <v>90</v>
      </c>
      <c r="E3279" s="7">
        <v>143.76</v>
      </c>
      <c r="F3279" t="s">
        <v>20</v>
      </c>
      <c r="G3279" t="s">
        <v>21</v>
      </c>
      <c r="H3279" t="str">
        <f>"HCO202205178657"</f>
        <v>HCO202205178657</v>
      </c>
      <c r="I3279" t="str">
        <f>"AFLAC INSURANCE"</f>
        <v>AFLAC INSURANCE</v>
      </c>
    </row>
    <row r="3280" spans="1:9" x14ac:dyDescent="0.25">
      <c r="A3280" s="6">
        <v>44721</v>
      </c>
      <c r="B3280" t="s">
        <v>26</v>
      </c>
      <c r="C3280">
        <v>69733</v>
      </c>
      <c r="D3280" t="s">
        <v>90</v>
      </c>
      <c r="E3280" s="7">
        <v>143.76</v>
      </c>
      <c r="F3280" t="s">
        <v>20</v>
      </c>
      <c r="G3280" t="s">
        <v>21</v>
      </c>
      <c r="H3280" t="str">
        <f>"HCO202205318658"</f>
        <v>HCO202205318658</v>
      </c>
      <c r="I3280" t="str">
        <f>"AFLAC INSURANCE"</f>
        <v>AFLAC INSURANCE</v>
      </c>
    </row>
    <row r="3281" spans="1:9" x14ac:dyDescent="0.25">
      <c r="A3281" s="6">
        <v>44721</v>
      </c>
      <c r="B3281" t="s">
        <v>26</v>
      </c>
      <c r="C3281">
        <v>69738</v>
      </c>
      <c r="D3281" t="s">
        <v>95</v>
      </c>
      <c r="E3281" s="7">
        <v>12.66</v>
      </c>
      <c r="F3281" t="s">
        <v>20</v>
      </c>
      <c r="G3281" t="s">
        <v>21</v>
      </c>
      <c r="H3281" t="str">
        <f>"LEA202205038654"</f>
        <v>LEA202205038654</v>
      </c>
      <c r="I3281" t="str">
        <f>"INSURANCE"</f>
        <v>INSURANCE</v>
      </c>
    </row>
    <row r="3282" spans="1:9" x14ac:dyDescent="0.25">
      <c r="A3282" s="6">
        <v>44721</v>
      </c>
      <c r="B3282" t="s">
        <v>26</v>
      </c>
      <c r="C3282">
        <v>69738</v>
      </c>
      <c r="D3282" t="s">
        <v>95</v>
      </c>
      <c r="E3282" s="7">
        <v>12.66</v>
      </c>
      <c r="F3282" t="s">
        <v>20</v>
      </c>
      <c r="G3282" t="s">
        <v>21</v>
      </c>
      <c r="H3282" t="str">
        <f>"LEA202205178657"</f>
        <v>LEA202205178657</v>
      </c>
      <c r="I3282" t="str">
        <f>"INSURANCE"</f>
        <v>INSURANCE</v>
      </c>
    </row>
    <row r="3283" spans="1:9" x14ac:dyDescent="0.25">
      <c r="A3283" s="6">
        <v>44721</v>
      </c>
      <c r="B3283" t="s">
        <v>26</v>
      </c>
      <c r="C3283">
        <v>69739</v>
      </c>
      <c r="D3283" t="s">
        <v>96</v>
      </c>
      <c r="E3283" s="7">
        <v>112.62</v>
      </c>
      <c r="F3283" t="s">
        <v>20</v>
      </c>
      <c r="G3283" t="s">
        <v>21</v>
      </c>
      <c r="H3283" t="str">
        <f>"PPL202205038654"</f>
        <v>PPL202205038654</v>
      </c>
      <c r="I3283" t="str">
        <f>"INSURANCE"</f>
        <v>INSURANCE</v>
      </c>
    </row>
    <row r="3284" spans="1:9" x14ac:dyDescent="0.25">
      <c r="A3284" s="6">
        <v>44721</v>
      </c>
      <c r="B3284" t="s">
        <v>26</v>
      </c>
      <c r="C3284">
        <v>69739</v>
      </c>
      <c r="D3284" t="s">
        <v>96</v>
      </c>
      <c r="E3284" s="7">
        <v>112.62</v>
      </c>
      <c r="F3284" t="s">
        <v>20</v>
      </c>
      <c r="G3284" t="s">
        <v>21</v>
      </c>
      <c r="H3284" t="str">
        <f>"PPL202205178657"</f>
        <v>PPL202205178657</v>
      </c>
      <c r="I3284" t="str">
        <f>"INSURANCE"</f>
        <v>INSURANCE</v>
      </c>
    </row>
    <row r="3285" spans="1:9" x14ac:dyDescent="0.25">
      <c r="A3285" s="6">
        <v>44721</v>
      </c>
      <c r="B3285" t="s">
        <v>26</v>
      </c>
      <c r="C3285">
        <v>69740</v>
      </c>
      <c r="D3285" t="s">
        <v>97</v>
      </c>
      <c r="E3285" s="7">
        <v>-144.38</v>
      </c>
      <c r="F3285" t="s">
        <v>20</v>
      </c>
      <c r="G3285" t="s">
        <v>24</v>
      </c>
      <c r="H3285" t="str">
        <f>"JUNE 2022"</f>
        <v>JUNE 2022</v>
      </c>
      <c r="I3285" t="str">
        <f>"HEALTH CARE SERVICE CORPORATIO"</f>
        <v>HEALTH CARE SERVICE CORPORATIO</v>
      </c>
    </row>
    <row r="3286" spans="1:9" x14ac:dyDescent="0.25">
      <c r="A3286" s="6">
        <v>44721</v>
      </c>
      <c r="B3286" t="s">
        <v>26</v>
      </c>
      <c r="C3286">
        <v>69740</v>
      </c>
      <c r="D3286" t="s">
        <v>97</v>
      </c>
      <c r="E3286" s="7">
        <v>1135.6099999999999</v>
      </c>
      <c r="F3286" t="s">
        <v>20</v>
      </c>
      <c r="G3286" t="s">
        <v>21</v>
      </c>
      <c r="H3286" t="str">
        <f>"DEN202205038654"</f>
        <v>DEN202205038654</v>
      </c>
      <c r="I3286" t="str">
        <f>"DENTAL INSURANCE"</f>
        <v>DENTAL INSURANCE</v>
      </c>
    </row>
    <row r="3287" spans="1:9" x14ac:dyDescent="0.25">
      <c r="A3287" s="6">
        <v>44721</v>
      </c>
      <c r="B3287" t="s">
        <v>26</v>
      </c>
      <c r="C3287">
        <v>69740</v>
      </c>
      <c r="D3287" t="s">
        <v>97</v>
      </c>
      <c r="E3287" s="7">
        <v>1120.22</v>
      </c>
      <c r="F3287" t="s">
        <v>20</v>
      </c>
      <c r="G3287" t="s">
        <v>21</v>
      </c>
      <c r="H3287" t="str">
        <f>"DEN202205178657"</f>
        <v>DEN202205178657</v>
      </c>
      <c r="I3287" t="str">
        <f>"DENTAL INSURANCE"</f>
        <v>DENTAL INSURANCE</v>
      </c>
    </row>
    <row r="3288" spans="1:9" x14ac:dyDescent="0.25">
      <c r="A3288" s="6">
        <v>44721</v>
      </c>
      <c r="B3288" t="s">
        <v>26</v>
      </c>
      <c r="C3288">
        <v>69740</v>
      </c>
      <c r="D3288" t="s">
        <v>97</v>
      </c>
      <c r="E3288" s="7">
        <v>20045.95</v>
      </c>
      <c r="F3288" t="s">
        <v>20</v>
      </c>
      <c r="G3288" t="s">
        <v>21</v>
      </c>
      <c r="H3288" t="str">
        <f>"MED202205038654"</f>
        <v>MED202205038654</v>
      </c>
      <c r="I3288" t="str">
        <f>"HEALTH &amp; DENTAL INSURANCE"</f>
        <v>HEALTH &amp; DENTAL INSURANCE</v>
      </c>
    </row>
    <row r="3289" spans="1:9" x14ac:dyDescent="0.25">
      <c r="A3289" s="6">
        <v>44721</v>
      </c>
      <c r="B3289" t="s">
        <v>26</v>
      </c>
      <c r="C3289">
        <v>69740</v>
      </c>
      <c r="D3289" t="s">
        <v>97</v>
      </c>
      <c r="E3289" s="7">
        <v>19854.61</v>
      </c>
      <c r="F3289" t="s">
        <v>20</v>
      </c>
      <c r="G3289" t="s">
        <v>21</v>
      </c>
      <c r="H3289" t="str">
        <f>"MED202205178657"</f>
        <v>MED202205178657</v>
      </c>
      <c r="I3289" t="str">
        <f>"HEALTH &amp; DENTAL INSURANCE"</f>
        <v>HEALTH &amp; DENTAL INSURANCE</v>
      </c>
    </row>
    <row r="3290" spans="1:9" x14ac:dyDescent="0.25">
      <c r="A3290" s="6">
        <v>44721</v>
      </c>
      <c r="B3290" t="s">
        <v>26</v>
      </c>
      <c r="C3290">
        <v>69746</v>
      </c>
      <c r="D3290" t="s">
        <v>98</v>
      </c>
      <c r="E3290" s="7">
        <v>-53.88</v>
      </c>
      <c r="F3290" t="s">
        <v>20</v>
      </c>
      <c r="G3290" t="s">
        <v>24</v>
      </c>
      <c r="H3290" t="str">
        <f>"JUNE 2022"</f>
        <v>JUNE 2022</v>
      </c>
      <c r="I3290" t="str">
        <f>"DEARBORN LIFE INSURANCE COMPAN"</f>
        <v>DEARBORN LIFE INSURANCE COMPAN</v>
      </c>
    </row>
    <row r="3291" spans="1:9" x14ac:dyDescent="0.25">
      <c r="A3291" s="6">
        <v>44721</v>
      </c>
      <c r="B3291" t="s">
        <v>26</v>
      </c>
      <c r="C3291">
        <v>69746</v>
      </c>
      <c r="D3291" t="s">
        <v>98</v>
      </c>
      <c r="E3291" s="7">
        <v>426.3</v>
      </c>
      <c r="F3291" t="s">
        <v>20</v>
      </c>
      <c r="G3291" t="s">
        <v>21</v>
      </c>
      <c r="H3291" t="str">
        <f>"STD202205038654"</f>
        <v>STD202205038654</v>
      </c>
      <c r="I3291" t="str">
        <f>"SHORT TERM DISABILITY"</f>
        <v>SHORT TERM DISABILITY</v>
      </c>
    </row>
    <row r="3292" spans="1:9" x14ac:dyDescent="0.25">
      <c r="A3292" s="6">
        <v>44721</v>
      </c>
      <c r="B3292" t="s">
        <v>26</v>
      </c>
      <c r="C3292">
        <v>69746</v>
      </c>
      <c r="D3292" t="s">
        <v>98</v>
      </c>
      <c r="E3292" s="7">
        <v>411.69</v>
      </c>
      <c r="F3292" t="s">
        <v>20</v>
      </c>
      <c r="G3292" t="s">
        <v>21</v>
      </c>
      <c r="H3292" t="str">
        <f>"STD202205178657"</f>
        <v>STD202205178657</v>
      </c>
      <c r="I3292" t="str">
        <f>"SHORT TERM DISABILITY"</f>
        <v>SHORT TERM DISABILITY</v>
      </c>
    </row>
    <row r="3293" spans="1:9" x14ac:dyDescent="0.25">
      <c r="A3293" s="6">
        <v>44721</v>
      </c>
      <c r="B3293" t="s">
        <v>26</v>
      </c>
      <c r="C3293">
        <v>69746</v>
      </c>
      <c r="D3293" t="s">
        <v>98</v>
      </c>
      <c r="E3293" s="7">
        <v>289.37</v>
      </c>
      <c r="F3293" t="s">
        <v>20</v>
      </c>
      <c r="G3293" t="s">
        <v>21</v>
      </c>
      <c r="H3293" t="str">
        <f>"VIS202205038654"</f>
        <v>VIS202205038654</v>
      </c>
      <c r="I3293" t="str">
        <f>"VISION INSURANCE"</f>
        <v>VISION INSURANCE</v>
      </c>
    </row>
    <row r="3294" spans="1:9" x14ac:dyDescent="0.25">
      <c r="A3294" s="6">
        <v>44721</v>
      </c>
      <c r="B3294" t="s">
        <v>26</v>
      </c>
      <c r="C3294">
        <v>69746</v>
      </c>
      <c r="D3294" t="s">
        <v>98</v>
      </c>
      <c r="E3294" s="7">
        <v>284.20999999999998</v>
      </c>
      <c r="F3294" t="s">
        <v>20</v>
      </c>
      <c r="G3294" t="s">
        <v>21</v>
      </c>
      <c r="H3294" t="str">
        <f>"VIS202205178657"</f>
        <v>VIS202205178657</v>
      </c>
      <c r="I3294" t="str">
        <f>"VISION INSURANCE"</f>
        <v>VISION INSURANCE</v>
      </c>
    </row>
    <row r="3295" spans="1:9" x14ac:dyDescent="0.25">
      <c r="A3295" s="6">
        <v>44721</v>
      </c>
      <c r="B3295" t="s">
        <v>26</v>
      </c>
      <c r="C3295">
        <v>69746</v>
      </c>
      <c r="D3295" t="s">
        <v>98</v>
      </c>
      <c r="E3295" s="7">
        <v>66.13</v>
      </c>
      <c r="F3295" t="s">
        <v>20</v>
      </c>
      <c r="G3295" t="s">
        <v>21</v>
      </c>
      <c r="H3295" t="str">
        <f>"VLC202205038654"</f>
        <v>VLC202205038654</v>
      </c>
      <c r="I3295" t="str">
        <f>"CHILD LIFE INSURANCE"</f>
        <v>CHILD LIFE INSURANCE</v>
      </c>
    </row>
    <row r="3296" spans="1:9" x14ac:dyDescent="0.25">
      <c r="A3296" s="6">
        <v>44721</v>
      </c>
      <c r="B3296" t="s">
        <v>26</v>
      </c>
      <c r="C3296">
        <v>69746</v>
      </c>
      <c r="D3296" t="s">
        <v>98</v>
      </c>
      <c r="E3296" s="7">
        <v>66.13</v>
      </c>
      <c r="F3296" t="s">
        <v>20</v>
      </c>
      <c r="G3296" t="s">
        <v>21</v>
      </c>
      <c r="H3296" t="str">
        <f>"VLC202205178657"</f>
        <v>VLC202205178657</v>
      </c>
      <c r="I3296" t="str">
        <f>"CHILD LIFE INSURANCE"</f>
        <v>CHILD LIFE INSURANCE</v>
      </c>
    </row>
    <row r="3297" spans="1:9" x14ac:dyDescent="0.25">
      <c r="A3297" s="6">
        <v>44721</v>
      </c>
      <c r="B3297" t="s">
        <v>26</v>
      </c>
      <c r="C3297">
        <v>69746</v>
      </c>
      <c r="D3297" t="s">
        <v>98</v>
      </c>
      <c r="E3297" s="7">
        <v>133.66</v>
      </c>
      <c r="F3297" t="s">
        <v>20</v>
      </c>
      <c r="G3297" t="s">
        <v>21</v>
      </c>
      <c r="H3297" t="str">
        <f>"VLS202205038654"</f>
        <v>VLS202205038654</v>
      </c>
      <c r="I3297" t="str">
        <f>"SPOUSE LIFE"</f>
        <v>SPOUSE LIFE</v>
      </c>
    </row>
    <row r="3298" spans="1:9" x14ac:dyDescent="0.25">
      <c r="A3298" s="6">
        <v>44721</v>
      </c>
      <c r="B3298" t="s">
        <v>26</v>
      </c>
      <c r="C3298">
        <v>69746</v>
      </c>
      <c r="D3298" t="s">
        <v>98</v>
      </c>
      <c r="E3298" s="7">
        <v>133.66</v>
      </c>
      <c r="F3298" t="s">
        <v>20</v>
      </c>
      <c r="G3298" t="s">
        <v>21</v>
      </c>
      <c r="H3298" t="str">
        <f>"VLS202205178657"</f>
        <v>VLS202205178657</v>
      </c>
      <c r="I3298" t="str">
        <f>"SPOUSE LIFE"</f>
        <v>SPOUSE LIFE</v>
      </c>
    </row>
    <row r="3299" spans="1:9" x14ac:dyDescent="0.25">
      <c r="A3299" s="6">
        <v>44721</v>
      </c>
      <c r="B3299" t="s">
        <v>26</v>
      </c>
      <c r="C3299">
        <v>69746</v>
      </c>
      <c r="D3299" t="s">
        <v>98</v>
      </c>
      <c r="E3299" s="7">
        <v>92.11</v>
      </c>
      <c r="F3299" t="s">
        <v>20</v>
      </c>
      <c r="G3299" t="s">
        <v>21</v>
      </c>
      <c r="H3299" t="str">
        <f>"VOE202205038654"</f>
        <v>VOE202205038654</v>
      </c>
      <c r="I3299" t="str">
        <f>"EMPLOYEE LIFE"</f>
        <v>EMPLOYEE LIFE</v>
      </c>
    </row>
    <row r="3300" spans="1:9" x14ac:dyDescent="0.25">
      <c r="A3300" s="6">
        <v>44721</v>
      </c>
      <c r="B3300" t="s">
        <v>26</v>
      </c>
      <c r="C3300">
        <v>69746</v>
      </c>
      <c r="D3300" t="s">
        <v>98</v>
      </c>
      <c r="E3300" s="7">
        <v>89.09</v>
      </c>
      <c r="F3300" t="s">
        <v>20</v>
      </c>
      <c r="G3300" t="s">
        <v>21</v>
      </c>
      <c r="H3300" t="str">
        <f>"VOE202205178657"</f>
        <v>VOE202205178657</v>
      </c>
      <c r="I3300" t="str">
        <f>"EMPLOYEE LIFE"</f>
        <v>EMPLOYEE LIFE</v>
      </c>
    </row>
    <row r="3301" spans="1:9" x14ac:dyDescent="0.25">
      <c r="A3301" s="6">
        <v>44721</v>
      </c>
      <c r="B3301" t="s">
        <v>26</v>
      </c>
      <c r="C3301">
        <v>69746</v>
      </c>
      <c r="D3301" t="s">
        <v>98</v>
      </c>
      <c r="E3301" s="7">
        <v>694.63</v>
      </c>
      <c r="F3301" t="s">
        <v>20</v>
      </c>
      <c r="G3301" t="s">
        <v>21</v>
      </c>
      <c r="H3301" t="str">
        <f>"VOL202205038654"</f>
        <v>VOL202205038654</v>
      </c>
      <c r="I3301" t="str">
        <f>"LIFE"</f>
        <v>LIFE</v>
      </c>
    </row>
    <row r="3302" spans="1:9" x14ac:dyDescent="0.25">
      <c r="A3302" s="6">
        <v>44721</v>
      </c>
      <c r="B3302" t="s">
        <v>26</v>
      </c>
      <c r="C3302">
        <v>69746</v>
      </c>
      <c r="D3302" t="s">
        <v>98</v>
      </c>
      <c r="E3302" s="7">
        <v>677.05</v>
      </c>
      <c r="F3302" t="s">
        <v>20</v>
      </c>
      <c r="G3302" t="s">
        <v>21</v>
      </c>
      <c r="H3302" t="str">
        <f>"VOL202205178657"</f>
        <v>VOL202205178657</v>
      </c>
      <c r="I3302" t="str">
        <f>"LIFE"</f>
        <v>LIFE</v>
      </c>
    </row>
    <row r="3303" spans="1:9" x14ac:dyDescent="0.25">
      <c r="A3303" s="6">
        <v>44721</v>
      </c>
      <c r="B3303" t="s">
        <v>26</v>
      </c>
      <c r="C3303">
        <v>69755</v>
      </c>
      <c r="D3303" t="s">
        <v>123</v>
      </c>
      <c r="E3303" s="7">
        <v>559.97</v>
      </c>
      <c r="F3303" t="s">
        <v>20</v>
      </c>
      <c r="G3303" t="s">
        <v>21</v>
      </c>
      <c r="H3303" t="str">
        <f>"246456547001"</f>
        <v>246456547001</v>
      </c>
      <c r="I3303" t="str">
        <f>"OFFICE SUPPLIES"</f>
        <v>OFFICE SUPPLIES</v>
      </c>
    </row>
    <row r="3304" spans="1:9" x14ac:dyDescent="0.25">
      <c r="A3304" s="6">
        <v>44721</v>
      </c>
      <c r="B3304" t="s">
        <v>26</v>
      </c>
      <c r="C3304">
        <v>69755</v>
      </c>
      <c r="D3304" t="s">
        <v>123</v>
      </c>
      <c r="E3304" s="7">
        <v>75.040000000000006</v>
      </c>
      <c r="F3304" t="s">
        <v>20</v>
      </c>
      <c r="G3304" t="s">
        <v>21</v>
      </c>
      <c r="H3304" t="str">
        <f>"247428911001"</f>
        <v>247428911001</v>
      </c>
      <c r="I3304" t="str">
        <f>"OFFICE SUPPLIES"</f>
        <v>OFFICE SUPPLIES</v>
      </c>
    </row>
    <row r="3305" spans="1:9" x14ac:dyDescent="0.25">
      <c r="A3305" s="6">
        <v>44721</v>
      </c>
      <c r="B3305" t="s">
        <v>26</v>
      </c>
      <c r="C3305">
        <v>69756</v>
      </c>
      <c r="D3305" t="s">
        <v>77</v>
      </c>
      <c r="E3305" s="7">
        <v>1031.96</v>
      </c>
      <c r="F3305" t="s">
        <v>20</v>
      </c>
      <c r="G3305" t="s">
        <v>21</v>
      </c>
      <c r="H3305" t="str">
        <f>"857000998-22"</f>
        <v>857000998-22</v>
      </c>
      <c r="I3305" t="str">
        <f>"B STREET WELL"</f>
        <v>B STREET WELL</v>
      </c>
    </row>
    <row r="3306" spans="1:9" x14ac:dyDescent="0.25">
      <c r="A3306" s="6">
        <v>44721</v>
      </c>
      <c r="B3306" t="s">
        <v>26</v>
      </c>
      <c r="C3306">
        <v>69757</v>
      </c>
      <c r="D3306" t="s">
        <v>131</v>
      </c>
      <c r="E3306" s="7">
        <v>128.56</v>
      </c>
      <c r="F3306" t="s">
        <v>20</v>
      </c>
      <c r="G3306" t="s">
        <v>21</v>
      </c>
      <c r="H3306" t="str">
        <f>"068349"</f>
        <v>068349</v>
      </c>
      <c r="I3306" t="str">
        <f>"WWTP SUPPLIES"</f>
        <v>WWTP SUPPLIES</v>
      </c>
    </row>
    <row r="3307" spans="1:9" x14ac:dyDescent="0.25">
      <c r="A3307" s="6">
        <v>44721</v>
      </c>
      <c r="B3307" t="s">
        <v>91</v>
      </c>
      <c r="C3307">
        <v>69758</v>
      </c>
      <c r="D3307" t="s">
        <v>92</v>
      </c>
      <c r="E3307" s="7">
        <v>16892.09</v>
      </c>
      <c r="F3307" t="s">
        <v>20</v>
      </c>
      <c r="G3307" t="s">
        <v>21</v>
      </c>
      <c r="H3307" t="str">
        <f>"RET202205038654"</f>
        <v>RET202205038654</v>
      </c>
      <c r="I3307" t="str">
        <f>"TMRS CITY OF FLORESVILLE"</f>
        <v>TMRS CITY OF FLORESVILLE</v>
      </c>
    </row>
    <row r="3308" spans="1:9" x14ac:dyDescent="0.25">
      <c r="A3308" s="6">
        <v>44721</v>
      </c>
      <c r="B3308" t="s">
        <v>91</v>
      </c>
      <c r="C3308">
        <v>69758</v>
      </c>
      <c r="D3308" t="s">
        <v>92</v>
      </c>
      <c r="E3308" s="7">
        <v>16798.419999999998</v>
      </c>
      <c r="F3308" t="s">
        <v>20</v>
      </c>
      <c r="G3308" t="s">
        <v>21</v>
      </c>
      <c r="H3308" t="str">
        <f>"RET202205178657"</f>
        <v>RET202205178657</v>
      </c>
      <c r="I3308" t="str">
        <f>"TMRS CITY OF FLORESVILLE"</f>
        <v>TMRS CITY OF FLORESVILLE</v>
      </c>
    </row>
    <row r="3309" spans="1:9" x14ac:dyDescent="0.25">
      <c r="A3309" s="6">
        <v>44721</v>
      </c>
      <c r="B3309" t="s">
        <v>91</v>
      </c>
      <c r="C3309">
        <v>69758</v>
      </c>
      <c r="D3309" t="s">
        <v>92</v>
      </c>
      <c r="E3309" s="7">
        <v>33690.51</v>
      </c>
      <c r="F3309" t="s">
        <v>20</v>
      </c>
      <c r="G3309" t="s">
        <v>93</v>
      </c>
      <c r="H3309" t="str">
        <f>"CHECK"</f>
        <v>CHECK</v>
      </c>
      <c r="I3309" t="str">
        <f>""</f>
        <v/>
      </c>
    </row>
    <row r="3310" spans="1:9" x14ac:dyDescent="0.25">
      <c r="A3310" s="6">
        <v>44721</v>
      </c>
      <c r="B3310" t="s">
        <v>26</v>
      </c>
      <c r="C3310">
        <v>69762</v>
      </c>
      <c r="D3310" t="s">
        <v>92</v>
      </c>
      <c r="E3310" s="7">
        <v>16892.09</v>
      </c>
      <c r="F3310" t="s">
        <v>20</v>
      </c>
      <c r="G3310" t="s">
        <v>21</v>
      </c>
      <c r="H3310" t="str">
        <f>"RET202205038654"</f>
        <v>RET202205038654</v>
      </c>
      <c r="I3310" t="str">
        <f>"TMRS CITY OF FLORESVILLE"</f>
        <v>TMRS CITY OF FLORESVILLE</v>
      </c>
    </row>
    <row r="3311" spans="1:9" x14ac:dyDescent="0.25">
      <c r="A3311" s="6">
        <v>44721</v>
      </c>
      <c r="B3311" t="s">
        <v>26</v>
      </c>
      <c r="C3311">
        <v>69762</v>
      </c>
      <c r="D3311" t="s">
        <v>92</v>
      </c>
      <c r="E3311" s="7">
        <v>16798.419999999998</v>
      </c>
      <c r="F3311" t="s">
        <v>20</v>
      </c>
      <c r="G3311" t="s">
        <v>21</v>
      </c>
      <c r="H3311" t="str">
        <f>"RET202205178657"</f>
        <v>RET202205178657</v>
      </c>
      <c r="I3311" t="str">
        <f>"TMRS CITY OF FLORESVILLE"</f>
        <v>TMRS CITY OF FLORESVILLE</v>
      </c>
    </row>
    <row r="3312" spans="1:9" x14ac:dyDescent="0.25">
      <c r="A3312" s="6">
        <v>44721</v>
      </c>
      <c r="B3312" t="s">
        <v>26</v>
      </c>
      <c r="C3312">
        <v>69766</v>
      </c>
      <c r="D3312" t="s">
        <v>1223</v>
      </c>
      <c r="E3312" s="7">
        <v>50</v>
      </c>
      <c r="F3312" t="s">
        <v>20</v>
      </c>
      <c r="G3312" t="s">
        <v>21</v>
      </c>
      <c r="H3312" t="str">
        <f>"DEP.RFND 5/21/22"</f>
        <v>DEP.RFND 5/21/22</v>
      </c>
      <c r="I3312" t="str">
        <f>"REFUND"</f>
        <v>REFUND</v>
      </c>
    </row>
    <row r="3313" spans="1:9" x14ac:dyDescent="0.25">
      <c r="A3313" s="6">
        <v>44721</v>
      </c>
      <c r="B3313" t="s">
        <v>26</v>
      </c>
      <c r="C3313">
        <v>69767</v>
      </c>
      <c r="D3313" t="s">
        <v>74</v>
      </c>
      <c r="E3313" s="7">
        <v>2519.23</v>
      </c>
      <c r="F3313" t="s">
        <v>20</v>
      </c>
      <c r="G3313" t="s">
        <v>21</v>
      </c>
      <c r="H3313" t="str">
        <f>"9907255775"</f>
        <v>9907255775</v>
      </c>
      <c r="I3313" t="str">
        <f>"VERIZON WIRELESS"</f>
        <v>VERIZON WIRELESS</v>
      </c>
    </row>
    <row r="3314" spans="1:9" x14ac:dyDescent="0.25">
      <c r="A3314" s="6">
        <v>44721</v>
      </c>
      <c r="B3314" t="s">
        <v>26</v>
      </c>
      <c r="C3314">
        <v>69768</v>
      </c>
      <c r="D3314" t="s">
        <v>1074</v>
      </c>
      <c r="E3314" s="7">
        <v>49.77</v>
      </c>
      <c r="F3314" t="s">
        <v>20</v>
      </c>
      <c r="G3314" t="s">
        <v>21</v>
      </c>
      <c r="H3314" t="str">
        <f>"136Y-VH79-HTLF"</f>
        <v>136Y-VH79-HTLF</v>
      </c>
      <c r="I3314" t="str">
        <f>"AMAZON CAPITAL SERVICES"</f>
        <v>AMAZON CAPITAL SERVICES</v>
      </c>
    </row>
    <row r="3315" spans="1:9" x14ac:dyDescent="0.25">
      <c r="A3315" s="6">
        <v>44721</v>
      </c>
      <c r="B3315" t="s">
        <v>26</v>
      </c>
      <c r="C3315">
        <v>69768</v>
      </c>
      <c r="D3315" t="s">
        <v>1074</v>
      </c>
      <c r="E3315" s="7">
        <v>131.75</v>
      </c>
      <c r="F3315" t="s">
        <v>20</v>
      </c>
      <c r="G3315" t="s">
        <v>21</v>
      </c>
      <c r="H3315" t="str">
        <f>"136Y-VH79-JQXM"</f>
        <v>136Y-VH79-JQXM</v>
      </c>
      <c r="I3315" t="str">
        <f>"AMAZON CAPITAL SERVICES"</f>
        <v>AMAZON CAPITAL SERVICES</v>
      </c>
    </row>
    <row r="3316" spans="1:9" x14ac:dyDescent="0.25">
      <c r="A3316" s="6">
        <v>44721</v>
      </c>
      <c r="B3316" t="s">
        <v>26</v>
      </c>
      <c r="C3316">
        <v>69768</v>
      </c>
      <c r="D3316" t="s">
        <v>1074</v>
      </c>
      <c r="E3316" s="7">
        <v>104.37</v>
      </c>
      <c r="F3316" t="s">
        <v>20</v>
      </c>
      <c r="G3316" t="s">
        <v>21</v>
      </c>
      <c r="H3316" t="str">
        <f>"1KH4-9FHV-HHW6"</f>
        <v>1KH4-9FHV-HHW6</v>
      </c>
      <c r="I3316" t="str">
        <f>"ANIMAL CONTROL SUPPLIES"</f>
        <v>ANIMAL CONTROL SUPPLIES</v>
      </c>
    </row>
    <row r="3317" spans="1:9" x14ac:dyDescent="0.25">
      <c r="A3317" s="6">
        <v>44721</v>
      </c>
      <c r="B3317" t="s">
        <v>26</v>
      </c>
      <c r="C3317">
        <v>69768</v>
      </c>
      <c r="D3317" t="s">
        <v>1074</v>
      </c>
      <c r="E3317" s="7">
        <v>48</v>
      </c>
      <c r="F3317" t="s">
        <v>20</v>
      </c>
      <c r="G3317" t="s">
        <v>21</v>
      </c>
      <c r="H3317" t="str">
        <f>"1T6H-1D44-HL19"</f>
        <v>1T6H-1D44-HL19</v>
      </c>
      <c r="I3317" t="str">
        <f>"SQUARE READER"</f>
        <v>SQUARE READER</v>
      </c>
    </row>
    <row r="3318" spans="1:9" x14ac:dyDescent="0.25">
      <c r="A3318" s="6">
        <v>44721</v>
      </c>
      <c r="B3318" t="s">
        <v>26</v>
      </c>
      <c r="C3318">
        <v>69768</v>
      </c>
      <c r="D3318" t="s">
        <v>1074</v>
      </c>
      <c r="E3318" s="7">
        <v>21.79</v>
      </c>
      <c r="F3318" t="s">
        <v>20</v>
      </c>
      <c r="G3318" t="s">
        <v>21</v>
      </c>
      <c r="H3318" t="str">
        <f>"1T9Q-1D44-JG4Y"</f>
        <v>1T9Q-1D44-JG4Y</v>
      </c>
      <c r="I3318" t="str">
        <f>"AMAZON CAPITAL SERVICES"</f>
        <v>AMAZON CAPITAL SERVICES</v>
      </c>
    </row>
    <row r="3319" spans="1:9" x14ac:dyDescent="0.25">
      <c r="A3319" s="6">
        <v>44721</v>
      </c>
      <c r="B3319" t="s">
        <v>26</v>
      </c>
      <c r="C3319">
        <v>69768</v>
      </c>
      <c r="D3319" t="s">
        <v>1074</v>
      </c>
      <c r="E3319" s="7">
        <v>123.71</v>
      </c>
      <c r="F3319" t="s">
        <v>20</v>
      </c>
      <c r="G3319" t="s">
        <v>21</v>
      </c>
      <c r="H3319" t="str">
        <f>"1T9Q-1DJJ-HRT9"</f>
        <v>1T9Q-1DJJ-HRT9</v>
      </c>
      <c r="I3319" t="str">
        <f>"SHIRTS FOR JADE"</f>
        <v>SHIRTS FOR JADE</v>
      </c>
    </row>
    <row r="3320" spans="1:9" x14ac:dyDescent="0.25">
      <c r="A3320" s="6">
        <v>44721</v>
      </c>
      <c r="B3320" t="s">
        <v>26</v>
      </c>
      <c r="C3320">
        <v>69768</v>
      </c>
      <c r="D3320" t="s">
        <v>1074</v>
      </c>
      <c r="E3320" s="7">
        <v>15.29</v>
      </c>
      <c r="F3320" t="s">
        <v>20</v>
      </c>
      <c r="G3320" t="s">
        <v>21</v>
      </c>
      <c r="H3320" t="str">
        <f>"1Y9W-67Y6-HLNM"</f>
        <v>1Y9W-67Y6-HLNM</v>
      </c>
      <c r="I3320" t="str">
        <f>"AMAZON CAPITAL SERVICES"</f>
        <v>AMAZON CAPITAL SERVICES</v>
      </c>
    </row>
    <row r="3321" spans="1:9" x14ac:dyDescent="0.25">
      <c r="A3321" s="6">
        <v>44721</v>
      </c>
      <c r="B3321" t="s">
        <v>26</v>
      </c>
      <c r="C3321">
        <v>69768</v>
      </c>
      <c r="D3321" t="s">
        <v>1074</v>
      </c>
      <c r="E3321" s="7">
        <v>41.96</v>
      </c>
      <c r="F3321" t="s">
        <v>20</v>
      </c>
      <c r="G3321" t="s">
        <v>21</v>
      </c>
      <c r="H3321" t="str">
        <f>"1Y9W-67Y6-HMCF"</f>
        <v>1Y9W-67Y6-HMCF</v>
      </c>
      <c r="I3321" t="str">
        <f>"AMAZON CAPITAL SERVICES"</f>
        <v>AMAZON CAPITAL SERVICES</v>
      </c>
    </row>
    <row r="3322" spans="1:9" x14ac:dyDescent="0.25">
      <c r="A3322" s="6">
        <v>44721</v>
      </c>
      <c r="B3322" t="s">
        <v>26</v>
      </c>
      <c r="C3322">
        <v>69770</v>
      </c>
      <c r="D3322" t="s">
        <v>74</v>
      </c>
      <c r="E3322" s="7">
        <v>1264.72</v>
      </c>
      <c r="F3322" t="s">
        <v>20</v>
      </c>
      <c r="G3322" t="s">
        <v>21</v>
      </c>
      <c r="H3322" t="str">
        <f>"9907255776"</f>
        <v>9907255776</v>
      </c>
      <c r="I3322" t="str">
        <f>"VERIZON WIRELESS"</f>
        <v>VERIZON WIRELESS</v>
      </c>
    </row>
    <row r="3323" spans="1:9" x14ac:dyDescent="0.25">
      <c r="A3323" s="6">
        <v>44721</v>
      </c>
      <c r="B3323" t="s">
        <v>26</v>
      </c>
      <c r="C3323">
        <v>69771</v>
      </c>
      <c r="D3323" t="s">
        <v>1208</v>
      </c>
      <c r="E3323" s="7">
        <v>8421.73</v>
      </c>
      <c r="F3323" t="s">
        <v>20</v>
      </c>
      <c r="G3323" t="s">
        <v>21</v>
      </c>
      <c r="H3323" t="str">
        <f>"10785"</f>
        <v>10785</v>
      </c>
      <c r="I3323" t="str">
        <f>"LA VERNIA PUMP &amp; SUPPLY  INC"</f>
        <v>LA VERNIA PUMP &amp; SUPPLY  INC</v>
      </c>
    </row>
    <row r="3324" spans="1:9" x14ac:dyDescent="0.25">
      <c r="A3324" s="6">
        <v>44726</v>
      </c>
      <c r="B3324" t="s">
        <v>26</v>
      </c>
      <c r="C3324">
        <v>69778</v>
      </c>
      <c r="D3324" t="s">
        <v>51</v>
      </c>
      <c r="E3324" s="7">
        <v>13.85</v>
      </c>
      <c r="F3324" t="s">
        <v>20</v>
      </c>
      <c r="G3324" t="s">
        <v>21</v>
      </c>
      <c r="H3324" t="str">
        <f>"CLE202206148660"</f>
        <v>CLE202206148660</v>
      </c>
      <c r="I3324" t="str">
        <f>"CLEAT ONLY DUES"</f>
        <v>CLEAT ONLY DUES</v>
      </c>
    </row>
    <row r="3325" spans="1:9" x14ac:dyDescent="0.25">
      <c r="A3325" s="6">
        <v>44726</v>
      </c>
      <c r="B3325" t="s">
        <v>26</v>
      </c>
      <c r="C3325">
        <v>69778</v>
      </c>
      <c r="D3325" t="s">
        <v>51</v>
      </c>
      <c r="E3325" s="7">
        <v>332.46</v>
      </c>
      <c r="F3325" t="s">
        <v>20</v>
      </c>
      <c r="G3325" t="s">
        <v>21</v>
      </c>
      <c r="H3325" t="str">
        <f>"PDD202206148660"</f>
        <v>PDD202206148660</v>
      </c>
      <c r="I3325" t="str">
        <f>"POLICE OFFICERS ASSOC DUES"</f>
        <v>POLICE OFFICERS ASSOC DUES</v>
      </c>
    </row>
    <row r="3326" spans="1:9" x14ac:dyDescent="0.25">
      <c r="A3326" s="6">
        <v>44726</v>
      </c>
      <c r="B3326" t="s">
        <v>26</v>
      </c>
      <c r="C3326">
        <v>69779</v>
      </c>
      <c r="D3326" t="s">
        <v>52</v>
      </c>
      <c r="E3326" s="7">
        <v>101.25</v>
      </c>
      <c r="F3326" t="s">
        <v>20</v>
      </c>
      <c r="G3326" t="s">
        <v>21</v>
      </c>
      <c r="H3326" t="str">
        <f>"CA1202206148660"</f>
        <v>CA1202206148660</v>
      </c>
      <c r="I3326" t="str">
        <f>"K RAMIREZ 001200229510060343CV"</f>
        <v>K RAMIREZ 001200229510060343CV</v>
      </c>
    </row>
    <row r="3327" spans="1:9" x14ac:dyDescent="0.25">
      <c r="A3327" s="6">
        <v>44726</v>
      </c>
      <c r="B3327" t="s">
        <v>26</v>
      </c>
      <c r="C3327">
        <v>69779</v>
      </c>
      <c r="D3327" t="s">
        <v>52</v>
      </c>
      <c r="E3327" s="7">
        <v>101.25</v>
      </c>
      <c r="F3327" t="s">
        <v>20</v>
      </c>
      <c r="G3327" t="s">
        <v>21</v>
      </c>
      <c r="H3327" t="str">
        <f>"CA2202206148660"</f>
        <v>CA2202206148660</v>
      </c>
      <c r="I3327" t="str">
        <f>"L HERNANDEZ 001016025203080354"</f>
        <v>L HERNANDEZ 001016025203080354</v>
      </c>
    </row>
    <row r="3328" spans="1:9" x14ac:dyDescent="0.25">
      <c r="A3328" s="6">
        <v>44726</v>
      </c>
      <c r="B3328" t="s">
        <v>26</v>
      </c>
      <c r="C3328">
        <v>69779</v>
      </c>
      <c r="D3328" t="s">
        <v>52</v>
      </c>
      <c r="E3328" s="7">
        <v>101.25</v>
      </c>
      <c r="F3328" t="s">
        <v>20</v>
      </c>
      <c r="G3328" t="s">
        <v>21</v>
      </c>
      <c r="H3328" t="str">
        <f>"CA3202206148660"</f>
        <v>CA3202206148660</v>
      </c>
      <c r="I3328" t="str">
        <f>"00120788612011EM5023JOLENEGARC"</f>
        <v>00120788612011EM5023JOLENEGARC</v>
      </c>
    </row>
    <row r="3329" spans="1:9" x14ac:dyDescent="0.25">
      <c r="A3329" s="6">
        <v>44726</v>
      </c>
      <c r="B3329" t="s">
        <v>26</v>
      </c>
      <c r="C3329">
        <v>69779</v>
      </c>
      <c r="D3329" t="s">
        <v>52</v>
      </c>
      <c r="E3329" s="7">
        <v>306.45999999999998</v>
      </c>
      <c r="F3329" t="s">
        <v>20</v>
      </c>
      <c r="G3329" t="s">
        <v>21</v>
      </c>
      <c r="H3329" t="str">
        <f>"CPS202206148660"</f>
        <v>CPS202206148660</v>
      </c>
      <c r="I3329" t="str">
        <f>"G MENDOZA 00123012032010EM5054"</f>
        <v>G MENDOZA 00123012032010EM5054</v>
      </c>
    </row>
    <row r="3330" spans="1:9" x14ac:dyDescent="0.25">
      <c r="A3330" s="6">
        <v>44726</v>
      </c>
      <c r="B3330" t="s">
        <v>26</v>
      </c>
      <c r="C3330">
        <v>69779</v>
      </c>
      <c r="D3330" t="s">
        <v>52</v>
      </c>
      <c r="E3330" s="7">
        <v>101.25</v>
      </c>
      <c r="F3330" t="s">
        <v>20</v>
      </c>
      <c r="G3330" t="s">
        <v>21</v>
      </c>
      <c r="H3330" t="str">
        <f>"CSA202206148660"</f>
        <v>CSA202206148660</v>
      </c>
      <c r="I3330" t="str">
        <f>"S RODRIGUEZ 001281730413050336"</f>
        <v>S RODRIGUEZ 001281730413050336</v>
      </c>
    </row>
    <row r="3331" spans="1:9" x14ac:dyDescent="0.25">
      <c r="A3331" s="6">
        <v>44726</v>
      </c>
      <c r="B3331" t="s">
        <v>26</v>
      </c>
      <c r="C3331">
        <v>69779</v>
      </c>
      <c r="D3331" t="s">
        <v>52</v>
      </c>
      <c r="E3331" s="7">
        <v>521.54</v>
      </c>
      <c r="F3331" t="s">
        <v>20</v>
      </c>
      <c r="G3331" t="s">
        <v>21</v>
      </c>
      <c r="H3331" t="str">
        <f>"CSI202206148660"</f>
        <v>CSI202206148660</v>
      </c>
      <c r="I3331" t="str">
        <f>"KTRINIDAD0014071774CVW2000777"</f>
        <v>KTRINIDAD0014071774CVW2000777</v>
      </c>
    </row>
    <row r="3332" spans="1:9" x14ac:dyDescent="0.25">
      <c r="A3332" s="6">
        <v>44726</v>
      </c>
      <c r="B3332" t="s">
        <v>26</v>
      </c>
      <c r="C3332">
        <v>69781</v>
      </c>
      <c r="D3332" t="s">
        <v>54</v>
      </c>
      <c r="E3332" s="7">
        <v>803.43</v>
      </c>
      <c r="F3332" t="s">
        <v>20</v>
      </c>
      <c r="G3332" t="s">
        <v>21</v>
      </c>
      <c r="H3332" t="str">
        <f>"BRE202206148660"</f>
        <v>BRE202206148660</v>
      </c>
      <c r="I3332" t="str">
        <f>"CASE #180-60751 457B DEDUCT"</f>
        <v>CASE #180-60751 457B DEDUCT</v>
      </c>
    </row>
    <row r="3333" spans="1:9" x14ac:dyDescent="0.25">
      <c r="A3333" s="6">
        <v>44727</v>
      </c>
      <c r="B3333" t="s">
        <v>26</v>
      </c>
      <c r="C3333">
        <v>69782</v>
      </c>
      <c r="D3333" t="s">
        <v>1224</v>
      </c>
      <c r="E3333" s="7">
        <v>391.2</v>
      </c>
      <c r="F3333" t="s">
        <v>20</v>
      </c>
      <c r="G3333" t="s">
        <v>21</v>
      </c>
      <c r="H3333" t="str">
        <f>"0025807611"</f>
        <v>0025807611</v>
      </c>
      <c r="I3333" t="str">
        <f>"OXYGEN/GAS"</f>
        <v>OXYGEN/GAS</v>
      </c>
    </row>
    <row r="3334" spans="1:9" x14ac:dyDescent="0.25">
      <c r="A3334" s="6">
        <v>44727</v>
      </c>
      <c r="B3334" t="s">
        <v>26</v>
      </c>
      <c r="C3334">
        <v>69783</v>
      </c>
      <c r="D3334" t="s">
        <v>1145</v>
      </c>
      <c r="E3334" s="7">
        <v>16</v>
      </c>
      <c r="F3334" t="s">
        <v>20</v>
      </c>
      <c r="G3334" t="s">
        <v>21</v>
      </c>
      <c r="H3334" t="str">
        <f>"6"</f>
        <v>6</v>
      </c>
      <c r="I3334" t="str">
        <f>"6S ENGINEERING  INC"</f>
        <v>6S ENGINEERING  INC</v>
      </c>
    </row>
    <row r="3335" spans="1:9" x14ac:dyDescent="0.25">
      <c r="A3335" s="6">
        <v>44727</v>
      </c>
      <c r="B3335" t="s">
        <v>26</v>
      </c>
      <c r="C3335">
        <v>69784</v>
      </c>
      <c r="D3335" t="s">
        <v>1150</v>
      </c>
      <c r="E3335" s="7">
        <v>730</v>
      </c>
      <c r="F3335" t="s">
        <v>20</v>
      </c>
      <c r="G3335" t="s">
        <v>21</v>
      </c>
      <c r="H3335" t="str">
        <f>"INV-1257"</f>
        <v>INV-1257</v>
      </c>
      <c r="I3335" t="str">
        <f>"CPR/BUCKET TRUCK TRAINING"</f>
        <v>CPR/BUCKET TRUCK TRAINING</v>
      </c>
    </row>
    <row r="3336" spans="1:9" x14ac:dyDescent="0.25">
      <c r="A3336" s="6">
        <v>44727</v>
      </c>
      <c r="B3336" t="s">
        <v>26</v>
      </c>
      <c r="C3336">
        <v>69785</v>
      </c>
      <c r="D3336" t="s">
        <v>1074</v>
      </c>
      <c r="E3336" s="7">
        <v>198.99</v>
      </c>
      <c r="F3336" t="s">
        <v>20</v>
      </c>
      <c r="G3336" t="s">
        <v>21</v>
      </c>
      <c r="H3336" t="str">
        <f>"1XW1-FLGY-GC73"</f>
        <v>1XW1-FLGY-GC73</v>
      </c>
      <c r="I3336" t="str">
        <f>"CHAIR"</f>
        <v>CHAIR</v>
      </c>
    </row>
    <row r="3337" spans="1:9" x14ac:dyDescent="0.25">
      <c r="A3337" s="6">
        <v>44727</v>
      </c>
      <c r="B3337" t="s">
        <v>26</v>
      </c>
      <c r="C3337">
        <v>69786</v>
      </c>
      <c r="D3337" t="s">
        <v>179</v>
      </c>
      <c r="E3337" s="7">
        <v>1113.7</v>
      </c>
      <c r="F3337" t="s">
        <v>20</v>
      </c>
      <c r="G3337" t="s">
        <v>21</v>
      </c>
      <c r="H3337" t="str">
        <f>"270311"</f>
        <v>270311</v>
      </c>
      <c r="I3337" t="str">
        <f>"ANCIRA FORD-MERCURY"</f>
        <v>ANCIRA FORD-MERCURY</v>
      </c>
    </row>
    <row r="3338" spans="1:9" x14ac:dyDescent="0.25">
      <c r="A3338" s="6">
        <v>44727</v>
      </c>
      <c r="B3338" t="s">
        <v>26</v>
      </c>
      <c r="C3338">
        <v>69786</v>
      </c>
      <c r="D3338" t="s">
        <v>179</v>
      </c>
      <c r="E3338" s="7">
        <v>452.87</v>
      </c>
      <c r="F3338" t="s">
        <v>20</v>
      </c>
      <c r="G3338" t="s">
        <v>21</v>
      </c>
      <c r="H3338" t="str">
        <f>"271024"</f>
        <v>271024</v>
      </c>
      <c r="I3338" t="str">
        <f>"ANCIRA FORD-MERCURY"</f>
        <v>ANCIRA FORD-MERCURY</v>
      </c>
    </row>
    <row r="3339" spans="1:9" x14ac:dyDescent="0.25">
      <c r="A3339" s="6">
        <v>44727</v>
      </c>
      <c r="B3339" t="s">
        <v>26</v>
      </c>
      <c r="C3339">
        <v>69787</v>
      </c>
      <c r="D3339" t="s">
        <v>431</v>
      </c>
      <c r="E3339" s="7">
        <v>2300</v>
      </c>
      <c r="F3339" t="s">
        <v>20</v>
      </c>
      <c r="G3339" t="s">
        <v>21</v>
      </c>
      <c r="H3339" t="str">
        <f>"3"</f>
        <v>3</v>
      </c>
      <c r="I3339" t="str">
        <f>"ANDRES IBARRA"</f>
        <v>ANDRES IBARRA</v>
      </c>
    </row>
    <row r="3340" spans="1:9" x14ac:dyDescent="0.25">
      <c r="A3340" s="6">
        <v>44727</v>
      </c>
      <c r="B3340" t="s">
        <v>26</v>
      </c>
      <c r="C3340">
        <v>69788</v>
      </c>
      <c r="D3340" t="s">
        <v>195</v>
      </c>
      <c r="E3340" s="7">
        <v>1908.04</v>
      </c>
      <c r="F3340" t="s">
        <v>20</v>
      </c>
      <c r="G3340" t="s">
        <v>21</v>
      </c>
      <c r="H3340" t="str">
        <f>"INV-AIS-0005455"</f>
        <v>INV-AIS-0005455</v>
      </c>
      <c r="I3340" t="str">
        <f>"ARISTA INFORMATION SYSTEMS  IN"</f>
        <v>ARISTA INFORMATION SYSTEMS  IN</v>
      </c>
    </row>
    <row r="3341" spans="1:9" x14ac:dyDescent="0.25">
      <c r="A3341" s="6">
        <v>44727</v>
      </c>
      <c r="B3341" t="s">
        <v>26</v>
      </c>
      <c r="C3341">
        <v>69789</v>
      </c>
      <c r="D3341" t="s">
        <v>189</v>
      </c>
      <c r="E3341" s="7">
        <v>233.23</v>
      </c>
      <c r="F3341" t="s">
        <v>20</v>
      </c>
      <c r="G3341" t="s">
        <v>21</v>
      </c>
      <c r="H3341" t="str">
        <f>"SWO216936-6"</f>
        <v>SWO216936-6</v>
      </c>
      <c r="I3341" t="str">
        <f>"ASCO"</f>
        <v>ASCO</v>
      </c>
    </row>
    <row r="3342" spans="1:9" x14ac:dyDescent="0.25">
      <c r="A3342" s="6">
        <v>44727</v>
      </c>
      <c r="B3342" t="s">
        <v>26</v>
      </c>
      <c r="C3342">
        <v>69790</v>
      </c>
      <c r="D3342" t="s">
        <v>821</v>
      </c>
      <c r="E3342" s="7">
        <v>3119.51</v>
      </c>
      <c r="F3342" t="s">
        <v>20</v>
      </c>
      <c r="G3342" t="s">
        <v>21</v>
      </c>
      <c r="H3342" t="str">
        <f>"NSI3572"</f>
        <v>NSI3572</v>
      </c>
      <c r="I3342" t="str">
        <f>"WWTP DUAL CONTROL"</f>
        <v>WWTP DUAL CONTROL</v>
      </c>
    </row>
    <row r="3343" spans="1:9" x14ac:dyDescent="0.25">
      <c r="A3343" s="6">
        <v>44727</v>
      </c>
      <c r="B3343" t="s">
        <v>26</v>
      </c>
      <c r="C3343">
        <v>69791</v>
      </c>
      <c r="D3343" t="s">
        <v>115</v>
      </c>
      <c r="E3343" s="7">
        <v>119.99</v>
      </c>
      <c r="F3343" t="s">
        <v>20</v>
      </c>
      <c r="G3343" t="s">
        <v>21</v>
      </c>
      <c r="H3343" t="str">
        <f>"3547273363"</f>
        <v>3547273363</v>
      </c>
      <c r="I3343" t="str">
        <f>"GREASE GUN"</f>
        <v>GREASE GUN</v>
      </c>
    </row>
    <row r="3344" spans="1:9" x14ac:dyDescent="0.25">
      <c r="A3344" s="6">
        <v>44727</v>
      </c>
      <c r="B3344" t="s">
        <v>26</v>
      </c>
      <c r="C3344">
        <v>69791</v>
      </c>
      <c r="D3344" t="s">
        <v>115</v>
      </c>
      <c r="E3344" s="7">
        <v>79.989999999999995</v>
      </c>
      <c r="F3344" t="s">
        <v>20</v>
      </c>
      <c r="G3344" t="s">
        <v>21</v>
      </c>
      <c r="H3344" t="str">
        <f>"3547276141"</f>
        <v>3547276141</v>
      </c>
      <c r="I3344" t="str">
        <f>"SOCKET SET"</f>
        <v>SOCKET SET</v>
      </c>
    </row>
    <row r="3345" spans="1:9" x14ac:dyDescent="0.25">
      <c r="A3345" s="6">
        <v>44727</v>
      </c>
      <c r="B3345" t="s">
        <v>26</v>
      </c>
      <c r="C3345">
        <v>69791</v>
      </c>
      <c r="D3345" t="s">
        <v>115</v>
      </c>
      <c r="E3345" s="7">
        <v>34.99</v>
      </c>
      <c r="F3345" t="s">
        <v>20</v>
      </c>
      <c r="G3345" t="s">
        <v>21</v>
      </c>
      <c r="H3345" t="str">
        <f>"3547277007"</f>
        <v>3547277007</v>
      </c>
      <c r="I3345" t="str">
        <f>"BRAKE PADS"</f>
        <v>BRAKE PADS</v>
      </c>
    </row>
    <row r="3346" spans="1:9" x14ac:dyDescent="0.25">
      <c r="A3346" s="6">
        <v>44727</v>
      </c>
      <c r="B3346" t="s">
        <v>26</v>
      </c>
      <c r="C3346">
        <v>69791</v>
      </c>
      <c r="D3346" t="s">
        <v>115</v>
      </c>
      <c r="E3346" s="7">
        <v>121.99</v>
      </c>
      <c r="F3346" t="s">
        <v>20</v>
      </c>
      <c r="G3346" t="s">
        <v>21</v>
      </c>
      <c r="H3346" t="str">
        <f>"3547278361"</f>
        <v>3547278361</v>
      </c>
      <c r="I3346" t="str">
        <f>"2004 FORD F350"</f>
        <v>2004 FORD F350</v>
      </c>
    </row>
    <row r="3347" spans="1:9" x14ac:dyDescent="0.25">
      <c r="A3347" s="6">
        <v>44727</v>
      </c>
      <c r="B3347" t="s">
        <v>26</v>
      </c>
      <c r="C3347">
        <v>69791</v>
      </c>
      <c r="D3347" t="s">
        <v>115</v>
      </c>
      <c r="E3347" s="7">
        <v>43.08</v>
      </c>
      <c r="F3347" t="s">
        <v>20</v>
      </c>
      <c r="G3347" t="s">
        <v>21</v>
      </c>
      <c r="H3347" t="str">
        <f>"3547281446"</f>
        <v>3547281446</v>
      </c>
      <c r="I3347" t="str">
        <f>"OIL FILTERS"</f>
        <v>OIL FILTERS</v>
      </c>
    </row>
    <row r="3348" spans="1:9" x14ac:dyDescent="0.25">
      <c r="A3348" s="6">
        <v>44727</v>
      </c>
      <c r="B3348" t="s">
        <v>26</v>
      </c>
      <c r="C3348">
        <v>69792</v>
      </c>
      <c r="D3348" t="s">
        <v>1225</v>
      </c>
      <c r="E3348" s="7">
        <v>50</v>
      </c>
      <c r="F3348" t="s">
        <v>20</v>
      </c>
      <c r="G3348" t="s">
        <v>21</v>
      </c>
      <c r="H3348" t="str">
        <f>"DEP. RFND 6/12/22"</f>
        <v>DEP. RFND 6/12/22</v>
      </c>
      <c r="I3348" t="str">
        <f>"REFUND"</f>
        <v>REFUND</v>
      </c>
    </row>
    <row r="3349" spans="1:9" x14ac:dyDescent="0.25">
      <c r="A3349" s="6">
        <v>44727</v>
      </c>
      <c r="B3349" t="s">
        <v>26</v>
      </c>
      <c r="C3349">
        <v>69793</v>
      </c>
      <c r="D3349" t="s">
        <v>102</v>
      </c>
      <c r="E3349" s="7">
        <v>41.75</v>
      </c>
      <c r="F3349" t="s">
        <v>20</v>
      </c>
      <c r="G3349" t="s">
        <v>21</v>
      </c>
      <c r="H3349" t="str">
        <f>"1120 D ST JUNE2022"</f>
        <v>1120 D ST JUNE2022</v>
      </c>
      <c r="I3349" t="str">
        <f>"CENTERPOINT ENERGY ENTEX"</f>
        <v>CENTERPOINT ENERGY ENTEX</v>
      </c>
    </row>
    <row r="3350" spans="1:9" x14ac:dyDescent="0.25">
      <c r="A3350" s="6">
        <v>44727</v>
      </c>
      <c r="B3350" t="s">
        <v>26</v>
      </c>
      <c r="C3350">
        <v>69793</v>
      </c>
      <c r="D3350" t="s">
        <v>102</v>
      </c>
      <c r="E3350" s="7">
        <v>38.78</v>
      </c>
      <c r="F3350" t="s">
        <v>20</v>
      </c>
      <c r="G3350" t="s">
        <v>21</v>
      </c>
      <c r="H3350" t="str">
        <f>"1200 1ST JUNE 2022"</f>
        <v>1200 1ST JUNE 2022</v>
      </c>
      <c r="I3350" t="str">
        <f>"CENTERPOINT ENERGY ENTEX"</f>
        <v>CENTERPOINT ENERGY ENTEX</v>
      </c>
    </row>
    <row r="3351" spans="1:9" x14ac:dyDescent="0.25">
      <c r="A3351" s="6">
        <v>44727</v>
      </c>
      <c r="B3351" t="s">
        <v>26</v>
      </c>
      <c r="C3351">
        <v>69793</v>
      </c>
      <c r="D3351" t="s">
        <v>102</v>
      </c>
      <c r="E3351" s="7">
        <v>41.98</v>
      </c>
      <c r="F3351" t="s">
        <v>20</v>
      </c>
      <c r="G3351" t="s">
        <v>21</v>
      </c>
      <c r="H3351" t="str">
        <f>"920 C ST JUNE 2022"</f>
        <v>920 C ST JUNE 2022</v>
      </c>
      <c r="I3351" t="str">
        <f>"CENTERPOINT ENERGY ENTEX"</f>
        <v>CENTERPOINT ENERGY ENTEX</v>
      </c>
    </row>
    <row r="3352" spans="1:9" x14ac:dyDescent="0.25">
      <c r="A3352" s="6">
        <v>44727</v>
      </c>
      <c r="B3352" t="s">
        <v>26</v>
      </c>
      <c r="C3352">
        <v>69794</v>
      </c>
      <c r="D3352" t="s">
        <v>1220</v>
      </c>
      <c r="E3352" s="7">
        <v>274</v>
      </c>
      <c r="F3352" t="s">
        <v>20</v>
      </c>
      <c r="G3352" t="s">
        <v>21</v>
      </c>
      <c r="H3352" t="str">
        <f>"1720"</f>
        <v>1720</v>
      </c>
      <c r="I3352" t="str">
        <f>"CHILL POWER PUMP &amp; EQUIPMENT"</f>
        <v>CHILL POWER PUMP &amp; EQUIPMENT</v>
      </c>
    </row>
    <row r="3353" spans="1:9" x14ac:dyDescent="0.25">
      <c r="A3353" s="6">
        <v>44727</v>
      </c>
      <c r="B3353" t="s">
        <v>26</v>
      </c>
      <c r="C3353">
        <v>69795</v>
      </c>
      <c r="D3353" t="s">
        <v>63</v>
      </c>
      <c r="E3353" s="7">
        <v>574</v>
      </c>
      <c r="F3353" t="s">
        <v>20</v>
      </c>
      <c r="G3353" t="s">
        <v>21</v>
      </c>
      <c r="H3353" t="str">
        <f>"8405726828"</f>
        <v>8405726828</v>
      </c>
      <c r="I3353" t="str">
        <f>"CINTAS CORPORATION"</f>
        <v>CINTAS CORPORATION</v>
      </c>
    </row>
    <row r="3354" spans="1:9" x14ac:dyDescent="0.25">
      <c r="A3354" s="6">
        <v>44727</v>
      </c>
      <c r="B3354" t="s">
        <v>26</v>
      </c>
      <c r="C3354">
        <v>69796</v>
      </c>
      <c r="D3354" t="s">
        <v>71</v>
      </c>
      <c r="E3354" s="7">
        <v>31.89</v>
      </c>
      <c r="F3354" t="s">
        <v>20</v>
      </c>
      <c r="G3354" t="s">
        <v>21</v>
      </c>
      <c r="H3354" t="str">
        <f>"4122208281"</f>
        <v>4122208281</v>
      </c>
      <c r="I3354" t="str">
        <f t="shared" ref="I3354:I3361" si="79">"CINTAS CORPORATION #087"</f>
        <v>CINTAS CORPORATION #087</v>
      </c>
    </row>
    <row r="3355" spans="1:9" x14ac:dyDescent="0.25">
      <c r="A3355" s="6">
        <v>44727</v>
      </c>
      <c r="B3355" t="s">
        <v>26</v>
      </c>
      <c r="C3355">
        <v>69796</v>
      </c>
      <c r="D3355" t="s">
        <v>71</v>
      </c>
      <c r="E3355" s="7">
        <v>90.43</v>
      </c>
      <c r="F3355" t="s">
        <v>20</v>
      </c>
      <c r="G3355" t="s">
        <v>21</v>
      </c>
      <c r="H3355" t="str">
        <f>"4122208305"</f>
        <v>4122208305</v>
      </c>
      <c r="I3355" t="str">
        <f t="shared" si="79"/>
        <v>CINTAS CORPORATION #087</v>
      </c>
    </row>
    <row r="3356" spans="1:9" x14ac:dyDescent="0.25">
      <c r="A3356" s="6">
        <v>44727</v>
      </c>
      <c r="B3356" t="s">
        <v>26</v>
      </c>
      <c r="C3356">
        <v>69796</v>
      </c>
      <c r="D3356" t="s">
        <v>71</v>
      </c>
      <c r="E3356" s="7">
        <v>373.36</v>
      </c>
      <c r="F3356" t="s">
        <v>20</v>
      </c>
      <c r="G3356" t="s">
        <v>21</v>
      </c>
      <c r="H3356" t="str">
        <f>"4122208306"</f>
        <v>4122208306</v>
      </c>
      <c r="I3356" t="str">
        <f t="shared" si="79"/>
        <v>CINTAS CORPORATION #087</v>
      </c>
    </row>
    <row r="3357" spans="1:9" x14ac:dyDescent="0.25">
      <c r="A3357" s="6">
        <v>44727</v>
      </c>
      <c r="B3357" t="s">
        <v>26</v>
      </c>
      <c r="C3357">
        <v>69796</v>
      </c>
      <c r="D3357" t="s">
        <v>71</v>
      </c>
      <c r="E3357" s="7">
        <v>118.8</v>
      </c>
      <c r="F3357" t="s">
        <v>20</v>
      </c>
      <c r="G3357" t="s">
        <v>21</v>
      </c>
      <c r="H3357" t="str">
        <f>"4122208325"</f>
        <v>4122208325</v>
      </c>
      <c r="I3357" t="str">
        <f t="shared" si="79"/>
        <v>CINTAS CORPORATION #087</v>
      </c>
    </row>
    <row r="3358" spans="1:9" x14ac:dyDescent="0.25">
      <c r="A3358" s="6">
        <v>44727</v>
      </c>
      <c r="B3358" t="s">
        <v>26</v>
      </c>
      <c r="C3358">
        <v>69796</v>
      </c>
      <c r="D3358" t="s">
        <v>71</v>
      </c>
      <c r="E3358" s="7">
        <v>80.52</v>
      </c>
      <c r="F3358" t="s">
        <v>20</v>
      </c>
      <c r="G3358" t="s">
        <v>21</v>
      </c>
      <c r="H3358" t="str">
        <f>"4122208376"</f>
        <v>4122208376</v>
      </c>
      <c r="I3358" t="str">
        <f t="shared" si="79"/>
        <v>CINTAS CORPORATION #087</v>
      </c>
    </row>
    <row r="3359" spans="1:9" x14ac:dyDescent="0.25">
      <c r="A3359" s="6">
        <v>44727</v>
      </c>
      <c r="B3359" t="s">
        <v>26</v>
      </c>
      <c r="C3359">
        <v>69796</v>
      </c>
      <c r="D3359" t="s">
        <v>71</v>
      </c>
      <c r="E3359" s="7">
        <v>338.03</v>
      </c>
      <c r="F3359" t="s">
        <v>20</v>
      </c>
      <c r="G3359" t="s">
        <v>21</v>
      </c>
      <c r="H3359" t="str">
        <f>"4122208408"</f>
        <v>4122208408</v>
      </c>
      <c r="I3359" t="str">
        <f t="shared" si="79"/>
        <v>CINTAS CORPORATION #087</v>
      </c>
    </row>
    <row r="3360" spans="1:9" x14ac:dyDescent="0.25">
      <c r="A3360" s="6">
        <v>44727</v>
      </c>
      <c r="B3360" t="s">
        <v>26</v>
      </c>
      <c r="C3360">
        <v>69796</v>
      </c>
      <c r="D3360" t="s">
        <v>71</v>
      </c>
      <c r="E3360" s="7">
        <v>151.76</v>
      </c>
      <c r="F3360" t="s">
        <v>20</v>
      </c>
      <c r="G3360" t="s">
        <v>21</v>
      </c>
      <c r="H3360" t="str">
        <f>"4122215446"</f>
        <v>4122215446</v>
      </c>
      <c r="I3360" t="str">
        <f t="shared" si="79"/>
        <v>CINTAS CORPORATION #087</v>
      </c>
    </row>
    <row r="3361" spans="1:9" x14ac:dyDescent="0.25">
      <c r="A3361" s="6">
        <v>44727</v>
      </c>
      <c r="B3361" t="s">
        <v>26</v>
      </c>
      <c r="C3361">
        <v>69796</v>
      </c>
      <c r="D3361" t="s">
        <v>71</v>
      </c>
      <c r="E3361" s="7">
        <v>244.86</v>
      </c>
      <c r="F3361" t="s">
        <v>20</v>
      </c>
      <c r="G3361" t="s">
        <v>21</v>
      </c>
      <c r="H3361" t="str">
        <f>"4122215508"</f>
        <v>4122215508</v>
      </c>
      <c r="I3361" t="str">
        <f t="shared" si="79"/>
        <v>CINTAS CORPORATION #087</v>
      </c>
    </row>
    <row r="3362" spans="1:9" x14ac:dyDescent="0.25">
      <c r="A3362" s="6">
        <v>44727</v>
      </c>
      <c r="B3362" t="s">
        <v>26</v>
      </c>
      <c r="C3362">
        <v>69798</v>
      </c>
      <c r="D3362" t="s">
        <v>81</v>
      </c>
      <c r="E3362" s="7">
        <v>77.47</v>
      </c>
      <c r="F3362" t="s">
        <v>20</v>
      </c>
      <c r="G3362" t="s">
        <v>21</v>
      </c>
      <c r="H3362" t="str">
        <f>"C.PEREZ 6/13/2022"</f>
        <v>C.PEREZ 6/13/2022</v>
      </c>
      <c r="I3362" t="str">
        <f>"CITY OF FLORESVILLE -PETTY CAS"</f>
        <v>CITY OF FLORESVILLE -PETTY CAS</v>
      </c>
    </row>
    <row r="3363" spans="1:9" x14ac:dyDescent="0.25">
      <c r="A3363" s="6">
        <v>44727</v>
      </c>
      <c r="B3363" t="s">
        <v>26</v>
      </c>
      <c r="C3363">
        <v>69799</v>
      </c>
      <c r="D3363" t="s">
        <v>1214</v>
      </c>
      <c r="E3363" s="7">
        <v>495</v>
      </c>
      <c r="F3363" t="s">
        <v>20</v>
      </c>
      <c r="G3363" t="s">
        <v>21</v>
      </c>
      <c r="H3363" t="str">
        <f>"22CC060902"</f>
        <v>22CC060902</v>
      </c>
      <c r="I3363" t="str">
        <f>"PD RADIO'S"</f>
        <v>PD RADIO'S</v>
      </c>
    </row>
    <row r="3364" spans="1:9" x14ac:dyDescent="0.25">
      <c r="A3364" s="6">
        <v>44727</v>
      </c>
      <c r="B3364" t="s">
        <v>26</v>
      </c>
      <c r="C3364">
        <v>69800</v>
      </c>
      <c r="D3364" t="s">
        <v>629</v>
      </c>
      <c r="E3364" s="7">
        <v>423.85</v>
      </c>
      <c r="F3364" t="s">
        <v>20</v>
      </c>
      <c r="G3364" t="s">
        <v>21</v>
      </c>
      <c r="H3364" t="str">
        <f>"50491"</f>
        <v>50491</v>
      </c>
      <c r="I3364" t="str">
        <f>"STREET SIGNS"</f>
        <v>STREET SIGNS</v>
      </c>
    </row>
    <row r="3365" spans="1:9" x14ac:dyDescent="0.25">
      <c r="A3365" s="6">
        <v>44727</v>
      </c>
      <c r="B3365" t="s">
        <v>26</v>
      </c>
      <c r="C3365">
        <v>69801</v>
      </c>
      <c r="D3365" t="s">
        <v>77</v>
      </c>
      <c r="E3365" s="7">
        <v>30</v>
      </c>
      <c r="F3365" t="s">
        <v>20</v>
      </c>
      <c r="G3365" t="s">
        <v>21</v>
      </c>
      <c r="H3365" t="str">
        <f>"DE85000994-22"</f>
        <v>DE85000994-22</v>
      </c>
      <c r="I3365" t="str">
        <f>"DPC INDUSTRIES  INC."</f>
        <v>DPC INDUSTRIES  INC.</v>
      </c>
    </row>
    <row r="3366" spans="1:9" x14ac:dyDescent="0.25">
      <c r="A3366" s="6">
        <v>44727</v>
      </c>
      <c r="B3366" t="s">
        <v>26</v>
      </c>
      <c r="C3366">
        <v>69801</v>
      </c>
      <c r="D3366" t="s">
        <v>77</v>
      </c>
      <c r="E3366" s="7">
        <v>210</v>
      </c>
      <c r="F3366" t="s">
        <v>20</v>
      </c>
      <c r="G3366" t="s">
        <v>21</v>
      </c>
      <c r="H3366" t="str">
        <f>"DE85001180-22"</f>
        <v>DE85001180-22</v>
      </c>
      <c r="I3366" t="str">
        <f>"DPC INDUSTRIES  INC."</f>
        <v>DPC INDUSTRIES  INC.</v>
      </c>
    </row>
    <row r="3367" spans="1:9" x14ac:dyDescent="0.25">
      <c r="A3367" s="6">
        <v>44727</v>
      </c>
      <c r="B3367" t="s">
        <v>26</v>
      </c>
      <c r="C3367">
        <v>69802</v>
      </c>
      <c r="D3367" t="s">
        <v>325</v>
      </c>
      <c r="E3367" s="7">
        <v>575.46</v>
      </c>
      <c r="F3367" t="s">
        <v>20</v>
      </c>
      <c r="G3367" t="s">
        <v>21</v>
      </c>
      <c r="H3367" t="str">
        <f>"ID#2470001 6/2/22"</f>
        <v>ID#2470001 6/2/22</v>
      </c>
      <c r="I3367" t="str">
        <f>"DSHS CENTRAL LAB MC2004"</f>
        <v>DSHS CENTRAL LAB MC2004</v>
      </c>
    </row>
    <row r="3368" spans="1:9" x14ac:dyDescent="0.25">
      <c r="A3368" s="6">
        <v>44727</v>
      </c>
      <c r="B3368" t="s">
        <v>26</v>
      </c>
      <c r="C3368">
        <v>69803</v>
      </c>
      <c r="D3368" t="s">
        <v>1226</v>
      </c>
      <c r="E3368" s="7">
        <v>59.75</v>
      </c>
      <c r="F3368" t="s">
        <v>20</v>
      </c>
      <c r="G3368" t="s">
        <v>21</v>
      </c>
      <c r="H3368" t="str">
        <f>"6/11/2022"</f>
        <v>6/11/2022</v>
      </c>
      <c r="I3368" t="str">
        <f>"DUSTIN J. HONESTO"</f>
        <v>DUSTIN J. HONESTO</v>
      </c>
    </row>
    <row r="3369" spans="1:9" x14ac:dyDescent="0.25">
      <c r="A3369" s="6">
        <v>44727</v>
      </c>
      <c r="B3369" t="s">
        <v>26</v>
      </c>
      <c r="C3369">
        <v>69804</v>
      </c>
      <c r="D3369" t="s">
        <v>69</v>
      </c>
      <c r="E3369" s="7">
        <v>360.99</v>
      </c>
      <c r="F3369" t="s">
        <v>20</v>
      </c>
      <c r="G3369" t="s">
        <v>21</v>
      </c>
      <c r="H3369" t="str">
        <f>"3C18430"</f>
        <v>3C18430</v>
      </c>
      <c r="I3369" t="str">
        <f>"LAWN MOWER SUPPLIES"</f>
        <v>LAWN MOWER SUPPLIES</v>
      </c>
    </row>
    <row r="3370" spans="1:9" x14ac:dyDescent="0.25">
      <c r="A3370" s="6">
        <v>44727</v>
      </c>
      <c r="B3370" t="s">
        <v>26</v>
      </c>
      <c r="C3370">
        <v>69805</v>
      </c>
      <c r="D3370" t="s">
        <v>103</v>
      </c>
      <c r="E3370" s="7">
        <v>97434.58</v>
      </c>
      <c r="F3370" t="s">
        <v>20</v>
      </c>
      <c r="G3370" t="s">
        <v>21</v>
      </c>
      <c r="H3370" t="str">
        <f>"SALES TAX 6/2022"</f>
        <v>SALES TAX 6/2022</v>
      </c>
      <c r="I3370" t="str">
        <f>"F. E. D. C."</f>
        <v>F. E. D. C.</v>
      </c>
    </row>
    <row r="3371" spans="1:9" x14ac:dyDescent="0.25">
      <c r="A3371" s="6">
        <v>44727</v>
      </c>
      <c r="B3371" t="s">
        <v>26</v>
      </c>
      <c r="C3371">
        <v>69806</v>
      </c>
      <c r="D3371" t="s">
        <v>79</v>
      </c>
      <c r="E3371" s="7">
        <v>7.31</v>
      </c>
      <c r="F3371" t="s">
        <v>20</v>
      </c>
      <c r="G3371" t="s">
        <v>21</v>
      </c>
      <c r="H3371" t="str">
        <f>"7/782/48450"</f>
        <v>7/782/48450</v>
      </c>
      <c r="I3371" t="str">
        <f>"FEDEX"</f>
        <v>FEDEX</v>
      </c>
    </row>
    <row r="3372" spans="1:9" x14ac:dyDescent="0.25">
      <c r="A3372" s="6">
        <v>44727</v>
      </c>
      <c r="B3372" t="s">
        <v>26</v>
      </c>
      <c r="C3372">
        <v>69807</v>
      </c>
      <c r="D3372" t="s">
        <v>739</v>
      </c>
      <c r="E3372" s="7">
        <v>1398.74</v>
      </c>
      <c r="F3372" t="s">
        <v>20</v>
      </c>
      <c r="G3372" t="s">
        <v>21</v>
      </c>
      <c r="H3372" t="str">
        <f>"5286X05272022"</f>
        <v>5286X05272022</v>
      </c>
      <c r="I3372" t="str">
        <f>"FIRSTNET/AT&amp;T MOBILITY LLC"</f>
        <v>FIRSTNET/AT&amp;T MOBILITY LLC</v>
      </c>
    </row>
    <row r="3373" spans="1:9" x14ac:dyDescent="0.25">
      <c r="A3373" s="6">
        <v>44727</v>
      </c>
      <c r="B3373" t="s">
        <v>26</v>
      </c>
      <c r="C3373">
        <v>69808</v>
      </c>
      <c r="D3373" t="s">
        <v>85</v>
      </c>
      <c r="E3373" s="7">
        <v>85.85</v>
      </c>
      <c r="F3373" t="s">
        <v>20</v>
      </c>
      <c r="G3373" t="s">
        <v>21</v>
      </c>
      <c r="H3373" t="str">
        <f>"3938193 JUNE 2022"</f>
        <v>3938193 JUNE 2022</v>
      </c>
      <c r="I3373" t="str">
        <f>"FRONTIER"</f>
        <v>FRONTIER</v>
      </c>
    </row>
    <row r="3374" spans="1:9" x14ac:dyDescent="0.25">
      <c r="A3374" s="6">
        <v>44727</v>
      </c>
      <c r="B3374" t="s">
        <v>26</v>
      </c>
      <c r="C3374">
        <v>69809</v>
      </c>
      <c r="D3374" t="s">
        <v>1073</v>
      </c>
      <c r="E3374" s="7">
        <v>1550</v>
      </c>
      <c r="F3374" t="s">
        <v>20</v>
      </c>
      <c r="G3374" t="s">
        <v>21</v>
      </c>
      <c r="H3374" t="str">
        <f>"95086"</f>
        <v>95086</v>
      </c>
      <c r="I3374" t="str">
        <f>"ELECTICAL PANEL-LIFT STAT"</f>
        <v>ELECTICAL PANEL-LIFT STAT</v>
      </c>
    </row>
    <row r="3375" spans="1:9" x14ac:dyDescent="0.25">
      <c r="A3375" s="6">
        <v>44727</v>
      </c>
      <c r="B3375" t="s">
        <v>26</v>
      </c>
      <c r="C3375">
        <v>69810</v>
      </c>
      <c r="D3375" t="s">
        <v>471</v>
      </c>
      <c r="E3375" s="7">
        <v>1588</v>
      </c>
      <c r="F3375" t="s">
        <v>20</v>
      </c>
      <c r="G3375" t="s">
        <v>21</v>
      </c>
      <c r="H3375" t="str">
        <f>"20FB324W 6/2022"</f>
        <v>20FB324W 6/2022</v>
      </c>
      <c r="I3375" t="str">
        <f>"CHIEF'S PD VEHICLE"</f>
        <v>CHIEF'S PD VEHICLE</v>
      </c>
    </row>
    <row r="3376" spans="1:9" x14ac:dyDescent="0.25">
      <c r="A3376" s="6">
        <v>44727</v>
      </c>
      <c r="B3376" t="s">
        <v>26</v>
      </c>
      <c r="C3376">
        <v>69811</v>
      </c>
      <c r="D3376" t="s">
        <v>1017</v>
      </c>
      <c r="E3376" s="7">
        <v>29</v>
      </c>
      <c r="F3376" t="s">
        <v>20</v>
      </c>
      <c r="G3376" t="s">
        <v>21</v>
      </c>
      <c r="H3376" t="str">
        <f>"72955399"</f>
        <v>72955399</v>
      </c>
      <c r="I3376" t="str">
        <f>"LABCORP"</f>
        <v>LABCORP</v>
      </c>
    </row>
    <row r="3377" spans="1:9" x14ac:dyDescent="0.25">
      <c r="A3377" s="6">
        <v>44727</v>
      </c>
      <c r="B3377" t="s">
        <v>26</v>
      </c>
      <c r="C3377">
        <v>69812</v>
      </c>
      <c r="D3377" t="s">
        <v>1136</v>
      </c>
      <c r="E3377" s="7">
        <v>300</v>
      </c>
      <c r="F3377" t="s">
        <v>20</v>
      </c>
      <c r="G3377" t="s">
        <v>21</v>
      </c>
      <c r="H3377" t="str">
        <f>"INV0144"</f>
        <v>INV0144</v>
      </c>
      <c r="I3377" t="str">
        <f>"LUX ELECTRIC LLC"</f>
        <v>LUX ELECTRIC LLC</v>
      </c>
    </row>
    <row r="3378" spans="1:9" x14ac:dyDescent="0.25">
      <c r="A3378" s="6">
        <v>44727</v>
      </c>
      <c r="B3378" t="s">
        <v>26</v>
      </c>
      <c r="C3378">
        <v>69813</v>
      </c>
      <c r="D3378" t="s">
        <v>345</v>
      </c>
      <c r="E3378" s="7">
        <v>423.5</v>
      </c>
      <c r="F3378" t="s">
        <v>20</v>
      </c>
      <c r="G3378" t="s">
        <v>21</v>
      </c>
      <c r="H3378" t="str">
        <f>"6/13/2022"</f>
        <v>6/13/2022</v>
      </c>
      <c r="I3378" t="str">
        <f>"MICHAEL ISAAC MARTINEZ"</f>
        <v>MICHAEL ISAAC MARTINEZ</v>
      </c>
    </row>
    <row r="3379" spans="1:9" x14ac:dyDescent="0.25">
      <c r="A3379" s="6">
        <v>44727</v>
      </c>
      <c r="B3379" t="s">
        <v>26</v>
      </c>
      <c r="C3379">
        <v>69814</v>
      </c>
      <c r="D3379" t="s">
        <v>240</v>
      </c>
      <c r="E3379" s="7">
        <v>308.94</v>
      </c>
      <c r="F3379" t="s">
        <v>20</v>
      </c>
      <c r="G3379" t="s">
        <v>21</v>
      </c>
      <c r="H3379" t="str">
        <f>"0200588-IN"</f>
        <v>0200588-IN</v>
      </c>
      <c r="I3379" t="str">
        <f t="shared" ref="I3379:I3384" si="80">"NARDIS PUBLIC SAFETY"</f>
        <v>NARDIS PUBLIC SAFETY</v>
      </c>
    </row>
    <row r="3380" spans="1:9" x14ac:dyDescent="0.25">
      <c r="A3380" s="6">
        <v>44727</v>
      </c>
      <c r="B3380" t="s">
        <v>26</v>
      </c>
      <c r="C3380">
        <v>69814</v>
      </c>
      <c r="D3380" t="s">
        <v>240</v>
      </c>
      <c r="E3380" s="7">
        <v>743.06</v>
      </c>
      <c r="F3380" t="s">
        <v>20</v>
      </c>
      <c r="G3380" t="s">
        <v>21</v>
      </c>
      <c r="H3380" t="str">
        <f>"0200593-IN"</f>
        <v>0200593-IN</v>
      </c>
      <c r="I3380" t="str">
        <f t="shared" si="80"/>
        <v>NARDIS PUBLIC SAFETY</v>
      </c>
    </row>
    <row r="3381" spans="1:9" x14ac:dyDescent="0.25">
      <c r="A3381" s="6">
        <v>44727</v>
      </c>
      <c r="B3381" t="s">
        <v>26</v>
      </c>
      <c r="C3381">
        <v>69814</v>
      </c>
      <c r="D3381" t="s">
        <v>240</v>
      </c>
      <c r="E3381" s="7">
        <v>36.950000000000003</v>
      </c>
      <c r="F3381" t="s">
        <v>20</v>
      </c>
      <c r="G3381" t="s">
        <v>21</v>
      </c>
      <c r="H3381" t="str">
        <f>"0204693-IN"</f>
        <v>0204693-IN</v>
      </c>
      <c r="I3381" t="str">
        <f t="shared" si="80"/>
        <v>NARDIS PUBLIC SAFETY</v>
      </c>
    </row>
    <row r="3382" spans="1:9" x14ac:dyDescent="0.25">
      <c r="A3382" s="6">
        <v>44727</v>
      </c>
      <c r="B3382" t="s">
        <v>26</v>
      </c>
      <c r="C3382">
        <v>69814</v>
      </c>
      <c r="D3382" t="s">
        <v>240</v>
      </c>
      <c r="E3382" s="7">
        <v>50.95</v>
      </c>
      <c r="F3382" t="s">
        <v>20</v>
      </c>
      <c r="G3382" t="s">
        <v>21</v>
      </c>
      <c r="H3382" t="str">
        <f>"0205104-IN"</f>
        <v>0205104-IN</v>
      </c>
      <c r="I3382" t="str">
        <f t="shared" si="80"/>
        <v>NARDIS PUBLIC SAFETY</v>
      </c>
    </row>
    <row r="3383" spans="1:9" x14ac:dyDescent="0.25">
      <c r="A3383" s="6">
        <v>44727</v>
      </c>
      <c r="B3383" t="s">
        <v>26</v>
      </c>
      <c r="C3383">
        <v>69814</v>
      </c>
      <c r="D3383" t="s">
        <v>240</v>
      </c>
      <c r="E3383" s="7">
        <v>420.92</v>
      </c>
      <c r="F3383" t="s">
        <v>20</v>
      </c>
      <c r="G3383" t="s">
        <v>21</v>
      </c>
      <c r="H3383" t="str">
        <f>"0207396-IN"</f>
        <v>0207396-IN</v>
      </c>
      <c r="I3383" t="str">
        <f t="shared" si="80"/>
        <v>NARDIS PUBLIC SAFETY</v>
      </c>
    </row>
    <row r="3384" spans="1:9" x14ac:dyDescent="0.25">
      <c r="A3384" s="6">
        <v>44727</v>
      </c>
      <c r="B3384" t="s">
        <v>26</v>
      </c>
      <c r="C3384">
        <v>69814</v>
      </c>
      <c r="D3384" t="s">
        <v>240</v>
      </c>
      <c r="E3384" s="7">
        <v>1379.25</v>
      </c>
      <c r="F3384" t="s">
        <v>20</v>
      </c>
      <c r="G3384" t="s">
        <v>21</v>
      </c>
      <c r="H3384" t="str">
        <f>"0223604-IN"</f>
        <v>0223604-IN</v>
      </c>
      <c r="I3384" t="str">
        <f t="shared" si="80"/>
        <v>NARDIS PUBLIC SAFETY</v>
      </c>
    </row>
    <row r="3385" spans="1:9" x14ac:dyDescent="0.25">
      <c r="A3385" s="6">
        <v>44727</v>
      </c>
      <c r="B3385" t="s">
        <v>26</v>
      </c>
      <c r="C3385">
        <v>69814</v>
      </c>
      <c r="D3385" t="s">
        <v>240</v>
      </c>
      <c r="E3385" s="7">
        <v>604.95000000000005</v>
      </c>
      <c r="F3385" t="s">
        <v>20</v>
      </c>
      <c r="G3385" t="s">
        <v>21</v>
      </c>
      <c r="H3385" t="str">
        <f>"0227665-IN"</f>
        <v>0227665-IN</v>
      </c>
      <c r="I3385" t="str">
        <f>"UNIFORM - J. GUTIERREZ"</f>
        <v>UNIFORM - J. GUTIERREZ</v>
      </c>
    </row>
    <row r="3386" spans="1:9" x14ac:dyDescent="0.25">
      <c r="A3386" s="6">
        <v>44727</v>
      </c>
      <c r="B3386" t="s">
        <v>26</v>
      </c>
      <c r="C3386">
        <v>69814</v>
      </c>
      <c r="D3386" t="s">
        <v>240</v>
      </c>
      <c r="E3386" s="7">
        <v>59.99</v>
      </c>
      <c r="F3386" t="s">
        <v>20</v>
      </c>
      <c r="G3386" t="s">
        <v>21</v>
      </c>
      <c r="H3386" t="str">
        <f>"0228309-IN"</f>
        <v>0228309-IN</v>
      </c>
      <c r="I3386" t="str">
        <f>"NARDIS PUBLIC SAFETY"</f>
        <v>NARDIS PUBLIC SAFETY</v>
      </c>
    </row>
    <row r="3387" spans="1:9" x14ac:dyDescent="0.25">
      <c r="A3387" s="6">
        <v>44727</v>
      </c>
      <c r="B3387" t="s">
        <v>26</v>
      </c>
      <c r="C3387">
        <v>69814</v>
      </c>
      <c r="D3387" t="s">
        <v>240</v>
      </c>
      <c r="E3387" s="7">
        <v>148.82</v>
      </c>
      <c r="F3387" t="s">
        <v>20</v>
      </c>
      <c r="G3387" t="s">
        <v>21</v>
      </c>
      <c r="H3387" t="str">
        <f>"0229088-IN"</f>
        <v>0229088-IN</v>
      </c>
      <c r="I3387" t="str">
        <f>"NARDIS PUBLIC SAFETY"</f>
        <v>NARDIS PUBLIC SAFETY</v>
      </c>
    </row>
    <row r="3388" spans="1:9" x14ac:dyDescent="0.25">
      <c r="A3388" s="6">
        <v>44727</v>
      </c>
      <c r="B3388" t="s">
        <v>26</v>
      </c>
      <c r="C3388">
        <v>69814</v>
      </c>
      <c r="D3388" t="s">
        <v>240</v>
      </c>
      <c r="E3388" s="7">
        <v>66.989999999999995</v>
      </c>
      <c r="F3388" t="s">
        <v>20</v>
      </c>
      <c r="G3388" t="s">
        <v>21</v>
      </c>
      <c r="H3388" t="str">
        <f>"0229645-IN"</f>
        <v>0229645-IN</v>
      </c>
      <c r="I3388" t="str">
        <f>"NARDIS PUBLIC SAFETY"</f>
        <v>NARDIS PUBLIC SAFETY</v>
      </c>
    </row>
    <row r="3389" spans="1:9" x14ac:dyDescent="0.25">
      <c r="A3389" s="6">
        <v>44727</v>
      </c>
      <c r="B3389" t="s">
        <v>26</v>
      </c>
      <c r="C3389">
        <v>69814</v>
      </c>
      <c r="D3389" t="s">
        <v>240</v>
      </c>
      <c r="E3389" s="7">
        <v>206.37</v>
      </c>
      <c r="F3389" t="s">
        <v>20</v>
      </c>
      <c r="G3389" t="s">
        <v>21</v>
      </c>
      <c r="H3389" t="str">
        <f>"0230939-IN"</f>
        <v>0230939-IN</v>
      </c>
      <c r="I3389" t="str">
        <f>"CHIEF'S UNIFORM"</f>
        <v>CHIEF'S UNIFORM</v>
      </c>
    </row>
    <row r="3390" spans="1:9" x14ac:dyDescent="0.25">
      <c r="A3390" s="6">
        <v>44727</v>
      </c>
      <c r="B3390" t="s">
        <v>26</v>
      </c>
      <c r="C3390">
        <v>69816</v>
      </c>
      <c r="D3390" t="s">
        <v>411</v>
      </c>
      <c r="E3390" s="7">
        <v>33.57</v>
      </c>
      <c r="F3390" t="s">
        <v>20</v>
      </c>
      <c r="G3390" t="s">
        <v>21</v>
      </c>
      <c r="H3390" t="str">
        <f>"SO-015726"</f>
        <v>SO-015726</v>
      </c>
      <c r="I3390" t="str">
        <f>"OBR METAL BUILDINGS &amp; COMPONEN"</f>
        <v>OBR METAL BUILDINGS &amp; COMPONEN</v>
      </c>
    </row>
    <row r="3391" spans="1:9" x14ac:dyDescent="0.25">
      <c r="A3391" s="6">
        <v>44727</v>
      </c>
      <c r="B3391" t="s">
        <v>26</v>
      </c>
      <c r="C3391">
        <v>69817</v>
      </c>
      <c r="D3391" t="s">
        <v>123</v>
      </c>
      <c r="E3391" s="7">
        <v>68.62</v>
      </c>
      <c r="F3391" t="s">
        <v>20</v>
      </c>
      <c r="G3391" t="s">
        <v>21</v>
      </c>
      <c r="H3391" t="str">
        <f>"247206101001"</f>
        <v>247206101001</v>
      </c>
      <c r="I3391" t="str">
        <f>"BUSINESS CARDS"</f>
        <v>BUSINESS CARDS</v>
      </c>
    </row>
    <row r="3392" spans="1:9" x14ac:dyDescent="0.25">
      <c r="A3392" s="6">
        <v>44727</v>
      </c>
      <c r="B3392" t="s">
        <v>26</v>
      </c>
      <c r="C3392">
        <v>69818</v>
      </c>
      <c r="D3392" t="s">
        <v>959</v>
      </c>
      <c r="E3392" s="7">
        <v>368.07</v>
      </c>
      <c r="F3392" t="s">
        <v>20</v>
      </c>
      <c r="G3392" t="s">
        <v>21</v>
      </c>
      <c r="H3392" t="str">
        <f>"103"</f>
        <v>103</v>
      </c>
      <c r="I3392" t="str">
        <f>"OUTDOOR FUN AND SUN"</f>
        <v>OUTDOOR FUN AND SUN</v>
      </c>
    </row>
    <row r="3393" spans="1:9" x14ac:dyDescent="0.25">
      <c r="A3393" s="6">
        <v>44727</v>
      </c>
      <c r="B3393" t="s">
        <v>26</v>
      </c>
      <c r="C3393">
        <v>69819</v>
      </c>
      <c r="D3393" t="s">
        <v>947</v>
      </c>
      <c r="E3393" s="7">
        <v>563.66</v>
      </c>
      <c r="F3393" t="s">
        <v>20</v>
      </c>
      <c r="G3393" t="s">
        <v>21</v>
      </c>
      <c r="H3393" t="str">
        <f>"00195835"</f>
        <v>00195835</v>
      </c>
      <c r="I3393" t="str">
        <f>"PAINT FOR LODI PARK"</f>
        <v>PAINT FOR LODI PARK</v>
      </c>
    </row>
    <row r="3394" spans="1:9" x14ac:dyDescent="0.25">
      <c r="A3394" s="6">
        <v>44727</v>
      </c>
      <c r="B3394" t="s">
        <v>26</v>
      </c>
      <c r="C3394">
        <v>69820</v>
      </c>
      <c r="D3394" t="s">
        <v>1081</v>
      </c>
      <c r="E3394" s="7">
        <v>340</v>
      </c>
      <c r="F3394" t="s">
        <v>20</v>
      </c>
      <c r="G3394" t="s">
        <v>21</v>
      </c>
      <c r="H3394" t="str">
        <f>"37721"</f>
        <v>37721</v>
      </c>
      <c r="I3394" t="str">
        <f>"PINNACLE PEST DEFENSE"</f>
        <v>PINNACLE PEST DEFENSE</v>
      </c>
    </row>
    <row r="3395" spans="1:9" x14ac:dyDescent="0.25">
      <c r="A3395" s="6">
        <v>44727</v>
      </c>
      <c r="B3395" t="s">
        <v>26</v>
      </c>
      <c r="C3395">
        <v>69820</v>
      </c>
      <c r="D3395" t="s">
        <v>1081</v>
      </c>
      <c r="E3395" s="7">
        <v>858</v>
      </c>
      <c r="F3395" t="s">
        <v>20</v>
      </c>
      <c r="G3395" t="s">
        <v>21</v>
      </c>
      <c r="H3395" t="str">
        <f>"37801"</f>
        <v>37801</v>
      </c>
      <c r="I3395" t="str">
        <f>"PINNACLE PEST DEFENSE"</f>
        <v>PINNACLE PEST DEFENSE</v>
      </c>
    </row>
    <row r="3396" spans="1:9" x14ac:dyDescent="0.25">
      <c r="A3396" s="6">
        <v>44727</v>
      </c>
      <c r="B3396" t="s">
        <v>26</v>
      </c>
      <c r="C3396">
        <v>69821</v>
      </c>
      <c r="D3396" t="s">
        <v>126</v>
      </c>
      <c r="E3396" s="7">
        <v>1725.21</v>
      </c>
      <c r="F3396" t="s">
        <v>20</v>
      </c>
      <c r="G3396" t="s">
        <v>21</v>
      </c>
      <c r="H3396" t="str">
        <f>"0859-003122809"</f>
        <v>0859-003122809</v>
      </c>
      <c r="I3396" t="str">
        <f>"REPUBLIC SERVICES #859"</f>
        <v>REPUBLIC SERVICES #859</v>
      </c>
    </row>
    <row r="3397" spans="1:9" x14ac:dyDescent="0.25">
      <c r="A3397" s="6">
        <v>44727</v>
      </c>
      <c r="B3397" t="s">
        <v>26</v>
      </c>
      <c r="C3397">
        <v>69821</v>
      </c>
      <c r="D3397" t="s">
        <v>126</v>
      </c>
      <c r="E3397" s="7">
        <v>94837.6</v>
      </c>
      <c r="F3397" t="s">
        <v>20</v>
      </c>
      <c r="G3397" t="s">
        <v>21</v>
      </c>
      <c r="H3397" t="str">
        <f>"0859-003126981"</f>
        <v>0859-003126981</v>
      </c>
      <c r="I3397" t="str">
        <f>"REPUBLIC SERVICES #859"</f>
        <v>REPUBLIC SERVICES #859</v>
      </c>
    </row>
    <row r="3398" spans="1:9" x14ac:dyDescent="0.25">
      <c r="A3398" s="6">
        <v>44727</v>
      </c>
      <c r="B3398" t="s">
        <v>26</v>
      </c>
      <c r="C3398">
        <v>69822</v>
      </c>
      <c r="D3398" t="s">
        <v>1193</v>
      </c>
      <c r="E3398" s="7">
        <v>105.63</v>
      </c>
      <c r="F3398" t="s">
        <v>20</v>
      </c>
      <c r="G3398" t="s">
        <v>21</v>
      </c>
      <c r="H3398" t="str">
        <f>"PATROL COURSE 6/22"</f>
        <v>PATROL COURSE 6/22</v>
      </c>
      <c r="I3398" t="str">
        <f>"RUBEN SANCHEZ"</f>
        <v>RUBEN SANCHEZ</v>
      </c>
    </row>
    <row r="3399" spans="1:9" x14ac:dyDescent="0.25">
      <c r="A3399" s="6">
        <v>44727</v>
      </c>
      <c r="B3399" t="s">
        <v>26</v>
      </c>
      <c r="C3399">
        <v>69823</v>
      </c>
      <c r="D3399" t="s">
        <v>1133</v>
      </c>
      <c r="E3399" s="7">
        <v>37033</v>
      </c>
      <c r="F3399" t="s">
        <v>20</v>
      </c>
      <c r="G3399" t="s">
        <v>21</v>
      </c>
      <c r="H3399" t="str">
        <f>"87267353"</f>
        <v>87267353</v>
      </c>
      <c r="I3399" t="str">
        <f>"Shafer- Anderson Holdings  LLC"</f>
        <v>Shafer- Anderson Holdings  LLC</v>
      </c>
    </row>
    <row r="3400" spans="1:9" x14ac:dyDescent="0.25">
      <c r="A3400" s="6">
        <v>44727</v>
      </c>
      <c r="B3400" t="s">
        <v>26</v>
      </c>
      <c r="C3400">
        <v>69824</v>
      </c>
      <c r="D3400" t="s">
        <v>978</v>
      </c>
      <c r="E3400" s="7">
        <v>2500</v>
      </c>
      <c r="F3400" t="s">
        <v>20</v>
      </c>
      <c r="G3400" t="s">
        <v>21</v>
      </c>
      <c r="H3400" t="str">
        <f>"557-2021"</f>
        <v>557-2021</v>
      </c>
      <c r="I3400" t="str">
        <f>"SPECIALIZED PUBLIC FINANCE INC"</f>
        <v>SPECIALIZED PUBLIC FINANCE INC</v>
      </c>
    </row>
    <row r="3401" spans="1:9" x14ac:dyDescent="0.25">
      <c r="A3401" s="6">
        <v>44727</v>
      </c>
      <c r="B3401" t="s">
        <v>26</v>
      </c>
      <c r="C3401">
        <v>69825</v>
      </c>
      <c r="D3401" t="s">
        <v>346</v>
      </c>
      <c r="E3401" s="7">
        <v>13750</v>
      </c>
      <c r="F3401" t="s">
        <v>20</v>
      </c>
      <c r="G3401" t="s">
        <v>21</v>
      </c>
      <c r="H3401" t="str">
        <f>"5/11-6/11/2022"</f>
        <v>5/11-6/11/2022</v>
      </c>
      <c r="I3401" t="str">
        <f>"SYLVIA RODRIGUEZ"</f>
        <v>SYLVIA RODRIGUEZ</v>
      </c>
    </row>
    <row r="3402" spans="1:9" x14ac:dyDescent="0.25">
      <c r="A3402" s="6">
        <v>44727</v>
      </c>
      <c r="B3402" t="s">
        <v>26</v>
      </c>
      <c r="C3402">
        <v>69826</v>
      </c>
      <c r="D3402" t="s">
        <v>1141</v>
      </c>
      <c r="E3402" s="7">
        <v>283.08</v>
      </c>
      <c r="F3402" t="s">
        <v>20</v>
      </c>
      <c r="G3402" t="s">
        <v>21</v>
      </c>
      <c r="H3402" t="str">
        <f>"SS1-SS12249"</f>
        <v>SS1-SS12249</v>
      </c>
      <c r="I3402" t="str">
        <f t="shared" ref="I3402:I3418" si="81">"TEXAS LANDFILL MANAGEMENT  LLC"</f>
        <v>TEXAS LANDFILL MANAGEMENT  LLC</v>
      </c>
    </row>
    <row r="3403" spans="1:9" x14ac:dyDescent="0.25">
      <c r="A3403" s="6">
        <v>44727</v>
      </c>
      <c r="B3403" t="s">
        <v>26</v>
      </c>
      <c r="C3403">
        <v>69826</v>
      </c>
      <c r="D3403" t="s">
        <v>1141</v>
      </c>
      <c r="E3403" s="7">
        <v>320.04000000000002</v>
      </c>
      <c r="F3403" t="s">
        <v>20</v>
      </c>
      <c r="G3403" t="s">
        <v>21</v>
      </c>
      <c r="H3403" t="str">
        <f>"SS1-SS12250"</f>
        <v>SS1-SS12250</v>
      </c>
      <c r="I3403" t="str">
        <f t="shared" si="81"/>
        <v>TEXAS LANDFILL MANAGEMENT  LLC</v>
      </c>
    </row>
    <row r="3404" spans="1:9" x14ac:dyDescent="0.25">
      <c r="A3404" s="6">
        <v>44727</v>
      </c>
      <c r="B3404" t="s">
        <v>26</v>
      </c>
      <c r="C3404">
        <v>69826</v>
      </c>
      <c r="D3404" t="s">
        <v>1141</v>
      </c>
      <c r="E3404" s="7">
        <v>559</v>
      </c>
      <c r="F3404" t="s">
        <v>20</v>
      </c>
      <c r="G3404" t="s">
        <v>21</v>
      </c>
      <c r="H3404" t="str">
        <f>"SS1-SS12269"</f>
        <v>SS1-SS12269</v>
      </c>
      <c r="I3404" t="str">
        <f t="shared" si="81"/>
        <v>TEXAS LANDFILL MANAGEMENT  LLC</v>
      </c>
    </row>
    <row r="3405" spans="1:9" x14ac:dyDescent="0.25">
      <c r="A3405" s="6">
        <v>44727</v>
      </c>
      <c r="B3405" t="s">
        <v>26</v>
      </c>
      <c r="C3405">
        <v>69826</v>
      </c>
      <c r="D3405" t="s">
        <v>1141</v>
      </c>
      <c r="E3405" s="7">
        <v>221.48</v>
      </c>
      <c r="F3405" t="s">
        <v>20</v>
      </c>
      <c r="G3405" t="s">
        <v>21</v>
      </c>
      <c r="H3405" t="str">
        <f>"SS1-SS12289"</f>
        <v>SS1-SS12289</v>
      </c>
      <c r="I3405" t="str">
        <f t="shared" si="81"/>
        <v>TEXAS LANDFILL MANAGEMENT  LLC</v>
      </c>
    </row>
    <row r="3406" spans="1:9" x14ac:dyDescent="0.25">
      <c r="A3406" s="6">
        <v>44727</v>
      </c>
      <c r="B3406" t="s">
        <v>26</v>
      </c>
      <c r="C3406">
        <v>69826</v>
      </c>
      <c r="D3406" t="s">
        <v>1141</v>
      </c>
      <c r="E3406" s="7">
        <v>269.36</v>
      </c>
      <c r="F3406" t="s">
        <v>20</v>
      </c>
      <c r="G3406" t="s">
        <v>21</v>
      </c>
      <c r="H3406" t="str">
        <f>"SS1-SS12586"</f>
        <v>SS1-SS12586</v>
      </c>
      <c r="I3406" t="str">
        <f t="shared" si="81"/>
        <v>TEXAS LANDFILL MANAGEMENT  LLC</v>
      </c>
    </row>
    <row r="3407" spans="1:9" x14ac:dyDescent="0.25">
      <c r="A3407" s="6">
        <v>44727</v>
      </c>
      <c r="B3407" t="s">
        <v>26</v>
      </c>
      <c r="C3407">
        <v>69826</v>
      </c>
      <c r="D3407" t="s">
        <v>1141</v>
      </c>
      <c r="E3407" s="7">
        <v>284.48</v>
      </c>
      <c r="F3407" t="s">
        <v>20</v>
      </c>
      <c r="G3407" t="s">
        <v>21</v>
      </c>
      <c r="H3407" t="str">
        <f>"SS1-SS12605"</f>
        <v>SS1-SS12605</v>
      </c>
      <c r="I3407" t="str">
        <f t="shared" si="81"/>
        <v>TEXAS LANDFILL MANAGEMENT  LLC</v>
      </c>
    </row>
    <row r="3408" spans="1:9" x14ac:dyDescent="0.25">
      <c r="A3408" s="6">
        <v>44727</v>
      </c>
      <c r="B3408" t="s">
        <v>26</v>
      </c>
      <c r="C3408">
        <v>69826</v>
      </c>
      <c r="D3408" t="s">
        <v>1141</v>
      </c>
      <c r="E3408" s="7">
        <v>302.95999999999998</v>
      </c>
      <c r="F3408" t="s">
        <v>20</v>
      </c>
      <c r="G3408" t="s">
        <v>21</v>
      </c>
      <c r="H3408" t="str">
        <f>"SS1-SS12635"</f>
        <v>SS1-SS12635</v>
      </c>
      <c r="I3408" t="str">
        <f t="shared" si="81"/>
        <v>TEXAS LANDFILL MANAGEMENT  LLC</v>
      </c>
    </row>
    <row r="3409" spans="1:9" x14ac:dyDescent="0.25">
      <c r="A3409" s="6">
        <v>44727</v>
      </c>
      <c r="B3409" t="s">
        <v>26</v>
      </c>
      <c r="C3409">
        <v>69826</v>
      </c>
      <c r="D3409" t="s">
        <v>1141</v>
      </c>
      <c r="E3409" s="7">
        <v>304.64</v>
      </c>
      <c r="F3409" t="s">
        <v>20</v>
      </c>
      <c r="G3409" t="s">
        <v>21</v>
      </c>
      <c r="H3409" t="str">
        <f>"SS1-SS12665"</f>
        <v>SS1-SS12665</v>
      </c>
      <c r="I3409" t="str">
        <f t="shared" si="81"/>
        <v>TEXAS LANDFILL MANAGEMENT  LLC</v>
      </c>
    </row>
    <row r="3410" spans="1:9" x14ac:dyDescent="0.25">
      <c r="A3410" s="6">
        <v>44727</v>
      </c>
      <c r="B3410" t="s">
        <v>26</v>
      </c>
      <c r="C3410">
        <v>69826</v>
      </c>
      <c r="D3410" t="s">
        <v>1141</v>
      </c>
      <c r="E3410" s="7">
        <v>260.68</v>
      </c>
      <c r="F3410" t="s">
        <v>20</v>
      </c>
      <c r="G3410" t="s">
        <v>21</v>
      </c>
      <c r="H3410" t="str">
        <f>"SS1-SS12667"</f>
        <v>SS1-SS12667</v>
      </c>
      <c r="I3410" t="str">
        <f t="shared" si="81"/>
        <v>TEXAS LANDFILL MANAGEMENT  LLC</v>
      </c>
    </row>
    <row r="3411" spans="1:9" x14ac:dyDescent="0.25">
      <c r="A3411" s="6">
        <v>44727</v>
      </c>
      <c r="B3411" t="s">
        <v>26</v>
      </c>
      <c r="C3411">
        <v>69826</v>
      </c>
      <c r="D3411" t="s">
        <v>1141</v>
      </c>
      <c r="E3411" s="7">
        <v>252.68</v>
      </c>
      <c r="F3411" t="s">
        <v>20</v>
      </c>
      <c r="G3411" t="s">
        <v>21</v>
      </c>
      <c r="H3411" t="str">
        <f>"SS1-SS12712"</f>
        <v>SS1-SS12712</v>
      </c>
      <c r="I3411" t="str">
        <f t="shared" si="81"/>
        <v>TEXAS LANDFILL MANAGEMENT  LLC</v>
      </c>
    </row>
    <row r="3412" spans="1:9" x14ac:dyDescent="0.25">
      <c r="A3412" s="6">
        <v>44727</v>
      </c>
      <c r="B3412" t="s">
        <v>26</v>
      </c>
      <c r="C3412">
        <v>69826</v>
      </c>
      <c r="D3412" t="s">
        <v>1141</v>
      </c>
      <c r="E3412" s="7">
        <v>304.08</v>
      </c>
      <c r="F3412" t="s">
        <v>20</v>
      </c>
      <c r="G3412" t="s">
        <v>21</v>
      </c>
      <c r="H3412" t="str">
        <f>"SS1-SS12728"</f>
        <v>SS1-SS12728</v>
      </c>
      <c r="I3412" t="str">
        <f t="shared" si="81"/>
        <v>TEXAS LANDFILL MANAGEMENT  LLC</v>
      </c>
    </row>
    <row r="3413" spans="1:9" x14ac:dyDescent="0.25">
      <c r="A3413" s="6">
        <v>44727</v>
      </c>
      <c r="B3413" t="s">
        <v>26</v>
      </c>
      <c r="C3413">
        <v>69826</v>
      </c>
      <c r="D3413" t="s">
        <v>1141</v>
      </c>
      <c r="E3413" s="7">
        <v>302.12</v>
      </c>
      <c r="F3413" t="s">
        <v>20</v>
      </c>
      <c r="G3413" t="s">
        <v>21</v>
      </c>
      <c r="H3413" t="str">
        <f>"SS1-SS12744"</f>
        <v>SS1-SS12744</v>
      </c>
      <c r="I3413" t="str">
        <f t="shared" si="81"/>
        <v>TEXAS LANDFILL MANAGEMENT  LLC</v>
      </c>
    </row>
    <row r="3414" spans="1:9" x14ac:dyDescent="0.25">
      <c r="A3414" s="6">
        <v>44727</v>
      </c>
      <c r="B3414" t="s">
        <v>26</v>
      </c>
      <c r="C3414">
        <v>69826</v>
      </c>
      <c r="D3414" t="s">
        <v>1141</v>
      </c>
      <c r="E3414" s="7">
        <v>323.12</v>
      </c>
      <c r="F3414" t="s">
        <v>20</v>
      </c>
      <c r="G3414" t="s">
        <v>21</v>
      </c>
      <c r="H3414" t="str">
        <f>"SS1-SS12763"</f>
        <v>SS1-SS12763</v>
      </c>
      <c r="I3414" t="str">
        <f t="shared" si="81"/>
        <v>TEXAS LANDFILL MANAGEMENT  LLC</v>
      </c>
    </row>
    <row r="3415" spans="1:9" x14ac:dyDescent="0.25">
      <c r="A3415" s="6">
        <v>44727</v>
      </c>
      <c r="B3415" t="s">
        <v>26</v>
      </c>
      <c r="C3415">
        <v>69826</v>
      </c>
      <c r="D3415" t="s">
        <v>1141</v>
      </c>
      <c r="E3415" s="7">
        <v>318.64</v>
      </c>
      <c r="F3415" t="s">
        <v>20</v>
      </c>
      <c r="G3415" t="s">
        <v>21</v>
      </c>
      <c r="H3415" t="str">
        <f>"SS1-SS12788"</f>
        <v>SS1-SS12788</v>
      </c>
      <c r="I3415" t="str">
        <f t="shared" si="81"/>
        <v>TEXAS LANDFILL MANAGEMENT  LLC</v>
      </c>
    </row>
    <row r="3416" spans="1:9" x14ac:dyDescent="0.25">
      <c r="A3416" s="6">
        <v>44727</v>
      </c>
      <c r="B3416" t="s">
        <v>26</v>
      </c>
      <c r="C3416">
        <v>69826</v>
      </c>
      <c r="D3416" t="s">
        <v>1141</v>
      </c>
      <c r="E3416" s="7">
        <v>251.44</v>
      </c>
      <c r="F3416" t="s">
        <v>20</v>
      </c>
      <c r="G3416" t="s">
        <v>21</v>
      </c>
      <c r="H3416" t="str">
        <f>"SS1-SS12799"</f>
        <v>SS1-SS12799</v>
      </c>
      <c r="I3416" t="str">
        <f t="shared" si="81"/>
        <v>TEXAS LANDFILL MANAGEMENT  LLC</v>
      </c>
    </row>
    <row r="3417" spans="1:9" x14ac:dyDescent="0.25">
      <c r="A3417" s="6">
        <v>44727</v>
      </c>
      <c r="B3417" t="s">
        <v>26</v>
      </c>
      <c r="C3417">
        <v>69826</v>
      </c>
      <c r="D3417" t="s">
        <v>1141</v>
      </c>
      <c r="E3417" s="7">
        <v>304.36</v>
      </c>
      <c r="F3417" t="s">
        <v>20</v>
      </c>
      <c r="G3417" t="s">
        <v>21</v>
      </c>
      <c r="H3417" t="str">
        <f>"SS1-SS12810"</f>
        <v>SS1-SS12810</v>
      </c>
      <c r="I3417" t="str">
        <f t="shared" si="81"/>
        <v>TEXAS LANDFILL MANAGEMENT  LLC</v>
      </c>
    </row>
    <row r="3418" spans="1:9" x14ac:dyDescent="0.25">
      <c r="A3418" s="6">
        <v>44727</v>
      </c>
      <c r="B3418" t="s">
        <v>26</v>
      </c>
      <c r="C3418">
        <v>69826</v>
      </c>
      <c r="D3418" t="s">
        <v>1141</v>
      </c>
      <c r="E3418" s="7">
        <v>224.84</v>
      </c>
      <c r="F3418" t="s">
        <v>20</v>
      </c>
      <c r="G3418" t="s">
        <v>21</v>
      </c>
      <c r="H3418" t="str">
        <f>"SS1-SS2640"</f>
        <v>SS1-SS2640</v>
      </c>
      <c r="I3418" t="str">
        <f t="shared" si="81"/>
        <v>TEXAS LANDFILL MANAGEMENT  LLC</v>
      </c>
    </row>
    <row r="3419" spans="1:9" x14ac:dyDescent="0.25">
      <c r="A3419" s="6">
        <v>44727</v>
      </c>
      <c r="B3419" t="s">
        <v>26</v>
      </c>
      <c r="C3419">
        <v>69829</v>
      </c>
      <c r="D3419" t="s">
        <v>75</v>
      </c>
      <c r="E3419" s="7">
        <v>93.98</v>
      </c>
      <c r="F3419" t="s">
        <v>20</v>
      </c>
      <c r="G3419" t="s">
        <v>21</v>
      </c>
      <c r="H3419" t="str">
        <f>"200980549"</f>
        <v>200980549</v>
      </c>
      <c r="I3419" t="str">
        <f>"DOG FOOD"</f>
        <v>DOG FOOD</v>
      </c>
    </row>
    <row r="3420" spans="1:9" x14ac:dyDescent="0.25">
      <c r="A3420" s="6">
        <v>44727</v>
      </c>
      <c r="B3420" t="s">
        <v>26</v>
      </c>
      <c r="C3420">
        <v>69829</v>
      </c>
      <c r="D3420" t="s">
        <v>75</v>
      </c>
      <c r="E3420" s="7">
        <v>37.69</v>
      </c>
      <c r="F3420" t="s">
        <v>20</v>
      </c>
      <c r="G3420" t="s">
        <v>21</v>
      </c>
      <c r="H3420" t="str">
        <f>"200980553"</f>
        <v>200980553</v>
      </c>
      <c r="I3420" t="str">
        <f>"POOL SUPPLIES"</f>
        <v>POOL SUPPLIES</v>
      </c>
    </row>
    <row r="3421" spans="1:9" x14ac:dyDescent="0.25">
      <c r="A3421" s="6">
        <v>44727</v>
      </c>
      <c r="B3421" t="s">
        <v>26</v>
      </c>
      <c r="C3421">
        <v>69829</v>
      </c>
      <c r="D3421" t="s">
        <v>75</v>
      </c>
      <c r="E3421" s="7">
        <v>52.95</v>
      </c>
      <c r="F3421" t="s">
        <v>20</v>
      </c>
      <c r="G3421" t="s">
        <v>21</v>
      </c>
      <c r="H3421" t="str">
        <f>"200982058"</f>
        <v>200982058</v>
      </c>
      <c r="I3421" t="str">
        <f>"WWTP"</f>
        <v>WWTP</v>
      </c>
    </row>
    <row r="3422" spans="1:9" x14ac:dyDescent="0.25">
      <c r="A3422" s="6">
        <v>44727</v>
      </c>
      <c r="B3422" t="s">
        <v>26</v>
      </c>
      <c r="C3422">
        <v>69830</v>
      </c>
      <c r="D3422" t="s">
        <v>698</v>
      </c>
      <c r="E3422" s="7">
        <v>64.75</v>
      </c>
      <c r="F3422" t="s">
        <v>20</v>
      </c>
      <c r="G3422" t="s">
        <v>21</v>
      </c>
      <c r="H3422" t="str">
        <f>"6/11/2022"</f>
        <v>6/11/2022</v>
      </c>
      <c r="I3422" t="str">
        <f>"TRACY ORTIZ"</f>
        <v>TRACY ORTIZ</v>
      </c>
    </row>
    <row r="3423" spans="1:9" x14ac:dyDescent="0.25">
      <c r="A3423" s="6">
        <v>44727</v>
      </c>
      <c r="B3423" t="s">
        <v>26</v>
      </c>
      <c r="C3423">
        <v>69831</v>
      </c>
      <c r="D3423" t="s">
        <v>644</v>
      </c>
      <c r="E3423" s="7">
        <v>26.91</v>
      </c>
      <c r="F3423" t="s">
        <v>20</v>
      </c>
      <c r="G3423" t="s">
        <v>21</v>
      </c>
      <c r="H3423" t="str">
        <f>"8213704971"</f>
        <v>8213704971</v>
      </c>
      <c r="I3423" t="str">
        <f t="shared" ref="I3423:I3430" si="82">"UNIFIRST CORPORATION"</f>
        <v>UNIFIRST CORPORATION</v>
      </c>
    </row>
    <row r="3424" spans="1:9" x14ac:dyDescent="0.25">
      <c r="A3424" s="6">
        <v>44727</v>
      </c>
      <c r="B3424" t="s">
        <v>26</v>
      </c>
      <c r="C3424">
        <v>69831</v>
      </c>
      <c r="D3424" t="s">
        <v>644</v>
      </c>
      <c r="E3424" s="7">
        <v>128.61000000000001</v>
      </c>
      <c r="F3424" t="s">
        <v>20</v>
      </c>
      <c r="G3424" t="s">
        <v>21</v>
      </c>
      <c r="H3424" t="str">
        <f>"8213712839"</f>
        <v>8213712839</v>
      </c>
      <c r="I3424" t="str">
        <f t="shared" si="82"/>
        <v>UNIFIRST CORPORATION</v>
      </c>
    </row>
    <row r="3425" spans="1:9" x14ac:dyDescent="0.25">
      <c r="A3425" s="6">
        <v>44727</v>
      </c>
      <c r="B3425" t="s">
        <v>26</v>
      </c>
      <c r="C3425">
        <v>69831</v>
      </c>
      <c r="D3425" t="s">
        <v>644</v>
      </c>
      <c r="E3425" s="7">
        <v>106.64</v>
      </c>
      <c r="F3425" t="s">
        <v>20</v>
      </c>
      <c r="G3425" t="s">
        <v>21</v>
      </c>
      <c r="H3425" t="str">
        <f>"8213738876"</f>
        <v>8213738876</v>
      </c>
      <c r="I3425" t="str">
        <f t="shared" si="82"/>
        <v>UNIFIRST CORPORATION</v>
      </c>
    </row>
    <row r="3426" spans="1:9" x14ac:dyDescent="0.25">
      <c r="A3426" s="6">
        <v>44727</v>
      </c>
      <c r="B3426" t="s">
        <v>26</v>
      </c>
      <c r="C3426">
        <v>69831</v>
      </c>
      <c r="D3426" t="s">
        <v>644</v>
      </c>
      <c r="E3426" s="7">
        <v>29.49</v>
      </c>
      <c r="F3426" t="s">
        <v>20</v>
      </c>
      <c r="G3426" t="s">
        <v>21</v>
      </c>
      <c r="H3426" t="str">
        <f>"8213741482"</f>
        <v>8213741482</v>
      </c>
      <c r="I3426" t="str">
        <f t="shared" si="82"/>
        <v>UNIFIRST CORPORATION</v>
      </c>
    </row>
    <row r="3427" spans="1:9" x14ac:dyDescent="0.25">
      <c r="A3427" s="6">
        <v>44727</v>
      </c>
      <c r="B3427" t="s">
        <v>26</v>
      </c>
      <c r="C3427">
        <v>69831</v>
      </c>
      <c r="D3427" t="s">
        <v>644</v>
      </c>
      <c r="E3427" s="7">
        <v>115.8</v>
      </c>
      <c r="F3427" t="s">
        <v>20</v>
      </c>
      <c r="G3427" t="s">
        <v>21</v>
      </c>
      <c r="H3427" t="str">
        <f>"8213741483"</f>
        <v>8213741483</v>
      </c>
      <c r="I3427" t="str">
        <f t="shared" si="82"/>
        <v>UNIFIRST CORPORATION</v>
      </c>
    </row>
    <row r="3428" spans="1:9" x14ac:dyDescent="0.25">
      <c r="A3428" s="6">
        <v>44727</v>
      </c>
      <c r="B3428" t="s">
        <v>26</v>
      </c>
      <c r="C3428">
        <v>69831</v>
      </c>
      <c r="D3428" t="s">
        <v>644</v>
      </c>
      <c r="E3428" s="7">
        <v>120.6</v>
      </c>
      <c r="F3428" t="s">
        <v>20</v>
      </c>
      <c r="G3428" t="s">
        <v>21</v>
      </c>
      <c r="H3428" t="str">
        <f>"8213741484"</f>
        <v>8213741484</v>
      </c>
      <c r="I3428" t="str">
        <f t="shared" si="82"/>
        <v>UNIFIRST CORPORATION</v>
      </c>
    </row>
    <row r="3429" spans="1:9" x14ac:dyDescent="0.25">
      <c r="A3429" s="6">
        <v>44727</v>
      </c>
      <c r="B3429" t="s">
        <v>26</v>
      </c>
      <c r="C3429">
        <v>69831</v>
      </c>
      <c r="D3429" t="s">
        <v>644</v>
      </c>
      <c r="E3429" s="7">
        <v>129.87</v>
      </c>
      <c r="F3429" t="s">
        <v>20</v>
      </c>
      <c r="G3429" t="s">
        <v>21</v>
      </c>
      <c r="H3429" t="str">
        <f>"8213741486"</f>
        <v>8213741486</v>
      </c>
      <c r="I3429" t="str">
        <f t="shared" si="82"/>
        <v>UNIFIRST CORPORATION</v>
      </c>
    </row>
    <row r="3430" spans="1:9" x14ac:dyDescent="0.25">
      <c r="A3430" s="6">
        <v>44727</v>
      </c>
      <c r="B3430" t="s">
        <v>26</v>
      </c>
      <c r="C3430">
        <v>69831</v>
      </c>
      <c r="D3430" t="s">
        <v>644</v>
      </c>
      <c r="E3430" s="7">
        <v>29.49</v>
      </c>
      <c r="F3430" t="s">
        <v>20</v>
      </c>
      <c r="G3430" t="s">
        <v>21</v>
      </c>
      <c r="H3430" t="str">
        <f>"8213741487"</f>
        <v>8213741487</v>
      </c>
      <c r="I3430" t="str">
        <f t="shared" si="82"/>
        <v>UNIFIRST CORPORATION</v>
      </c>
    </row>
    <row r="3431" spans="1:9" x14ac:dyDescent="0.25">
      <c r="A3431" s="6">
        <v>44727</v>
      </c>
      <c r="B3431" t="s">
        <v>26</v>
      </c>
      <c r="C3431">
        <v>69833</v>
      </c>
      <c r="D3431" t="s">
        <v>1210</v>
      </c>
      <c r="E3431" s="7">
        <v>2300</v>
      </c>
      <c r="F3431" t="s">
        <v>20</v>
      </c>
      <c r="G3431" t="s">
        <v>21</v>
      </c>
      <c r="H3431" t="str">
        <f>"3"</f>
        <v>3</v>
      </c>
      <c r="I3431" t="str">
        <f>"VICTOR IBARRA"</f>
        <v>VICTOR IBARRA</v>
      </c>
    </row>
    <row r="3432" spans="1:9" x14ac:dyDescent="0.25">
      <c r="A3432" s="6">
        <v>44727</v>
      </c>
      <c r="B3432" t="s">
        <v>26</v>
      </c>
      <c r="C3432">
        <v>69834</v>
      </c>
      <c r="D3432" t="s">
        <v>122</v>
      </c>
      <c r="E3432" s="7">
        <v>20</v>
      </c>
      <c r="F3432" t="s">
        <v>20</v>
      </c>
      <c r="G3432" t="s">
        <v>21</v>
      </c>
      <c r="H3432" t="str">
        <f>"004662"</f>
        <v>004662</v>
      </c>
      <c r="I3432" t="str">
        <f>"VILLA TIRES"</f>
        <v>VILLA TIRES</v>
      </c>
    </row>
    <row r="3433" spans="1:9" x14ac:dyDescent="0.25">
      <c r="A3433" s="6">
        <v>44727</v>
      </c>
      <c r="B3433" t="s">
        <v>26</v>
      </c>
      <c r="C3433">
        <v>69834</v>
      </c>
      <c r="D3433" t="s">
        <v>122</v>
      </c>
      <c r="E3433" s="7">
        <v>20</v>
      </c>
      <c r="F3433" t="s">
        <v>20</v>
      </c>
      <c r="G3433" t="s">
        <v>21</v>
      </c>
      <c r="H3433" t="str">
        <f>"004678"</f>
        <v>004678</v>
      </c>
      <c r="I3433" t="str">
        <f>"VILLA TIRES"</f>
        <v>VILLA TIRES</v>
      </c>
    </row>
    <row r="3434" spans="1:9" x14ac:dyDescent="0.25">
      <c r="A3434" s="6">
        <v>44727</v>
      </c>
      <c r="B3434" t="s">
        <v>26</v>
      </c>
      <c r="C3434">
        <v>69834</v>
      </c>
      <c r="D3434" t="s">
        <v>122</v>
      </c>
      <c r="E3434" s="7">
        <v>30</v>
      </c>
      <c r="F3434" t="s">
        <v>20</v>
      </c>
      <c r="G3434" t="s">
        <v>21</v>
      </c>
      <c r="H3434" t="str">
        <f>"004681"</f>
        <v>004681</v>
      </c>
      <c r="I3434" t="str">
        <f>"VILLA TIRES"</f>
        <v>VILLA TIRES</v>
      </c>
    </row>
    <row r="3435" spans="1:9" x14ac:dyDescent="0.25">
      <c r="A3435" s="6">
        <v>44727</v>
      </c>
      <c r="B3435" t="s">
        <v>26</v>
      </c>
      <c r="C3435">
        <v>69834</v>
      </c>
      <c r="D3435" t="s">
        <v>122</v>
      </c>
      <c r="E3435" s="7">
        <v>10</v>
      </c>
      <c r="F3435" t="s">
        <v>20</v>
      </c>
      <c r="G3435" t="s">
        <v>21</v>
      </c>
      <c r="H3435" t="str">
        <f>"004682"</f>
        <v>004682</v>
      </c>
      <c r="I3435" t="str">
        <f>"VILLA TIRES"</f>
        <v>VILLA TIRES</v>
      </c>
    </row>
    <row r="3436" spans="1:9" x14ac:dyDescent="0.25">
      <c r="A3436" s="6">
        <v>44727</v>
      </c>
      <c r="B3436" t="s">
        <v>26</v>
      </c>
      <c r="C3436">
        <v>69834</v>
      </c>
      <c r="D3436" t="s">
        <v>122</v>
      </c>
      <c r="E3436" s="7">
        <v>10</v>
      </c>
      <c r="F3436" t="s">
        <v>20</v>
      </c>
      <c r="G3436" t="s">
        <v>21</v>
      </c>
      <c r="H3436" t="str">
        <f>"004683"</f>
        <v>004683</v>
      </c>
      <c r="I3436" t="str">
        <f>"VILLA TIRES"</f>
        <v>VILLA TIRES</v>
      </c>
    </row>
    <row r="3437" spans="1:9" x14ac:dyDescent="0.25">
      <c r="A3437" s="6">
        <v>44727</v>
      </c>
      <c r="B3437" t="s">
        <v>26</v>
      </c>
      <c r="C3437">
        <v>69835</v>
      </c>
      <c r="D3437" t="s">
        <v>104</v>
      </c>
      <c r="E3437" s="7">
        <v>39</v>
      </c>
      <c r="F3437" t="s">
        <v>20</v>
      </c>
      <c r="G3437" t="s">
        <v>21</v>
      </c>
      <c r="H3437" t="str">
        <f>"1461700518"</f>
        <v>1461700518</v>
      </c>
      <c r="I3437" t="str">
        <f>"WILSON COUNTY NEWS"</f>
        <v>WILSON COUNTY NEWS</v>
      </c>
    </row>
    <row r="3438" spans="1:9" x14ac:dyDescent="0.25">
      <c r="A3438" s="6">
        <v>44727</v>
      </c>
      <c r="B3438" t="s">
        <v>26</v>
      </c>
      <c r="C3438">
        <v>69835</v>
      </c>
      <c r="D3438" t="s">
        <v>104</v>
      </c>
      <c r="E3438" s="7">
        <v>22.3</v>
      </c>
      <c r="F3438" t="s">
        <v>20</v>
      </c>
      <c r="G3438" t="s">
        <v>21</v>
      </c>
      <c r="H3438" t="str">
        <f>"1461700525"</f>
        <v>1461700525</v>
      </c>
      <c r="I3438" t="str">
        <f>"WILSON COUNTY NEWS"</f>
        <v>WILSON COUNTY NEWS</v>
      </c>
    </row>
    <row r="3439" spans="1:9" x14ac:dyDescent="0.25">
      <c r="A3439" s="6">
        <v>44727</v>
      </c>
      <c r="B3439" t="s">
        <v>26</v>
      </c>
      <c r="C3439">
        <v>69835</v>
      </c>
      <c r="D3439" t="s">
        <v>104</v>
      </c>
      <c r="E3439" s="7">
        <v>1879.84</v>
      </c>
      <c r="F3439" t="s">
        <v>20</v>
      </c>
      <c r="G3439" t="s">
        <v>21</v>
      </c>
      <c r="H3439" t="str">
        <f>"33596"</f>
        <v>33596</v>
      </c>
      <c r="I3439" t="str">
        <f>"WILSON COUNTY NEWS"</f>
        <v>WILSON COUNTY NEWS</v>
      </c>
    </row>
    <row r="3440" spans="1:9" x14ac:dyDescent="0.25">
      <c r="A3440" s="6">
        <v>44727</v>
      </c>
      <c r="B3440" t="s">
        <v>26</v>
      </c>
      <c r="C3440">
        <v>69835</v>
      </c>
      <c r="D3440" t="s">
        <v>104</v>
      </c>
      <c r="E3440" s="7">
        <v>296.3</v>
      </c>
      <c r="F3440" t="s">
        <v>20</v>
      </c>
      <c r="G3440" t="s">
        <v>21</v>
      </c>
      <c r="H3440" t="str">
        <f>"45801"</f>
        <v>45801</v>
      </c>
      <c r="I3440" t="str">
        <f>"WILSON COUNTY NEWS"</f>
        <v>WILSON COUNTY NEWS</v>
      </c>
    </row>
    <row r="3441" spans="1:9" x14ac:dyDescent="0.25">
      <c r="A3441" s="6">
        <v>44727</v>
      </c>
      <c r="B3441" t="s">
        <v>26</v>
      </c>
      <c r="C3441">
        <v>69836</v>
      </c>
      <c r="D3441" t="s">
        <v>97</v>
      </c>
      <c r="E3441" s="7">
        <v>519.49</v>
      </c>
      <c r="F3441" t="s">
        <v>20</v>
      </c>
      <c r="G3441" t="s">
        <v>21</v>
      </c>
      <c r="H3441" t="str">
        <f>"J.EVINS COBRA 6/22"</f>
        <v>J.EVINS COBRA 6/22</v>
      </c>
      <c r="I3441" t="str">
        <f>"HEALTH CARE SERVICE CORPORATIO"</f>
        <v>HEALTH CARE SERVICE CORPORATIO</v>
      </c>
    </row>
    <row r="3442" spans="1:9" x14ac:dyDescent="0.25">
      <c r="A3442" s="6">
        <v>44727</v>
      </c>
      <c r="B3442" t="s">
        <v>26</v>
      </c>
      <c r="C3442">
        <v>69837</v>
      </c>
      <c r="D3442" t="s">
        <v>647</v>
      </c>
      <c r="E3442" s="7">
        <v>3429</v>
      </c>
      <c r="F3442" t="s">
        <v>20</v>
      </c>
      <c r="G3442" t="s">
        <v>21</v>
      </c>
      <c r="H3442" t="str">
        <f>"31794069"</f>
        <v>31794069</v>
      </c>
      <c r="I3442" t="str">
        <f>"DOCUMATION  INC."</f>
        <v>DOCUMATION  INC.</v>
      </c>
    </row>
    <row r="3443" spans="1:9" x14ac:dyDescent="0.25">
      <c r="A3443" s="6">
        <v>44727</v>
      </c>
      <c r="B3443" t="s">
        <v>26</v>
      </c>
      <c r="C3443">
        <v>69839</v>
      </c>
      <c r="D3443" t="s">
        <v>1227</v>
      </c>
      <c r="E3443" s="7">
        <v>50</v>
      </c>
      <c r="F3443" t="s">
        <v>20</v>
      </c>
      <c r="G3443" t="s">
        <v>21</v>
      </c>
      <c r="H3443" t="str">
        <f>"DEP.RFND 5/28/22"</f>
        <v>DEP.RFND 5/28/22</v>
      </c>
      <c r="I3443" t="str">
        <f>"REFUND"</f>
        <v>REFUND</v>
      </c>
    </row>
    <row r="3444" spans="1:9" x14ac:dyDescent="0.25">
      <c r="A3444" s="6">
        <v>44727</v>
      </c>
      <c r="B3444" t="s">
        <v>26</v>
      </c>
      <c r="C3444">
        <v>69840</v>
      </c>
      <c r="D3444" t="s">
        <v>115</v>
      </c>
      <c r="E3444" s="7">
        <v>145.38999999999999</v>
      </c>
      <c r="F3444" t="s">
        <v>20</v>
      </c>
      <c r="G3444" t="s">
        <v>21</v>
      </c>
      <c r="H3444" t="str">
        <f>"3547282158"</f>
        <v>3547282158</v>
      </c>
      <c r="I3444" t="str">
        <f>"BATTERY FOR WELDER"</f>
        <v>BATTERY FOR WELDER</v>
      </c>
    </row>
    <row r="3445" spans="1:9" x14ac:dyDescent="0.25">
      <c r="A3445" s="6">
        <v>44727</v>
      </c>
      <c r="B3445" t="s">
        <v>26</v>
      </c>
      <c r="C3445">
        <v>69841</v>
      </c>
      <c r="D3445" t="s">
        <v>302</v>
      </c>
      <c r="E3445" s="7">
        <v>126.54</v>
      </c>
      <c r="F3445" t="s">
        <v>20</v>
      </c>
      <c r="G3445" t="s">
        <v>21</v>
      </c>
      <c r="H3445" t="str">
        <f>"9333494210"</f>
        <v>9333494210</v>
      </c>
      <c r="I3445" t="str">
        <f>"IR PRESSURE SWITCH"</f>
        <v>IR PRESSURE SWITCH</v>
      </c>
    </row>
    <row r="3446" spans="1:9" x14ac:dyDescent="0.25">
      <c r="A3446" s="6">
        <v>44728</v>
      </c>
      <c r="B3446" t="s">
        <v>26</v>
      </c>
      <c r="C3446">
        <v>69842</v>
      </c>
      <c r="D3446" t="s">
        <v>122</v>
      </c>
      <c r="E3446" s="7">
        <v>214</v>
      </c>
      <c r="F3446" t="s">
        <v>20</v>
      </c>
      <c r="G3446" t="s">
        <v>21</v>
      </c>
      <c r="H3446" t="str">
        <f>"004615"</f>
        <v>004615</v>
      </c>
      <c r="I3446" t="str">
        <f>"TIRE FOR WATER TRUCK"</f>
        <v>TIRE FOR WATER TRUCK</v>
      </c>
    </row>
    <row r="3447" spans="1:9" x14ac:dyDescent="0.25">
      <c r="A3447" s="6">
        <v>44728</v>
      </c>
      <c r="B3447" t="s">
        <v>26</v>
      </c>
      <c r="C3447">
        <v>69842</v>
      </c>
      <c r="D3447" t="s">
        <v>122</v>
      </c>
      <c r="E3447" s="7">
        <v>60</v>
      </c>
      <c r="F3447" t="s">
        <v>20</v>
      </c>
      <c r="G3447" t="s">
        <v>21</v>
      </c>
      <c r="H3447" t="str">
        <f>"004643"</f>
        <v>004643</v>
      </c>
      <c r="I3447" t="str">
        <f>"VILLA TIRES"</f>
        <v>VILLA TIRES</v>
      </c>
    </row>
    <row r="3448" spans="1:9" x14ac:dyDescent="0.25">
      <c r="A3448" s="6">
        <v>44729</v>
      </c>
      <c r="B3448" t="s">
        <v>26</v>
      </c>
      <c r="C3448">
        <v>69843</v>
      </c>
      <c r="D3448" t="s">
        <v>1228</v>
      </c>
      <c r="E3448" s="7">
        <v>50</v>
      </c>
      <c r="F3448" t="s">
        <v>20</v>
      </c>
      <c r="G3448" t="s">
        <v>21</v>
      </c>
      <c r="H3448" t="str">
        <f>"DEP. RFND 5/20/22"</f>
        <v>DEP. RFND 5/20/22</v>
      </c>
      <c r="I3448" t="str">
        <f>"REFUND"</f>
        <v>REFUND</v>
      </c>
    </row>
    <row r="3449" spans="1:9" x14ac:dyDescent="0.25">
      <c r="A3449" s="6">
        <v>44729</v>
      </c>
      <c r="B3449" t="s">
        <v>91</v>
      </c>
      <c r="C3449">
        <v>69844</v>
      </c>
      <c r="D3449" t="s">
        <v>1229</v>
      </c>
      <c r="E3449" s="7">
        <v>50</v>
      </c>
      <c r="F3449" t="s">
        <v>20</v>
      </c>
      <c r="G3449" t="s">
        <v>21</v>
      </c>
      <c r="H3449" t="str">
        <f>"DEP.RFND 6/10/22"</f>
        <v>DEP.RFND 6/10/22</v>
      </c>
      <c r="I3449" t="str">
        <f>"REFUND"</f>
        <v>REFUND</v>
      </c>
    </row>
    <row r="3450" spans="1:9" x14ac:dyDescent="0.25">
      <c r="A3450" s="6">
        <v>44729</v>
      </c>
      <c r="B3450" t="s">
        <v>91</v>
      </c>
      <c r="C3450">
        <v>69844</v>
      </c>
      <c r="D3450" t="s">
        <v>1230</v>
      </c>
      <c r="E3450" s="7">
        <v>50</v>
      </c>
      <c r="F3450" t="s">
        <v>20</v>
      </c>
      <c r="G3450" t="s">
        <v>93</v>
      </c>
      <c r="H3450" t="str">
        <f>"CHECK"</f>
        <v>CHECK</v>
      </c>
      <c r="I3450" t="str">
        <f>""</f>
        <v/>
      </c>
    </row>
    <row r="3451" spans="1:9" x14ac:dyDescent="0.25">
      <c r="A3451" s="6">
        <v>44735</v>
      </c>
      <c r="B3451" t="s">
        <v>26</v>
      </c>
      <c r="C3451">
        <v>69845</v>
      </c>
      <c r="D3451" t="s">
        <v>431</v>
      </c>
      <c r="E3451" s="7">
        <v>575</v>
      </c>
      <c r="F3451" t="s">
        <v>20</v>
      </c>
      <c r="G3451" t="s">
        <v>21</v>
      </c>
      <c r="H3451" t="str">
        <f>"4"</f>
        <v>4</v>
      </c>
      <c r="I3451" t="str">
        <f>"ANDRES IBARRA"</f>
        <v>ANDRES IBARRA</v>
      </c>
    </row>
    <row r="3452" spans="1:9" x14ac:dyDescent="0.25">
      <c r="A3452" s="6">
        <v>44735</v>
      </c>
      <c r="B3452" t="s">
        <v>26</v>
      </c>
      <c r="C3452">
        <v>69845</v>
      </c>
      <c r="D3452" t="s">
        <v>431</v>
      </c>
      <c r="E3452" s="7">
        <v>3450</v>
      </c>
      <c r="F3452" t="s">
        <v>20</v>
      </c>
      <c r="G3452" t="s">
        <v>21</v>
      </c>
      <c r="H3452" t="str">
        <f>"5"</f>
        <v>5</v>
      </c>
      <c r="I3452" t="str">
        <f>"ANDRES IBARRA"</f>
        <v>ANDRES IBARRA</v>
      </c>
    </row>
    <row r="3453" spans="1:9" x14ac:dyDescent="0.25">
      <c r="A3453" s="6">
        <v>44735</v>
      </c>
      <c r="B3453" t="s">
        <v>26</v>
      </c>
      <c r="C3453">
        <v>69846</v>
      </c>
      <c r="D3453" t="s">
        <v>345</v>
      </c>
      <c r="E3453" s="7">
        <v>374</v>
      </c>
      <c r="F3453" t="s">
        <v>20</v>
      </c>
      <c r="G3453" t="s">
        <v>21</v>
      </c>
      <c r="H3453" t="str">
        <f>"6.21.2022"</f>
        <v>6.21.2022</v>
      </c>
      <c r="I3453" t="str">
        <f>"MICHAEL ISAAC MARTINEZ"</f>
        <v>MICHAEL ISAAC MARTINEZ</v>
      </c>
    </row>
    <row r="3454" spans="1:9" x14ac:dyDescent="0.25">
      <c r="A3454" s="6">
        <v>44735</v>
      </c>
      <c r="B3454" t="s">
        <v>26</v>
      </c>
      <c r="C3454">
        <v>69847</v>
      </c>
      <c r="D3454" t="s">
        <v>1210</v>
      </c>
      <c r="E3454" s="7">
        <v>575</v>
      </c>
      <c r="F3454" t="s">
        <v>20</v>
      </c>
      <c r="G3454" t="s">
        <v>21</v>
      </c>
      <c r="H3454" t="str">
        <f>"4"</f>
        <v>4</v>
      </c>
      <c r="I3454" t="str">
        <f>"VICTOR IBARRA"</f>
        <v>VICTOR IBARRA</v>
      </c>
    </row>
    <row r="3455" spans="1:9" x14ac:dyDescent="0.25">
      <c r="A3455" s="6">
        <v>44735</v>
      </c>
      <c r="B3455" t="s">
        <v>26</v>
      </c>
      <c r="C3455">
        <v>69847</v>
      </c>
      <c r="D3455" t="s">
        <v>1210</v>
      </c>
      <c r="E3455" s="7">
        <v>3450</v>
      </c>
      <c r="F3455" t="s">
        <v>20</v>
      </c>
      <c r="G3455" t="s">
        <v>21</v>
      </c>
      <c r="H3455" t="str">
        <f>"5"</f>
        <v>5</v>
      </c>
      <c r="I3455" t="str">
        <f>"VICTOR IBARRA"</f>
        <v>VICTOR IBARRA</v>
      </c>
    </row>
    <row r="3456" spans="1:9" x14ac:dyDescent="0.25">
      <c r="A3456" s="6">
        <v>44740</v>
      </c>
      <c r="B3456" t="s">
        <v>26</v>
      </c>
      <c r="C3456">
        <v>69854</v>
      </c>
      <c r="D3456" t="s">
        <v>51</v>
      </c>
      <c r="E3456" s="7">
        <v>13.85</v>
      </c>
      <c r="F3456" t="s">
        <v>20</v>
      </c>
      <c r="G3456" t="s">
        <v>21</v>
      </c>
      <c r="H3456" t="str">
        <f>"CLE202206288661"</f>
        <v>CLE202206288661</v>
      </c>
      <c r="I3456" t="str">
        <f>"CLEAT ONLY DUES"</f>
        <v>CLEAT ONLY DUES</v>
      </c>
    </row>
    <row r="3457" spans="1:9" x14ac:dyDescent="0.25">
      <c r="A3457" s="6">
        <v>44740</v>
      </c>
      <c r="B3457" t="s">
        <v>26</v>
      </c>
      <c r="C3457">
        <v>69854</v>
      </c>
      <c r="D3457" t="s">
        <v>51</v>
      </c>
      <c r="E3457" s="7">
        <v>332.46</v>
      </c>
      <c r="F3457" t="s">
        <v>20</v>
      </c>
      <c r="G3457" t="s">
        <v>21</v>
      </c>
      <c r="H3457" t="str">
        <f>"PDD202206288661"</f>
        <v>PDD202206288661</v>
      </c>
      <c r="I3457" t="str">
        <f>"POLICE OFFICERS ASSOC DUES"</f>
        <v>POLICE OFFICERS ASSOC DUES</v>
      </c>
    </row>
    <row r="3458" spans="1:9" x14ac:dyDescent="0.25">
      <c r="A3458" s="6">
        <v>44740</v>
      </c>
      <c r="B3458" t="s">
        <v>26</v>
      </c>
      <c r="C3458">
        <v>69855</v>
      </c>
      <c r="D3458" t="s">
        <v>52</v>
      </c>
      <c r="E3458" s="7">
        <v>101.25</v>
      </c>
      <c r="F3458" t="s">
        <v>20</v>
      </c>
      <c r="G3458" t="s">
        <v>21</v>
      </c>
      <c r="H3458" t="str">
        <f>"CA1202206288661"</f>
        <v>CA1202206288661</v>
      </c>
      <c r="I3458" t="str">
        <f>"K RAMIREZ 001200229510060343CV"</f>
        <v>K RAMIREZ 001200229510060343CV</v>
      </c>
    </row>
    <row r="3459" spans="1:9" x14ac:dyDescent="0.25">
      <c r="A3459" s="6">
        <v>44740</v>
      </c>
      <c r="B3459" t="s">
        <v>26</v>
      </c>
      <c r="C3459">
        <v>69855</v>
      </c>
      <c r="D3459" t="s">
        <v>52</v>
      </c>
      <c r="E3459" s="7">
        <v>101.25</v>
      </c>
      <c r="F3459" t="s">
        <v>20</v>
      </c>
      <c r="G3459" t="s">
        <v>21</v>
      </c>
      <c r="H3459" t="str">
        <f>"CA2202206288661"</f>
        <v>CA2202206288661</v>
      </c>
      <c r="I3459" t="str">
        <f>"L HERNANDEZ 001016025203080354"</f>
        <v>L HERNANDEZ 001016025203080354</v>
      </c>
    </row>
    <row r="3460" spans="1:9" x14ac:dyDescent="0.25">
      <c r="A3460" s="6">
        <v>44740</v>
      </c>
      <c r="B3460" t="s">
        <v>26</v>
      </c>
      <c r="C3460">
        <v>69855</v>
      </c>
      <c r="D3460" t="s">
        <v>52</v>
      </c>
      <c r="E3460" s="7">
        <v>101.25</v>
      </c>
      <c r="F3460" t="s">
        <v>20</v>
      </c>
      <c r="G3460" t="s">
        <v>21</v>
      </c>
      <c r="H3460" t="str">
        <f>"CA3202206288661"</f>
        <v>CA3202206288661</v>
      </c>
      <c r="I3460" t="str">
        <f>"00120788612011EM5023JOLENEGARC"</f>
        <v>00120788612011EM5023JOLENEGARC</v>
      </c>
    </row>
    <row r="3461" spans="1:9" x14ac:dyDescent="0.25">
      <c r="A3461" s="6">
        <v>44740</v>
      </c>
      <c r="B3461" t="s">
        <v>26</v>
      </c>
      <c r="C3461">
        <v>69855</v>
      </c>
      <c r="D3461" t="s">
        <v>52</v>
      </c>
      <c r="E3461" s="7">
        <v>306.45999999999998</v>
      </c>
      <c r="F3461" t="s">
        <v>20</v>
      </c>
      <c r="G3461" t="s">
        <v>21</v>
      </c>
      <c r="H3461" t="str">
        <f>"CPS202206288661"</f>
        <v>CPS202206288661</v>
      </c>
      <c r="I3461" t="str">
        <f>"G MENDOZA 00123012032010EM5054"</f>
        <v>G MENDOZA 00123012032010EM5054</v>
      </c>
    </row>
    <row r="3462" spans="1:9" x14ac:dyDescent="0.25">
      <c r="A3462" s="6">
        <v>44740</v>
      </c>
      <c r="B3462" t="s">
        <v>26</v>
      </c>
      <c r="C3462">
        <v>69855</v>
      </c>
      <c r="D3462" t="s">
        <v>52</v>
      </c>
      <c r="E3462" s="7">
        <v>101.25</v>
      </c>
      <c r="F3462" t="s">
        <v>20</v>
      </c>
      <c r="G3462" t="s">
        <v>21</v>
      </c>
      <c r="H3462" t="str">
        <f>"CSA202206288661"</f>
        <v>CSA202206288661</v>
      </c>
      <c r="I3462" t="str">
        <f>"S RODRIGUEZ 001281730413050336"</f>
        <v>S RODRIGUEZ 001281730413050336</v>
      </c>
    </row>
    <row r="3463" spans="1:9" x14ac:dyDescent="0.25">
      <c r="A3463" s="6">
        <v>44740</v>
      </c>
      <c r="B3463" t="s">
        <v>26</v>
      </c>
      <c r="C3463">
        <v>69855</v>
      </c>
      <c r="D3463" t="s">
        <v>52</v>
      </c>
      <c r="E3463" s="7">
        <v>521.54</v>
      </c>
      <c r="F3463" t="s">
        <v>20</v>
      </c>
      <c r="G3463" t="s">
        <v>21</v>
      </c>
      <c r="H3463" t="str">
        <f>"CSI202206288661"</f>
        <v>CSI202206288661</v>
      </c>
      <c r="I3463" t="str">
        <f>"KTRINIDAD0014071774CVW2000777"</f>
        <v>KTRINIDAD0014071774CVW2000777</v>
      </c>
    </row>
    <row r="3464" spans="1:9" x14ac:dyDescent="0.25">
      <c r="A3464" s="6">
        <v>44740</v>
      </c>
      <c r="B3464" t="s">
        <v>26</v>
      </c>
      <c r="C3464">
        <v>69857</v>
      </c>
      <c r="D3464" t="s">
        <v>54</v>
      </c>
      <c r="E3464" s="7">
        <v>803.43</v>
      </c>
      <c r="F3464" t="s">
        <v>20</v>
      </c>
      <c r="G3464" t="s">
        <v>21</v>
      </c>
      <c r="H3464" t="str">
        <f>"BRE202206288661"</f>
        <v>BRE202206288661</v>
      </c>
      <c r="I3464" t="str">
        <f>"CASE #180-60751 457B DEDUCT"</f>
        <v>CASE #180-60751 457B DEDUCT</v>
      </c>
    </row>
    <row r="3465" spans="1:9" x14ac:dyDescent="0.25">
      <c r="A3465" s="6">
        <v>44740</v>
      </c>
      <c r="B3465" t="s">
        <v>26</v>
      </c>
      <c r="C3465">
        <v>69858</v>
      </c>
      <c r="D3465" t="s">
        <v>1231</v>
      </c>
      <c r="E3465" s="7">
        <v>79.599999999999994</v>
      </c>
      <c r="F3465" t="s">
        <v>20</v>
      </c>
      <c r="G3465" t="s">
        <v>21</v>
      </c>
      <c r="H3465" t="str">
        <f>"05/25/2022"</f>
        <v>05/25/2022</v>
      </c>
      <c r="I3465" t="str">
        <f>"ALANA GALLEGOS"</f>
        <v>ALANA GALLEGOS</v>
      </c>
    </row>
    <row r="3466" spans="1:9" x14ac:dyDescent="0.25">
      <c r="A3466" s="6">
        <v>44740</v>
      </c>
      <c r="B3466" t="s">
        <v>26</v>
      </c>
      <c r="C3466">
        <v>69859</v>
      </c>
      <c r="D3466" t="s">
        <v>431</v>
      </c>
      <c r="E3466" s="7">
        <v>1150</v>
      </c>
      <c r="F3466" t="s">
        <v>20</v>
      </c>
      <c r="G3466" t="s">
        <v>21</v>
      </c>
      <c r="H3466" t="str">
        <f>"6"</f>
        <v>6</v>
      </c>
      <c r="I3466" t="str">
        <f>"ANDRES IBARRA"</f>
        <v>ANDRES IBARRA</v>
      </c>
    </row>
    <row r="3467" spans="1:9" x14ac:dyDescent="0.25">
      <c r="A3467" s="6">
        <v>44740</v>
      </c>
      <c r="B3467" t="s">
        <v>26</v>
      </c>
      <c r="C3467">
        <v>69860</v>
      </c>
      <c r="D3467" t="s">
        <v>189</v>
      </c>
      <c r="E3467" s="7">
        <v>407.6</v>
      </c>
      <c r="F3467" t="s">
        <v>20</v>
      </c>
      <c r="G3467" t="s">
        <v>21</v>
      </c>
      <c r="H3467" t="str">
        <f>"PSO331226-1"</f>
        <v>PSO331226-1</v>
      </c>
      <c r="I3467" t="str">
        <f>"BACKHOE"</f>
        <v>BACKHOE</v>
      </c>
    </row>
    <row r="3468" spans="1:9" x14ac:dyDescent="0.25">
      <c r="A3468" s="6">
        <v>44740</v>
      </c>
      <c r="B3468" t="s">
        <v>26</v>
      </c>
      <c r="C3468">
        <v>69861</v>
      </c>
      <c r="D3468" t="s">
        <v>821</v>
      </c>
      <c r="E3468" s="7">
        <v>1086.8699999999999</v>
      </c>
      <c r="F3468" t="s">
        <v>20</v>
      </c>
      <c r="G3468" t="s">
        <v>21</v>
      </c>
      <c r="H3468" t="str">
        <f>"NSI13979"</f>
        <v>NSI13979</v>
      </c>
      <c r="I3468" t="str">
        <f>"WWTP"</f>
        <v>WWTP</v>
      </c>
    </row>
    <row r="3469" spans="1:9" x14ac:dyDescent="0.25">
      <c r="A3469" s="6">
        <v>44740</v>
      </c>
      <c r="B3469" t="s">
        <v>26</v>
      </c>
      <c r="C3469">
        <v>69862</v>
      </c>
      <c r="D3469" t="s">
        <v>115</v>
      </c>
      <c r="E3469" s="7">
        <v>97.25</v>
      </c>
      <c r="F3469" t="s">
        <v>20</v>
      </c>
      <c r="G3469" t="s">
        <v>21</v>
      </c>
      <c r="H3469" t="str">
        <f>"3547283182"</f>
        <v>3547283182</v>
      </c>
      <c r="I3469" t="str">
        <f>"PD VEHICLES"</f>
        <v>PD VEHICLES</v>
      </c>
    </row>
    <row r="3470" spans="1:9" x14ac:dyDescent="0.25">
      <c r="A3470" s="6">
        <v>44740</v>
      </c>
      <c r="B3470" t="s">
        <v>26</v>
      </c>
      <c r="C3470">
        <v>69862</v>
      </c>
      <c r="D3470" t="s">
        <v>115</v>
      </c>
      <c r="E3470" s="7">
        <v>69.98</v>
      </c>
      <c r="F3470" t="s">
        <v>20</v>
      </c>
      <c r="G3470" t="s">
        <v>21</v>
      </c>
      <c r="H3470" t="str">
        <f>"3547284323"</f>
        <v>3547284323</v>
      </c>
      <c r="I3470" t="str">
        <f>"PD UNIT 333"</f>
        <v>PD UNIT 333</v>
      </c>
    </row>
    <row r="3471" spans="1:9" x14ac:dyDescent="0.25">
      <c r="A3471" s="6">
        <v>44740</v>
      </c>
      <c r="B3471" t="s">
        <v>26</v>
      </c>
      <c r="C3471">
        <v>69862</v>
      </c>
      <c r="D3471" t="s">
        <v>115</v>
      </c>
      <c r="E3471" s="7">
        <v>71.94</v>
      </c>
      <c r="F3471" t="s">
        <v>20</v>
      </c>
      <c r="G3471" t="s">
        <v>21</v>
      </c>
      <c r="H3471" t="str">
        <f>"3547284324"</f>
        <v>3547284324</v>
      </c>
      <c r="I3471" t="str">
        <f>"SHOP USE"</f>
        <v>SHOP USE</v>
      </c>
    </row>
    <row r="3472" spans="1:9" x14ac:dyDescent="0.25">
      <c r="A3472" s="6">
        <v>44740</v>
      </c>
      <c r="B3472" t="s">
        <v>26</v>
      </c>
      <c r="C3472">
        <v>69862</v>
      </c>
      <c r="D3472" t="s">
        <v>115</v>
      </c>
      <c r="E3472" s="7">
        <v>311</v>
      </c>
      <c r="F3472" t="s">
        <v>20</v>
      </c>
      <c r="G3472" t="s">
        <v>21</v>
      </c>
      <c r="H3472" t="str">
        <f>"3547288741"</f>
        <v>3547288741</v>
      </c>
      <c r="I3472" t="str">
        <f>"BATTERIES FOR BACKHOE"</f>
        <v>BATTERIES FOR BACKHOE</v>
      </c>
    </row>
    <row r="3473" spans="1:9" x14ac:dyDescent="0.25">
      <c r="A3473" s="6">
        <v>44740</v>
      </c>
      <c r="B3473" t="s">
        <v>26</v>
      </c>
      <c r="C3473">
        <v>69862</v>
      </c>
      <c r="D3473" t="s">
        <v>115</v>
      </c>
      <c r="E3473" s="7">
        <v>81.38</v>
      </c>
      <c r="F3473" t="s">
        <v>20</v>
      </c>
      <c r="G3473" t="s">
        <v>21</v>
      </c>
      <c r="H3473" t="str">
        <f>"3547289410"</f>
        <v>3547289410</v>
      </c>
      <c r="I3473" t="str">
        <f>"PARTS FOR DINO'S TRUCK"</f>
        <v>PARTS FOR DINO'S TRUCK</v>
      </c>
    </row>
    <row r="3474" spans="1:9" x14ac:dyDescent="0.25">
      <c r="A3474" s="6">
        <v>44740</v>
      </c>
      <c r="B3474" t="s">
        <v>26</v>
      </c>
      <c r="C3474">
        <v>69863</v>
      </c>
      <c r="D3474" t="s">
        <v>1218</v>
      </c>
      <c r="E3474" s="7">
        <v>3200</v>
      </c>
      <c r="F3474" t="s">
        <v>20</v>
      </c>
      <c r="G3474" t="s">
        <v>21</v>
      </c>
      <c r="H3474" t="str">
        <f>"CELEBRATE AMER'22"</f>
        <v>CELEBRATE AMER'22</v>
      </c>
      <c r="I3474" t="str">
        <f>"BIG R.I.G COUNTRY  LLC"</f>
        <v>BIG R.I.G COUNTRY  LLC</v>
      </c>
    </row>
    <row r="3475" spans="1:9" x14ac:dyDescent="0.25">
      <c r="A3475" s="6">
        <v>44740</v>
      </c>
      <c r="B3475" t="s">
        <v>26</v>
      </c>
      <c r="C3475">
        <v>69864</v>
      </c>
      <c r="D3475" t="s">
        <v>118</v>
      </c>
      <c r="E3475" s="7">
        <v>423</v>
      </c>
      <c r="F3475" t="s">
        <v>20</v>
      </c>
      <c r="G3475" t="s">
        <v>21</v>
      </c>
      <c r="H3475" t="str">
        <f>"12712"</f>
        <v>12712</v>
      </c>
      <c r="I3475" t="str">
        <f>"50127101"</f>
        <v>50127101</v>
      </c>
    </row>
    <row r="3476" spans="1:9" x14ac:dyDescent="0.25">
      <c r="A3476" s="6">
        <v>44740</v>
      </c>
      <c r="B3476" t="s">
        <v>26</v>
      </c>
      <c r="C3476">
        <v>69865</v>
      </c>
      <c r="D3476" t="s">
        <v>299</v>
      </c>
      <c r="E3476" s="7">
        <v>132.24</v>
      </c>
      <c r="F3476" t="s">
        <v>20</v>
      </c>
      <c r="G3476" t="s">
        <v>21</v>
      </c>
      <c r="H3476" t="str">
        <f>"BRIDAL EXTR. '22"</f>
        <v>BRIDAL EXTR. '22</v>
      </c>
      <c r="I3476" t="str">
        <f>"CHEZARE PEREZ"</f>
        <v>CHEZARE PEREZ</v>
      </c>
    </row>
    <row r="3477" spans="1:9" x14ac:dyDescent="0.25">
      <c r="A3477" s="6">
        <v>44740</v>
      </c>
      <c r="B3477" t="s">
        <v>26</v>
      </c>
      <c r="C3477">
        <v>69866</v>
      </c>
      <c r="D3477" t="s">
        <v>63</v>
      </c>
      <c r="E3477" s="7">
        <v>980.29</v>
      </c>
      <c r="F3477" t="s">
        <v>20</v>
      </c>
      <c r="G3477" t="s">
        <v>21</v>
      </c>
      <c r="H3477" t="str">
        <f>"8405735970"</f>
        <v>8405735970</v>
      </c>
      <c r="I3477" t="str">
        <f>"CINTAS CORPORATION"</f>
        <v>CINTAS CORPORATION</v>
      </c>
    </row>
    <row r="3478" spans="1:9" x14ac:dyDescent="0.25">
      <c r="A3478" s="6">
        <v>44740</v>
      </c>
      <c r="B3478" t="s">
        <v>26</v>
      </c>
      <c r="C3478">
        <v>69867</v>
      </c>
      <c r="D3478" t="s">
        <v>0</v>
      </c>
      <c r="E3478" s="7">
        <v>5787.13</v>
      </c>
      <c r="F3478" t="s">
        <v>20</v>
      </c>
      <c r="G3478" t="s">
        <v>21</v>
      </c>
      <c r="H3478" t="str">
        <f>"5/10-6/10/2022"</f>
        <v>5/10-6/10/2022</v>
      </c>
      <c r="I3478" t="str">
        <f>"CITY OF FLORESVILLE"</f>
        <v>CITY OF FLORESVILLE</v>
      </c>
    </row>
    <row r="3479" spans="1:9" x14ac:dyDescent="0.25">
      <c r="A3479" s="6">
        <v>44740</v>
      </c>
      <c r="B3479" t="s">
        <v>26</v>
      </c>
      <c r="C3479">
        <v>69868</v>
      </c>
      <c r="D3479" t="s">
        <v>81</v>
      </c>
      <c r="E3479" s="7">
        <v>7000</v>
      </c>
      <c r="F3479" t="s">
        <v>20</v>
      </c>
      <c r="G3479" t="s">
        <v>21</v>
      </c>
      <c r="H3479" t="str">
        <f>"CELEBRATE AMER'22"</f>
        <v>CELEBRATE AMER'22</v>
      </c>
      <c r="I3479" t="str">
        <f>"CITY OF FLORESVILLE -PETTY CAS"</f>
        <v>CITY OF FLORESVILLE -PETTY CAS</v>
      </c>
    </row>
    <row r="3480" spans="1:9" x14ac:dyDescent="0.25">
      <c r="A3480" s="6">
        <v>44740</v>
      </c>
      <c r="B3480" t="s">
        <v>26</v>
      </c>
      <c r="C3480">
        <v>69869</v>
      </c>
      <c r="D3480" t="s">
        <v>77</v>
      </c>
      <c r="E3480" s="7">
        <v>1202.6199999999999</v>
      </c>
      <c r="F3480" t="s">
        <v>20</v>
      </c>
      <c r="G3480" t="s">
        <v>21</v>
      </c>
      <c r="H3480" t="str">
        <f>"221"</f>
        <v>221</v>
      </c>
      <c r="I3480" t="str">
        <f>"CHLORINE BOTTLES"</f>
        <v>CHLORINE BOTTLES</v>
      </c>
    </row>
    <row r="3481" spans="1:9" x14ac:dyDescent="0.25">
      <c r="A3481" s="6">
        <v>44740</v>
      </c>
      <c r="B3481" t="s">
        <v>26</v>
      </c>
      <c r="C3481">
        <v>69869</v>
      </c>
      <c r="D3481" t="s">
        <v>77</v>
      </c>
      <c r="E3481" s="7">
        <v>1714.6</v>
      </c>
      <c r="F3481" t="s">
        <v>20</v>
      </c>
      <c r="G3481" t="s">
        <v>21</v>
      </c>
      <c r="H3481" t="str">
        <f>"857001211-22"</f>
        <v>857001211-22</v>
      </c>
      <c r="I3481" t="str">
        <f>"CHLORINE BOTTLES"</f>
        <v>CHLORINE BOTTLES</v>
      </c>
    </row>
    <row r="3482" spans="1:9" x14ac:dyDescent="0.25">
      <c r="A3482" s="6">
        <v>44740</v>
      </c>
      <c r="B3482" t="s">
        <v>26</v>
      </c>
      <c r="C3482">
        <v>69869</v>
      </c>
      <c r="D3482" t="s">
        <v>77</v>
      </c>
      <c r="E3482" s="7">
        <v>945.04</v>
      </c>
      <c r="F3482" t="s">
        <v>20</v>
      </c>
      <c r="G3482" t="s">
        <v>21</v>
      </c>
      <c r="H3482" t="str">
        <f>"857001240-22"</f>
        <v>857001240-22</v>
      </c>
      <c r="I3482" t="str">
        <f>"CHLORINE WWTP"</f>
        <v>CHLORINE WWTP</v>
      </c>
    </row>
    <row r="3483" spans="1:9" x14ac:dyDescent="0.25">
      <c r="A3483" s="6">
        <v>44740</v>
      </c>
      <c r="B3483" t="s">
        <v>26</v>
      </c>
      <c r="C3483">
        <v>69870</v>
      </c>
      <c r="D3483" t="s">
        <v>69</v>
      </c>
      <c r="E3483" s="7">
        <v>62.34</v>
      </c>
      <c r="F3483" t="s">
        <v>20</v>
      </c>
      <c r="G3483" t="s">
        <v>21</v>
      </c>
      <c r="H3483" t="str">
        <f>"3C18864"</f>
        <v>3C18864</v>
      </c>
      <c r="I3483" t="str">
        <f>"UDT GALLON"</f>
        <v>UDT GALLON</v>
      </c>
    </row>
    <row r="3484" spans="1:9" x14ac:dyDescent="0.25">
      <c r="A3484" s="6">
        <v>44740</v>
      </c>
      <c r="B3484" t="s">
        <v>26</v>
      </c>
      <c r="C3484">
        <v>69871</v>
      </c>
      <c r="D3484" t="s">
        <v>79</v>
      </c>
      <c r="E3484" s="7">
        <v>22.63</v>
      </c>
      <c r="F3484" t="s">
        <v>20</v>
      </c>
      <c r="G3484" t="s">
        <v>21</v>
      </c>
      <c r="H3484" t="str">
        <f>"7-797-68919"</f>
        <v>7-797-68919</v>
      </c>
      <c r="I3484" t="str">
        <f>"FEDEX"</f>
        <v>FEDEX</v>
      </c>
    </row>
    <row r="3485" spans="1:9" x14ac:dyDescent="0.25">
      <c r="A3485" s="6">
        <v>44740</v>
      </c>
      <c r="B3485" t="s">
        <v>26</v>
      </c>
      <c r="C3485">
        <v>69872</v>
      </c>
      <c r="D3485" t="s">
        <v>343</v>
      </c>
      <c r="E3485" s="7">
        <v>15000</v>
      </c>
      <c r="F3485" t="s">
        <v>20</v>
      </c>
      <c r="G3485" t="s">
        <v>21</v>
      </c>
      <c r="H3485" t="str">
        <f>"FPFA OCT. 2022"</f>
        <v>FPFA OCT. 2022</v>
      </c>
      <c r="I3485" t="str">
        <f>"FLORESVILLE PEANUT FESTIVAL AS"</f>
        <v>FLORESVILLE PEANUT FESTIVAL AS</v>
      </c>
    </row>
    <row r="3486" spans="1:9" x14ac:dyDescent="0.25">
      <c r="A3486" s="6">
        <v>44740</v>
      </c>
      <c r="B3486" t="s">
        <v>26</v>
      </c>
      <c r="C3486">
        <v>69873</v>
      </c>
      <c r="D3486" t="s">
        <v>450</v>
      </c>
      <c r="E3486" s="7">
        <v>5000</v>
      </c>
      <c r="F3486" t="s">
        <v>20</v>
      </c>
      <c r="G3486" t="s">
        <v>21</v>
      </c>
      <c r="H3486" t="str">
        <f>"4TH OF JULY '22"</f>
        <v>4TH OF JULY '22</v>
      </c>
      <c r="I3486" t="str">
        <f>"FOUR STAR ENTERTAINMENT"</f>
        <v>FOUR STAR ENTERTAINMENT</v>
      </c>
    </row>
    <row r="3487" spans="1:9" x14ac:dyDescent="0.25">
      <c r="A3487" s="6">
        <v>44740</v>
      </c>
      <c r="B3487" t="s">
        <v>26</v>
      </c>
      <c r="C3487">
        <v>69874</v>
      </c>
      <c r="D3487" t="s">
        <v>85</v>
      </c>
      <c r="E3487" s="7">
        <v>61.33</v>
      </c>
      <c r="F3487" t="s">
        <v>20</v>
      </c>
      <c r="G3487" t="s">
        <v>21</v>
      </c>
      <c r="H3487" t="str">
        <f>"2162733 JUNE 2022"</f>
        <v>2162733 JUNE 2022</v>
      </c>
      <c r="I3487" t="str">
        <f t="shared" ref="I3487:I3498" si="83">"FRONTIER"</f>
        <v>FRONTIER</v>
      </c>
    </row>
    <row r="3488" spans="1:9" x14ac:dyDescent="0.25">
      <c r="A3488" s="6">
        <v>44740</v>
      </c>
      <c r="B3488" t="s">
        <v>26</v>
      </c>
      <c r="C3488">
        <v>69874</v>
      </c>
      <c r="D3488" t="s">
        <v>85</v>
      </c>
      <c r="E3488" s="7">
        <v>538.65</v>
      </c>
      <c r="F3488" t="s">
        <v>20</v>
      </c>
      <c r="G3488" t="s">
        <v>21</v>
      </c>
      <c r="H3488" t="str">
        <f>"2162745 JUNE 2022"</f>
        <v>2162745 JUNE 2022</v>
      </c>
      <c r="I3488" t="str">
        <f t="shared" si="83"/>
        <v>FRONTIER</v>
      </c>
    </row>
    <row r="3489" spans="1:9" x14ac:dyDescent="0.25">
      <c r="A3489" s="6">
        <v>44740</v>
      </c>
      <c r="B3489" t="s">
        <v>26</v>
      </c>
      <c r="C3489">
        <v>69874</v>
      </c>
      <c r="D3489" t="s">
        <v>85</v>
      </c>
      <c r="E3489" s="7">
        <v>60.15</v>
      </c>
      <c r="F3489" t="s">
        <v>20</v>
      </c>
      <c r="G3489" t="s">
        <v>21</v>
      </c>
      <c r="H3489" t="str">
        <f>"2162755 JUNE 2022"</f>
        <v>2162755 JUNE 2022</v>
      </c>
      <c r="I3489" t="str">
        <f t="shared" si="83"/>
        <v>FRONTIER</v>
      </c>
    </row>
    <row r="3490" spans="1:9" x14ac:dyDescent="0.25">
      <c r="A3490" s="6">
        <v>44740</v>
      </c>
      <c r="B3490" t="s">
        <v>26</v>
      </c>
      <c r="C3490">
        <v>69874</v>
      </c>
      <c r="D3490" t="s">
        <v>85</v>
      </c>
      <c r="E3490" s="7">
        <v>36.14</v>
      </c>
      <c r="F3490" t="s">
        <v>20</v>
      </c>
      <c r="G3490" t="s">
        <v>21</v>
      </c>
      <c r="H3490" t="str">
        <f>"3932056 JUNE 2022"</f>
        <v>3932056 JUNE 2022</v>
      </c>
      <c r="I3490" t="str">
        <f t="shared" si="83"/>
        <v>FRONTIER</v>
      </c>
    </row>
    <row r="3491" spans="1:9" x14ac:dyDescent="0.25">
      <c r="A3491" s="6">
        <v>44740</v>
      </c>
      <c r="B3491" t="s">
        <v>26</v>
      </c>
      <c r="C3491">
        <v>69874</v>
      </c>
      <c r="D3491" t="s">
        <v>85</v>
      </c>
      <c r="E3491" s="7">
        <v>71.33</v>
      </c>
      <c r="F3491" t="s">
        <v>20</v>
      </c>
      <c r="G3491" t="s">
        <v>21</v>
      </c>
      <c r="H3491" t="str">
        <f>"3932804 JUNE 2022"</f>
        <v>3932804 JUNE 2022</v>
      </c>
      <c r="I3491" t="str">
        <f t="shared" si="83"/>
        <v>FRONTIER</v>
      </c>
    </row>
    <row r="3492" spans="1:9" x14ac:dyDescent="0.25">
      <c r="A3492" s="6">
        <v>44740</v>
      </c>
      <c r="B3492" t="s">
        <v>26</v>
      </c>
      <c r="C3492">
        <v>69874</v>
      </c>
      <c r="D3492" t="s">
        <v>85</v>
      </c>
      <c r="E3492" s="7">
        <v>45.41</v>
      </c>
      <c r="F3492" t="s">
        <v>20</v>
      </c>
      <c r="G3492" t="s">
        <v>21</v>
      </c>
      <c r="H3492" t="str">
        <f>"3933186 JUNE 2022"</f>
        <v>3933186 JUNE 2022</v>
      </c>
      <c r="I3492" t="str">
        <f t="shared" si="83"/>
        <v>FRONTIER</v>
      </c>
    </row>
    <row r="3493" spans="1:9" x14ac:dyDescent="0.25">
      <c r="A3493" s="6">
        <v>44740</v>
      </c>
      <c r="B3493" t="s">
        <v>26</v>
      </c>
      <c r="C3493">
        <v>69874</v>
      </c>
      <c r="D3493" t="s">
        <v>85</v>
      </c>
      <c r="E3493" s="7">
        <v>42.64</v>
      </c>
      <c r="F3493" t="s">
        <v>20</v>
      </c>
      <c r="G3493" t="s">
        <v>21</v>
      </c>
      <c r="H3493" t="str">
        <f>"3933718 JULY 2022"</f>
        <v>3933718 JULY 2022</v>
      </c>
      <c r="I3493" t="str">
        <f t="shared" si="83"/>
        <v>FRONTIER</v>
      </c>
    </row>
    <row r="3494" spans="1:9" x14ac:dyDescent="0.25">
      <c r="A3494" s="6">
        <v>44740</v>
      </c>
      <c r="B3494" t="s">
        <v>26</v>
      </c>
      <c r="C3494">
        <v>69874</v>
      </c>
      <c r="D3494" t="s">
        <v>85</v>
      </c>
      <c r="E3494" s="7">
        <v>69.64</v>
      </c>
      <c r="F3494" t="s">
        <v>20</v>
      </c>
      <c r="G3494" t="s">
        <v>21</v>
      </c>
      <c r="H3494" t="str">
        <f>"3936616 JUNE 2022"</f>
        <v>3936616 JUNE 2022</v>
      </c>
      <c r="I3494" t="str">
        <f t="shared" si="83"/>
        <v>FRONTIER</v>
      </c>
    </row>
    <row r="3495" spans="1:9" x14ac:dyDescent="0.25">
      <c r="A3495" s="6">
        <v>44740</v>
      </c>
      <c r="B3495" t="s">
        <v>26</v>
      </c>
      <c r="C3495">
        <v>69874</v>
      </c>
      <c r="D3495" t="s">
        <v>85</v>
      </c>
      <c r="E3495" s="7">
        <v>46.59</v>
      </c>
      <c r="F3495" t="s">
        <v>20</v>
      </c>
      <c r="G3495" t="s">
        <v>21</v>
      </c>
      <c r="H3495" t="str">
        <f>"3936794 JUNE 2022"</f>
        <v>3936794 JUNE 2022</v>
      </c>
      <c r="I3495" t="str">
        <f t="shared" si="83"/>
        <v>FRONTIER</v>
      </c>
    </row>
    <row r="3496" spans="1:9" x14ac:dyDescent="0.25">
      <c r="A3496" s="6">
        <v>44740</v>
      </c>
      <c r="B3496" t="s">
        <v>26</v>
      </c>
      <c r="C3496">
        <v>69874</v>
      </c>
      <c r="D3496" t="s">
        <v>85</v>
      </c>
      <c r="E3496" s="7">
        <v>41.46</v>
      </c>
      <c r="F3496" t="s">
        <v>20</v>
      </c>
      <c r="G3496" t="s">
        <v>21</v>
      </c>
      <c r="H3496" t="str">
        <f>"3939456 JUNE 2022"</f>
        <v>3939456 JUNE 2022</v>
      </c>
      <c r="I3496" t="str">
        <f t="shared" si="83"/>
        <v>FRONTIER</v>
      </c>
    </row>
    <row r="3497" spans="1:9" x14ac:dyDescent="0.25">
      <c r="A3497" s="6">
        <v>44740</v>
      </c>
      <c r="B3497" t="s">
        <v>26</v>
      </c>
      <c r="C3497">
        <v>69874</v>
      </c>
      <c r="D3497" t="s">
        <v>85</v>
      </c>
      <c r="E3497" s="7">
        <v>1908.99</v>
      </c>
      <c r="F3497" t="s">
        <v>20</v>
      </c>
      <c r="G3497" t="s">
        <v>21</v>
      </c>
      <c r="H3497" t="str">
        <f>"8301970025 JUNE 22"</f>
        <v>8301970025 JUNE 22</v>
      </c>
      <c r="I3497" t="str">
        <f t="shared" si="83"/>
        <v>FRONTIER</v>
      </c>
    </row>
    <row r="3498" spans="1:9" x14ac:dyDescent="0.25">
      <c r="A3498" s="6">
        <v>44740</v>
      </c>
      <c r="B3498" t="s">
        <v>26</v>
      </c>
      <c r="C3498">
        <v>69874</v>
      </c>
      <c r="D3498" t="s">
        <v>85</v>
      </c>
      <c r="E3498" s="7">
        <v>205.02</v>
      </c>
      <c r="F3498" t="s">
        <v>20</v>
      </c>
      <c r="G3498" t="s">
        <v>21</v>
      </c>
      <c r="H3498" t="str">
        <f>"8301970102 6/2022"</f>
        <v>8301970102 6/2022</v>
      </c>
      <c r="I3498" t="str">
        <f t="shared" si="83"/>
        <v>FRONTIER</v>
      </c>
    </row>
    <row r="3499" spans="1:9" x14ac:dyDescent="0.25">
      <c r="A3499" s="6">
        <v>44740</v>
      </c>
      <c r="B3499" t="s">
        <v>26</v>
      </c>
      <c r="C3499">
        <v>69877</v>
      </c>
      <c r="D3499" t="s">
        <v>194</v>
      </c>
      <c r="E3499" s="7">
        <v>214.03</v>
      </c>
      <c r="F3499" t="s">
        <v>20</v>
      </c>
      <c r="G3499" t="s">
        <v>21</v>
      </c>
      <c r="H3499" t="str">
        <f>"021237008"</f>
        <v>021237008</v>
      </c>
      <c r="I3499" t="str">
        <f>"GALLS  LLC-D.B.A. STERLING'S U"</f>
        <v>GALLS  LLC-D.B.A. STERLING'S U</v>
      </c>
    </row>
    <row r="3500" spans="1:9" x14ac:dyDescent="0.25">
      <c r="A3500" s="6">
        <v>44740</v>
      </c>
      <c r="B3500" t="s">
        <v>26</v>
      </c>
      <c r="C3500">
        <v>69878</v>
      </c>
      <c r="D3500" t="s">
        <v>125</v>
      </c>
      <c r="E3500" s="7">
        <v>90</v>
      </c>
      <c r="F3500" t="s">
        <v>20</v>
      </c>
      <c r="G3500" t="s">
        <v>21</v>
      </c>
      <c r="H3500" t="str">
        <f>"21-1050 MARCH2022"</f>
        <v>21-1050 MARCH2022</v>
      </c>
      <c r="I3500" t="str">
        <f>"INTREPID SURVEYING CORPORATION"</f>
        <v>INTREPID SURVEYING CORPORATION</v>
      </c>
    </row>
    <row r="3501" spans="1:9" x14ac:dyDescent="0.25">
      <c r="A3501" s="6">
        <v>44740</v>
      </c>
      <c r="B3501" t="s">
        <v>26</v>
      </c>
      <c r="C3501">
        <v>69879</v>
      </c>
      <c r="D3501" t="s">
        <v>1232</v>
      </c>
      <c r="E3501" s="7">
        <v>1194</v>
      </c>
      <c r="F3501" t="s">
        <v>20</v>
      </c>
      <c r="G3501" t="s">
        <v>21</v>
      </c>
      <c r="H3501" t="str">
        <f>"11910"</f>
        <v>11910</v>
      </c>
      <c r="I3501" t="str">
        <f>"TWO POST LIFT REPAIR"</f>
        <v>TWO POST LIFT REPAIR</v>
      </c>
    </row>
    <row r="3502" spans="1:9" x14ac:dyDescent="0.25">
      <c r="A3502" s="6">
        <v>44740</v>
      </c>
      <c r="B3502" t="s">
        <v>26</v>
      </c>
      <c r="C3502">
        <v>69880</v>
      </c>
      <c r="D3502" t="s">
        <v>1211</v>
      </c>
      <c r="E3502" s="7">
        <v>360</v>
      </c>
      <c r="F3502" t="s">
        <v>20</v>
      </c>
      <c r="G3502" t="s">
        <v>21</v>
      </c>
      <c r="H3502" t="str">
        <f>"CELEBRATE AMER'22"</f>
        <v>CELEBRATE AMER'22</v>
      </c>
      <c r="I3502" t="str">
        <f>"JERRY DELEON JR."</f>
        <v>JERRY DELEON JR.</v>
      </c>
    </row>
    <row r="3503" spans="1:9" x14ac:dyDescent="0.25">
      <c r="A3503" s="6">
        <v>44740</v>
      </c>
      <c r="B3503" t="s">
        <v>26</v>
      </c>
      <c r="C3503">
        <v>69881</v>
      </c>
      <c r="D3503" t="s">
        <v>927</v>
      </c>
      <c r="E3503" s="7">
        <v>1370.37</v>
      </c>
      <c r="F3503" t="s">
        <v>20</v>
      </c>
      <c r="G3503" t="s">
        <v>21</v>
      </c>
      <c r="H3503" t="str">
        <f>"CITY0000013"</f>
        <v>CITY0000013</v>
      </c>
      <c r="I3503" t="str">
        <f>"JOELZ LAWN MOWING SERVICE"</f>
        <v>JOELZ LAWN MOWING SERVICE</v>
      </c>
    </row>
    <row r="3504" spans="1:9" x14ac:dyDescent="0.25">
      <c r="A3504" s="6">
        <v>44740</v>
      </c>
      <c r="B3504" t="s">
        <v>26</v>
      </c>
      <c r="C3504">
        <v>69882</v>
      </c>
      <c r="D3504" t="s">
        <v>1233</v>
      </c>
      <c r="E3504" s="7">
        <v>240</v>
      </c>
      <c r="F3504" t="s">
        <v>20</v>
      </c>
      <c r="G3504" t="s">
        <v>21</v>
      </c>
      <c r="H3504" t="str">
        <f>"CELEBRATE AMER '22"</f>
        <v>CELEBRATE AMER '22</v>
      </c>
      <c r="I3504" t="str">
        <f>"JUMPNRS"</f>
        <v>JUMPNRS</v>
      </c>
    </row>
    <row r="3505" spans="1:9" x14ac:dyDescent="0.25">
      <c r="A3505" s="6">
        <v>44740</v>
      </c>
      <c r="B3505" t="s">
        <v>26</v>
      </c>
      <c r="C3505">
        <v>69883</v>
      </c>
      <c r="D3505" t="s">
        <v>117</v>
      </c>
      <c r="E3505" s="7">
        <v>2447.4</v>
      </c>
      <c r="F3505" t="s">
        <v>20</v>
      </c>
      <c r="G3505" t="s">
        <v>21</v>
      </c>
      <c r="H3505" t="str">
        <f>"MAY 2022"</f>
        <v>MAY 2022</v>
      </c>
      <c r="I3505" t="str">
        <f>"LINEBARGER GOGGAN BLAIR &amp; SAMP"</f>
        <v>LINEBARGER GOGGAN BLAIR &amp; SAMP</v>
      </c>
    </row>
    <row r="3506" spans="1:9" x14ac:dyDescent="0.25">
      <c r="A3506" s="6">
        <v>44740</v>
      </c>
      <c r="B3506" t="s">
        <v>26</v>
      </c>
      <c r="C3506">
        <v>69884</v>
      </c>
      <c r="D3506" t="s">
        <v>29</v>
      </c>
      <c r="E3506" s="7">
        <v>2247.5</v>
      </c>
      <c r="F3506" t="s">
        <v>20</v>
      </c>
      <c r="G3506" t="s">
        <v>21</v>
      </c>
      <c r="H3506" t="str">
        <f>"59045"</f>
        <v>59045</v>
      </c>
      <c r="I3506" t="str">
        <f>"M &amp; S ENGINEERING  LLC"</f>
        <v>M &amp; S ENGINEERING  LLC</v>
      </c>
    </row>
    <row r="3507" spans="1:9" x14ac:dyDescent="0.25">
      <c r="A3507" s="6">
        <v>44740</v>
      </c>
      <c r="B3507" t="s">
        <v>26</v>
      </c>
      <c r="C3507">
        <v>69885</v>
      </c>
      <c r="D3507" t="s">
        <v>824</v>
      </c>
      <c r="E3507" s="7">
        <v>79.599999999999994</v>
      </c>
      <c r="F3507" t="s">
        <v>20</v>
      </c>
      <c r="G3507" t="s">
        <v>21</v>
      </c>
      <c r="H3507" t="str">
        <f>"06/25/2022"</f>
        <v>06/25/2022</v>
      </c>
      <c r="I3507" t="str">
        <f>"MALLORY R. NELSON"</f>
        <v>MALLORY R. NELSON</v>
      </c>
    </row>
    <row r="3508" spans="1:9" x14ac:dyDescent="0.25">
      <c r="A3508" s="6">
        <v>44740</v>
      </c>
      <c r="B3508" t="s">
        <v>26</v>
      </c>
      <c r="C3508">
        <v>69886</v>
      </c>
      <c r="D3508" t="s">
        <v>1234</v>
      </c>
      <c r="E3508" s="7">
        <v>40</v>
      </c>
      <c r="F3508" t="s">
        <v>20</v>
      </c>
      <c r="G3508" t="s">
        <v>21</v>
      </c>
      <c r="H3508" t="str">
        <f>"RFND 7/29-7/30/22"</f>
        <v>RFND 7/29-7/30/22</v>
      </c>
      <c r="I3508" t="str">
        <f>"REFUND"</f>
        <v>REFUND</v>
      </c>
    </row>
    <row r="3509" spans="1:9" x14ac:dyDescent="0.25">
      <c r="A3509" s="6">
        <v>44740</v>
      </c>
      <c r="B3509" t="s">
        <v>26</v>
      </c>
      <c r="C3509">
        <v>69887</v>
      </c>
      <c r="D3509" t="s">
        <v>345</v>
      </c>
      <c r="E3509" s="7">
        <v>297</v>
      </c>
      <c r="F3509" t="s">
        <v>20</v>
      </c>
      <c r="G3509" t="s">
        <v>21</v>
      </c>
      <c r="H3509" t="str">
        <f>"6/27/2022"</f>
        <v>6/27/2022</v>
      </c>
      <c r="I3509" t="str">
        <f>"MICHAEL ISAAC MARTINEZ"</f>
        <v>MICHAEL ISAAC MARTINEZ</v>
      </c>
    </row>
    <row r="3510" spans="1:9" x14ac:dyDescent="0.25">
      <c r="A3510" s="6">
        <v>44740</v>
      </c>
      <c r="B3510" t="s">
        <v>26</v>
      </c>
      <c r="C3510">
        <v>69888</v>
      </c>
      <c r="D3510" t="s">
        <v>720</v>
      </c>
      <c r="E3510" s="7">
        <v>6062.5</v>
      </c>
      <c r="F3510" t="s">
        <v>20</v>
      </c>
      <c r="G3510" t="s">
        <v>21</v>
      </c>
      <c r="H3510" t="str">
        <f>"CELEBRATE AMER '22"</f>
        <v>CELEBRATE AMER '22</v>
      </c>
      <c r="I3510" t="str">
        <f>"PIRATE FIREWORKS  LLC"</f>
        <v>PIRATE FIREWORKS  LLC</v>
      </c>
    </row>
    <row r="3511" spans="1:9" x14ac:dyDescent="0.25">
      <c r="A3511" s="6">
        <v>44740</v>
      </c>
      <c r="B3511" t="s">
        <v>91</v>
      </c>
      <c r="C3511">
        <v>69889</v>
      </c>
      <c r="D3511" t="s">
        <v>981</v>
      </c>
      <c r="E3511" s="7">
        <v>630</v>
      </c>
      <c r="F3511" t="s">
        <v>20</v>
      </c>
      <c r="G3511" t="s">
        <v>21</v>
      </c>
      <c r="H3511" t="str">
        <f>"11498"</f>
        <v>11498</v>
      </c>
      <c r="I3511" t="str">
        <f>"POLLOK &amp; SONS SURVEYING INC."</f>
        <v>POLLOK &amp; SONS SURVEYING INC.</v>
      </c>
    </row>
    <row r="3512" spans="1:9" x14ac:dyDescent="0.25">
      <c r="A3512" s="6">
        <v>44740</v>
      </c>
      <c r="B3512" t="s">
        <v>91</v>
      </c>
      <c r="C3512">
        <v>69889</v>
      </c>
      <c r="D3512" t="s">
        <v>981</v>
      </c>
      <c r="E3512" s="7">
        <v>630</v>
      </c>
      <c r="F3512" t="s">
        <v>20</v>
      </c>
      <c r="G3512" t="s">
        <v>93</v>
      </c>
      <c r="H3512" t="str">
        <f>"CHECK"</f>
        <v>CHECK</v>
      </c>
      <c r="I3512" t="str">
        <f>""</f>
        <v/>
      </c>
    </row>
    <row r="3513" spans="1:9" x14ac:dyDescent="0.25">
      <c r="A3513" s="6">
        <v>44740</v>
      </c>
      <c r="B3513" t="s">
        <v>26</v>
      </c>
      <c r="C3513">
        <v>69890</v>
      </c>
      <c r="D3513" t="s">
        <v>528</v>
      </c>
      <c r="E3513" s="7">
        <v>314.51</v>
      </c>
      <c r="F3513" t="s">
        <v>20</v>
      </c>
      <c r="G3513" t="s">
        <v>21</v>
      </c>
      <c r="H3513" t="str">
        <f>"33177"</f>
        <v>33177</v>
      </c>
      <c r="I3513" t="str">
        <f>"PROSTAR SERVICES INC"</f>
        <v>PROSTAR SERVICES INC</v>
      </c>
    </row>
    <row r="3514" spans="1:9" x14ac:dyDescent="0.25">
      <c r="A3514" s="6">
        <v>44740</v>
      </c>
      <c r="B3514" t="s">
        <v>26</v>
      </c>
      <c r="C3514">
        <v>69891</v>
      </c>
      <c r="D3514" t="s">
        <v>1235</v>
      </c>
      <c r="E3514" s="7">
        <v>174.16</v>
      </c>
      <c r="F3514" t="s">
        <v>20</v>
      </c>
      <c r="G3514" t="s">
        <v>21</v>
      </c>
      <c r="H3514" t="str">
        <f>"06/26/2022 REIMBST"</f>
        <v>06/26/2022 REIMBST</v>
      </c>
      <c r="I3514" t="str">
        <f>"RUTH VELIZ"</f>
        <v>RUTH VELIZ</v>
      </c>
    </row>
    <row r="3515" spans="1:9" x14ac:dyDescent="0.25">
      <c r="A3515" s="6">
        <v>44740</v>
      </c>
      <c r="B3515" t="s">
        <v>26</v>
      </c>
      <c r="C3515">
        <v>69892</v>
      </c>
      <c r="D3515" t="s">
        <v>1219</v>
      </c>
      <c r="E3515" s="7">
        <v>750</v>
      </c>
      <c r="F3515" t="s">
        <v>20</v>
      </c>
      <c r="G3515" t="s">
        <v>21</v>
      </c>
      <c r="H3515" t="str">
        <f>"CELEBRATE AMER'22"</f>
        <v>CELEBRATE AMER'22</v>
      </c>
      <c r="I3515" t="str">
        <f>"SMALL TOWN HABIT"</f>
        <v>SMALL TOWN HABIT</v>
      </c>
    </row>
    <row r="3516" spans="1:9" x14ac:dyDescent="0.25">
      <c r="A3516" s="6">
        <v>44740</v>
      </c>
      <c r="B3516" t="s">
        <v>26</v>
      </c>
      <c r="C3516">
        <v>69893</v>
      </c>
      <c r="D3516" t="s">
        <v>84</v>
      </c>
      <c r="E3516" s="7">
        <v>300</v>
      </c>
      <c r="F3516" t="s">
        <v>20</v>
      </c>
      <c r="G3516" t="s">
        <v>21</v>
      </c>
      <c r="H3516" t="str">
        <f>"1901414"</f>
        <v>1901414</v>
      </c>
      <c r="I3516" t="str">
        <f>"STANTEC CONSULTING SERVICES IN"</f>
        <v>STANTEC CONSULTING SERVICES IN</v>
      </c>
    </row>
    <row r="3517" spans="1:9" x14ac:dyDescent="0.25">
      <c r="A3517" s="6">
        <v>44740</v>
      </c>
      <c r="B3517" t="s">
        <v>26</v>
      </c>
      <c r="C3517">
        <v>69893</v>
      </c>
      <c r="D3517" t="s">
        <v>84</v>
      </c>
      <c r="E3517" s="7">
        <v>500</v>
      </c>
      <c r="F3517" t="s">
        <v>20</v>
      </c>
      <c r="G3517" t="s">
        <v>21</v>
      </c>
      <c r="H3517" t="str">
        <f>"1901415"</f>
        <v>1901415</v>
      </c>
      <c r="I3517" t="str">
        <f>"STANTEC CONSULTING SERVICES IN"</f>
        <v>STANTEC CONSULTING SERVICES IN</v>
      </c>
    </row>
    <row r="3518" spans="1:9" x14ac:dyDescent="0.25">
      <c r="A3518" s="6">
        <v>44740</v>
      </c>
      <c r="B3518" t="s">
        <v>26</v>
      </c>
      <c r="C3518">
        <v>69894</v>
      </c>
      <c r="D3518" t="s">
        <v>1210</v>
      </c>
      <c r="E3518" s="7">
        <v>1150</v>
      </c>
      <c r="F3518" t="s">
        <v>20</v>
      </c>
      <c r="G3518" t="s">
        <v>21</v>
      </c>
      <c r="H3518" t="str">
        <f>"6"</f>
        <v>6</v>
      </c>
      <c r="I3518" t="str">
        <f>"VICTOR IBARRA"</f>
        <v>VICTOR IBARRA</v>
      </c>
    </row>
    <row r="3519" spans="1:9" x14ac:dyDescent="0.25">
      <c r="A3519" s="6">
        <v>44740</v>
      </c>
      <c r="B3519" t="s">
        <v>26</v>
      </c>
      <c r="C3519">
        <v>69895</v>
      </c>
      <c r="D3519" t="s">
        <v>117</v>
      </c>
      <c r="E3519" s="7">
        <v>153.27000000000001</v>
      </c>
      <c r="F3519" t="s">
        <v>20</v>
      </c>
      <c r="G3519" t="s">
        <v>21</v>
      </c>
      <c r="H3519" t="str">
        <f>"MC JANUARY 2022"</f>
        <v>MC JANUARY 2022</v>
      </c>
      <c r="I3519" t="str">
        <f>"LINEBARGER GOGGAN BLAIR &amp; SAMP"</f>
        <v>LINEBARGER GOGGAN BLAIR &amp; SAMP</v>
      </c>
    </row>
    <row r="3520" spans="1:9" x14ac:dyDescent="0.25">
      <c r="A3520" s="6">
        <v>44740</v>
      </c>
      <c r="B3520" t="s">
        <v>26</v>
      </c>
      <c r="C3520">
        <v>69896</v>
      </c>
      <c r="D3520" t="s">
        <v>81</v>
      </c>
      <c r="E3520" s="7">
        <v>114.08</v>
      </c>
      <c r="F3520" t="s">
        <v>20</v>
      </c>
      <c r="G3520" t="s">
        <v>21</v>
      </c>
      <c r="H3520" t="str">
        <f>"6/27/22 A.MARTINEZ"</f>
        <v>6/27/22 A.MARTINEZ</v>
      </c>
      <c r="I3520" t="str">
        <f>"CITY OF FLORESVILLE -PETTY CAS"</f>
        <v>CITY OF FLORESVILLE -PETTY CAS</v>
      </c>
    </row>
    <row r="3521" spans="1:9" x14ac:dyDescent="0.25">
      <c r="A3521" s="6">
        <v>44742</v>
      </c>
      <c r="B3521" t="s">
        <v>26</v>
      </c>
      <c r="C3521">
        <v>69897</v>
      </c>
      <c r="D3521" t="s">
        <v>1154</v>
      </c>
      <c r="E3521" s="7">
        <v>2383.6</v>
      </c>
      <c r="F3521" t="s">
        <v>20</v>
      </c>
      <c r="G3521" t="s">
        <v>21</v>
      </c>
      <c r="H3521" t="str">
        <f>"6/30/2022"</f>
        <v>6/30/2022</v>
      </c>
      <c r="I3521" t="str">
        <f>"GLAZIERS"</f>
        <v>GLAZIERS</v>
      </c>
    </row>
    <row r="3522" spans="1:9" x14ac:dyDescent="0.25">
      <c r="A3522" s="6">
        <v>44742</v>
      </c>
      <c r="B3522" t="s">
        <v>26</v>
      </c>
      <c r="C3522">
        <v>69898</v>
      </c>
      <c r="D3522" t="s">
        <v>81</v>
      </c>
      <c r="E3522" s="7">
        <v>600</v>
      </c>
      <c r="F3522" t="s">
        <v>20</v>
      </c>
      <c r="G3522" t="s">
        <v>21</v>
      </c>
      <c r="H3522" t="str">
        <f>"4TH OF JULY' 22"</f>
        <v>4TH OF JULY' 22</v>
      </c>
      <c r="I3522" t="str">
        <f>"CITY OF FLORESVILLE -PETTY CAS"</f>
        <v>CITY OF FLORESVILLE -PETTY CAS</v>
      </c>
    </row>
    <row r="3523" spans="1:9" x14ac:dyDescent="0.25">
      <c r="A3523" s="6">
        <v>44742</v>
      </c>
      <c r="B3523" t="s">
        <v>26</v>
      </c>
      <c r="C3523">
        <v>69899</v>
      </c>
      <c r="D3523" t="s">
        <v>81</v>
      </c>
      <c r="E3523" s="7">
        <v>2500</v>
      </c>
      <c r="F3523" t="s">
        <v>20</v>
      </c>
      <c r="G3523" t="s">
        <v>21</v>
      </c>
      <c r="H3523" t="str">
        <f>"CLBRTE AMER '22"</f>
        <v>CLBRTE AMER '22</v>
      </c>
      <c r="I3523" t="str">
        <f>"CITY OF FLORESVILLE -PETTY CAS"</f>
        <v>CITY OF FLORESVILLE -PETTY CAS</v>
      </c>
    </row>
    <row r="3524" spans="1:9" x14ac:dyDescent="0.25">
      <c r="A3524" s="6">
        <v>44742</v>
      </c>
      <c r="B3524" t="s">
        <v>26</v>
      </c>
      <c r="C3524">
        <v>69900</v>
      </c>
      <c r="D3524" t="s">
        <v>81</v>
      </c>
      <c r="E3524" s="7">
        <v>200</v>
      </c>
      <c r="F3524" t="s">
        <v>20</v>
      </c>
      <c r="G3524" t="s">
        <v>21</v>
      </c>
      <c r="H3524" t="str">
        <f>"PD 6/28/2022"</f>
        <v>PD 6/28/2022</v>
      </c>
      <c r="I3524" t="str">
        <f>"CITY OF FLORESVILLE -PETTY CAS"</f>
        <v>CITY OF FLORESVILLE -PETTY CAS</v>
      </c>
    </row>
    <row r="3525" spans="1:9" x14ac:dyDescent="0.25">
      <c r="A3525" s="6">
        <v>44742</v>
      </c>
      <c r="B3525" t="s">
        <v>26</v>
      </c>
      <c r="C3525">
        <v>69901</v>
      </c>
      <c r="D3525" t="s">
        <v>205</v>
      </c>
      <c r="E3525" s="7">
        <v>2119.29</v>
      </c>
      <c r="F3525" t="s">
        <v>20</v>
      </c>
      <c r="G3525" t="s">
        <v>21</v>
      </c>
      <c r="H3525" t="str">
        <f>"6/30/2022"</f>
        <v>6/30/2022</v>
      </c>
      <c r="I3525" t="str">
        <f>"SILVER EAGLE DISTRIBUTORS"</f>
        <v>SILVER EAGLE DISTRIBUTORS</v>
      </c>
    </row>
    <row r="3526" spans="1:9" x14ac:dyDescent="0.25">
      <c r="A3526" s="6">
        <v>44743</v>
      </c>
      <c r="B3526" t="s">
        <v>26</v>
      </c>
      <c r="C3526">
        <v>69902</v>
      </c>
      <c r="D3526" t="s">
        <v>76</v>
      </c>
      <c r="E3526" s="7">
        <v>3012.15</v>
      </c>
      <c r="F3526" t="s">
        <v>20</v>
      </c>
      <c r="G3526" t="s">
        <v>21</v>
      </c>
      <c r="H3526" t="str">
        <f>"3RD QTR 7/1-9/2022"</f>
        <v>3RD QTR 7/1-9/2022</v>
      </c>
      <c r="I3526" t="str">
        <f>"WILSON COUNTY TAX COLLECTOR"</f>
        <v>WILSON COUNTY TAX COLLECTOR</v>
      </c>
    </row>
    <row r="3527" spans="1:9" x14ac:dyDescent="0.25">
      <c r="A3527" s="6">
        <v>44743</v>
      </c>
      <c r="B3527" t="s">
        <v>26</v>
      </c>
      <c r="C3527">
        <v>69903</v>
      </c>
      <c r="D3527" t="s">
        <v>1236</v>
      </c>
      <c r="E3527" s="7">
        <v>649.5</v>
      </c>
      <c r="F3527" t="s">
        <v>20</v>
      </c>
      <c r="G3527" t="s">
        <v>21</v>
      </c>
      <c r="H3527" t="str">
        <f>"62033"</f>
        <v>62033</v>
      </c>
      <c r="I3527" t="str">
        <f>"TEX-SAN SITE SERVICES"</f>
        <v>TEX-SAN SITE SERVICES</v>
      </c>
    </row>
    <row r="3528" spans="1:9" x14ac:dyDescent="0.25">
      <c r="A3528" s="6">
        <v>44743</v>
      </c>
      <c r="B3528" t="s">
        <v>26</v>
      </c>
      <c r="C3528">
        <v>69904</v>
      </c>
      <c r="D3528" t="s">
        <v>1237</v>
      </c>
      <c r="E3528" s="7">
        <v>8000</v>
      </c>
      <c r="F3528" t="s">
        <v>20</v>
      </c>
      <c r="G3528" t="s">
        <v>21</v>
      </c>
      <c r="H3528" t="str">
        <f>"CELEBRATE AMER'22"</f>
        <v>CELEBRATE AMER'22</v>
      </c>
      <c r="I3528" t="str">
        <f>"ALAMO ATTRACTIONS  INC"</f>
        <v>ALAMO ATTRACTIONS  INC</v>
      </c>
    </row>
    <row r="3529" spans="1:9" x14ac:dyDescent="0.25">
      <c r="A3529" s="6">
        <v>44747</v>
      </c>
      <c r="B3529" t="s">
        <v>26</v>
      </c>
      <c r="C3529">
        <v>69905</v>
      </c>
      <c r="D3529" t="s">
        <v>90</v>
      </c>
      <c r="E3529" s="7">
        <v>28.56</v>
      </c>
      <c r="F3529" t="s">
        <v>20</v>
      </c>
      <c r="G3529" t="s">
        <v>329</v>
      </c>
      <c r="H3529" t="str">
        <f>"714475"</f>
        <v>714475</v>
      </c>
      <c r="I3529" t="str">
        <f>"AFLAC"</f>
        <v>AFLAC</v>
      </c>
    </row>
    <row r="3530" spans="1:9" x14ac:dyDescent="0.25">
      <c r="A3530" s="6">
        <v>44747</v>
      </c>
      <c r="B3530" t="s">
        <v>26</v>
      </c>
      <c r="C3530">
        <v>69905</v>
      </c>
      <c r="D3530" t="s">
        <v>90</v>
      </c>
      <c r="E3530" s="7">
        <v>88.57</v>
      </c>
      <c r="F3530" t="s">
        <v>20</v>
      </c>
      <c r="G3530" t="s">
        <v>21</v>
      </c>
      <c r="H3530" t="str">
        <f>"ACA202206148660"</f>
        <v>ACA202206148660</v>
      </c>
      <c r="I3530" t="str">
        <f>"AFLAC INSURANCE"</f>
        <v>AFLAC INSURANCE</v>
      </c>
    </row>
    <row r="3531" spans="1:9" x14ac:dyDescent="0.25">
      <c r="A3531" s="6">
        <v>44747</v>
      </c>
      <c r="B3531" t="s">
        <v>26</v>
      </c>
      <c r="C3531">
        <v>69905</v>
      </c>
      <c r="D3531" t="s">
        <v>90</v>
      </c>
      <c r="E3531" s="7">
        <v>88.57</v>
      </c>
      <c r="F3531" t="s">
        <v>20</v>
      </c>
      <c r="G3531" t="s">
        <v>21</v>
      </c>
      <c r="H3531" t="str">
        <f>"ACA202206288661"</f>
        <v>ACA202206288661</v>
      </c>
      <c r="I3531" t="str">
        <f>"AFLAC INSURANCE"</f>
        <v>AFLAC INSURANCE</v>
      </c>
    </row>
    <row r="3532" spans="1:9" x14ac:dyDescent="0.25">
      <c r="A3532" s="6">
        <v>44747</v>
      </c>
      <c r="B3532" t="s">
        <v>26</v>
      </c>
      <c r="C3532">
        <v>69905</v>
      </c>
      <c r="D3532" t="s">
        <v>90</v>
      </c>
      <c r="E3532" s="7">
        <v>15.06</v>
      </c>
      <c r="F3532" t="s">
        <v>20</v>
      </c>
      <c r="G3532" t="s">
        <v>21</v>
      </c>
      <c r="H3532" t="str">
        <f>"ADR202206148660"</f>
        <v>ADR202206148660</v>
      </c>
      <c r="I3532" t="str">
        <f>"INSURANCE"</f>
        <v>INSURANCE</v>
      </c>
    </row>
    <row r="3533" spans="1:9" x14ac:dyDescent="0.25">
      <c r="A3533" s="6">
        <v>44747</v>
      </c>
      <c r="B3533" t="s">
        <v>26</v>
      </c>
      <c r="C3533">
        <v>69905</v>
      </c>
      <c r="D3533" t="s">
        <v>90</v>
      </c>
      <c r="E3533" s="7">
        <v>15.06</v>
      </c>
      <c r="F3533" t="s">
        <v>20</v>
      </c>
      <c r="G3533" t="s">
        <v>21</v>
      </c>
      <c r="H3533" t="str">
        <f>"ADR202206288661"</f>
        <v>ADR202206288661</v>
      </c>
      <c r="I3533" t="str">
        <f>"INSURANCE"</f>
        <v>INSURANCE</v>
      </c>
    </row>
    <row r="3534" spans="1:9" x14ac:dyDescent="0.25">
      <c r="A3534" s="6">
        <v>44747</v>
      </c>
      <c r="B3534" t="s">
        <v>26</v>
      </c>
      <c r="C3534">
        <v>69905</v>
      </c>
      <c r="D3534" t="s">
        <v>90</v>
      </c>
      <c r="E3534" s="7">
        <v>466.86</v>
      </c>
      <c r="F3534" t="s">
        <v>20</v>
      </c>
      <c r="G3534" t="s">
        <v>21</v>
      </c>
      <c r="H3534" t="str">
        <f>"AF1202206148660"</f>
        <v>AF1202206148660</v>
      </c>
      <c r="I3534" t="str">
        <f>"AFLAC INSURANCE"</f>
        <v>AFLAC INSURANCE</v>
      </c>
    </row>
    <row r="3535" spans="1:9" x14ac:dyDescent="0.25">
      <c r="A3535" s="6">
        <v>44747</v>
      </c>
      <c r="B3535" t="s">
        <v>26</v>
      </c>
      <c r="C3535">
        <v>69905</v>
      </c>
      <c r="D3535" t="s">
        <v>90</v>
      </c>
      <c r="E3535" s="7">
        <v>466.86</v>
      </c>
      <c r="F3535" t="s">
        <v>20</v>
      </c>
      <c r="G3535" t="s">
        <v>21</v>
      </c>
      <c r="H3535" t="str">
        <f>"AF1202206288661"</f>
        <v>AF1202206288661</v>
      </c>
      <c r="I3535" t="str">
        <f>"AFLAC INSURANCE"</f>
        <v>AFLAC INSURANCE</v>
      </c>
    </row>
    <row r="3536" spans="1:9" x14ac:dyDescent="0.25">
      <c r="A3536" s="6">
        <v>44747</v>
      </c>
      <c r="B3536" t="s">
        <v>26</v>
      </c>
      <c r="C3536">
        <v>69905</v>
      </c>
      <c r="D3536" t="s">
        <v>90</v>
      </c>
      <c r="E3536" s="7">
        <v>102.24</v>
      </c>
      <c r="F3536" t="s">
        <v>20</v>
      </c>
      <c r="G3536" t="s">
        <v>21</v>
      </c>
      <c r="H3536" t="str">
        <f>"AFS202206148660"</f>
        <v>AFS202206148660</v>
      </c>
      <c r="I3536" t="str">
        <f>"AFLAC STD"</f>
        <v>AFLAC STD</v>
      </c>
    </row>
    <row r="3537" spans="1:9" x14ac:dyDescent="0.25">
      <c r="A3537" s="6">
        <v>44747</v>
      </c>
      <c r="B3537" t="s">
        <v>26</v>
      </c>
      <c r="C3537">
        <v>69905</v>
      </c>
      <c r="D3537" t="s">
        <v>90</v>
      </c>
      <c r="E3537" s="7">
        <v>102.24</v>
      </c>
      <c r="F3537" t="s">
        <v>20</v>
      </c>
      <c r="G3537" t="s">
        <v>21</v>
      </c>
      <c r="H3537" t="str">
        <f>"AFS202206288661"</f>
        <v>AFS202206288661</v>
      </c>
      <c r="I3537" t="str">
        <f>"AFLAC STD"</f>
        <v>AFLAC STD</v>
      </c>
    </row>
    <row r="3538" spans="1:9" x14ac:dyDescent="0.25">
      <c r="A3538" s="6">
        <v>44747</v>
      </c>
      <c r="B3538" t="s">
        <v>26</v>
      </c>
      <c r="C3538">
        <v>69905</v>
      </c>
      <c r="D3538" t="s">
        <v>90</v>
      </c>
      <c r="E3538" s="7">
        <v>33.54</v>
      </c>
      <c r="F3538" t="s">
        <v>20</v>
      </c>
      <c r="G3538" t="s">
        <v>21</v>
      </c>
      <c r="H3538" t="str">
        <f>"ASP202206148660"</f>
        <v>ASP202206148660</v>
      </c>
      <c r="I3538" t="str">
        <f>"AFLAC INSURANCE"</f>
        <v>AFLAC INSURANCE</v>
      </c>
    </row>
    <row r="3539" spans="1:9" x14ac:dyDescent="0.25">
      <c r="A3539" s="6">
        <v>44747</v>
      </c>
      <c r="B3539" t="s">
        <v>26</v>
      </c>
      <c r="C3539">
        <v>69905</v>
      </c>
      <c r="D3539" t="s">
        <v>90</v>
      </c>
      <c r="E3539" s="7">
        <v>33.54</v>
      </c>
      <c r="F3539" t="s">
        <v>20</v>
      </c>
      <c r="G3539" t="s">
        <v>21</v>
      </c>
      <c r="H3539" t="str">
        <f>"ASP202206288661"</f>
        <v>ASP202206288661</v>
      </c>
      <c r="I3539" t="str">
        <f>"AFLAC INSURANCE"</f>
        <v>AFLAC INSURANCE</v>
      </c>
    </row>
    <row r="3540" spans="1:9" x14ac:dyDescent="0.25">
      <c r="A3540" s="6">
        <v>44747</v>
      </c>
      <c r="B3540" t="s">
        <v>26</v>
      </c>
      <c r="C3540">
        <v>69905</v>
      </c>
      <c r="D3540" t="s">
        <v>90</v>
      </c>
      <c r="E3540" s="7">
        <v>143.76</v>
      </c>
      <c r="F3540" t="s">
        <v>20</v>
      </c>
      <c r="G3540" t="s">
        <v>21</v>
      </c>
      <c r="H3540" t="str">
        <f>"HCO202206148660"</f>
        <v>HCO202206148660</v>
      </c>
      <c r="I3540" t="str">
        <f>"AFLAC INSURANCE"</f>
        <v>AFLAC INSURANCE</v>
      </c>
    </row>
    <row r="3541" spans="1:9" x14ac:dyDescent="0.25">
      <c r="A3541" s="6">
        <v>44747</v>
      </c>
      <c r="B3541" t="s">
        <v>26</v>
      </c>
      <c r="C3541">
        <v>69905</v>
      </c>
      <c r="D3541" t="s">
        <v>90</v>
      </c>
      <c r="E3541" s="7">
        <v>143.76</v>
      </c>
      <c r="F3541" t="s">
        <v>20</v>
      </c>
      <c r="G3541" t="s">
        <v>21</v>
      </c>
      <c r="H3541" t="str">
        <f>"HCO202206288661"</f>
        <v>HCO202206288661</v>
      </c>
      <c r="I3541" t="str">
        <f>"AFLAC INSURANCE"</f>
        <v>AFLAC INSURANCE</v>
      </c>
    </row>
    <row r="3542" spans="1:9" x14ac:dyDescent="0.25">
      <c r="A3542" s="6">
        <v>44747</v>
      </c>
      <c r="B3542" t="s">
        <v>26</v>
      </c>
      <c r="C3542">
        <v>69910</v>
      </c>
      <c r="D3542" t="s">
        <v>95</v>
      </c>
      <c r="E3542" s="7">
        <v>12.66</v>
      </c>
      <c r="F3542" t="s">
        <v>20</v>
      </c>
      <c r="G3542" t="s">
        <v>21</v>
      </c>
      <c r="H3542" t="str">
        <f>"LEA202205318658"</f>
        <v>LEA202205318658</v>
      </c>
      <c r="I3542" t="str">
        <f>"INSURANCE"</f>
        <v>INSURANCE</v>
      </c>
    </row>
    <row r="3543" spans="1:9" x14ac:dyDescent="0.25">
      <c r="A3543" s="6">
        <v>44747</v>
      </c>
      <c r="B3543" t="s">
        <v>26</v>
      </c>
      <c r="C3543">
        <v>69910</v>
      </c>
      <c r="D3543" t="s">
        <v>95</v>
      </c>
      <c r="E3543" s="7">
        <v>12.66</v>
      </c>
      <c r="F3543" t="s">
        <v>20</v>
      </c>
      <c r="G3543" t="s">
        <v>21</v>
      </c>
      <c r="H3543" t="str">
        <f>"LEA202206148660"</f>
        <v>LEA202206148660</v>
      </c>
      <c r="I3543" t="str">
        <f>"INSURANCE"</f>
        <v>INSURANCE</v>
      </c>
    </row>
    <row r="3544" spans="1:9" x14ac:dyDescent="0.25">
      <c r="A3544" s="6">
        <v>44747</v>
      </c>
      <c r="B3544" t="s">
        <v>26</v>
      </c>
      <c r="C3544">
        <v>69911</v>
      </c>
      <c r="D3544" t="s">
        <v>96</v>
      </c>
      <c r="E3544" s="7">
        <v>112.62</v>
      </c>
      <c r="F3544" t="s">
        <v>20</v>
      </c>
      <c r="G3544" t="s">
        <v>21</v>
      </c>
      <c r="H3544" t="str">
        <f>"PPL202205318658"</f>
        <v>PPL202205318658</v>
      </c>
      <c r="I3544" t="str">
        <f>"INSURANCE"</f>
        <v>INSURANCE</v>
      </c>
    </row>
    <row r="3545" spans="1:9" x14ac:dyDescent="0.25">
      <c r="A3545" s="6">
        <v>44747</v>
      </c>
      <c r="B3545" t="s">
        <v>26</v>
      </c>
      <c r="C3545">
        <v>69911</v>
      </c>
      <c r="D3545" t="s">
        <v>96</v>
      </c>
      <c r="E3545" s="7">
        <v>112.62</v>
      </c>
      <c r="F3545" t="s">
        <v>20</v>
      </c>
      <c r="G3545" t="s">
        <v>21</v>
      </c>
      <c r="H3545" t="str">
        <f>"PPL202206148660"</f>
        <v>PPL202206148660</v>
      </c>
      <c r="I3545" t="str">
        <f>"INSURANCE"</f>
        <v>INSURANCE</v>
      </c>
    </row>
    <row r="3546" spans="1:9" x14ac:dyDescent="0.25">
      <c r="A3546" s="6">
        <v>44747</v>
      </c>
      <c r="B3546" t="s">
        <v>26</v>
      </c>
      <c r="C3546">
        <v>69912</v>
      </c>
      <c r="D3546" t="s">
        <v>98</v>
      </c>
      <c r="E3546" s="7">
        <v>237.03</v>
      </c>
      <c r="F3546" t="s">
        <v>20</v>
      </c>
      <c r="G3546" t="s">
        <v>329</v>
      </c>
      <c r="H3546" t="str">
        <f>"7/1/2022"</f>
        <v>7/1/2022</v>
      </c>
      <c r="I3546" t="str">
        <f>"DEARBORN LIFE INSURANCE COMPAN"</f>
        <v>DEARBORN LIFE INSURANCE COMPAN</v>
      </c>
    </row>
    <row r="3547" spans="1:9" x14ac:dyDescent="0.25">
      <c r="A3547" s="6">
        <v>44747</v>
      </c>
      <c r="B3547" t="s">
        <v>26</v>
      </c>
      <c r="C3547">
        <v>69912</v>
      </c>
      <c r="D3547" t="s">
        <v>98</v>
      </c>
      <c r="E3547" s="7">
        <v>411.69</v>
      </c>
      <c r="F3547" t="s">
        <v>20</v>
      </c>
      <c r="G3547" t="s">
        <v>21</v>
      </c>
      <c r="H3547" t="str">
        <f>"STD202205318658"</f>
        <v>STD202205318658</v>
      </c>
      <c r="I3547" t="str">
        <f>"SHORT TERM DISABILITY"</f>
        <v>SHORT TERM DISABILITY</v>
      </c>
    </row>
    <row r="3548" spans="1:9" x14ac:dyDescent="0.25">
      <c r="A3548" s="6">
        <v>44747</v>
      </c>
      <c r="B3548" t="s">
        <v>26</v>
      </c>
      <c r="C3548">
        <v>69912</v>
      </c>
      <c r="D3548" t="s">
        <v>98</v>
      </c>
      <c r="E3548" s="7">
        <v>421.45</v>
      </c>
      <c r="F3548" t="s">
        <v>20</v>
      </c>
      <c r="G3548" t="s">
        <v>21</v>
      </c>
      <c r="H3548" t="str">
        <f>"STD202206148660"</f>
        <v>STD202206148660</v>
      </c>
      <c r="I3548" t="str">
        <f>"SHORT TERM DISABILITY"</f>
        <v>SHORT TERM DISABILITY</v>
      </c>
    </row>
    <row r="3549" spans="1:9" x14ac:dyDescent="0.25">
      <c r="A3549" s="6">
        <v>44747</v>
      </c>
      <c r="B3549" t="s">
        <v>26</v>
      </c>
      <c r="C3549">
        <v>69912</v>
      </c>
      <c r="D3549" t="s">
        <v>98</v>
      </c>
      <c r="E3549" s="7">
        <v>284.20999999999998</v>
      </c>
      <c r="F3549" t="s">
        <v>20</v>
      </c>
      <c r="G3549" t="s">
        <v>21</v>
      </c>
      <c r="H3549" t="str">
        <f>"VIS202205318658"</f>
        <v>VIS202205318658</v>
      </c>
      <c r="I3549" t="str">
        <f>"VISION INSURANCE"</f>
        <v>VISION INSURANCE</v>
      </c>
    </row>
    <row r="3550" spans="1:9" x14ac:dyDescent="0.25">
      <c r="A3550" s="6">
        <v>44747</v>
      </c>
      <c r="B3550" t="s">
        <v>26</v>
      </c>
      <c r="C3550">
        <v>69912</v>
      </c>
      <c r="D3550" t="s">
        <v>98</v>
      </c>
      <c r="E3550" s="7">
        <v>309.72000000000003</v>
      </c>
      <c r="F3550" t="s">
        <v>20</v>
      </c>
      <c r="G3550" t="s">
        <v>21</v>
      </c>
      <c r="H3550" t="str">
        <f>"VIS202206148660"</f>
        <v>VIS202206148660</v>
      </c>
      <c r="I3550" t="str">
        <f>"VISION INSURANCE"</f>
        <v>VISION INSURANCE</v>
      </c>
    </row>
    <row r="3551" spans="1:9" x14ac:dyDescent="0.25">
      <c r="A3551" s="6">
        <v>44747</v>
      </c>
      <c r="B3551" t="s">
        <v>26</v>
      </c>
      <c r="C3551">
        <v>69912</v>
      </c>
      <c r="D3551" t="s">
        <v>98</v>
      </c>
      <c r="E3551" s="7">
        <v>66.13</v>
      </c>
      <c r="F3551" t="s">
        <v>20</v>
      </c>
      <c r="G3551" t="s">
        <v>21</v>
      </c>
      <c r="H3551" t="str">
        <f>"VLC202205318658"</f>
        <v>VLC202205318658</v>
      </c>
      <c r="I3551" t="str">
        <f>"CHILD LIFE INSURANCE"</f>
        <v>CHILD LIFE INSURANCE</v>
      </c>
    </row>
    <row r="3552" spans="1:9" x14ac:dyDescent="0.25">
      <c r="A3552" s="6">
        <v>44747</v>
      </c>
      <c r="B3552" t="s">
        <v>26</v>
      </c>
      <c r="C3552">
        <v>69912</v>
      </c>
      <c r="D3552" t="s">
        <v>98</v>
      </c>
      <c r="E3552" s="7">
        <v>70.02</v>
      </c>
      <c r="F3552" t="s">
        <v>20</v>
      </c>
      <c r="G3552" t="s">
        <v>21</v>
      </c>
      <c r="H3552" t="str">
        <f>"VLC202206148660"</f>
        <v>VLC202206148660</v>
      </c>
      <c r="I3552" t="str">
        <f>"CHILD LIFE INSURANCE"</f>
        <v>CHILD LIFE INSURANCE</v>
      </c>
    </row>
    <row r="3553" spans="1:9" x14ac:dyDescent="0.25">
      <c r="A3553" s="6">
        <v>44747</v>
      </c>
      <c r="B3553" t="s">
        <v>26</v>
      </c>
      <c r="C3553">
        <v>69912</v>
      </c>
      <c r="D3553" t="s">
        <v>98</v>
      </c>
      <c r="E3553" s="7">
        <v>133.66</v>
      </c>
      <c r="F3553" t="s">
        <v>20</v>
      </c>
      <c r="G3553" t="s">
        <v>21</v>
      </c>
      <c r="H3553" t="str">
        <f>"VLS202205318658"</f>
        <v>VLS202205318658</v>
      </c>
      <c r="I3553" t="str">
        <f>"SPOUSE LIFE"</f>
        <v>SPOUSE LIFE</v>
      </c>
    </row>
    <row r="3554" spans="1:9" x14ac:dyDescent="0.25">
      <c r="A3554" s="6">
        <v>44747</v>
      </c>
      <c r="B3554" t="s">
        <v>26</v>
      </c>
      <c r="C3554">
        <v>69912</v>
      </c>
      <c r="D3554" t="s">
        <v>98</v>
      </c>
      <c r="E3554" s="7">
        <v>138.22</v>
      </c>
      <c r="F3554" t="s">
        <v>20</v>
      </c>
      <c r="G3554" t="s">
        <v>21</v>
      </c>
      <c r="H3554" t="str">
        <f>"VLS202206148660"</f>
        <v>VLS202206148660</v>
      </c>
      <c r="I3554" t="str">
        <f>"SPOUSE LIFE"</f>
        <v>SPOUSE LIFE</v>
      </c>
    </row>
    <row r="3555" spans="1:9" x14ac:dyDescent="0.25">
      <c r="A3555" s="6">
        <v>44747</v>
      </c>
      <c r="B3555" t="s">
        <v>26</v>
      </c>
      <c r="C3555">
        <v>69912</v>
      </c>
      <c r="D3555" t="s">
        <v>98</v>
      </c>
      <c r="E3555" s="7">
        <v>89.09</v>
      </c>
      <c r="F3555" t="s">
        <v>20</v>
      </c>
      <c r="G3555" t="s">
        <v>21</v>
      </c>
      <c r="H3555" t="str">
        <f>"VOE202205318658"</f>
        <v>VOE202205318658</v>
      </c>
      <c r="I3555" t="str">
        <f>"EMPLOYEE LIFE"</f>
        <v>EMPLOYEE LIFE</v>
      </c>
    </row>
    <row r="3556" spans="1:9" x14ac:dyDescent="0.25">
      <c r="A3556" s="6">
        <v>44747</v>
      </c>
      <c r="B3556" t="s">
        <v>26</v>
      </c>
      <c r="C3556">
        <v>69912</v>
      </c>
      <c r="D3556" t="s">
        <v>98</v>
      </c>
      <c r="E3556" s="7">
        <v>89.09</v>
      </c>
      <c r="F3556" t="s">
        <v>20</v>
      </c>
      <c r="G3556" t="s">
        <v>21</v>
      </c>
      <c r="H3556" t="str">
        <f>"VOE202206148660"</f>
        <v>VOE202206148660</v>
      </c>
      <c r="I3556" t="str">
        <f>"EMPLOYEE LIFE"</f>
        <v>EMPLOYEE LIFE</v>
      </c>
    </row>
    <row r="3557" spans="1:9" x14ac:dyDescent="0.25">
      <c r="A3557" s="6">
        <v>44747</v>
      </c>
      <c r="B3557" t="s">
        <v>26</v>
      </c>
      <c r="C3557">
        <v>69912</v>
      </c>
      <c r="D3557" t="s">
        <v>98</v>
      </c>
      <c r="E3557" s="7">
        <v>677.05</v>
      </c>
      <c r="F3557" t="s">
        <v>20</v>
      </c>
      <c r="G3557" t="s">
        <v>21</v>
      </c>
      <c r="H3557" t="str">
        <f>"VOL202205318658"</f>
        <v>VOL202205318658</v>
      </c>
      <c r="I3557" t="str">
        <f>"LIFE"</f>
        <v>LIFE</v>
      </c>
    </row>
    <row r="3558" spans="1:9" x14ac:dyDescent="0.25">
      <c r="A3558" s="6">
        <v>44747</v>
      </c>
      <c r="B3558" t="s">
        <v>26</v>
      </c>
      <c r="C3558">
        <v>69912</v>
      </c>
      <c r="D3558" t="s">
        <v>98</v>
      </c>
      <c r="E3558" s="7">
        <v>719.11</v>
      </c>
      <c r="F3558" t="s">
        <v>20</v>
      </c>
      <c r="G3558" t="s">
        <v>21</v>
      </c>
      <c r="H3558" t="str">
        <f>"VOL202206148660"</f>
        <v>VOL202206148660</v>
      </c>
      <c r="I3558" t="str">
        <f>"LIFE"</f>
        <v>LIFE</v>
      </c>
    </row>
    <row r="3559" spans="1:9" x14ac:dyDescent="0.25">
      <c r="A3559" s="6">
        <v>44748</v>
      </c>
      <c r="B3559" t="s">
        <v>26</v>
      </c>
      <c r="C3559">
        <v>69922</v>
      </c>
      <c r="D3559" t="s">
        <v>970</v>
      </c>
      <c r="E3559" s="7">
        <v>193.33</v>
      </c>
      <c r="F3559" t="s">
        <v>20</v>
      </c>
      <c r="G3559" t="s">
        <v>21</v>
      </c>
      <c r="H3559" t="str">
        <f>"CELEBRATE AMER'22"</f>
        <v>CELEBRATE AMER'22</v>
      </c>
      <c r="I3559" t="str">
        <f>"ABBYGAIL DELGADO"</f>
        <v>ABBYGAIL DELGADO</v>
      </c>
    </row>
    <row r="3560" spans="1:9" x14ac:dyDescent="0.25">
      <c r="A3560" s="6">
        <v>44748</v>
      </c>
      <c r="B3560" t="s">
        <v>26</v>
      </c>
      <c r="C3560">
        <v>69923</v>
      </c>
      <c r="D3560" t="s">
        <v>1231</v>
      </c>
      <c r="E3560" s="7">
        <v>193.33</v>
      </c>
      <c r="F3560" t="s">
        <v>20</v>
      </c>
      <c r="G3560" t="s">
        <v>21</v>
      </c>
      <c r="H3560" t="str">
        <f>"CELEBRATE AMER'22"</f>
        <v>CELEBRATE AMER'22</v>
      </c>
      <c r="I3560" t="str">
        <f>"ALANA GALLEGOS"</f>
        <v>ALANA GALLEGOS</v>
      </c>
    </row>
    <row r="3561" spans="1:9" x14ac:dyDescent="0.25">
      <c r="A3561" s="6">
        <v>44748</v>
      </c>
      <c r="B3561" t="s">
        <v>26</v>
      </c>
      <c r="C3561">
        <v>69924</v>
      </c>
      <c r="D3561" t="s">
        <v>751</v>
      </c>
      <c r="E3561" s="7">
        <v>240</v>
      </c>
      <c r="F3561" t="s">
        <v>20</v>
      </c>
      <c r="G3561" t="s">
        <v>21</v>
      </c>
      <c r="H3561" t="str">
        <f>"7/5/2022"</f>
        <v>7/5/2022</v>
      </c>
      <c r="I3561" t="str">
        <f>"ALEJANDRO LEE PEREZ"</f>
        <v>ALEJANDRO LEE PEREZ</v>
      </c>
    </row>
    <row r="3562" spans="1:9" x14ac:dyDescent="0.25">
      <c r="A3562" s="6">
        <v>44748</v>
      </c>
      <c r="B3562" t="s">
        <v>26</v>
      </c>
      <c r="C3562">
        <v>69925</v>
      </c>
      <c r="D3562" t="s">
        <v>1074</v>
      </c>
      <c r="E3562" s="7">
        <v>26.38</v>
      </c>
      <c r="F3562" t="s">
        <v>20</v>
      </c>
      <c r="G3562" t="s">
        <v>21</v>
      </c>
      <c r="H3562" t="str">
        <f>"143Y-D73G-7MKQ"</f>
        <v>143Y-D73G-7MKQ</v>
      </c>
      <c r="I3562" t="str">
        <f>"BACKPACK"</f>
        <v>BACKPACK</v>
      </c>
    </row>
    <row r="3563" spans="1:9" x14ac:dyDescent="0.25">
      <c r="A3563" s="6">
        <v>44748</v>
      </c>
      <c r="B3563" t="s">
        <v>26</v>
      </c>
      <c r="C3563">
        <v>69925</v>
      </c>
      <c r="D3563" t="s">
        <v>1074</v>
      </c>
      <c r="E3563" s="7">
        <v>58.66</v>
      </c>
      <c r="F3563" t="s">
        <v>20</v>
      </c>
      <c r="G3563" t="s">
        <v>21</v>
      </c>
      <c r="H3563" t="str">
        <f>"1GPN-THV1-96TG"</f>
        <v>1GPN-THV1-96TG</v>
      </c>
      <c r="I3563" t="str">
        <f>"CAT AND DOG WET FOOD"</f>
        <v>CAT AND DOG WET FOOD</v>
      </c>
    </row>
    <row r="3564" spans="1:9" x14ac:dyDescent="0.25">
      <c r="A3564" s="6">
        <v>44748</v>
      </c>
      <c r="B3564" t="s">
        <v>26</v>
      </c>
      <c r="C3564">
        <v>69925</v>
      </c>
      <c r="D3564" t="s">
        <v>1074</v>
      </c>
      <c r="E3564" s="7">
        <v>169.99</v>
      </c>
      <c r="F3564" t="s">
        <v>20</v>
      </c>
      <c r="G3564" t="s">
        <v>21</v>
      </c>
      <c r="H3564" t="str">
        <f>"1J4P-GHWT-9LGC"</f>
        <v>1J4P-GHWT-9LGC</v>
      </c>
      <c r="I3564" t="str">
        <f>"NIGHT OWL CAMERAS"</f>
        <v>NIGHT OWL CAMERAS</v>
      </c>
    </row>
    <row r="3565" spans="1:9" x14ac:dyDescent="0.25">
      <c r="A3565" s="6">
        <v>44748</v>
      </c>
      <c r="B3565" t="s">
        <v>26</v>
      </c>
      <c r="C3565">
        <v>69925</v>
      </c>
      <c r="D3565" t="s">
        <v>1074</v>
      </c>
      <c r="E3565" s="7">
        <v>21.37</v>
      </c>
      <c r="F3565" t="s">
        <v>20</v>
      </c>
      <c r="G3565" t="s">
        <v>21</v>
      </c>
      <c r="H3565" t="str">
        <f>"1J4P-GHWT-9PDD"</f>
        <v>1J4P-GHWT-9PDD</v>
      </c>
      <c r="I3565" t="str">
        <f>"PLANNER FOR JOHNNY"</f>
        <v>PLANNER FOR JOHNNY</v>
      </c>
    </row>
    <row r="3566" spans="1:9" x14ac:dyDescent="0.25">
      <c r="A3566" s="6">
        <v>44748</v>
      </c>
      <c r="B3566" t="s">
        <v>26</v>
      </c>
      <c r="C3566">
        <v>69925</v>
      </c>
      <c r="D3566" t="s">
        <v>1074</v>
      </c>
      <c r="E3566" s="7">
        <v>169.94</v>
      </c>
      <c r="F3566" t="s">
        <v>20</v>
      </c>
      <c r="G3566" t="s">
        <v>21</v>
      </c>
      <c r="H3566" t="str">
        <f>"1JGX-N1QK-7TN9"</f>
        <v>1JGX-N1QK-7TN9</v>
      </c>
      <c r="I3566" t="str">
        <f>"HARNESS AND LANYARD"</f>
        <v>HARNESS AND LANYARD</v>
      </c>
    </row>
    <row r="3567" spans="1:9" x14ac:dyDescent="0.25">
      <c r="A3567" s="6">
        <v>44748</v>
      </c>
      <c r="B3567" t="s">
        <v>26</v>
      </c>
      <c r="C3567">
        <v>69925</v>
      </c>
      <c r="D3567" t="s">
        <v>1074</v>
      </c>
      <c r="E3567" s="7">
        <v>52.9</v>
      </c>
      <c r="F3567" t="s">
        <v>20</v>
      </c>
      <c r="G3567" t="s">
        <v>21</v>
      </c>
      <c r="H3567" t="str">
        <f>"1JKL-QD6V-7NY9"</f>
        <v>1JKL-QD6V-7NY9</v>
      </c>
      <c r="I3567" t="str">
        <f>"ENVELOPES"</f>
        <v>ENVELOPES</v>
      </c>
    </row>
    <row r="3568" spans="1:9" x14ac:dyDescent="0.25">
      <c r="A3568" s="6">
        <v>44748</v>
      </c>
      <c r="B3568" t="s">
        <v>26</v>
      </c>
      <c r="C3568">
        <v>69925</v>
      </c>
      <c r="D3568" t="s">
        <v>1074</v>
      </c>
      <c r="E3568" s="7">
        <v>13.6</v>
      </c>
      <c r="F3568" t="s">
        <v>20</v>
      </c>
      <c r="G3568" t="s">
        <v>21</v>
      </c>
      <c r="H3568" t="str">
        <f>"1JKL-QD6V-9FVP"</f>
        <v>1JKL-QD6V-9FVP</v>
      </c>
      <c r="I3568" t="str">
        <f>"4TH OF JULY EVENT"</f>
        <v>4TH OF JULY EVENT</v>
      </c>
    </row>
    <row r="3569" spans="1:9" x14ac:dyDescent="0.25">
      <c r="A3569" s="6">
        <v>44748</v>
      </c>
      <c r="B3569" t="s">
        <v>26</v>
      </c>
      <c r="C3569">
        <v>69925</v>
      </c>
      <c r="D3569" t="s">
        <v>1074</v>
      </c>
      <c r="E3569" s="7">
        <v>238.79</v>
      </c>
      <c r="F3569" t="s">
        <v>20</v>
      </c>
      <c r="G3569" t="s">
        <v>21</v>
      </c>
      <c r="H3569" t="str">
        <f>"1L1T-M3FC-91CM"</f>
        <v>1L1T-M3FC-91CM</v>
      </c>
      <c r="I3569" t="str">
        <f>"4TH OF JULY EVENT"</f>
        <v>4TH OF JULY EVENT</v>
      </c>
    </row>
    <row r="3570" spans="1:9" x14ac:dyDescent="0.25">
      <c r="A3570" s="6">
        <v>44748</v>
      </c>
      <c r="B3570" t="s">
        <v>26</v>
      </c>
      <c r="C3570">
        <v>69925</v>
      </c>
      <c r="D3570" t="s">
        <v>1074</v>
      </c>
      <c r="E3570" s="7">
        <v>21.37</v>
      </c>
      <c r="F3570" t="s">
        <v>20</v>
      </c>
      <c r="G3570" t="s">
        <v>21</v>
      </c>
      <c r="H3570" t="str">
        <f>"1NMG-3KQV-7P3V"</f>
        <v>1NMG-3KQV-7P3V</v>
      </c>
      <c r="I3570" t="str">
        <f>"NEW HIRE - SAMANTHA"</f>
        <v>NEW HIRE - SAMANTHA</v>
      </c>
    </row>
    <row r="3571" spans="1:9" x14ac:dyDescent="0.25">
      <c r="A3571" s="6">
        <v>44748</v>
      </c>
      <c r="B3571" t="s">
        <v>26</v>
      </c>
      <c r="C3571">
        <v>69925</v>
      </c>
      <c r="D3571" t="s">
        <v>1074</v>
      </c>
      <c r="E3571" s="7">
        <v>28.39</v>
      </c>
      <c r="F3571" t="s">
        <v>20</v>
      </c>
      <c r="G3571" t="s">
        <v>21</v>
      </c>
      <c r="H3571" t="str">
        <f>"1QPR-XFCW-9FPJ"</f>
        <v>1QPR-XFCW-9FPJ</v>
      </c>
      <c r="I3571" t="str">
        <f>"IPHONE FLASH DRIVE"</f>
        <v>IPHONE FLASH DRIVE</v>
      </c>
    </row>
    <row r="3572" spans="1:9" x14ac:dyDescent="0.25">
      <c r="A3572" s="6">
        <v>44748</v>
      </c>
      <c r="B3572" t="s">
        <v>26</v>
      </c>
      <c r="C3572">
        <v>69925</v>
      </c>
      <c r="D3572" t="s">
        <v>1074</v>
      </c>
      <c r="E3572" s="7">
        <v>104.63</v>
      </c>
      <c r="F3572" t="s">
        <v>20</v>
      </c>
      <c r="G3572" t="s">
        <v>21</v>
      </c>
      <c r="H3572" t="str">
        <f>"1VMG-NVD9-7V94"</f>
        <v>1VMG-NVD9-7V94</v>
      </c>
      <c r="I3572" t="str">
        <f>"PROPOSED BUDGET"</f>
        <v>PROPOSED BUDGET</v>
      </c>
    </row>
    <row r="3573" spans="1:9" x14ac:dyDescent="0.25">
      <c r="A3573" s="6">
        <v>44748</v>
      </c>
      <c r="B3573" t="s">
        <v>26</v>
      </c>
      <c r="C3573">
        <v>69927</v>
      </c>
      <c r="D3573" t="s">
        <v>1238</v>
      </c>
      <c r="E3573" s="7">
        <v>152.83000000000001</v>
      </c>
      <c r="F3573" t="s">
        <v>20</v>
      </c>
      <c r="G3573" t="s">
        <v>21</v>
      </c>
      <c r="H3573" t="str">
        <f>"CELEBRATE AMER'22"</f>
        <v>CELEBRATE AMER'22</v>
      </c>
      <c r="I3573" t="str">
        <f>"ANNABELLA N. CANTU"</f>
        <v>ANNABELLA N. CANTU</v>
      </c>
    </row>
    <row r="3574" spans="1:9" x14ac:dyDescent="0.25">
      <c r="A3574" s="6">
        <v>44748</v>
      </c>
      <c r="B3574" t="s">
        <v>26</v>
      </c>
      <c r="C3574">
        <v>69928</v>
      </c>
      <c r="D3574" t="s">
        <v>83</v>
      </c>
      <c r="E3574" s="7">
        <v>1080</v>
      </c>
      <c r="F3574" t="s">
        <v>20</v>
      </c>
      <c r="G3574" t="s">
        <v>21</v>
      </c>
      <c r="H3574" t="str">
        <f>"2083599"</f>
        <v>2083599</v>
      </c>
      <c r="I3574" t="str">
        <f>"APPRIVER"</f>
        <v>APPRIVER</v>
      </c>
    </row>
    <row r="3575" spans="1:9" x14ac:dyDescent="0.25">
      <c r="A3575" s="6">
        <v>44748</v>
      </c>
      <c r="B3575" t="s">
        <v>26</v>
      </c>
      <c r="C3575">
        <v>69929</v>
      </c>
      <c r="D3575" t="s">
        <v>781</v>
      </c>
      <c r="E3575" s="7">
        <v>193.33</v>
      </c>
      <c r="F3575" t="s">
        <v>20</v>
      </c>
      <c r="G3575" t="s">
        <v>21</v>
      </c>
      <c r="H3575" t="str">
        <f>"CELEBRATE AMER'22"</f>
        <v>CELEBRATE AMER'22</v>
      </c>
      <c r="I3575" t="str">
        <f>"ASHLEY MARTINEZ"</f>
        <v>ASHLEY MARTINEZ</v>
      </c>
    </row>
    <row r="3576" spans="1:9" x14ac:dyDescent="0.25">
      <c r="A3576" s="6">
        <v>44748</v>
      </c>
      <c r="B3576" t="s">
        <v>26</v>
      </c>
      <c r="C3576">
        <v>69930</v>
      </c>
      <c r="D3576" t="s">
        <v>821</v>
      </c>
      <c r="E3576" s="7">
        <v>1009.68</v>
      </c>
      <c r="F3576" t="s">
        <v>20</v>
      </c>
      <c r="G3576" t="s">
        <v>21</v>
      </c>
      <c r="H3576" t="str">
        <f>"NSI14005"</f>
        <v>NSI14005</v>
      </c>
      <c r="I3576" t="str">
        <f>"WWTP"</f>
        <v>WWTP</v>
      </c>
    </row>
    <row r="3577" spans="1:9" x14ac:dyDescent="0.25">
      <c r="A3577" s="6">
        <v>44748</v>
      </c>
      <c r="B3577" t="s">
        <v>26</v>
      </c>
      <c r="C3577">
        <v>69931</v>
      </c>
      <c r="D3577" t="s">
        <v>288</v>
      </c>
      <c r="E3577" s="7">
        <v>1205.4000000000001</v>
      </c>
      <c r="F3577" t="s">
        <v>20</v>
      </c>
      <c r="G3577" t="s">
        <v>21</v>
      </c>
      <c r="H3577" t="str">
        <f>"INUS079540"</f>
        <v>INUS079540</v>
      </c>
      <c r="I3577" t="str">
        <f>"TASER EQUIPTMENT"</f>
        <v>TASER EQUIPTMENT</v>
      </c>
    </row>
    <row r="3578" spans="1:9" x14ac:dyDescent="0.25">
      <c r="A3578" s="6">
        <v>44748</v>
      </c>
      <c r="B3578" t="s">
        <v>26</v>
      </c>
      <c r="C3578">
        <v>69932</v>
      </c>
      <c r="D3578" t="s">
        <v>71</v>
      </c>
      <c r="E3578" s="7">
        <v>88.06</v>
      </c>
      <c r="F3578" t="s">
        <v>20</v>
      </c>
      <c r="G3578" t="s">
        <v>21</v>
      </c>
      <c r="H3578" t="str">
        <f>"4122215464"</f>
        <v>4122215464</v>
      </c>
      <c r="I3578" t="str">
        <f t="shared" ref="I3578:I3590" si="84">"CINTAS CORPORATION #087"</f>
        <v>CINTAS CORPORATION #087</v>
      </c>
    </row>
    <row r="3579" spans="1:9" x14ac:dyDescent="0.25">
      <c r="A3579" s="6">
        <v>44748</v>
      </c>
      <c r="B3579" t="s">
        <v>26</v>
      </c>
      <c r="C3579">
        <v>69932</v>
      </c>
      <c r="D3579" t="s">
        <v>71</v>
      </c>
      <c r="E3579" s="7">
        <v>31.89</v>
      </c>
      <c r="F3579" t="s">
        <v>20</v>
      </c>
      <c r="G3579" t="s">
        <v>21</v>
      </c>
      <c r="H3579" t="str">
        <f>"4122891959"</f>
        <v>4122891959</v>
      </c>
      <c r="I3579" t="str">
        <f t="shared" si="84"/>
        <v>CINTAS CORPORATION #087</v>
      </c>
    </row>
    <row r="3580" spans="1:9" x14ac:dyDescent="0.25">
      <c r="A3580" s="6">
        <v>44748</v>
      </c>
      <c r="B3580" t="s">
        <v>26</v>
      </c>
      <c r="C3580">
        <v>69932</v>
      </c>
      <c r="D3580" t="s">
        <v>71</v>
      </c>
      <c r="E3580" s="7">
        <v>9.3800000000000008</v>
      </c>
      <c r="F3580" t="s">
        <v>20</v>
      </c>
      <c r="G3580" t="s">
        <v>21</v>
      </c>
      <c r="H3580" t="str">
        <f>"4122892035"</f>
        <v>4122892035</v>
      </c>
      <c r="I3580" t="str">
        <f t="shared" si="84"/>
        <v>CINTAS CORPORATION #087</v>
      </c>
    </row>
    <row r="3581" spans="1:9" x14ac:dyDescent="0.25">
      <c r="A3581" s="6">
        <v>44748</v>
      </c>
      <c r="B3581" t="s">
        <v>26</v>
      </c>
      <c r="C3581">
        <v>69932</v>
      </c>
      <c r="D3581" t="s">
        <v>71</v>
      </c>
      <c r="E3581" s="7">
        <v>57.72</v>
      </c>
      <c r="F3581" t="s">
        <v>20</v>
      </c>
      <c r="G3581" t="s">
        <v>21</v>
      </c>
      <c r="H3581" t="str">
        <f>"4122892072"</f>
        <v>4122892072</v>
      </c>
      <c r="I3581" t="str">
        <f t="shared" si="84"/>
        <v>CINTAS CORPORATION #087</v>
      </c>
    </row>
    <row r="3582" spans="1:9" x14ac:dyDescent="0.25">
      <c r="A3582" s="6">
        <v>44748</v>
      </c>
      <c r="B3582" t="s">
        <v>26</v>
      </c>
      <c r="C3582">
        <v>69932</v>
      </c>
      <c r="D3582" t="s">
        <v>71</v>
      </c>
      <c r="E3582" s="7">
        <v>37.1</v>
      </c>
      <c r="F3582" t="s">
        <v>20</v>
      </c>
      <c r="G3582" t="s">
        <v>21</v>
      </c>
      <c r="H3582" t="str">
        <f>"4122892083"</f>
        <v>4122892083</v>
      </c>
      <c r="I3582" t="str">
        <f t="shared" si="84"/>
        <v>CINTAS CORPORATION #087</v>
      </c>
    </row>
    <row r="3583" spans="1:9" x14ac:dyDescent="0.25">
      <c r="A3583" s="6">
        <v>44748</v>
      </c>
      <c r="B3583" t="s">
        <v>26</v>
      </c>
      <c r="C3583">
        <v>69932</v>
      </c>
      <c r="D3583" t="s">
        <v>71</v>
      </c>
      <c r="E3583" s="7">
        <v>217.34</v>
      </c>
      <c r="F3583" t="s">
        <v>20</v>
      </c>
      <c r="G3583" t="s">
        <v>21</v>
      </c>
      <c r="H3583" t="str">
        <f>"4122892209"</f>
        <v>4122892209</v>
      </c>
      <c r="I3583" t="str">
        <f t="shared" si="84"/>
        <v>CINTAS CORPORATION #087</v>
      </c>
    </row>
    <row r="3584" spans="1:9" x14ac:dyDescent="0.25">
      <c r="A3584" s="6">
        <v>44748</v>
      </c>
      <c r="B3584" t="s">
        <v>26</v>
      </c>
      <c r="C3584">
        <v>69932</v>
      </c>
      <c r="D3584" t="s">
        <v>71</v>
      </c>
      <c r="E3584" s="7">
        <v>742.62</v>
      </c>
      <c r="F3584" t="s">
        <v>20</v>
      </c>
      <c r="G3584" t="s">
        <v>21</v>
      </c>
      <c r="H3584" t="str">
        <f>"4122892233"</f>
        <v>4122892233</v>
      </c>
      <c r="I3584" t="str">
        <f t="shared" si="84"/>
        <v>CINTAS CORPORATION #087</v>
      </c>
    </row>
    <row r="3585" spans="1:9" x14ac:dyDescent="0.25">
      <c r="A3585" s="6">
        <v>44748</v>
      </c>
      <c r="B3585" t="s">
        <v>26</v>
      </c>
      <c r="C3585">
        <v>69932</v>
      </c>
      <c r="D3585" t="s">
        <v>71</v>
      </c>
      <c r="E3585" s="7">
        <v>79.28</v>
      </c>
      <c r="F3585" t="s">
        <v>20</v>
      </c>
      <c r="G3585" t="s">
        <v>21</v>
      </c>
      <c r="H3585" t="str">
        <f>"4123626340"</f>
        <v>4123626340</v>
      </c>
      <c r="I3585" t="str">
        <f t="shared" si="84"/>
        <v>CINTAS CORPORATION #087</v>
      </c>
    </row>
    <row r="3586" spans="1:9" x14ac:dyDescent="0.25">
      <c r="A3586" s="6">
        <v>44748</v>
      </c>
      <c r="B3586" t="s">
        <v>26</v>
      </c>
      <c r="C3586">
        <v>69932</v>
      </c>
      <c r="D3586" t="s">
        <v>71</v>
      </c>
      <c r="E3586" s="7">
        <v>118.8</v>
      </c>
      <c r="F3586" t="s">
        <v>20</v>
      </c>
      <c r="G3586" t="s">
        <v>21</v>
      </c>
      <c r="H3586" t="str">
        <f>"4123626354"</f>
        <v>4123626354</v>
      </c>
      <c r="I3586" t="str">
        <f t="shared" si="84"/>
        <v>CINTAS CORPORATION #087</v>
      </c>
    </row>
    <row r="3587" spans="1:9" x14ac:dyDescent="0.25">
      <c r="A3587" s="6">
        <v>44748</v>
      </c>
      <c r="B3587" t="s">
        <v>26</v>
      </c>
      <c r="C3587">
        <v>69932</v>
      </c>
      <c r="D3587" t="s">
        <v>71</v>
      </c>
      <c r="E3587" s="7">
        <v>31.89</v>
      </c>
      <c r="F3587" t="s">
        <v>20</v>
      </c>
      <c r="G3587" t="s">
        <v>21</v>
      </c>
      <c r="H3587" t="str">
        <f>"4123626366"</f>
        <v>4123626366</v>
      </c>
      <c r="I3587" t="str">
        <f t="shared" si="84"/>
        <v>CINTAS CORPORATION #087</v>
      </c>
    </row>
    <row r="3588" spans="1:9" x14ac:dyDescent="0.25">
      <c r="A3588" s="6">
        <v>44748</v>
      </c>
      <c r="B3588" t="s">
        <v>26</v>
      </c>
      <c r="C3588">
        <v>69932</v>
      </c>
      <c r="D3588" t="s">
        <v>71</v>
      </c>
      <c r="E3588" s="7">
        <v>90.43</v>
      </c>
      <c r="F3588" t="s">
        <v>20</v>
      </c>
      <c r="G3588" t="s">
        <v>21</v>
      </c>
      <c r="H3588" t="str">
        <f>"4123626368"</f>
        <v>4123626368</v>
      </c>
      <c r="I3588" t="str">
        <f t="shared" si="84"/>
        <v>CINTAS CORPORATION #087</v>
      </c>
    </row>
    <row r="3589" spans="1:9" x14ac:dyDescent="0.25">
      <c r="A3589" s="6">
        <v>44748</v>
      </c>
      <c r="B3589" t="s">
        <v>26</v>
      </c>
      <c r="C3589">
        <v>69932</v>
      </c>
      <c r="D3589" t="s">
        <v>71</v>
      </c>
      <c r="E3589" s="7">
        <v>275.68</v>
      </c>
      <c r="F3589" t="s">
        <v>20</v>
      </c>
      <c r="G3589" t="s">
        <v>21</v>
      </c>
      <c r="H3589" t="str">
        <f>"4123626402"</f>
        <v>4123626402</v>
      </c>
      <c r="I3589" t="str">
        <f t="shared" si="84"/>
        <v>CINTAS CORPORATION #087</v>
      </c>
    </row>
    <row r="3590" spans="1:9" x14ac:dyDescent="0.25">
      <c r="A3590" s="6">
        <v>44748</v>
      </c>
      <c r="B3590" t="s">
        <v>26</v>
      </c>
      <c r="C3590">
        <v>69932</v>
      </c>
      <c r="D3590" t="s">
        <v>71</v>
      </c>
      <c r="E3590" s="7">
        <v>164.22</v>
      </c>
      <c r="F3590" t="s">
        <v>20</v>
      </c>
      <c r="G3590" t="s">
        <v>21</v>
      </c>
      <c r="H3590" t="str">
        <f>"4123626413"</f>
        <v>4123626413</v>
      </c>
      <c r="I3590" t="str">
        <f t="shared" si="84"/>
        <v>CINTAS CORPORATION #087</v>
      </c>
    </row>
    <row r="3591" spans="1:9" x14ac:dyDescent="0.25">
      <c r="A3591" s="6">
        <v>44748</v>
      </c>
      <c r="B3591" t="s">
        <v>26</v>
      </c>
      <c r="C3591">
        <v>69935</v>
      </c>
      <c r="D3591" t="s">
        <v>661</v>
      </c>
      <c r="E3591" s="7">
        <v>475</v>
      </c>
      <c r="F3591" t="s">
        <v>20</v>
      </c>
      <c r="G3591" t="s">
        <v>21</v>
      </c>
      <c r="H3591" t="str">
        <f>"8405541923"</f>
        <v>8405541923</v>
      </c>
      <c r="I3591" t="str">
        <f>"CINTAS FAS LOCKBOX 631025"</f>
        <v>CINTAS FAS LOCKBOX 631025</v>
      </c>
    </row>
    <row r="3592" spans="1:9" x14ac:dyDescent="0.25">
      <c r="A3592" s="6">
        <v>44748</v>
      </c>
      <c r="B3592" t="s">
        <v>26</v>
      </c>
      <c r="C3592">
        <v>69935</v>
      </c>
      <c r="D3592" t="s">
        <v>661</v>
      </c>
      <c r="E3592" s="7">
        <v>99</v>
      </c>
      <c r="F3592" t="s">
        <v>20</v>
      </c>
      <c r="G3592" t="s">
        <v>21</v>
      </c>
      <c r="H3592" t="str">
        <f>"8405672419"</f>
        <v>8405672419</v>
      </c>
      <c r="I3592" t="str">
        <f>"CINTAS FAS LOCKBOX 631025"</f>
        <v>CINTAS FAS LOCKBOX 631025</v>
      </c>
    </row>
    <row r="3593" spans="1:9" x14ac:dyDescent="0.25">
      <c r="A3593" s="6">
        <v>44748</v>
      </c>
      <c r="B3593" t="s">
        <v>26</v>
      </c>
      <c r="C3593">
        <v>69935</v>
      </c>
      <c r="D3593" t="s">
        <v>661</v>
      </c>
      <c r="E3593" s="7">
        <v>574</v>
      </c>
      <c r="F3593" t="s">
        <v>20</v>
      </c>
      <c r="G3593" t="s">
        <v>21</v>
      </c>
      <c r="H3593" t="str">
        <f>"8405726828"</f>
        <v>8405726828</v>
      </c>
      <c r="I3593" t="str">
        <f>"CINTAS FAS LOCKBOX 631025"</f>
        <v>CINTAS FAS LOCKBOX 631025</v>
      </c>
    </row>
    <row r="3594" spans="1:9" x14ac:dyDescent="0.25">
      <c r="A3594" s="6">
        <v>44748</v>
      </c>
      <c r="B3594" t="s">
        <v>26</v>
      </c>
      <c r="C3594">
        <v>69935</v>
      </c>
      <c r="D3594" t="s">
        <v>661</v>
      </c>
      <c r="E3594" s="7">
        <v>980.29</v>
      </c>
      <c r="F3594" t="s">
        <v>20</v>
      </c>
      <c r="G3594" t="s">
        <v>21</v>
      </c>
      <c r="H3594" t="str">
        <f>"8405735970"</f>
        <v>8405735970</v>
      </c>
      <c r="I3594" t="str">
        <f>"CINTAS FAS LOCKBOX 631025"</f>
        <v>CINTAS FAS LOCKBOX 631025</v>
      </c>
    </row>
    <row r="3595" spans="1:9" x14ac:dyDescent="0.25">
      <c r="A3595" s="6">
        <v>44748</v>
      </c>
      <c r="B3595" t="s">
        <v>26</v>
      </c>
      <c r="C3595">
        <v>69935</v>
      </c>
      <c r="D3595" t="s">
        <v>661</v>
      </c>
      <c r="E3595" s="7">
        <v>382.77</v>
      </c>
      <c r="F3595" t="s">
        <v>20</v>
      </c>
      <c r="G3595" t="s">
        <v>21</v>
      </c>
      <c r="H3595" t="str">
        <f>"8405761450"</f>
        <v>8405761450</v>
      </c>
      <c r="I3595" t="str">
        <f>"CINTAS FAS LOCKBOX 631025"</f>
        <v>CINTAS FAS LOCKBOX 631025</v>
      </c>
    </row>
    <row r="3596" spans="1:9" x14ac:dyDescent="0.25">
      <c r="A3596" s="6">
        <v>44748</v>
      </c>
      <c r="B3596" t="s">
        <v>26</v>
      </c>
      <c r="C3596">
        <v>69937</v>
      </c>
      <c r="D3596" t="s">
        <v>335</v>
      </c>
      <c r="E3596" s="7">
        <v>210</v>
      </c>
      <c r="F3596" t="s">
        <v>20</v>
      </c>
      <c r="G3596" t="s">
        <v>21</v>
      </c>
      <c r="H3596" t="str">
        <f>"CELEBRATE AMER'22"</f>
        <v>CELEBRATE AMER'22</v>
      </c>
      <c r="I3596" t="str">
        <f>"DEVIN KEEN"</f>
        <v>DEVIN KEEN</v>
      </c>
    </row>
    <row r="3597" spans="1:9" x14ac:dyDescent="0.25">
      <c r="A3597" s="6">
        <v>44748</v>
      </c>
      <c r="B3597" t="s">
        <v>26</v>
      </c>
      <c r="C3597">
        <v>69938</v>
      </c>
      <c r="D3597" t="s">
        <v>180</v>
      </c>
      <c r="E3597" s="7">
        <v>30.32</v>
      </c>
      <c r="F3597" t="s">
        <v>20</v>
      </c>
      <c r="G3597" t="s">
        <v>21</v>
      </c>
      <c r="H3597" t="str">
        <f>"2206-215442"</f>
        <v>2206-215442</v>
      </c>
      <c r="I3597" t="str">
        <f>"RAT TRAPS"</f>
        <v>RAT TRAPS</v>
      </c>
    </row>
    <row r="3598" spans="1:9" x14ac:dyDescent="0.25">
      <c r="A3598" s="6">
        <v>44748</v>
      </c>
      <c r="B3598" t="s">
        <v>26</v>
      </c>
      <c r="C3598">
        <v>69938</v>
      </c>
      <c r="D3598" t="s">
        <v>180</v>
      </c>
      <c r="E3598" s="7">
        <v>27.08</v>
      </c>
      <c r="F3598" t="s">
        <v>20</v>
      </c>
      <c r="G3598" t="s">
        <v>21</v>
      </c>
      <c r="H3598" t="str">
        <f>"2206-216-993"</f>
        <v>2206-216-993</v>
      </c>
      <c r="I3598" t="str">
        <f>"RIVER PARK RESTROOMS"</f>
        <v>RIVER PARK RESTROOMS</v>
      </c>
    </row>
    <row r="3599" spans="1:9" x14ac:dyDescent="0.25">
      <c r="A3599" s="6">
        <v>44748</v>
      </c>
      <c r="B3599" t="s">
        <v>26</v>
      </c>
      <c r="C3599">
        <v>69938</v>
      </c>
      <c r="D3599" t="s">
        <v>180</v>
      </c>
      <c r="E3599" s="7">
        <v>22.97</v>
      </c>
      <c r="F3599" t="s">
        <v>20</v>
      </c>
      <c r="G3599" t="s">
        <v>21</v>
      </c>
      <c r="H3599" t="str">
        <f>"2206-218-332"</f>
        <v>2206-218-332</v>
      </c>
      <c r="I3599" t="str">
        <f>"SUPPLIES FOR PARK"</f>
        <v>SUPPLIES FOR PARK</v>
      </c>
    </row>
    <row r="3600" spans="1:9" x14ac:dyDescent="0.25">
      <c r="A3600" s="6">
        <v>44748</v>
      </c>
      <c r="B3600" t="s">
        <v>91</v>
      </c>
      <c r="C3600">
        <v>69939</v>
      </c>
      <c r="D3600" t="s">
        <v>1239</v>
      </c>
      <c r="E3600" s="7">
        <v>225</v>
      </c>
      <c r="F3600" t="s">
        <v>20</v>
      </c>
      <c r="G3600" t="s">
        <v>21</v>
      </c>
      <c r="H3600" t="str">
        <f>"POOL REFUND 7/2/22"</f>
        <v>POOL REFUND 7/2/22</v>
      </c>
      <c r="I3600" t="str">
        <f>"REFUND"</f>
        <v>REFUND</v>
      </c>
    </row>
    <row r="3601" spans="1:9" x14ac:dyDescent="0.25">
      <c r="A3601" s="6">
        <v>44748</v>
      </c>
      <c r="B3601" t="s">
        <v>91</v>
      </c>
      <c r="C3601">
        <v>69939</v>
      </c>
      <c r="D3601" t="s">
        <v>1240</v>
      </c>
      <c r="E3601" s="7">
        <v>225</v>
      </c>
      <c r="F3601" t="s">
        <v>20</v>
      </c>
      <c r="G3601" t="s">
        <v>93</v>
      </c>
      <c r="H3601" t="str">
        <f>"CHECK"</f>
        <v>CHECK</v>
      </c>
      <c r="I3601" t="str">
        <f>""</f>
        <v/>
      </c>
    </row>
    <row r="3602" spans="1:9" x14ac:dyDescent="0.25">
      <c r="A3602" s="6">
        <v>44748</v>
      </c>
      <c r="B3602" t="s">
        <v>26</v>
      </c>
      <c r="C3602">
        <v>69940</v>
      </c>
      <c r="D3602" t="s">
        <v>64</v>
      </c>
      <c r="E3602" s="7">
        <v>5832</v>
      </c>
      <c r="F3602" t="s">
        <v>20</v>
      </c>
      <c r="G3602" t="s">
        <v>21</v>
      </c>
      <c r="H3602" t="str">
        <f>"8909"</f>
        <v>8909</v>
      </c>
      <c r="I3602" t="str">
        <f>"DREWA DESIGNS  INC."</f>
        <v>DREWA DESIGNS  INC.</v>
      </c>
    </row>
    <row r="3603" spans="1:9" x14ac:dyDescent="0.25">
      <c r="A3603" s="6">
        <v>44748</v>
      </c>
      <c r="B3603" t="s">
        <v>26</v>
      </c>
      <c r="C3603">
        <v>69941</v>
      </c>
      <c r="D3603" t="s">
        <v>984</v>
      </c>
      <c r="E3603" s="7">
        <v>17.829999999999998</v>
      </c>
      <c r="F3603" t="s">
        <v>20</v>
      </c>
      <c r="G3603" t="s">
        <v>21</v>
      </c>
      <c r="H3603" t="str">
        <f>"CELEBRATE AMER'22"</f>
        <v>CELEBRATE AMER'22</v>
      </c>
      <c r="I3603" t="str">
        <f>"EVELYN GARCIA-OLIVO"</f>
        <v>EVELYN GARCIA-OLIVO</v>
      </c>
    </row>
    <row r="3604" spans="1:9" x14ac:dyDescent="0.25">
      <c r="A3604" s="6">
        <v>44748</v>
      </c>
      <c r="B3604" t="s">
        <v>26</v>
      </c>
      <c r="C3604">
        <v>69942</v>
      </c>
      <c r="D3604" t="s">
        <v>59</v>
      </c>
      <c r="E3604" s="7">
        <v>13</v>
      </c>
      <c r="F3604" t="s">
        <v>20</v>
      </c>
      <c r="G3604" t="s">
        <v>21</v>
      </c>
      <c r="H3604" t="str">
        <f>"1156188"</f>
        <v>1156188</v>
      </c>
      <c r="I3604" t="str">
        <f>"FERGUSON WATERWORKS - MUNICIPA"</f>
        <v>FERGUSON WATERWORKS - MUNICIPA</v>
      </c>
    </row>
    <row r="3605" spans="1:9" x14ac:dyDescent="0.25">
      <c r="A3605" s="6">
        <v>44748</v>
      </c>
      <c r="B3605" t="s">
        <v>26</v>
      </c>
      <c r="C3605">
        <v>69942</v>
      </c>
      <c r="D3605" t="s">
        <v>59</v>
      </c>
      <c r="E3605" s="7">
        <v>166</v>
      </c>
      <c r="F3605" t="s">
        <v>20</v>
      </c>
      <c r="G3605" t="s">
        <v>21</v>
      </c>
      <c r="H3605" t="str">
        <f>"1165389-1"</f>
        <v>1165389-1</v>
      </c>
      <c r="I3605" t="str">
        <f>"MISC STOCK"</f>
        <v>MISC STOCK</v>
      </c>
    </row>
    <row r="3606" spans="1:9" x14ac:dyDescent="0.25">
      <c r="A3606" s="6">
        <v>44748</v>
      </c>
      <c r="B3606" t="s">
        <v>26</v>
      </c>
      <c r="C3606">
        <v>69942</v>
      </c>
      <c r="D3606" t="s">
        <v>59</v>
      </c>
      <c r="E3606" s="7">
        <v>2809.48</v>
      </c>
      <c r="F3606" t="s">
        <v>20</v>
      </c>
      <c r="G3606" t="s">
        <v>21</v>
      </c>
      <c r="H3606" t="str">
        <f>"1169259-1"</f>
        <v>1169259-1</v>
      </c>
      <c r="I3606" t="str">
        <f>"FERGUSON WATERWORKS - MUNICIPA"</f>
        <v>FERGUSON WATERWORKS - MUNICIPA</v>
      </c>
    </row>
    <row r="3607" spans="1:9" x14ac:dyDescent="0.25">
      <c r="A3607" s="6">
        <v>44748</v>
      </c>
      <c r="B3607" t="s">
        <v>26</v>
      </c>
      <c r="C3607">
        <v>69942</v>
      </c>
      <c r="D3607" t="s">
        <v>59</v>
      </c>
      <c r="E3607" s="7">
        <v>1578.54</v>
      </c>
      <c r="F3607" t="s">
        <v>20</v>
      </c>
      <c r="G3607" t="s">
        <v>21</v>
      </c>
      <c r="H3607" t="str">
        <f>"1180308"</f>
        <v>1180308</v>
      </c>
      <c r="I3607" t="str">
        <f>"MISC ITEMS"</f>
        <v>MISC ITEMS</v>
      </c>
    </row>
    <row r="3608" spans="1:9" x14ac:dyDescent="0.25">
      <c r="A3608" s="6">
        <v>44748</v>
      </c>
      <c r="B3608" t="s">
        <v>26</v>
      </c>
      <c r="C3608">
        <v>69942</v>
      </c>
      <c r="D3608" t="s">
        <v>59</v>
      </c>
      <c r="E3608" s="7">
        <v>3543.5</v>
      </c>
      <c r="F3608" t="s">
        <v>20</v>
      </c>
      <c r="G3608" t="s">
        <v>21</v>
      </c>
      <c r="H3608" t="str">
        <f>"1180344"</f>
        <v>1180344</v>
      </c>
      <c r="I3608" t="str">
        <f>"MISC ITEMS"</f>
        <v>MISC ITEMS</v>
      </c>
    </row>
    <row r="3609" spans="1:9" x14ac:dyDescent="0.25">
      <c r="A3609" s="6">
        <v>44748</v>
      </c>
      <c r="B3609" t="s">
        <v>26</v>
      </c>
      <c r="C3609">
        <v>69942</v>
      </c>
      <c r="D3609" t="s">
        <v>59</v>
      </c>
      <c r="E3609" s="7">
        <v>414.83</v>
      </c>
      <c r="F3609" t="s">
        <v>20</v>
      </c>
      <c r="G3609" t="s">
        <v>21</v>
      </c>
      <c r="H3609" t="str">
        <f>"1183079"</f>
        <v>1183079</v>
      </c>
      <c r="I3609" t="str">
        <f>"HOSPITAL BLVD LIFT STATIO"</f>
        <v>HOSPITAL BLVD LIFT STATIO</v>
      </c>
    </row>
    <row r="3610" spans="1:9" x14ac:dyDescent="0.25">
      <c r="A3610" s="6">
        <v>44748</v>
      </c>
      <c r="B3610" t="s">
        <v>26</v>
      </c>
      <c r="C3610">
        <v>69942</v>
      </c>
      <c r="D3610" t="s">
        <v>59</v>
      </c>
      <c r="E3610" s="7">
        <v>287.89999999999998</v>
      </c>
      <c r="F3610" t="s">
        <v>20</v>
      </c>
      <c r="G3610" t="s">
        <v>21</v>
      </c>
      <c r="H3610" t="str">
        <f>"1183081"</f>
        <v>1183081</v>
      </c>
      <c r="I3610" t="str">
        <f>"HOSPITAL BLVD LIFT STATIO"</f>
        <v>HOSPITAL BLVD LIFT STATIO</v>
      </c>
    </row>
    <row r="3611" spans="1:9" x14ac:dyDescent="0.25">
      <c r="A3611" s="6">
        <v>44748</v>
      </c>
      <c r="B3611" t="s">
        <v>26</v>
      </c>
      <c r="C3611">
        <v>69944</v>
      </c>
      <c r="D3611" t="s">
        <v>739</v>
      </c>
      <c r="E3611" s="7">
        <v>1398.74</v>
      </c>
      <c r="F3611" t="s">
        <v>20</v>
      </c>
      <c r="G3611" t="s">
        <v>21</v>
      </c>
      <c r="H3611" t="str">
        <f>"5286X06272022"</f>
        <v>5286X06272022</v>
      </c>
      <c r="I3611" t="str">
        <f>"FIRSTNET/AT&amp;T MOBILITY LLC"</f>
        <v>FIRSTNET/AT&amp;T MOBILITY LLC</v>
      </c>
    </row>
    <row r="3612" spans="1:9" x14ac:dyDescent="0.25">
      <c r="A3612" s="6">
        <v>44748</v>
      </c>
      <c r="B3612" t="s">
        <v>26</v>
      </c>
      <c r="C3612">
        <v>69945</v>
      </c>
      <c r="D3612" t="s">
        <v>85</v>
      </c>
      <c r="E3612" s="7">
        <v>61.33</v>
      </c>
      <c r="F3612" t="s">
        <v>20</v>
      </c>
      <c r="G3612" t="s">
        <v>21</v>
      </c>
      <c r="H3612" t="str">
        <f>"2162691 6/22"</f>
        <v>2162691 6/22</v>
      </c>
      <c r="I3612" t="str">
        <f>"FRONTIER"</f>
        <v>FRONTIER</v>
      </c>
    </row>
    <row r="3613" spans="1:9" x14ac:dyDescent="0.25">
      <c r="A3613" s="6">
        <v>44748</v>
      </c>
      <c r="B3613" t="s">
        <v>26</v>
      </c>
      <c r="C3613">
        <v>69945</v>
      </c>
      <c r="D3613" t="s">
        <v>85</v>
      </c>
      <c r="E3613" s="7">
        <v>480</v>
      </c>
      <c r="F3613" t="s">
        <v>20</v>
      </c>
      <c r="G3613" t="s">
        <v>21</v>
      </c>
      <c r="H3613" t="str">
        <f>"8301970046 6/22"</f>
        <v>8301970046 6/22</v>
      </c>
      <c r="I3613" t="str">
        <f>"FRONTIER"</f>
        <v>FRONTIER</v>
      </c>
    </row>
    <row r="3614" spans="1:9" x14ac:dyDescent="0.25">
      <c r="A3614" s="6">
        <v>44748</v>
      </c>
      <c r="B3614" t="s">
        <v>91</v>
      </c>
      <c r="C3614">
        <v>69946</v>
      </c>
      <c r="D3614" t="s">
        <v>56</v>
      </c>
      <c r="E3614" s="7">
        <v>11882.81</v>
      </c>
      <c r="F3614" t="s">
        <v>20</v>
      </c>
      <c r="G3614" t="s">
        <v>21</v>
      </c>
      <c r="H3614" t="str">
        <f>"201619"</f>
        <v>201619</v>
      </c>
      <c r="I3614" t="str">
        <f>"WEEK KILLER"</f>
        <v>WEEK KILLER</v>
      </c>
    </row>
    <row r="3615" spans="1:9" x14ac:dyDescent="0.25">
      <c r="A3615" s="6">
        <v>44748</v>
      </c>
      <c r="B3615" t="s">
        <v>91</v>
      </c>
      <c r="C3615">
        <v>69946</v>
      </c>
      <c r="D3615" t="s">
        <v>56</v>
      </c>
      <c r="E3615" s="7">
        <v>11882.81</v>
      </c>
      <c r="F3615" t="s">
        <v>20</v>
      </c>
      <c r="G3615" t="s">
        <v>93</v>
      </c>
      <c r="H3615" t="str">
        <f>"CHECK"</f>
        <v>CHECK</v>
      </c>
      <c r="I3615" t="str">
        <f>""</f>
        <v/>
      </c>
    </row>
    <row r="3616" spans="1:9" x14ac:dyDescent="0.25">
      <c r="A3616" s="6">
        <v>44748</v>
      </c>
      <c r="B3616" t="s">
        <v>26</v>
      </c>
      <c r="C3616">
        <v>69947</v>
      </c>
      <c r="D3616" t="s">
        <v>302</v>
      </c>
      <c r="E3616" s="7">
        <v>49.7</v>
      </c>
      <c r="F3616" t="s">
        <v>20</v>
      </c>
      <c r="G3616" t="s">
        <v>21</v>
      </c>
      <c r="H3616" t="str">
        <f>"9352266457"</f>
        <v>9352266457</v>
      </c>
      <c r="I3616" t="str">
        <f>"WWTP SUPPLIES"</f>
        <v>WWTP SUPPLIES</v>
      </c>
    </row>
    <row r="3617" spans="1:9" x14ac:dyDescent="0.25">
      <c r="A3617" s="6">
        <v>44748</v>
      </c>
      <c r="B3617" t="s">
        <v>26</v>
      </c>
      <c r="C3617">
        <v>69948</v>
      </c>
      <c r="D3617" t="s">
        <v>426</v>
      </c>
      <c r="E3617" s="7">
        <v>4994.3500000000004</v>
      </c>
      <c r="F3617" t="s">
        <v>20</v>
      </c>
      <c r="G3617" t="s">
        <v>21</v>
      </c>
      <c r="H3617" t="str">
        <f>"INV0909283"</f>
        <v>INV0909283</v>
      </c>
      <c r="I3617" t="str">
        <f>"AMMO"</f>
        <v>AMMO</v>
      </c>
    </row>
    <row r="3618" spans="1:9" x14ac:dyDescent="0.25">
      <c r="A3618" s="6">
        <v>44748</v>
      </c>
      <c r="B3618" t="s">
        <v>26</v>
      </c>
      <c r="C3618">
        <v>69948</v>
      </c>
      <c r="D3618" t="s">
        <v>426</v>
      </c>
      <c r="E3618" s="7">
        <v>147.30000000000001</v>
      </c>
      <c r="F3618" t="s">
        <v>20</v>
      </c>
      <c r="G3618" t="s">
        <v>21</v>
      </c>
      <c r="H3618" t="str">
        <f>"INV0910582"</f>
        <v>INV0910582</v>
      </c>
      <c r="I3618" t="str">
        <f>"GT DISTRIBUTORS  INC."</f>
        <v>GT DISTRIBUTORS  INC.</v>
      </c>
    </row>
    <row r="3619" spans="1:9" x14ac:dyDescent="0.25">
      <c r="A3619" s="6">
        <v>44748</v>
      </c>
      <c r="B3619" t="s">
        <v>26</v>
      </c>
      <c r="C3619">
        <v>69949</v>
      </c>
      <c r="D3619" t="s">
        <v>97</v>
      </c>
      <c r="E3619" s="7">
        <v>619.49</v>
      </c>
      <c r="F3619" t="s">
        <v>20</v>
      </c>
      <c r="G3619" t="s">
        <v>21</v>
      </c>
      <c r="H3619" t="str">
        <f>"J.EVINS COBRA 7/22"</f>
        <v>J.EVINS COBRA 7/22</v>
      </c>
      <c r="I3619" t="str">
        <f>"HEALTH CARE SERVICE CORPORATIO"</f>
        <v>HEALTH CARE SERVICE CORPORATIO</v>
      </c>
    </row>
    <row r="3620" spans="1:9" x14ac:dyDescent="0.25">
      <c r="A3620" s="6">
        <v>44748</v>
      </c>
      <c r="B3620" t="s">
        <v>26</v>
      </c>
      <c r="C3620">
        <v>69950</v>
      </c>
      <c r="D3620" t="s">
        <v>1241</v>
      </c>
      <c r="E3620" s="7">
        <v>193.33</v>
      </c>
      <c r="F3620" t="s">
        <v>20</v>
      </c>
      <c r="G3620" t="s">
        <v>21</v>
      </c>
      <c r="H3620" t="str">
        <f>"CELEBRATE AMER'22"</f>
        <v>CELEBRATE AMER'22</v>
      </c>
      <c r="I3620" t="str">
        <f>"IRENE FLORES"</f>
        <v>IRENE FLORES</v>
      </c>
    </row>
    <row r="3621" spans="1:9" x14ac:dyDescent="0.25">
      <c r="A3621" s="6">
        <v>44748</v>
      </c>
      <c r="B3621" t="s">
        <v>26</v>
      </c>
      <c r="C3621">
        <v>69951</v>
      </c>
      <c r="D3621" t="s">
        <v>446</v>
      </c>
      <c r="E3621" s="7">
        <v>315</v>
      </c>
      <c r="F3621" t="s">
        <v>20</v>
      </c>
      <c r="G3621" t="s">
        <v>21</v>
      </c>
      <c r="H3621" t="str">
        <f>"CELEBRATE AMER'22"</f>
        <v>CELEBRATE AMER'22</v>
      </c>
      <c r="I3621" t="str">
        <f>"ISAIAH BARRIENTEZ"</f>
        <v>ISAIAH BARRIENTEZ</v>
      </c>
    </row>
    <row r="3622" spans="1:9" x14ac:dyDescent="0.25">
      <c r="A3622" s="6">
        <v>44748</v>
      </c>
      <c r="B3622" t="s">
        <v>26</v>
      </c>
      <c r="C3622">
        <v>69952</v>
      </c>
      <c r="D3622" t="s">
        <v>1242</v>
      </c>
      <c r="E3622" s="7">
        <v>180.33</v>
      </c>
      <c r="F3622" t="s">
        <v>20</v>
      </c>
      <c r="G3622" t="s">
        <v>21</v>
      </c>
      <c r="H3622" t="str">
        <f>"CELEBRATE AMER'22"</f>
        <v>CELEBRATE AMER'22</v>
      </c>
      <c r="I3622" t="str">
        <f>"JACQUELINE CORONADO"</f>
        <v>JACQUELINE CORONADO</v>
      </c>
    </row>
    <row r="3623" spans="1:9" x14ac:dyDescent="0.25">
      <c r="A3623" s="6">
        <v>44748</v>
      </c>
      <c r="B3623" t="s">
        <v>91</v>
      </c>
      <c r="C3623">
        <v>69953</v>
      </c>
      <c r="D3623" t="s">
        <v>1151</v>
      </c>
      <c r="E3623" s="7">
        <v>210</v>
      </c>
      <c r="F3623" t="s">
        <v>20</v>
      </c>
      <c r="G3623" t="s">
        <v>21</v>
      </c>
      <c r="H3623" t="str">
        <f>"CELEBRATE AMER'22"</f>
        <v>CELEBRATE AMER'22</v>
      </c>
      <c r="I3623" t="str">
        <f>"JOSEPH MARTINEZ"</f>
        <v>JOSEPH MARTINEZ</v>
      </c>
    </row>
    <row r="3624" spans="1:9" x14ac:dyDescent="0.25">
      <c r="A3624" s="6">
        <v>44748</v>
      </c>
      <c r="B3624" t="s">
        <v>91</v>
      </c>
      <c r="C3624">
        <v>69953</v>
      </c>
      <c r="D3624" t="s">
        <v>1151</v>
      </c>
      <c r="E3624" s="7">
        <v>210</v>
      </c>
      <c r="F3624" t="s">
        <v>20</v>
      </c>
      <c r="G3624" t="s">
        <v>93</v>
      </c>
      <c r="H3624" t="str">
        <f>"CHECK"</f>
        <v>CHECK</v>
      </c>
      <c r="I3624" t="str">
        <f>""</f>
        <v/>
      </c>
    </row>
    <row r="3625" spans="1:9" x14ac:dyDescent="0.25">
      <c r="A3625" s="6">
        <v>44748</v>
      </c>
      <c r="B3625" t="s">
        <v>26</v>
      </c>
      <c r="C3625">
        <v>69954</v>
      </c>
      <c r="D3625" t="s">
        <v>116</v>
      </c>
      <c r="E3625" s="7">
        <v>157.69999999999999</v>
      </c>
      <c r="F3625" t="s">
        <v>20</v>
      </c>
      <c r="G3625" t="s">
        <v>21</v>
      </c>
      <c r="H3625" t="str">
        <f>"INV001213430"</f>
        <v>INV001213430</v>
      </c>
      <c r="I3625" t="str">
        <f>"KIEFER AQUATICS/THE LIFEGUARD"</f>
        <v>KIEFER AQUATICS/THE LIFEGUARD</v>
      </c>
    </row>
    <row r="3626" spans="1:9" x14ac:dyDescent="0.25">
      <c r="A3626" s="6">
        <v>44748</v>
      </c>
      <c r="B3626" t="s">
        <v>26</v>
      </c>
      <c r="C3626">
        <v>69955</v>
      </c>
      <c r="D3626" t="s">
        <v>328</v>
      </c>
      <c r="E3626" s="7">
        <v>1250</v>
      </c>
      <c r="F3626" t="s">
        <v>20</v>
      </c>
      <c r="G3626" t="s">
        <v>21</v>
      </c>
      <c r="H3626" t="str">
        <f>"7022066"</f>
        <v>7022066</v>
      </c>
      <c r="I3626" t="str">
        <f>"KOLOGIK"</f>
        <v>KOLOGIK</v>
      </c>
    </row>
    <row r="3627" spans="1:9" x14ac:dyDescent="0.25">
      <c r="A3627" s="6">
        <v>44748</v>
      </c>
      <c r="B3627" t="s">
        <v>26</v>
      </c>
      <c r="C3627">
        <v>69956</v>
      </c>
      <c r="D3627" t="s">
        <v>1017</v>
      </c>
      <c r="E3627" s="7">
        <v>29</v>
      </c>
      <c r="F3627" t="s">
        <v>20</v>
      </c>
      <c r="G3627" t="s">
        <v>21</v>
      </c>
      <c r="H3627" t="str">
        <f>"87280343 7/6/2022"</f>
        <v>87280343 7/6/2022</v>
      </c>
      <c r="I3627" t="str">
        <f>"LABCORP"</f>
        <v>LABCORP</v>
      </c>
    </row>
    <row r="3628" spans="1:9" x14ac:dyDescent="0.25">
      <c r="A3628" s="6">
        <v>44748</v>
      </c>
      <c r="B3628" t="s">
        <v>26</v>
      </c>
      <c r="C3628">
        <v>69957</v>
      </c>
      <c r="D3628" t="s">
        <v>80</v>
      </c>
      <c r="E3628" s="7">
        <v>750</v>
      </c>
      <c r="F3628" t="s">
        <v>20</v>
      </c>
      <c r="G3628" t="s">
        <v>21</v>
      </c>
      <c r="H3628" t="str">
        <f>"1648-20220701-1"</f>
        <v>1648-20220701-1</v>
      </c>
      <c r="I3628" t="str">
        <f>"LVWIFI.COM"</f>
        <v>LVWIFI.COM</v>
      </c>
    </row>
    <row r="3629" spans="1:9" x14ac:dyDescent="0.25">
      <c r="A3629" s="6">
        <v>44748</v>
      </c>
      <c r="B3629" t="s">
        <v>26</v>
      </c>
      <c r="C3629">
        <v>69957</v>
      </c>
      <c r="D3629" t="s">
        <v>80</v>
      </c>
      <c r="E3629" s="7">
        <v>750</v>
      </c>
      <c r="F3629" t="s">
        <v>20</v>
      </c>
      <c r="G3629" t="s">
        <v>21</v>
      </c>
      <c r="H3629" t="str">
        <f>"2313-20220701-1"</f>
        <v>2313-20220701-1</v>
      </c>
      <c r="I3629" t="str">
        <f>"LVWIFI.COM"</f>
        <v>LVWIFI.COM</v>
      </c>
    </row>
    <row r="3630" spans="1:9" x14ac:dyDescent="0.25">
      <c r="A3630" s="6">
        <v>44748</v>
      </c>
      <c r="B3630" t="s">
        <v>26</v>
      </c>
      <c r="C3630">
        <v>69958</v>
      </c>
      <c r="D3630" t="s">
        <v>326</v>
      </c>
      <c r="E3630" s="7">
        <v>76.92</v>
      </c>
      <c r="F3630" t="s">
        <v>20</v>
      </c>
      <c r="G3630" t="s">
        <v>21</v>
      </c>
      <c r="H3630" t="str">
        <f>"0025823687"</f>
        <v>0025823687</v>
      </c>
      <c r="I3630" t="str">
        <f>"WELDING SUPPLIES"</f>
        <v>WELDING SUPPLIES</v>
      </c>
    </row>
    <row r="3631" spans="1:9" x14ac:dyDescent="0.25">
      <c r="A3631" s="6">
        <v>44748</v>
      </c>
      <c r="B3631" t="s">
        <v>26</v>
      </c>
      <c r="C3631">
        <v>69958</v>
      </c>
      <c r="D3631" t="s">
        <v>326</v>
      </c>
      <c r="E3631" s="7">
        <v>94.18</v>
      </c>
      <c r="F3631" t="s">
        <v>20</v>
      </c>
      <c r="G3631" t="s">
        <v>21</v>
      </c>
      <c r="H3631" t="str">
        <f>"0025833627"</f>
        <v>0025833627</v>
      </c>
      <c r="I3631" t="str">
        <f>"REFILLS FOR ROPING ARENA"</f>
        <v>REFILLS FOR ROPING ARENA</v>
      </c>
    </row>
    <row r="3632" spans="1:9" x14ac:dyDescent="0.25">
      <c r="A3632" s="6">
        <v>44748</v>
      </c>
      <c r="B3632" t="s">
        <v>26</v>
      </c>
      <c r="C3632">
        <v>69958</v>
      </c>
      <c r="D3632" t="s">
        <v>326</v>
      </c>
      <c r="E3632" s="7">
        <v>304.07</v>
      </c>
      <c r="F3632" t="s">
        <v>20</v>
      </c>
      <c r="G3632" t="s">
        <v>21</v>
      </c>
      <c r="H3632" t="str">
        <f>"0025867829"</f>
        <v>0025867829</v>
      </c>
      <c r="I3632" t="str">
        <f>"ROPING ARENA"</f>
        <v>ROPING ARENA</v>
      </c>
    </row>
    <row r="3633" spans="1:9" x14ac:dyDescent="0.25">
      <c r="A3633" s="6">
        <v>44748</v>
      </c>
      <c r="B3633" t="s">
        <v>26</v>
      </c>
      <c r="C3633">
        <v>69958</v>
      </c>
      <c r="D3633" t="s">
        <v>326</v>
      </c>
      <c r="E3633" s="7">
        <v>63.6</v>
      </c>
      <c r="F3633" t="s">
        <v>20</v>
      </c>
      <c r="G3633" t="s">
        <v>21</v>
      </c>
      <c r="H3633" t="str">
        <f>"0025924946"</f>
        <v>0025924946</v>
      </c>
      <c r="I3633" t="str">
        <f>"MATHESON TRI-GAS INC"</f>
        <v>MATHESON TRI-GAS INC</v>
      </c>
    </row>
    <row r="3634" spans="1:9" x14ac:dyDescent="0.25">
      <c r="A3634" s="6">
        <v>44748</v>
      </c>
      <c r="B3634" t="s">
        <v>26</v>
      </c>
      <c r="C3634">
        <v>69959</v>
      </c>
      <c r="D3634" t="s">
        <v>124</v>
      </c>
      <c r="E3634" s="7">
        <v>71.13</v>
      </c>
      <c r="F3634" t="s">
        <v>20</v>
      </c>
      <c r="G3634" t="s">
        <v>21</v>
      </c>
      <c r="H3634" t="str">
        <f>"11122918"</f>
        <v>11122918</v>
      </c>
      <c r="I3634" t="str">
        <f>"LODI PARK"</f>
        <v>LODI PARK</v>
      </c>
    </row>
    <row r="3635" spans="1:9" x14ac:dyDescent="0.25">
      <c r="A3635" s="6">
        <v>44748</v>
      </c>
      <c r="B3635" t="s">
        <v>26</v>
      </c>
      <c r="C3635">
        <v>69959</v>
      </c>
      <c r="D3635" t="s">
        <v>124</v>
      </c>
      <c r="E3635" s="7">
        <v>522.45000000000005</v>
      </c>
      <c r="F3635" t="s">
        <v>20</v>
      </c>
      <c r="G3635" t="s">
        <v>21</v>
      </c>
      <c r="H3635" t="str">
        <f>"11123245"</f>
        <v>11123245</v>
      </c>
      <c r="I3635" t="str">
        <f>"ROPING ARENA"</f>
        <v>ROPING ARENA</v>
      </c>
    </row>
    <row r="3636" spans="1:9" x14ac:dyDescent="0.25">
      <c r="A3636" s="6">
        <v>44748</v>
      </c>
      <c r="B3636" t="s">
        <v>26</v>
      </c>
      <c r="C3636">
        <v>69959</v>
      </c>
      <c r="D3636" t="s">
        <v>124</v>
      </c>
      <c r="E3636" s="7">
        <v>34.29</v>
      </c>
      <c r="F3636" t="s">
        <v>20</v>
      </c>
      <c r="G3636" t="s">
        <v>21</v>
      </c>
      <c r="H3636" t="str">
        <f>"11123352"</f>
        <v>11123352</v>
      </c>
      <c r="I3636" t="str">
        <f>"BOW RAKE FBRGLS"</f>
        <v>BOW RAKE FBRGLS</v>
      </c>
    </row>
    <row r="3637" spans="1:9" x14ac:dyDescent="0.25">
      <c r="A3637" s="6">
        <v>44748</v>
      </c>
      <c r="B3637" t="s">
        <v>26</v>
      </c>
      <c r="C3637">
        <v>69959</v>
      </c>
      <c r="D3637" t="s">
        <v>124</v>
      </c>
      <c r="E3637" s="7">
        <v>139.82</v>
      </c>
      <c r="F3637" t="s">
        <v>20</v>
      </c>
      <c r="G3637" t="s">
        <v>21</v>
      </c>
      <c r="H3637" t="str">
        <f>"11123643"</f>
        <v>11123643</v>
      </c>
      <c r="I3637" t="str">
        <f>"MCCOY'S CORPORATION"</f>
        <v>MCCOY'S CORPORATION</v>
      </c>
    </row>
    <row r="3638" spans="1:9" x14ac:dyDescent="0.25">
      <c r="A3638" s="6">
        <v>44748</v>
      </c>
      <c r="B3638" t="s">
        <v>26</v>
      </c>
      <c r="C3638">
        <v>69959</v>
      </c>
      <c r="D3638" t="s">
        <v>124</v>
      </c>
      <c r="E3638" s="7">
        <v>26.54</v>
      </c>
      <c r="F3638" t="s">
        <v>20</v>
      </c>
      <c r="G3638" t="s">
        <v>21</v>
      </c>
      <c r="H3638" t="str">
        <f>"11123885"</f>
        <v>11123885</v>
      </c>
      <c r="I3638" t="str">
        <f>"CONCRETE"</f>
        <v>CONCRETE</v>
      </c>
    </row>
    <row r="3639" spans="1:9" x14ac:dyDescent="0.25">
      <c r="A3639" s="6">
        <v>44748</v>
      </c>
      <c r="B3639" t="s">
        <v>26</v>
      </c>
      <c r="C3639">
        <v>69959</v>
      </c>
      <c r="D3639" t="s">
        <v>124</v>
      </c>
      <c r="E3639" s="7">
        <v>64.34</v>
      </c>
      <c r="F3639" t="s">
        <v>20</v>
      </c>
      <c r="G3639" t="s">
        <v>21</v>
      </c>
      <c r="H3639" t="str">
        <f>"11124114"</f>
        <v>11124114</v>
      </c>
      <c r="I3639" t="str">
        <f>"MCCOY'S CORPORATION"</f>
        <v>MCCOY'S CORPORATION</v>
      </c>
    </row>
    <row r="3640" spans="1:9" x14ac:dyDescent="0.25">
      <c r="A3640" s="6">
        <v>44748</v>
      </c>
      <c r="B3640" t="s">
        <v>26</v>
      </c>
      <c r="C3640">
        <v>69959</v>
      </c>
      <c r="D3640" t="s">
        <v>124</v>
      </c>
      <c r="E3640" s="7">
        <v>66.349999999999994</v>
      </c>
      <c r="F3640" t="s">
        <v>20</v>
      </c>
      <c r="G3640" t="s">
        <v>21</v>
      </c>
      <c r="H3640" t="str">
        <f>"11124190"</f>
        <v>11124190</v>
      </c>
      <c r="I3640" t="str">
        <f>"15 BAGS OF CONCRETE"</f>
        <v>15 BAGS OF CONCRETE</v>
      </c>
    </row>
    <row r="3641" spans="1:9" x14ac:dyDescent="0.25">
      <c r="A3641" s="6">
        <v>44748</v>
      </c>
      <c r="B3641" t="s">
        <v>26</v>
      </c>
      <c r="C3641">
        <v>69959</v>
      </c>
      <c r="D3641" t="s">
        <v>124</v>
      </c>
      <c r="E3641" s="7">
        <v>241.88</v>
      </c>
      <c r="F3641" t="s">
        <v>20</v>
      </c>
      <c r="G3641" t="s">
        <v>21</v>
      </c>
      <c r="H3641" t="str">
        <f>"11124314"</f>
        <v>11124314</v>
      </c>
      <c r="I3641" t="str">
        <f>"AMPITHERE"</f>
        <v>AMPITHERE</v>
      </c>
    </row>
    <row r="3642" spans="1:9" x14ac:dyDescent="0.25">
      <c r="A3642" s="6">
        <v>44748</v>
      </c>
      <c r="B3642" t="s">
        <v>26</v>
      </c>
      <c r="C3642">
        <v>69959</v>
      </c>
      <c r="D3642" t="s">
        <v>124</v>
      </c>
      <c r="E3642" s="7">
        <v>105.81</v>
      </c>
      <c r="F3642" t="s">
        <v>20</v>
      </c>
      <c r="G3642" t="s">
        <v>21</v>
      </c>
      <c r="H3642" t="str">
        <f>"11124388"</f>
        <v>11124388</v>
      </c>
      <c r="I3642" t="str">
        <f>"AMPITHERE"</f>
        <v>AMPITHERE</v>
      </c>
    </row>
    <row r="3643" spans="1:9" x14ac:dyDescent="0.25">
      <c r="A3643" s="6">
        <v>44748</v>
      </c>
      <c r="B3643" t="s">
        <v>26</v>
      </c>
      <c r="C3643">
        <v>69961</v>
      </c>
      <c r="D3643" t="s">
        <v>345</v>
      </c>
      <c r="E3643" s="7">
        <v>599.5</v>
      </c>
      <c r="F3643" t="s">
        <v>20</v>
      </c>
      <c r="G3643" t="s">
        <v>21</v>
      </c>
      <c r="H3643" t="str">
        <f>"7/5/2022"</f>
        <v>7/5/2022</v>
      </c>
      <c r="I3643" t="str">
        <f>"MICHAEL ISAAC MARTINEZ"</f>
        <v>MICHAEL ISAAC MARTINEZ</v>
      </c>
    </row>
    <row r="3644" spans="1:9" x14ac:dyDescent="0.25">
      <c r="A3644" s="6">
        <v>44748</v>
      </c>
      <c r="B3644" t="s">
        <v>26</v>
      </c>
      <c r="C3644">
        <v>69962</v>
      </c>
      <c r="D3644" t="s">
        <v>240</v>
      </c>
      <c r="E3644" s="7">
        <v>102.89</v>
      </c>
      <c r="F3644" t="s">
        <v>20</v>
      </c>
      <c r="G3644" t="s">
        <v>21</v>
      </c>
      <c r="H3644" t="str">
        <f>"0231652-IN"</f>
        <v>0231652-IN</v>
      </c>
      <c r="I3644" t="str">
        <f>"NARDIS PUBLIC SAFETY"</f>
        <v>NARDIS PUBLIC SAFETY</v>
      </c>
    </row>
    <row r="3645" spans="1:9" x14ac:dyDescent="0.25">
      <c r="A3645" s="6">
        <v>44748</v>
      </c>
      <c r="B3645" t="s">
        <v>26</v>
      </c>
      <c r="C3645">
        <v>69963</v>
      </c>
      <c r="D3645" t="s">
        <v>123</v>
      </c>
      <c r="E3645" s="7">
        <v>67.86</v>
      </c>
      <c r="F3645" t="s">
        <v>20</v>
      </c>
      <c r="G3645" t="s">
        <v>21</v>
      </c>
      <c r="H3645" t="str">
        <f>"246701254001"</f>
        <v>246701254001</v>
      </c>
      <c r="I3645" t="str">
        <f>"OFFICE SUPPLIES"</f>
        <v>OFFICE SUPPLIES</v>
      </c>
    </row>
    <row r="3646" spans="1:9" x14ac:dyDescent="0.25">
      <c r="A3646" s="6">
        <v>44748</v>
      </c>
      <c r="B3646" t="s">
        <v>26</v>
      </c>
      <c r="C3646">
        <v>69963</v>
      </c>
      <c r="D3646" t="s">
        <v>123</v>
      </c>
      <c r="E3646" s="7">
        <v>344.03</v>
      </c>
      <c r="F3646" t="s">
        <v>20</v>
      </c>
      <c r="G3646" t="s">
        <v>21</v>
      </c>
      <c r="H3646" t="str">
        <f>"246858911001"</f>
        <v>246858911001</v>
      </c>
      <c r="I3646" t="str">
        <f>"OFFICE DEPOT  INC."</f>
        <v>OFFICE DEPOT  INC.</v>
      </c>
    </row>
    <row r="3647" spans="1:9" x14ac:dyDescent="0.25">
      <c r="A3647" s="6">
        <v>44748</v>
      </c>
      <c r="B3647" t="s">
        <v>26</v>
      </c>
      <c r="C3647">
        <v>69963</v>
      </c>
      <c r="D3647" t="s">
        <v>123</v>
      </c>
      <c r="E3647" s="7">
        <v>55.98</v>
      </c>
      <c r="F3647" t="s">
        <v>20</v>
      </c>
      <c r="G3647" t="s">
        <v>21</v>
      </c>
      <c r="H3647" t="str">
        <f>"247513479001"</f>
        <v>247513479001</v>
      </c>
      <c r="I3647" t="str">
        <f>"PAPER"</f>
        <v>PAPER</v>
      </c>
    </row>
    <row r="3648" spans="1:9" x14ac:dyDescent="0.25">
      <c r="A3648" s="6">
        <v>44748</v>
      </c>
      <c r="B3648" t="s">
        <v>26</v>
      </c>
      <c r="C3648">
        <v>69963</v>
      </c>
      <c r="D3648" t="s">
        <v>123</v>
      </c>
      <c r="E3648" s="7">
        <v>60.82</v>
      </c>
      <c r="F3648" t="s">
        <v>20</v>
      </c>
      <c r="G3648" t="s">
        <v>21</v>
      </c>
      <c r="H3648" t="str">
        <f>"247654786001"</f>
        <v>247654786001</v>
      </c>
      <c r="I3648" t="str">
        <f>"OFFICE SUPPLIES"</f>
        <v>OFFICE SUPPLIES</v>
      </c>
    </row>
    <row r="3649" spans="1:9" x14ac:dyDescent="0.25">
      <c r="A3649" s="6">
        <v>44748</v>
      </c>
      <c r="B3649" t="s">
        <v>26</v>
      </c>
      <c r="C3649">
        <v>69963</v>
      </c>
      <c r="D3649" t="s">
        <v>123</v>
      </c>
      <c r="E3649" s="7">
        <v>36.94</v>
      </c>
      <c r="F3649" t="s">
        <v>20</v>
      </c>
      <c r="G3649" t="s">
        <v>21</v>
      </c>
      <c r="H3649" t="str">
        <f>"247661341001"</f>
        <v>247661341001</v>
      </c>
      <c r="I3649" t="str">
        <f>"OFFICE SUPPLIES"</f>
        <v>OFFICE SUPPLIES</v>
      </c>
    </row>
    <row r="3650" spans="1:9" x14ac:dyDescent="0.25">
      <c r="A3650" s="6">
        <v>44748</v>
      </c>
      <c r="B3650" t="s">
        <v>26</v>
      </c>
      <c r="C3650">
        <v>69963</v>
      </c>
      <c r="D3650" t="s">
        <v>123</v>
      </c>
      <c r="E3650" s="7">
        <v>13.88</v>
      </c>
      <c r="F3650" t="s">
        <v>20</v>
      </c>
      <c r="G3650" t="s">
        <v>21</v>
      </c>
      <c r="H3650" t="str">
        <f>"247662364001"</f>
        <v>247662364001</v>
      </c>
      <c r="I3650" t="str">
        <f>"OFFICE SUPPLIES"</f>
        <v>OFFICE SUPPLIES</v>
      </c>
    </row>
    <row r="3651" spans="1:9" x14ac:dyDescent="0.25">
      <c r="A3651" s="6">
        <v>44748</v>
      </c>
      <c r="B3651" t="s">
        <v>26</v>
      </c>
      <c r="C3651">
        <v>69963</v>
      </c>
      <c r="D3651" t="s">
        <v>123</v>
      </c>
      <c r="E3651" s="7">
        <v>71.709999999999994</v>
      </c>
      <c r="F3651" t="s">
        <v>20</v>
      </c>
      <c r="G3651" t="s">
        <v>21</v>
      </c>
      <c r="H3651" t="str">
        <f>"247713436001"</f>
        <v>247713436001</v>
      </c>
      <c r="I3651" t="str">
        <f>"OFFICE DEPOT  INC."</f>
        <v>OFFICE DEPOT  INC.</v>
      </c>
    </row>
    <row r="3652" spans="1:9" x14ac:dyDescent="0.25">
      <c r="A3652" s="6">
        <v>44748</v>
      </c>
      <c r="B3652" t="s">
        <v>26</v>
      </c>
      <c r="C3652">
        <v>69965</v>
      </c>
      <c r="D3652" t="s">
        <v>137</v>
      </c>
      <c r="E3652" s="7">
        <v>51.95</v>
      </c>
      <c r="F3652" t="s">
        <v>20</v>
      </c>
      <c r="G3652" t="s">
        <v>21</v>
      </c>
      <c r="H3652" t="str">
        <f>"37584"</f>
        <v>37584</v>
      </c>
      <c r="I3652" t="str">
        <f>"OMNIBUS-M  INC.D.B.A."</f>
        <v>OMNIBUS-M  INC.D.B.A.</v>
      </c>
    </row>
    <row r="3653" spans="1:9" x14ac:dyDescent="0.25">
      <c r="A3653" s="6">
        <v>44748</v>
      </c>
      <c r="B3653" t="s">
        <v>26</v>
      </c>
      <c r="C3653">
        <v>69965</v>
      </c>
      <c r="D3653" t="s">
        <v>137</v>
      </c>
      <c r="E3653" s="7">
        <v>69.95</v>
      </c>
      <c r="F3653" t="s">
        <v>20</v>
      </c>
      <c r="G3653" t="s">
        <v>21</v>
      </c>
      <c r="H3653" t="str">
        <f>"37585"</f>
        <v>37585</v>
      </c>
      <c r="I3653" t="str">
        <f>"OMNIBUS-M  INC.D.B.A."</f>
        <v>OMNIBUS-M  INC.D.B.A.</v>
      </c>
    </row>
    <row r="3654" spans="1:9" x14ac:dyDescent="0.25">
      <c r="A3654" s="6">
        <v>44748</v>
      </c>
      <c r="B3654" t="s">
        <v>26</v>
      </c>
      <c r="C3654">
        <v>69966</v>
      </c>
      <c r="D3654" t="s">
        <v>1081</v>
      </c>
      <c r="E3654" s="7">
        <v>858</v>
      </c>
      <c r="F3654" t="s">
        <v>20</v>
      </c>
      <c r="G3654" t="s">
        <v>21</v>
      </c>
      <c r="H3654" t="str">
        <f>"38496"</f>
        <v>38496</v>
      </c>
      <c r="I3654" t="str">
        <f>"PINNACLE PEST DEFENSE"</f>
        <v>PINNACLE PEST DEFENSE</v>
      </c>
    </row>
    <row r="3655" spans="1:9" x14ac:dyDescent="0.25">
      <c r="A3655" s="6">
        <v>44748</v>
      </c>
      <c r="B3655" t="s">
        <v>26</v>
      </c>
      <c r="C3655">
        <v>69966</v>
      </c>
      <c r="D3655" t="s">
        <v>1081</v>
      </c>
      <c r="E3655" s="7">
        <v>858</v>
      </c>
      <c r="F3655" t="s">
        <v>20</v>
      </c>
      <c r="G3655" t="s">
        <v>21</v>
      </c>
      <c r="H3655" t="str">
        <f>"38838"</f>
        <v>38838</v>
      </c>
      <c r="I3655" t="str">
        <f>"PINNACLE PEST DEFENSE"</f>
        <v>PINNACLE PEST DEFENSE</v>
      </c>
    </row>
    <row r="3656" spans="1:9" x14ac:dyDescent="0.25">
      <c r="A3656" s="6">
        <v>44748</v>
      </c>
      <c r="B3656" t="s">
        <v>26</v>
      </c>
      <c r="C3656">
        <v>69966</v>
      </c>
      <c r="D3656" t="s">
        <v>1081</v>
      </c>
      <c r="E3656" s="7">
        <v>433</v>
      </c>
      <c r="F3656" t="s">
        <v>20</v>
      </c>
      <c r="G3656" t="s">
        <v>21</v>
      </c>
      <c r="H3656" t="str">
        <f>"39183"</f>
        <v>39183</v>
      </c>
      <c r="I3656" t="str">
        <f>"PINNACLE PEST DEFENSE"</f>
        <v>PINNACLE PEST DEFENSE</v>
      </c>
    </row>
    <row r="3657" spans="1:9" x14ac:dyDescent="0.25">
      <c r="A3657" s="6">
        <v>44748</v>
      </c>
      <c r="B3657" t="s">
        <v>26</v>
      </c>
      <c r="C3657">
        <v>69966</v>
      </c>
      <c r="D3657" t="s">
        <v>1081</v>
      </c>
      <c r="E3657" s="7">
        <v>858</v>
      </c>
      <c r="F3657" t="s">
        <v>20</v>
      </c>
      <c r="G3657" t="s">
        <v>21</v>
      </c>
      <c r="H3657" t="str">
        <f>"39224"</f>
        <v>39224</v>
      </c>
      <c r="I3657" t="str">
        <f>"PINNACLE PEST DEFENSE"</f>
        <v>PINNACLE PEST DEFENSE</v>
      </c>
    </row>
    <row r="3658" spans="1:9" x14ac:dyDescent="0.25">
      <c r="A3658" s="6">
        <v>44748</v>
      </c>
      <c r="B3658" t="s">
        <v>26</v>
      </c>
      <c r="C3658">
        <v>69967</v>
      </c>
      <c r="D3658" t="s">
        <v>987</v>
      </c>
      <c r="E3658" s="7">
        <v>5105</v>
      </c>
      <c r="F3658" t="s">
        <v>20</v>
      </c>
      <c r="G3658" t="s">
        <v>21</v>
      </c>
      <c r="H3658" t="str">
        <f>"INV841129"</f>
        <v>INV841129</v>
      </c>
      <c r="I3658" t="str">
        <f>"SPORTS COMPLEX"</f>
        <v>SPORTS COMPLEX</v>
      </c>
    </row>
    <row r="3659" spans="1:9" x14ac:dyDescent="0.25">
      <c r="A3659" s="6">
        <v>44748</v>
      </c>
      <c r="B3659" t="s">
        <v>26</v>
      </c>
      <c r="C3659">
        <v>69968</v>
      </c>
      <c r="D3659" t="s">
        <v>248</v>
      </c>
      <c r="E3659" s="7">
        <v>180</v>
      </c>
      <c r="F3659" t="s">
        <v>20</v>
      </c>
      <c r="G3659" t="s">
        <v>21</v>
      </c>
      <c r="H3659" t="str">
        <f>"1020888589"</f>
        <v>1020888589</v>
      </c>
      <c r="I3659" t="str">
        <f>"PITNEY BOWES"</f>
        <v>PITNEY BOWES</v>
      </c>
    </row>
    <row r="3660" spans="1:9" x14ac:dyDescent="0.25">
      <c r="A3660" s="6">
        <v>44748</v>
      </c>
      <c r="B3660" t="s">
        <v>26</v>
      </c>
      <c r="C3660">
        <v>69969</v>
      </c>
      <c r="D3660" t="s">
        <v>184</v>
      </c>
      <c r="E3660" s="7">
        <v>828</v>
      </c>
      <c r="F3660" t="s">
        <v>20</v>
      </c>
      <c r="G3660" t="s">
        <v>21</v>
      </c>
      <c r="H3660" t="str">
        <f>"1067-421"</f>
        <v>1067-421</v>
      </c>
      <c r="I3660" t="str">
        <f>"POLLUTION CONTROL SERVICES"</f>
        <v>POLLUTION CONTROL SERVICES</v>
      </c>
    </row>
    <row r="3661" spans="1:9" x14ac:dyDescent="0.25">
      <c r="A3661" s="6">
        <v>44748</v>
      </c>
      <c r="B3661" t="s">
        <v>26</v>
      </c>
      <c r="C3661">
        <v>69969</v>
      </c>
      <c r="D3661" t="s">
        <v>184</v>
      </c>
      <c r="E3661" s="7">
        <v>252</v>
      </c>
      <c r="F3661" t="s">
        <v>20</v>
      </c>
      <c r="G3661" t="s">
        <v>21</v>
      </c>
      <c r="H3661" t="str">
        <f>"1067-422"</f>
        <v>1067-422</v>
      </c>
      <c r="I3661" t="str">
        <f>"POLLUTION CONTROL SERVICES"</f>
        <v>POLLUTION CONTROL SERVICES</v>
      </c>
    </row>
    <row r="3662" spans="1:9" x14ac:dyDescent="0.25">
      <c r="A3662" s="6">
        <v>44748</v>
      </c>
      <c r="B3662" t="s">
        <v>26</v>
      </c>
      <c r="C3662">
        <v>69970</v>
      </c>
      <c r="D3662" t="s">
        <v>1037</v>
      </c>
      <c r="E3662" s="7">
        <v>315</v>
      </c>
      <c r="F3662" t="s">
        <v>20</v>
      </c>
      <c r="G3662" t="s">
        <v>21</v>
      </c>
      <c r="H3662" t="str">
        <f>"CELEBRATE AMER'22"</f>
        <v>CELEBRATE AMER'22</v>
      </c>
      <c r="I3662" t="str">
        <f>"RALPH SUNIGA"</f>
        <v>RALPH SUNIGA</v>
      </c>
    </row>
    <row r="3663" spans="1:9" x14ac:dyDescent="0.25">
      <c r="A3663" s="6">
        <v>44748</v>
      </c>
      <c r="B3663" t="s">
        <v>26</v>
      </c>
      <c r="C3663">
        <v>69971</v>
      </c>
      <c r="D3663" t="s">
        <v>1193</v>
      </c>
      <c r="E3663" s="7">
        <v>315</v>
      </c>
      <c r="F3663" t="s">
        <v>20</v>
      </c>
      <c r="G3663" t="s">
        <v>21</v>
      </c>
      <c r="H3663" t="str">
        <f>"CELEBRATE AMER'22"</f>
        <v>CELEBRATE AMER'22</v>
      </c>
      <c r="I3663" t="str">
        <f>"RUBEN SANCHEZ"</f>
        <v>RUBEN SANCHEZ</v>
      </c>
    </row>
    <row r="3664" spans="1:9" x14ac:dyDescent="0.25">
      <c r="A3664" s="6">
        <v>44748</v>
      </c>
      <c r="B3664" t="s">
        <v>26</v>
      </c>
      <c r="C3664">
        <v>69972</v>
      </c>
      <c r="D3664" t="s">
        <v>185</v>
      </c>
      <c r="E3664" s="7">
        <v>682.26</v>
      </c>
      <c r="F3664" t="s">
        <v>20</v>
      </c>
      <c r="G3664" t="s">
        <v>21</v>
      </c>
      <c r="H3664" t="str">
        <f>"858166"</f>
        <v>858166</v>
      </c>
      <c r="I3664" t="str">
        <f>"PD UNIT"</f>
        <v>PD UNIT</v>
      </c>
    </row>
    <row r="3665" spans="1:9" x14ac:dyDescent="0.25">
      <c r="A3665" s="6">
        <v>44748</v>
      </c>
      <c r="B3665" t="s">
        <v>26</v>
      </c>
      <c r="C3665">
        <v>69973</v>
      </c>
      <c r="D3665" t="s">
        <v>698</v>
      </c>
      <c r="E3665" s="7">
        <v>193.33</v>
      </c>
      <c r="F3665" t="s">
        <v>20</v>
      </c>
      <c r="G3665" t="s">
        <v>21</v>
      </c>
      <c r="H3665" t="str">
        <f>"CELEBRATE AMER'22"</f>
        <v>CELEBRATE AMER'22</v>
      </c>
      <c r="I3665" t="str">
        <f>"TRACY ORTIZ"</f>
        <v>TRACY ORTIZ</v>
      </c>
    </row>
    <row r="3666" spans="1:9" x14ac:dyDescent="0.25">
      <c r="A3666" s="6">
        <v>44748</v>
      </c>
      <c r="B3666" t="s">
        <v>26</v>
      </c>
      <c r="C3666">
        <v>69974</v>
      </c>
      <c r="D3666" t="s">
        <v>644</v>
      </c>
      <c r="E3666" s="7">
        <v>29.89</v>
      </c>
      <c r="F3666" t="s">
        <v>20</v>
      </c>
      <c r="G3666" t="s">
        <v>21</v>
      </c>
      <c r="H3666" t="str">
        <f>"8213738877"</f>
        <v>8213738877</v>
      </c>
      <c r="I3666" t="str">
        <f t="shared" ref="I3666:I3682" si="85">"UNIFIRST CORPORATION"</f>
        <v>UNIFIRST CORPORATION</v>
      </c>
    </row>
    <row r="3667" spans="1:9" x14ac:dyDescent="0.25">
      <c r="A3667" s="6">
        <v>44748</v>
      </c>
      <c r="B3667" t="s">
        <v>26</v>
      </c>
      <c r="C3667">
        <v>69974</v>
      </c>
      <c r="D3667" t="s">
        <v>644</v>
      </c>
      <c r="E3667" s="7">
        <v>153</v>
      </c>
      <c r="F3667" t="s">
        <v>20</v>
      </c>
      <c r="G3667" t="s">
        <v>21</v>
      </c>
      <c r="H3667" t="str">
        <f>"8213738878"</f>
        <v>8213738878</v>
      </c>
      <c r="I3667" t="str">
        <f t="shared" si="85"/>
        <v>UNIFIRST CORPORATION</v>
      </c>
    </row>
    <row r="3668" spans="1:9" x14ac:dyDescent="0.25">
      <c r="A3668" s="6">
        <v>44748</v>
      </c>
      <c r="B3668" t="s">
        <v>26</v>
      </c>
      <c r="C3668">
        <v>69974</v>
      </c>
      <c r="D3668" t="s">
        <v>644</v>
      </c>
      <c r="E3668" s="7">
        <v>122.09</v>
      </c>
      <c r="F3668" t="s">
        <v>20</v>
      </c>
      <c r="G3668" t="s">
        <v>21</v>
      </c>
      <c r="H3668" t="str">
        <f>"8213738879"</f>
        <v>8213738879</v>
      </c>
      <c r="I3668" t="str">
        <f t="shared" si="85"/>
        <v>UNIFIRST CORPORATION</v>
      </c>
    </row>
    <row r="3669" spans="1:9" x14ac:dyDescent="0.25">
      <c r="A3669" s="6">
        <v>44748</v>
      </c>
      <c r="B3669" t="s">
        <v>26</v>
      </c>
      <c r="C3669">
        <v>69974</v>
      </c>
      <c r="D3669" t="s">
        <v>644</v>
      </c>
      <c r="E3669" s="7">
        <v>252.44</v>
      </c>
      <c r="F3669" t="s">
        <v>20</v>
      </c>
      <c r="G3669" t="s">
        <v>21</v>
      </c>
      <c r="H3669" t="str">
        <f>"8213738881"</f>
        <v>8213738881</v>
      </c>
      <c r="I3669" t="str">
        <f t="shared" si="85"/>
        <v>UNIFIRST CORPORATION</v>
      </c>
    </row>
    <row r="3670" spans="1:9" x14ac:dyDescent="0.25">
      <c r="A3670" s="6">
        <v>44748</v>
      </c>
      <c r="B3670" t="s">
        <v>26</v>
      </c>
      <c r="C3670">
        <v>69974</v>
      </c>
      <c r="D3670" t="s">
        <v>644</v>
      </c>
      <c r="E3670" s="7">
        <v>30.29</v>
      </c>
      <c r="F3670" t="s">
        <v>20</v>
      </c>
      <c r="G3670" t="s">
        <v>21</v>
      </c>
      <c r="H3670" t="str">
        <f>"8213738882"</f>
        <v>8213738882</v>
      </c>
      <c r="I3670" t="str">
        <f t="shared" si="85"/>
        <v>UNIFIRST CORPORATION</v>
      </c>
    </row>
    <row r="3671" spans="1:9" x14ac:dyDescent="0.25">
      <c r="A3671" s="6">
        <v>44748</v>
      </c>
      <c r="B3671" t="s">
        <v>26</v>
      </c>
      <c r="C3671">
        <v>69974</v>
      </c>
      <c r="D3671" t="s">
        <v>644</v>
      </c>
      <c r="E3671" s="7">
        <v>201.97</v>
      </c>
      <c r="F3671" t="s">
        <v>20</v>
      </c>
      <c r="G3671" t="s">
        <v>21</v>
      </c>
      <c r="H3671" t="str">
        <f>"8213744078"</f>
        <v>8213744078</v>
      </c>
      <c r="I3671" t="str">
        <f t="shared" si="85"/>
        <v>UNIFIRST CORPORATION</v>
      </c>
    </row>
    <row r="3672" spans="1:9" x14ac:dyDescent="0.25">
      <c r="A3672" s="6">
        <v>44748</v>
      </c>
      <c r="B3672" t="s">
        <v>26</v>
      </c>
      <c r="C3672">
        <v>69974</v>
      </c>
      <c r="D3672" t="s">
        <v>644</v>
      </c>
      <c r="E3672" s="7">
        <v>29.49</v>
      </c>
      <c r="F3672" t="s">
        <v>20</v>
      </c>
      <c r="G3672" t="s">
        <v>21</v>
      </c>
      <c r="H3672" t="str">
        <f>"8213744079"</f>
        <v>8213744079</v>
      </c>
      <c r="I3672" t="str">
        <f t="shared" si="85"/>
        <v>UNIFIRST CORPORATION</v>
      </c>
    </row>
    <row r="3673" spans="1:9" x14ac:dyDescent="0.25">
      <c r="A3673" s="6">
        <v>44748</v>
      </c>
      <c r="B3673" t="s">
        <v>26</v>
      </c>
      <c r="C3673">
        <v>69974</v>
      </c>
      <c r="D3673" t="s">
        <v>644</v>
      </c>
      <c r="E3673" s="7">
        <v>211.14</v>
      </c>
      <c r="F3673" t="s">
        <v>20</v>
      </c>
      <c r="G3673" t="s">
        <v>21</v>
      </c>
      <c r="H3673" t="str">
        <f>"8213744080"</f>
        <v>8213744080</v>
      </c>
      <c r="I3673" t="str">
        <f t="shared" si="85"/>
        <v>UNIFIRST CORPORATION</v>
      </c>
    </row>
    <row r="3674" spans="1:9" x14ac:dyDescent="0.25">
      <c r="A3674" s="6">
        <v>44748</v>
      </c>
      <c r="B3674" t="s">
        <v>26</v>
      </c>
      <c r="C3674">
        <v>69974</v>
      </c>
      <c r="D3674" t="s">
        <v>644</v>
      </c>
      <c r="E3674" s="7">
        <v>105.75</v>
      </c>
      <c r="F3674" t="s">
        <v>20</v>
      </c>
      <c r="G3674" t="s">
        <v>21</v>
      </c>
      <c r="H3674" t="str">
        <f>"8213744081"</f>
        <v>8213744081</v>
      </c>
      <c r="I3674" t="str">
        <f t="shared" si="85"/>
        <v>UNIFIRST CORPORATION</v>
      </c>
    </row>
    <row r="3675" spans="1:9" x14ac:dyDescent="0.25">
      <c r="A3675" s="6">
        <v>44748</v>
      </c>
      <c r="B3675" t="s">
        <v>26</v>
      </c>
      <c r="C3675">
        <v>69974</v>
      </c>
      <c r="D3675" t="s">
        <v>644</v>
      </c>
      <c r="E3675" s="7">
        <v>125.32</v>
      </c>
      <c r="F3675" t="s">
        <v>20</v>
      </c>
      <c r="G3675" t="s">
        <v>21</v>
      </c>
      <c r="H3675" t="str">
        <f>"8213744083"</f>
        <v>8213744083</v>
      </c>
      <c r="I3675" t="str">
        <f t="shared" si="85"/>
        <v>UNIFIRST CORPORATION</v>
      </c>
    </row>
    <row r="3676" spans="1:9" x14ac:dyDescent="0.25">
      <c r="A3676" s="6">
        <v>44748</v>
      </c>
      <c r="B3676" t="s">
        <v>26</v>
      </c>
      <c r="C3676">
        <v>69974</v>
      </c>
      <c r="D3676" t="s">
        <v>644</v>
      </c>
      <c r="E3676" s="7">
        <v>29.49</v>
      </c>
      <c r="F3676" t="s">
        <v>20</v>
      </c>
      <c r="G3676" t="s">
        <v>21</v>
      </c>
      <c r="H3676" t="str">
        <f>"8213744084"</f>
        <v>8213744084</v>
      </c>
      <c r="I3676" t="str">
        <f t="shared" si="85"/>
        <v>UNIFIRST CORPORATION</v>
      </c>
    </row>
    <row r="3677" spans="1:9" x14ac:dyDescent="0.25">
      <c r="A3677" s="6">
        <v>44748</v>
      </c>
      <c r="B3677" t="s">
        <v>26</v>
      </c>
      <c r="C3677">
        <v>69974</v>
      </c>
      <c r="D3677" t="s">
        <v>644</v>
      </c>
      <c r="E3677" s="7">
        <v>120.02</v>
      </c>
      <c r="F3677" t="s">
        <v>20</v>
      </c>
      <c r="G3677" t="s">
        <v>21</v>
      </c>
      <c r="H3677" t="str">
        <f>"8213746705"</f>
        <v>8213746705</v>
      </c>
      <c r="I3677" t="str">
        <f t="shared" si="85"/>
        <v>UNIFIRST CORPORATION</v>
      </c>
    </row>
    <row r="3678" spans="1:9" x14ac:dyDescent="0.25">
      <c r="A3678" s="6">
        <v>44748</v>
      </c>
      <c r="B3678" t="s">
        <v>26</v>
      </c>
      <c r="C3678">
        <v>69974</v>
      </c>
      <c r="D3678" t="s">
        <v>644</v>
      </c>
      <c r="E3678" s="7">
        <v>29.49</v>
      </c>
      <c r="F3678" t="s">
        <v>20</v>
      </c>
      <c r="G3678" t="s">
        <v>21</v>
      </c>
      <c r="H3678" t="str">
        <f>"8213746706"</f>
        <v>8213746706</v>
      </c>
      <c r="I3678" t="str">
        <f t="shared" si="85"/>
        <v>UNIFIRST CORPORATION</v>
      </c>
    </row>
    <row r="3679" spans="1:9" x14ac:dyDescent="0.25">
      <c r="A3679" s="6">
        <v>44748</v>
      </c>
      <c r="B3679" t="s">
        <v>26</v>
      </c>
      <c r="C3679">
        <v>69974</v>
      </c>
      <c r="D3679" t="s">
        <v>644</v>
      </c>
      <c r="E3679" s="7">
        <v>129.19</v>
      </c>
      <c r="F3679" t="s">
        <v>20</v>
      </c>
      <c r="G3679" t="s">
        <v>21</v>
      </c>
      <c r="H3679" t="str">
        <f>"8213746707"</f>
        <v>8213746707</v>
      </c>
      <c r="I3679" t="str">
        <f t="shared" si="85"/>
        <v>UNIFIRST CORPORATION</v>
      </c>
    </row>
    <row r="3680" spans="1:9" x14ac:dyDescent="0.25">
      <c r="A3680" s="6">
        <v>44748</v>
      </c>
      <c r="B3680" t="s">
        <v>26</v>
      </c>
      <c r="C3680">
        <v>69974</v>
      </c>
      <c r="D3680" t="s">
        <v>644</v>
      </c>
      <c r="E3680" s="7">
        <v>29.49</v>
      </c>
      <c r="F3680" t="s">
        <v>20</v>
      </c>
      <c r="G3680" t="s">
        <v>21</v>
      </c>
      <c r="H3680" t="str">
        <f>"8213746708"</f>
        <v>8213746708</v>
      </c>
      <c r="I3680" t="str">
        <f t="shared" si="85"/>
        <v>UNIFIRST CORPORATION</v>
      </c>
    </row>
    <row r="3681" spans="1:9" x14ac:dyDescent="0.25">
      <c r="A3681" s="6">
        <v>44748</v>
      </c>
      <c r="B3681" t="s">
        <v>26</v>
      </c>
      <c r="C3681">
        <v>69974</v>
      </c>
      <c r="D3681" t="s">
        <v>644</v>
      </c>
      <c r="E3681" s="7">
        <v>211.14</v>
      </c>
      <c r="F3681" t="s">
        <v>20</v>
      </c>
      <c r="G3681" t="s">
        <v>21</v>
      </c>
      <c r="H3681" t="str">
        <f>"8213746710"</f>
        <v>8213746710</v>
      </c>
      <c r="I3681" t="str">
        <f t="shared" si="85"/>
        <v>UNIFIRST CORPORATION</v>
      </c>
    </row>
    <row r="3682" spans="1:9" x14ac:dyDescent="0.25">
      <c r="A3682" s="6">
        <v>44748</v>
      </c>
      <c r="B3682" t="s">
        <v>26</v>
      </c>
      <c r="C3682">
        <v>69974</v>
      </c>
      <c r="D3682" t="s">
        <v>644</v>
      </c>
      <c r="E3682" s="7">
        <v>143.88999999999999</v>
      </c>
      <c r="F3682" t="s">
        <v>20</v>
      </c>
      <c r="G3682" t="s">
        <v>21</v>
      </c>
      <c r="H3682" t="str">
        <f>"8213746711"</f>
        <v>8213746711</v>
      </c>
      <c r="I3682" t="str">
        <f t="shared" si="85"/>
        <v>UNIFIRST CORPORATION</v>
      </c>
    </row>
    <row r="3683" spans="1:9" x14ac:dyDescent="0.25">
      <c r="A3683" s="6">
        <v>44748</v>
      </c>
      <c r="B3683" t="s">
        <v>26</v>
      </c>
      <c r="C3683">
        <v>69978</v>
      </c>
      <c r="D3683" t="s">
        <v>122</v>
      </c>
      <c r="E3683" s="7">
        <v>20</v>
      </c>
      <c r="F3683" t="s">
        <v>20</v>
      </c>
      <c r="G3683" t="s">
        <v>21</v>
      </c>
      <c r="H3683" t="str">
        <f>"004691"</f>
        <v>004691</v>
      </c>
      <c r="I3683" t="str">
        <f t="shared" ref="I3683:I3688" si="86">"VILLA TIRES"</f>
        <v>VILLA TIRES</v>
      </c>
    </row>
    <row r="3684" spans="1:9" x14ac:dyDescent="0.25">
      <c r="A3684" s="6">
        <v>44748</v>
      </c>
      <c r="B3684" t="s">
        <v>26</v>
      </c>
      <c r="C3684">
        <v>69978</v>
      </c>
      <c r="D3684" t="s">
        <v>122</v>
      </c>
      <c r="E3684" s="7">
        <v>10</v>
      </c>
      <c r="F3684" t="s">
        <v>20</v>
      </c>
      <c r="G3684" t="s">
        <v>21</v>
      </c>
      <c r="H3684" t="str">
        <f>"004695"</f>
        <v>004695</v>
      </c>
      <c r="I3684" t="str">
        <f t="shared" si="86"/>
        <v>VILLA TIRES</v>
      </c>
    </row>
    <row r="3685" spans="1:9" x14ac:dyDescent="0.25">
      <c r="A3685" s="6">
        <v>44748</v>
      </c>
      <c r="B3685" t="s">
        <v>26</v>
      </c>
      <c r="C3685">
        <v>69978</v>
      </c>
      <c r="D3685" t="s">
        <v>122</v>
      </c>
      <c r="E3685" s="7">
        <v>10</v>
      </c>
      <c r="F3685" t="s">
        <v>20</v>
      </c>
      <c r="G3685" t="s">
        <v>21</v>
      </c>
      <c r="H3685" t="str">
        <f>"6/17/22"</f>
        <v>6/17/22</v>
      </c>
      <c r="I3685" t="str">
        <f t="shared" si="86"/>
        <v>VILLA TIRES</v>
      </c>
    </row>
    <row r="3686" spans="1:9" x14ac:dyDescent="0.25">
      <c r="A3686" s="6">
        <v>44748</v>
      </c>
      <c r="B3686" t="s">
        <v>26</v>
      </c>
      <c r="C3686">
        <v>69978</v>
      </c>
      <c r="D3686" t="s">
        <v>122</v>
      </c>
      <c r="E3686" s="7">
        <v>75</v>
      </c>
      <c r="F3686" t="s">
        <v>20</v>
      </c>
      <c r="G3686" t="s">
        <v>21</v>
      </c>
      <c r="H3686" t="str">
        <f>"902057"</f>
        <v>902057</v>
      </c>
      <c r="I3686" t="str">
        <f t="shared" si="86"/>
        <v>VILLA TIRES</v>
      </c>
    </row>
    <row r="3687" spans="1:9" x14ac:dyDescent="0.25">
      <c r="A3687" s="6">
        <v>44748</v>
      </c>
      <c r="B3687" t="s">
        <v>26</v>
      </c>
      <c r="C3687">
        <v>69978</v>
      </c>
      <c r="D3687" t="s">
        <v>122</v>
      </c>
      <c r="E3687" s="7">
        <v>15</v>
      </c>
      <c r="F3687" t="s">
        <v>20</v>
      </c>
      <c r="G3687" t="s">
        <v>21</v>
      </c>
      <c r="H3687" t="str">
        <f>"902059"</f>
        <v>902059</v>
      </c>
      <c r="I3687" t="str">
        <f t="shared" si="86"/>
        <v>VILLA TIRES</v>
      </c>
    </row>
    <row r="3688" spans="1:9" x14ac:dyDescent="0.25">
      <c r="A3688" s="6">
        <v>44748</v>
      </c>
      <c r="B3688" t="s">
        <v>26</v>
      </c>
      <c r="C3688">
        <v>69978</v>
      </c>
      <c r="D3688" t="s">
        <v>122</v>
      </c>
      <c r="E3688" s="7">
        <v>80</v>
      </c>
      <c r="F3688" t="s">
        <v>20</v>
      </c>
      <c r="G3688" t="s">
        <v>21</v>
      </c>
      <c r="H3688" t="str">
        <f>"902062"</f>
        <v>902062</v>
      </c>
      <c r="I3688" t="str">
        <f t="shared" si="86"/>
        <v>VILLA TIRES</v>
      </c>
    </row>
    <row r="3689" spans="1:9" x14ac:dyDescent="0.25">
      <c r="A3689" s="6">
        <v>44748</v>
      </c>
      <c r="B3689" t="s">
        <v>26</v>
      </c>
      <c r="C3689">
        <v>69979</v>
      </c>
      <c r="D3689" t="s">
        <v>202</v>
      </c>
      <c r="E3689" s="7">
        <v>2365.2600000000002</v>
      </c>
      <c r="F3689" t="s">
        <v>20</v>
      </c>
      <c r="G3689" t="s">
        <v>21</v>
      </c>
      <c r="H3689" t="str">
        <f>"62481400"</f>
        <v>62481400</v>
      </c>
      <c r="I3689" t="str">
        <f>"VULCAN CONSTRUCTION MATERIALS"</f>
        <v>VULCAN CONSTRUCTION MATERIALS</v>
      </c>
    </row>
    <row r="3690" spans="1:9" x14ac:dyDescent="0.25">
      <c r="A3690" s="6">
        <v>44748</v>
      </c>
      <c r="B3690" t="s">
        <v>26</v>
      </c>
      <c r="C3690">
        <v>69980</v>
      </c>
      <c r="D3690" t="s">
        <v>1243</v>
      </c>
      <c r="E3690" s="7">
        <v>200</v>
      </c>
      <c r="F3690" t="s">
        <v>20</v>
      </c>
      <c r="G3690" t="s">
        <v>21</v>
      </c>
      <c r="H3690" t="str">
        <f>"REFUND 6/29/2022"</f>
        <v>REFUND 6/29/2022</v>
      </c>
      <c r="I3690" t="str">
        <f>"REFUND"</f>
        <v>REFUND</v>
      </c>
    </row>
    <row r="3691" spans="1:9" x14ac:dyDescent="0.25">
      <c r="A3691" s="6">
        <v>44749</v>
      </c>
      <c r="B3691" t="s">
        <v>26</v>
      </c>
      <c r="C3691">
        <v>69981</v>
      </c>
      <c r="D3691" t="s">
        <v>1235</v>
      </c>
      <c r="E3691" s="7">
        <v>38.28</v>
      </c>
      <c r="F3691" t="s">
        <v>20</v>
      </c>
      <c r="G3691" t="s">
        <v>21</v>
      </c>
      <c r="H3691" t="str">
        <f>"MILEAGE 6/29/2022"</f>
        <v>MILEAGE 6/29/2022</v>
      </c>
      <c r="I3691" t="str">
        <f>"RUTH VELIZ"</f>
        <v>RUTH VELIZ</v>
      </c>
    </row>
    <row r="3692" spans="1:9" x14ac:dyDescent="0.25">
      <c r="A3692" s="6">
        <v>44749</v>
      </c>
      <c r="B3692" t="s">
        <v>26</v>
      </c>
      <c r="C3692">
        <v>69982</v>
      </c>
      <c r="D3692" t="s">
        <v>1244</v>
      </c>
      <c r="E3692" s="7">
        <v>90</v>
      </c>
      <c r="F3692" t="s">
        <v>20</v>
      </c>
      <c r="G3692" t="s">
        <v>21</v>
      </c>
      <c r="H3692" t="str">
        <f>"CELEBRATE AMER'22"</f>
        <v>CELEBRATE AMER'22</v>
      </c>
      <c r="I3692" t="str">
        <f>"DESIREE MATA"</f>
        <v>DESIREE MATA</v>
      </c>
    </row>
    <row r="3693" spans="1:9" x14ac:dyDescent="0.25">
      <c r="A3693" s="6">
        <v>44749</v>
      </c>
      <c r="B3693" t="s">
        <v>26</v>
      </c>
      <c r="C3693">
        <v>69983</v>
      </c>
      <c r="D3693" t="s">
        <v>1245</v>
      </c>
      <c r="E3693" s="7">
        <v>90</v>
      </c>
      <c r="F3693" t="s">
        <v>20</v>
      </c>
      <c r="G3693" t="s">
        <v>21</v>
      </c>
      <c r="H3693" t="str">
        <f>"CELEBRATE AMER'22"</f>
        <v>CELEBRATE AMER'22</v>
      </c>
      <c r="I3693" t="str">
        <f>"AMERY OROSCO"</f>
        <v>AMERY OROSCO</v>
      </c>
    </row>
    <row r="3694" spans="1:9" x14ac:dyDescent="0.25">
      <c r="A3694" s="6">
        <v>44749</v>
      </c>
      <c r="B3694" t="s">
        <v>26</v>
      </c>
      <c r="C3694">
        <v>69984</v>
      </c>
      <c r="D3694" t="s">
        <v>36</v>
      </c>
      <c r="E3694" s="7">
        <v>75</v>
      </c>
      <c r="F3694" t="s">
        <v>20</v>
      </c>
      <c r="G3694" t="s">
        <v>21</v>
      </c>
      <c r="H3694" t="str">
        <f>"072022-MONTHLY"</f>
        <v>072022-MONTHLY</v>
      </c>
      <c r="I3694" t="str">
        <f>""</f>
        <v/>
      </c>
    </row>
    <row r="3695" spans="1:9" x14ac:dyDescent="0.25">
      <c r="A3695" s="6">
        <v>44749</v>
      </c>
      <c r="B3695" t="s">
        <v>26</v>
      </c>
      <c r="C3695">
        <v>69985</v>
      </c>
      <c r="D3695" t="s">
        <v>38</v>
      </c>
      <c r="E3695" s="7">
        <v>100</v>
      </c>
      <c r="F3695" t="s">
        <v>20</v>
      </c>
      <c r="G3695" t="s">
        <v>21</v>
      </c>
      <c r="H3695" t="str">
        <f>"072022-MONTHLY"</f>
        <v>072022-MONTHLY</v>
      </c>
      <c r="I3695" t="str">
        <f>""</f>
        <v/>
      </c>
    </row>
    <row r="3696" spans="1:9" x14ac:dyDescent="0.25">
      <c r="A3696" s="6">
        <v>44749</v>
      </c>
      <c r="B3696" t="s">
        <v>26</v>
      </c>
      <c r="C3696">
        <v>69986</v>
      </c>
      <c r="D3696" t="s">
        <v>558</v>
      </c>
      <c r="E3696" s="7">
        <v>75</v>
      </c>
      <c r="F3696" t="s">
        <v>20</v>
      </c>
      <c r="G3696" t="s">
        <v>21</v>
      </c>
      <c r="H3696" t="str">
        <f>"072022-MONTHLY"</f>
        <v>072022-MONTHLY</v>
      </c>
      <c r="I3696" t="str">
        <f>""</f>
        <v/>
      </c>
    </row>
    <row r="3697" spans="1:9" x14ac:dyDescent="0.25">
      <c r="A3697" s="6">
        <v>44749</v>
      </c>
      <c r="B3697" t="s">
        <v>26</v>
      </c>
      <c r="C3697">
        <v>69987</v>
      </c>
      <c r="D3697" t="s">
        <v>836</v>
      </c>
      <c r="E3697" s="7">
        <v>4462.3999999999996</v>
      </c>
      <c r="F3697" t="s">
        <v>20</v>
      </c>
      <c r="G3697" t="s">
        <v>21</v>
      </c>
      <c r="H3697" t="str">
        <f>"86828"</f>
        <v>86828</v>
      </c>
      <c r="I3697" t="str">
        <f t="shared" ref="I3697:I3702" si="87">"BARCOM TECHNOLOGY SOLUTIONS  I"</f>
        <v>BARCOM TECHNOLOGY SOLUTIONS  I</v>
      </c>
    </row>
    <row r="3698" spans="1:9" x14ac:dyDescent="0.25">
      <c r="A3698" s="6">
        <v>44749</v>
      </c>
      <c r="B3698" t="s">
        <v>26</v>
      </c>
      <c r="C3698">
        <v>69987</v>
      </c>
      <c r="D3698" t="s">
        <v>836</v>
      </c>
      <c r="E3698" s="7">
        <v>1393.48</v>
      </c>
      <c r="F3698" t="s">
        <v>20</v>
      </c>
      <c r="G3698" t="s">
        <v>21</v>
      </c>
      <c r="H3698" t="str">
        <f>"86829"</f>
        <v>86829</v>
      </c>
      <c r="I3698" t="str">
        <f t="shared" si="87"/>
        <v>BARCOM TECHNOLOGY SOLUTIONS  I</v>
      </c>
    </row>
    <row r="3699" spans="1:9" x14ac:dyDescent="0.25">
      <c r="A3699" s="6">
        <v>44749</v>
      </c>
      <c r="B3699" t="s">
        <v>26</v>
      </c>
      <c r="C3699">
        <v>69987</v>
      </c>
      <c r="D3699" t="s">
        <v>836</v>
      </c>
      <c r="E3699" s="7">
        <v>17</v>
      </c>
      <c r="F3699" t="s">
        <v>20</v>
      </c>
      <c r="G3699" t="s">
        <v>21</v>
      </c>
      <c r="H3699" t="str">
        <f>"86830"</f>
        <v>86830</v>
      </c>
      <c r="I3699" t="str">
        <f t="shared" si="87"/>
        <v>BARCOM TECHNOLOGY SOLUTIONS  I</v>
      </c>
    </row>
    <row r="3700" spans="1:9" x14ac:dyDescent="0.25">
      <c r="A3700" s="6">
        <v>44749</v>
      </c>
      <c r="B3700" t="s">
        <v>26</v>
      </c>
      <c r="C3700">
        <v>69987</v>
      </c>
      <c r="D3700" t="s">
        <v>836</v>
      </c>
      <c r="E3700" s="7">
        <v>17</v>
      </c>
      <c r="F3700" t="s">
        <v>20</v>
      </c>
      <c r="G3700" t="s">
        <v>21</v>
      </c>
      <c r="H3700" t="str">
        <f>"86831"</f>
        <v>86831</v>
      </c>
      <c r="I3700" t="str">
        <f t="shared" si="87"/>
        <v>BARCOM TECHNOLOGY SOLUTIONS  I</v>
      </c>
    </row>
    <row r="3701" spans="1:9" x14ac:dyDescent="0.25">
      <c r="A3701" s="6">
        <v>44749</v>
      </c>
      <c r="B3701" t="s">
        <v>26</v>
      </c>
      <c r="C3701">
        <v>69987</v>
      </c>
      <c r="D3701" t="s">
        <v>836</v>
      </c>
      <c r="E3701" s="7">
        <v>17</v>
      </c>
      <c r="F3701" t="s">
        <v>20</v>
      </c>
      <c r="G3701" t="s">
        <v>21</v>
      </c>
      <c r="H3701" t="str">
        <f>"86832"</f>
        <v>86832</v>
      </c>
      <c r="I3701" t="str">
        <f t="shared" si="87"/>
        <v>BARCOM TECHNOLOGY SOLUTIONS  I</v>
      </c>
    </row>
    <row r="3702" spans="1:9" x14ac:dyDescent="0.25">
      <c r="A3702" s="6">
        <v>44749</v>
      </c>
      <c r="B3702" t="s">
        <v>26</v>
      </c>
      <c r="C3702">
        <v>69987</v>
      </c>
      <c r="D3702" t="s">
        <v>836</v>
      </c>
      <c r="E3702" s="7">
        <v>17</v>
      </c>
      <c r="F3702" t="s">
        <v>20</v>
      </c>
      <c r="G3702" t="s">
        <v>21</v>
      </c>
      <c r="H3702" t="str">
        <f>"86833"</f>
        <v>86833</v>
      </c>
      <c r="I3702" t="str">
        <f t="shared" si="87"/>
        <v>BARCOM TECHNOLOGY SOLUTIONS  I</v>
      </c>
    </row>
    <row r="3703" spans="1:9" x14ac:dyDescent="0.25">
      <c r="A3703" s="6">
        <v>44749</v>
      </c>
      <c r="B3703" t="s">
        <v>26</v>
      </c>
      <c r="C3703">
        <v>69989</v>
      </c>
      <c r="D3703" t="s">
        <v>889</v>
      </c>
      <c r="E3703" s="7">
        <v>75</v>
      </c>
      <c r="F3703" t="s">
        <v>20</v>
      </c>
      <c r="G3703" t="s">
        <v>21</v>
      </c>
      <c r="H3703" t="str">
        <f>"072022-MONTHLY"</f>
        <v>072022-MONTHLY</v>
      </c>
      <c r="I3703" t="str">
        <f>""</f>
        <v/>
      </c>
    </row>
    <row r="3704" spans="1:9" x14ac:dyDescent="0.25">
      <c r="A3704" s="6">
        <v>44749</v>
      </c>
      <c r="B3704" t="s">
        <v>26</v>
      </c>
      <c r="C3704">
        <v>69990</v>
      </c>
      <c r="D3704" t="s">
        <v>1011</v>
      </c>
      <c r="E3704" s="7">
        <v>75</v>
      </c>
      <c r="F3704" t="s">
        <v>20</v>
      </c>
      <c r="G3704" t="s">
        <v>21</v>
      </c>
      <c r="H3704" t="str">
        <f>"072022-MONTHLY"</f>
        <v>072022-MONTHLY</v>
      </c>
      <c r="I3704" t="str">
        <f>""</f>
        <v/>
      </c>
    </row>
    <row r="3705" spans="1:9" x14ac:dyDescent="0.25">
      <c r="A3705" s="6">
        <v>44749</v>
      </c>
      <c r="B3705" t="s">
        <v>26</v>
      </c>
      <c r="C3705">
        <v>69991</v>
      </c>
      <c r="D3705" t="s">
        <v>1217</v>
      </c>
      <c r="E3705" s="7">
        <v>75</v>
      </c>
      <c r="F3705" t="s">
        <v>20</v>
      </c>
      <c r="G3705" t="s">
        <v>21</v>
      </c>
      <c r="H3705" t="str">
        <f>"072022-MONTHLY"</f>
        <v>072022-MONTHLY</v>
      </c>
      <c r="I3705" t="str">
        <f>""</f>
        <v/>
      </c>
    </row>
    <row r="3706" spans="1:9" x14ac:dyDescent="0.25">
      <c r="A3706" s="6">
        <v>44749</v>
      </c>
      <c r="B3706" t="s">
        <v>26</v>
      </c>
      <c r="C3706">
        <v>69992</v>
      </c>
      <c r="D3706" t="s">
        <v>335</v>
      </c>
      <c r="E3706" s="7">
        <v>1000</v>
      </c>
      <c r="F3706" t="s">
        <v>20</v>
      </c>
      <c r="G3706" t="s">
        <v>21</v>
      </c>
      <c r="H3706" t="str">
        <f>"1st RESP BENEFIT"</f>
        <v>1st RESP BENEFIT</v>
      </c>
      <c r="I3706" t="str">
        <f>"DEVIN KEEN"</f>
        <v>DEVIN KEEN</v>
      </c>
    </row>
    <row r="3707" spans="1:9" x14ac:dyDescent="0.25">
      <c r="A3707" s="6">
        <v>44749</v>
      </c>
      <c r="B3707" t="s">
        <v>26</v>
      </c>
      <c r="C3707">
        <v>69993</v>
      </c>
      <c r="D3707" t="s">
        <v>323</v>
      </c>
      <c r="E3707" s="7">
        <v>630</v>
      </c>
      <c r="F3707" t="s">
        <v>20</v>
      </c>
      <c r="G3707" t="s">
        <v>21</v>
      </c>
      <c r="H3707" t="str">
        <f>"11498"</f>
        <v>11498</v>
      </c>
      <c r="I3707" t="str">
        <f>"POLLOK SELF STORAGE LLC"</f>
        <v>POLLOK SELF STORAGE LLC</v>
      </c>
    </row>
    <row r="3708" spans="1:9" x14ac:dyDescent="0.25">
      <c r="A3708" s="6">
        <v>44753</v>
      </c>
      <c r="B3708" t="s">
        <v>26</v>
      </c>
      <c r="C3708">
        <v>69994</v>
      </c>
      <c r="D3708" t="s">
        <v>92</v>
      </c>
      <c r="E3708" s="7">
        <v>244.38</v>
      </c>
      <c r="F3708" t="s">
        <v>20</v>
      </c>
      <c r="G3708" t="s">
        <v>329</v>
      </c>
      <c r="H3708" t="str">
        <f>"JUNE 2022"</f>
        <v>JUNE 2022</v>
      </c>
      <c r="I3708" t="str">
        <f>"TEXAS MUNICIPAL RETIREMENT SYS"</f>
        <v>TEXAS MUNICIPAL RETIREMENT SYS</v>
      </c>
    </row>
    <row r="3709" spans="1:9" x14ac:dyDescent="0.25">
      <c r="A3709" s="6">
        <v>44753</v>
      </c>
      <c r="B3709" t="s">
        <v>26</v>
      </c>
      <c r="C3709">
        <v>69994</v>
      </c>
      <c r="D3709" t="s">
        <v>92</v>
      </c>
      <c r="E3709" s="7">
        <v>17030.11</v>
      </c>
      <c r="F3709" t="s">
        <v>20</v>
      </c>
      <c r="G3709" t="s">
        <v>21</v>
      </c>
      <c r="H3709" t="str">
        <f>"RET202205318658"</f>
        <v>RET202205318658</v>
      </c>
      <c r="I3709" t="str">
        <f>"TMRS CITY OF FLORESVILLE"</f>
        <v>TMRS CITY OF FLORESVILLE</v>
      </c>
    </row>
    <row r="3710" spans="1:9" x14ac:dyDescent="0.25">
      <c r="A3710" s="6">
        <v>44753</v>
      </c>
      <c r="B3710" t="s">
        <v>26</v>
      </c>
      <c r="C3710">
        <v>69994</v>
      </c>
      <c r="D3710" t="s">
        <v>92</v>
      </c>
      <c r="E3710" s="7">
        <v>18179.509999999998</v>
      </c>
      <c r="F3710" t="s">
        <v>20</v>
      </c>
      <c r="G3710" t="s">
        <v>21</v>
      </c>
      <c r="H3710" t="str">
        <f>"RET202206148660"</f>
        <v>RET202206148660</v>
      </c>
      <c r="I3710" t="str">
        <f>"TMRS CITY OF FLORESVILLE"</f>
        <v>TMRS CITY OF FLORESVILLE</v>
      </c>
    </row>
    <row r="3711" spans="1:9" x14ac:dyDescent="0.25">
      <c r="A3711" s="6">
        <v>44757</v>
      </c>
      <c r="B3711" t="s">
        <v>26</v>
      </c>
      <c r="C3711">
        <v>70004</v>
      </c>
      <c r="D3711" t="s">
        <v>51</v>
      </c>
      <c r="E3711" s="7">
        <v>13.85</v>
      </c>
      <c r="F3711" t="s">
        <v>20</v>
      </c>
      <c r="G3711" t="s">
        <v>21</v>
      </c>
      <c r="H3711" t="str">
        <f>"CLE202207128662"</f>
        <v>CLE202207128662</v>
      </c>
      <c r="I3711" t="str">
        <f>"CLEAT ONLY DUES"</f>
        <v>CLEAT ONLY DUES</v>
      </c>
    </row>
    <row r="3712" spans="1:9" x14ac:dyDescent="0.25">
      <c r="A3712" s="6">
        <v>44757</v>
      </c>
      <c r="B3712" t="s">
        <v>26</v>
      </c>
      <c r="C3712">
        <v>70004</v>
      </c>
      <c r="D3712" t="s">
        <v>51</v>
      </c>
      <c r="E3712" s="7">
        <v>332.46</v>
      </c>
      <c r="F3712" t="s">
        <v>20</v>
      </c>
      <c r="G3712" t="s">
        <v>21</v>
      </c>
      <c r="H3712" t="str">
        <f>"PDD202207128662"</f>
        <v>PDD202207128662</v>
      </c>
      <c r="I3712" t="str">
        <f>"POLICE OFFICERS ASSOC DUES"</f>
        <v>POLICE OFFICERS ASSOC DUES</v>
      </c>
    </row>
    <row r="3713" spans="1:9" x14ac:dyDescent="0.25">
      <c r="A3713" s="6">
        <v>44757</v>
      </c>
      <c r="B3713" t="s">
        <v>26</v>
      </c>
      <c r="C3713">
        <v>70005</v>
      </c>
      <c r="D3713" t="s">
        <v>52</v>
      </c>
      <c r="E3713" s="7">
        <v>101.25</v>
      </c>
      <c r="F3713" t="s">
        <v>20</v>
      </c>
      <c r="G3713" t="s">
        <v>21</v>
      </c>
      <c r="H3713" t="str">
        <f>"CA1202207128662"</f>
        <v>CA1202207128662</v>
      </c>
      <c r="I3713" t="str">
        <f>"K RAMIREZ 001200229510060343CV"</f>
        <v>K RAMIREZ 001200229510060343CV</v>
      </c>
    </row>
    <row r="3714" spans="1:9" x14ac:dyDescent="0.25">
      <c r="A3714" s="6">
        <v>44757</v>
      </c>
      <c r="B3714" t="s">
        <v>26</v>
      </c>
      <c r="C3714">
        <v>70005</v>
      </c>
      <c r="D3714" t="s">
        <v>52</v>
      </c>
      <c r="E3714" s="7">
        <v>101.25</v>
      </c>
      <c r="F3714" t="s">
        <v>20</v>
      </c>
      <c r="G3714" t="s">
        <v>21</v>
      </c>
      <c r="H3714" t="str">
        <f>"CA2202207128662"</f>
        <v>CA2202207128662</v>
      </c>
      <c r="I3714" t="str">
        <f>"L HERNANDEZ 001016025203080354"</f>
        <v>L HERNANDEZ 001016025203080354</v>
      </c>
    </row>
    <row r="3715" spans="1:9" x14ac:dyDescent="0.25">
      <c r="A3715" s="6">
        <v>44757</v>
      </c>
      <c r="B3715" t="s">
        <v>26</v>
      </c>
      <c r="C3715">
        <v>70005</v>
      </c>
      <c r="D3715" t="s">
        <v>52</v>
      </c>
      <c r="E3715" s="7">
        <v>101.25</v>
      </c>
      <c r="F3715" t="s">
        <v>20</v>
      </c>
      <c r="G3715" t="s">
        <v>21</v>
      </c>
      <c r="H3715" t="str">
        <f>"CA3202207128662"</f>
        <v>CA3202207128662</v>
      </c>
      <c r="I3715" t="str">
        <f>"00120788612011EM5023JOLENEGARC"</f>
        <v>00120788612011EM5023JOLENEGARC</v>
      </c>
    </row>
    <row r="3716" spans="1:9" x14ac:dyDescent="0.25">
      <c r="A3716" s="6">
        <v>44757</v>
      </c>
      <c r="B3716" t="s">
        <v>26</v>
      </c>
      <c r="C3716">
        <v>70005</v>
      </c>
      <c r="D3716" t="s">
        <v>52</v>
      </c>
      <c r="E3716" s="7">
        <v>306.45999999999998</v>
      </c>
      <c r="F3716" t="s">
        <v>20</v>
      </c>
      <c r="G3716" t="s">
        <v>21</v>
      </c>
      <c r="H3716" t="str">
        <f>"CPS202207128662"</f>
        <v>CPS202207128662</v>
      </c>
      <c r="I3716" t="str">
        <f>"G MENDOZA 00123012032010EM5054"</f>
        <v>G MENDOZA 00123012032010EM5054</v>
      </c>
    </row>
    <row r="3717" spans="1:9" x14ac:dyDescent="0.25">
      <c r="A3717" s="6">
        <v>44757</v>
      </c>
      <c r="B3717" t="s">
        <v>26</v>
      </c>
      <c r="C3717">
        <v>70005</v>
      </c>
      <c r="D3717" t="s">
        <v>52</v>
      </c>
      <c r="E3717" s="7">
        <v>101.25</v>
      </c>
      <c r="F3717" t="s">
        <v>20</v>
      </c>
      <c r="G3717" t="s">
        <v>21</v>
      </c>
      <c r="H3717" t="str">
        <f>"CSA202207128662"</f>
        <v>CSA202207128662</v>
      </c>
      <c r="I3717" t="str">
        <f>"S RODRIGUEZ 001281730413050336"</f>
        <v>S RODRIGUEZ 001281730413050336</v>
      </c>
    </row>
    <row r="3718" spans="1:9" x14ac:dyDescent="0.25">
      <c r="A3718" s="6">
        <v>44757</v>
      </c>
      <c r="B3718" t="s">
        <v>26</v>
      </c>
      <c r="C3718">
        <v>70005</v>
      </c>
      <c r="D3718" t="s">
        <v>52</v>
      </c>
      <c r="E3718" s="7">
        <v>521.54</v>
      </c>
      <c r="F3718" t="s">
        <v>20</v>
      </c>
      <c r="G3718" t="s">
        <v>21</v>
      </c>
      <c r="H3718" t="str">
        <f>"CSI202207128662"</f>
        <v>CSI202207128662</v>
      </c>
      <c r="I3718" t="str">
        <f>"KTRINIDAD0014071774CVW2000777"</f>
        <v>KTRINIDAD0014071774CVW2000777</v>
      </c>
    </row>
    <row r="3719" spans="1:9" x14ac:dyDescent="0.25">
      <c r="A3719" s="6">
        <v>44757</v>
      </c>
      <c r="B3719" t="s">
        <v>26</v>
      </c>
      <c r="C3719">
        <v>70007</v>
      </c>
      <c r="D3719" t="s">
        <v>54</v>
      </c>
      <c r="E3719" s="7">
        <v>803.43</v>
      </c>
      <c r="F3719" t="s">
        <v>20</v>
      </c>
      <c r="G3719" t="s">
        <v>21</v>
      </c>
      <c r="H3719" t="str">
        <f>"BRE202207128662"</f>
        <v>BRE202207128662</v>
      </c>
      <c r="I3719" t="str">
        <f>"CASE #180-60751 457B DEDUCT"</f>
        <v>CASE #180-60751 457B DEDUCT</v>
      </c>
    </row>
    <row r="3720" spans="1:9" x14ac:dyDescent="0.25">
      <c r="A3720" s="6">
        <v>44754</v>
      </c>
      <c r="B3720" t="s">
        <v>26</v>
      </c>
      <c r="C3720">
        <v>70008</v>
      </c>
      <c r="D3720" t="s">
        <v>97</v>
      </c>
      <c r="E3720" s="7">
        <v>-353.68</v>
      </c>
      <c r="F3720" t="s">
        <v>20</v>
      </c>
      <c r="G3720" t="s">
        <v>24</v>
      </c>
      <c r="H3720" t="str">
        <f>"JULY 2022"</f>
        <v>JULY 2022</v>
      </c>
      <c r="I3720" t="str">
        <f>"HEALTH CARE SERVICE CORPORATIO"</f>
        <v>HEALTH CARE SERVICE CORPORATIO</v>
      </c>
    </row>
    <row r="3721" spans="1:9" x14ac:dyDescent="0.25">
      <c r="A3721" s="6">
        <v>44754</v>
      </c>
      <c r="B3721" t="s">
        <v>26</v>
      </c>
      <c r="C3721">
        <v>70008</v>
      </c>
      <c r="D3721" t="s">
        <v>97</v>
      </c>
      <c r="E3721" s="7">
        <v>1120.22</v>
      </c>
      <c r="F3721" t="s">
        <v>20</v>
      </c>
      <c r="G3721" t="s">
        <v>21</v>
      </c>
      <c r="H3721" t="str">
        <f>"DEN202205318658"</f>
        <v>DEN202205318658</v>
      </c>
      <c r="I3721" t="str">
        <f>"DENTAL INSURANCE"</f>
        <v>DENTAL INSURANCE</v>
      </c>
    </row>
    <row r="3722" spans="1:9" x14ac:dyDescent="0.25">
      <c r="A3722" s="6">
        <v>44754</v>
      </c>
      <c r="B3722" t="s">
        <v>26</v>
      </c>
      <c r="C3722">
        <v>70008</v>
      </c>
      <c r="D3722" t="s">
        <v>97</v>
      </c>
      <c r="E3722" s="7">
        <v>1195.08</v>
      </c>
      <c r="F3722" t="s">
        <v>20</v>
      </c>
      <c r="G3722" t="s">
        <v>21</v>
      </c>
      <c r="H3722" t="str">
        <f>"DEN202206148660"</f>
        <v>DEN202206148660</v>
      </c>
      <c r="I3722" t="str">
        <f>"DENTAL INSURANCE"</f>
        <v>DENTAL INSURANCE</v>
      </c>
    </row>
    <row r="3723" spans="1:9" x14ac:dyDescent="0.25">
      <c r="A3723" s="6">
        <v>44754</v>
      </c>
      <c r="B3723" t="s">
        <v>26</v>
      </c>
      <c r="C3723">
        <v>70008</v>
      </c>
      <c r="D3723" t="s">
        <v>97</v>
      </c>
      <c r="E3723" s="7">
        <v>19854.61</v>
      </c>
      <c r="F3723" t="s">
        <v>20</v>
      </c>
      <c r="G3723" t="s">
        <v>21</v>
      </c>
      <c r="H3723" t="str">
        <f>"MED202205318658"</f>
        <v>MED202205318658</v>
      </c>
      <c r="I3723" t="str">
        <f>"HEALTH &amp; DENTAL INSURANCE"</f>
        <v>HEALTH &amp; DENTAL INSURANCE</v>
      </c>
    </row>
    <row r="3724" spans="1:9" x14ac:dyDescent="0.25">
      <c r="A3724" s="6">
        <v>44754</v>
      </c>
      <c r="B3724" t="s">
        <v>26</v>
      </c>
      <c r="C3724">
        <v>70008</v>
      </c>
      <c r="D3724" t="s">
        <v>97</v>
      </c>
      <c r="E3724" s="7">
        <v>20045.95</v>
      </c>
      <c r="F3724" t="s">
        <v>20</v>
      </c>
      <c r="G3724" t="s">
        <v>21</v>
      </c>
      <c r="H3724" t="str">
        <f>"MED202206148660"</f>
        <v>MED202206148660</v>
      </c>
      <c r="I3724" t="str">
        <f>"HEALTH &amp; DENTAL INSURANCE"</f>
        <v>HEALTH &amp; DENTAL INSURANCE</v>
      </c>
    </row>
    <row r="3725" spans="1:9" x14ac:dyDescent="0.25">
      <c r="A3725" s="6">
        <v>44755</v>
      </c>
      <c r="B3725" t="s">
        <v>26</v>
      </c>
      <c r="C3725">
        <v>70013</v>
      </c>
      <c r="D3725" t="s">
        <v>1074</v>
      </c>
      <c r="E3725" s="7">
        <v>406.62</v>
      </c>
      <c r="F3725" t="s">
        <v>20</v>
      </c>
      <c r="G3725" t="s">
        <v>21</v>
      </c>
      <c r="H3725" t="str">
        <f>"1Y9W-67Y6-HJW7"</f>
        <v>1Y9W-67Y6-HJW7</v>
      </c>
      <c r="I3725" t="str">
        <f>"OFFICE SUPPLIES"</f>
        <v>OFFICE SUPPLIES</v>
      </c>
    </row>
    <row r="3726" spans="1:9" x14ac:dyDescent="0.25">
      <c r="A3726" s="6">
        <v>44755</v>
      </c>
      <c r="B3726" t="s">
        <v>26</v>
      </c>
      <c r="C3726">
        <v>70014</v>
      </c>
      <c r="D3726" t="s">
        <v>139</v>
      </c>
      <c r="E3726" s="7">
        <v>65</v>
      </c>
      <c r="F3726" t="s">
        <v>20</v>
      </c>
      <c r="G3726" t="s">
        <v>21</v>
      </c>
      <c r="H3726" t="str">
        <f>"36174"</f>
        <v>36174</v>
      </c>
      <c r="I3726" t="str">
        <f>"ANGEL FIRE &amp; SAFETY"</f>
        <v>ANGEL FIRE &amp; SAFETY</v>
      </c>
    </row>
    <row r="3727" spans="1:9" x14ac:dyDescent="0.25">
      <c r="A3727" s="6">
        <v>44755</v>
      </c>
      <c r="B3727" t="s">
        <v>26</v>
      </c>
      <c r="C3727">
        <v>70015</v>
      </c>
      <c r="D3727" t="s">
        <v>195</v>
      </c>
      <c r="E3727" s="7">
        <v>1882.51</v>
      </c>
      <c r="F3727" t="s">
        <v>20</v>
      </c>
      <c r="G3727" t="s">
        <v>21</v>
      </c>
      <c r="H3727" t="str">
        <f>"INV-AIS-0005644"</f>
        <v>INV-AIS-0005644</v>
      </c>
      <c r="I3727" t="str">
        <f>"ARISTA INFORMATION SYSTEMS  IN"</f>
        <v>ARISTA INFORMATION SYSTEMS  IN</v>
      </c>
    </row>
    <row r="3728" spans="1:9" x14ac:dyDescent="0.25">
      <c r="A3728" s="6">
        <v>44755</v>
      </c>
      <c r="B3728" t="s">
        <v>26</v>
      </c>
      <c r="C3728">
        <v>70016</v>
      </c>
      <c r="D3728" t="s">
        <v>1130</v>
      </c>
      <c r="E3728" s="7">
        <v>2179.1999999999998</v>
      </c>
      <c r="F3728" t="s">
        <v>20</v>
      </c>
      <c r="G3728" t="s">
        <v>21</v>
      </c>
      <c r="H3728" t="str">
        <f>"155756"</f>
        <v>155756</v>
      </c>
      <c r="I3728" t="str">
        <f>"AZAVAR"</f>
        <v>AZAVAR</v>
      </c>
    </row>
    <row r="3729" spans="1:9" x14ac:dyDescent="0.25">
      <c r="A3729" s="6">
        <v>44755</v>
      </c>
      <c r="B3729" t="s">
        <v>26</v>
      </c>
      <c r="C3729">
        <v>70017</v>
      </c>
      <c r="D3729" t="s">
        <v>118</v>
      </c>
      <c r="E3729" s="7">
        <v>278</v>
      </c>
      <c r="F3729" t="s">
        <v>20</v>
      </c>
      <c r="G3729" t="s">
        <v>21</v>
      </c>
      <c r="H3729" t="str">
        <f>"12984"</f>
        <v>12984</v>
      </c>
      <c r="I3729" t="str">
        <f>"BRYAN AIR CONDITIONING &amp; HEATI"</f>
        <v>BRYAN AIR CONDITIONING &amp; HEATI</v>
      </c>
    </row>
    <row r="3730" spans="1:9" x14ac:dyDescent="0.25">
      <c r="A3730" s="6">
        <v>44755</v>
      </c>
      <c r="B3730" t="s">
        <v>26</v>
      </c>
      <c r="C3730">
        <v>70018</v>
      </c>
      <c r="D3730" t="s">
        <v>110</v>
      </c>
      <c r="E3730" s="7">
        <v>524.85</v>
      </c>
      <c r="F3730" t="s">
        <v>20</v>
      </c>
      <c r="G3730" t="s">
        <v>21</v>
      </c>
      <c r="H3730" t="str">
        <f>"RI-22041616"</f>
        <v>RI-22041616</v>
      </c>
      <c r="I3730" t="str">
        <f t="shared" ref="I3730:I3735" si="88">"BUREAU VERITAS NORTH AMERICA"</f>
        <v>BUREAU VERITAS NORTH AMERICA</v>
      </c>
    </row>
    <row r="3731" spans="1:9" x14ac:dyDescent="0.25">
      <c r="A3731" s="6">
        <v>44755</v>
      </c>
      <c r="B3731" t="s">
        <v>26</v>
      </c>
      <c r="C3731">
        <v>70018</v>
      </c>
      <c r="D3731" t="s">
        <v>110</v>
      </c>
      <c r="E3731" s="7">
        <v>76.92</v>
      </c>
      <c r="F3731" t="s">
        <v>20</v>
      </c>
      <c r="G3731" t="s">
        <v>21</v>
      </c>
      <c r="H3731" t="str">
        <f>"RI-22041617"</f>
        <v>RI-22041617</v>
      </c>
      <c r="I3731" t="str">
        <f t="shared" si="88"/>
        <v>BUREAU VERITAS NORTH AMERICA</v>
      </c>
    </row>
    <row r="3732" spans="1:9" x14ac:dyDescent="0.25">
      <c r="A3732" s="6">
        <v>44755</v>
      </c>
      <c r="B3732" t="s">
        <v>26</v>
      </c>
      <c r="C3732">
        <v>70018</v>
      </c>
      <c r="D3732" t="s">
        <v>110</v>
      </c>
      <c r="E3732" s="7">
        <v>76.92</v>
      </c>
      <c r="F3732" t="s">
        <v>20</v>
      </c>
      <c r="G3732" t="s">
        <v>21</v>
      </c>
      <c r="H3732" t="str">
        <f>"RI-22041618"</f>
        <v>RI-22041618</v>
      </c>
      <c r="I3732" t="str">
        <f t="shared" si="88"/>
        <v>BUREAU VERITAS NORTH AMERICA</v>
      </c>
    </row>
    <row r="3733" spans="1:9" x14ac:dyDescent="0.25">
      <c r="A3733" s="6">
        <v>44755</v>
      </c>
      <c r="B3733" t="s">
        <v>26</v>
      </c>
      <c r="C3733">
        <v>70018</v>
      </c>
      <c r="D3733" t="s">
        <v>110</v>
      </c>
      <c r="E3733" s="7">
        <v>76.92</v>
      </c>
      <c r="F3733" t="s">
        <v>20</v>
      </c>
      <c r="G3733" t="s">
        <v>21</v>
      </c>
      <c r="H3733" t="str">
        <f>"RI-22041619"</f>
        <v>RI-22041619</v>
      </c>
      <c r="I3733" t="str">
        <f t="shared" si="88"/>
        <v>BUREAU VERITAS NORTH AMERICA</v>
      </c>
    </row>
    <row r="3734" spans="1:9" x14ac:dyDescent="0.25">
      <c r="A3734" s="6">
        <v>44755</v>
      </c>
      <c r="B3734" t="s">
        <v>26</v>
      </c>
      <c r="C3734">
        <v>70018</v>
      </c>
      <c r="D3734" t="s">
        <v>110</v>
      </c>
      <c r="E3734" s="7">
        <v>76.92</v>
      </c>
      <c r="F3734" t="s">
        <v>20</v>
      </c>
      <c r="G3734" t="s">
        <v>21</v>
      </c>
      <c r="H3734" t="str">
        <f>"RI-22041620"</f>
        <v>RI-22041620</v>
      </c>
      <c r="I3734" t="str">
        <f t="shared" si="88"/>
        <v>BUREAU VERITAS NORTH AMERICA</v>
      </c>
    </row>
    <row r="3735" spans="1:9" x14ac:dyDescent="0.25">
      <c r="A3735" s="6">
        <v>44755</v>
      </c>
      <c r="B3735" t="s">
        <v>26</v>
      </c>
      <c r="C3735">
        <v>70018</v>
      </c>
      <c r="D3735" t="s">
        <v>110</v>
      </c>
      <c r="E3735" s="7">
        <v>76.92</v>
      </c>
      <c r="F3735" t="s">
        <v>20</v>
      </c>
      <c r="G3735" t="s">
        <v>21</v>
      </c>
      <c r="H3735" t="str">
        <f>"RI-22041621"</f>
        <v>RI-22041621</v>
      </c>
      <c r="I3735" t="str">
        <f t="shared" si="88"/>
        <v>BUREAU VERITAS NORTH AMERICA</v>
      </c>
    </row>
    <row r="3736" spans="1:9" x14ac:dyDescent="0.25">
      <c r="A3736" s="6">
        <v>44755</v>
      </c>
      <c r="B3736" t="s">
        <v>26</v>
      </c>
      <c r="C3736">
        <v>70019</v>
      </c>
      <c r="D3736" t="s">
        <v>71</v>
      </c>
      <c r="E3736" s="7">
        <v>700.33</v>
      </c>
      <c r="F3736" t="s">
        <v>20</v>
      </c>
      <c r="G3736" t="s">
        <v>21</v>
      </c>
      <c r="H3736" t="str">
        <f>"4124343061"</f>
        <v>4124343061</v>
      </c>
      <c r="I3736" t="str">
        <f t="shared" ref="I3736:I3741" si="89">"CINTAS CORPORATION #087"</f>
        <v>CINTAS CORPORATION #087</v>
      </c>
    </row>
    <row r="3737" spans="1:9" x14ac:dyDescent="0.25">
      <c r="A3737" s="6">
        <v>44755</v>
      </c>
      <c r="B3737" t="s">
        <v>26</v>
      </c>
      <c r="C3737">
        <v>70019</v>
      </c>
      <c r="D3737" t="s">
        <v>71</v>
      </c>
      <c r="E3737" s="7">
        <v>57.72</v>
      </c>
      <c r="F3737" t="s">
        <v>20</v>
      </c>
      <c r="G3737" t="s">
        <v>21</v>
      </c>
      <c r="H3737" t="str">
        <f>"4124343106"</f>
        <v>4124343106</v>
      </c>
      <c r="I3737" t="str">
        <f t="shared" si="89"/>
        <v>CINTAS CORPORATION #087</v>
      </c>
    </row>
    <row r="3738" spans="1:9" x14ac:dyDescent="0.25">
      <c r="A3738" s="6">
        <v>44755</v>
      </c>
      <c r="B3738" t="s">
        <v>26</v>
      </c>
      <c r="C3738">
        <v>70019</v>
      </c>
      <c r="D3738" t="s">
        <v>71</v>
      </c>
      <c r="E3738" s="7">
        <v>37.1</v>
      </c>
      <c r="F3738" t="s">
        <v>20</v>
      </c>
      <c r="G3738" t="s">
        <v>21</v>
      </c>
      <c r="H3738" t="str">
        <f>"4124343108"</f>
        <v>4124343108</v>
      </c>
      <c r="I3738" t="str">
        <f t="shared" si="89"/>
        <v>CINTAS CORPORATION #087</v>
      </c>
    </row>
    <row r="3739" spans="1:9" x14ac:dyDescent="0.25">
      <c r="A3739" s="6">
        <v>44755</v>
      </c>
      <c r="B3739" t="s">
        <v>26</v>
      </c>
      <c r="C3739">
        <v>70019</v>
      </c>
      <c r="D3739" t="s">
        <v>71</v>
      </c>
      <c r="E3739" s="7">
        <v>31.89</v>
      </c>
      <c r="F3739" t="s">
        <v>20</v>
      </c>
      <c r="G3739" t="s">
        <v>21</v>
      </c>
      <c r="H3739" t="str">
        <f>"4124343118"</f>
        <v>4124343118</v>
      </c>
      <c r="I3739" t="str">
        <f t="shared" si="89"/>
        <v>CINTAS CORPORATION #087</v>
      </c>
    </row>
    <row r="3740" spans="1:9" x14ac:dyDescent="0.25">
      <c r="A3740" s="6">
        <v>44755</v>
      </c>
      <c r="B3740" t="s">
        <v>26</v>
      </c>
      <c r="C3740">
        <v>70019</v>
      </c>
      <c r="D3740" t="s">
        <v>71</v>
      </c>
      <c r="E3740" s="7">
        <v>9.3800000000000008</v>
      </c>
      <c r="F3740" t="s">
        <v>20</v>
      </c>
      <c r="G3740" t="s">
        <v>21</v>
      </c>
      <c r="H3740" t="str">
        <f>"4124343125"</f>
        <v>4124343125</v>
      </c>
      <c r="I3740" t="str">
        <f t="shared" si="89"/>
        <v>CINTAS CORPORATION #087</v>
      </c>
    </row>
    <row r="3741" spans="1:9" x14ac:dyDescent="0.25">
      <c r="A3741" s="6">
        <v>44755</v>
      </c>
      <c r="B3741" t="s">
        <v>26</v>
      </c>
      <c r="C3741">
        <v>70019</v>
      </c>
      <c r="D3741" t="s">
        <v>71</v>
      </c>
      <c r="E3741" s="7">
        <v>164.22</v>
      </c>
      <c r="F3741" t="s">
        <v>20</v>
      </c>
      <c r="G3741" t="s">
        <v>21</v>
      </c>
      <c r="H3741" t="str">
        <f>"41244343185"</f>
        <v>41244343185</v>
      </c>
      <c r="I3741" t="str">
        <f t="shared" si="89"/>
        <v>CINTAS CORPORATION #087</v>
      </c>
    </row>
    <row r="3742" spans="1:9" x14ac:dyDescent="0.25">
      <c r="A3742" s="6">
        <v>44755</v>
      </c>
      <c r="B3742" t="s">
        <v>26</v>
      </c>
      <c r="C3742">
        <v>70021</v>
      </c>
      <c r="D3742" t="s">
        <v>58</v>
      </c>
      <c r="E3742" s="7">
        <v>38</v>
      </c>
      <c r="F3742" t="s">
        <v>20</v>
      </c>
      <c r="G3742" t="s">
        <v>21</v>
      </c>
      <c r="H3742" t="str">
        <f>"679464"</f>
        <v>679464</v>
      </c>
      <c r="I3742" t="str">
        <f t="shared" ref="I3742:I3747" si="90">"DEASON ANIMAL HOSPITAL"</f>
        <v>DEASON ANIMAL HOSPITAL</v>
      </c>
    </row>
    <row r="3743" spans="1:9" x14ac:dyDescent="0.25">
      <c r="A3743" s="6">
        <v>44755</v>
      </c>
      <c r="B3743" t="s">
        <v>26</v>
      </c>
      <c r="C3743">
        <v>70021</v>
      </c>
      <c r="D3743" t="s">
        <v>58</v>
      </c>
      <c r="E3743" s="7">
        <v>57</v>
      </c>
      <c r="F3743" t="s">
        <v>20</v>
      </c>
      <c r="G3743" t="s">
        <v>21</v>
      </c>
      <c r="H3743" t="str">
        <f>"679773"</f>
        <v>679773</v>
      </c>
      <c r="I3743" t="str">
        <f t="shared" si="90"/>
        <v>DEASON ANIMAL HOSPITAL</v>
      </c>
    </row>
    <row r="3744" spans="1:9" x14ac:dyDescent="0.25">
      <c r="A3744" s="6">
        <v>44755</v>
      </c>
      <c r="B3744" t="s">
        <v>26</v>
      </c>
      <c r="C3744">
        <v>70021</v>
      </c>
      <c r="D3744" t="s">
        <v>58</v>
      </c>
      <c r="E3744" s="7">
        <v>57</v>
      </c>
      <c r="F3744" t="s">
        <v>20</v>
      </c>
      <c r="G3744" t="s">
        <v>21</v>
      </c>
      <c r="H3744" t="str">
        <f>"680127"</f>
        <v>680127</v>
      </c>
      <c r="I3744" t="str">
        <f t="shared" si="90"/>
        <v>DEASON ANIMAL HOSPITAL</v>
      </c>
    </row>
    <row r="3745" spans="1:9" x14ac:dyDescent="0.25">
      <c r="A3745" s="6">
        <v>44755</v>
      </c>
      <c r="B3745" t="s">
        <v>26</v>
      </c>
      <c r="C3745">
        <v>70021</v>
      </c>
      <c r="D3745" t="s">
        <v>58</v>
      </c>
      <c r="E3745" s="7">
        <v>38</v>
      </c>
      <c r="F3745" t="s">
        <v>20</v>
      </c>
      <c r="G3745" t="s">
        <v>21</v>
      </c>
      <c r="H3745" t="str">
        <f>"680154"</f>
        <v>680154</v>
      </c>
      <c r="I3745" t="str">
        <f t="shared" si="90"/>
        <v>DEASON ANIMAL HOSPITAL</v>
      </c>
    </row>
    <row r="3746" spans="1:9" x14ac:dyDescent="0.25">
      <c r="A3746" s="6">
        <v>44755</v>
      </c>
      <c r="B3746" t="s">
        <v>26</v>
      </c>
      <c r="C3746">
        <v>70021</v>
      </c>
      <c r="D3746" t="s">
        <v>58</v>
      </c>
      <c r="E3746" s="7">
        <v>114</v>
      </c>
      <c r="F3746" t="s">
        <v>20</v>
      </c>
      <c r="G3746" t="s">
        <v>21</v>
      </c>
      <c r="H3746" t="str">
        <f>"680325"</f>
        <v>680325</v>
      </c>
      <c r="I3746" t="str">
        <f t="shared" si="90"/>
        <v>DEASON ANIMAL HOSPITAL</v>
      </c>
    </row>
    <row r="3747" spans="1:9" x14ac:dyDescent="0.25">
      <c r="A3747" s="6">
        <v>44755</v>
      </c>
      <c r="B3747" t="s">
        <v>26</v>
      </c>
      <c r="C3747">
        <v>70021</v>
      </c>
      <c r="D3747" t="s">
        <v>58</v>
      </c>
      <c r="E3747" s="7">
        <v>38</v>
      </c>
      <c r="F3747" t="s">
        <v>20</v>
      </c>
      <c r="G3747" t="s">
        <v>21</v>
      </c>
      <c r="H3747" t="str">
        <f>"681862"</f>
        <v>681862</v>
      </c>
      <c r="I3747" t="str">
        <f t="shared" si="90"/>
        <v>DEASON ANIMAL HOSPITAL</v>
      </c>
    </row>
    <row r="3748" spans="1:9" x14ac:dyDescent="0.25">
      <c r="A3748" s="6">
        <v>44755</v>
      </c>
      <c r="B3748" t="s">
        <v>26</v>
      </c>
      <c r="C3748">
        <v>70022</v>
      </c>
      <c r="D3748" t="s">
        <v>647</v>
      </c>
      <c r="E3748" s="7">
        <v>3429</v>
      </c>
      <c r="F3748" t="s">
        <v>20</v>
      </c>
      <c r="G3748" t="s">
        <v>21</v>
      </c>
      <c r="H3748" t="str">
        <f>"31996359"</f>
        <v>31996359</v>
      </c>
      <c r="I3748" t="str">
        <f>"DOCUMATION  INC."</f>
        <v>DOCUMATION  INC.</v>
      </c>
    </row>
    <row r="3749" spans="1:9" x14ac:dyDescent="0.25">
      <c r="A3749" s="6">
        <v>44755</v>
      </c>
      <c r="B3749" t="s">
        <v>26</v>
      </c>
      <c r="C3749">
        <v>70023</v>
      </c>
      <c r="D3749" t="s">
        <v>85</v>
      </c>
      <c r="E3749" s="7">
        <v>84.75</v>
      </c>
      <c r="F3749" t="s">
        <v>20</v>
      </c>
      <c r="G3749" t="s">
        <v>21</v>
      </c>
      <c r="H3749" t="str">
        <f>"3930579 JULY 2022"</f>
        <v>3930579 JULY 2022</v>
      </c>
      <c r="I3749" t="str">
        <f>"FRONTIER"</f>
        <v>FRONTIER</v>
      </c>
    </row>
    <row r="3750" spans="1:9" x14ac:dyDescent="0.25">
      <c r="A3750" s="6">
        <v>44755</v>
      </c>
      <c r="B3750" t="s">
        <v>26</v>
      </c>
      <c r="C3750">
        <v>70023</v>
      </c>
      <c r="D3750" t="s">
        <v>85</v>
      </c>
      <c r="E3750" s="7">
        <v>350.8</v>
      </c>
      <c r="F3750" t="s">
        <v>20</v>
      </c>
      <c r="G3750" t="s">
        <v>21</v>
      </c>
      <c r="H3750" t="str">
        <f>"3937050 JULY 2022"</f>
        <v>3937050 JULY 2022</v>
      </c>
      <c r="I3750" t="str">
        <f>"FRONTIER"</f>
        <v>FRONTIER</v>
      </c>
    </row>
    <row r="3751" spans="1:9" x14ac:dyDescent="0.25">
      <c r="A3751" s="6">
        <v>44755</v>
      </c>
      <c r="B3751" t="s">
        <v>26</v>
      </c>
      <c r="C3751">
        <v>70023</v>
      </c>
      <c r="D3751" t="s">
        <v>85</v>
      </c>
      <c r="E3751" s="7">
        <v>64.040000000000006</v>
      </c>
      <c r="F3751" t="s">
        <v>20</v>
      </c>
      <c r="G3751" t="s">
        <v>21</v>
      </c>
      <c r="H3751" t="str">
        <f>"3939791 JUNE2022"</f>
        <v>3939791 JUNE2022</v>
      </c>
      <c r="I3751" t="str">
        <f>"FRONTIER"</f>
        <v>FRONTIER</v>
      </c>
    </row>
    <row r="3752" spans="1:9" x14ac:dyDescent="0.25">
      <c r="A3752" s="6">
        <v>44755</v>
      </c>
      <c r="B3752" t="s">
        <v>26</v>
      </c>
      <c r="C3752">
        <v>70024</v>
      </c>
      <c r="D3752" t="s">
        <v>56</v>
      </c>
      <c r="E3752" s="7">
        <v>243.75</v>
      </c>
      <c r="F3752" t="s">
        <v>20</v>
      </c>
      <c r="G3752" t="s">
        <v>21</v>
      </c>
      <c r="H3752" t="str">
        <f>"201266"</f>
        <v>201266</v>
      </c>
      <c r="I3752" t="str">
        <f>"GLYFOSATE"</f>
        <v>GLYFOSATE</v>
      </c>
    </row>
    <row r="3753" spans="1:9" x14ac:dyDescent="0.25">
      <c r="A3753" s="6">
        <v>44755</v>
      </c>
      <c r="B3753" t="s">
        <v>26</v>
      </c>
      <c r="C3753">
        <v>70024</v>
      </c>
      <c r="D3753" t="s">
        <v>56</v>
      </c>
      <c r="E3753" s="7">
        <v>243.75</v>
      </c>
      <c r="F3753" t="s">
        <v>20</v>
      </c>
      <c r="G3753" t="s">
        <v>21</v>
      </c>
      <c r="H3753" t="str">
        <f>"201391"</f>
        <v>201391</v>
      </c>
      <c r="I3753" t="str">
        <f>"WEED KILLER"</f>
        <v>WEED KILLER</v>
      </c>
    </row>
    <row r="3754" spans="1:9" x14ac:dyDescent="0.25">
      <c r="A3754" s="6">
        <v>44755</v>
      </c>
      <c r="B3754" t="s">
        <v>26</v>
      </c>
      <c r="C3754">
        <v>70025</v>
      </c>
      <c r="D3754" t="s">
        <v>302</v>
      </c>
      <c r="E3754" s="7">
        <v>236.78</v>
      </c>
      <c r="F3754" t="s">
        <v>20</v>
      </c>
      <c r="G3754" t="s">
        <v>21</v>
      </c>
      <c r="H3754" t="str">
        <f>"833139892**"</f>
        <v>833139892**</v>
      </c>
      <c r="I3754" t="str">
        <f>"HYDRAULIC OIL"</f>
        <v>HYDRAULIC OIL</v>
      </c>
    </row>
    <row r="3755" spans="1:9" x14ac:dyDescent="0.25">
      <c r="A3755" s="6">
        <v>44755</v>
      </c>
      <c r="B3755" t="s">
        <v>26</v>
      </c>
      <c r="C3755">
        <v>70026</v>
      </c>
      <c r="D3755" t="s">
        <v>927</v>
      </c>
      <c r="E3755" s="7">
        <v>1370.37</v>
      </c>
      <c r="F3755" t="s">
        <v>20</v>
      </c>
      <c r="G3755" t="s">
        <v>21</v>
      </c>
      <c r="H3755" t="str">
        <f>"CITY0000014"</f>
        <v>CITY0000014</v>
      </c>
      <c r="I3755" t="str">
        <f>"JOELZ LAWN MOWING SERVICE"</f>
        <v>JOELZ LAWN MOWING SERVICE</v>
      </c>
    </row>
    <row r="3756" spans="1:9" x14ac:dyDescent="0.25">
      <c r="A3756" s="6">
        <v>44755</v>
      </c>
      <c r="B3756" t="s">
        <v>26</v>
      </c>
      <c r="C3756">
        <v>70027</v>
      </c>
      <c r="D3756" t="s">
        <v>258</v>
      </c>
      <c r="E3756" s="7">
        <v>481.54</v>
      </c>
      <c r="F3756" t="s">
        <v>20</v>
      </c>
      <c r="G3756" t="s">
        <v>21</v>
      </c>
      <c r="H3756" t="str">
        <f>"158050"</f>
        <v>158050</v>
      </c>
      <c r="I3756" t="str">
        <f>"JOHNS OIL COMPANY"</f>
        <v>JOHNS OIL COMPANY</v>
      </c>
    </row>
    <row r="3757" spans="1:9" x14ac:dyDescent="0.25">
      <c r="A3757" s="6">
        <v>44755</v>
      </c>
      <c r="B3757" t="s">
        <v>26</v>
      </c>
      <c r="C3757">
        <v>70027</v>
      </c>
      <c r="D3757" t="s">
        <v>258</v>
      </c>
      <c r="E3757" s="7">
        <v>499</v>
      </c>
      <c r="F3757" t="s">
        <v>20</v>
      </c>
      <c r="G3757" t="s">
        <v>21</v>
      </c>
      <c r="H3757" t="str">
        <f>"158067"</f>
        <v>158067</v>
      </c>
      <c r="I3757" t="str">
        <f>"JOHNS OIL COMPANY"</f>
        <v>JOHNS OIL COMPANY</v>
      </c>
    </row>
    <row r="3758" spans="1:9" x14ac:dyDescent="0.25">
      <c r="A3758" s="6">
        <v>44755</v>
      </c>
      <c r="B3758" t="s">
        <v>26</v>
      </c>
      <c r="C3758">
        <v>70027</v>
      </c>
      <c r="D3758" t="s">
        <v>258</v>
      </c>
      <c r="E3758" s="7">
        <v>492.01</v>
      </c>
      <c r="F3758" t="s">
        <v>20</v>
      </c>
      <c r="G3758" t="s">
        <v>21</v>
      </c>
      <c r="H3758" t="str">
        <f>"158082"</f>
        <v>158082</v>
      </c>
      <c r="I3758" t="str">
        <f>"JOHNS OIL COMPANY"</f>
        <v>JOHNS OIL COMPANY</v>
      </c>
    </row>
    <row r="3759" spans="1:9" x14ac:dyDescent="0.25">
      <c r="A3759" s="6">
        <v>44755</v>
      </c>
      <c r="B3759" t="s">
        <v>26</v>
      </c>
      <c r="C3759">
        <v>70027</v>
      </c>
      <c r="D3759" t="s">
        <v>258</v>
      </c>
      <c r="E3759" s="7">
        <v>391.2</v>
      </c>
      <c r="F3759" t="s">
        <v>20</v>
      </c>
      <c r="G3759" t="s">
        <v>21</v>
      </c>
      <c r="H3759" t="str">
        <f>"158111"</f>
        <v>158111</v>
      </c>
      <c r="I3759" t="str">
        <f>"JOHNS OIL COMPANY"</f>
        <v>JOHNS OIL COMPANY</v>
      </c>
    </row>
    <row r="3760" spans="1:9" x14ac:dyDescent="0.25">
      <c r="A3760" s="6">
        <v>44755</v>
      </c>
      <c r="B3760" t="s">
        <v>26</v>
      </c>
      <c r="C3760">
        <v>70028</v>
      </c>
      <c r="D3760" t="s">
        <v>116</v>
      </c>
      <c r="E3760" s="7">
        <v>69.05</v>
      </c>
      <c r="F3760" t="s">
        <v>20</v>
      </c>
      <c r="G3760" t="s">
        <v>21</v>
      </c>
      <c r="H3760" t="str">
        <f>"INV001224188"</f>
        <v>INV001224188</v>
      </c>
      <c r="I3760" t="str">
        <f>"NEW LIFEGAURD UNIFORM"</f>
        <v>NEW LIFEGAURD UNIFORM</v>
      </c>
    </row>
    <row r="3761" spans="1:9" x14ac:dyDescent="0.25">
      <c r="A3761" s="6">
        <v>44755</v>
      </c>
      <c r="B3761" t="s">
        <v>26</v>
      </c>
      <c r="C3761">
        <v>70029</v>
      </c>
      <c r="D3761" t="s">
        <v>1246</v>
      </c>
      <c r="E3761" s="7">
        <v>969</v>
      </c>
      <c r="F3761" t="s">
        <v>20</v>
      </c>
      <c r="G3761" t="s">
        <v>21</v>
      </c>
      <c r="H3761" t="str">
        <f>"100079144"</f>
        <v>100079144</v>
      </c>
      <c r="I3761" t="str">
        <f>"WWTP"</f>
        <v>WWTP</v>
      </c>
    </row>
    <row r="3762" spans="1:9" x14ac:dyDescent="0.25">
      <c r="A3762" s="6">
        <v>44755</v>
      </c>
      <c r="B3762" t="s">
        <v>26</v>
      </c>
      <c r="C3762">
        <v>70030</v>
      </c>
      <c r="D3762" t="s">
        <v>1247</v>
      </c>
      <c r="E3762" s="7">
        <v>50</v>
      </c>
      <c r="F3762" t="s">
        <v>20</v>
      </c>
      <c r="G3762" t="s">
        <v>21</v>
      </c>
      <c r="H3762" t="str">
        <f>"DEP.RFND 7/9/22"</f>
        <v>DEP.RFND 7/9/22</v>
      </c>
      <c r="I3762" t="str">
        <f>"REFUND"</f>
        <v>REFUND</v>
      </c>
    </row>
    <row r="3763" spans="1:9" x14ac:dyDescent="0.25">
      <c r="A3763" s="6">
        <v>44755</v>
      </c>
      <c r="B3763" t="s">
        <v>26</v>
      </c>
      <c r="C3763">
        <v>70031</v>
      </c>
      <c r="D3763" t="s">
        <v>105</v>
      </c>
      <c r="E3763" s="7">
        <v>7</v>
      </c>
      <c r="F3763" t="s">
        <v>20</v>
      </c>
      <c r="G3763" t="s">
        <v>21</v>
      </c>
      <c r="H3763" t="str">
        <f>"425835"</f>
        <v>425835</v>
      </c>
      <c r="I3763" t="str">
        <f>"INSPECTION UNIT 327 PD"</f>
        <v>INSPECTION UNIT 327 PD</v>
      </c>
    </row>
    <row r="3764" spans="1:9" x14ac:dyDescent="0.25">
      <c r="A3764" s="6">
        <v>44755</v>
      </c>
      <c r="B3764" t="s">
        <v>26</v>
      </c>
      <c r="C3764">
        <v>70031</v>
      </c>
      <c r="D3764" t="s">
        <v>105</v>
      </c>
      <c r="E3764" s="7">
        <v>7</v>
      </c>
      <c r="F3764" t="s">
        <v>20</v>
      </c>
      <c r="G3764" t="s">
        <v>21</v>
      </c>
      <c r="H3764" t="str">
        <f>"425845"</f>
        <v>425845</v>
      </c>
      <c r="I3764" t="str">
        <f>"INSPECTION UNIT 401"</f>
        <v>INSPECTION UNIT 401</v>
      </c>
    </row>
    <row r="3765" spans="1:9" x14ac:dyDescent="0.25">
      <c r="A3765" s="6">
        <v>44755</v>
      </c>
      <c r="B3765" t="s">
        <v>26</v>
      </c>
      <c r="C3765">
        <v>70032</v>
      </c>
      <c r="D3765" t="s">
        <v>1136</v>
      </c>
      <c r="E3765" s="7">
        <v>600</v>
      </c>
      <c r="F3765" t="s">
        <v>20</v>
      </c>
      <c r="G3765" t="s">
        <v>21</v>
      </c>
      <c r="H3765" t="str">
        <f>"INV0149"</f>
        <v>INV0149</v>
      </c>
      <c r="I3765" t="str">
        <f>"LUX ELECTRIC LLC"</f>
        <v>LUX ELECTRIC LLC</v>
      </c>
    </row>
    <row r="3766" spans="1:9" x14ac:dyDescent="0.25">
      <c r="A3766" s="6">
        <v>44755</v>
      </c>
      <c r="B3766" t="s">
        <v>26</v>
      </c>
      <c r="C3766">
        <v>70032</v>
      </c>
      <c r="D3766" t="s">
        <v>1136</v>
      </c>
      <c r="E3766" s="7">
        <v>600</v>
      </c>
      <c r="F3766" t="s">
        <v>20</v>
      </c>
      <c r="G3766" t="s">
        <v>21</v>
      </c>
      <c r="H3766" t="str">
        <f>"INV0153"</f>
        <v>INV0153</v>
      </c>
      <c r="I3766" t="str">
        <f>"LUX ELECTRIC LLC"</f>
        <v>LUX ELECTRIC LLC</v>
      </c>
    </row>
    <row r="3767" spans="1:9" x14ac:dyDescent="0.25">
      <c r="A3767" s="6">
        <v>44755</v>
      </c>
      <c r="B3767" t="s">
        <v>26</v>
      </c>
      <c r="C3767">
        <v>70033</v>
      </c>
      <c r="D3767" t="s">
        <v>124</v>
      </c>
      <c r="E3767" s="7">
        <v>32.99</v>
      </c>
      <c r="F3767" t="s">
        <v>20</v>
      </c>
      <c r="G3767" t="s">
        <v>21</v>
      </c>
      <c r="H3767" t="str">
        <f>"11123682"</f>
        <v>11123682</v>
      </c>
      <c r="I3767" t="str">
        <f>"RUST TREATMENT"</f>
        <v>RUST TREATMENT</v>
      </c>
    </row>
    <row r="3768" spans="1:9" x14ac:dyDescent="0.25">
      <c r="A3768" s="6">
        <v>44755</v>
      </c>
      <c r="B3768" t="s">
        <v>26</v>
      </c>
      <c r="C3768">
        <v>70033</v>
      </c>
      <c r="D3768" t="s">
        <v>124</v>
      </c>
      <c r="E3768" s="7">
        <v>22.44</v>
      </c>
      <c r="F3768" t="s">
        <v>20</v>
      </c>
      <c r="G3768" t="s">
        <v>21</v>
      </c>
      <c r="H3768" t="str">
        <f>"11124853"</f>
        <v>11124853</v>
      </c>
      <c r="I3768" t="str">
        <f>"LIGHT BULBS"</f>
        <v>LIGHT BULBS</v>
      </c>
    </row>
    <row r="3769" spans="1:9" x14ac:dyDescent="0.25">
      <c r="A3769" s="6">
        <v>44755</v>
      </c>
      <c r="B3769" t="s">
        <v>26</v>
      </c>
      <c r="C3769">
        <v>70034</v>
      </c>
      <c r="D3769" t="s">
        <v>345</v>
      </c>
      <c r="E3769" s="7">
        <v>341</v>
      </c>
      <c r="F3769" t="s">
        <v>20</v>
      </c>
      <c r="G3769" t="s">
        <v>21</v>
      </c>
      <c r="H3769" t="str">
        <f>"7/11/2022"</f>
        <v>7/11/2022</v>
      </c>
      <c r="I3769" t="str">
        <f>"MICHAEL ISAAC MARTINEZ"</f>
        <v>MICHAEL ISAAC MARTINEZ</v>
      </c>
    </row>
    <row r="3770" spans="1:9" x14ac:dyDescent="0.25">
      <c r="A3770" s="6">
        <v>44755</v>
      </c>
      <c r="B3770" t="s">
        <v>26</v>
      </c>
      <c r="C3770">
        <v>70035</v>
      </c>
      <c r="D3770" t="s">
        <v>1041</v>
      </c>
      <c r="E3770" s="7">
        <v>88.5</v>
      </c>
      <c r="F3770" t="s">
        <v>20</v>
      </c>
      <c r="G3770" t="s">
        <v>21</v>
      </c>
      <c r="H3770" t="str">
        <f>"659313"</f>
        <v>659313</v>
      </c>
      <c r="I3770" t="str">
        <f>"MONARCH TROPHY STUDIO"</f>
        <v>MONARCH TROPHY STUDIO</v>
      </c>
    </row>
    <row r="3771" spans="1:9" x14ac:dyDescent="0.25">
      <c r="A3771" s="6">
        <v>44755</v>
      </c>
      <c r="B3771" t="s">
        <v>26</v>
      </c>
      <c r="C3771">
        <v>70036</v>
      </c>
      <c r="D3771" t="s">
        <v>123</v>
      </c>
      <c r="E3771" s="7">
        <v>11.19</v>
      </c>
      <c r="F3771" t="s">
        <v>20</v>
      </c>
      <c r="G3771" t="s">
        <v>21</v>
      </c>
      <c r="H3771" t="str">
        <f>"247654786002"</f>
        <v>247654786002</v>
      </c>
      <c r="I3771" t="str">
        <f>"OFFICE DEPOT  INC."</f>
        <v>OFFICE DEPOT  INC.</v>
      </c>
    </row>
    <row r="3772" spans="1:9" x14ac:dyDescent="0.25">
      <c r="A3772" s="6">
        <v>44755</v>
      </c>
      <c r="B3772" t="s">
        <v>26</v>
      </c>
      <c r="C3772">
        <v>70037</v>
      </c>
      <c r="D3772" t="s">
        <v>106</v>
      </c>
      <c r="E3772" s="7">
        <v>72</v>
      </c>
      <c r="F3772" t="s">
        <v>20</v>
      </c>
      <c r="G3772" t="s">
        <v>21</v>
      </c>
      <c r="H3772" t="str">
        <f>"2ND QRT APR-JUNE"</f>
        <v>2ND QRT APR-JUNE</v>
      </c>
      <c r="I3772" t="str">
        <f>"OMNIBASE SERVICES OF TEXAS"</f>
        <v>OMNIBASE SERVICES OF TEXAS</v>
      </c>
    </row>
    <row r="3773" spans="1:9" x14ac:dyDescent="0.25">
      <c r="A3773" s="6">
        <v>44755</v>
      </c>
      <c r="B3773" t="s">
        <v>26</v>
      </c>
      <c r="C3773">
        <v>70038</v>
      </c>
      <c r="D3773" t="s">
        <v>62</v>
      </c>
      <c r="E3773" s="7">
        <v>233.75</v>
      </c>
      <c r="F3773" t="s">
        <v>20</v>
      </c>
      <c r="G3773" t="s">
        <v>21</v>
      </c>
      <c r="H3773" t="str">
        <f>"80482"</f>
        <v>80482</v>
      </c>
      <c r="I3773" t="str">
        <f>"PROFICIENT BENEFIT SOLUTIONS"</f>
        <v>PROFICIENT BENEFIT SOLUTIONS</v>
      </c>
    </row>
    <row r="3774" spans="1:9" x14ac:dyDescent="0.25">
      <c r="A3774" s="6">
        <v>44755</v>
      </c>
      <c r="B3774" t="s">
        <v>26</v>
      </c>
      <c r="C3774">
        <v>70039</v>
      </c>
      <c r="D3774" t="s">
        <v>126</v>
      </c>
      <c r="E3774" s="7">
        <v>93982</v>
      </c>
      <c r="F3774" t="s">
        <v>20</v>
      </c>
      <c r="G3774" t="s">
        <v>21</v>
      </c>
      <c r="H3774" t="str">
        <f>"0859-003158107"</f>
        <v>0859-003158107</v>
      </c>
      <c r="I3774" t="str">
        <f>"REPUBLIC SERVICES #859"</f>
        <v>REPUBLIC SERVICES #859</v>
      </c>
    </row>
    <row r="3775" spans="1:9" x14ac:dyDescent="0.25">
      <c r="A3775" s="6">
        <v>44755</v>
      </c>
      <c r="B3775" t="s">
        <v>26</v>
      </c>
      <c r="C3775">
        <v>70040</v>
      </c>
      <c r="D3775" t="s">
        <v>1133</v>
      </c>
      <c r="E3775" s="7">
        <v>8286.9699999999993</v>
      </c>
      <c r="F3775" t="s">
        <v>20</v>
      </c>
      <c r="G3775" t="s">
        <v>21</v>
      </c>
      <c r="H3775" t="str">
        <f>"95197282"</f>
        <v>95197282</v>
      </c>
      <c r="I3775" t="str">
        <f>"A/C REPAIR"</f>
        <v>A/C REPAIR</v>
      </c>
    </row>
    <row r="3776" spans="1:9" x14ac:dyDescent="0.25">
      <c r="A3776" s="6">
        <v>44755</v>
      </c>
      <c r="B3776" t="s">
        <v>26</v>
      </c>
      <c r="C3776">
        <v>70041</v>
      </c>
      <c r="D3776" t="s">
        <v>346</v>
      </c>
      <c r="E3776" s="7">
        <v>13750</v>
      </c>
      <c r="F3776" t="s">
        <v>20</v>
      </c>
      <c r="G3776" t="s">
        <v>21</v>
      </c>
      <c r="H3776" t="str">
        <f>"6/11-7/11/2022"</f>
        <v>6/11-7/11/2022</v>
      </c>
      <c r="I3776" t="str">
        <f>"SYLVIA RODRIGUEZ"</f>
        <v>SYLVIA RODRIGUEZ</v>
      </c>
    </row>
    <row r="3777" spans="1:9" x14ac:dyDescent="0.25">
      <c r="A3777" s="6">
        <v>44755</v>
      </c>
      <c r="B3777" t="s">
        <v>26</v>
      </c>
      <c r="C3777">
        <v>70042</v>
      </c>
      <c r="D3777" t="s">
        <v>1141</v>
      </c>
      <c r="E3777" s="7">
        <v>348.88</v>
      </c>
      <c r="F3777" t="s">
        <v>20</v>
      </c>
      <c r="G3777" t="s">
        <v>21</v>
      </c>
      <c r="H3777" t="str">
        <f>"SSI-SS12290"</f>
        <v>SSI-SS12290</v>
      </c>
      <c r="I3777" t="str">
        <f t="shared" ref="I3777:I3786" si="91">"TEXAS LANDFILL MANAGEMENT  LLC"</f>
        <v>TEXAS LANDFILL MANAGEMENT  LLC</v>
      </c>
    </row>
    <row r="3778" spans="1:9" x14ac:dyDescent="0.25">
      <c r="A3778" s="6">
        <v>44755</v>
      </c>
      <c r="B3778" t="s">
        <v>26</v>
      </c>
      <c r="C3778">
        <v>70042</v>
      </c>
      <c r="D3778" t="s">
        <v>1141</v>
      </c>
      <c r="E3778" s="7">
        <v>318.36</v>
      </c>
      <c r="F3778" t="s">
        <v>20</v>
      </c>
      <c r="G3778" t="s">
        <v>21</v>
      </c>
      <c r="H3778" t="str">
        <f>"SSI-SS12814"</f>
        <v>SSI-SS12814</v>
      </c>
      <c r="I3778" t="str">
        <f t="shared" si="91"/>
        <v>TEXAS LANDFILL MANAGEMENT  LLC</v>
      </c>
    </row>
    <row r="3779" spans="1:9" x14ac:dyDescent="0.25">
      <c r="A3779" s="6">
        <v>44755</v>
      </c>
      <c r="B3779" t="s">
        <v>26</v>
      </c>
      <c r="C3779">
        <v>70042</v>
      </c>
      <c r="D3779" t="s">
        <v>1141</v>
      </c>
      <c r="E3779" s="7">
        <v>307.72000000000003</v>
      </c>
      <c r="F3779" t="s">
        <v>20</v>
      </c>
      <c r="G3779" t="s">
        <v>21</v>
      </c>
      <c r="H3779" t="str">
        <f>"SSI-SS12828"</f>
        <v>SSI-SS12828</v>
      </c>
      <c r="I3779" t="str">
        <f t="shared" si="91"/>
        <v>TEXAS LANDFILL MANAGEMENT  LLC</v>
      </c>
    </row>
    <row r="3780" spans="1:9" x14ac:dyDescent="0.25">
      <c r="A3780" s="6">
        <v>44755</v>
      </c>
      <c r="B3780" t="s">
        <v>26</v>
      </c>
      <c r="C3780">
        <v>70042</v>
      </c>
      <c r="D3780" t="s">
        <v>1141</v>
      </c>
      <c r="E3780" s="7">
        <v>316.95999999999998</v>
      </c>
      <c r="F3780" t="s">
        <v>20</v>
      </c>
      <c r="G3780" t="s">
        <v>21</v>
      </c>
      <c r="H3780" t="str">
        <f>"SSI-SS12842"</f>
        <v>SSI-SS12842</v>
      </c>
      <c r="I3780" t="str">
        <f t="shared" si="91"/>
        <v>TEXAS LANDFILL MANAGEMENT  LLC</v>
      </c>
    </row>
    <row r="3781" spans="1:9" x14ac:dyDescent="0.25">
      <c r="A3781" s="6">
        <v>44755</v>
      </c>
      <c r="B3781" t="s">
        <v>26</v>
      </c>
      <c r="C3781">
        <v>70042</v>
      </c>
      <c r="D3781" t="s">
        <v>1141</v>
      </c>
      <c r="E3781" s="7">
        <v>328.16</v>
      </c>
      <c r="F3781" t="s">
        <v>20</v>
      </c>
      <c r="G3781" t="s">
        <v>21</v>
      </c>
      <c r="H3781" t="str">
        <f>"SSI-SS12858"</f>
        <v>SSI-SS12858</v>
      </c>
      <c r="I3781" t="str">
        <f t="shared" si="91"/>
        <v>TEXAS LANDFILL MANAGEMENT  LLC</v>
      </c>
    </row>
    <row r="3782" spans="1:9" x14ac:dyDescent="0.25">
      <c r="A3782" s="6">
        <v>44755</v>
      </c>
      <c r="B3782" t="s">
        <v>26</v>
      </c>
      <c r="C3782">
        <v>70042</v>
      </c>
      <c r="D3782" t="s">
        <v>1141</v>
      </c>
      <c r="E3782" s="7">
        <v>311.08</v>
      </c>
      <c r="F3782" t="s">
        <v>20</v>
      </c>
      <c r="G3782" t="s">
        <v>21</v>
      </c>
      <c r="H3782" t="str">
        <f>"SSI-SS12884"</f>
        <v>SSI-SS12884</v>
      </c>
      <c r="I3782" t="str">
        <f t="shared" si="91"/>
        <v>TEXAS LANDFILL MANAGEMENT  LLC</v>
      </c>
    </row>
    <row r="3783" spans="1:9" x14ac:dyDescent="0.25">
      <c r="A3783" s="6">
        <v>44755</v>
      </c>
      <c r="B3783" t="s">
        <v>26</v>
      </c>
      <c r="C3783">
        <v>70042</v>
      </c>
      <c r="D3783" t="s">
        <v>1141</v>
      </c>
      <c r="E3783" s="7">
        <v>275.52</v>
      </c>
      <c r="F3783" t="s">
        <v>20</v>
      </c>
      <c r="G3783" t="s">
        <v>21</v>
      </c>
      <c r="H3783" t="str">
        <f>"SSI-SS12914"</f>
        <v>SSI-SS12914</v>
      </c>
      <c r="I3783" t="str">
        <f t="shared" si="91"/>
        <v>TEXAS LANDFILL MANAGEMENT  LLC</v>
      </c>
    </row>
    <row r="3784" spans="1:9" x14ac:dyDescent="0.25">
      <c r="A3784" s="6">
        <v>44755</v>
      </c>
      <c r="B3784" t="s">
        <v>26</v>
      </c>
      <c r="C3784">
        <v>70042</v>
      </c>
      <c r="D3784" t="s">
        <v>1141</v>
      </c>
      <c r="E3784" s="7">
        <v>313.04000000000002</v>
      </c>
      <c r="F3784" t="s">
        <v>20</v>
      </c>
      <c r="G3784" t="s">
        <v>21</v>
      </c>
      <c r="H3784" t="str">
        <f>"SSI-SS12921"</f>
        <v>SSI-SS12921</v>
      </c>
      <c r="I3784" t="str">
        <f t="shared" si="91"/>
        <v>TEXAS LANDFILL MANAGEMENT  LLC</v>
      </c>
    </row>
    <row r="3785" spans="1:9" x14ac:dyDescent="0.25">
      <c r="A3785" s="6">
        <v>44755</v>
      </c>
      <c r="B3785" t="s">
        <v>26</v>
      </c>
      <c r="C3785">
        <v>70042</v>
      </c>
      <c r="D3785" t="s">
        <v>1141</v>
      </c>
      <c r="E3785" s="7">
        <v>311.36</v>
      </c>
      <c r="F3785" t="s">
        <v>20</v>
      </c>
      <c r="G3785" t="s">
        <v>21</v>
      </c>
      <c r="H3785" t="str">
        <f>"SSI-SS12940"</f>
        <v>SSI-SS12940</v>
      </c>
      <c r="I3785" t="str">
        <f t="shared" si="91"/>
        <v>TEXAS LANDFILL MANAGEMENT  LLC</v>
      </c>
    </row>
    <row r="3786" spans="1:9" x14ac:dyDescent="0.25">
      <c r="A3786" s="6">
        <v>44755</v>
      </c>
      <c r="B3786" t="s">
        <v>26</v>
      </c>
      <c r="C3786">
        <v>70042</v>
      </c>
      <c r="D3786" t="s">
        <v>1141</v>
      </c>
      <c r="E3786" s="7">
        <v>306.88</v>
      </c>
      <c r="F3786" t="s">
        <v>20</v>
      </c>
      <c r="G3786" t="s">
        <v>21</v>
      </c>
      <c r="H3786" t="str">
        <f>"SSI-SS12943"</f>
        <v>SSI-SS12943</v>
      </c>
      <c r="I3786" t="str">
        <f t="shared" si="91"/>
        <v>TEXAS LANDFILL MANAGEMENT  LLC</v>
      </c>
    </row>
    <row r="3787" spans="1:9" x14ac:dyDescent="0.25">
      <c r="A3787" s="6">
        <v>44755</v>
      </c>
      <c r="B3787" t="s">
        <v>26</v>
      </c>
      <c r="C3787">
        <v>70044</v>
      </c>
      <c r="D3787" t="s">
        <v>610</v>
      </c>
      <c r="E3787" s="7">
        <v>43043.25</v>
      </c>
      <c r="F3787" t="s">
        <v>20</v>
      </c>
      <c r="G3787" t="s">
        <v>21</v>
      </c>
      <c r="H3787" t="str">
        <f>"7/1/22  8027"</f>
        <v>7/1/22  8027</v>
      </c>
      <c r="I3787" t="str">
        <f>"TEXAS MUNICIPAL LEAGUE INTERGO"</f>
        <v>TEXAS MUNICIPAL LEAGUE INTERGO</v>
      </c>
    </row>
    <row r="3788" spans="1:9" x14ac:dyDescent="0.25">
      <c r="A3788" s="6">
        <v>44755</v>
      </c>
      <c r="B3788" t="s">
        <v>26</v>
      </c>
      <c r="C3788">
        <v>70045</v>
      </c>
      <c r="D3788" t="s">
        <v>31</v>
      </c>
      <c r="E3788" s="7">
        <v>2000</v>
      </c>
      <c r="F3788" t="s">
        <v>20</v>
      </c>
      <c r="G3788" t="s">
        <v>21</v>
      </c>
      <c r="H3788" t="str">
        <f>"2022304"</f>
        <v>2022304</v>
      </c>
      <c r="I3788" t="str">
        <f>"THE LAW OFFICE OF TOM CALDWELL"</f>
        <v>THE LAW OFFICE OF TOM CALDWELL</v>
      </c>
    </row>
    <row r="3789" spans="1:9" x14ac:dyDescent="0.25">
      <c r="A3789" s="6">
        <v>44755</v>
      </c>
      <c r="B3789" t="s">
        <v>26</v>
      </c>
      <c r="C3789">
        <v>70046</v>
      </c>
      <c r="D3789" t="s">
        <v>568</v>
      </c>
      <c r="E3789" s="7">
        <v>538</v>
      </c>
      <c r="F3789" t="s">
        <v>20</v>
      </c>
      <c r="G3789" t="s">
        <v>21</v>
      </c>
      <c r="H3789" t="str">
        <f>"28051422"</f>
        <v>28051422</v>
      </c>
      <c r="I3789" t="str">
        <f>"TIRES FOR PD UNIT 333"</f>
        <v>TIRES FOR PD UNIT 333</v>
      </c>
    </row>
    <row r="3790" spans="1:9" x14ac:dyDescent="0.25">
      <c r="A3790" s="6">
        <v>44755</v>
      </c>
      <c r="B3790" t="s">
        <v>26</v>
      </c>
      <c r="C3790">
        <v>70047</v>
      </c>
      <c r="D3790" t="s">
        <v>501</v>
      </c>
      <c r="E3790" s="7">
        <v>3068.88</v>
      </c>
      <c r="F3790" t="s">
        <v>20</v>
      </c>
      <c r="G3790" t="s">
        <v>21</v>
      </c>
      <c r="H3790" t="str">
        <f>"312741564"</f>
        <v>312741564</v>
      </c>
      <c r="I3790" t="str">
        <f>"TRANE U.S. INC."</f>
        <v>TRANE U.S. INC.</v>
      </c>
    </row>
    <row r="3791" spans="1:9" x14ac:dyDescent="0.25">
      <c r="A3791" s="6">
        <v>44755</v>
      </c>
      <c r="B3791" t="s">
        <v>26</v>
      </c>
      <c r="C3791">
        <v>70048</v>
      </c>
      <c r="D3791" t="s">
        <v>1030</v>
      </c>
      <c r="E3791" s="7">
        <v>412567.42</v>
      </c>
      <c r="F3791" t="s">
        <v>20</v>
      </c>
      <c r="G3791" t="s">
        <v>21</v>
      </c>
      <c r="H3791" t="str">
        <f>"PAY APP #5 7/2022"</f>
        <v>PAY APP #5 7/2022</v>
      </c>
      <c r="I3791" t="str">
        <f>"TRIUN  LLC"</f>
        <v>TRIUN  LLC</v>
      </c>
    </row>
    <row r="3792" spans="1:9" x14ac:dyDescent="0.25">
      <c r="A3792" s="6">
        <v>44755</v>
      </c>
      <c r="B3792" t="s">
        <v>26</v>
      </c>
      <c r="C3792">
        <v>70049</v>
      </c>
      <c r="D3792" t="s">
        <v>644</v>
      </c>
      <c r="E3792" s="7">
        <v>69.989999999999995</v>
      </c>
      <c r="F3792" t="s">
        <v>20</v>
      </c>
      <c r="G3792" t="s">
        <v>21</v>
      </c>
      <c r="H3792" t="str">
        <f>"8213699828*"</f>
        <v>8213699828*</v>
      </c>
      <c r="I3792" t="str">
        <f t="shared" ref="I3792:I3798" si="92">"UNIFIRST CORPORATION"</f>
        <v>UNIFIRST CORPORATION</v>
      </c>
    </row>
    <row r="3793" spans="1:9" x14ac:dyDescent="0.25">
      <c r="A3793" s="6">
        <v>44755</v>
      </c>
      <c r="B3793" t="s">
        <v>26</v>
      </c>
      <c r="C3793">
        <v>70049</v>
      </c>
      <c r="D3793" t="s">
        <v>644</v>
      </c>
      <c r="E3793" s="7">
        <v>121.98</v>
      </c>
      <c r="F3793" t="s">
        <v>20</v>
      </c>
      <c r="G3793" t="s">
        <v>21</v>
      </c>
      <c r="H3793" t="str">
        <f>"8213749340"</f>
        <v>8213749340</v>
      </c>
      <c r="I3793" t="str">
        <f t="shared" si="92"/>
        <v>UNIFIRST CORPORATION</v>
      </c>
    </row>
    <row r="3794" spans="1:9" x14ac:dyDescent="0.25">
      <c r="A3794" s="6">
        <v>44755</v>
      </c>
      <c r="B3794" t="s">
        <v>26</v>
      </c>
      <c r="C3794">
        <v>70049</v>
      </c>
      <c r="D3794" t="s">
        <v>644</v>
      </c>
      <c r="E3794" s="7">
        <v>29.49</v>
      </c>
      <c r="F3794" t="s">
        <v>20</v>
      </c>
      <c r="G3794" t="s">
        <v>21</v>
      </c>
      <c r="H3794" t="str">
        <f>"8213749341"</f>
        <v>8213749341</v>
      </c>
      <c r="I3794" t="str">
        <f t="shared" si="92"/>
        <v>UNIFIRST CORPORATION</v>
      </c>
    </row>
    <row r="3795" spans="1:9" x14ac:dyDescent="0.25">
      <c r="A3795" s="6">
        <v>44755</v>
      </c>
      <c r="B3795" t="s">
        <v>26</v>
      </c>
      <c r="C3795">
        <v>70049</v>
      </c>
      <c r="D3795" t="s">
        <v>644</v>
      </c>
      <c r="E3795" s="7">
        <v>120.09</v>
      </c>
      <c r="F3795" t="s">
        <v>20</v>
      </c>
      <c r="G3795" t="s">
        <v>21</v>
      </c>
      <c r="H3795" t="str">
        <f>"8213749342"</f>
        <v>8213749342</v>
      </c>
      <c r="I3795" t="str">
        <f t="shared" si="92"/>
        <v>UNIFIRST CORPORATION</v>
      </c>
    </row>
    <row r="3796" spans="1:9" x14ac:dyDescent="0.25">
      <c r="A3796" s="6">
        <v>44755</v>
      </c>
      <c r="B3796" t="s">
        <v>26</v>
      </c>
      <c r="C3796">
        <v>70049</v>
      </c>
      <c r="D3796" t="s">
        <v>644</v>
      </c>
      <c r="E3796" s="7">
        <v>205.22</v>
      </c>
      <c r="F3796" t="s">
        <v>20</v>
      </c>
      <c r="G3796" t="s">
        <v>21</v>
      </c>
      <c r="H3796" t="str">
        <f>"8213749343"</f>
        <v>8213749343</v>
      </c>
      <c r="I3796" t="str">
        <f t="shared" si="92"/>
        <v>UNIFIRST CORPORATION</v>
      </c>
    </row>
    <row r="3797" spans="1:9" x14ac:dyDescent="0.25">
      <c r="A3797" s="6">
        <v>44755</v>
      </c>
      <c r="B3797" t="s">
        <v>26</v>
      </c>
      <c r="C3797">
        <v>70049</v>
      </c>
      <c r="D3797" t="s">
        <v>644</v>
      </c>
      <c r="E3797" s="7">
        <v>116.36</v>
      </c>
      <c r="F3797" t="s">
        <v>20</v>
      </c>
      <c r="G3797" t="s">
        <v>21</v>
      </c>
      <c r="H3797" t="str">
        <f>"8213749345"</f>
        <v>8213749345</v>
      </c>
      <c r="I3797" t="str">
        <f t="shared" si="92"/>
        <v>UNIFIRST CORPORATION</v>
      </c>
    </row>
    <row r="3798" spans="1:9" x14ac:dyDescent="0.25">
      <c r="A3798" s="6">
        <v>44755</v>
      </c>
      <c r="B3798" t="s">
        <v>26</v>
      </c>
      <c r="C3798">
        <v>70049</v>
      </c>
      <c r="D3798" t="s">
        <v>644</v>
      </c>
      <c r="E3798" s="7">
        <v>29.49</v>
      </c>
      <c r="F3798" t="s">
        <v>20</v>
      </c>
      <c r="G3798" t="s">
        <v>21</v>
      </c>
      <c r="H3798" t="str">
        <f>"8213749346"</f>
        <v>8213749346</v>
      </c>
      <c r="I3798" t="str">
        <f t="shared" si="92"/>
        <v>UNIFIRST CORPORATION</v>
      </c>
    </row>
    <row r="3799" spans="1:9" x14ac:dyDescent="0.25">
      <c r="A3799" s="6">
        <v>44755</v>
      </c>
      <c r="B3799" t="s">
        <v>26</v>
      </c>
      <c r="C3799">
        <v>70051</v>
      </c>
      <c r="D3799" t="s">
        <v>203</v>
      </c>
      <c r="E3799" s="7">
        <v>755.9</v>
      </c>
      <c r="F3799" t="s">
        <v>20</v>
      </c>
      <c r="G3799" t="s">
        <v>21</v>
      </c>
      <c r="H3799" t="str">
        <f>"020540"</f>
        <v>020540</v>
      </c>
      <c r="I3799" t="str">
        <f>"WWTP  SUPPLIES"</f>
        <v>WWTP  SUPPLIES</v>
      </c>
    </row>
    <row r="3800" spans="1:9" x14ac:dyDescent="0.25">
      <c r="A3800" s="6">
        <v>44755</v>
      </c>
      <c r="B3800" t="s">
        <v>26</v>
      </c>
      <c r="C3800">
        <v>70052</v>
      </c>
      <c r="D3800" t="s">
        <v>74</v>
      </c>
      <c r="E3800" s="7">
        <v>2326.77</v>
      </c>
      <c r="F3800" t="s">
        <v>20</v>
      </c>
      <c r="G3800" t="s">
        <v>21</v>
      </c>
      <c r="H3800" t="str">
        <f>"9909571105"</f>
        <v>9909571105</v>
      </c>
      <c r="I3800" t="str">
        <f>"VERIZON WIRELESS"</f>
        <v>VERIZON WIRELESS</v>
      </c>
    </row>
    <row r="3801" spans="1:9" x14ac:dyDescent="0.25">
      <c r="A3801" s="6">
        <v>44755</v>
      </c>
      <c r="B3801" t="s">
        <v>26</v>
      </c>
      <c r="C3801">
        <v>70052</v>
      </c>
      <c r="D3801" t="s">
        <v>74</v>
      </c>
      <c r="E3801" s="7">
        <v>1208.8800000000001</v>
      </c>
      <c r="F3801" t="s">
        <v>20</v>
      </c>
      <c r="G3801" t="s">
        <v>21</v>
      </c>
      <c r="H3801" t="str">
        <f>"9909571106"</f>
        <v>9909571106</v>
      </c>
      <c r="I3801" t="str">
        <f>"VERIZON WIRELESS"</f>
        <v>VERIZON WIRELESS</v>
      </c>
    </row>
    <row r="3802" spans="1:9" x14ac:dyDescent="0.25">
      <c r="A3802" s="6">
        <v>44755</v>
      </c>
      <c r="B3802" t="s">
        <v>26</v>
      </c>
      <c r="C3802">
        <v>70054</v>
      </c>
      <c r="D3802" t="s">
        <v>197</v>
      </c>
      <c r="E3802" s="7">
        <v>2988</v>
      </c>
      <c r="F3802" t="s">
        <v>20</v>
      </c>
      <c r="G3802" t="s">
        <v>21</v>
      </c>
      <c r="H3802" t="str">
        <f>"222624"</f>
        <v>222624</v>
      </c>
      <c r="I3802" t="str">
        <f>"POLYMER"</f>
        <v>POLYMER</v>
      </c>
    </row>
    <row r="3803" spans="1:9" x14ac:dyDescent="0.25">
      <c r="A3803" s="6">
        <v>44755</v>
      </c>
      <c r="B3803" t="s">
        <v>26</v>
      </c>
      <c r="C3803">
        <v>70055</v>
      </c>
      <c r="D3803" t="s">
        <v>122</v>
      </c>
      <c r="E3803" s="7">
        <v>45</v>
      </c>
      <c r="F3803" t="s">
        <v>20</v>
      </c>
      <c r="G3803" t="s">
        <v>21</v>
      </c>
      <c r="H3803" t="str">
        <f>"902066"</f>
        <v>902066</v>
      </c>
      <c r="I3803" t="str">
        <f>"VILLA TIRES"</f>
        <v>VILLA TIRES</v>
      </c>
    </row>
    <row r="3804" spans="1:9" x14ac:dyDescent="0.25">
      <c r="A3804" s="6">
        <v>44755</v>
      </c>
      <c r="B3804" t="s">
        <v>26</v>
      </c>
      <c r="C3804">
        <v>70056</v>
      </c>
      <c r="D3804" t="s">
        <v>1208</v>
      </c>
      <c r="E3804" s="7">
        <v>4040.25</v>
      </c>
      <c r="F3804" t="s">
        <v>20</v>
      </c>
      <c r="G3804" t="s">
        <v>21</v>
      </c>
      <c r="H3804" t="str">
        <f>"7/7/2022"</f>
        <v>7/7/2022</v>
      </c>
      <c r="I3804" t="str">
        <f>"LA VERNIA PUMP &amp; SUPPLY  INC"</f>
        <v>LA VERNIA PUMP &amp; SUPPLY  INC</v>
      </c>
    </row>
    <row r="3805" spans="1:9" x14ac:dyDescent="0.25">
      <c r="A3805" s="6">
        <v>44755</v>
      </c>
      <c r="B3805" t="s">
        <v>26</v>
      </c>
      <c r="C3805">
        <v>70057</v>
      </c>
      <c r="D3805" t="s">
        <v>1248</v>
      </c>
      <c r="E3805" s="7">
        <v>3300</v>
      </c>
      <c r="F3805" t="s">
        <v>20</v>
      </c>
      <c r="G3805" t="s">
        <v>21</v>
      </c>
      <c r="H3805" t="str">
        <f>"001216985"</f>
        <v>001216985</v>
      </c>
      <c r="I3805" t="str">
        <f>"D &amp; D TEXAS OUTFITTERS"</f>
        <v>D &amp; D TEXAS OUTFITTERS</v>
      </c>
    </row>
    <row r="3806" spans="1:9" x14ac:dyDescent="0.25">
      <c r="A3806" s="6">
        <v>44755</v>
      </c>
      <c r="B3806" t="s">
        <v>26</v>
      </c>
      <c r="C3806">
        <v>70058</v>
      </c>
      <c r="D3806" t="s">
        <v>401</v>
      </c>
      <c r="E3806" s="7">
        <v>771.36</v>
      </c>
      <c r="F3806" t="s">
        <v>20</v>
      </c>
      <c r="G3806" t="s">
        <v>21</v>
      </c>
      <c r="H3806" t="str">
        <f t="shared" ref="H3806:H3812" si="93">"FELPS SMR PROG '22"</f>
        <v>FELPS SMR PROG '22</v>
      </c>
      <c r="I3806" t="str">
        <f>"WILSON COUNTY PUBLIC LIBRARY"</f>
        <v>WILSON COUNTY PUBLIC LIBRARY</v>
      </c>
    </row>
    <row r="3807" spans="1:9" x14ac:dyDescent="0.25">
      <c r="A3807" s="6">
        <v>44755</v>
      </c>
      <c r="B3807" t="s">
        <v>26</v>
      </c>
      <c r="C3807">
        <v>70059</v>
      </c>
      <c r="D3807" t="s">
        <v>403</v>
      </c>
      <c r="E3807" s="7">
        <v>771.33</v>
      </c>
      <c r="F3807" t="s">
        <v>20</v>
      </c>
      <c r="G3807" t="s">
        <v>21</v>
      </c>
      <c r="H3807" t="str">
        <f t="shared" si="93"/>
        <v>FELPS SMR PROG '22</v>
      </c>
      <c r="I3807" t="str">
        <f>"ARCADIA MOVIES LLC"</f>
        <v>ARCADIA MOVIES LLC</v>
      </c>
    </row>
    <row r="3808" spans="1:9" x14ac:dyDescent="0.25">
      <c r="A3808" s="6">
        <v>44755</v>
      </c>
      <c r="B3808" t="s">
        <v>26</v>
      </c>
      <c r="C3808">
        <v>70060</v>
      </c>
      <c r="D3808" t="s">
        <v>724</v>
      </c>
      <c r="E3808" s="7">
        <v>771.33</v>
      </c>
      <c r="F3808" t="s">
        <v>20</v>
      </c>
      <c r="G3808" t="s">
        <v>21</v>
      </c>
      <c r="H3808" t="str">
        <f t="shared" si="93"/>
        <v>FELPS SMR PROG '22</v>
      </c>
      <c r="I3808" t="str">
        <f>"FLORESVILLE YOUTH BASKETBALL L"</f>
        <v>FLORESVILLE YOUTH BASKETBALL L</v>
      </c>
    </row>
    <row r="3809" spans="1:9" x14ac:dyDescent="0.25">
      <c r="A3809" s="6">
        <v>44755</v>
      </c>
      <c r="B3809" t="s">
        <v>26</v>
      </c>
      <c r="C3809">
        <v>70061</v>
      </c>
      <c r="D3809" t="s">
        <v>725</v>
      </c>
      <c r="E3809" s="7">
        <v>771.33</v>
      </c>
      <c r="F3809" t="s">
        <v>20</v>
      </c>
      <c r="G3809" t="s">
        <v>21</v>
      </c>
      <c r="H3809" t="str">
        <f t="shared" si="93"/>
        <v>FELPS SMR PROG '22</v>
      </c>
      <c r="I3809" t="str">
        <f>"FLORESVILLE WILDCATS"</f>
        <v>FLORESVILLE WILDCATS</v>
      </c>
    </row>
    <row r="3810" spans="1:9" x14ac:dyDescent="0.25">
      <c r="A3810" s="6">
        <v>44755</v>
      </c>
      <c r="B3810" t="s">
        <v>26</v>
      </c>
      <c r="C3810">
        <v>70062</v>
      </c>
      <c r="D3810" t="s">
        <v>404</v>
      </c>
      <c r="E3810" s="7">
        <v>771.33</v>
      </c>
      <c r="F3810" t="s">
        <v>20</v>
      </c>
      <c r="G3810" t="s">
        <v>21</v>
      </c>
      <c r="H3810" t="str">
        <f t="shared" si="93"/>
        <v>FELPS SMR PROG '22</v>
      </c>
      <c r="I3810" t="str">
        <f>"WILSON COUNTY ELITE BALLERZ"</f>
        <v>WILSON COUNTY ELITE BALLERZ</v>
      </c>
    </row>
    <row r="3811" spans="1:9" x14ac:dyDescent="0.25">
      <c r="A3811" s="6">
        <v>44755</v>
      </c>
      <c r="B3811" t="s">
        <v>26</v>
      </c>
      <c r="C3811">
        <v>70063</v>
      </c>
      <c r="D3811" t="s">
        <v>405</v>
      </c>
      <c r="E3811" s="7">
        <v>771.33</v>
      </c>
      <c r="F3811" t="s">
        <v>20</v>
      </c>
      <c r="G3811" t="s">
        <v>21</v>
      </c>
      <c r="H3811" t="str">
        <f t="shared" si="93"/>
        <v>FELPS SMR PROG '22</v>
      </c>
      <c r="I3811" t="str">
        <f>"ALL CITY YOUTH PROGRAMS"</f>
        <v>ALL CITY YOUTH PROGRAMS</v>
      </c>
    </row>
    <row r="3812" spans="1:9" x14ac:dyDescent="0.25">
      <c r="A3812" s="6">
        <v>44755</v>
      </c>
      <c r="B3812" t="s">
        <v>26</v>
      </c>
      <c r="C3812">
        <v>70064</v>
      </c>
      <c r="D3812" t="s">
        <v>1070</v>
      </c>
      <c r="E3812" s="7">
        <v>771.33</v>
      </c>
      <c r="F3812" t="s">
        <v>20</v>
      </c>
      <c r="G3812" t="s">
        <v>21</v>
      </c>
      <c r="H3812" t="str">
        <f t="shared" si="93"/>
        <v>FELPS SMR PROG '22</v>
      </c>
      <c r="I3812" t="str">
        <f>"THE WILSON BALLET"</f>
        <v>THE WILSON BALLET</v>
      </c>
    </row>
    <row r="3813" spans="1:9" x14ac:dyDescent="0.25">
      <c r="A3813" s="6">
        <v>44755</v>
      </c>
      <c r="B3813" t="s">
        <v>26</v>
      </c>
      <c r="C3813">
        <v>70065</v>
      </c>
      <c r="D3813" t="s">
        <v>1249</v>
      </c>
      <c r="E3813" s="7">
        <v>811.36</v>
      </c>
      <c r="F3813" t="s">
        <v>20</v>
      </c>
      <c r="G3813" t="s">
        <v>21</v>
      </c>
      <c r="H3813" t="str">
        <f>"W06892"</f>
        <v>W06892</v>
      </c>
      <c r="I3813" t="str">
        <f>"VERMEER EQUIPMENT OF TEXAS LLC"</f>
        <v>VERMEER EQUIPMENT OF TEXAS LLC</v>
      </c>
    </row>
    <row r="3814" spans="1:9" x14ac:dyDescent="0.25">
      <c r="A3814" s="6">
        <v>44755</v>
      </c>
      <c r="B3814" t="s">
        <v>26</v>
      </c>
      <c r="C3814">
        <v>70066</v>
      </c>
      <c r="D3814" t="s">
        <v>1068</v>
      </c>
      <c r="E3814" s="7">
        <v>771.33</v>
      </c>
      <c r="F3814" t="s">
        <v>20</v>
      </c>
      <c r="G3814" t="s">
        <v>21</v>
      </c>
      <c r="H3814" t="str">
        <f>"FELPS SMR PROG '22"</f>
        <v>FELPS SMR PROG '22</v>
      </c>
      <c r="I3814" t="str">
        <f>"FLO TOWN KICKS"</f>
        <v>FLO TOWN KICKS</v>
      </c>
    </row>
    <row r="3815" spans="1:9" x14ac:dyDescent="0.25">
      <c r="A3815" s="6">
        <v>44755</v>
      </c>
      <c r="B3815" t="s">
        <v>26</v>
      </c>
      <c r="C3815">
        <v>70067</v>
      </c>
      <c r="D3815" t="s">
        <v>1250</v>
      </c>
      <c r="E3815" s="7">
        <v>771.33</v>
      </c>
      <c r="F3815" t="s">
        <v>20</v>
      </c>
      <c r="G3815" t="s">
        <v>21</v>
      </c>
      <c r="H3815" t="str">
        <f>"FELPS SMR PROG '22"</f>
        <v>FELPS SMR PROG '22</v>
      </c>
      <c r="I3815" t="str">
        <f>"WILSON COUNTY SOCCER LEAGUE"</f>
        <v>WILSON COUNTY SOCCER LEAGUE</v>
      </c>
    </row>
    <row r="3816" spans="1:9" x14ac:dyDescent="0.25">
      <c r="A3816" s="6">
        <v>44755</v>
      </c>
      <c r="B3816" t="s">
        <v>91</v>
      </c>
      <c r="C3816">
        <v>70068</v>
      </c>
      <c r="D3816" t="s">
        <v>0</v>
      </c>
      <c r="E3816" s="7">
        <v>9393.44</v>
      </c>
      <c r="F3816" t="s">
        <v>20</v>
      </c>
      <c r="G3816" t="s">
        <v>21</v>
      </c>
      <c r="H3816" t="str">
        <f>"026*"</f>
        <v>026*</v>
      </c>
      <c r="I3816" t="str">
        <f>"CITY OF FLORESVILLE"</f>
        <v>CITY OF FLORESVILLE</v>
      </c>
    </row>
    <row r="3817" spans="1:9" x14ac:dyDescent="0.25">
      <c r="A3817" s="6">
        <v>44755</v>
      </c>
      <c r="B3817" t="s">
        <v>91</v>
      </c>
      <c r="C3817">
        <v>70068</v>
      </c>
      <c r="D3817" t="s">
        <v>0</v>
      </c>
      <c r="E3817" s="7">
        <v>9393.44</v>
      </c>
      <c r="F3817" t="s">
        <v>20</v>
      </c>
      <c r="G3817" t="s">
        <v>93</v>
      </c>
      <c r="H3817" t="str">
        <f>"CHECK"</f>
        <v>CHECK</v>
      </c>
      <c r="I3817" t="str">
        <f>""</f>
        <v/>
      </c>
    </row>
    <row r="3818" spans="1:9" x14ac:dyDescent="0.25">
      <c r="A3818" s="6">
        <v>44763</v>
      </c>
      <c r="B3818" t="s">
        <v>26</v>
      </c>
      <c r="C3818">
        <v>70069</v>
      </c>
      <c r="D3818" t="s">
        <v>880</v>
      </c>
      <c r="E3818" s="7">
        <v>600</v>
      </c>
      <c r="F3818" t="s">
        <v>20</v>
      </c>
      <c r="G3818" t="s">
        <v>21</v>
      </c>
      <c r="H3818" t="str">
        <f>"4TH OF JULY 2022"</f>
        <v>4TH OF JULY 2022</v>
      </c>
      <c r="I3818" t="str">
        <f>"ATASCOSA COUNTRY RADIO"</f>
        <v>ATASCOSA COUNTRY RADIO</v>
      </c>
    </row>
    <row r="3819" spans="1:9" x14ac:dyDescent="0.25">
      <c r="A3819" s="6">
        <v>44763</v>
      </c>
      <c r="B3819" t="s">
        <v>26</v>
      </c>
      <c r="C3819">
        <v>70070</v>
      </c>
      <c r="D3819" t="s">
        <v>821</v>
      </c>
      <c r="E3819" s="7">
        <v>2991.21</v>
      </c>
      <c r="F3819" t="s">
        <v>20</v>
      </c>
      <c r="G3819" t="s">
        <v>21</v>
      </c>
      <c r="H3819" t="str">
        <f>"FRI10031"</f>
        <v>FRI10031</v>
      </c>
      <c r="I3819" t="str">
        <f>"AUSTIN ARMATURE WORKS  LP"</f>
        <v>AUSTIN ARMATURE WORKS  LP</v>
      </c>
    </row>
    <row r="3820" spans="1:9" x14ac:dyDescent="0.25">
      <c r="A3820" s="6">
        <v>44763</v>
      </c>
      <c r="B3820" t="s">
        <v>26</v>
      </c>
      <c r="C3820">
        <v>70071</v>
      </c>
      <c r="D3820" t="s">
        <v>102</v>
      </c>
      <c r="E3820" s="7">
        <v>46.4</v>
      </c>
      <c r="F3820" t="s">
        <v>20</v>
      </c>
      <c r="G3820" t="s">
        <v>21</v>
      </c>
      <c r="H3820" t="str">
        <f>"1120 D ST JULY '22"</f>
        <v>1120 D ST JULY '22</v>
      </c>
      <c r="I3820" t="str">
        <f>"CENTERPOINT ENERGY ENTEX"</f>
        <v>CENTERPOINT ENERGY ENTEX</v>
      </c>
    </row>
    <row r="3821" spans="1:9" x14ac:dyDescent="0.25">
      <c r="A3821" s="6">
        <v>44763</v>
      </c>
      <c r="B3821" t="s">
        <v>26</v>
      </c>
      <c r="C3821">
        <v>70071</v>
      </c>
      <c r="D3821" t="s">
        <v>102</v>
      </c>
      <c r="E3821" s="7">
        <v>43.43</v>
      </c>
      <c r="F3821" t="s">
        <v>20</v>
      </c>
      <c r="G3821" t="s">
        <v>21</v>
      </c>
      <c r="H3821" t="str">
        <f>"1200 1ST JULY 2022"</f>
        <v>1200 1ST JULY 2022</v>
      </c>
      <c r="I3821" t="str">
        <f>"CENTERPOINT ENERGY ENTEX"</f>
        <v>CENTERPOINT ENERGY ENTEX</v>
      </c>
    </row>
    <row r="3822" spans="1:9" x14ac:dyDescent="0.25">
      <c r="A3822" s="6">
        <v>44763</v>
      </c>
      <c r="B3822" t="s">
        <v>26</v>
      </c>
      <c r="C3822">
        <v>70071</v>
      </c>
      <c r="D3822" t="s">
        <v>102</v>
      </c>
      <c r="E3822" s="7">
        <v>47.01</v>
      </c>
      <c r="F3822" t="s">
        <v>20</v>
      </c>
      <c r="G3822" t="s">
        <v>21</v>
      </c>
      <c r="H3822" t="str">
        <f>"920 C ST JULY 2022"</f>
        <v>920 C ST JULY 2022</v>
      </c>
      <c r="I3822" t="str">
        <f>"CENTERPOINT ENERGY ENTEX"</f>
        <v>CENTERPOINT ENERGY ENTEX</v>
      </c>
    </row>
    <row r="3823" spans="1:9" x14ac:dyDescent="0.25">
      <c r="A3823" s="6">
        <v>44763</v>
      </c>
      <c r="B3823" t="s">
        <v>26</v>
      </c>
      <c r="C3823">
        <v>70072</v>
      </c>
      <c r="D3823" t="s">
        <v>63</v>
      </c>
      <c r="E3823" s="7">
        <v>1063.71</v>
      </c>
      <c r="F3823" t="s">
        <v>20</v>
      </c>
      <c r="G3823" t="s">
        <v>21</v>
      </c>
      <c r="H3823" t="str">
        <f>"8405760705"</f>
        <v>8405760705</v>
      </c>
      <c r="I3823" t="str">
        <f>"CINTAS CORPORATION"</f>
        <v>CINTAS CORPORATION</v>
      </c>
    </row>
    <row r="3824" spans="1:9" x14ac:dyDescent="0.25">
      <c r="A3824" s="6">
        <v>44763</v>
      </c>
      <c r="B3824" t="s">
        <v>26</v>
      </c>
      <c r="C3824">
        <v>70073</v>
      </c>
      <c r="D3824" t="s">
        <v>180</v>
      </c>
      <c r="E3824" s="7">
        <v>13.98</v>
      </c>
      <c r="F3824" t="s">
        <v>20</v>
      </c>
      <c r="G3824" t="s">
        <v>21</v>
      </c>
      <c r="H3824" t="str">
        <f>"2207-V29481"</f>
        <v>2207-V29481</v>
      </c>
      <c r="I3824" t="str">
        <f>"DITTMAR LUMBER CO."</f>
        <v>DITTMAR LUMBER CO.</v>
      </c>
    </row>
    <row r="3825" spans="1:9" x14ac:dyDescent="0.25">
      <c r="A3825" s="6">
        <v>44763</v>
      </c>
      <c r="B3825" t="s">
        <v>26</v>
      </c>
      <c r="C3825">
        <v>70074</v>
      </c>
      <c r="D3825" t="s">
        <v>77</v>
      </c>
      <c r="E3825" s="7">
        <v>30</v>
      </c>
      <c r="F3825" t="s">
        <v>20</v>
      </c>
      <c r="G3825" t="s">
        <v>21</v>
      </c>
      <c r="H3825" t="str">
        <f>"DE85001238-22"</f>
        <v>DE85001238-22</v>
      </c>
      <c r="I3825" t="str">
        <f>"DPC INDUSTRIES  INC."</f>
        <v>DPC INDUSTRIES  INC.</v>
      </c>
    </row>
    <row r="3826" spans="1:9" x14ac:dyDescent="0.25">
      <c r="A3826" s="6">
        <v>44763</v>
      </c>
      <c r="B3826" t="s">
        <v>26</v>
      </c>
      <c r="C3826">
        <v>70074</v>
      </c>
      <c r="D3826" t="s">
        <v>77</v>
      </c>
      <c r="E3826" s="7">
        <v>200</v>
      </c>
      <c r="F3826" t="s">
        <v>20</v>
      </c>
      <c r="G3826" t="s">
        <v>21</v>
      </c>
      <c r="H3826" t="str">
        <f>"DE85001424-22"</f>
        <v>DE85001424-22</v>
      </c>
      <c r="I3826" t="str">
        <f>"DPC INDUSTRIES  INC."</f>
        <v>DPC INDUSTRIES  INC.</v>
      </c>
    </row>
    <row r="3827" spans="1:9" x14ac:dyDescent="0.25">
      <c r="A3827" s="6">
        <v>44763</v>
      </c>
      <c r="B3827" t="s">
        <v>26</v>
      </c>
      <c r="C3827">
        <v>70075</v>
      </c>
      <c r="D3827" t="s">
        <v>79</v>
      </c>
      <c r="E3827" s="7">
        <v>7.31</v>
      </c>
      <c r="F3827" t="s">
        <v>20</v>
      </c>
      <c r="G3827" t="s">
        <v>21</v>
      </c>
      <c r="H3827" t="str">
        <f>"7-812-37472"</f>
        <v>7-812-37472</v>
      </c>
      <c r="I3827" t="str">
        <f>"FEDEX"</f>
        <v>FEDEX</v>
      </c>
    </row>
    <row r="3828" spans="1:9" x14ac:dyDescent="0.25">
      <c r="A3828" s="6">
        <v>44763</v>
      </c>
      <c r="B3828" t="s">
        <v>26</v>
      </c>
      <c r="C3828">
        <v>70076</v>
      </c>
      <c r="D3828" t="s">
        <v>59</v>
      </c>
      <c r="E3828" s="7">
        <v>1379.51</v>
      </c>
      <c r="F3828" t="s">
        <v>20</v>
      </c>
      <c r="G3828" t="s">
        <v>21</v>
      </c>
      <c r="H3828" t="str">
        <f>"1183501"</f>
        <v>1183501</v>
      </c>
      <c r="I3828" t="str">
        <f>"FERGUSON WATERWORKS - MUNICIPA"</f>
        <v>FERGUSON WATERWORKS - MUNICIPA</v>
      </c>
    </row>
    <row r="3829" spans="1:9" x14ac:dyDescent="0.25">
      <c r="A3829" s="6">
        <v>44763</v>
      </c>
      <c r="B3829" t="s">
        <v>26</v>
      </c>
      <c r="C3829">
        <v>70077</v>
      </c>
      <c r="D3829" t="s">
        <v>85</v>
      </c>
      <c r="E3829" s="7">
        <v>74.33</v>
      </c>
      <c r="F3829" t="s">
        <v>20</v>
      </c>
      <c r="G3829" t="s">
        <v>21</v>
      </c>
      <c r="H3829" t="str">
        <f>"3932804 JULY 2022"</f>
        <v>3932804 JULY 2022</v>
      </c>
      <c r="I3829" t="str">
        <f>"FRONTIER"</f>
        <v>FRONTIER</v>
      </c>
    </row>
    <row r="3830" spans="1:9" x14ac:dyDescent="0.25">
      <c r="A3830" s="6">
        <v>44763</v>
      </c>
      <c r="B3830" t="s">
        <v>26</v>
      </c>
      <c r="C3830">
        <v>70077</v>
      </c>
      <c r="D3830" t="s">
        <v>85</v>
      </c>
      <c r="E3830" s="7">
        <v>47.75</v>
      </c>
      <c r="F3830" t="s">
        <v>20</v>
      </c>
      <c r="G3830" t="s">
        <v>21</v>
      </c>
      <c r="H3830" t="str">
        <f>"3936794 JULY 2022"</f>
        <v>3936794 JULY 2022</v>
      </c>
      <c r="I3830" t="str">
        <f>"FRONTIER"</f>
        <v>FRONTIER</v>
      </c>
    </row>
    <row r="3831" spans="1:9" x14ac:dyDescent="0.25">
      <c r="A3831" s="6">
        <v>44763</v>
      </c>
      <c r="B3831" t="s">
        <v>26</v>
      </c>
      <c r="C3831">
        <v>70077</v>
      </c>
      <c r="D3831" t="s">
        <v>85</v>
      </c>
      <c r="E3831" s="7">
        <v>88.72</v>
      </c>
      <c r="F3831" t="s">
        <v>20</v>
      </c>
      <c r="G3831" t="s">
        <v>21</v>
      </c>
      <c r="H3831" t="str">
        <f>"3938193 JULY 2022"</f>
        <v>3938193 JULY 2022</v>
      </c>
      <c r="I3831" t="str">
        <f>"FRONTIER"</f>
        <v>FRONTIER</v>
      </c>
    </row>
    <row r="3832" spans="1:9" x14ac:dyDescent="0.25">
      <c r="A3832" s="6">
        <v>44763</v>
      </c>
      <c r="B3832" t="s">
        <v>26</v>
      </c>
      <c r="C3832">
        <v>70077</v>
      </c>
      <c r="D3832" t="s">
        <v>85</v>
      </c>
      <c r="E3832" s="7">
        <v>215.96</v>
      </c>
      <c r="F3832" t="s">
        <v>20</v>
      </c>
      <c r="G3832" t="s">
        <v>21</v>
      </c>
      <c r="H3832" t="str">
        <f>"8301970102 7/2022"</f>
        <v>8301970102 7/2022</v>
      </c>
      <c r="I3832" t="str">
        <f>"FRONTIER"</f>
        <v>FRONTIER</v>
      </c>
    </row>
    <row r="3833" spans="1:9" x14ac:dyDescent="0.25">
      <c r="A3833" s="6">
        <v>44763</v>
      </c>
      <c r="B3833" t="s">
        <v>26</v>
      </c>
      <c r="C3833">
        <v>70078</v>
      </c>
      <c r="D3833" t="s">
        <v>328</v>
      </c>
      <c r="E3833" s="7">
        <v>1250</v>
      </c>
      <c r="F3833" t="s">
        <v>20</v>
      </c>
      <c r="G3833" t="s">
        <v>21</v>
      </c>
      <c r="H3833" t="str">
        <f>"7022162"</f>
        <v>7022162</v>
      </c>
      <c r="I3833" t="str">
        <f>"KOLOGIK"</f>
        <v>KOLOGIK</v>
      </c>
    </row>
    <row r="3834" spans="1:9" x14ac:dyDescent="0.25">
      <c r="A3834" s="6">
        <v>44763</v>
      </c>
      <c r="B3834" t="s">
        <v>26</v>
      </c>
      <c r="C3834">
        <v>70079</v>
      </c>
      <c r="D3834" t="s">
        <v>1032</v>
      </c>
      <c r="E3834" s="7">
        <v>1000</v>
      </c>
      <c r="F3834" t="s">
        <v>20</v>
      </c>
      <c r="G3834" t="s">
        <v>21</v>
      </c>
      <c r="H3834" t="str">
        <f>"6-22-18033  7/5/22"</f>
        <v>6-22-18033  7/5/22</v>
      </c>
      <c r="I3834" t="str">
        <f>"LEAL &amp; CARTER  P.C."</f>
        <v>LEAL &amp; CARTER  P.C.</v>
      </c>
    </row>
    <row r="3835" spans="1:9" x14ac:dyDescent="0.25">
      <c r="A3835" s="6">
        <v>44763</v>
      </c>
      <c r="B3835" t="s">
        <v>26</v>
      </c>
      <c r="C3835">
        <v>70080</v>
      </c>
      <c r="D3835" t="s">
        <v>117</v>
      </c>
      <c r="E3835" s="7">
        <v>446.47</v>
      </c>
      <c r="F3835" t="s">
        <v>20</v>
      </c>
      <c r="G3835" t="s">
        <v>21</v>
      </c>
      <c r="H3835" t="str">
        <f>"JUNE 2022"</f>
        <v>JUNE 2022</v>
      </c>
      <c r="I3835" t="str">
        <f>"LINEBARGER GOGGAN BLAIR &amp; SAMP"</f>
        <v>LINEBARGER GOGGAN BLAIR &amp; SAMP</v>
      </c>
    </row>
    <row r="3836" spans="1:9" x14ac:dyDescent="0.25">
      <c r="A3836" s="6">
        <v>44763</v>
      </c>
      <c r="B3836" t="s">
        <v>26</v>
      </c>
      <c r="C3836">
        <v>70081</v>
      </c>
      <c r="D3836" t="s">
        <v>29</v>
      </c>
      <c r="E3836" s="7">
        <v>845</v>
      </c>
      <c r="F3836" t="s">
        <v>20</v>
      </c>
      <c r="G3836" t="s">
        <v>21</v>
      </c>
      <c r="H3836" t="str">
        <f>"59642"</f>
        <v>59642</v>
      </c>
      <c r="I3836" t="str">
        <f>"M &amp; S ENGINEERING  LLC"</f>
        <v>M &amp; S ENGINEERING  LLC</v>
      </c>
    </row>
    <row r="3837" spans="1:9" x14ac:dyDescent="0.25">
      <c r="A3837" s="6">
        <v>44763</v>
      </c>
      <c r="B3837" t="s">
        <v>26</v>
      </c>
      <c r="C3837">
        <v>70082</v>
      </c>
      <c r="D3837" t="s">
        <v>345</v>
      </c>
      <c r="E3837" s="7">
        <v>429</v>
      </c>
      <c r="F3837" t="s">
        <v>20</v>
      </c>
      <c r="G3837" t="s">
        <v>21</v>
      </c>
      <c r="H3837" t="str">
        <f>"07/18/2022"</f>
        <v>07/18/2022</v>
      </c>
      <c r="I3837" t="str">
        <f>"MICHAEL ISAAC MARTINEZ"</f>
        <v>MICHAEL ISAAC MARTINEZ</v>
      </c>
    </row>
    <row r="3838" spans="1:9" x14ac:dyDescent="0.25">
      <c r="A3838" s="6">
        <v>44763</v>
      </c>
      <c r="B3838" t="s">
        <v>26</v>
      </c>
      <c r="C3838">
        <v>70083</v>
      </c>
      <c r="D3838" t="s">
        <v>1081</v>
      </c>
      <c r="E3838" s="7">
        <v>858</v>
      </c>
      <c r="F3838" t="s">
        <v>20</v>
      </c>
      <c r="G3838" t="s">
        <v>21</v>
      </c>
      <c r="H3838" t="str">
        <f>"39647"</f>
        <v>39647</v>
      </c>
      <c r="I3838" t="str">
        <f>"PINNACLE PEST DEFENSE"</f>
        <v>PINNACLE PEST DEFENSE</v>
      </c>
    </row>
    <row r="3839" spans="1:9" x14ac:dyDescent="0.25">
      <c r="A3839" s="6">
        <v>44763</v>
      </c>
      <c r="B3839" t="s">
        <v>26</v>
      </c>
      <c r="C3839">
        <v>70083</v>
      </c>
      <c r="D3839" t="s">
        <v>1081</v>
      </c>
      <c r="E3839" s="7">
        <v>50</v>
      </c>
      <c r="F3839" t="s">
        <v>20</v>
      </c>
      <c r="G3839" t="s">
        <v>21</v>
      </c>
      <c r="H3839" t="str">
        <f>"40068"</f>
        <v>40068</v>
      </c>
      <c r="I3839" t="str">
        <f>"PINNACLE PEST DEFENSE"</f>
        <v>PINNACLE PEST DEFENSE</v>
      </c>
    </row>
    <row r="3840" spans="1:9" x14ac:dyDescent="0.25">
      <c r="A3840" s="6">
        <v>44763</v>
      </c>
      <c r="B3840" t="s">
        <v>26</v>
      </c>
      <c r="C3840">
        <v>70084</v>
      </c>
      <c r="D3840" t="s">
        <v>1152</v>
      </c>
      <c r="E3840" s="7">
        <v>601</v>
      </c>
      <c r="F3840" t="s">
        <v>20</v>
      </c>
      <c r="G3840" t="s">
        <v>21</v>
      </c>
      <c r="H3840" t="str">
        <f>"9567-  7/31/2022"</f>
        <v>9567-  7/31/2022</v>
      </c>
      <c r="I3840" t="str">
        <f>"PITNEY BOWES PURCHASE POWER"</f>
        <v>PITNEY BOWES PURCHASE POWER</v>
      </c>
    </row>
    <row r="3841" spans="1:9" x14ac:dyDescent="0.25">
      <c r="A3841" s="6">
        <v>44763</v>
      </c>
      <c r="B3841" t="s">
        <v>26</v>
      </c>
      <c r="C3841">
        <v>70085</v>
      </c>
      <c r="D3841" t="s">
        <v>323</v>
      </c>
      <c r="E3841" s="7">
        <v>630</v>
      </c>
      <c r="F3841" t="s">
        <v>20</v>
      </c>
      <c r="G3841" t="s">
        <v>21</v>
      </c>
      <c r="H3841" t="str">
        <f>"11785"</f>
        <v>11785</v>
      </c>
      <c r="I3841" t="str">
        <f>"POLLOK SELF STORAGE LLC"</f>
        <v>POLLOK SELF STORAGE LLC</v>
      </c>
    </row>
    <row r="3842" spans="1:9" x14ac:dyDescent="0.25">
      <c r="A3842" s="6">
        <v>44763</v>
      </c>
      <c r="B3842" t="s">
        <v>26</v>
      </c>
      <c r="C3842">
        <v>70086</v>
      </c>
      <c r="D3842" t="s">
        <v>1251</v>
      </c>
      <c r="E3842" s="7">
        <v>460</v>
      </c>
      <c r="F3842" t="s">
        <v>20</v>
      </c>
      <c r="G3842" t="s">
        <v>21</v>
      </c>
      <c r="H3842" t="str">
        <f>"1620"</f>
        <v>1620</v>
      </c>
      <c r="I3842" t="str">
        <f>"PRECISION CALIBRATE METER SERV"</f>
        <v>PRECISION CALIBRATE METER SERV</v>
      </c>
    </row>
    <row r="3843" spans="1:9" x14ac:dyDescent="0.25">
      <c r="A3843" s="6">
        <v>44763</v>
      </c>
      <c r="B3843" t="s">
        <v>26</v>
      </c>
      <c r="C3843">
        <v>70087</v>
      </c>
      <c r="D3843" t="s">
        <v>528</v>
      </c>
      <c r="E3843" s="7">
        <v>212.03</v>
      </c>
      <c r="F3843" t="s">
        <v>20</v>
      </c>
      <c r="G3843" t="s">
        <v>21</v>
      </c>
      <c r="H3843" t="str">
        <f>"10875017"</f>
        <v>10875017</v>
      </c>
      <c r="I3843" t="str">
        <f>"PROSTAR SERVICES INC"</f>
        <v>PROSTAR SERVICES INC</v>
      </c>
    </row>
    <row r="3844" spans="1:9" x14ac:dyDescent="0.25">
      <c r="A3844" s="6">
        <v>44763</v>
      </c>
      <c r="B3844" t="s">
        <v>26</v>
      </c>
      <c r="C3844">
        <v>70088</v>
      </c>
      <c r="D3844" t="s">
        <v>126</v>
      </c>
      <c r="E3844" s="7">
        <v>1539.43</v>
      </c>
      <c r="F3844" t="s">
        <v>20</v>
      </c>
      <c r="G3844" t="s">
        <v>21</v>
      </c>
      <c r="H3844" t="str">
        <f>"0859-003152145"</f>
        <v>0859-003152145</v>
      </c>
      <c r="I3844" t="str">
        <f>"REPUBLIC SERVICES #859"</f>
        <v>REPUBLIC SERVICES #859</v>
      </c>
    </row>
    <row r="3845" spans="1:9" x14ac:dyDescent="0.25">
      <c r="A3845" s="6">
        <v>44763</v>
      </c>
      <c r="B3845" t="s">
        <v>26</v>
      </c>
      <c r="C3845">
        <v>70089</v>
      </c>
      <c r="D3845" t="s">
        <v>61</v>
      </c>
      <c r="E3845" s="7">
        <v>1215</v>
      </c>
      <c r="F3845" t="s">
        <v>20</v>
      </c>
      <c r="G3845" t="s">
        <v>21</v>
      </c>
      <c r="H3845" t="str">
        <f>"025-385699"</f>
        <v>025-385699</v>
      </c>
      <c r="I3845" t="str">
        <f>"TYLER TECHNOLOGIES  INC."</f>
        <v>TYLER TECHNOLOGIES  INC.</v>
      </c>
    </row>
    <row r="3846" spans="1:9" x14ac:dyDescent="0.25">
      <c r="A3846" s="6">
        <v>44763</v>
      </c>
      <c r="B3846" t="s">
        <v>26</v>
      </c>
      <c r="C3846">
        <v>70089</v>
      </c>
      <c r="D3846" t="s">
        <v>61</v>
      </c>
      <c r="E3846" s="7">
        <v>76.3</v>
      </c>
      <c r="F3846" t="s">
        <v>20</v>
      </c>
      <c r="G3846" t="s">
        <v>21</v>
      </c>
      <c r="H3846" t="str">
        <f>"025-386133"</f>
        <v>025-386133</v>
      </c>
      <c r="I3846" t="str">
        <f>"TYLER TECHNOLOGIES  INC."</f>
        <v>TYLER TECHNOLOGIES  INC.</v>
      </c>
    </row>
    <row r="3847" spans="1:9" x14ac:dyDescent="0.25">
      <c r="A3847" s="6">
        <v>44763</v>
      </c>
      <c r="B3847" t="s">
        <v>26</v>
      </c>
      <c r="C3847">
        <v>70090</v>
      </c>
      <c r="D3847" t="s">
        <v>644</v>
      </c>
      <c r="E3847" s="7">
        <v>29.49</v>
      </c>
      <c r="F3847" t="s">
        <v>20</v>
      </c>
      <c r="G3847" t="s">
        <v>21</v>
      </c>
      <c r="H3847" t="str">
        <f>"8213751955"</f>
        <v>8213751955</v>
      </c>
      <c r="I3847" t="str">
        <f>"UNIFIRST CORPORATION"</f>
        <v>UNIFIRST CORPORATION</v>
      </c>
    </row>
    <row r="3848" spans="1:9" x14ac:dyDescent="0.25">
      <c r="A3848" s="6">
        <v>44763</v>
      </c>
      <c r="B3848" t="s">
        <v>26</v>
      </c>
      <c r="C3848">
        <v>70090</v>
      </c>
      <c r="D3848" t="s">
        <v>644</v>
      </c>
      <c r="E3848" s="7">
        <v>120.09</v>
      </c>
      <c r="F3848" t="s">
        <v>20</v>
      </c>
      <c r="G3848" t="s">
        <v>21</v>
      </c>
      <c r="H3848" t="str">
        <f>"8213751956"</f>
        <v>8213751956</v>
      </c>
      <c r="I3848" t="str">
        <f>"UNIFIRST CORPORATION"</f>
        <v>UNIFIRST CORPORATION</v>
      </c>
    </row>
    <row r="3849" spans="1:9" x14ac:dyDescent="0.25">
      <c r="A3849" s="6">
        <v>44763</v>
      </c>
      <c r="B3849" t="s">
        <v>26</v>
      </c>
      <c r="C3849">
        <v>70090</v>
      </c>
      <c r="D3849" t="s">
        <v>644</v>
      </c>
      <c r="E3849" s="7">
        <v>105.22</v>
      </c>
      <c r="F3849" t="s">
        <v>20</v>
      </c>
      <c r="G3849" t="s">
        <v>21</v>
      </c>
      <c r="H3849" t="str">
        <f>"8213751957"</f>
        <v>8213751957</v>
      </c>
      <c r="I3849" t="str">
        <f>"UNIFIRST CORPORATION"</f>
        <v>UNIFIRST CORPORATION</v>
      </c>
    </row>
    <row r="3850" spans="1:9" x14ac:dyDescent="0.25">
      <c r="A3850" s="6">
        <v>44763</v>
      </c>
      <c r="B3850" t="s">
        <v>26</v>
      </c>
      <c r="C3850">
        <v>70090</v>
      </c>
      <c r="D3850" t="s">
        <v>644</v>
      </c>
      <c r="E3850" s="7">
        <v>115.31</v>
      </c>
      <c r="F3850" t="s">
        <v>20</v>
      </c>
      <c r="G3850" t="s">
        <v>21</v>
      </c>
      <c r="H3850" t="str">
        <f>"8213751959"</f>
        <v>8213751959</v>
      </c>
      <c r="I3850" t="str">
        <f>"UNIFIRST CORPORATION"</f>
        <v>UNIFIRST CORPORATION</v>
      </c>
    </row>
    <row r="3851" spans="1:9" x14ac:dyDescent="0.25">
      <c r="A3851" s="6">
        <v>44763</v>
      </c>
      <c r="B3851" t="s">
        <v>26</v>
      </c>
      <c r="C3851">
        <v>70090</v>
      </c>
      <c r="D3851" t="s">
        <v>644</v>
      </c>
      <c r="E3851" s="7">
        <v>29.49</v>
      </c>
      <c r="F3851" t="s">
        <v>20</v>
      </c>
      <c r="G3851" t="s">
        <v>21</v>
      </c>
      <c r="H3851" t="str">
        <f>"8213751960"</f>
        <v>8213751960</v>
      </c>
      <c r="I3851" t="str">
        <f>"UNIFIRST CORPORATION"</f>
        <v>UNIFIRST CORPORATION</v>
      </c>
    </row>
    <row r="3852" spans="1:9" x14ac:dyDescent="0.25">
      <c r="A3852" s="6">
        <v>44763</v>
      </c>
      <c r="B3852" t="s">
        <v>26</v>
      </c>
      <c r="C3852">
        <v>70091</v>
      </c>
      <c r="D3852" t="s">
        <v>122</v>
      </c>
      <c r="E3852" s="7">
        <v>10</v>
      </c>
      <c r="F3852" t="s">
        <v>20</v>
      </c>
      <c r="G3852" t="s">
        <v>21</v>
      </c>
      <c r="H3852" t="str">
        <f>"004699"</f>
        <v>004699</v>
      </c>
      <c r="I3852" t="str">
        <f>"VILLA TIRES"</f>
        <v>VILLA TIRES</v>
      </c>
    </row>
    <row r="3853" spans="1:9" x14ac:dyDescent="0.25">
      <c r="A3853" s="6">
        <v>44763</v>
      </c>
      <c r="B3853" t="s">
        <v>26</v>
      </c>
      <c r="C3853">
        <v>70091</v>
      </c>
      <c r="D3853" t="s">
        <v>122</v>
      </c>
      <c r="E3853" s="7">
        <v>10</v>
      </c>
      <c r="F3853" t="s">
        <v>20</v>
      </c>
      <c r="G3853" t="s">
        <v>21</v>
      </c>
      <c r="H3853" t="str">
        <f>"902063"</f>
        <v>902063</v>
      </c>
      <c r="I3853" t="str">
        <f>"VILLA TIRES"</f>
        <v>VILLA TIRES</v>
      </c>
    </row>
    <row r="3854" spans="1:9" x14ac:dyDescent="0.25">
      <c r="A3854" s="6">
        <v>44763</v>
      </c>
      <c r="B3854" t="s">
        <v>26</v>
      </c>
      <c r="C3854">
        <v>70092</v>
      </c>
      <c r="D3854" t="s">
        <v>104</v>
      </c>
      <c r="E3854" s="7">
        <v>245</v>
      </c>
      <c r="F3854" t="s">
        <v>20</v>
      </c>
      <c r="G3854" t="s">
        <v>21</v>
      </c>
      <c r="H3854" t="str">
        <f>"30737"</f>
        <v>30737</v>
      </c>
      <c r="I3854" t="str">
        <f>"WILSON COUNTY NEWS"</f>
        <v>WILSON COUNTY NEWS</v>
      </c>
    </row>
    <row r="3855" spans="1:9" x14ac:dyDescent="0.25">
      <c r="A3855" s="6">
        <v>44763</v>
      </c>
      <c r="B3855" t="s">
        <v>26</v>
      </c>
      <c r="C3855">
        <v>70092</v>
      </c>
      <c r="D3855" t="s">
        <v>104</v>
      </c>
      <c r="E3855" s="7">
        <v>359.87</v>
      </c>
      <c r="F3855" t="s">
        <v>20</v>
      </c>
      <c r="G3855" t="s">
        <v>21</v>
      </c>
      <c r="H3855" t="str">
        <f>"31391"</f>
        <v>31391</v>
      </c>
      <c r="I3855" t="str">
        <f>"WILSON COUNTY NEWS"</f>
        <v>WILSON COUNTY NEWS</v>
      </c>
    </row>
    <row r="3856" spans="1:9" x14ac:dyDescent="0.25">
      <c r="A3856" s="6">
        <v>44763</v>
      </c>
      <c r="B3856" t="s">
        <v>26</v>
      </c>
      <c r="C3856">
        <v>70092</v>
      </c>
      <c r="D3856" t="s">
        <v>104</v>
      </c>
      <c r="E3856" s="7">
        <v>89.04</v>
      </c>
      <c r="F3856" t="s">
        <v>20</v>
      </c>
      <c r="G3856" t="s">
        <v>21</v>
      </c>
      <c r="H3856" t="str">
        <f>"31423"</f>
        <v>31423</v>
      </c>
      <c r="I3856" t="str">
        <f>"WILSON COUNTY NEWS"</f>
        <v>WILSON COUNTY NEWS</v>
      </c>
    </row>
    <row r="3857" spans="1:9" x14ac:dyDescent="0.25">
      <c r="A3857" s="6">
        <v>44763</v>
      </c>
      <c r="B3857" t="s">
        <v>26</v>
      </c>
      <c r="C3857">
        <v>70092</v>
      </c>
      <c r="D3857" t="s">
        <v>104</v>
      </c>
      <c r="E3857" s="7">
        <v>394.9</v>
      </c>
      <c r="F3857" t="s">
        <v>20</v>
      </c>
      <c r="G3857" t="s">
        <v>21</v>
      </c>
      <c r="H3857" t="str">
        <f>"34034"</f>
        <v>34034</v>
      </c>
      <c r="I3857" t="str">
        <f>"WILSON COUNTY NEWS"</f>
        <v>WILSON COUNTY NEWS</v>
      </c>
    </row>
    <row r="3858" spans="1:9" x14ac:dyDescent="0.25">
      <c r="A3858" s="6">
        <v>44763</v>
      </c>
      <c r="B3858" t="s">
        <v>26</v>
      </c>
      <c r="C3858">
        <v>70092</v>
      </c>
      <c r="D3858" t="s">
        <v>104</v>
      </c>
      <c r="E3858" s="7">
        <v>394.9</v>
      </c>
      <c r="F3858" t="s">
        <v>20</v>
      </c>
      <c r="G3858" t="s">
        <v>21</v>
      </c>
      <c r="H3858" t="str">
        <f>"34243"</f>
        <v>34243</v>
      </c>
      <c r="I3858" t="str">
        <f>"WILSON COUNTY NEWS"</f>
        <v>WILSON COUNTY NEWS</v>
      </c>
    </row>
    <row r="3859" spans="1:9" x14ac:dyDescent="0.25">
      <c r="A3859" s="6">
        <v>44763</v>
      </c>
      <c r="B3859" t="s">
        <v>26</v>
      </c>
      <c r="C3859">
        <v>70093</v>
      </c>
      <c r="D3859" t="s">
        <v>143</v>
      </c>
      <c r="E3859" s="7">
        <v>242.7</v>
      </c>
      <c r="F3859" t="s">
        <v>20</v>
      </c>
      <c r="G3859" t="s">
        <v>21</v>
      </c>
      <c r="H3859" t="str">
        <f>"9402734161"</f>
        <v>9402734161</v>
      </c>
      <c r="I3859" t="str">
        <f>"200 GALLONS OF OIL"</f>
        <v>200 GALLONS OF OIL</v>
      </c>
    </row>
    <row r="3860" spans="1:9" x14ac:dyDescent="0.25">
      <c r="A3860" s="6">
        <v>44763</v>
      </c>
      <c r="B3860" t="s">
        <v>26</v>
      </c>
      <c r="C3860">
        <v>70094</v>
      </c>
      <c r="D3860" t="s">
        <v>180</v>
      </c>
      <c r="E3860" s="7">
        <v>146.57</v>
      </c>
      <c r="F3860" t="s">
        <v>20</v>
      </c>
      <c r="G3860" t="s">
        <v>21</v>
      </c>
      <c r="H3860" t="str">
        <f>"2207-V29477"</f>
        <v>2207-V29477</v>
      </c>
      <c r="I3860" t="str">
        <f>"PLAT STORAGE"</f>
        <v>PLAT STORAGE</v>
      </c>
    </row>
    <row r="3861" spans="1:9" x14ac:dyDescent="0.25">
      <c r="A3861" s="6">
        <v>44763</v>
      </c>
      <c r="B3861" t="s">
        <v>26</v>
      </c>
      <c r="C3861">
        <v>70095</v>
      </c>
      <c r="D3861" t="s">
        <v>426</v>
      </c>
      <c r="E3861" s="7">
        <v>3313</v>
      </c>
      <c r="F3861" t="s">
        <v>20</v>
      </c>
      <c r="G3861" t="s">
        <v>21</v>
      </c>
      <c r="H3861" t="str">
        <f>"INV0913190"</f>
        <v>INV0913190</v>
      </c>
      <c r="I3861" t="str">
        <f>"GT DISTRIBUTORS  INC."</f>
        <v>GT DISTRIBUTORS  INC.</v>
      </c>
    </row>
    <row r="3862" spans="1:9" x14ac:dyDescent="0.25">
      <c r="A3862" s="6">
        <v>44763</v>
      </c>
      <c r="B3862" t="s">
        <v>26</v>
      </c>
      <c r="C3862">
        <v>70096</v>
      </c>
      <c r="D3862" t="s">
        <v>302</v>
      </c>
      <c r="E3862" s="7">
        <v>163.44</v>
      </c>
      <c r="F3862" t="s">
        <v>20</v>
      </c>
      <c r="G3862" t="s">
        <v>21</v>
      </c>
      <c r="H3862" t="str">
        <f>"1183501"</f>
        <v>1183501</v>
      </c>
      <c r="I3862" t="str">
        <f>"BOOTS"</f>
        <v>BOOTS</v>
      </c>
    </row>
    <row r="3863" spans="1:9" x14ac:dyDescent="0.25">
      <c r="A3863" s="6">
        <v>44763</v>
      </c>
      <c r="B3863" t="s">
        <v>26</v>
      </c>
      <c r="C3863">
        <v>70097</v>
      </c>
      <c r="D3863" t="s">
        <v>123</v>
      </c>
      <c r="E3863" s="7">
        <v>65.58</v>
      </c>
      <c r="F3863" t="s">
        <v>20</v>
      </c>
      <c r="G3863" t="s">
        <v>21</v>
      </c>
      <c r="H3863" t="str">
        <f>"251865487001"</f>
        <v>251865487001</v>
      </c>
      <c r="I3863" t="str">
        <f>"TOILET BOWL CLEANER"</f>
        <v>TOILET BOWL CLEANER</v>
      </c>
    </row>
    <row r="3864" spans="1:9" x14ac:dyDescent="0.25">
      <c r="A3864" s="6">
        <v>44763</v>
      </c>
      <c r="B3864" t="s">
        <v>26</v>
      </c>
      <c r="C3864">
        <v>70097</v>
      </c>
      <c r="D3864" t="s">
        <v>123</v>
      </c>
      <c r="E3864" s="7">
        <v>136.9</v>
      </c>
      <c r="F3864" t="s">
        <v>20</v>
      </c>
      <c r="G3864" t="s">
        <v>21</v>
      </c>
      <c r="H3864" t="str">
        <f>"252574045001"</f>
        <v>252574045001</v>
      </c>
      <c r="I3864" t="str">
        <f>"OFFICE SUPPLIES"</f>
        <v>OFFICE SUPPLIES</v>
      </c>
    </row>
    <row r="3865" spans="1:9" x14ac:dyDescent="0.25">
      <c r="A3865" s="6">
        <v>44763</v>
      </c>
      <c r="B3865" t="s">
        <v>26</v>
      </c>
      <c r="C3865">
        <v>70097</v>
      </c>
      <c r="D3865" t="s">
        <v>123</v>
      </c>
      <c r="E3865" s="7">
        <v>55.98</v>
      </c>
      <c r="F3865" t="s">
        <v>20</v>
      </c>
      <c r="G3865" t="s">
        <v>21</v>
      </c>
      <c r="H3865" t="str">
        <f>"253051329001"</f>
        <v>253051329001</v>
      </c>
      <c r="I3865" t="str">
        <f>"COPY PAPER"</f>
        <v>COPY PAPER</v>
      </c>
    </row>
    <row r="3866" spans="1:9" x14ac:dyDescent="0.25">
      <c r="A3866" s="6">
        <v>44763</v>
      </c>
      <c r="B3866" t="s">
        <v>26</v>
      </c>
      <c r="C3866">
        <v>70098</v>
      </c>
      <c r="D3866" t="s">
        <v>821</v>
      </c>
      <c r="E3866" s="7">
        <v>1775.65</v>
      </c>
      <c r="F3866" t="s">
        <v>20</v>
      </c>
      <c r="G3866" t="s">
        <v>21</v>
      </c>
      <c r="H3866" t="str">
        <f>"FRI10030"</f>
        <v>FRI10030</v>
      </c>
      <c r="I3866" t="str">
        <f>"FRESH WATER BOOSTER STATI"</f>
        <v>FRESH WATER BOOSTER STATI</v>
      </c>
    </row>
    <row r="3867" spans="1:9" x14ac:dyDescent="0.25">
      <c r="A3867" s="6">
        <v>44763</v>
      </c>
      <c r="B3867" t="s">
        <v>26</v>
      </c>
      <c r="C3867">
        <v>70099</v>
      </c>
      <c r="D3867" t="s">
        <v>194</v>
      </c>
      <c r="E3867" s="7">
        <v>248.8</v>
      </c>
      <c r="F3867" t="s">
        <v>20</v>
      </c>
      <c r="G3867" t="s">
        <v>21</v>
      </c>
      <c r="H3867" t="str">
        <f>"021554168"</f>
        <v>021554168</v>
      </c>
      <c r="I3867" t="str">
        <f>"SGT KEEN UNIFORM"</f>
        <v>SGT KEEN UNIFORM</v>
      </c>
    </row>
    <row r="3868" spans="1:9" x14ac:dyDescent="0.25">
      <c r="A3868" s="6">
        <v>44763</v>
      </c>
      <c r="B3868" t="s">
        <v>26</v>
      </c>
      <c r="C3868">
        <v>70100</v>
      </c>
      <c r="D3868" t="s">
        <v>310</v>
      </c>
      <c r="E3868" s="7">
        <v>7328.57</v>
      </c>
      <c r="F3868" t="s">
        <v>20</v>
      </c>
      <c r="G3868" t="s">
        <v>21</v>
      </c>
      <c r="H3868" t="str">
        <f>"BD75367"</f>
        <v>BD75367</v>
      </c>
      <c r="I3868" t="str">
        <f>"RECEIPT PAPER"</f>
        <v>RECEIPT PAPER</v>
      </c>
    </row>
    <row r="3869" spans="1:9" x14ac:dyDescent="0.25">
      <c r="A3869" s="6">
        <v>44763</v>
      </c>
      <c r="B3869" t="s">
        <v>26</v>
      </c>
      <c r="C3869">
        <v>70101</v>
      </c>
      <c r="D3869" t="s">
        <v>679</v>
      </c>
      <c r="E3869" s="7">
        <v>1293.5</v>
      </c>
      <c r="F3869" t="s">
        <v>20</v>
      </c>
      <c r="G3869" t="s">
        <v>21</v>
      </c>
      <c r="H3869" t="str">
        <f>"46535"</f>
        <v>46535</v>
      </c>
      <c r="I3869" t="str">
        <f>"RECORDS MANAGEMENT"</f>
        <v>RECORDS MANAGEMENT</v>
      </c>
    </row>
    <row r="3870" spans="1:9" x14ac:dyDescent="0.25">
      <c r="A3870" s="6">
        <v>44763</v>
      </c>
      <c r="B3870" t="s">
        <v>26</v>
      </c>
      <c r="C3870">
        <v>70102</v>
      </c>
      <c r="D3870" t="s">
        <v>1133</v>
      </c>
      <c r="E3870" s="7">
        <v>34318</v>
      </c>
      <c r="F3870" t="s">
        <v>20</v>
      </c>
      <c r="G3870" t="s">
        <v>21</v>
      </c>
      <c r="H3870" t="str">
        <f>"87273753"</f>
        <v>87273753</v>
      </c>
      <c r="I3870" t="str">
        <f>"EVENT CENTER A/C REPAIR"</f>
        <v>EVENT CENTER A/C REPAIR</v>
      </c>
    </row>
    <row r="3871" spans="1:9" x14ac:dyDescent="0.25">
      <c r="A3871" s="6">
        <v>44763</v>
      </c>
      <c r="B3871" t="s">
        <v>26</v>
      </c>
      <c r="C3871">
        <v>70102</v>
      </c>
      <c r="D3871" t="s">
        <v>1133</v>
      </c>
      <c r="E3871" s="7">
        <v>395</v>
      </c>
      <c r="F3871" t="s">
        <v>20</v>
      </c>
      <c r="G3871" t="s">
        <v>21</v>
      </c>
      <c r="H3871" t="str">
        <f>"93571952"</f>
        <v>93571952</v>
      </c>
      <c r="I3871" t="str">
        <f>"RTU # 6"</f>
        <v>RTU # 6</v>
      </c>
    </row>
    <row r="3872" spans="1:9" x14ac:dyDescent="0.25">
      <c r="A3872" s="6">
        <v>44763</v>
      </c>
      <c r="B3872" t="s">
        <v>26</v>
      </c>
      <c r="C3872">
        <v>70102</v>
      </c>
      <c r="D3872" t="s">
        <v>1133</v>
      </c>
      <c r="E3872" s="7">
        <v>5788.08</v>
      </c>
      <c r="F3872" t="s">
        <v>20</v>
      </c>
      <c r="G3872" t="s">
        <v>21</v>
      </c>
      <c r="H3872" t="str">
        <f>"94186850"</f>
        <v>94186850</v>
      </c>
      <c r="I3872" t="str">
        <f>"A/C RTU #3 &amp; #7"</f>
        <v>A/C RTU #3 &amp; #7</v>
      </c>
    </row>
    <row r="3873" spans="1:9" x14ac:dyDescent="0.25">
      <c r="A3873" s="6">
        <v>44763</v>
      </c>
      <c r="B3873" t="s">
        <v>26</v>
      </c>
      <c r="C3873">
        <v>70102</v>
      </c>
      <c r="D3873" t="s">
        <v>1133</v>
      </c>
      <c r="E3873" s="7">
        <v>2756.93</v>
      </c>
      <c r="F3873" t="s">
        <v>20</v>
      </c>
      <c r="G3873" t="s">
        <v>21</v>
      </c>
      <c r="H3873" t="str">
        <f>"95661023"</f>
        <v>95661023</v>
      </c>
      <c r="I3873" t="str">
        <f>"REMOVE AND REPLACE BLOWER"</f>
        <v>REMOVE AND REPLACE BLOWER</v>
      </c>
    </row>
    <row r="3874" spans="1:9" x14ac:dyDescent="0.25">
      <c r="A3874" s="6">
        <v>44763</v>
      </c>
      <c r="B3874" t="s">
        <v>26</v>
      </c>
      <c r="C3874">
        <v>70103</v>
      </c>
      <c r="D3874" t="s">
        <v>1252</v>
      </c>
      <c r="E3874" s="7">
        <v>2899.98</v>
      </c>
      <c r="F3874" t="s">
        <v>20</v>
      </c>
      <c r="G3874" t="s">
        <v>21</v>
      </c>
      <c r="H3874" t="str">
        <f>"53662"</f>
        <v>53662</v>
      </c>
      <c r="I3874" t="str">
        <f>"DRAWERS FOR F150"</f>
        <v>DRAWERS FOR F150</v>
      </c>
    </row>
    <row r="3875" spans="1:9" x14ac:dyDescent="0.25">
      <c r="A3875" s="6">
        <v>44763</v>
      </c>
      <c r="B3875" t="s">
        <v>26</v>
      </c>
      <c r="C3875">
        <v>70104</v>
      </c>
      <c r="D3875" t="s">
        <v>71</v>
      </c>
      <c r="E3875" s="7">
        <v>90.43</v>
      </c>
      <c r="F3875" t="s">
        <v>20</v>
      </c>
      <c r="G3875" t="s">
        <v>21</v>
      </c>
      <c r="H3875" t="str">
        <f>"4124937269"</f>
        <v>4124937269</v>
      </c>
      <c r="I3875" t="str">
        <f t="shared" ref="I3875:I3881" si="94">"CINTAS CORPORATION #087"</f>
        <v>CINTAS CORPORATION #087</v>
      </c>
    </row>
    <row r="3876" spans="1:9" x14ac:dyDescent="0.25">
      <c r="A3876" s="6">
        <v>44763</v>
      </c>
      <c r="B3876" t="s">
        <v>26</v>
      </c>
      <c r="C3876">
        <v>70104</v>
      </c>
      <c r="D3876" t="s">
        <v>71</v>
      </c>
      <c r="E3876" s="7">
        <v>31.89</v>
      </c>
      <c r="F3876" t="s">
        <v>20</v>
      </c>
      <c r="G3876" t="s">
        <v>21</v>
      </c>
      <c r="H3876" t="str">
        <f>"4124937290"</f>
        <v>4124937290</v>
      </c>
      <c r="I3876" t="str">
        <f t="shared" si="94"/>
        <v>CINTAS CORPORATION #087</v>
      </c>
    </row>
    <row r="3877" spans="1:9" x14ac:dyDescent="0.25">
      <c r="A3877" s="6">
        <v>44763</v>
      </c>
      <c r="B3877" t="s">
        <v>26</v>
      </c>
      <c r="C3877">
        <v>70104</v>
      </c>
      <c r="D3877" t="s">
        <v>71</v>
      </c>
      <c r="E3877" s="7">
        <v>118.8</v>
      </c>
      <c r="F3877" t="s">
        <v>20</v>
      </c>
      <c r="G3877" t="s">
        <v>21</v>
      </c>
      <c r="H3877" t="str">
        <f>"4124937356"</f>
        <v>4124937356</v>
      </c>
      <c r="I3877" t="str">
        <f t="shared" si="94"/>
        <v>CINTAS CORPORATION #087</v>
      </c>
    </row>
    <row r="3878" spans="1:9" x14ac:dyDescent="0.25">
      <c r="A3878" s="6">
        <v>44763</v>
      </c>
      <c r="B3878" t="s">
        <v>26</v>
      </c>
      <c r="C3878">
        <v>70104</v>
      </c>
      <c r="D3878" t="s">
        <v>71</v>
      </c>
      <c r="E3878" s="7">
        <v>431.33</v>
      </c>
      <c r="F3878" t="s">
        <v>20</v>
      </c>
      <c r="G3878" t="s">
        <v>21</v>
      </c>
      <c r="H3878" t="str">
        <f>"4124937617"</f>
        <v>4124937617</v>
      </c>
      <c r="I3878" t="str">
        <f t="shared" si="94"/>
        <v>CINTAS CORPORATION #087</v>
      </c>
    </row>
    <row r="3879" spans="1:9" x14ac:dyDescent="0.25">
      <c r="A3879" s="6">
        <v>44763</v>
      </c>
      <c r="B3879" t="s">
        <v>26</v>
      </c>
      <c r="C3879">
        <v>70104</v>
      </c>
      <c r="D3879" t="s">
        <v>71</v>
      </c>
      <c r="E3879" s="7">
        <v>164.22</v>
      </c>
      <c r="F3879" t="s">
        <v>20</v>
      </c>
      <c r="G3879" t="s">
        <v>21</v>
      </c>
      <c r="H3879" t="str">
        <f>"4124937700"</f>
        <v>4124937700</v>
      </c>
      <c r="I3879" t="str">
        <f t="shared" si="94"/>
        <v>CINTAS CORPORATION #087</v>
      </c>
    </row>
    <row r="3880" spans="1:9" x14ac:dyDescent="0.25">
      <c r="A3880" s="6">
        <v>44763</v>
      </c>
      <c r="B3880" t="s">
        <v>26</v>
      </c>
      <c r="C3880">
        <v>70104</v>
      </c>
      <c r="D3880" t="s">
        <v>71</v>
      </c>
      <c r="E3880" s="7">
        <v>88.06</v>
      </c>
      <c r="F3880" t="s">
        <v>20</v>
      </c>
      <c r="G3880" t="s">
        <v>21</v>
      </c>
      <c r="H3880" t="str">
        <f>"4124951960"</f>
        <v>4124951960</v>
      </c>
      <c r="I3880" t="str">
        <f t="shared" si="94"/>
        <v>CINTAS CORPORATION #087</v>
      </c>
    </row>
    <row r="3881" spans="1:9" x14ac:dyDescent="0.25">
      <c r="A3881" s="6">
        <v>44763</v>
      </c>
      <c r="B3881" t="s">
        <v>26</v>
      </c>
      <c r="C3881">
        <v>70104</v>
      </c>
      <c r="D3881" t="s">
        <v>71</v>
      </c>
      <c r="E3881" s="7">
        <v>151.76</v>
      </c>
      <c r="F3881" t="s">
        <v>20</v>
      </c>
      <c r="G3881" t="s">
        <v>21</v>
      </c>
      <c r="H3881" t="str">
        <f>"4124952023"</f>
        <v>4124952023</v>
      </c>
      <c r="I3881" t="str">
        <f t="shared" si="94"/>
        <v>CINTAS CORPORATION #087</v>
      </c>
    </row>
    <row r="3882" spans="1:9" x14ac:dyDescent="0.25">
      <c r="A3882" s="6">
        <v>44763</v>
      </c>
      <c r="B3882" t="s">
        <v>26</v>
      </c>
      <c r="C3882">
        <v>70106</v>
      </c>
      <c r="D3882" t="s">
        <v>398</v>
      </c>
      <c r="E3882" s="7">
        <v>56.5</v>
      </c>
      <c r="F3882" t="s">
        <v>20</v>
      </c>
      <c r="G3882" t="s">
        <v>21</v>
      </c>
      <c r="H3882" t="str">
        <f>"20220706"</f>
        <v>20220706</v>
      </c>
      <c r="I3882" t="str">
        <f>"INTERCEPTOR TECHNOLOGY GROUP L"</f>
        <v>INTERCEPTOR TECHNOLOGY GROUP L</v>
      </c>
    </row>
    <row r="3883" spans="1:9" x14ac:dyDescent="0.25">
      <c r="A3883" s="6">
        <v>44763</v>
      </c>
      <c r="B3883" t="s">
        <v>26</v>
      </c>
      <c r="C3883">
        <v>70107</v>
      </c>
      <c r="D3883" t="s">
        <v>1176</v>
      </c>
      <c r="E3883" s="7">
        <v>168</v>
      </c>
      <c r="F3883" t="s">
        <v>20</v>
      </c>
      <c r="G3883" t="s">
        <v>21</v>
      </c>
      <c r="H3883" t="str">
        <f>"000002056217"</f>
        <v>000002056217</v>
      </c>
      <c r="I3883" t="str">
        <f>"NOVA MEDICAL CENTERS"</f>
        <v>NOVA MEDICAL CENTERS</v>
      </c>
    </row>
    <row r="3884" spans="1:9" x14ac:dyDescent="0.25">
      <c r="A3884" s="6">
        <v>44763</v>
      </c>
      <c r="B3884" t="s">
        <v>26</v>
      </c>
      <c r="C3884">
        <v>70108</v>
      </c>
      <c r="D3884" t="s">
        <v>103</v>
      </c>
      <c r="E3884" s="7">
        <v>95348.43</v>
      </c>
      <c r="F3884" t="s">
        <v>20</v>
      </c>
      <c r="G3884" t="s">
        <v>21</v>
      </c>
      <c r="H3884" t="str">
        <f>"JULY '22 SALES TAX"</f>
        <v>JULY '22 SALES TAX</v>
      </c>
      <c r="I3884" t="str">
        <f>"F. E. D. C."</f>
        <v>F. E. D. C.</v>
      </c>
    </row>
    <row r="3885" spans="1:9" x14ac:dyDescent="0.25">
      <c r="A3885" s="6">
        <v>44763</v>
      </c>
      <c r="B3885" t="s">
        <v>91</v>
      </c>
      <c r="C3885">
        <v>70109</v>
      </c>
      <c r="D3885" t="s">
        <v>180</v>
      </c>
      <c r="E3885" s="7">
        <v>30</v>
      </c>
      <c r="F3885" t="s">
        <v>20</v>
      </c>
      <c r="G3885" t="s">
        <v>21</v>
      </c>
      <c r="H3885" t="str">
        <f>"DE-85001238-22"</f>
        <v>DE-85001238-22</v>
      </c>
      <c r="I3885" t="str">
        <f>"DITTMAR LUMBER CO."</f>
        <v>DITTMAR LUMBER CO.</v>
      </c>
    </row>
    <row r="3886" spans="1:9" x14ac:dyDescent="0.25">
      <c r="A3886" s="6">
        <v>44763</v>
      </c>
      <c r="B3886" t="s">
        <v>91</v>
      </c>
      <c r="C3886">
        <v>70109</v>
      </c>
      <c r="D3886" t="s">
        <v>180</v>
      </c>
      <c r="E3886" s="7">
        <v>30</v>
      </c>
      <c r="F3886" t="s">
        <v>20</v>
      </c>
      <c r="G3886" t="s">
        <v>21</v>
      </c>
      <c r="H3886" t="str">
        <f>"DE85001238-22"</f>
        <v>DE85001238-22</v>
      </c>
      <c r="I3886" t="str">
        <f>"DITTMAR LUMBER CO."</f>
        <v>DITTMAR LUMBER CO.</v>
      </c>
    </row>
    <row r="3887" spans="1:9" x14ac:dyDescent="0.25">
      <c r="A3887" s="6">
        <v>44763</v>
      </c>
      <c r="B3887" t="s">
        <v>91</v>
      </c>
      <c r="C3887">
        <v>70109</v>
      </c>
      <c r="D3887" t="s">
        <v>180</v>
      </c>
      <c r="E3887" s="7">
        <v>200</v>
      </c>
      <c r="F3887" t="s">
        <v>20</v>
      </c>
      <c r="G3887" t="s">
        <v>21</v>
      </c>
      <c r="H3887" t="str">
        <f>"DE85001424-22"</f>
        <v>DE85001424-22</v>
      </c>
      <c r="I3887" t="str">
        <f>"DITTMAR LUMBER CO."</f>
        <v>DITTMAR LUMBER CO.</v>
      </c>
    </row>
    <row r="3888" spans="1:9" x14ac:dyDescent="0.25">
      <c r="A3888" s="6">
        <v>44763</v>
      </c>
      <c r="B3888" t="s">
        <v>91</v>
      </c>
      <c r="C3888">
        <v>70109</v>
      </c>
      <c r="D3888" t="s">
        <v>180</v>
      </c>
      <c r="E3888" s="7">
        <v>260</v>
      </c>
      <c r="F3888" t="s">
        <v>20</v>
      </c>
      <c r="G3888" t="s">
        <v>93</v>
      </c>
      <c r="H3888" t="str">
        <f>"CHECK"</f>
        <v>CHECK</v>
      </c>
      <c r="I3888" t="str">
        <f>""</f>
        <v/>
      </c>
    </row>
    <row r="3889" spans="1:9" x14ac:dyDescent="0.25">
      <c r="A3889" s="6">
        <v>44763</v>
      </c>
      <c r="B3889" t="s">
        <v>91</v>
      </c>
      <c r="C3889">
        <v>70110</v>
      </c>
      <c r="D3889" t="s">
        <v>426</v>
      </c>
      <c r="E3889" s="7">
        <v>3313</v>
      </c>
      <c r="F3889" t="s">
        <v>20</v>
      </c>
      <c r="G3889" t="s">
        <v>21</v>
      </c>
      <c r="H3889" t="str">
        <f>"INV0913190*"</f>
        <v>INV0913190*</v>
      </c>
      <c r="I3889" t="str">
        <f>"AMMO FOR PD DEPT"</f>
        <v>AMMO FOR PD DEPT</v>
      </c>
    </row>
    <row r="3890" spans="1:9" x14ac:dyDescent="0.25">
      <c r="A3890" s="6">
        <v>44763</v>
      </c>
      <c r="B3890" t="s">
        <v>91</v>
      </c>
      <c r="C3890">
        <v>70110</v>
      </c>
      <c r="D3890" t="s">
        <v>426</v>
      </c>
      <c r="E3890" s="7">
        <v>3313</v>
      </c>
      <c r="F3890" t="s">
        <v>20</v>
      </c>
      <c r="G3890" t="s">
        <v>93</v>
      </c>
      <c r="H3890" t="str">
        <f>"CHECK"</f>
        <v>CHECK</v>
      </c>
      <c r="I3890" t="str">
        <f>""</f>
        <v/>
      </c>
    </row>
    <row r="3891" spans="1:9" x14ac:dyDescent="0.25">
      <c r="A3891" s="6">
        <v>44768</v>
      </c>
      <c r="B3891" t="s">
        <v>26</v>
      </c>
      <c r="C3891">
        <v>70111</v>
      </c>
      <c r="D3891" t="s">
        <v>56</v>
      </c>
      <c r="E3891" s="7">
        <v>35</v>
      </c>
      <c r="F3891" t="s">
        <v>20</v>
      </c>
      <c r="G3891" t="s">
        <v>21</v>
      </c>
      <c r="H3891" t="str">
        <f>"202230"</f>
        <v>202230</v>
      </c>
      <c r="I3891" t="str">
        <f>"DOG FOOD"</f>
        <v>DOG FOOD</v>
      </c>
    </row>
    <row r="3892" spans="1:9" x14ac:dyDescent="0.25">
      <c r="A3892" s="6">
        <v>44768</v>
      </c>
      <c r="B3892" t="s">
        <v>26</v>
      </c>
      <c r="C3892">
        <v>70112</v>
      </c>
      <c r="D3892" t="s">
        <v>59</v>
      </c>
      <c r="E3892" s="7">
        <v>2214.3200000000002</v>
      </c>
      <c r="F3892" t="s">
        <v>20</v>
      </c>
      <c r="G3892" t="s">
        <v>21</v>
      </c>
      <c r="H3892" t="str">
        <f>"1180345"</f>
        <v>1180345</v>
      </c>
      <c r="I3892" t="str">
        <f>"MISC ITEMS"</f>
        <v>MISC ITEMS</v>
      </c>
    </row>
    <row r="3893" spans="1:9" x14ac:dyDescent="0.25">
      <c r="A3893" s="6">
        <v>44768</v>
      </c>
      <c r="B3893" t="s">
        <v>26</v>
      </c>
      <c r="C3893">
        <v>70113</v>
      </c>
      <c r="D3893" t="s">
        <v>179</v>
      </c>
      <c r="E3893" s="7">
        <v>59.97</v>
      </c>
      <c r="F3893" t="s">
        <v>20</v>
      </c>
      <c r="G3893" t="s">
        <v>21</v>
      </c>
      <c r="H3893" t="str">
        <f>"271101"</f>
        <v>271101</v>
      </c>
      <c r="I3893" t="str">
        <f>"ANCIRA FORD-MERCURY"</f>
        <v>ANCIRA FORD-MERCURY</v>
      </c>
    </row>
    <row r="3894" spans="1:9" x14ac:dyDescent="0.25">
      <c r="A3894" s="6">
        <v>44768</v>
      </c>
      <c r="B3894" t="s">
        <v>26</v>
      </c>
      <c r="C3894">
        <v>70114</v>
      </c>
      <c r="D3894" t="s">
        <v>1253</v>
      </c>
      <c r="E3894" s="7">
        <v>50</v>
      </c>
      <c r="F3894" t="s">
        <v>20</v>
      </c>
      <c r="G3894" t="s">
        <v>21</v>
      </c>
      <c r="H3894" t="str">
        <f>"DEPOSIT RFND 6/18"</f>
        <v>DEPOSIT RFND 6/18</v>
      </c>
      <c r="I3894" t="str">
        <f>"REFUND"</f>
        <v>REFUND</v>
      </c>
    </row>
    <row r="3895" spans="1:9" x14ac:dyDescent="0.25">
      <c r="A3895" s="6">
        <v>44768</v>
      </c>
      <c r="B3895" t="s">
        <v>26</v>
      </c>
      <c r="C3895">
        <v>70115</v>
      </c>
      <c r="D3895" t="s">
        <v>115</v>
      </c>
      <c r="E3895" s="7">
        <v>71.88</v>
      </c>
      <c r="F3895" t="s">
        <v>20</v>
      </c>
      <c r="G3895" t="s">
        <v>21</v>
      </c>
      <c r="H3895" t="str">
        <f>"3547307835"</f>
        <v>3547307835</v>
      </c>
      <c r="I3895" t="str">
        <f>"SHOP SUPPLIES"</f>
        <v>SHOP SUPPLIES</v>
      </c>
    </row>
    <row r="3896" spans="1:9" x14ac:dyDescent="0.25">
      <c r="A3896" s="6">
        <v>44768</v>
      </c>
      <c r="B3896" t="s">
        <v>26</v>
      </c>
      <c r="C3896">
        <v>70116</v>
      </c>
      <c r="D3896" t="s">
        <v>69</v>
      </c>
      <c r="E3896" s="7">
        <v>172.41</v>
      </c>
      <c r="F3896" t="s">
        <v>20</v>
      </c>
      <c r="G3896" t="s">
        <v>21</v>
      </c>
      <c r="H3896" t="str">
        <f>"3C19266"</f>
        <v>3C19266</v>
      </c>
      <c r="I3896" t="str">
        <f>"PARKS DEPT"</f>
        <v>PARKS DEPT</v>
      </c>
    </row>
    <row r="3897" spans="1:9" x14ac:dyDescent="0.25">
      <c r="A3897" s="6">
        <v>44768</v>
      </c>
      <c r="B3897" t="s">
        <v>26</v>
      </c>
      <c r="C3897">
        <v>70116</v>
      </c>
      <c r="D3897" t="s">
        <v>69</v>
      </c>
      <c r="E3897" s="7">
        <v>102.81</v>
      </c>
      <c r="F3897" t="s">
        <v>20</v>
      </c>
      <c r="G3897" t="s">
        <v>21</v>
      </c>
      <c r="H3897" t="str">
        <f>"3C19322"</f>
        <v>3C19322</v>
      </c>
      <c r="I3897" t="str">
        <f>"EWALD KUBOTA  INC."</f>
        <v>EWALD KUBOTA  INC.</v>
      </c>
    </row>
    <row r="3898" spans="1:9" x14ac:dyDescent="0.25">
      <c r="A3898" s="6">
        <v>44768</v>
      </c>
      <c r="B3898" t="s">
        <v>26</v>
      </c>
      <c r="C3898">
        <v>70117</v>
      </c>
      <c r="D3898" t="s">
        <v>71</v>
      </c>
      <c r="E3898" s="7">
        <v>31.89</v>
      </c>
      <c r="F3898" t="s">
        <v>20</v>
      </c>
      <c r="G3898" t="s">
        <v>21</v>
      </c>
      <c r="H3898" t="str">
        <f>"4119487771"</f>
        <v>4119487771</v>
      </c>
      <c r="I3898" t="str">
        <f t="shared" ref="I3898:I3909" si="95">"CINTAS CORPORATION #087"</f>
        <v>CINTAS CORPORATION #087</v>
      </c>
    </row>
    <row r="3899" spans="1:9" x14ac:dyDescent="0.25">
      <c r="A3899" s="6">
        <v>44768</v>
      </c>
      <c r="B3899" t="s">
        <v>26</v>
      </c>
      <c r="C3899">
        <v>70117</v>
      </c>
      <c r="D3899" t="s">
        <v>71</v>
      </c>
      <c r="E3899" s="7">
        <v>118.8</v>
      </c>
      <c r="F3899" t="s">
        <v>20</v>
      </c>
      <c r="G3899" t="s">
        <v>21</v>
      </c>
      <c r="H3899" t="str">
        <f>"4119487863"</f>
        <v>4119487863</v>
      </c>
      <c r="I3899" t="str">
        <f t="shared" si="95"/>
        <v>CINTAS CORPORATION #087</v>
      </c>
    </row>
    <row r="3900" spans="1:9" x14ac:dyDescent="0.25">
      <c r="A3900" s="6">
        <v>44768</v>
      </c>
      <c r="B3900" t="s">
        <v>26</v>
      </c>
      <c r="C3900">
        <v>70117</v>
      </c>
      <c r="D3900" t="s">
        <v>71</v>
      </c>
      <c r="E3900" s="7">
        <v>90.43</v>
      </c>
      <c r="F3900" t="s">
        <v>20</v>
      </c>
      <c r="G3900" t="s">
        <v>21</v>
      </c>
      <c r="H3900" t="str">
        <f>"4119487923"</f>
        <v>4119487923</v>
      </c>
      <c r="I3900" t="str">
        <f t="shared" si="95"/>
        <v>CINTAS CORPORATION #087</v>
      </c>
    </row>
    <row r="3901" spans="1:9" x14ac:dyDescent="0.25">
      <c r="A3901" s="6">
        <v>44768</v>
      </c>
      <c r="B3901" t="s">
        <v>26</v>
      </c>
      <c r="C3901">
        <v>70117</v>
      </c>
      <c r="D3901" t="s">
        <v>71</v>
      </c>
      <c r="E3901" s="7">
        <v>31.89</v>
      </c>
      <c r="F3901" t="s">
        <v>20</v>
      </c>
      <c r="G3901" t="s">
        <v>21</v>
      </c>
      <c r="H3901" t="str">
        <f>"4120957292"</f>
        <v>4120957292</v>
      </c>
      <c r="I3901" t="str">
        <f t="shared" si="95"/>
        <v>CINTAS CORPORATION #087</v>
      </c>
    </row>
    <row r="3902" spans="1:9" x14ac:dyDescent="0.25">
      <c r="A3902" s="6">
        <v>44768</v>
      </c>
      <c r="B3902" t="s">
        <v>26</v>
      </c>
      <c r="C3902">
        <v>70117</v>
      </c>
      <c r="D3902" t="s">
        <v>71</v>
      </c>
      <c r="E3902" s="7">
        <v>118.8</v>
      </c>
      <c r="F3902" t="s">
        <v>20</v>
      </c>
      <c r="G3902" t="s">
        <v>21</v>
      </c>
      <c r="H3902" t="str">
        <f>"4120957306"</f>
        <v>4120957306</v>
      </c>
      <c r="I3902" t="str">
        <f t="shared" si="95"/>
        <v>CINTAS CORPORATION #087</v>
      </c>
    </row>
    <row r="3903" spans="1:9" x14ac:dyDescent="0.25">
      <c r="A3903" s="6">
        <v>44768</v>
      </c>
      <c r="B3903" t="s">
        <v>26</v>
      </c>
      <c r="C3903">
        <v>70117</v>
      </c>
      <c r="D3903" t="s">
        <v>71</v>
      </c>
      <c r="E3903" s="7">
        <v>244.86</v>
      </c>
      <c r="F3903" t="s">
        <v>20</v>
      </c>
      <c r="G3903" t="s">
        <v>21</v>
      </c>
      <c r="H3903" t="str">
        <f>"4124951967"</f>
        <v>4124951967</v>
      </c>
      <c r="I3903" t="str">
        <f t="shared" si="95"/>
        <v>CINTAS CORPORATION #087</v>
      </c>
    </row>
    <row r="3904" spans="1:9" x14ac:dyDescent="0.25">
      <c r="A3904" s="6">
        <v>44768</v>
      </c>
      <c r="B3904" t="s">
        <v>26</v>
      </c>
      <c r="C3904">
        <v>70117</v>
      </c>
      <c r="D3904" t="s">
        <v>71</v>
      </c>
      <c r="E3904" s="7">
        <v>9.3800000000000008</v>
      </c>
      <c r="F3904" t="s">
        <v>20</v>
      </c>
      <c r="G3904" t="s">
        <v>21</v>
      </c>
      <c r="H3904" t="str">
        <f>"4125581630"</f>
        <v>4125581630</v>
      </c>
      <c r="I3904" t="str">
        <f t="shared" si="95"/>
        <v>CINTAS CORPORATION #087</v>
      </c>
    </row>
    <row r="3905" spans="1:9" x14ac:dyDescent="0.25">
      <c r="A3905" s="6">
        <v>44768</v>
      </c>
      <c r="B3905" t="s">
        <v>26</v>
      </c>
      <c r="C3905">
        <v>70117</v>
      </c>
      <c r="D3905" t="s">
        <v>71</v>
      </c>
      <c r="E3905" s="7">
        <v>57.72</v>
      </c>
      <c r="F3905" t="s">
        <v>20</v>
      </c>
      <c r="G3905" t="s">
        <v>21</v>
      </c>
      <c r="H3905" t="str">
        <f>"4125581776"</f>
        <v>4125581776</v>
      </c>
      <c r="I3905" t="str">
        <f t="shared" si="95"/>
        <v>CINTAS CORPORATION #087</v>
      </c>
    </row>
    <row r="3906" spans="1:9" x14ac:dyDescent="0.25">
      <c r="A3906" s="6">
        <v>44768</v>
      </c>
      <c r="B3906" t="s">
        <v>26</v>
      </c>
      <c r="C3906">
        <v>70117</v>
      </c>
      <c r="D3906" t="s">
        <v>71</v>
      </c>
      <c r="E3906" s="7">
        <v>37.1</v>
      </c>
      <c r="F3906" t="s">
        <v>20</v>
      </c>
      <c r="G3906" t="s">
        <v>21</v>
      </c>
      <c r="H3906" t="str">
        <f>"4125581789"</f>
        <v>4125581789</v>
      </c>
      <c r="I3906" t="str">
        <f t="shared" si="95"/>
        <v>CINTAS CORPORATION #087</v>
      </c>
    </row>
    <row r="3907" spans="1:9" x14ac:dyDescent="0.25">
      <c r="A3907" s="6">
        <v>44768</v>
      </c>
      <c r="B3907" t="s">
        <v>26</v>
      </c>
      <c r="C3907">
        <v>70117</v>
      </c>
      <c r="D3907" t="s">
        <v>71</v>
      </c>
      <c r="E3907" s="7">
        <v>31.89</v>
      </c>
      <c r="F3907" t="s">
        <v>20</v>
      </c>
      <c r="G3907" t="s">
        <v>21</v>
      </c>
      <c r="H3907" t="str">
        <f>"4125581825"</f>
        <v>4125581825</v>
      </c>
      <c r="I3907" t="str">
        <f t="shared" si="95"/>
        <v>CINTAS CORPORATION #087</v>
      </c>
    </row>
    <row r="3908" spans="1:9" x14ac:dyDescent="0.25">
      <c r="A3908" s="6">
        <v>44768</v>
      </c>
      <c r="B3908" t="s">
        <v>26</v>
      </c>
      <c r="C3908">
        <v>70117</v>
      </c>
      <c r="D3908" t="s">
        <v>71</v>
      </c>
      <c r="E3908" s="7">
        <v>217.34</v>
      </c>
      <c r="F3908" t="s">
        <v>20</v>
      </c>
      <c r="G3908" t="s">
        <v>21</v>
      </c>
      <c r="H3908" t="str">
        <f>"4125581914"</f>
        <v>4125581914</v>
      </c>
      <c r="I3908" t="str">
        <f t="shared" si="95"/>
        <v>CINTAS CORPORATION #087</v>
      </c>
    </row>
    <row r="3909" spans="1:9" x14ac:dyDescent="0.25">
      <c r="A3909" s="6">
        <v>44768</v>
      </c>
      <c r="B3909" t="s">
        <v>26</v>
      </c>
      <c r="C3909">
        <v>70117</v>
      </c>
      <c r="D3909" t="s">
        <v>71</v>
      </c>
      <c r="E3909" s="7">
        <v>898.27</v>
      </c>
      <c r="F3909" t="s">
        <v>20</v>
      </c>
      <c r="G3909" t="s">
        <v>21</v>
      </c>
      <c r="H3909" t="str">
        <f>"4125582052"</f>
        <v>4125582052</v>
      </c>
      <c r="I3909" t="str">
        <f t="shared" si="95"/>
        <v>CINTAS CORPORATION #087</v>
      </c>
    </row>
    <row r="3910" spans="1:9" x14ac:dyDescent="0.25">
      <c r="A3910" s="6">
        <v>44768</v>
      </c>
      <c r="B3910" t="s">
        <v>26</v>
      </c>
      <c r="C3910">
        <v>70120</v>
      </c>
      <c r="D3910" t="s">
        <v>122</v>
      </c>
      <c r="E3910" s="7">
        <v>45</v>
      </c>
      <c r="F3910" t="s">
        <v>20</v>
      </c>
      <c r="G3910" t="s">
        <v>21</v>
      </c>
      <c r="H3910" t="str">
        <f>"902081"</f>
        <v>902081</v>
      </c>
      <c r="I3910" t="str">
        <f>"VILLA TIRES"</f>
        <v>VILLA TIRES</v>
      </c>
    </row>
    <row r="3911" spans="1:9" x14ac:dyDescent="0.25">
      <c r="A3911" s="6">
        <v>44768</v>
      </c>
      <c r="B3911" t="s">
        <v>26</v>
      </c>
      <c r="C3911">
        <v>70120</v>
      </c>
      <c r="D3911" t="s">
        <v>122</v>
      </c>
      <c r="E3911" s="7">
        <v>10</v>
      </c>
      <c r="F3911" t="s">
        <v>20</v>
      </c>
      <c r="G3911" t="s">
        <v>21</v>
      </c>
      <c r="H3911" t="str">
        <f>"902084"</f>
        <v>902084</v>
      </c>
      <c r="I3911" t="str">
        <f>"VILLA TIRES"</f>
        <v>VILLA TIRES</v>
      </c>
    </row>
    <row r="3912" spans="1:9" x14ac:dyDescent="0.25">
      <c r="A3912" s="6">
        <v>44768</v>
      </c>
      <c r="B3912" t="s">
        <v>26</v>
      </c>
      <c r="C3912">
        <v>70121</v>
      </c>
      <c r="D3912" t="s">
        <v>215</v>
      </c>
      <c r="E3912" s="7">
        <v>1117.5</v>
      </c>
      <c r="F3912" t="s">
        <v>20</v>
      </c>
      <c r="G3912" t="s">
        <v>21</v>
      </c>
      <c r="H3912" t="str">
        <f>"OP0000021247"</f>
        <v>OP0000021247</v>
      </c>
      <c r="I3912" t="str">
        <f>"HOSPITAL SITE"</f>
        <v>HOSPITAL SITE</v>
      </c>
    </row>
    <row r="3913" spans="1:9" x14ac:dyDescent="0.25">
      <c r="A3913" s="6">
        <v>44768</v>
      </c>
      <c r="B3913" t="s">
        <v>26</v>
      </c>
      <c r="C3913">
        <v>70122</v>
      </c>
      <c r="D3913" t="s">
        <v>123</v>
      </c>
      <c r="E3913" s="7">
        <v>442.78</v>
      </c>
      <c r="F3913" t="s">
        <v>20</v>
      </c>
      <c r="G3913" t="s">
        <v>21</v>
      </c>
      <c r="H3913" t="str">
        <f>"251060383001"</f>
        <v>251060383001</v>
      </c>
      <c r="I3913" t="str">
        <f>"PD SUPPLIES"</f>
        <v>PD SUPPLIES</v>
      </c>
    </row>
    <row r="3914" spans="1:9" x14ac:dyDescent="0.25">
      <c r="A3914" s="6">
        <v>44768</v>
      </c>
      <c r="B3914" t="s">
        <v>26</v>
      </c>
      <c r="C3914">
        <v>70122</v>
      </c>
      <c r="D3914" t="s">
        <v>123</v>
      </c>
      <c r="E3914" s="7">
        <v>69.66</v>
      </c>
      <c r="F3914" t="s">
        <v>20</v>
      </c>
      <c r="G3914" t="s">
        <v>21</v>
      </c>
      <c r="H3914" t="str">
        <f>"254284451001"</f>
        <v>254284451001</v>
      </c>
      <c r="I3914" t="str">
        <f>"BATHROOM CLEANER"</f>
        <v>BATHROOM CLEANER</v>
      </c>
    </row>
    <row r="3915" spans="1:9" x14ac:dyDescent="0.25">
      <c r="A3915" s="6">
        <v>44768</v>
      </c>
      <c r="B3915" t="s">
        <v>26</v>
      </c>
      <c r="C3915">
        <v>70123</v>
      </c>
      <c r="D3915" t="s">
        <v>137</v>
      </c>
      <c r="E3915" s="7">
        <v>51.95</v>
      </c>
      <c r="F3915" t="s">
        <v>20</v>
      </c>
      <c r="G3915" t="s">
        <v>21</v>
      </c>
      <c r="H3915" t="str">
        <f>"38514"</f>
        <v>38514</v>
      </c>
      <c r="I3915" t="str">
        <f>"OMNIBUS-M  INC.D.B.A."</f>
        <v>OMNIBUS-M  INC.D.B.A.</v>
      </c>
    </row>
    <row r="3916" spans="1:9" x14ac:dyDescent="0.25">
      <c r="A3916" s="6">
        <v>44768</v>
      </c>
      <c r="B3916" t="s">
        <v>26</v>
      </c>
      <c r="C3916">
        <v>70123</v>
      </c>
      <c r="D3916" t="s">
        <v>137</v>
      </c>
      <c r="E3916" s="7">
        <v>69.95</v>
      </c>
      <c r="F3916" t="s">
        <v>20</v>
      </c>
      <c r="G3916" t="s">
        <v>21</v>
      </c>
      <c r="H3916" t="str">
        <f>"38515"</f>
        <v>38515</v>
      </c>
      <c r="I3916" t="str">
        <f>"OMNIBUS-M  INC.D.B.A."</f>
        <v>OMNIBUS-M  INC.D.B.A.</v>
      </c>
    </row>
    <row r="3917" spans="1:9" x14ac:dyDescent="0.25">
      <c r="A3917" s="6">
        <v>44768</v>
      </c>
      <c r="B3917" t="s">
        <v>26</v>
      </c>
      <c r="C3917">
        <v>70124</v>
      </c>
      <c r="D3917" t="s">
        <v>77</v>
      </c>
      <c r="E3917" s="7">
        <v>1829.9</v>
      </c>
      <c r="F3917" t="s">
        <v>20</v>
      </c>
      <c r="G3917" t="s">
        <v>21</v>
      </c>
      <c r="H3917" t="str">
        <f>"857001518-22"</f>
        <v>857001518-22</v>
      </c>
      <c r="I3917" t="str">
        <f>"CHLORINE"</f>
        <v>CHLORINE</v>
      </c>
    </row>
    <row r="3918" spans="1:9" x14ac:dyDescent="0.25">
      <c r="A3918" s="6">
        <v>44768</v>
      </c>
      <c r="B3918" t="s">
        <v>26</v>
      </c>
      <c r="C3918">
        <v>70124</v>
      </c>
      <c r="D3918" t="s">
        <v>77</v>
      </c>
      <c r="E3918" s="7">
        <v>914.96</v>
      </c>
      <c r="F3918" t="s">
        <v>20</v>
      </c>
      <c r="G3918" t="s">
        <v>21</v>
      </c>
      <c r="H3918" t="str">
        <f>"857001519-22"</f>
        <v>857001519-22</v>
      </c>
      <c r="I3918" t="str">
        <f>"CHLORINE"</f>
        <v>CHLORINE</v>
      </c>
    </row>
    <row r="3919" spans="1:9" x14ac:dyDescent="0.25">
      <c r="A3919" s="6">
        <v>44768</v>
      </c>
      <c r="B3919" t="s">
        <v>26</v>
      </c>
      <c r="C3919">
        <v>70125</v>
      </c>
      <c r="D3919" t="s">
        <v>124</v>
      </c>
      <c r="E3919" s="7">
        <v>373.79</v>
      </c>
      <c r="F3919" t="s">
        <v>20</v>
      </c>
      <c r="G3919" t="s">
        <v>21</v>
      </c>
      <c r="H3919" t="str">
        <f>"11125446"</f>
        <v>11125446</v>
      </c>
      <c r="I3919" t="str">
        <f>"EVENT CENTER PAINT"</f>
        <v>EVENT CENTER PAINT</v>
      </c>
    </row>
    <row r="3920" spans="1:9" x14ac:dyDescent="0.25">
      <c r="A3920" s="6">
        <v>44768</v>
      </c>
      <c r="B3920" t="s">
        <v>26</v>
      </c>
      <c r="C3920">
        <v>70126</v>
      </c>
      <c r="D3920" t="s">
        <v>431</v>
      </c>
      <c r="E3920" s="7">
        <v>2875</v>
      </c>
      <c r="F3920" t="s">
        <v>20</v>
      </c>
      <c r="G3920" t="s">
        <v>21</v>
      </c>
      <c r="H3920" t="str">
        <f>"7/25/2022 ARENA"</f>
        <v>7/25/2022 ARENA</v>
      </c>
      <c r="I3920" t="str">
        <f>"ANDRES IBARRA"</f>
        <v>ANDRES IBARRA</v>
      </c>
    </row>
    <row r="3921" spans="1:9" x14ac:dyDescent="0.25">
      <c r="A3921" s="6">
        <v>44768</v>
      </c>
      <c r="B3921" t="s">
        <v>26</v>
      </c>
      <c r="C3921">
        <v>70127</v>
      </c>
      <c r="D3921" t="s">
        <v>85</v>
      </c>
      <c r="E3921" s="7">
        <v>64.41</v>
      </c>
      <c r="F3921" t="s">
        <v>20</v>
      </c>
      <c r="G3921" t="s">
        <v>21</v>
      </c>
      <c r="H3921" t="str">
        <f>"2162733 JULY 2022"</f>
        <v>2162733 JULY 2022</v>
      </c>
      <c r="I3921" t="str">
        <f>"FRONTIER"</f>
        <v>FRONTIER</v>
      </c>
    </row>
    <row r="3922" spans="1:9" x14ac:dyDescent="0.25">
      <c r="A3922" s="6">
        <v>44768</v>
      </c>
      <c r="B3922" t="s">
        <v>26</v>
      </c>
      <c r="C3922">
        <v>70127</v>
      </c>
      <c r="D3922" t="s">
        <v>85</v>
      </c>
      <c r="E3922" s="7">
        <v>541.88</v>
      </c>
      <c r="F3922" t="s">
        <v>20</v>
      </c>
      <c r="G3922" t="s">
        <v>21</v>
      </c>
      <c r="H3922" t="str">
        <f>"2162745 JULY 2022"</f>
        <v>2162745 JULY 2022</v>
      </c>
      <c r="I3922" t="str">
        <f>"FRONTIER"</f>
        <v>FRONTIER</v>
      </c>
    </row>
    <row r="3923" spans="1:9" x14ac:dyDescent="0.25">
      <c r="A3923" s="6">
        <v>44768</v>
      </c>
      <c r="B3923" t="s">
        <v>26</v>
      </c>
      <c r="C3923">
        <v>70127</v>
      </c>
      <c r="D3923" t="s">
        <v>85</v>
      </c>
      <c r="E3923" s="7">
        <v>63.2</v>
      </c>
      <c r="F3923" t="s">
        <v>20</v>
      </c>
      <c r="G3923" t="s">
        <v>21</v>
      </c>
      <c r="H3923" t="str">
        <f>"2162755 JULY 2022"</f>
        <v>2162755 JULY 2022</v>
      </c>
      <c r="I3923" t="str">
        <f>"FRONTIER"</f>
        <v>FRONTIER</v>
      </c>
    </row>
    <row r="3924" spans="1:9" x14ac:dyDescent="0.25">
      <c r="A3924" s="6">
        <v>44768</v>
      </c>
      <c r="B3924" t="s">
        <v>26</v>
      </c>
      <c r="C3924">
        <v>70128</v>
      </c>
      <c r="D3924" t="s">
        <v>132</v>
      </c>
      <c r="E3924" s="7">
        <v>80.77</v>
      </c>
      <c r="F3924" t="s">
        <v>20</v>
      </c>
      <c r="G3924" t="s">
        <v>21</v>
      </c>
      <c r="H3924" t="str">
        <f>"16992887 071422"</f>
        <v>16992887 071422</v>
      </c>
      <c r="I3924" t="str">
        <f>"SPARKLETTS &amp; SIERRA SPRINGS"</f>
        <v>SPARKLETTS &amp; SIERRA SPRINGS</v>
      </c>
    </row>
    <row r="3925" spans="1:9" x14ac:dyDescent="0.25">
      <c r="A3925" s="6">
        <v>44768</v>
      </c>
      <c r="B3925" t="s">
        <v>26</v>
      </c>
      <c r="C3925">
        <v>70129</v>
      </c>
      <c r="D3925" t="s">
        <v>326</v>
      </c>
      <c r="E3925" s="7">
        <v>151.12</v>
      </c>
      <c r="F3925" t="s">
        <v>20</v>
      </c>
      <c r="G3925" t="s">
        <v>21</v>
      </c>
      <c r="H3925" t="str">
        <f>"0026023686"</f>
        <v>0026023686</v>
      </c>
      <c r="I3925" t="str">
        <f>"ROPING ARENA"</f>
        <v>ROPING ARENA</v>
      </c>
    </row>
    <row r="3926" spans="1:9" x14ac:dyDescent="0.25">
      <c r="A3926" s="6">
        <v>44768</v>
      </c>
      <c r="B3926" t="s">
        <v>26</v>
      </c>
      <c r="C3926">
        <v>70130</v>
      </c>
      <c r="D3926" t="s">
        <v>345</v>
      </c>
      <c r="E3926" s="7">
        <v>445.5</v>
      </c>
      <c r="F3926" t="s">
        <v>20</v>
      </c>
      <c r="G3926" t="s">
        <v>21</v>
      </c>
      <c r="H3926" t="str">
        <f>"07/25/2022"</f>
        <v>07/25/2022</v>
      </c>
      <c r="I3926" t="str">
        <f>"MICHAEL ISAAC MARTINEZ"</f>
        <v>MICHAEL ISAAC MARTINEZ</v>
      </c>
    </row>
    <row r="3927" spans="1:9" x14ac:dyDescent="0.25">
      <c r="A3927" s="6">
        <v>44768</v>
      </c>
      <c r="B3927" t="s">
        <v>26</v>
      </c>
      <c r="C3927">
        <v>70131</v>
      </c>
      <c r="D3927" t="s">
        <v>218</v>
      </c>
      <c r="E3927" s="7">
        <v>135</v>
      </c>
      <c r="F3927" t="s">
        <v>20</v>
      </c>
      <c r="G3927" t="s">
        <v>21</v>
      </c>
      <c r="H3927" t="str">
        <f>"1185"</f>
        <v>1185</v>
      </c>
      <c r="I3927" t="str">
        <f>"TOWING"</f>
        <v>TOWING</v>
      </c>
    </row>
    <row r="3928" spans="1:9" x14ac:dyDescent="0.25">
      <c r="A3928" s="6">
        <v>44768</v>
      </c>
      <c r="B3928" t="s">
        <v>26</v>
      </c>
      <c r="C3928">
        <v>70131</v>
      </c>
      <c r="D3928" t="s">
        <v>218</v>
      </c>
      <c r="E3928" s="7">
        <v>100</v>
      </c>
      <c r="F3928" t="s">
        <v>20</v>
      </c>
      <c r="G3928" t="s">
        <v>21</v>
      </c>
      <c r="H3928" t="str">
        <f>"9142"</f>
        <v>9142</v>
      </c>
      <c r="I3928" t="str">
        <f>"STREET UNIT 1004"</f>
        <v>STREET UNIT 1004</v>
      </c>
    </row>
    <row r="3929" spans="1:9" x14ac:dyDescent="0.25">
      <c r="A3929" s="6">
        <v>44768</v>
      </c>
      <c r="B3929" t="s">
        <v>26</v>
      </c>
      <c r="C3929">
        <v>70132</v>
      </c>
      <c r="D3929" t="s">
        <v>644</v>
      </c>
      <c r="E3929" s="7">
        <v>182.18</v>
      </c>
      <c r="F3929" t="s">
        <v>20</v>
      </c>
      <c r="G3929" t="s">
        <v>21</v>
      </c>
      <c r="H3929" t="str">
        <f>"8213754534"</f>
        <v>8213754534</v>
      </c>
      <c r="I3929" t="str">
        <f>"UNIFIRST CORPORATION"</f>
        <v>UNIFIRST CORPORATION</v>
      </c>
    </row>
    <row r="3930" spans="1:9" x14ac:dyDescent="0.25">
      <c r="A3930" s="6">
        <v>44768</v>
      </c>
      <c r="B3930" t="s">
        <v>26</v>
      </c>
      <c r="C3930">
        <v>70133</v>
      </c>
      <c r="D3930" t="s">
        <v>1033</v>
      </c>
      <c r="E3930" s="7">
        <v>3351.58</v>
      </c>
      <c r="F3930" t="s">
        <v>20</v>
      </c>
      <c r="G3930" t="s">
        <v>21</v>
      </c>
      <c r="H3930" t="str">
        <f>"1331  12084643"</f>
        <v>1331  12084643</v>
      </c>
      <c r="I3930" t="str">
        <f>"2021 GMC 2500 HD"</f>
        <v>2021 GMC 2500 HD</v>
      </c>
    </row>
    <row r="3931" spans="1:9" x14ac:dyDescent="0.25">
      <c r="A3931" s="6">
        <v>44768</v>
      </c>
      <c r="B3931" t="s">
        <v>26</v>
      </c>
      <c r="C3931">
        <v>70134</v>
      </c>
      <c r="D3931" t="s">
        <v>927</v>
      </c>
      <c r="E3931" s="7">
        <v>600</v>
      </c>
      <c r="F3931" t="s">
        <v>20</v>
      </c>
      <c r="G3931" t="s">
        <v>21</v>
      </c>
      <c r="H3931" t="str">
        <f>"CITY0000015"</f>
        <v>CITY0000015</v>
      </c>
      <c r="I3931" t="str">
        <f>"JOELZ LAWN MOWING SERVICE"</f>
        <v>JOELZ LAWN MOWING SERVICE</v>
      </c>
    </row>
    <row r="3932" spans="1:9" x14ac:dyDescent="0.25">
      <c r="A3932" s="6">
        <v>44768</v>
      </c>
      <c r="B3932" t="s">
        <v>26</v>
      </c>
      <c r="C3932">
        <v>70135</v>
      </c>
      <c r="D3932" t="s">
        <v>1063</v>
      </c>
      <c r="E3932" s="7">
        <v>1736</v>
      </c>
      <c r="F3932" t="s">
        <v>20</v>
      </c>
      <c r="G3932" t="s">
        <v>21</v>
      </c>
      <c r="H3932" t="str">
        <f>"18034952"</f>
        <v>18034952</v>
      </c>
      <c r="I3932" t="str">
        <f>"RA-50 ROCK ASPHALT 50#"</f>
        <v>RA-50 ROCK ASPHALT 50#</v>
      </c>
    </row>
    <row r="3933" spans="1:9" x14ac:dyDescent="0.25">
      <c r="A3933" s="6">
        <v>44768</v>
      </c>
      <c r="B3933" t="s">
        <v>26</v>
      </c>
      <c r="C3933">
        <v>70136</v>
      </c>
      <c r="D3933" t="s">
        <v>1210</v>
      </c>
      <c r="E3933" s="7">
        <v>2875</v>
      </c>
      <c r="F3933" t="s">
        <v>20</v>
      </c>
      <c r="G3933" t="s">
        <v>21</v>
      </c>
      <c r="H3933" t="str">
        <f>"7/25/2022 ARENA"</f>
        <v>7/25/2022 ARENA</v>
      </c>
      <c r="I3933" t="str">
        <f>"VICTOR IBARRA"</f>
        <v>VICTOR IBARRA</v>
      </c>
    </row>
    <row r="3934" spans="1:9" x14ac:dyDescent="0.25">
      <c r="A3934" s="6">
        <v>44768</v>
      </c>
      <c r="B3934" t="s">
        <v>26</v>
      </c>
      <c r="C3934">
        <v>70137</v>
      </c>
      <c r="D3934" t="s">
        <v>1254</v>
      </c>
      <c r="E3934" s="7">
        <v>2279</v>
      </c>
      <c r="F3934" t="s">
        <v>20</v>
      </c>
      <c r="G3934" t="s">
        <v>21</v>
      </c>
      <c r="H3934" t="str">
        <f>"ARCADIA ROCK REPAI"</f>
        <v>ARCADIA ROCK REPAI</v>
      </c>
      <c r="I3934" t="str">
        <f>"R W HILL CONSTRUCTION  LLC"</f>
        <v>R W HILL CONSTRUCTION  LLC</v>
      </c>
    </row>
    <row r="3935" spans="1:9" x14ac:dyDescent="0.25">
      <c r="A3935" s="6">
        <v>44768</v>
      </c>
      <c r="B3935" t="s">
        <v>26</v>
      </c>
      <c r="C3935">
        <v>70138</v>
      </c>
      <c r="D3935" t="s">
        <v>1255</v>
      </c>
      <c r="E3935" s="7">
        <v>84.63</v>
      </c>
      <c r="F3935" t="s">
        <v>20</v>
      </c>
      <c r="G3935" t="s">
        <v>21</v>
      </c>
      <c r="H3935" t="str">
        <f>"7/27/2022"</f>
        <v>7/27/2022</v>
      </c>
      <c r="I3935" t="str">
        <f>"FELIX S CANTU"</f>
        <v>FELIX S CANTU</v>
      </c>
    </row>
    <row r="3936" spans="1:9" x14ac:dyDescent="0.25">
      <c r="A3936" s="6">
        <v>44768</v>
      </c>
      <c r="B3936" t="s">
        <v>26</v>
      </c>
      <c r="C3936">
        <v>70139</v>
      </c>
      <c r="D3936" t="s">
        <v>1256</v>
      </c>
      <c r="E3936" s="7">
        <v>84.63</v>
      </c>
      <c r="F3936" t="s">
        <v>20</v>
      </c>
      <c r="G3936" t="s">
        <v>21</v>
      </c>
      <c r="H3936" t="str">
        <f>"7/27/2022"</f>
        <v>7/27/2022</v>
      </c>
      <c r="I3936" t="str">
        <f>"DORA B CANTU"</f>
        <v>DORA B CANTU</v>
      </c>
    </row>
    <row r="3937" spans="1:9" x14ac:dyDescent="0.25">
      <c r="A3937" s="6">
        <v>44768</v>
      </c>
      <c r="B3937" t="s">
        <v>26</v>
      </c>
      <c r="C3937">
        <v>70140</v>
      </c>
      <c r="D3937" t="s">
        <v>1257</v>
      </c>
      <c r="E3937" s="7">
        <v>84.63</v>
      </c>
      <c r="F3937" t="s">
        <v>20</v>
      </c>
      <c r="G3937" t="s">
        <v>21</v>
      </c>
      <c r="H3937" t="str">
        <f>"7/27/2022"</f>
        <v>7/27/2022</v>
      </c>
      <c r="I3937" t="str">
        <f>"MARYLOU B TORRES"</f>
        <v>MARYLOU B TORRES</v>
      </c>
    </row>
    <row r="3938" spans="1:9" x14ac:dyDescent="0.25">
      <c r="A3938" s="6">
        <v>44768</v>
      </c>
      <c r="B3938" t="s">
        <v>26</v>
      </c>
      <c r="C3938">
        <v>70141</v>
      </c>
      <c r="D3938" t="s">
        <v>1258</v>
      </c>
      <c r="E3938" s="7">
        <v>2199</v>
      </c>
      <c r="F3938" t="s">
        <v>20</v>
      </c>
      <c r="G3938" t="s">
        <v>21</v>
      </c>
      <c r="H3938" t="str">
        <f>"188806-0"</f>
        <v>188806-0</v>
      </c>
      <c r="I3938" t="str">
        <f>"METRO FIRE"</f>
        <v>METRO FIRE</v>
      </c>
    </row>
    <row r="3939" spans="1:9" x14ac:dyDescent="0.25">
      <c r="A3939" s="6">
        <v>44768</v>
      </c>
      <c r="B3939" t="s">
        <v>26</v>
      </c>
      <c r="C3939">
        <v>70148</v>
      </c>
      <c r="D3939" t="s">
        <v>54</v>
      </c>
      <c r="E3939" s="7">
        <v>803.43</v>
      </c>
      <c r="F3939" t="s">
        <v>20</v>
      </c>
      <c r="G3939" t="s">
        <v>21</v>
      </c>
      <c r="H3939" t="str">
        <f>"BRE202207268664"</f>
        <v>BRE202207268664</v>
      </c>
      <c r="I3939" t="str">
        <f>"CASE #180-60751 457B DEDUCT"</f>
        <v>CASE #180-60751 457B DEDUCT</v>
      </c>
    </row>
    <row r="3940" spans="1:9" x14ac:dyDescent="0.25">
      <c r="A3940" s="6">
        <v>44769</v>
      </c>
      <c r="B3940" t="s">
        <v>26</v>
      </c>
      <c r="C3940">
        <v>70149</v>
      </c>
      <c r="D3940" t="s">
        <v>1259</v>
      </c>
      <c r="E3940" s="7">
        <v>2515.75</v>
      </c>
      <c r="F3940" t="s">
        <v>20</v>
      </c>
      <c r="G3940" t="s">
        <v>21</v>
      </c>
      <c r="H3940" t="str">
        <f>"R01538"</f>
        <v>R01538</v>
      </c>
      <c r="I3940" t="str">
        <f>"DITCH WITCH OF CENTRAL TEXAS"</f>
        <v>DITCH WITCH OF CENTRAL TEXAS</v>
      </c>
    </row>
    <row r="3941" spans="1:9" x14ac:dyDescent="0.25">
      <c r="A3941" s="6">
        <v>44769</v>
      </c>
      <c r="B3941" t="s">
        <v>26</v>
      </c>
      <c r="C3941">
        <v>70150</v>
      </c>
      <c r="D3941" t="s">
        <v>85</v>
      </c>
      <c r="E3941" s="7">
        <v>2004.45</v>
      </c>
      <c r="F3941" t="s">
        <v>20</v>
      </c>
      <c r="G3941" t="s">
        <v>21</v>
      </c>
      <c r="H3941" t="str">
        <f>"8301970025 7/2022"</f>
        <v>8301970025 7/2022</v>
      </c>
      <c r="I3941" t="str">
        <f>"FRONTIER"</f>
        <v>FRONTIER</v>
      </c>
    </row>
    <row r="3942" spans="1:9" x14ac:dyDescent="0.25">
      <c r="A3942" s="6">
        <v>44770</v>
      </c>
      <c r="B3942" t="s">
        <v>26</v>
      </c>
      <c r="C3942">
        <v>70151</v>
      </c>
      <c r="D3942" t="s">
        <v>90</v>
      </c>
      <c r="E3942" s="7">
        <v>88.57</v>
      </c>
      <c r="F3942" t="s">
        <v>20</v>
      </c>
      <c r="G3942" t="s">
        <v>21</v>
      </c>
      <c r="H3942" t="str">
        <f>"ACA202207128662"</f>
        <v>ACA202207128662</v>
      </c>
      <c r="I3942" t="str">
        <f>"AFLAC INSURANCE"</f>
        <v>AFLAC INSURANCE</v>
      </c>
    </row>
    <row r="3943" spans="1:9" x14ac:dyDescent="0.25">
      <c r="A3943" s="6">
        <v>44770</v>
      </c>
      <c r="B3943" t="s">
        <v>26</v>
      </c>
      <c r="C3943">
        <v>70151</v>
      </c>
      <c r="D3943" t="s">
        <v>90</v>
      </c>
      <c r="E3943" s="7">
        <v>88.57</v>
      </c>
      <c r="F3943" t="s">
        <v>20</v>
      </c>
      <c r="G3943" t="s">
        <v>21</v>
      </c>
      <c r="H3943" t="str">
        <f>"ACA202207268664"</f>
        <v>ACA202207268664</v>
      </c>
      <c r="I3943" t="str">
        <f>"AFLAC INSURANCE"</f>
        <v>AFLAC INSURANCE</v>
      </c>
    </row>
    <row r="3944" spans="1:9" x14ac:dyDescent="0.25">
      <c r="A3944" s="6">
        <v>44770</v>
      </c>
      <c r="B3944" t="s">
        <v>26</v>
      </c>
      <c r="C3944">
        <v>70151</v>
      </c>
      <c r="D3944" t="s">
        <v>90</v>
      </c>
      <c r="E3944" s="7">
        <v>15.06</v>
      </c>
      <c r="F3944" t="s">
        <v>20</v>
      </c>
      <c r="G3944" t="s">
        <v>21</v>
      </c>
      <c r="H3944" t="str">
        <f>"ADR202207128662"</f>
        <v>ADR202207128662</v>
      </c>
      <c r="I3944" t="str">
        <f>"INSURANCE"</f>
        <v>INSURANCE</v>
      </c>
    </row>
    <row r="3945" spans="1:9" x14ac:dyDescent="0.25">
      <c r="A3945" s="6">
        <v>44770</v>
      </c>
      <c r="B3945" t="s">
        <v>26</v>
      </c>
      <c r="C3945">
        <v>70151</v>
      </c>
      <c r="D3945" t="s">
        <v>90</v>
      </c>
      <c r="E3945" s="7">
        <v>15.06</v>
      </c>
      <c r="F3945" t="s">
        <v>20</v>
      </c>
      <c r="G3945" t="s">
        <v>21</v>
      </c>
      <c r="H3945" t="str">
        <f>"ADR202207268664"</f>
        <v>ADR202207268664</v>
      </c>
      <c r="I3945" t="str">
        <f>"INSURANCE"</f>
        <v>INSURANCE</v>
      </c>
    </row>
    <row r="3946" spans="1:9" x14ac:dyDescent="0.25">
      <c r="A3946" s="6">
        <v>44770</v>
      </c>
      <c r="B3946" t="s">
        <v>26</v>
      </c>
      <c r="C3946">
        <v>70151</v>
      </c>
      <c r="D3946" t="s">
        <v>90</v>
      </c>
      <c r="E3946" s="7">
        <v>466.86</v>
      </c>
      <c r="F3946" t="s">
        <v>20</v>
      </c>
      <c r="G3946" t="s">
        <v>21</v>
      </c>
      <c r="H3946" t="str">
        <f>"AF1202207128662"</f>
        <v>AF1202207128662</v>
      </c>
      <c r="I3946" t="str">
        <f>"AFLAC INSURANCE"</f>
        <v>AFLAC INSURANCE</v>
      </c>
    </row>
    <row r="3947" spans="1:9" x14ac:dyDescent="0.25">
      <c r="A3947" s="6">
        <v>44770</v>
      </c>
      <c r="B3947" t="s">
        <v>26</v>
      </c>
      <c r="C3947">
        <v>70151</v>
      </c>
      <c r="D3947" t="s">
        <v>90</v>
      </c>
      <c r="E3947" s="7">
        <v>466.86</v>
      </c>
      <c r="F3947" t="s">
        <v>20</v>
      </c>
      <c r="G3947" t="s">
        <v>21</v>
      </c>
      <c r="H3947" t="str">
        <f>"AF1202207268664"</f>
        <v>AF1202207268664</v>
      </c>
      <c r="I3947" t="str">
        <f>"AFLAC INSURANCE"</f>
        <v>AFLAC INSURANCE</v>
      </c>
    </row>
    <row r="3948" spans="1:9" x14ac:dyDescent="0.25">
      <c r="A3948" s="6">
        <v>44770</v>
      </c>
      <c r="B3948" t="s">
        <v>26</v>
      </c>
      <c r="C3948">
        <v>70151</v>
      </c>
      <c r="D3948" t="s">
        <v>90</v>
      </c>
      <c r="E3948" s="7">
        <v>102.24</v>
      </c>
      <c r="F3948" t="s">
        <v>20</v>
      </c>
      <c r="G3948" t="s">
        <v>21</v>
      </c>
      <c r="H3948" t="str">
        <f>"AFS202207128662"</f>
        <v>AFS202207128662</v>
      </c>
      <c r="I3948" t="str">
        <f>"AFLAC STD"</f>
        <v>AFLAC STD</v>
      </c>
    </row>
    <row r="3949" spans="1:9" x14ac:dyDescent="0.25">
      <c r="A3949" s="6">
        <v>44770</v>
      </c>
      <c r="B3949" t="s">
        <v>26</v>
      </c>
      <c r="C3949">
        <v>70151</v>
      </c>
      <c r="D3949" t="s">
        <v>90</v>
      </c>
      <c r="E3949" s="7">
        <v>102.24</v>
      </c>
      <c r="F3949" t="s">
        <v>20</v>
      </c>
      <c r="G3949" t="s">
        <v>21</v>
      </c>
      <c r="H3949" t="str">
        <f>"AFS202207268664"</f>
        <v>AFS202207268664</v>
      </c>
      <c r="I3949" t="str">
        <f>"AFLAC STD"</f>
        <v>AFLAC STD</v>
      </c>
    </row>
    <row r="3950" spans="1:9" x14ac:dyDescent="0.25">
      <c r="A3950" s="6">
        <v>44770</v>
      </c>
      <c r="B3950" t="s">
        <v>26</v>
      </c>
      <c r="C3950">
        <v>70151</v>
      </c>
      <c r="D3950" t="s">
        <v>90</v>
      </c>
      <c r="E3950" s="7">
        <v>33.54</v>
      </c>
      <c r="F3950" t="s">
        <v>20</v>
      </c>
      <c r="G3950" t="s">
        <v>21</v>
      </c>
      <c r="H3950" t="str">
        <f>"ASP202207128662"</f>
        <v>ASP202207128662</v>
      </c>
      <c r="I3950" t="str">
        <f>"AFLAC INSURANCE"</f>
        <v>AFLAC INSURANCE</v>
      </c>
    </row>
    <row r="3951" spans="1:9" x14ac:dyDescent="0.25">
      <c r="A3951" s="6">
        <v>44770</v>
      </c>
      <c r="B3951" t="s">
        <v>26</v>
      </c>
      <c r="C3951">
        <v>70151</v>
      </c>
      <c r="D3951" t="s">
        <v>90</v>
      </c>
      <c r="E3951" s="7">
        <v>33.54</v>
      </c>
      <c r="F3951" t="s">
        <v>20</v>
      </c>
      <c r="G3951" t="s">
        <v>21</v>
      </c>
      <c r="H3951" t="str">
        <f>"ASP202207268664"</f>
        <v>ASP202207268664</v>
      </c>
      <c r="I3951" t="str">
        <f>"AFLAC INSURANCE"</f>
        <v>AFLAC INSURANCE</v>
      </c>
    </row>
    <row r="3952" spans="1:9" x14ac:dyDescent="0.25">
      <c r="A3952" s="6">
        <v>44770</v>
      </c>
      <c r="B3952" t="s">
        <v>26</v>
      </c>
      <c r="C3952">
        <v>70151</v>
      </c>
      <c r="D3952" t="s">
        <v>90</v>
      </c>
      <c r="E3952" s="7">
        <v>143.76</v>
      </c>
      <c r="F3952" t="s">
        <v>20</v>
      </c>
      <c r="G3952" t="s">
        <v>21</v>
      </c>
      <c r="H3952" t="str">
        <f>"HCO202207128662"</f>
        <v>HCO202207128662</v>
      </c>
      <c r="I3952" t="str">
        <f>"AFLAC INSURANCE"</f>
        <v>AFLAC INSURANCE</v>
      </c>
    </row>
    <row r="3953" spans="1:9" x14ac:dyDescent="0.25">
      <c r="A3953" s="6">
        <v>44770</v>
      </c>
      <c r="B3953" t="s">
        <v>26</v>
      </c>
      <c r="C3953">
        <v>70151</v>
      </c>
      <c r="D3953" t="s">
        <v>90</v>
      </c>
      <c r="E3953" s="7">
        <v>143.76</v>
      </c>
      <c r="F3953" t="s">
        <v>20</v>
      </c>
      <c r="G3953" t="s">
        <v>21</v>
      </c>
      <c r="H3953" t="str">
        <f>"HCO202207268664"</f>
        <v>HCO202207268664</v>
      </c>
      <c r="I3953" t="str">
        <f>"AFLAC INSURANCE"</f>
        <v>AFLAC INSURANCE</v>
      </c>
    </row>
    <row r="3954" spans="1:9" x14ac:dyDescent="0.25">
      <c r="A3954" s="6">
        <v>44770</v>
      </c>
      <c r="B3954" t="s">
        <v>26</v>
      </c>
      <c r="C3954">
        <v>70156</v>
      </c>
      <c r="D3954" t="s">
        <v>95</v>
      </c>
      <c r="E3954" s="7">
        <v>12.66</v>
      </c>
      <c r="F3954" t="s">
        <v>20</v>
      </c>
      <c r="G3954" t="s">
        <v>21</v>
      </c>
      <c r="H3954" t="str">
        <f>"LEA202206288661"</f>
        <v>LEA202206288661</v>
      </c>
      <c r="I3954" t="str">
        <f>"INSURANCE"</f>
        <v>INSURANCE</v>
      </c>
    </row>
    <row r="3955" spans="1:9" x14ac:dyDescent="0.25">
      <c r="A3955" s="6">
        <v>44770</v>
      </c>
      <c r="B3955" t="s">
        <v>26</v>
      </c>
      <c r="C3955">
        <v>70156</v>
      </c>
      <c r="D3955" t="s">
        <v>95</v>
      </c>
      <c r="E3955" s="7">
        <v>12.66</v>
      </c>
      <c r="F3955" t="s">
        <v>20</v>
      </c>
      <c r="G3955" t="s">
        <v>21</v>
      </c>
      <c r="H3955" t="str">
        <f>"LEA202207128662"</f>
        <v>LEA202207128662</v>
      </c>
      <c r="I3955" t="str">
        <f>"INSURANCE"</f>
        <v>INSURANCE</v>
      </c>
    </row>
    <row r="3956" spans="1:9" x14ac:dyDescent="0.25">
      <c r="A3956" s="6">
        <v>44770</v>
      </c>
      <c r="B3956" t="s">
        <v>26</v>
      </c>
      <c r="C3956">
        <v>70157</v>
      </c>
      <c r="D3956" t="s">
        <v>96</v>
      </c>
      <c r="E3956" s="7">
        <v>112.62</v>
      </c>
      <c r="F3956" t="s">
        <v>20</v>
      </c>
      <c r="G3956" t="s">
        <v>21</v>
      </c>
      <c r="H3956" t="str">
        <f>"PPL202206288661"</f>
        <v>PPL202206288661</v>
      </c>
      <c r="I3956" t="str">
        <f>"INSURANCE"</f>
        <v>INSURANCE</v>
      </c>
    </row>
    <row r="3957" spans="1:9" x14ac:dyDescent="0.25">
      <c r="A3957" s="6">
        <v>44770</v>
      </c>
      <c r="B3957" t="s">
        <v>26</v>
      </c>
      <c r="C3957">
        <v>70157</v>
      </c>
      <c r="D3957" t="s">
        <v>96</v>
      </c>
      <c r="E3957" s="7">
        <v>112.62</v>
      </c>
      <c r="F3957" t="s">
        <v>20</v>
      </c>
      <c r="G3957" t="s">
        <v>21</v>
      </c>
      <c r="H3957" t="str">
        <f>"PPL202207128662"</f>
        <v>PPL202207128662</v>
      </c>
      <c r="I3957" t="str">
        <f>"INSURANCE"</f>
        <v>INSURANCE</v>
      </c>
    </row>
    <row r="3958" spans="1:9" x14ac:dyDescent="0.25">
      <c r="A3958" s="6">
        <v>44770</v>
      </c>
      <c r="B3958" t="s">
        <v>26</v>
      </c>
      <c r="C3958">
        <v>70158</v>
      </c>
      <c r="D3958" t="s">
        <v>97</v>
      </c>
      <c r="E3958" s="7">
        <v>-1487.17</v>
      </c>
      <c r="F3958" t="s">
        <v>20</v>
      </c>
      <c r="G3958" t="s">
        <v>24</v>
      </c>
      <c r="H3958" t="str">
        <f>"AUGUST 2022"</f>
        <v>AUGUST 2022</v>
      </c>
      <c r="I3958" t="str">
        <f>"HEALTH CARE SERVICE CORPORATIO"</f>
        <v>HEALTH CARE SERVICE CORPORATIO</v>
      </c>
    </row>
    <row r="3959" spans="1:9" x14ac:dyDescent="0.25">
      <c r="A3959" s="6">
        <v>44770</v>
      </c>
      <c r="B3959" t="s">
        <v>26</v>
      </c>
      <c r="C3959">
        <v>70158</v>
      </c>
      <c r="D3959" t="s">
        <v>97</v>
      </c>
      <c r="E3959" s="7">
        <v>1195.08</v>
      </c>
      <c r="F3959" t="s">
        <v>20</v>
      </c>
      <c r="G3959" t="s">
        <v>21</v>
      </c>
      <c r="H3959" t="str">
        <f>"DEN202206288661"</f>
        <v>DEN202206288661</v>
      </c>
      <c r="I3959" t="str">
        <f>"DENTAL INSURANCE"</f>
        <v>DENTAL INSURANCE</v>
      </c>
    </row>
    <row r="3960" spans="1:9" x14ac:dyDescent="0.25">
      <c r="A3960" s="6">
        <v>44770</v>
      </c>
      <c r="B3960" t="s">
        <v>26</v>
      </c>
      <c r="C3960">
        <v>70158</v>
      </c>
      <c r="D3960" t="s">
        <v>97</v>
      </c>
      <c r="E3960" s="7">
        <v>1171.75</v>
      </c>
      <c r="F3960" t="s">
        <v>20</v>
      </c>
      <c r="G3960" t="s">
        <v>21</v>
      </c>
      <c r="H3960" t="str">
        <f>"DEN202207128662"</f>
        <v>DEN202207128662</v>
      </c>
      <c r="I3960" t="str">
        <f>"DENTAL INSURANCE"</f>
        <v>DENTAL INSURANCE</v>
      </c>
    </row>
    <row r="3961" spans="1:9" x14ac:dyDescent="0.25">
      <c r="A3961" s="6">
        <v>44770</v>
      </c>
      <c r="B3961" t="s">
        <v>26</v>
      </c>
      <c r="C3961">
        <v>70158</v>
      </c>
      <c r="D3961" t="s">
        <v>97</v>
      </c>
      <c r="E3961" s="7">
        <v>20045.95</v>
      </c>
      <c r="F3961" t="s">
        <v>20</v>
      </c>
      <c r="G3961" t="s">
        <v>21</v>
      </c>
      <c r="H3961" t="str">
        <f>"MED202206288661"</f>
        <v>MED202206288661</v>
      </c>
      <c r="I3961" t="str">
        <f>"HEALTH &amp; DENTAL INSURANCE"</f>
        <v>HEALTH &amp; DENTAL INSURANCE</v>
      </c>
    </row>
    <row r="3962" spans="1:9" x14ac:dyDescent="0.25">
      <c r="A3962" s="6">
        <v>44770</v>
      </c>
      <c r="B3962" t="s">
        <v>26</v>
      </c>
      <c r="C3962">
        <v>70158</v>
      </c>
      <c r="D3962" t="s">
        <v>97</v>
      </c>
      <c r="E3962" s="7">
        <v>19795.740000000002</v>
      </c>
      <c r="F3962" t="s">
        <v>20</v>
      </c>
      <c r="G3962" t="s">
        <v>21</v>
      </c>
      <c r="H3962" t="str">
        <f>"MED202207128662"</f>
        <v>MED202207128662</v>
      </c>
      <c r="I3962" t="str">
        <f>"HEALTH &amp; DENTAL INSURANCE"</f>
        <v>HEALTH &amp; DENTAL INSURANCE</v>
      </c>
    </row>
    <row r="3963" spans="1:9" x14ac:dyDescent="0.25">
      <c r="A3963" s="6">
        <v>44770</v>
      </c>
      <c r="B3963" t="s">
        <v>26</v>
      </c>
      <c r="C3963">
        <v>70163</v>
      </c>
      <c r="D3963" t="s">
        <v>98</v>
      </c>
      <c r="E3963" s="7">
        <v>-6.93</v>
      </c>
      <c r="F3963" t="s">
        <v>20</v>
      </c>
      <c r="G3963" t="s">
        <v>24</v>
      </c>
      <c r="H3963" t="str">
        <f>"STD202207138663"</f>
        <v>STD202207138663</v>
      </c>
      <c r="I3963" t="str">
        <f>"SHORT TERM DISABILITY"</f>
        <v>SHORT TERM DISABILITY</v>
      </c>
    </row>
    <row r="3964" spans="1:9" x14ac:dyDescent="0.25">
      <c r="A3964" s="6">
        <v>44770</v>
      </c>
      <c r="B3964" t="s">
        <v>26</v>
      </c>
      <c r="C3964">
        <v>70163</v>
      </c>
      <c r="D3964" t="s">
        <v>98</v>
      </c>
      <c r="E3964" s="7">
        <v>-5.16</v>
      </c>
      <c r="F3964" t="s">
        <v>20</v>
      </c>
      <c r="G3964" t="s">
        <v>24</v>
      </c>
      <c r="H3964" t="str">
        <f>"VIS202207138663"</f>
        <v>VIS202207138663</v>
      </c>
      <c r="I3964" t="str">
        <f>"VISION INSURANCE"</f>
        <v>VISION INSURANCE</v>
      </c>
    </row>
    <row r="3965" spans="1:9" x14ac:dyDescent="0.25">
      <c r="A3965" s="6">
        <v>44770</v>
      </c>
      <c r="B3965" t="s">
        <v>26</v>
      </c>
      <c r="C3965">
        <v>70163</v>
      </c>
      <c r="D3965" t="s">
        <v>98</v>
      </c>
      <c r="E3965" s="7">
        <v>-3.89</v>
      </c>
      <c r="F3965" t="s">
        <v>20</v>
      </c>
      <c r="G3965" t="s">
        <v>24</v>
      </c>
      <c r="H3965" t="str">
        <f>"VLC202207138663"</f>
        <v>VLC202207138663</v>
      </c>
      <c r="I3965" t="str">
        <f>"CHILD LIFE INSURANCE"</f>
        <v>CHILD LIFE INSURANCE</v>
      </c>
    </row>
    <row r="3966" spans="1:9" x14ac:dyDescent="0.25">
      <c r="A3966" s="6">
        <v>44770</v>
      </c>
      <c r="B3966" t="s">
        <v>26</v>
      </c>
      <c r="C3966">
        <v>70163</v>
      </c>
      <c r="D3966" t="s">
        <v>98</v>
      </c>
      <c r="E3966" s="7">
        <v>-1.51</v>
      </c>
      <c r="F3966" t="s">
        <v>20</v>
      </c>
      <c r="G3966" t="s">
        <v>24</v>
      </c>
      <c r="H3966" t="str">
        <f>"VOE202207138663"</f>
        <v>VOE202207138663</v>
      </c>
      <c r="I3966" t="str">
        <f>"EMPLOYEE LIFE"</f>
        <v>EMPLOYEE LIFE</v>
      </c>
    </row>
    <row r="3967" spans="1:9" x14ac:dyDescent="0.25">
      <c r="A3967" s="6">
        <v>44770</v>
      </c>
      <c r="B3967" t="s">
        <v>26</v>
      </c>
      <c r="C3967">
        <v>70163</v>
      </c>
      <c r="D3967" t="s">
        <v>98</v>
      </c>
      <c r="E3967" s="7">
        <v>-14.65</v>
      </c>
      <c r="F3967" t="s">
        <v>20</v>
      </c>
      <c r="G3967" t="s">
        <v>24</v>
      </c>
      <c r="H3967" t="str">
        <f>"VOL202207138663"</f>
        <v>VOL202207138663</v>
      </c>
      <c r="I3967" t="str">
        <f>"LIFE"</f>
        <v>LIFE</v>
      </c>
    </row>
    <row r="3968" spans="1:9" x14ac:dyDescent="0.25">
      <c r="A3968" s="6">
        <v>44770</v>
      </c>
      <c r="B3968" t="s">
        <v>26</v>
      </c>
      <c r="C3968">
        <v>70163</v>
      </c>
      <c r="D3968" t="s">
        <v>98</v>
      </c>
      <c r="E3968" s="7">
        <v>7.62</v>
      </c>
      <c r="F3968" t="s">
        <v>20</v>
      </c>
      <c r="G3968" t="s">
        <v>329</v>
      </c>
      <c r="H3968" t="str">
        <f>"AUGUST 2022"</f>
        <v>AUGUST 2022</v>
      </c>
      <c r="I3968" t="str">
        <f>"DEARBORN LIFE INSURANCE COMPAN"</f>
        <v>DEARBORN LIFE INSURANCE COMPAN</v>
      </c>
    </row>
    <row r="3969" spans="1:9" x14ac:dyDescent="0.25">
      <c r="A3969" s="6">
        <v>44770</v>
      </c>
      <c r="B3969" t="s">
        <v>26</v>
      </c>
      <c r="C3969">
        <v>70163</v>
      </c>
      <c r="D3969" t="s">
        <v>98</v>
      </c>
      <c r="E3969" s="7">
        <v>421.45</v>
      </c>
      <c r="F3969" t="s">
        <v>20</v>
      </c>
      <c r="G3969" t="s">
        <v>21</v>
      </c>
      <c r="H3969" t="str">
        <f>"STD202206288661"</f>
        <v>STD202206288661</v>
      </c>
      <c r="I3969" t="str">
        <f>"SHORT TERM DISABILITY"</f>
        <v>SHORT TERM DISABILITY</v>
      </c>
    </row>
    <row r="3970" spans="1:9" x14ac:dyDescent="0.25">
      <c r="A3970" s="6">
        <v>44770</v>
      </c>
      <c r="B3970" t="s">
        <v>26</v>
      </c>
      <c r="C3970">
        <v>70163</v>
      </c>
      <c r="D3970" t="s">
        <v>98</v>
      </c>
      <c r="E3970" s="7">
        <v>421.45</v>
      </c>
      <c r="F3970" t="s">
        <v>20</v>
      </c>
      <c r="G3970" t="s">
        <v>21</v>
      </c>
      <c r="H3970" t="str">
        <f>"STD202207128662"</f>
        <v>STD202207128662</v>
      </c>
      <c r="I3970" t="str">
        <f>"SHORT TERM DISABILITY"</f>
        <v>SHORT TERM DISABILITY</v>
      </c>
    </row>
    <row r="3971" spans="1:9" x14ac:dyDescent="0.25">
      <c r="A3971" s="6">
        <v>44770</v>
      </c>
      <c r="B3971" t="s">
        <v>26</v>
      </c>
      <c r="C3971">
        <v>70163</v>
      </c>
      <c r="D3971" t="s">
        <v>98</v>
      </c>
      <c r="E3971" s="7">
        <v>309.72000000000003</v>
      </c>
      <c r="F3971" t="s">
        <v>20</v>
      </c>
      <c r="G3971" t="s">
        <v>21</v>
      </c>
      <c r="H3971" t="str">
        <f>"VIS202206288661"</f>
        <v>VIS202206288661</v>
      </c>
      <c r="I3971" t="str">
        <f>"VISION INSURANCE"</f>
        <v>VISION INSURANCE</v>
      </c>
    </row>
    <row r="3972" spans="1:9" x14ac:dyDescent="0.25">
      <c r="A3972" s="6">
        <v>44770</v>
      </c>
      <c r="B3972" t="s">
        <v>26</v>
      </c>
      <c r="C3972">
        <v>70163</v>
      </c>
      <c r="D3972" t="s">
        <v>98</v>
      </c>
      <c r="E3972" s="7">
        <v>309.72000000000003</v>
      </c>
      <c r="F3972" t="s">
        <v>20</v>
      </c>
      <c r="G3972" t="s">
        <v>21</v>
      </c>
      <c r="H3972" t="str">
        <f>"VIS202207128662"</f>
        <v>VIS202207128662</v>
      </c>
      <c r="I3972" t="str">
        <f>"VISION INSURANCE"</f>
        <v>VISION INSURANCE</v>
      </c>
    </row>
    <row r="3973" spans="1:9" x14ac:dyDescent="0.25">
      <c r="A3973" s="6">
        <v>44770</v>
      </c>
      <c r="B3973" t="s">
        <v>26</v>
      </c>
      <c r="C3973">
        <v>70163</v>
      </c>
      <c r="D3973" t="s">
        <v>98</v>
      </c>
      <c r="E3973" s="7">
        <v>70.02</v>
      </c>
      <c r="F3973" t="s">
        <v>20</v>
      </c>
      <c r="G3973" t="s">
        <v>21</v>
      </c>
      <c r="H3973" t="str">
        <f>"VLC202206288661"</f>
        <v>VLC202206288661</v>
      </c>
      <c r="I3973" t="str">
        <f>"CHILD LIFE INSURANCE"</f>
        <v>CHILD LIFE INSURANCE</v>
      </c>
    </row>
    <row r="3974" spans="1:9" x14ac:dyDescent="0.25">
      <c r="A3974" s="6">
        <v>44770</v>
      </c>
      <c r="B3974" t="s">
        <v>26</v>
      </c>
      <c r="C3974">
        <v>70163</v>
      </c>
      <c r="D3974" t="s">
        <v>98</v>
      </c>
      <c r="E3974" s="7">
        <v>70.02</v>
      </c>
      <c r="F3974" t="s">
        <v>20</v>
      </c>
      <c r="G3974" t="s">
        <v>21</v>
      </c>
      <c r="H3974" t="str">
        <f>"VLC202207128662"</f>
        <v>VLC202207128662</v>
      </c>
      <c r="I3974" t="str">
        <f>"CHILD LIFE INSURANCE"</f>
        <v>CHILD LIFE INSURANCE</v>
      </c>
    </row>
    <row r="3975" spans="1:9" x14ac:dyDescent="0.25">
      <c r="A3975" s="6">
        <v>44770</v>
      </c>
      <c r="B3975" t="s">
        <v>26</v>
      </c>
      <c r="C3975">
        <v>70163</v>
      </c>
      <c r="D3975" t="s">
        <v>98</v>
      </c>
      <c r="E3975" s="7">
        <v>138.22</v>
      </c>
      <c r="F3975" t="s">
        <v>20</v>
      </c>
      <c r="G3975" t="s">
        <v>21</v>
      </c>
      <c r="H3975" t="str">
        <f>"VLS202206288661"</f>
        <v>VLS202206288661</v>
      </c>
      <c r="I3975" t="str">
        <f>"SPOUSE LIFE"</f>
        <v>SPOUSE LIFE</v>
      </c>
    </row>
    <row r="3976" spans="1:9" x14ac:dyDescent="0.25">
      <c r="A3976" s="6">
        <v>44770</v>
      </c>
      <c r="B3976" t="s">
        <v>26</v>
      </c>
      <c r="C3976">
        <v>70163</v>
      </c>
      <c r="D3976" t="s">
        <v>98</v>
      </c>
      <c r="E3976" s="7">
        <v>138.22</v>
      </c>
      <c r="F3976" t="s">
        <v>20</v>
      </c>
      <c r="G3976" t="s">
        <v>21</v>
      </c>
      <c r="H3976" t="str">
        <f>"VLS202207128662"</f>
        <v>VLS202207128662</v>
      </c>
      <c r="I3976" t="str">
        <f>"SPOUSE LIFE"</f>
        <v>SPOUSE LIFE</v>
      </c>
    </row>
    <row r="3977" spans="1:9" x14ac:dyDescent="0.25">
      <c r="A3977" s="6">
        <v>44770</v>
      </c>
      <c r="B3977" t="s">
        <v>26</v>
      </c>
      <c r="C3977">
        <v>70163</v>
      </c>
      <c r="D3977" t="s">
        <v>98</v>
      </c>
      <c r="E3977" s="7">
        <v>92.11</v>
      </c>
      <c r="F3977" t="s">
        <v>20</v>
      </c>
      <c r="G3977" t="s">
        <v>21</v>
      </c>
      <c r="H3977" t="str">
        <f>"VOE202206288661"</f>
        <v>VOE202206288661</v>
      </c>
      <c r="I3977" t="str">
        <f>"EMPLOYEE LIFE"</f>
        <v>EMPLOYEE LIFE</v>
      </c>
    </row>
    <row r="3978" spans="1:9" x14ac:dyDescent="0.25">
      <c r="A3978" s="6">
        <v>44770</v>
      </c>
      <c r="B3978" t="s">
        <v>26</v>
      </c>
      <c r="C3978">
        <v>70163</v>
      </c>
      <c r="D3978" t="s">
        <v>98</v>
      </c>
      <c r="E3978" s="7">
        <v>92.11</v>
      </c>
      <c r="F3978" t="s">
        <v>20</v>
      </c>
      <c r="G3978" t="s">
        <v>21</v>
      </c>
      <c r="H3978" t="str">
        <f>"VOE202207128662"</f>
        <v>VOE202207128662</v>
      </c>
      <c r="I3978" t="str">
        <f>"EMPLOYEE LIFE"</f>
        <v>EMPLOYEE LIFE</v>
      </c>
    </row>
    <row r="3979" spans="1:9" x14ac:dyDescent="0.25">
      <c r="A3979" s="6">
        <v>44770</v>
      </c>
      <c r="B3979" t="s">
        <v>26</v>
      </c>
      <c r="C3979">
        <v>70163</v>
      </c>
      <c r="D3979" t="s">
        <v>98</v>
      </c>
      <c r="E3979" s="7">
        <v>719.11</v>
      </c>
      <c r="F3979" t="s">
        <v>20</v>
      </c>
      <c r="G3979" t="s">
        <v>21</v>
      </c>
      <c r="H3979" t="str">
        <f>"VOL202206288661"</f>
        <v>VOL202206288661</v>
      </c>
      <c r="I3979" t="str">
        <f>"LIFE"</f>
        <v>LIFE</v>
      </c>
    </row>
    <row r="3980" spans="1:9" x14ac:dyDescent="0.25">
      <c r="A3980" s="6">
        <v>44770</v>
      </c>
      <c r="B3980" t="s">
        <v>26</v>
      </c>
      <c r="C3980">
        <v>70163</v>
      </c>
      <c r="D3980" t="s">
        <v>98</v>
      </c>
      <c r="E3980" s="7">
        <v>704.35</v>
      </c>
      <c r="F3980" t="s">
        <v>20</v>
      </c>
      <c r="G3980" t="s">
        <v>21</v>
      </c>
      <c r="H3980" t="str">
        <f>"VOL202207128662"</f>
        <v>VOL202207128662</v>
      </c>
      <c r="I3980" t="str">
        <f>"LIFE"</f>
        <v>LIFE</v>
      </c>
    </row>
    <row r="3981" spans="1:9" x14ac:dyDescent="0.25">
      <c r="A3981" s="6">
        <v>44770</v>
      </c>
      <c r="B3981" t="s">
        <v>26</v>
      </c>
      <c r="C3981">
        <v>70173</v>
      </c>
      <c r="D3981" t="s">
        <v>97</v>
      </c>
      <c r="E3981" s="7">
        <v>-572.62</v>
      </c>
      <c r="F3981" t="s">
        <v>20</v>
      </c>
      <c r="G3981" t="s">
        <v>24</v>
      </c>
      <c r="H3981" t="str">
        <f>"MAY 2022"</f>
        <v>MAY 2022</v>
      </c>
      <c r="I3981" t="str">
        <f>"HEALTH CARE SERVICE CORPORATIO"</f>
        <v>HEALTH CARE SERVICE CORPORATIO</v>
      </c>
    </row>
    <row r="3982" spans="1:9" x14ac:dyDescent="0.25">
      <c r="A3982" s="6">
        <v>44770</v>
      </c>
      <c r="B3982" t="s">
        <v>26</v>
      </c>
      <c r="C3982">
        <v>70173</v>
      </c>
      <c r="D3982" t="s">
        <v>97</v>
      </c>
      <c r="E3982" s="7">
        <v>1238.98</v>
      </c>
      <c r="F3982" t="s">
        <v>20</v>
      </c>
      <c r="G3982" t="s">
        <v>21</v>
      </c>
      <c r="H3982" t="str">
        <f>"COBRA JE/HT 5/22"</f>
        <v>COBRA JE/HT 5/22</v>
      </c>
      <c r="I3982" t="str">
        <f>"HEALTH CARE SERVICE CORPORATIO"</f>
        <v>HEALTH CARE SERVICE CORPORATIO</v>
      </c>
    </row>
    <row r="3983" spans="1:9" x14ac:dyDescent="0.25">
      <c r="A3983" s="6">
        <v>44770</v>
      </c>
      <c r="B3983" t="s">
        <v>26</v>
      </c>
      <c r="C3983">
        <v>70175</v>
      </c>
      <c r="D3983" t="s">
        <v>97</v>
      </c>
      <c r="E3983" s="7">
        <v>619.49</v>
      </c>
      <c r="F3983" t="s">
        <v>20</v>
      </c>
      <c r="G3983" t="s">
        <v>21</v>
      </c>
      <c r="H3983" t="str">
        <f>"J.EVINS COBRA 8/22"</f>
        <v>J.EVINS COBRA 8/22</v>
      </c>
      <c r="I3983" t="str">
        <f>"HEALTH CARE SERVICE CORPORATIO"</f>
        <v>HEALTH CARE SERVICE CORPORATIO</v>
      </c>
    </row>
    <row r="3984" spans="1:9" x14ac:dyDescent="0.25">
      <c r="A3984" s="6">
        <v>44777</v>
      </c>
      <c r="B3984" t="s">
        <v>26</v>
      </c>
      <c r="C3984">
        <v>70176</v>
      </c>
      <c r="D3984" t="s">
        <v>1074</v>
      </c>
      <c r="E3984" s="7">
        <v>305.93</v>
      </c>
      <c r="F3984" t="s">
        <v>20</v>
      </c>
      <c r="G3984" t="s">
        <v>21</v>
      </c>
      <c r="H3984" t="str">
        <f>"1NHV-6PPD-R4N9"</f>
        <v>1NHV-6PPD-R4N9</v>
      </c>
      <c r="I3984" t="str">
        <f>"CARSEAT COVERS"</f>
        <v>CARSEAT COVERS</v>
      </c>
    </row>
    <row r="3985" spans="1:9" x14ac:dyDescent="0.25">
      <c r="A3985" s="6">
        <v>44777</v>
      </c>
      <c r="B3985" t="s">
        <v>26</v>
      </c>
      <c r="C3985">
        <v>70176</v>
      </c>
      <c r="D3985" t="s">
        <v>1074</v>
      </c>
      <c r="E3985" s="7">
        <v>41.12</v>
      </c>
      <c r="F3985" t="s">
        <v>20</v>
      </c>
      <c r="G3985" t="s">
        <v>21</v>
      </c>
      <c r="H3985" t="str">
        <f>"1NHV-6PPD-RTXX"</f>
        <v>1NHV-6PPD-RTXX</v>
      </c>
      <c r="I3985" t="str">
        <f>"AMAZON CAPITAL SERVICES"</f>
        <v>AMAZON CAPITAL SERVICES</v>
      </c>
    </row>
    <row r="3986" spans="1:9" x14ac:dyDescent="0.25">
      <c r="A3986" s="6">
        <v>44777</v>
      </c>
      <c r="B3986" t="s">
        <v>26</v>
      </c>
      <c r="C3986">
        <v>70176</v>
      </c>
      <c r="D3986" t="s">
        <v>1074</v>
      </c>
      <c r="E3986" s="7">
        <v>159.99</v>
      </c>
      <c r="F3986" t="s">
        <v>20</v>
      </c>
      <c r="G3986" t="s">
        <v>21</v>
      </c>
      <c r="H3986" t="str">
        <f>"1QQD-MMWD-R6QL"</f>
        <v>1QQD-MMWD-R6QL</v>
      </c>
      <c r="I3986" t="str">
        <f>"AMAZON CAPITAL SERVICES"</f>
        <v>AMAZON CAPITAL SERVICES</v>
      </c>
    </row>
    <row r="3987" spans="1:9" x14ac:dyDescent="0.25">
      <c r="A3987" s="6">
        <v>44777</v>
      </c>
      <c r="B3987" t="s">
        <v>26</v>
      </c>
      <c r="C3987">
        <v>70176</v>
      </c>
      <c r="D3987" t="s">
        <v>1074</v>
      </c>
      <c r="E3987" s="7">
        <v>15.88</v>
      </c>
      <c r="F3987" t="s">
        <v>20</v>
      </c>
      <c r="G3987" t="s">
        <v>21</v>
      </c>
      <c r="H3987" t="str">
        <f>"1T1P-QQVT-RTFW"</f>
        <v>1T1P-QQVT-RTFW</v>
      </c>
      <c r="I3987" t="str">
        <f>"LYSOL"</f>
        <v>LYSOL</v>
      </c>
    </row>
    <row r="3988" spans="1:9" x14ac:dyDescent="0.25">
      <c r="A3988" s="6">
        <v>44777</v>
      </c>
      <c r="B3988" t="s">
        <v>26</v>
      </c>
      <c r="C3988">
        <v>70176</v>
      </c>
      <c r="D3988" t="s">
        <v>1074</v>
      </c>
      <c r="E3988" s="7">
        <v>103.62</v>
      </c>
      <c r="F3988" t="s">
        <v>20</v>
      </c>
      <c r="G3988" t="s">
        <v>21</v>
      </c>
      <c r="H3988" t="str">
        <f>"1YD7-TQKN-QWVC"</f>
        <v>1YD7-TQKN-QWVC</v>
      </c>
      <c r="I3988" t="str">
        <f>"OFFICE SUPPLIES"</f>
        <v>OFFICE SUPPLIES</v>
      </c>
    </row>
    <row r="3989" spans="1:9" x14ac:dyDescent="0.25">
      <c r="A3989" s="6">
        <v>44777</v>
      </c>
      <c r="B3989" t="s">
        <v>26</v>
      </c>
      <c r="C3989">
        <v>70176</v>
      </c>
      <c r="D3989" t="s">
        <v>1074</v>
      </c>
      <c r="E3989" s="7">
        <v>58.94</v>
      </c>
      <c r="F3989" t="s">
        <v>20</v>
      </c>
      <c r="G3989" t="s">
        <v>21</v>
      </c>
      <c r="H3989" t="str">
        <f>"1YHV-QTTH-RM4T"</f>
        <v>1YHV-QTTH-RM4T</v>
      </c>
      <c r="I3989" t="str">
        <f>"4TH OF JULY EVENT"</f>
        <v>4TH OF JULY EVENT</v>
      </c>
    </row>
    <row r="3990" spans="1:9" x14ac:dyDescent="0.25">
      <c r="A3990" s="6">
        <v>44777</v>
      </c>
      <c r="B3990" t="s">
        <v>26</v>
      </c>
      <c r="C3990">
        <v>70176</v>
      </c>
      <c r="D3990" t="s">
        <v>1074</v>
      </c>
      <c r="E3990" s="7">
        <v>60.35</v>
      </c>
      <c r="F3990" t="s">
        <v>20</v>
      </c>
      <c r="G3990" t="s">
        <v>21</v>
      </c>
      <c r="H3990" t="str">
        <f>"ITY6-RL6Y-R4WH"</f>
        <v>ITY6-RL6Y-R4WH</v>
      </c>
      <c r="I3990" t="str">
        <f>"DESK STAND"</f>
        <v>DESK STAND</v>
      </c>
    </row>
    <row r="3991" spans="1:9" x14ac:dyDescent="0.25">
      <c r="A3991" s="6">
        <v>44777</v>
      </c>
      <c r="B3991" t="s">
        <v>26</v>
      </c>
      <c r="C3991">
        <v>70178</v>
      </c>
      <c r="D3991" t="s">
        <v>431</v>
      </c>
      <c r="E3991" s="7">
        <v>575</v>
      </c>
      <c r="F3991" t="s">
        <v>20</v>
      </c>
      <c r="G3991" t="s">
        <v>21</v>
      </c>
      <c r="H3991" t="str">
        <f>"8"</f>
        <v>8</v>
      </c>
      <c r="I3991" t="str">
        <f>"ANDRES IBARRA"</f>
        <v>ANDRES IBARRA</v>
      </c>
    </row>
    <row r="3992" spans="1:9" x14ac:dyDescent="0.25">
      <c r="A3992" s="6">
        <v>44777</v>
      </c>
      <c r="B3992" t="s">
        <v>26</v>
      </c>
      <c r="C3992">
        <v>70179</v>
      </c>
      <c r="D3992" t="s">
        <v>83</v>
      </c>
      <c r="E3992" s="7">
        <v>1080</v>
      </c>
      <c r="F3992" t="s">
        <v>20</v>
      </c>
      <c r="G3992" t="s">
        <v>21</v>
      </c>
      <c r="H3992" t="str">
        <f>"2122698"</f>
        <v>2122698</v>
      </c>
      <c r="I3992" t="str">
        <f>"APPRIVER"</f>
        <v>APPRIVER</v>
      </c>
    </row>
    <row r="3993" spans="1:9" x14ac:dyDescent="0.25">
      <c r="A3993" s="6">
        <v>44777</v>
      </c>
      <c r="B3993" t="s">
        <v>26</v>
      </c>
      <c r="C3993">
        <v>70180</v>
      </c>
      <c r="D3993" t="s">
        <v>821</v>
      </c>
      <c r="E3993" s="7">
        <v>552.44000000000005</v>
      </c>
      <c r="F3993" t="s">
        <v>20</v>
      </c>
      <c r="G3993" t="s">
        <v>21</v>
      </c>
      <c r="H3993" t="str">
        <f>"FR10784"</f>
        <v>FR10784</v>
      </c>
      <c r="I3993" t="str">
        <f>"AUSTIN ARMATURE WORKS  LP"</f>
        <v>AUSTIN ARMATURE WORKS  LP</v>
      </c>
    </row>
    <row r="3994" spans="1:9" x14ac:dyDescent="0.25">
      <c r="A3994" s="6">
        <v>44777</v>
      </c>
      <c r="B3994" t="s">
        <v>26</v>
      </c>
      <c r="C3994">
        <v>70180</v>
      </c>
      <c r="D3994" t="s">
        <v>821</v>
      </c>
      <c r="E3994" s="7">
        <v>1030.08</v>
      </c>
      <c r="F3994" t="s">
        <v>20</v>
      </c>
      <c r="G3994" t="s">
        <v>21</v>
      </c>
      <c r="H3994" t="str">
        <f>"FR10863"</f>
        <v>FR10863</v>
      </c>
      <c r="I3994" t="str">
        <f>"AUSTIN ARMATURE WORKS  LP"</f>
        <v>AUSTIN ARMATURE WORKS  LP</v>
      </c>
    </row>
    <row r="3995" spans="1:9" x14ac:dyDescent="0.25">
      <c r="A3995" s="6">
        <v>44777</v>
      </c>
      <c r="B3995" t="s">
        <v>26</v>
      </c>
      <c r="C3995">
        <v>70181</v>
      </c>
      <c r="D3995" t="s">
        <v>115</v>
      </c>
      <c r="E3995" s="7">
        <v>155.88999999999999</v>
      </c>
      <c r="F3995" t="s">
        <v>20</v>
      </c>
      <c r="G3995" t="s">
        <v>21</v>
      </c>
      <c r="H3995" t="str">
        <f>"3547312710"</f>
        <v>3547312710</v>
      </c>
      <c r="I3995" t="str">
        <f>"AUTOZONE"</f>
        <v>AUTOZONE</v>
      </c>
    </row>
    <row r="3996" spans="1:9" x14ac:dyDescent="0.25">
      <c r="A3996" s="6">
        <v>44777</v>
      </c>
      <c r="B3996" t="s">
        <v>26</v>
      </c>
      <c r="C3996">
        <v>70182</v>
      </c>
      <c r="D3996" t="s">
        <v>316</v>
      </c>
      <c r="E3996" s="7">
        <v>242941.75</v>
      </c>
      <c r="F3996" t="s">
        <v>20</v>
      </c>
      <c r="G3996" t="s">
        <v>21</v>
      </c>
      <c r="H3996" t="str">
        <f>"15OFFT700M"</f>
        <v>15OFFT700M</v>
      </c>
      <c r="I3996" t="str">
        <f>"BANK OF AMERICA NA"</f>
        <v>BANK OF AMERICA NA</v>
      </c>
    </row>
    <row r="3997" spans="1:9" x14ac:dyDescent="0.25">
      <c r="A3997" s="6">
        <v>44777</v>
      </c>
      <c r="B3997" t="s">
        <v>26</v>
      </c>
      <c r="C3997">
        <v>70183</v>
      </c>
      <c r="D3997" t="s">
        <v>836</v>
      </c>
      <c r="E3997" s="7">
        <v>1648.09</v>
      </c>
      <c r="F3997" t="s">
        <v>20</v>
      </c>
      <c r="G3997" t="s">
        <v>21</v>
      </c>
      <c r="H3997" t="str">
        <f>"87574"</f>
        <v>87574</v>
      </c>
      <c r="I3997" t="str">
        <f>"PC FOR LT HERRERA"</f>
        <v>PC FOR LT HERRERA</v>
      </c>
    </row>
    <row r="3998" spans="1:9" x14ac:dyDescent="0.25">
      <c r="A3998" s="6">
        <v>44777</v>
      </c>
      <c r="B3998" t="s">
        <v>26</v>
      </c>
      <c r="C3998">
        <v>70183</v>
      </c>
      <c r="D3998" t="s">
        <v>836</v>
      </c>
      <c r="E3998" s="7">
        <v>4462.3999999999996</v>
      </c>
      <c r="F3998" t="s">
        <v>20</v>
      </c>
      <c r="G3998" t="s">
        <v>21</v>
      </c>
      <c r="H3998" t="str">
        <f>"87736"</f>
        <v>87736</v>
      </c>
      <c r="I3998" t="str">
        <f>"BARCOM TECHNOLOGY SOLUTIONS  I"</f>
        <v>BARCOM TECHNOLOGY SOLUTIONS  I</v>
      </c>
    </row>
    <row r="3999" spans="1:9" x14ac:dyDescent="0.25">
      <c r="A3999" s="6">
        <v>44777</v>
      </c>
      <c r="B3999" t="s">
        <v>26</v>
      </c>
      <c r="C3999">
        <v>70183</v>
      </c>
      <c r="D3999" t="s">
        <v>836</v>
      </c>
      <c r="E3999" s="7">
        <v>763.68</v>
      </c>
      <c r="F3999" t="s">
        <v>20</v>
      </c>
      <c r="G3999" t="s">
        <v>21</v>
      </c>
      <c r="H3999" t="str">
        <f>"87739"</f>
        <v>87739</v>
      </c>
      <c r="I3999" t="str">
        <f>"BARCOM TECHNOLOGY SOLUTIONS  I"</f>
        <v>BARCOM TECHNOLOGY SOLUTIONS  I</v>
      </c>
    </row>
    <row r="4000" spans="1:9" x14ac:dyDescent="0.25">
      <c r="A4000" s="6">
        <v>44777</v>
      </c>
      <c r="B4000" t="s">
        <v>26</v>
      </c>
      <c r="C4000">
        <v>70185</v>
      </c>
      <c r="D4000" t="s">
        <v>1260</v>
      </c>
      <c r="E4000" s="7">
        <v>1750</v>
      </c>
      <c r="F4000" t="s">
        <v>20</v>
      </c>
      <c r="G4000" t="s">
        <v>21</v>
      </c>
      <c r="H4000" t="str">
        <f>"7/21/2022"</f>
        <v>7/21/2022</v>
      </c>
      <c r="I4000" t="str">
        <f>"BRAUN TREE SERVICE"</f>
        <v>BRAUN TREE SERVICE</v>
      </c>
    </row>
    <row r="4001" spans="1:9" x14ac:dyDescent="0.25">
      <c r="A4001" s="6">
        <v>44777</v>
      </c>
      <c r="B4001" t="s">
        <v>26</v>
      </c>
      <c r="C4001">
        <v>70186</v>
      </c>
      <c r="D4001" t="s">
        <v>71</v>
      </c>
      <c r="E4001" s="7">
        <v>80.52</v>
      </c>
      <c r="F4001" t="s">
        <v>20</v>
      </c>
      <c r="G4001" t="s">
        <v>21</v>
      </c>
      <c r="H4001" t="str">
        <f>"4124937435"</f>
        <v>4124937435</v>
      </c>
      <c r="I4001" t="str">
        <f>"CINTAS CORPORATION #087"</f>
        <v>CINTAS CORPORATION #087</v>
      </c>
    </row>
    <row r="4002" spans="1:9" x14ac:dyDescent="0.25">
      <c r="A4002" s="6">
        <v>44777</v>
      </c>
      <c r="B4002" t="s">
        <v>26</v>
      </c>
      <c r="C4002">
        <v>70187</v>
      </c>
      <c r="D4002" t="s">
        <v>0</v>
      </c>
      <c r="E4002" s="7">
        <v>3191.83</v>
      </c>
      <c r="F4002" t="s">
        <v>20</v>
      </c>
      <c r="G4002" t="s">
        <v>21</v>
      </c>
      <c r="H4002" t="str">
        <f>"6/10-7/10/2022"</f>
        <v>6/10-7/10/2022</v>
      </c>
      <c r="I4002" t="str">
        <f>"CITY OF FLORESVILLE"</f>
        <v>CITY OF FLORESVILLE</v>
      </c>
    </row>
    <row r="4003" spans="1:9" x14ac:dyDescent="0.25">
      <c r="A4003" s="6">
        <v>44777</v>
      </c>
      <c r="B4003" t="s">
        <v>26</v>
      </c>
      <c r="C4003">
        <v>70188</v>
      </c>
      <c r="D4003" t="s">
        <v>81</v>
      </c>
      <c r="E4003" s="7">
        <v>77.900000000000006</v>
      </c>
      <c r="F4003" t="s">
        <v>20</v>
      </c>
      <c r="G4003" t="s">
        <v>21</v>
      </c>
      <c r="H4003" t="str">
        <f>"R.VELIZ 8/4/2022"</f>
        <v>R.VELIZ 8/4/2022</v>
      </c>
      <c r="I4003" t="str">
        <f>"CITY OF FLORESVILLE -PETTY CAS"</f>
        <v>CITY OF FLORESVILLE -PETTY CAS</v>
      </c>
    </row>
    <row r="4004" spans="1:9" x14ac:dyDescent="0.25">
      <c r="A4004" s="6">
        <v>44777</v>
      </c>
      <c r="B4004" t="s">
        <v>26</v>
      </c>
      <c r="C4004">
        <v>70189</v>
      </c>
      <c r="D4004" t="s">
        <v>180</v>
      </c>
      <c r="E4004" s="7">
        <v>13.98</v>
      </c>
      <c r="F4004" t="s">
        <v>20</v>
      </c>
      <c r="G4004" t="s">
        <v>21</v>
      </c>
      <c r="H4004" t="str">
        <f>"2207-230023"</f>
        <v>2207-230023</v>
      </c>
      <c r="I4004" t="str">
        <f>"DITTMAR LUMBER CO."</f>
        <v>DITTMAR LUMBER CO.</v>
      </c>
    </row>
    <row r="4005" spans="1:9" x14ac:dyDescent="0.25">
      <c r="A4005" s="6">
        <v>44777</v>
      </c>
      <c r="B4005" t="s">
        <v>26</v>
      </c>
      <c r="C4005">
        <v>70189</v>
      </c>
      <c r="D4005" t="s">
        <v>180</v>
      </c>
      <c r="E4005" s="7">
        <v>146.57</v>
      </c>
      <c r="F4005" t="s">
        <v>20</v>
      </c>
      <c r="G4005" t="s">
        <v>21</v>
      </c>
      <c r="H4005" t="str">
        <f>"2207-230024"</f>
        <v>2207-230024</v>
      </c>
      <c r="I4005" t="str">
        <f>"DITTMAR LUMBER CO."</f>
        <v>DITTMAR LUMBER CO.</v>
      </c>
    </row>
    <row r="4006" spans="1:9" x14ac:dyDescent="0.25">
      <c r="A4006" s="6">
        <v>44777</v>
      </c>
      <c r="B4006" t="s">
        <v>26</v>
      </c>
      <c r="C4006">
        <v>70189</v>
      </c>
      <c r="D4006" t="s">
        <v>180</v>
      </c>
      <c r="E4006" s="7">
        <v>442.75</v>
      </c>
      <c r="F4006" t="s">
        <v>20</v>
      </c>
      <c r="G4006" t="s">
        <v>21</v>
      </c>
      <c r="H4006" t="str">
        <f>"2207-232364"</f>
        <v>2207-232364</v>
      </c>
      <c r="I4006" t="str">
        <f>"DITTMAR LUMBER CO."</f>
        <v>DITTMAR LUMBER CO.</v>
      </c>
    </row>
    <row r="4007" spans="1:9" x14ac:dyDescent="0.25">
      <c r="A4007" s="6">
        <v>44777</v>
      </c>
      <c r="B4007" t="s">
        <v>26</v>
      </c>
      <c r="C4007">
        <v>70190</v>
      </c>
      <c r="D4007" t="s">
        <v>77</v>
      </c>
      <c r="E4007" s="7">
        <v>1288.94</v>
      </c>
      <c r="F4007" t="s">
        <v>20</v>
      </c>
      <c r="G4007" t="s">
        <v>21</v>
      </c>
      <c r="H4007" t="str">
        <f>"857001595-22"</f>
        <v>857001595-22</v>
      </c>
      <c r="I4007" t="str">
        <f>"DPC INDUSTRIES  INC."</f>
        <v>DPC INDUSTRIES  INC.</v>
      </c>
    </row>
    <row r="4008" spans="1:9" x14ac:dyDescent="0.25">
      <c r="A4008" s="6">
        <v>44777</v>
      </c>
      <c r="B4008" t="s">
        <v>26</v>
      </c>
      <c r="C4008">
        <v>70191</v>
      </c>
      <c r="D4008" t="s">
        <v>64</v>
      </c>
      <c r="E4008" s="7">
        <v>3588</v>
      </c>
      <c r="F4008" t="s">
        <v>20</v>
      </c>
      <c r="G4008" t="s">
        <v>21</v>
      </c>
      <c r="H4008" t="str">
        <f>"8929"</f>
        <v>8929</v>
      </c>
      <c r="I4008" t="str">
        <f>"DREWA DESIGNS  INC."</f>
        <v>DREWA DESIGNS  INC.</v>
      </c>
    </row>
    <row r="4009" spans="1:9" x14ac:dyDescent="0.25">
      <c r="A4009" s="6">
        <v>44777</v>
      </c>
      <c r="B4009" t="s">
        <v>26</v>
      </c>
      <c r="C4009">
        <v>70192</v>
      </c>
      <c r="D4009" t="s">
        <v>79</v>
      </c>
      <c r="E4009" s="7">
        <v>14.62</v>
      </c>
      <c r="F4009" t="s">
        <v>20</v>
      </c>
      <c r="G4009" t="s">
        <v>21</v>
      </c>
      <c r="H4009" t="str">
        <f>"7-825-66921"</f>
        <v>7-825-66921</v>
      </c>
      <c r="I4009" t="str">
        <f>"FEDEX"</f>
        <v>FEDEX</v>
      </c>
    </row>
    <row r="4010" spans="1:9" x14ac:dyDescent="0.25">
      <c r="A4010" s="6">
        <v>44777</v>
      </c>
      <c r="B4010" t="s">
        <v>26</v>
      </c>
      <c r="C4010">
        <v>70193</v>
      </c>
      <c r="D4010" t="s">
        <v>85</v>
      </c>
      <c r="E4010" s="7">
        <v>37</v>
      </c>
      <c r="F4010" t="s">
        <v>20</v>
      </c>
      <c r="G4010" t="s">
        <v>21</v>
      </c>
      <c r="H4010" t="str">
        <f>"3932056 7/2022"</f>
        <v>3932056 7/2022</v>
      </c>
      <c r="I4010" t="str">
        <f t="shared" ref="I4010:I4016" si="96">"FRONTIER"</f>
        <v>FRONTIER</v>
      </c>
    </row>
    <row r="4011" spans="1:9" x14ac:dyDescent="0.25">
      <c r="A4011" s="6">
        <v>44777</v>
      </c>
      <c r="B4011" t="s">
        <v>26</v>
      </c>
      <c r="C4011">
        <v>70193</v>
      </c>
      <c r="D4011" t="s">
        <v>85</v>
      </c>
      <c r="E4011" s="7">
        <v>67.069999999999993</v>
      </c>
      <c r="F4011" t="s">
        <v>20</v>
      </c>
      <c r="G4011" t="s">
        <v>21</v>
      </c>
      <c r="H4011" t="str">
        <f>"3932691 7/2022"</f>
        <v>3932691 7/2022</v>
      </c>
      <c r="I4011" t="str">
        <f t="shared" si="96"/>
        <v>FRONTIER</v>
      </c>
    </row>
    <row r="4012" spans="1:9" x14ac:dyDescent="0.25">
      <c r="A4012" s="6">
        <v>44777</v>
      </c>
      <c r="B4012" t="s">
        <v>26</v>
      </c>
      <c r="C4012">
        <v>70193</v>
      </c>
      <c r="D4012" t="s">
        <v>85</v>
      </c>
      <c r="E4012" s="7">
        <v>46.54</v>
      </c>
      <c r="F4012" t="s">
        <v>20</v>
      </c>
      <c r="G4012" t="s">
        <v>21</v>
      </c>
      <c r="H4012" t="str">
        <f>"3933186 7/2022"</f>
        <v>3933186 7/2022</v>
      </c>
      <c r="I4012" t="str">
        <f t="shared" si="96"/>
        <v>FRONTIER</v>
      </c>
    </row>
    <row r="4013" spans="1:9" x14ac:dyDescent="0.25">
      <c r="A4013" s="6">
        <v>44777</v>
      </c>
      <c r="B4013" t="s">
        <v>26</v>
      </c>
      <c r="C4013">
        <v>70193</v>
      </c>
      <c r="D4013" t="s">
        <v>85</v>
      </c>
      <c r="E4013" s="7">
        <v>43.5</v>
      </c>
      <c r="F4013" t="s">
        <v>20</v>
      </c>
      <c r="G4013" t="s">
        <v>21</v>
      </c>
      <c r="H4013" t="str">
        <f>"3933718 8/2022"</f>
        <v>3933718 8/2022</v>
      </c>
      <c r="I4013" t="str">
        <f t="shared" si="96"/>
        <v>FRONTIER</v>
      </c>
    </row>
    <row r="4014" spans="1:9" x14ac:dyDescent="0.25">
      <c r="A4014" s="6">
        <v>44777</v>
      </c>
      <c r="B4014" t="s">
        <v>26</v>
      </c>
      <c r="C4014">
        <v>70193</v>
      </c>
      <c r="D4014" t="s">
        <v>85</v>
      </c>
      <c r="E4014" s="7">
        <v>70.5</v>
      </c>
      <c r="F4014" t="s">
        <v>20</v>
      </c>
      <c r="G4014" t="s">
        <v>21</v>
      </c>
      <c r="H4014" t="str">
        <f>"3936616  7/2022"</f>
        <v>3936616  7/2022</v>
      </c>
      <c r="I4014" t="str">
        <f t="shared" si="96"/>
        <v>FRONTIER</v>
      </c>
    </row>
    <row r="4015" spans="1:9" x14ac:dyDescent="0.25">
      <c r="A4015" s="6">
        <v>44777</v>
      </c>
      <c r="B4015" t="s">
        <v>26</v>
      </c>
      <c r="C4015">
        <v>70193</v>
      </c>
      <c r="D4015" t="s">
        <v>85</v>
      </c>
      <c r="E4015" s="7">
        <v>42.29</v>
      </c>
      <c r="F4015" t="s">
        <v>20</v>
      </c>
      <c r="G4015" t="s">
        <v>21</v>
      </c>
      <c r="H4015" t="str">
        <f>"3939456 7/2022"</f>
        <v>3939456 7/2022</v>
      </c>
      <c r="I4015" t="str">
        <f t="shared" si="96"/>
        <v>FRONTIER</v>
      </c>
    </row>
    <row r="4016" spans="1:9" x14ac:dyDescent="0.25">
      <c r="A4016" s="6">
        <v>44777</v>
      </c>
      <c r="B4016" t="s">
        <v>26</v>
      </c>
      <c r="C4016">
        <v>70193</v>
      </c>
      <c r="D4016" t="s">
        <v>85</v>
      </c>
      <c r="E4016" s="7">
        <v>480</v>
      </c>
      <c r="F4016" t="s">
        <v>20</v>
      </c>
      <c r="G4016" t="s">
        <v>21</v>
      </c>
      <c r="H4016" t="str">
        <f>"8301970046  7/2022"</f>
        <v>8301970046  7/2022</v>
      </c>
      <c r="I4016" t="str">
        <f t="shared" si="96"/>
        <v>FRONTIER</v>
      </c>
    </row>
    <row r="4017" spans="1:9" x14ac:dyDescent="0.25">
      <c r="A4017" s="6">
        <v>44777</v>
      </c>
      <c r="B4017" t="s">
        <v>26</v>
      </c>
      <c r="C4017">
        <v>70195</v>
      </c>
      <c r="D4017" t="s">
        <v>312</v>
      </c>
      <c r="E4017" s="7">
        <v>376</v>
      </c>
      <c r="F4017" t="s">
        <v>20</v>
      </c>
      <c r="G4017" t="s">
        <v>21</v>
      </c>
      <c r="H4017" t="str">
        <f>"22-1354"</f>
        <v>22-1354</v>
      </c>
      <c r="I4017" t="str">
        <f>"FULLER'S ALAMO SAFE AND LOCK"</f>
        <v>FULLER'S ALAMO SAFE AND LOCK</v>
      </c>
    </row>
    <row r="4018" spans="1:9" x14ac:dyDescent="0.25">
      <c r="A4018" s="6">
        <v>44777</v>
      </c>
      <c r="B4018" t="s">
        <v>26</v>
      </c>
      <c r="C4018">
        <v>70196</v>
      </c>
      <c r="D4018" t="s">
        <v>56</v>
      </c>
      <c r="E4018" s="7">
        <v>243.75</v>
      </c>
      <c r="F4018" t="s">
        <v>20</v>
      </c>
      <c r="G4018" t="s">
        <v>21</v>
      </c>
      <c r="H4018" t="str">
        <f>"202405"</f>
        <v>202405</v>
      </c>
      <c r="I4018" t="str">
        <f>"GERALD LUBIANSKI ENTERPRISES"</f>
        <v>GERALD LUBIANSKI ENTERPRISES</v>
      </c>
    </row>
    <row r="4019" spans="1:9" x14ac:dyDescent="0.25">
      <c r="A4019" s="6">
        <v>44777</v>
      </c>
      <c r="B4019" t="s">
        <v>26</v>
      </c>
      <c r="C4019">
        <v>70197</v>
      </c>
      <c r="D4019" t="s">
        <v>302</v>
      </c>
      <c r="E4019" s="7">
        <v>622.4</v>
      </c>
      <c r="F4019" t="s">
        <v>20</v>
      </c>
      <c r="G4019" t="s">
        <v>21</v>
      </c>
      <c r="H4019" t="str">
        <f>"9389449779"</f>
        <v>9389449779</v>
      </c>
      <c r="I4019" t="str">
        <f>"WWTP SUPPLIES"</f>
        <v>WWTP SUPPLIES</v>
      </c>
    </row>
    <row r="4020" spans="1:9" x14ac:dyDescent="0.25">
      <c r="A4020" s="6">
        <v>44777</v>
      </c>
      <c r="B4020" t="s">
        <v>26</v>
      </c>
      <c r="C4020">
        <v>70198</v>
      </c>
      <c r="D4020" t="s">
        <v>136</v>
      </c>
      <c r="E4020" s="7">
        <v>84.4</v>
      </c>
      <c r="F4020" t="s">
        <v>20</v>
      </c>
      <c r="G4020" t="s">
        <v>21</v>
      </c>
      <c r="H4020" t="str">
        <f>"7/30/2022"</f>
        <v>7/30/2022</v>
      </c>
      <c r="I4020" t="str">
        <f>"INEZ CLARICE TRINIDAD"</f>
        <v>INEZ CLARICE TRINIDAD</v>
      </c>
    </row>
    <row r="4021" spans="1:9" x14ac:dyDescent="0.25">
      <c r="A4021" s="6">
        <v>44777</v>
      </c>
      <c r="B4021" t="s">
        <v>26</v>
      </c>
      <c r="C4021">
        <v>70199</v>
      </c>
      <c r="D4021" t="s">
        <v>398</v>
      </c>
      <c r="E4021" s="7">
        <v>56.5</v>
      </c>
      <c r="F4021" t="s">
        <v>20</v>
      </c>
      <c r="G4021" t="s">
        <v>21</v>
      </c>
      <c r="H4021" t="str">
        <f>"20220803"</f>
        <v>20220803</v>
      </c>
      <c r="I4021" t="str">
        <f>"INTERCEPTOR TECHNOLOGY GROUP L"</f>
        <v>INTERCEPTOR TECHNOLOGY GROUP L</v>
      </c>
    </row>
    <row r="4022" spans="1:9" x14ac:dyDescent="0.25">
      <c r="A4022" s="6">
        <v>44777</v>
      </c>
      <c r="B4022" t="s">
        <v>26</v>
      </c>
      <c r="C4022">
        <v>70200</v>
      </c>
      <c r="D4022" t="s">
        <v>1036</v>
      </c>
      <c r="E4022" s="7">
        <v>400</v>
      </c>
      <c r="F4022" t="s">
        <v>20</v>
      </c>
      <c r="G4022" t="s">
        <v>21</v>
      </c>
      <c r="H4022" t="str">
        <f>"4"</f>
        <v>4</v>
      </c>
      <c r="I4022" t="str">
        <f>"KENNETH DWORACZYK"</f>
        <v>KENNETH DWORACZYK</v>
      </c>
    </row>
    <row r="4023" spans="1:9" x14ac:dyDescent="0.25">
      <c r="A4023" s="6">
        <v>44777</v>
      </c>
      <c r="B4023" t="s">
        <v>26</v>
      </c>
      <c r="C4023">
        <v>70201</v>
      </c>
      <c r="D4023" t="s">
        <v>1018</v>
      </c>
      <c r="E4023" s="7">
        <v>3357.5</v>
      </c>
      <c r="F4023" t="s">
        <v>20</v>
      </c>
      <c r="G4023" t="s">
        <v>21</v>
      </c>
      <c r="H4023" t="str">
        <f>"6/1-7/31/2022"</f>
        <v>6/1-7/31/2022</v>
      </c>
      <c r="I4023" t="str">
        <f>"LAW OFFICE OF JOSE GARZA"</f>
        <v>LAW OFFICE OF JOSE GARZA</v>
      </c>
    </row>
    <row r="4024" spans="1:9" x14ac:dyDescent="0.25">
      <c r="A4024" s="6">
        <v>44777</v>
      </c>
      <c r="B4024" t="s">
        <v>26</v>
      </c>
      <c r="C4024">
        <v>70202</v>
      </c>
      <c r="D4024" t="s">
        <v>1136</v>
      </c>
      <c r="E4024" s="7">
        <v>800</v>
      </c>
      <c r="F4024" t="s">
        <v>20</v>
      </c>
      <c r="G4024" t="s">
        <v>21</v>
      </c>
      <c r="H4024" t="str">
        <f>"INV00165"</f>
        <v>INV00165</v>
      </c>
      <c r="I4024" t="str">
        <f>"LUX ELECTRIC LLC"</f>
        <v>LUX ELECTRIC LLC</v>
      </c>
    </row>
    <row r="4025" spans="1:9" x14ac:dyDescent="0.25">
      <c r="A4025" s="6">
        <v>44777</v>
      </c>
      <c r="B4025" t="s">
        <v>26</v>
      </c>
      <c r="C4025">
        <v>70202</v>
      </c>
      <c r="D4025" t="s">
        <v>1136</v>
      </c>
      <c r="E4025" s="7">
        <v>300</v>
      </c>
      <c r="F4025" t="s">
        <v>20</v>
      </c>
      <c r="G4025" t="s">
        <v>21</v>
      </c>
      <c r="H4025" t="str">
        <f>"INV0166"</f>
        <v>INV0166</v>
      </c>
      <c r="I4025" t="str">
        <f>"LUX ELECTRIC LLC"</f>
        <v>LUX ELECTRIC LLC</v>
      </c>
    </row>
    <row r="4026" spans="1:9" x14ac:dyDescent="0.25">
      <c r="A4026" s="6">
        <v>44777</v>
      </c>
      <c r="B4026" t="s">
        <v>26</v>
      </c>
      <c r="C4026">
        <v>70203</v>
      </c>
      <c r="D4026" t="s">
        <v>80</v>
      </c>
      <c r="E4026" s="7">
        <v>750</v>
      </c>
      <c r="F4026" t="s">
        <v>20</v>
      </c>
      <c r="G4026" t="s">
        <v>21</v>
      </c>
      <c r="H4026" t="str">
        <f>"1648-20220801-1"</f>
        <v>1648-20220801-1</v>
      </c>
      <c r="I4026" t="str">
        <f>"LVWIFI.COM"</f>
        <v>LVWIFI.COM</v>
      </c>
    </row>
    <row r="4027" spans="1:9" x14ac:dyDescent="0.25">
      <c r="A4027" s="6">
        <v>44777</v>
      </c>
      <c r="B4027" t="s">
        <v>26</v>
      </c>
      <c r="C4027">
        <v>70203</v>
      </c>
      <c r="D4027" t="s">
        <v>80</v>
      </c>
      <c r="E4027" s="7">
        <v>750</v>
      </c>
      <c r="F4027" t="s">
        <v>20</v>
      </c>
      <c r="G4027" t="s">
        <v>21</v>
      </c>
      <c r="H4027" t="str">
        <f>"2313-20220801-1"</f>
        <v>2313-20220801-1</v>
      </c>
      <c r="I4027" t="str">
        <f>"LVWIFI.COM"</f>
        <v>LVWIFI.COM</v>
      </c>
    </row>
    <row r="4028" spans="1:9" x14ac:dyDescent="0.25">
      <c r="A4028" s="6">
        <v>44777</v>
      </c>
      <c r="B4028" t="s">
        <v>26</v>
      </c>
      <c r="C4028">
        <v>70204</v>
      </c>
      <c r="D4028" t="s">
        <v>124</v>
      </c>
      <c r="E4028" s="7">
        <v>64.34</v>
      </c>
      <c r="F4028" t="s">
        <v>20</v>
      </c>
      <c r="G4028" t="s">
        <v>21</v>
      </c>
      <c r="H4028" t="str">
        <f>"11125780"</f>
        <v>11125780</v>
      </c>
      <c r="I4028" t="str">
        <f>"RUST TREATMENT"</f>
        <v>RUST TREATMENT</v>
      </c>
    </row>
    <row r="4029" spans="1:9" x14ac:dyDescent="0.25">
      <c r="A4029" s="6">
        <v>44777</v>
      </c>
      <c r="B4029" t="s">
        <v>26</v>
      </c>
      <c r="C4029">
        <v>70204</v>
      </c>
      <c r="D4029" t="s">
        <v>124</v>
      </c>
      <c r="E4029" s="7">
        <v>146.46</v>
      </c>
      <c r="F4029" t="s">
        <v>20</v>
      </c>
      <c r="G4029" t="s">
        <v>21</v>
      </c>
      <c r="H4029" t="str">
        <f>"11125827"</f>
        <v>11125827</v>
      </c>
      <c r="I4029" t="str">
        <f>"BUILDING MATERIALS"</f>
        <v>BUILDING MATERIALS</v>
      </c>
    </row>
    <row r="4030" spans="1:9" x14ac:dyDescent="0.25">
      <c r="A4030" s="6">
        <v>44777</v>
      </c>
      <c r="B4030" t="s">
        <v>26</v>
      </c>
      <c r="C4030">
        <v>70205</v>
      </c>
      <c r="D4030" t="s">
        <v>345</v>
      </c>
      <c r="E4030" s="7">
        <v>363</v>
      </c>
      <c r="F4030" t="s">
        <v>20</v>
      </c>
      <c r="G4030" t="s">
        <v>21</v>
      </c>
      <c r="H4030" t="str">
        <f>"8/1/2022"</f>
        <v>8/1/2022</v>
      </c>
      <c r="I4030" t="str">
        <f>"MICHAEL ISAAC MARTINEZ"</f>
        <v>MICHAEL ISAAC MARTINEZ</v>
      </c>
    </row>
    <row r="4031" spans="1:9" x14ac:dyDescent="0.25">
      <c r="A4031" s="6">
        <v>44777</v>
      </c>
      <c r="B4031" t="s">
        <v>26</v>
      </c>
      <c r="C4031">
        <v>70206</v>
      </c>
      <c r="D4031" t="s">
        <v>1081</v>
      </c>
      <c r="E4031" s="7">
        <v>433</v>
      </c>
      <c r="F4031" t="s">
        <v>20</v>
      </c>
      <c r="G4031" t="s">
        <v>21</v>
      </c>
      <c r="H4031" t="str">
        <f>"41028"</f>
        <v>41028</v>
      </c>
      <c r="I4031" t="str">
        <f>"PINNACLE PEST DEFENSE"</f>
        <v>PINNACLE PEST DEFENSE</v>
      </c>
    </row>
    <row r="4032" spans="1:9" x14ac:dyDescent="0.25">
      <c r="A4032" s="6">
        <v>44777</v>
      </c>
      <c r="B4032" t="s">
        <v>26</v>
      </c>
      <c r="C4032">
        <v>70206</v>
      </c>
      <c r="D4032" t="s">
        <v>1081</v>
      </c>
      <c r="E4032" s="7">
        <v>502.88</v>
      </c>
      <c r="F4032" t="s">
        <v>20</v>
      </c>
      <c r="G4032" t="s">
        <v>21</v>
      </c>
      <c r="H4032" t="str">
        <f>"41029"</f>
        <v>41029</v>
      </c>
      <c r="I4032" t="str">
        <f>"PINNACLE PEST DEFENSE"</f>
        <v>PINNACLE PEST DEFENSE</v>
      </c>
    </row>
    <row r="4033" spans="1:9" x14ac:dyDescent="0.25">
      <c r="A4033" s="6">
        <v>44777</v>
      </c>
      <c r="B4033" t="s">
        <v>26</v>
      </c>
      <c r="C4033">
        <v>70206</v>
      </c>
      <c r="D4033" t="s">
        <v>1081</v>
      </c>
      <c r="E4033" s="7">
        <v>858</v>
      </c>
      <c r="F4033" t="s">
        <v>20</v>
      </c>
      <c r="G4033" t="s">
        <v>21</v>
      </c>
      <c r="H4033" t="str">
        <f>"41035"</f>
        <v>41035</v>
      </c>
      <c r="I4033" t="str">
        <f>"PINNACLE PEST DEFENSE"</f>
        <v>PINNACLE PEST DEFENSE</v>
      </c>
    </row>
    <row r="4034" spans="1:9" x14ac:dyDescent="0.25">
      <c r="A4034" s="6">
        <v>44777</v>
      </c>
      <c r="B4034" t="s">
        <v>26</v>
      </c>
      <c r="C4034">
        <v>70207</v>
      </c>
      <c r="D4034" t="s">
        <v>131</v>
      </c>
      <c r="E4034" s="7">
        <v>29.5</v>
      </c>
      <c r="F4034" t="s">
        <v>20</v>
      </c>
      <c r="G4034" t="s">
        <v>21</v>
      </c>
      <c r="H4034" t="str">
        <f>"069255"</f>
        <v>069255</v>
      </c>
      <c r="I4034" t="str">
        <f>"BATTERY"</f>
        <v>BATTERY</v>
      </c>
    </row>
    <row r="4035" spans="1:9" x14ac:dyDescent="0.25">
      <c r="A4035" s="6">
        <v>44777</v>
      </c>
      <c r="B4035" t="s">
        <v>26</v>
      </c>
      <c r="C4035">
        <v>70208</v>
      </c>
      <c r="D4035" t="s">
        <v>1115</v>
      </c>
      <c r="E4035" s="7">
        <v>140</v>
      </c>
      <c r="F4035" t="s">
        <v>20</v>
      </c>
      <c r="G4035" t="s">
        <v>21</v>
      </c>
      <c r="H4035" t="str">
        <f>"7/30/2022"</f>
        <v>7/30/2022</v>
      </c>
      <c r="I4035" t="str">
        <f>"RAUL GUERRERO"</f>
        <v>RAUL GUERRERO</v>
      </c>
    </row>
    <row r="4036" spans="1:9" x14ac:dyDescent="0.25">
      <c r="A4036" s="6">
        <v>44777</v>
      </c>
      <c r="B4036" t="s">
        <v>26</v>
      </c>
      <c r="C4036">
        <v>70209</v>
      </c>
      <c r="D4036" t="s">
        <v>1193</v>
      </c>
      <c r="E4036" s="7">
        <v>140</v>
      </c>
      <c r="F4036" t="s">
        <v>20</v>
      </c>
      <c r="G4036" t="s">
        <v>21</v>
      </c>
      <c r="H4036" t="str">
        <f>"07/30/2022"</f>
        <v>07/30/2022</v>
      </c>
      <c r="I4036" t="str">
        <f>"RUBEN SANCHEZ"</f>
        <v>RUBEN SANCHEZ</v>
      </c>
    </row>
    <row r="4037" spans="1:9" x14ac:dyDescent="0.25">
      <c r="A4037" s="6">
        <v>44777</v>
      </c>
      <c r="B4037" t="s">
        <v>26</v>
      </c>
      <c r="C4037">
        <v>70210</v>
      </c>
      <c r="D4037" t="s">
        <v>1133</v>
      </c>
      <c r="E4037" s="7">
        <v>765</v>
      </c>
      <c r="F4037" t="s">
        <v>20</v>
      </c>
      <c r="G4037" t="s">
        <v>21</v>
      </c>
      <c r="H4037" t="str">
        <f>"96997983"</f>
        <v>96997983</v>
      </c>
      <c r="I4037" t="str">
        <f>"Shafer- Anderson Holdings  LLC"</f>
        <v>Shafer- Anderson Holdings  LLC</v>
      </c>
    </row>
    <row r="4038" spans="1:9" x14ac:dyDescent="0.25">
      <c r="A4038" s="6">
        <v>44777</v>
      </c>
      <c r="B4038" t="s">
        <v>26</v>
      </c>
      <c r="C4038">
        <v>70211</v>
      </c>
      <c r="D4038" t="s">
        <v>495</v>
      </c>
      <c r="E4038" s="7">
        <v>786.9</v>
      </c>
      <c r="F4038" t="s">
        <v>20</v>
      </c>
      <c r="G4038" t="s">
        <v>21</v>
      </c>
      <c r="H4038" t="str">
        <f>"0551267-IN"</f>
        <v>0551267-IN</v>
      </c>
      <c r="I4038" t="str">
        <f>"PD SUPPLIES"</f>
        <v>PD SUPPLIES</v>
      </c>
    </row>
    <row r="4039" spans="1:9" x14ac:dyDescent="0.25">
      <c r="A4039" s="6">
        <v>44777</v>
      </c>
      <c r="B4039" t="s">
        <v>26</v>
      </c>
      <c r="C4039">
        <v>70212</v>
      </c>
      <c r="D4039" t="s">
        <v>114</v>
      </c>
      <c r="E4039" s="7">
        <v>8005.6</v>
      </c>
      <c r="F4039" t="s">
        <v>20</v>
      </c>
      <c r="G4039" t="s">
        <v>21</v>
      </c>
      <c r="H4039" t="str">
        <f>"QRT ENDING 6/30/22"</f>
        <v>QRT ENDING 6/30/22</v>
      </c>
      <c r="I4039" t="str">
        <f>"STATE COMPTROLLER"</f>
        <v>STATE COMPTROLLER</v>
      </c>
    </row>
    <row r="4040" spans="1:9" x14ac:dyDescent="0.25">
      <c r="A4040" s="6">
        <v>44777</v>
      </c>
      <c r="B4040" t="s">
        <v>26</v>
      </c>
      <c r="C4040">
        <v>70213</v>
      </c>
      <c r="D4040" t="s">
        <v>1261</v>
      </c>
      <c r="E4040" s="7">
        <v>84.4</v>
      </c>
      <c r="F4040" t="s">
        <v>20</v>
      </c>
      <c r="G4040" t="s">
        <v>21</v>
      </c>
      <c r="H4040" t="str">
        <f>"7/30/2022"</f>
        <v>7/30/2022</v>
      </c>
      <c r="I4040" t="str">
        <f>"TAMMY SANCHEZ"</f>
        <v>TAMMY SANCHEZ</v>
      </c>
    </row>
    <row r="4041" spans="1:9" x14ac:dyDescent="0.25">
      <c r="A4041" s="6">
        <v>44777</v>
      </c>
      <c r="B4041" t="s">
        <v>26</v>
      </c>
      <c r="C4041">
        <v>70214</v>
      </c>
      <c r="D4041" t="s">
        <v>148</v>
      </c>
      <c r="E4041" s="7">
        <v>500</v>
      </c>
      <c r="F4041" t="s">
        <v>20</v>
      </c>
      <c r="G4041" t="s">
        <v>21</v>
      </c>
      <c r="H4041" t="str">
        <f>"WMS0049748"</f>
        <v>WMS0049748</v>
      </c>
      <c r="I4041" t="str">
        <f>"TEXAS COMMISSION ON ENVIRONMEN"</f>
        <v>TEXAS COMMISSION ON ENVIRONMEN</v>
      </c>
    </row>
    <row r="4042" spans="1:9" x14ac:dyDescent="0.25">
      <c r="A4042" s="6">
        <v>44777</v>
      </c>
      <c r="B4042" t="s">
        <v>26</v>
      </c>
      <c r="C4042">
        <v>70215</v>
      </c>
      <c r="D4042" t="s">
        <v>1262</v>
      </c>
      <c r="E4042" s="7">
        <v>1825</v>
      </c>
      <c r="F4042" t="s">
        <v>20</v>
      </c>
      <c r="G4042" t="s">
        <v>21</v>
      </c>
      <c r="H4042" t="str">
        <f>"08022022-001"</f>
        <v>08022022-001</v>
      </c>
      <c r="I4042" t="str">
        <f>"TOM B ELLIS"</f>
        <v>TOM B ELLIS</v>
      </c>
    </row>
    <row r="4043" spans="1:9" x14ac:dyDescent="0.25">
      <c r="A4043" s="6">
        <v>44777</v>
      </c>
      <c r="B4043" t="s">
        <v>26</v>
      </c>
      <c r="C4043">
        <v>70216</v>
      </c>
      <c r="D4043" t="s">
        <v>644</v>
      </c>
      <c r="E4043" s="7">
        <v>141.33000000000001</v>
      </c>
      <c r="F4043" t="s">
        <v>20</v>
      </c>
      <c r="G4043" t="s">
        <v>21</v>
      </c>
      <c r="H4043" t="str">
        <f>"8213757167"</f>
        <v>8213757167</v>
      </c>
      <c r="I4043" t="str">
        <f t="shared" ref="I4043:I4048" si="97">"UNIFIRST CORPORATION"</f>
        <v>UNIFIRST CORPORATION</v>
      </c>
    </row>
    <row r="4044" spans="1:9" x14ac:dyDescent="0.25">
      <c r="A4044" s="6">
        <v>44777</v>
      </c>
      <c r="B4044" t="s">
        <v>26</v>
      </c>
      <c r="C4044">
        <v>70216</v>
      </c>
      <c r="D4044" t="s">
        <v>644</v>
      </c>
      <c r="E4044" s="7">
        <v>29.49</v>
      </c>
      <c r="F4044" t="s">
        <v>20</v>
      </c>
      <c r="G4044" t="s">
        <v>21</v>
      </c>
      <c r="H4044" t="str">
        <f>"8213757168"</f>
        <v>8213757168</v>
      </c>
      <c r="I4044" t="str">
        <f t="shared" si="97"/>
        <v>UNIFIRST CORPORATION</v>
      </c>
    </row>
    <row r="4045" spans="1:9" x14ac:dyDescent="0.25">
      <c r="A4045" s="6">
        <v>44777</v>
      </c>
      <c r="B4045" t="s">
        <v>26</v>
      </c>
      <c r="C4045">
        <v>70216</v>
      </c>
      <c r="D4045" t="s">
        <v>644</v>
      </c>
      <c r="E4045" s="7">
        <v>120.09</v>
      </c>
      <c r="F4045" t="s">
        <v>20</v>
      </c>
      <c r="G4045" t="s">
        <v>21</v>
      </c>
      <c r="H4045" t="str">
        <f>"8213757169"</f>
        <v>8213757169</v>
      </c>
      <c r="I4045" t="str">
        <f t="shared" si="97"/>
        <v>UNIFIRST CORPORATION</v>
      </c>
    </row>
    <row r="4046" spans="1:9" x14ac:dyDescent="0.25">
      <c r="A4046" s="6">
        <v>44777</v>
      </c>
      <c r="B4046" t="s">
        <v>26</v>
      </c>
      <c r="C4046">
        <v>70216</v>
      </c>
      <c r="D4046" t="s">
        <v>644</v>
      </c>
      <c r="E4046" s="7">
        <v>97.27</v>
      </c>
      <c r="F4046" t="s">
        <v>20</v>
      </c>
      <c r="G4046" t="s">
        <v>21</v>
      </c>
      <c r="H4046" t="str">
        <f>"8213757170"</f>
        <v>8213757170</v>
      </c>
      <c r="I4046" t="str">
        <f t="shared" si="97"/>
        <v>UNIFIRST CORPORATION</v>
      </c>
    </row>
    <row r="4047" spans="1:9" x14ac:dyDescent="0.25">
      <c r="A4047" s="6">
        <v>44777</v>
      </c>
      <c r="B4047" t="s">
        <v>26</v>
      </c>
      <c r="C4047">
        <v>70216</v>
      </c>
      <c r="D4047" t="s">
        <v>644</v>
      </c>
      <c r="E4047" s="7">
        <v>115.31</v>
      </c>
      <c r="F4047" t="s">
        <v>20</v>
      </c>
      <c r="G4047" t="s">
        <v>21</v>
      </c>
      <c r="H4047" t="str">
        <f>"8213757172"</f>
        <v>8213757172</v>
      </c>
      <c r="I4047" t="str">
        <f t="shared" si="97"/>
        <v>UNIFIRST CORPORATION</v>
      </c>
    </row>
    <row r="4048" spans="1:9" x14ac:dyDescent="0.25">
      <c r="A4048" s="6">
        <v>44777</v>
      </c>
      <c r="B4048" t="s">
        <v>26</v>
      </c>
      <c r="C4048">
        <v>70216</v>
      </c>
      <c r="D4048" t="s">
        <v>644</v>
      </c>
      <c r="E4048" s="7">
        <v>29.49</v>
      </c>
      <c r="F4048" t="s">
        <v>20</v>
      </c>
      <c r="G4048" t="s">
        <v>21</v>
      </c>
      <c r="H4048" t="str">
        <f>"8213757173"</f>
        <v>8213757173</v>
      </c>
      <c r="I4048" t="str">
        <f t="shared" si="97"/>
        <v>UNIFIRST CORPORATION</v>
      </c>
    </row>
    <row r="4049" spans="1:9" x14ac:dyDescent="0.25">
      <c r="A4049" s="6">
        <v>44777</v>
      </c>
      <c r="B4049" t="s">
        <v>26</v>
      </c>
      <c r="C4049">
        <v>70218</v>
      </c>
      <c r="D4049" t="s">
        <v>74</v>
      </c>
      <c r="E4049" s="7">
        <v>1230.02</v>
      </c>
      <c r="F4049" t="s">
        <v>20</v>
      </c>
      <c r="G4049" t="s">
        <v>21</v>
      </c>
      <c r="H4049" t="str">
        <f>"9911891908"</f>
        <v>9911891908</v>
      </c>
      <c r="I4049" t="str">
        <f>"VERIZON WIRELESS"</f>
        <v>VERIZON WIRELESS</v>
      </c>
    </row>
    <row r="4050" spans="1:9" x14ac:dyDescent="0.25">
      <c r="A4050" s="6">
        <v>44777</v>
      </c>
      <c r="B4050" t="s">
        <v>26</v>
      </c>
      <c r="C4050">
        <v>70219</v>
      </c>
      <c r="D4050" t="s">
        <v>1210</v>
      </c>
      <c r="E4050" s="7">
        <v>575</v>
      </c>
      <c r="F4050" t="s">
        <v>20</v>
      </c>
      <c r="G4050" t="s">
        <v>21</v>
      </c>
      <c r="H4050" t="str">
        <f>"8"</f>
        <v>8</v>
      </c>
      <c r="I4050" t="str">
        <f>"VICTOR IBARRA"</f>
        <v>VICTOR IBARRA</v>
      </c>
    </row>
    <row r="4051" spans="1:9" x14ac:dyDescent="0.25">
      <c r="A4051" s="6">
        <v>44777</v>
      </c>
      <c r="B4051" t="s">
        <v>26</v>
      </c>
      <c r="C4051">
        <v>70220</v>
      </c>
      <c r="D4051" t="s">
        <v>1156</v>
      </c>
      <c r="E4051" s="7">
        <v>311</v>
      </c>
      <c r="F4051" t="s">
        <v>20</v>
      </c>
      <c r="G4051" t="s">
        <v>21</v>
      </c>
      <c r="H4051" t="str">
        <f>"REISSUE #69505"</f>
        <v>REISSUE #69505</v>
      </c>
      <c r="I4051" t="str">
        <f>"WILSON COUNTY CLERK  EVA S. MA"</f>
        <v>WILSON COUNTY CLERK  EVA S. MA</v>
      </c>
    </row>
    <row r="4052" spans="1:9" x14ac:dyDescent="0.25">
      <c r="A4052" s="6">
        <v>44777</v>
      </c>
      <c r="B4052" t="s">
        <v>26</v>
      </c>
      <c r="C4052">
        <v>70221</v>
      </c>
      <c r="D4052" t="s">
        <v>81</v>
      </c>
      <c r="E4052" s="7">
        <v>73.709999999999994</v>
      </c>
      <c r="F4052" t="s">
        <v>20</v>
      </c>
      <c r="G4052" t="s">
        <v>21</v>
      </c>
      <c r="H4052" t="str">
        <f>"A.MARTINEZ 8/3/22"</f>
        <v>A.MARTINEZ 8/3/22</v>
      </c>
      <c r="I4052" t="str">
        <f>"CITY OF FLORESVILLE -PETTY CAS"</f>
        <v>CITY OF FLORESVILLE -PETTY CAS</v>
      </c>
    </row>
    <row r="4053" spans="1:9" x14ac:dyDescent="0.25">
      <c r="A4053" s="6">
        <v>44777</v>
      </c>
      <c r="B4053" t="s">
        <v>26</v>
      </c>
      <c r="C4053">
        <v>70222</v>
      </c>
      <c r="D4053" t="s">
        <v>74</v>
      </c>
      <c r="E4053" s="7">
        <v>2427.5500000000002</v>
      </c>
      <c r="F4053" t="s">
        <v>20</v>
      </c>
      <c r="G4053" t="s">
        <v>21</v>
      </c>
      <c r="H4053" t="str">
        <f>"9911891907"</f>
        <v>9911891907</v>
      </c>
      <c r="I4053" t="str">
        <f>"VERIZON WIRELESS"</f>
        <v>VERIZON WIRELESS</v>
      </c>
    </row>
    <row r="4054" spans="1:9" x14ac:dyDescent="0.25">
      <c r="A4054" s="6">
        <v>44777</v>
      </c>
      <c r="B4054" t="s">
        <v>26</v>
      </c>
      <c r="C4054">
        <v>70224</v>
      </c>
      <c r="D4054" t="s">
        <v>1030</v>
      </c>
      <c r="E4054" s="7">
        <v>44728</v>
      </c>
      <c r="F4054" t="s">
        <v>20</v>
      </c>
      <c r="G4054" t="s">
        <v>21</v>
      </c>
      <c r="H4054" t="str">
        <f>"PAY APP #6 8/4/22*"</f>
        <v>PAY APP #6 8/4/22*</v>
      </c>
      <c r="I4054" t="str">
        <f>"TRIUN  LLC"</f>
        <v>TRIUN  LLC</v>
      </c>
    </row>
    <row r="4055" spans="1:9" x14ac:dyDescent="0.25">
      <c r="A4055" s="6">
        <v>44777</v>
      </c>
      <c r="B4055" t="s">
        <v>26</v>
      </c>
      <c r="C4055">
        <v>70224</v>
      </c>
      <c r="D4055" t="s">
        <v>1030</v>
      </c>
      <c r="E4055" s="7">
        <v>88732.38</v>
      </c>
      <c r="F4055" t="s">
        <v>20</v>
      </c>
      <c r="G4055" t="s">
        <v>21</v>
      </c>
      <c r="H4055" t="str">
        <f>"PAY APP#6 8/4/22"</f>
        <v>PAY APP#6 8/4/22</v>
      </c>
      <c r="I4055" t="str">
        <f>"TRIUN  LLC"</f>
        <v>TRIUN  LLC</v>
      </c>
    </row>
    <row r="4056" spans="1:9" x14ac:dyDescent="0.25">
      <c r="A4056" s="6">
        <v>44777</v>
      </c>
      <c r="B4056" t="s">
        <v>26</v>
      </c>
      <c r="C4056">
        <v>70225</v>
      </c>
      <c r="D4056" t="s">
        <v>1144</v>
      </c>
      <c r="E4056" s="7">
        <v>480</v>
      </c>
      <c r="F4056" t="s">
        <v>20</v>
      </c>
      <c r="G4056" t="s">
        <v>21</v>
      </c>
      <c r="H4056" t="str">
        <f>"RET. LUNCH 8/11/22"</f>
        <v>RET. LUNCH 8/11/22</v>
      </c>
      <c r="I4056" t="str">
        <f>"ZOILA MUNOZ"</f>
        <v>ZOILA MUNOZ</v>
      </c>
    </row>
    <row r="4057" spans="1:9" x14ac:dyDescent="0.25">
      <c r="A4057" s="6">
        <v>44778</v>
      </c>
      <c r="B4057" t="s">
        <v>26</v>
      </c>
      <c r="C4057">
        <v>70226</v>
      </c>
      <c r="D4057" t="s">
        <v>1239</v>
      </c>
      <c r="E4057" s="7">
        <v>225</v>
      </c>
      <c r="F4057" t="s">
        <v>20</v>
      </c>
      <c r="G4057" t="s">
        <v>21</v>
      </c>
      <c r="H4057" t="str">
        <f>"REISSUE CK#69939"</f>
        <v>REISSUE CK#69939</v>
      </c>
      <c r="I4057" t="str">
        <f>"REFUND"</f>
        <v>REFUND</v>
      </c>
    </row>
    <row r="4058" spans="1:9" x14ac:dyDescent="0.25">
      <c r="A4058" s="6">
        <v>44778</v>
      </c>
      <c r="B4058" t="s">
        <v>26</v>
      </c>
      <c r="C4058">
        <v>70227</v>
      </c>
      <c r="D4058" t="s">
        <v>62</v>
      </c>
      <c r="E4058" s="7">
        <v>305.08999999999997</v>
      </c>
      <c r="F4058" t="s">
        <v>20</v>
      </c>
      <c r="G4058" t="s">
        <v>21</v>
      </c>
      <c r="H4058" t="str">
        <f>"CCANTU 8/4/2022"</f>
        <v>CCANTU 8/4/2022</v>
      </c>
      <c r="I4058" t="str">
        <f>"PROFICIENT BENEFIT SOLUTIONS"</f>
        <v>PROFICIENT BENEFIT SOLUTIONS</v>
      </c>
    </row>
    <row r="4059" spans="1:9" x14ac:dyDescent="0.25">
      <c r="A4059" s="6">
        <v>44782</v>
      </c>
      <c r="B4059" t="s">
        <v>26</v>
      </c>
      <c r="C4059">
        <v>70228</v>
      </c>
      <c r="D4059" t="s">
        <v>1145</v>
      </c>
      <c r="E4059" s="7">
        <v>29.8</v>
      </c>
      <c r="F4059" t="s">
        <v>20</v>
      </c>
      <c r="G4059" t="s">
        <v>21</v>
      </c>
      <c r="H4059" t="str">
        <f>"7"</f>
        <v>7</v>
      </c>
      <c r="I4059" t="str">
        <f>"6S ENGINEERING  INC"</f>
        <v>6S ENGINEERING  INC</v>
      </c>
    </row>
    <row r="4060" spans="1:9" x14ac:dyDescent="0.25">
      <c r="A4060" s="6">
        <v>44782</v>
      </c>
      <c r="B4060" t="s">
        <v>26</v>
      </c>
      <c r="C4060">
        <v>70229</v>
      </c>
      <c r="D4060" t="s">
        <v>1263</v>
      </c>
      <c r="E4060" s="7">
        <v>8800</v>
      </c>
      <c r="F4060" t="s">
        <v>20</v>
      </c>
      <c r="G4060" t="s">
        <v>21</v>
      </c>
      <c r="H4060" t="str">
        <f>"03359"</f>
        <v>03359</v>
      </c>
      <c r="I4060" t="str">
        <f>"REMOVING EXISTING HVAC"</f>
        <v>REMOVING EXISTING HVAC</v>
      </c>
    </row>
    <row r="4061" spans="1:9" x14ac:dyDescent="0.25">
      <c r="A4061" s="6">
        <v>44782</v>
      </c>
      <c r="B4061" t="s">
        <v>26</v>
      </c>
      <c r="C4061">
        <v>70230</v>
      </c>
      <c r="D4061" t="s">
        <v>139</v>
      </c>
      <c r="E4061" s="7">
        <v>65</v>
      </c>
      <c r="F4061" t="s">
        <v>20</v>
      </c>
      <c r="G4061" t="s">
        <v>21</v>
      </c>
      <c r="H4061" t="str">
        <f>"36516"</f>
        <v>36516</v>
      </c>
      <c r="I4061" t="str">
        <f>"ANGEL FIRE &amp; SAFETY"</f>
        <v>ANGEL FIRE &amp; SAFETY</v>
      </c>
    </row>
    <row r="4062" spans="1:9" x14ac:dyDescent="0.25">
      <c r="A4062" s="6">
        <v>44782</v>
      </c>
      <c r="B4062" t="s">
        <v>26</v>
      </c>
      <c r="C4062">
        <v>70231</v>
      </c>
      <c r="D4062" t="s">
        <v>836</v>
      </c>
      <c r="E4062" s="7">
        <v>1246</v>
      </c>
      <c r="F4062" t="s">
        <v>20</v>
      </c>
      <c r="G4062" t="s">
        <v>21</v>
      </c>
      <c r="H4062" t="str">
        <f>"87737"</f>
        <v>87737</v>
      </c>
      <c r="I4062" t="str">
        <f>"BARCOM TECHNOLOGY SOLUTIONS  I"</f>
        <v>BARCOM TECHNOLOGY SOLUTIONS  I</v>
      </c>
    </row>
    <row r="4063" spans="1:9" x14ac:dyDescent="0.25">
      <c r="A4063" s="6">
        <v>44782</v>
      </c>
      <c r="B4063" t="s">
        <v>26</v>
      </c>
      <c r="C4063">
        <v>70231</v>
      </c>
      <c r="D4063" t="s">
        <v>836</v>
      </c>
      <c r="E4063" s="7">
        <v>1246</v>
      </c>
      <c r="F4063" t="s">
        <v>20</v>
      </c>
      <c r="G4063" t="s">
        <v>21</v>
      </c>
      <c r="H4063" t="str">
        <f>"87738"</f>
        <v>87738</v>
      </c>
      <c r="I4063" t="str">
        <f>"BARCOM TECHNOLOGY SOLUTIONS  I"</f>
        <v>BARCOM TECHNOLOGY SOLUTIONS  I</v>
      </c>
    </row>
    <row r="4064" spans="1:9" x14ac:dyDescent="0.25">
      <c r="A4064" s="6">
        <v>44782</v>
      </c>
      <c r="B4064" t="s">
        <v>26</v>
      </c>
      <c r="C4064">
        <v>70231</v>
      </c>
      <c r="D4064" t="s">
        <v>836</v>
      </c>
      <c r="E4064" s="7">
        <v>17</v>
      </c>
      <c r="F4064" t="s">
        <v>20</v>
      </c>
      <c r="G4064" t="s">
        <v>21</v>
      </c>
      <c r="H4064" t="str">
        <f>"87740"</f>
        <v>87740</v>
      </c>
      <c r="I4064" t="str">
        <f>"BARCOM TECHNOLOGY SOLUTIONS  I"</f>
        <v>BARCOM TECHNOLOGY SOLUTIONS  I</v>
      </c>
    </row>
    <row r="4065" spans="1:9" x14ac:dyDescent="0.25">
      <c r="A4065" s="6">
        <v>44782</v>
      </c>
      <c r="B4065" t="s">
        <v>26</v>
      </c>
      <c r="C4065">
        <v>70231</v>
      </c>
      <c r="D4065" t="s">
        <v>836</v>
      </c>
      <c r="E4065" s="7">
        <v>1650</v>
      </c>
      <c r="F4065" t="s">
        <v>20</v>
      </c>
      <c r="G4065" t="s">
        <v>21</v>
      </c>
      <c r="H4065" t="str">
        <f>"88324"</f>
        <v>88324</v>
      </c>
      <c r="I4065" t="str">
        <f>"BARCOM TECHNOLOGY SOLUTIONS  I"</f>
        <v>BARCOM TECHNOLOGY SOLUTIONS  I</v>
      </c>
    </row>
    <row r="4066" spans="1:9" x14ac:dyDescent="0.25">
      <c r="A4066" s="6">
        <v>44782</v>
      </c>
      <c r="B4066" t="s">
        <v>26</v>
      </c>
      <c r="C4066">
        <v>70231</v>
      </c>
      <c r="D4066" t="s">
        <v>836</v>
      </c>
      <c r="E4066" s="7">
        <v>3595.06</v>
      </c>
      <c r="F4066" t="s">
        <v>20</v>
      </c>
      <c r="G4066" t="s">
        <v>21</v>
      </c>
      <c r="H4066" t="str">
        <f>"88325"</f>
        <v>88325</v>
      </c>
      <c r="I4066" t="str">
        <f>"2 NEW COMPUTERS FOR PD"</f>
        <v>2 NEW COMPUTERS FOR PD</v>
      </c>
    </row>
    <row r="4067" spans="1:9" x14ac:dyDescent="0.25">
      <c r="A4067" s="6">
        <v>44782</v>
      </c>
      <c r="B4067" t="s">
        <v>26</v>
      </c>
      <c r="C4067">
        <v>70233</v>
      </c>
      <c r="D4067" t="s">
        <v>110</v>
      </c>
      <c r="E4067" s="7">
        <v>2625</v>
      </c>
      <c r="F4067" t="s">
        <v>20</v>
      </c>
      <c r="G4067" t="s">
        <v>21</v>
      </c>
      <c r="H4067" t="str">
        <f>"RI 22045617"</f>
        <v>RI 22045617</v>
      </c>
      <c r="I4067" t="str">
        <f t="shared" ref="I4067:I4079" si="98">"BUREAU VERITAS NORTH AMERICA"</f>
        <v>BUREAU VERITAS NORTH AMERICA</v>
      </c>
    </row>
    <row r="4068" spans="1:9" x14ac:dyDescent="0.25">
      <c r="A4068" s="6">
        <v>44782</v>
      </c>
      <c r="B4068" t="s">
        <v>26</v>
      </c>
      <c r="C4068">
        <v>70233</v>
      </c>
      <c r="D4068" t="s">
        <v>110</v>
      </c>
      <c r="E4068" s="7">
        <v>470.25</v>
      </c>
      <c r="F4068" t="s">
        <v>20</v>
      </c>
      <c r="G4068" t="s">
        <v>21</v>
      </c>
      <c r="H4068" t="str">
        <f>"RI 22045618"</f>
        <v>RI 22045618</v>
      </c>
      <c r="I4068" t="str">
        <f t="shared" si="98"/>
        <v>BUREAU VERITAS NORTH AMERICA</v>
      </c>
    </row>
    <row r="4069" spans="1:9" x14ac:dyDescent="0.25">
      <c r="A4069" s="6">
        <v>44782</v>
      </c>
      <c r="B4069" t="s">
        <v>26</v>
      </c>
      <c r="C4069">
        <v>70233</v>
      </c>
      <c r="D4069" t="s">
        <v>110</v>
      </c>
      <c r="E4069" s="7">
        <v>1482.55</v>
      </c>
      <c r="F4069" t="s">
        <v>20</v>
      </c>
      <c r="G4069" t="s">
        <v>21</v>
      </c>
      <c r="H4069" t="str">
        <f>"RI 22045619"</f>
        <v>RI 22045619</v>
      </c>
      <c r="I4069" t="str">
        <f t="shared" si="98"/>
        <v>BUREAU VERITAS NORTH AMERICA</v>
      </c>
    </row>
    <row r="4070" spans="1:9" x14ac:dyDescent="0.25">
      <c r="A4070" s="6">
        <v>44782</v>
      </c>
      <c r="B4070" t="s">
        <v>26</v>
      </c>
      <c r="C4070">
        <v>70233</v>
      </c>
      <c r="D4070" t="s">
        <v>110</v>
      </c>
      <c r="E4070" s="7">
        <v>1360.4</v>
      </c>
      <c r="F4070" t="s">
        <v>20</v>
      </c>
      <c r="G4070" t="s">
        <v>21</v>
      </c>
      <c r="H4070" t="str">
        <f>"RI 22045620"</f>
        <v>RI 22045620</v>
      </c>
      <c r="I4070" t="str">
        <f t="shared" si="98"/>
        <v>BUREAU VERITAS NORTH AMERICA</v>
      </c>
    </row>
    <row r="4071" spans="1:9" x14ac:dyDescent="0.25">
      <c r="A4071" s="6">
        <v>44782</v>
      </c>
      <c r="B4071" t="s">
        <v>26</v>
      </c>
      <c r="C4071">
        <v>70233</v>
      </c>
      <c r="D4071" t="s">
        <v>110</v>
      </c>
      <c r="E4071" s="7">
        <v>1272.2</v>
      </c>
      <c r="F4071" t="s">
        <v>20</v>
      </c>
      <c r="G4071" t="s">
        <v>21</v>
      </c>
      <c r="H4071" t="str">
        <f>"RI 22045621"</f>
        <v>RI 22045621</v>
      </c>
      <c r="I4071" t="str">
        <f t="shared" si="98"/>
        <v>BUREAU VERITAS NORTH AMERICA</v>
      </c>
    </row>
    <row r="4072" spans="1:9" x14ac:dyDescent="0.25">
      <c r="A4072" s="6">
        <v>44782</v>
      </c>
      <c r="B4072" t="s">
        <v>26</v>
      </c>
      <c r="C4072">
        <v>70233</v>
      </c>
      <c r="D4072" t="s">
        <v>110</v>
      </c>
      <c r="E4072" s="7">
        <v>76.92</v>
      </c>
      <c r="F4072" t="s">
        <v>20</v>
      </c>
      <c r="G4072" t="s">
        <v>21</v>
      </c>
      <c r="H4072" t="str">
        <f>"RI 22045622"</f>
        <v>RI 22045622</v>
      </c>
      <c r="I4072" t="str">
        <f t="shared" si="98"/>
        <v>BUREAU VERITAS NORTH AMERICA</v>
      </c>
    </row>
    <row r="4073" spans="1:9" x14ac:dyDescent="0.25">
      <c r="A4073" s="6">
        <v>44782</v>
      </c>
      <c r="B4073" t="s">
        <v>26</v>
      </c>
      <c r="C4073">
        <v>70233</v>
      </c>
      <c r="D4073" t="s">
        <v>110</v>
      </c>
      <c r="E4073" s="7">
        <v>76.92</v>
      </c>
      <c r="F4073" t="s">
        <v>20</v>
      </c>
      <c r="G4073" t="s">
        <v>21</v>
      </c>
      <c r="H4073" t="str">
        <f>"RI 22045623"</f>
        <v>RI 22045623</v>
      </c>
      <c r="I4073" t="str">
        <f t="shared" si="98"/>
        <v>BUREAU VERITAS NORTH AMERICA</v>
      </c>
    </row>
    <row r="4074" spans="1:9" x14ac:dyDescent="0.25">
      <c r="A4074" s="6">
        <v>44782</v>
      </c>
      <c r="B4074" t="s">
        <v>26</v>
      </c>
      <c r="C4074">
        <v>70233</v>
      </c>
      <c r="D4074" t="s">
        <v>110</v>
      </c>
      <c r="E4074" s="7">
        <v>76.92</v>
      </c>
      <c r="F4074" t="s">
        <v>20</v>
      </c>
      <c r="G4074" t="s">
        <v>21</v>
      </c>
      <c r="H4074" t="str">
        <f>"RI 22045624"</f>
        <v>RI 22045624</v>
      </c>
      <c r="I4074" t="str">
        <f t="shared" si="98"/>
        <v>BUREAU VERITAS NORTH AMERICA</v>
      </c>
    </row>
    <row r="4075" spans="1:9" x14ac:dyDescent="0.25">
      <c r="A4075" s="6">
        <v>44782</v>
      </c>
      <c r="B4075" t="s">
        <v>26</v>
      </c>
      <c r="C4075">
        <v>70233</v>
      </c>
      <c r="D4075" t="s">
        <v>110</v>
      </c>
      <c r="E4075" s="7">
        <v>76.92</v>
      </c>
      <c r="F4075" t="s">
        <v>20</v>
      </c>
      <c r="G4075" t="s">
        <v>21</v>
      </c>
      <c r="H4075" t="str">
        <f>"RI 22045625"</f>
        <v>RI 22045625</v>
      </c>
      <c r="I4075" t="str">
        <f t="shared" si="98"/>
        <v>BUREAU VERITAS NORTH AMERICA</v>
      </c>
    </row>
    <row r="4076" spans="1:9" x14ac:dyDescent="0.25">
      <c r="A4076" s="6">
        <v>44782</v>
      </c>
      <c r="B4076" t="s">
        <v>26</v>
      </c>
      <c r="C4076">
        <v>70233</v>
      </c>
      <c r="D4076" t="s">
        <v>110</v>
      </c>
      <c r="E4076" s="7">
        <v>76.92</v>
      </c>
      <c r="F4076" t="s">
        <v>20</v>
      </c>
      <c r="G4076" t="s">
        <v>21</v>
      </c>
      <c r="H4076" t="str">
        <f>"RI 22045626"</f>
        <v>RI 22045626</v>
      </c>
      <c r="I4076" t="str">
        <f t="shared" si="98"/>
        <v>BUREAU VERITAS NORTH AMERICA</v>
      </c>
    </row>
    <row r="4077" spans="1:9" x14ac:dyDescent="0.25">
      <c r="A4077" s="6">
        <v>44782</v>
      </c>
      <c r="B4077" t="s">
        <v>26</v>
      </c>
      <c r="C4077">
        <v>70233</v>
      </c>
      <c r="D4077" t="s">
        <v>110</v>
      </c>
      <c r="E4077" s="7">
        <v>400</v>
      </c>
      <c r="F4077" t="s">
        <v>20</v>
      </c>
      <c r="G4077" t="s">
        <v>21</v>
      </c>
      <c r="H4077" t="str">
        <f>"RI 22045627"</f>
        <v>RI 22045627</v>
      </c>
      <c r="I4077" t="str">
        <f t="shared" si="98"/>
        <v>BUREAU VERITAS NORTH AMERICA</v>
      </c>
    </row>
    <row r="4078" spans="1:9" x14ac:dyDescent="0.25">
      <c r="A4078" s="6">
        <v>44782</v>
      </c>
      <c r="B4078" t="s">
        <v>26</v>
      </c>
      <c r="C4078">
        <v>70233</v>
      </c>
      <c r="D4078" t="s">
        <v>110</v>
      </c>
      <c r="E4078" s="7">
        <v>76.92</v>
      </c>
      <c r="F4078" t="s">
        <v>20</v>
      </c>
      <c r="G4078" t="s">
        <v>21</v>
      </c>
      <c r="H4078" t="str">
        <f>"RI 22045628"</f>
        <v>RI 22045628</v>
      </c>
      <c r="I4078" t="str">
        <f t="shared" si="98"/>
        <v>BUREAU VERITAS NORTH AMERICA</v>
      </c>
    </row>
    <row r="4079" spans="1:9" x14ac:dyDescent="0.25">
      <c r="A4079" s="6">
        <v>44782</v>
      </c>
      <c r="B4079" t="s">
        <v>26</v>
      </c>
      <c r="C4079">
        <v>70233</v>
      </c>
      <c r="D4079" t="s">
        <v>110</v>
      </c>
      <c r="E4079" s="7">
        <v>200</v>
      </c>
      <c r="F4079" t="s">
        <v>20</v>
      </c>
      <c r="G4079" t="s">
        <v>21</v>
      </c>
      <c r="H4079" t="str">
        <f>"RI 22045629"</f>
        <v>RI 22045629</v>
      </c>
      <c r="I4079" t="str">
        <f t="shared" si="98"/>
        <v>BUREAU VERITAS NORTH AMERICA</v>
      </c>
    </row>
    <row r="4080" spans="1:9" x14ac:dyDescent="0.25">
      <c r="A4080" s="6">
        <v>44782</v>
      </c>
      <c r="B4080" t="s">
        <v>26</v>
      </c>
      <c r="C4080">
        <v>70236</v>
      </c>
      <c r="D4080" t="s">
        <v>71</v>
      </c>
      <c r="E4080" s="7">
        <v>1115.03</v>
      </c>
      <c r="F4080" t="s">
        <v>20</v>
      </c>
      <c r="G4080" t="s">
        <v>21</v>
      </c>
      <c r="H4080" t="str">
        <f>"4119488026"</f>
        <v>4119488026</v>
      </c>
      <c r="I4080" t="str">
        <f t="shared" ref="I4080:I4092" si="99">"CINTAS CORPORATION #087"</f>
        <v>CINTAS CORPORATION #087</v>
      </c>
    </row>
    <row r="4081" spans="1:9" x14ac:dyDescent="0.25">
      <c r="A4081" s="6">
        <v>44782</v>
      </c>
      <c r="B4081" t="s">
        <v>26</v>
      </c>
      <c r="C4081">
        <v>70236</v>
      </c>
      <c r="D4081" t="s">
        <v>71</v>
      </c>
      <c r="E4081" s="7">
        <v>90.43</v>
      </c>
      <c r="F4081" t="s">
        <v>20</v>
      </c>
      <c r="G4081" t="s">
        <v>21</v>
      </c>
      <c r="H4081" t="str">
        <f>"4126292131"</f>
        <v>4126292131</v>
      </c>
      <c r="I4081" t="str">
        <f t="shared" si="99"/>
        <v>CINTAS CORPORATION #087</v>
      </c>
    </row>
    <row r="4082" spans="1:9" x14ac:dyDescent="0.25">
      <c r="A4082" s="6">
        <v>44782</v>
      </c>
      <c r="B4082" t="s">
        <v>26</v>
      </c>
      <c r="C4082">
        <v>70236</v>
      </c>
      <c r="D4082" t="s">
        <v>71</v>
      </c>
      <c r="E4082" s="7">
        <v>118.8</v>
      </c>
      <c r="F4082" t="s">
        <v>20</v>
      </c>
      <c r="G4082" t="s">
        <v>21</v>
      </c>
      <c r="H4082" t="str">
        <f>"4126292282"</f>
        <v>4126292282</v>
      </c>
      <c r="I4082" t="str">
        <f t="shared" si="99"/>
        <v>CINTAS CORPORATION #087</v>
      </c>
    </row>
    <row r="4083" spans="1:9" x14ac:dyDescent="0.25">
      <c r="A4083" s="6">
        <v>44782</v>
      </c>
      <c r="B4083" t="s">
        <v>26</v>
      </c>
      <c r="C4083">
        <v>70236</v>
      </c>
      <c r="D4083" t="s">
        <v>71</v>
      </c>
      <c r="E4083" s="7">
        <v>31.89</v>
      </c>
      <c r="F4083" t="s">
        <v>20</v>
      </c>
      <c r="G4083" t="s">
        <v>21</v>
      </c>
      <c r="H4083" t="str">
        <f>"4126292284"</f>
        <v>4126292284</v>
      </c>
      <c r="I4083" t="str">
        <f t="shared" si="99"/>
        <v>CINTAS CORPORATION #087</v>
      </c>
    </row>
    <row r="4084" spans="1:9" x14ac:dyDescent="0.25">
      <c r="A4084" s="6">
        <v>44782</v>
      </c>
      <c r="B4084" t="s">
        <v>26</v>
      </c>
      <c r="C4084">
        <v>70236</v>
      </c>
      <c r="D4084" t="s">
        <v>71</v>
      </c>
      <c r="E4084" s="7">
        <v>164.22</v>
      </c>
      <c r="F4084" t="s">
        <v>20</v>
      </c>
      <c r="G4084" t="s">
        <v>21</v>
      </c>
      <c r="H4084" t="str">
        <f>"4126292315"</f>
        <v>4126292315</v>
      </c>
      <c r="I4084" t="str">
        <f t="shared" si="99"/>
        <v>CINTAS CORPORATION #087</v>
      </c>
    </row>
    <row r="4085" spans="1:9" x14ac:dyDescent="0.25">
      <c r="A4085" s="6">
        <v>44782</v>
      </c>
      <c r="B4085" t="s">
        <v>26</v>
      </c>
      <c r="C4085">
        <v>70236</v>
      </c>
      <c r="D4085" t="s">
        <v>71</v>
      </c>
      <c r="E4085" s="7">
        <v>79.290000000000006</v>
      </c>
      <c r="F4085" t="s">
        <v>20</v>
      </c>
      <c r="G4085" t="s">
        <v>21</v>
      </c>
      <c r="H4085" t="str">
        <f>"4126292363"</f>
        <v>4126292363</v>
      </c>
      <c r="I4085" t="str">
        <f t="shared" si="99"/>
        <v>CINTAS CORPORATION #087</v>
      </c>
    </row>
    <row r="4086" spans="1:9" x14ac:dyDescent="0.25">
      <c r="A4086" s="6">
        <v>44782</v>
      </c>
      <c r="B4086" t="s">
        <v>26</v>
      </c>
      <c r="C4086">
        <v>70236</v>
      </c>
      <c r="D4086" t="s">
        <v>71</v>
      </c>
      <c r="E4086" s="7">
        <v>431.33</v>
      </c>
      <c r="F4086" t="s">
        <v>20</v>
      </c>
      <c r="G4086" t="s">
        <v>21</v>
      </c>
      <c r="H4086" t="str">
        <f>"4126292405"</f>
        <v>4126292405</v>
      </c>
      <c r="I4086" t="str">
        <f t="shared" si="99"/>
        <v>CINTAS CORPORATION #087</v>
      </c>
    </row>
    <row r="4087" spans="1:9" x14ac:dyDescent="0.25">
      <c r="A4087" s="6">
        <v>44782</v>
      </c>
      <c r="B4087" t="s">
        <v>26</v>
      </c>
      <c r="C4087">
        <v>70236</v>
      </c>
      <c r="D4087" t="s">
        <v>71</v>
      </c>
      <c r="E4087" s="7">
        <v>57.72</v>
      </c>
      <c r="F4087" t="s">
        <v>20</v>
      </c>
      <c r="G4087" t="s">
        <v>21</v>
      </c>
      <c r="H4087" t="str">
        <f>"4126933580"</f>
        <v>4126933580</v>
      </c>
      <c r="I4087" t="str">
        <f t="shared" si="99"/>
        <v>CINTAS CORPORATION #087</v>
      </c>
    </row>
    <row r="4088" spans="1:9" x14ac:dyDescent="0.25">
      <c r="A4088" s="6">
        <v>44782</v>
      </c>
      <c r="B4088" t="s">
        <v>26</v>
      </c>
      <c r="C4088">
        <v>70236</v>
      </c>
      <c r="D4088" t="s">
        <v>71</v>
      </c>
      <c r="E4088" s="7">
        <v>164.22</v>
      </c>
      <c r="F4088" t="s">
        <v>20</v>
      </c>
      <c r="G4088" t="s">
        <v>21</v>
      </c>
      <c r="H4088" t="str">
        <f>"4126933589"</f>
        <v>4126933589</v>
      </c>
      <c r="I4088" t="str">
        <f t="shared" si="99"/>
        <v>CINTAS CORPORATION #087</v>
      </c>
    </row>
    <row r="4089" spans="1:9" x14ac:dyDescent="0.25">
      <c r="A4089" s="6">
        <v>44782</v>
      </c>
      <c r="B4089" t="s">
        <v>26</v>
      </c>
      <c r="C4089">
        <v>70236</v>
      </c>
      <c r="D4089" t="s">
        <v>71</v>
      </c>
      <c r="E4089" s="7">
        <v>31.89</v>
      </c>
      <c r="F4089" t="s">
        <v>20</v>
      </c>
      <c r="G4089" t="s">
        <v>21</v>
      </c>
      <c r="H4089" t="str">
        <f>"4126933600"</f>
        <v>4126933600</v>
      </c>
      <c r="I4089" t="str">
        <f t="shared" si="99"/>
        <v>CINTAS CORPORATION #087</v>
      </c>
    </row>
    <row r="4090" spans="1:9" x14ac:dyDescent="0.25">
      <c r="A4090" s="6">
        <v>44782</v>
      </c>
      <c r="B4090" t="s">
        <v>26</v>
      </c>
      <c r="C4090">
        <v>70236</v>
      </c>
      <c r="D4090" t="s">
        <v>71</v>
      </c>
      <c r="E4090" s="7">
        <v>9.3800000000000008</v>
      </c>
      <c r="F4090" t="s">
        <v>20</v>
      </c>
      <c r="G4090" t="s">
        <v>21</v>
      </c>
      <c r="H4090" t="str">
        <f>"4126933605"</f>
        <v>4126933605</v>
      </c>
      <c r="I4090" t="str">
        <f t="shared" si="99"/>
        <v>CINTAS CORPORATION #087</v>
      </c>
    </row>
    <row r="4091" spans="1:9" x14ac:dyDescent="0.25">
      <c r="A4091" s="6">
        <v>44782</v>
      </c>
      <c r="B4091" t="s">
        <v>26</v>
      </c>
      <c r="C4091">
        <v>70236</v>
      </c>
      <c r="D4091" t="s">
        <v>71</v>
      </c>
      <c r="E4091" s="7">
        <v>37.1</v>
      </c>
      <c r="F4091" t="s">
        <v>20</v>
      </c>
      <c r="G4091" t="s">
        <v>21</v>
      </c>
      <c r="H4091" t="str">
        <f>"4126933620"</f>
        <v>4126933620</v>
      </c>
      <c r="I4091" t="str">
        <f t="shared" si="99"/>
        <v>CINTAS CORPORATION #087</v>
      </c>
    </row>
    <row r="4092" spans="1:9" x14ac:dyDescent="0.25">
      <c r="A4092" s="6">
        <v>44782</v>
      </c>
      <c r="B4092" t="s">
        <v>26</v>
      </c>
      <c r="C4092">
        <v>70236</v>
      </c>
      <c r="D4092" t="s">
        <v>71</v>
      </c>
      <c r="E4092" s="7">
        <v>700.33</v>
      </c>
      <c r="F4092" t="s">
        <v>20</v>
      </c>
      <c r="G4092" t="s">
        <v>21</v>
      </c>
      <c r="H4092" t="str">
        <f>"4126933758"</f>
        <v>4126933758</v>
      </c>
      <c r="I4092" t="str">
        <f t="shared" si="99"/>
        <v>CINTAS CORPORATION #087</v>
      </c>
    </row>
    <row r="4093" spans="1:9" x14ac:dyDescent="0.25">
      <c r="A4093" s="6">
        <v>44782</v>
      </c>
      <c r="B4093" t="s">
        <v>26</v>
      </c>
      <c r="C4093">
        <v>70240</v>
      </c>
      <c r="D4093" t="s">
        <v>58</v>
      </c>
      <c r="E4093" s="7">
        <v>76</v>
      </c>
      <c r="F4093" t="s">
        <v>20</v>
      </c>
      <c r="G4093" t="s">
        <v>21</v>
      </c>
      <c r="H4093" t="str">
        <f>"682409"</f>
        <v>682409</v>
      </c>
      <c r="I4093" t="str">
        <f>"DEASON ANIMAL HOSPITAL"</f>
        <v>DEASON ANIMAL HOSPITAL</v>
      </c>
    </row>
    <row r="4094" spans="1:9" x14ac:dyDescent="0.25">
      <c r="A4094" s="6">
        <v>44782</v>
      </c>
      <c r="B4094" t="s">
        <v>26</v>
      </c>
      <c r="C4094">
        <v>70240</v>
      </c>
      <c r="D4094" t="s">
        <v>58</v>
      </c>
      <c r="E4094" s="7">
        <v>83</v>
      </c>
      <c r="F4094" t="s">
        <v>20</v>
      </c>
      <c r="G4094" t="s">
        <v>21</v>
      </c>
      <c r="H4094" t="str">
        <f>"682576"</f>
        <v>682576</v>
      </c>
      <c r="I4094" t="str">
        <f>"DEASON ANIMAL HOSPITAL"</f>
        <v>DEASON ANIMAL HOSPITAL</v>
      </c>
    </row>
    <row r="4095" spans="1:9" x14ac:dyDescent="0.25">
      <c r="A4095" s="6">
        <v>44782</v>
      </c>
      <c r="B4095" t="s">
        <v>26</v>
      </c>
      <c r="C4095">
        <v>70240</v>
      </c>
      <c r="D4095" t="s">
        <v>58</v>
      </c>
      <c r="E4095" s="7">
        <v>45</v>
      </c>
      <c r="F4095" t="s">
        <v>20</v>
      </c>
      <c r="G4095" t="s">
        <v>21</v>
      </c>
      <c r="H4095" t="str">
        <f>"684702"</f>
        <v>684702</v>
      </c>
      <c r="I4095" t="str">
        <f>"DEASON ANIMAL HOSPITAL"</f>
        <v>DEASON ANIMAL HOSPITAL</v>
      </c>
    </row>
    <row r="4096" spans="1:9" x14ac:dyDescent="0.25">
      <c r="A4096" s="6">
        <v>44782</v>
      </c>
      <c r="B4096" t="s">
        <v>26</v>
      </c>
      <c r="C4096">
        <v>70241</v>
      </c>
      <c r="D4096" t="s">
        <v>1256</v>
      </c>
      <c r="E4096" s="7">
        <v>84.5</v>
      </c>
      <c r="F4096" t="s">
        <v>20</v>
      </c>
      <c r="G4096" t="s">
        <v>21</v>
      </c>
      <c r="H4096" t="str">
        <f>"8/6/2022"</f>
        <v>8/6/2022</v>
      </c>
      <c r="I4096" t="str">
        <f>"DORA B CANTU"</f>
        <v>DORA B CANTU</v>
      </c>
    </row>
    <row r="4097" spans="1:9" x14ac:dyDescent="0.25">
      <c r="A4097" s="6">
        <v>44782</v>
      </c>
      <c r="B4097" t="s">
        <v>26</v>
      </c>
      <c r="C4097">
        <v>70242</v>
      </c>
      <c r="D4097" t="s">
        <v>1010</v>
      </c>
      <c r="E4097" s="7">
        <v>157.99</v>
      </c>
      <c r="F4097" t="s">
        <v>20</v>
      </c>
      <c r="G4097" t="s">
        <v>21</v>
      </c>
      <c r="H4097" t="str">
        <f>"164974"</f>
        <v>164974</v>
      </c>
      <c r="I4097" t="str">
        <f>"BOOTS"</f>
        <v>BOOTS</v>
      </c>
    </row>
    <row r="4098" spans="1:9" x14ac:dyDescent="0.25">
      <c r="A4098" s="6">
        <v>44782</v>
      </c>
      <c r="B4098" t="s">
        <v>26</v>
      </c>
      <c r="C4098">
        <v>70243</v>
      </c>
      <c r="D4098" t="s">
        <v>1255</v>
      </c>
      <c r="E4098" s="7">
        <v>84.5</v>
      </c>
      <c r="F4098" t="s">
        <v>20</v>
      </c>
      <c r="G4098" t="s">
        <v>21</v>
      </c>
      <c r="H4098" t="str">
        <f>"8/6/2022"</f>
        <v>8/6/2022</v>
      </c>
      <c r="I4098" t="str">
        <f>"FELIX S CANTU"</f>
        <v>FELIX S CANTU</v>
      </c>
    </row>
    <row r="4099" spans="1:9" x14ac:dyDescent="0.25">
      <c r="A4099" s="6">
        <v>44782</v>
      </c>
      <c r="B4099" t="s">
        <v>26</v>
      </c>
      <c r="C4099">
        <v>70244</v>
      </c>
      <c r="D4099" t="s">
        <v>59</v>
      </c>
      <c r="E4099" s="7">
        <v>30.25</v>
      </c>
      <c r="F4099" t="s">
        <v>20</v>
      </c>
      <c r="G4099" t="s">
        <v>21</v>
      </c>
      <c r="H4099" t="str">
        <f>"1156188-1"</f>
        <v>1156188-1</v>
      </c>
      <c r="I4099" t="str">
        <f>"FERGUSON WATERWORKS - MUNICIPA"</f>
        <v>FERGUSON WATERWORKS - MUNICIPA</v>
      </c>
    </row>
    <row r="4100" spans="1:9" x14ac:dyDescent="0.25">
      <c r="A4100" s="6">
        <v>44782</v>
      </c>
      <c r="B4100" t="s">
        <v>26</v>
      </c>
      <c r="C4100">
        <v>70244</v>
      </c>
      <c r="D4100" t="s">
        <v>59</v>
      </c>
      <c r="E4100" s="7">
        <v>201.3</v>
      </c>
      <c r="F4100" t="s">
        <v>20</v>
      </c>
      <c r="G4100" t="s">
        <v>21</v>
      </c>
      <c r="H4100" t="str">
        <f>"1165389-2"</f>
        <v>1165389-2</v>
      </c>
      <c r="I4100" t="str">
        <f>"FERGUSON WATERWORKS - MUNICIPA"</f>
        <v>FERGUSON WATERWORKS - MUNICIPA</v>
      </c>
    </row>
    <row r="4101" spans="1:9" x14ac:dyDescent="0.25">
      <c r="A4101" s="6">
        <v>44782</v>
      </c>
      <c r="B4101" t="s">
        <v>26</v>
      </c>
      <c r="C4101">
        <v>70244</v>
      </c>
      <c r="D4101" t="s">
        <v>59</v>
      </c>
      <c r="E4101" s="7">
        <v>513.04</v>
      </c>
      <c r="F4101" t="s">
        <v>20</v>
      </c>
      <c r="G4101" t="s">
        <v>21</v>
      </c>
      <c r="H4101" t="str">
        <f>"1189008"</f>
        <v>1189008</v>
      </c>
      <c r="I4101" t="str">
        <f>"FERGUSON WATERWORKS - MUNICIPA"</f>
        <v>FERGUSON WATERWORKS - MUNICIPA</v>
      </c>
    </row>
    <row r="4102" spans="1:9" x14ac:dyDescent="0.25">
      <c r="A4102" s="6">
        <v>44782</v>
      </c>
      <c r="B4102" t="s">
        <v>26</v>
      </c>
      <c r="C4102">
        <v>70244</v>
      </c>
      <c r="D4102" t="s">
        <v>59</v>
      </c>
      <c r="E4102" s="7">
        <v>1109.18</v>
      </c>
      <c r="F4102" t="s">
        <v>20</v>
      </c>
      <c r="G4102" t="s">
        <v>21</v>
      </c>
      <c r="H4102" t="str">
        <f>"1189424"</f>
        <v>1189424</v>
      </c>
      <c r="I4102" t="str">
        <f>"METERS FOR FOOTBALL FIELD"</f>
        <v>METERS FOR FOOTBALL FIELD</v>
      </c>
    </row>
    <row r="4103" spans="1:9" x14ac:dyDescent="0.25">
      <c r="A4103" s="6">
        <v>44782</v>
      </c>
      <c r="B4103" t="s">
        <v>26</v>
      </c>
      <c r="C4103">
        <v>70245</v>
      </c>
      <c r="D4103" t="s">
        <v>739</v>
      </c>
      <c r="E4103" s="7">
        <v>1401.76</v>
      </c>
      <c r="F4103" t="s">
        <v>20</v>
      </c>
      <c r="G4103" t="s">
        <v>21</v>
      </c>
      <c r="H4103" t="str">
        <f>"5286X07272022"</f>
        <v>5286X07272022</v>
      </c>
      <c r="I4103" t="str">
        <f>"FIRSTNET/AT&amp;T MOBILITY LLC"</f>
        <v>FIRSTNET/AT&amp;T MOBILITY LLC</v>
      </c>
    </row>
    <row r="4104" spans="1:9" x14ac:dyDescent="0.25">
      <c r="A4104" s="6">
        <v>44782</v>
      </c>
      <c r="B4104" t="s">
        <v>26</v>
      </c>
      <c r="C4104">
        <v>70246</v>
      </c>
      <c r="D4104" t="s">
        <v>85</v>
      </c>
      <c r="E4104" s="7">
        <v>362.31</v>
      </c>
      <c r="F4104" t="s">
        <v>20</v>
      </c>
      <c r="G4104" t="s">
        <v>21</v>
      </c>
      <c r="H4104" t="str">
        <f>"39370500 AUG.2022"</f>
        <v>39370500 AUG.2022</v>
      </c>
      <c r="I4104" t="str">
        <f>"FRONTIER"</f>
        <v>FRONTIER</v>
      </c>
    </row>
    <row r="4105" spans="1:9" x14ac:dyDescent="0.25">
      <c r="A4105" s="6">
        <v>44782</v>
      </c>
      <c r="B4105" t="s">
        <v>26</v>
      </c>
      <c r="C4105">
        <v>70247</v>
      </c>
      <c r="D4105" t="s">
        <v>454</v>
      </c>
      <c r="E4105" s="7">
        <v>85.5</v>
      </c>
      <c r="F4105" t="s">
        <v>20</v>
      </c>
      <c r="G4105" t="s">
        <v>21</v>
      </c>
      <c r="H4105" t="str">
        <f>"8/6/2022"</f>
        <v>8/6/2022</v>
      </c>
      <c r="I4105" t="str">
        <f>"IRIS VANESSA BARRERA"</f>
        <v>IRIS VANESSA BARRERA</v>
      </c>
    </row>
    <row r="4106" spans="1:9" x14ac:dyDescent="0.25">
      <c r="A4106" s="6">
        <v>44782</v>
      </c>
      <c r="B4106" t="s">
        <v>26</v>
      </c>
      <c r="C4106">
        <v>70248</v>
      </c>
      <c r="D4106" t="s">
        <v>927</v>
      </c>
      <c r="E4106" s="7">
        <v>1370.37</v>
      </c>
      <c r="F4106" t="s">
        <v>20</v>
      </c>
      <c r="G4106" t="s">
        <v>21</v>
      </c>
      <c r="H4106" t="str">
        <f>"CITY00000016"</f>
        <v>CITY00000016</v>
      </c>
      <c r="I4106" t="str">
        <f>"JOELZ LAWN MOWING SERVICE"</f>
        <v>JOELZ LAWN MOWING SERVICE</v>
      </c>
    </row>
    <row r="4107" spans="1:9" x14ac:dyDescent="0.25">
      <c r="A4107" s="6">
        <v>44782</v>
      </c>
      <c r="B4107" t="s">
        <v>26</v>
      </c>
      <c r="C4107">
        <v>70248</v>
      </c>
      <c r="D4107" t="s">
        <v>927</v>
      </c>
      <c r="E4107" s="7">
        <v>600</v>
      </c>
      <c r="F4107" t="s">
        <v>20</v>
      </c>
      <c r="G4107" t="s">
        <v>21</v>
      </c>
      <c r="H4107" t="str">
        <f>"CITY0000017"</f>
        <v>CITY0000017</v>
      </c>
      <c r="I4107" t="str">
        <f>"JOELZ LAWN MOWING SERVICE"</f>
        <v>JOELZ LAWN MOWING SERVICE</v>
      </c>
    </row>
    <row r="4108" spans="1:9" x14ac:dyDescent="0.25">
      <c r="A4108" s="6">
        <v>44782</v>
      </c>
      <c r="B4108" t="s">
        <v>26</v>
      </c>
      <c r="C4108">
        <v>70249</v>
      </c>
      <c r="D4108" t="s">
        <v>1032</v>
      </c>
      <c r="E4108" s="7">
        <v>4000</v>
      </c>
      <c r="F4108" t="s">
        <v>20</v>
      </c>
      <c r="G4108" t="s">
        <v>21</v>
      </c>
      <c r="H4108" t="str">
        <f>"7-22-18055  8/1/22"</f>
        <v>7-22-18055  8/1/22</v>
      </c>
      <c r="I4108" t="str">
        <f>"LEAL &amp; CARTER  P.C."</f>
        <v>LEAL &amp; CARTER  P.C.</v>
      </c>
    </row>
    <row r="4109" spans="1:9" x14ac:dyDescent="0.25">
      <c r="A4109" s="6">
        <v>44782</v>
      </c>
      <c r="B4109" t="s">
        <v>26</v>
      </c>
      <c r="C4109">
        <v>70250</v>
      </c>
      <c r="D4109" t="s">
        <v>1257</v>
      </c>
      <c r="E4109" s="7">
        <v>84.5</v>
      </c>
      <c r="F4109" t="s">
        <v>20</v>
      </c>
      <c r="G4109" t="s">
        <v>21</v>
      </c>
      <c r="H4109" t="str">
        <f>"8/6/2022"</f>
        <v>8/6/2022</v>
      </c>
      <c r="I4109" t="str">
        <f>"MARYLOU B TORRES"</f>
        <v>MARYLOU B TORRES</v>
      </c>
    </row>
    <row r="4110" spans="1:9" x14ac:dyDescent="0.25">
      <c r="A4110" s="6">
        <v>44782</v>
      </c>
      <c r="B4110" t="s">
        <v>26</v>
      </c>
      <c r="C4110">
        <v>70251</v>
      </c>
      <c r="D4110" t="s">
        <v>326</v>
      </c>
      <c r="E4110" s="7">
        <v>63.6</v>
      </c>
      <c r="F4110" t="s">
        <v>20</v>
      </c>
      <c r="G4110" t="s">
        <v>21</v>
      </c>
      <c r="H4110" t="str">
        <f>"0026086913"</f>
        <v>0026086913</v>
      </c>
      <c r="I4110" t="str">
        <f>"MATHESON TRI-GAS INC"</f>
        <v>MATHESON TRI-GAS INC</v>
      </c>
    </row>
    <row r="4111" spans="1:9" x14ac:dyDescent="0.25">
      <c r="A4111" s="6">
        <v>44782</v>
      </c>
      <c r="B4111" t="s">
        <v>26</v>
      </c>
      <c r="C4111">
        <v>70252</v>
      </c>
      <c r="D4111" t="s">
        <v>345</v>
      </c>
      <c r="E4111" s="7">
        <v>423.5</v>
      </c>
      <c r="F4111" t="s">
        <v>20</v>
      </c>
      <c r="G4111" t="s">
        <v>21</v>
      </c>
      <c r="H4111" t="str">
        <f>"8/8/2022"</f>
        <v>8/8/2022</v>
      </c>
      <c r="I4111" t="str">
        <f>"MICHAEL ISAAC MARTINEZ"</f>
        <v>MICHAEL ISAAC MARTINEZ</v>
      </c>
    </row>
    <row r="4112" spans="1:9" x14ac:dyDescent="0.25">
      <c r="A4112" s="6">
        <v>44782</v>
      </c>
      <c r="B4112" t="s">
        <v>26</v>
      </c>
      <c r="C4112">
        <v>70253</v>
      </c>
      <c r="D4112" t="s">
        <v>240</v>
      </c>
      <c r="E4112" s="7">
        <v>292.5</v>
      </c>
      <c r="F4112" t="s">
        <v>20</v>
      </c>
      <c r="G4112" t="s">
        <v>21</v>
      </c>
      <c r="H4112" t="str">
        <f>"0233175-IN"</f>
        <v>0233175-IN</v>
      </c>
      <c r="I4112" t="str">
        <f>"NARDIS PUBLIC SAFETY"</f>
        <v>NARDIS PUBLIC SAFETY</v>
      </c>
    </row>
    <row r="4113" spans="1:9" x14ac:dyDescent="0.25">
      <c r="A4113" s="6">
        <v>44782</v>
      </c>
      <c r="B4113" t="s">
        <v>26</v>
      </c>
      <c r="C4113">
        <v>70253</v>
      </c>
      <c r="D4113" t="s">
        <v>240</v>
      </c>
      <c r="E4113" s="7">
        <v>745.93</v>
      </c>
      <c r="F4113" t="s">
        <v>20</v>
      </c>
      <c r="G4113" t="s">
        <v>21</v>
      </c>
      <c r="H4113" t="str">
        <f>"0233194-IN"</f>
        <v>0233194-IN</v>
      </c>
      <c r="I4113" t="str">
        <f>"NARDIS PUBLIC SAFETY"</f>
        <v>NARDIS PUBLIC SAFETY</v>
      </c>
    </row>
    <row r="4114" spans="1:9" x14ac:dyDescent="0.25">
      <c r="A4114" s="6">
        <v>44782</v>
      </c>
      <c r="B4114" t="s">
        <v>26</v>
      </c>
      <c r="C4114">
        <v>70253</v>
      </c>
      <c r="D4114" t="s">
        <v>240</v>
      </c>
      <c r="E4114" s="7">
        <v>967.83</v>
      </c>
      <c r="F4114" t="s">
        <v>20</v>
      </c>
      <c r="G4114" t="s">
        <v>21</v>
      </c>
      <c r="H4114" t="str">
        <f>"0233272-IN"</f>
        <v>0233272-IN</v>
      </c>
      <c r="I4114" t="str">
        <f>"BARRIENTEZ UNIFORMS"</f>
        <v>BARRIENTEZ UNIFORMS</v>
      </c>
    </row>
    <row r="4115" spans="1:9" x14ac:dyDescent="0.25">
      <c r="A4115" s="6">
        <v>44782</v>
      </c>
      <c r="B4115" t="s">
        <v>26</v>
      </c>
      <c r="C4115">
        <v>70254</v>
      </c>
      <c r="D4115" t="s">
        <v>123</v>
      </c>
      <c r="E4115" s="7">
        <v>248.04</v>
      </c>
      <c r="F4115" t="s">
        <v>20</v>
      </c>
      <c r="G4115" t="s">
        <v>21</v>
      </c>
      <c r="H4115" t="str">
        <f>"251017512001"</f>
        <v>251017512001</v>
      </c>
      <c r="I4115" t="str">
        <f>"OFFICE SUPPLIES"</f>
        <v>OFFICE SUPPLIES</v>
      </c>
    </row>
    <row r="4116" spans="1:9" x14ac:dyDescent="0.25">
      <c r="A4116" s="6">
        <v>44782</v>
      </c>
      <c r="B4116" t="s">
        <v>26</v>
      </c>
      <c r="C4116">
        <v>70254</v>
      </c>
      <c r="D4116" t="s">
        <v>123</v>
      </c>
      <c r="E4116" s="7">
        <v>99.98</v>
      </c>
      <c r="F4116" t="s">
        <v>20</v>
      </c>
      <c r="G4116" t="s">
        <v>21</v>
      </c>
      <c r="H4116" t="str">
        <f>"251026311001"</f>
        <v>251026311001</v>
      </c>
      <c r="I4116" t="str">
        <f>"OFFICE SUPPLIES"</f>
        <v>OFFICE SUPPLIES</v>
      </c>
    </row>
    <row r="4117" spans="1:9" x14ac:dyDescent="0.25">
      <c r="A4117" s="6">
        <v>44782</v>
      </c>
      <c r="B4117" t="s">
        <v>26</v>
      </c>
      <c r="C4117">
        <v>70254</v>
      </c>
      <c r="D4117" t="s">
        <v>123</v>
      </c>
      <c r="E4117" s="7">
        <v>10.89</v>
      </c>
      <c r="F4117" t="s">
        <v>20</v>
      </c>
      <c r="G4117" t="s">
        <v>21</v>
      </c>
      <c r="H4117" t="str">
        <f>"251026321001"</f>
        <v>251026321001</v>
      </c>
      <c r="I4117" t="str">
        <f>"OFFICE SUPPLIES"</f>
        <v>OFFICE SUPPLIES</v>
      </c>
    </row>
    <row r="4118" spans="1:9" x14ac:dyDescent="0.25">
      <c r="A4118" s="6">
        <v>44782</v>
      </c>
      <c r="B4118" t="s">
        <v>26</v>
      </c>
      <c r="C4118">
        <v>70254</v>
      </c>
      <c r="D4118" t="s">
        <v>123</v>
      </c>
      <c r="E4118" s="7">
        <v>108.16</v>
      </c>
      <c r="F4118" t="s">
        <v>20</v>
      </c>
      <c r="G4118" t="s">
        <v>21</v>
      </c>
      <c r="H4118" t="str">
        <f>"256073841001"</f>
        <v>256073841001</v>
      </c>
      <c r="I4118" t="str">
        <f>"OFFICE SUPPLIES"</f>
        <v>OFFICE SUPPLIES</v>
      </c>
    </row>
    <row r="4119" spans="1:9" x14ac:dyDescent="0.25">
      <c r="A4119" s="6">
        <v>44782</v>
      </c>
      <c r="B4119" t="s">
        <v>26</v>
      </c>
      <c r="C4119">
        <v>70256</v>
      </c>
      <c r="D4119" t="s">
        <v>1081</v>
      </c>
      <c r="E4119" s="7">
        <v>858</v>
      </c>
      <c r="F4119" t="s">
        <v>20</v>
      </c>
      <c r="G4119" t="s">
        <v>21</v>
      </c>
      <c r="H4119" t="str">
        <f>"41499"</f>
        <v>41499</v>
      </c>
      <c r="I4119" t="str">
        <f>"PINNACLE PEST DEFENSE"</f>
        <v>PINNACLE PEST DEFENSE</v>
      </c>
    </row>
    <row r="4120" spans="1:9" x14ac:dyDescent="0.25">
      <c r="A4120" s="6">
        <v>44782</v>
      </c>
      <c r="B4120" t="s">
        <v>26</v>
      </c>
      <c r="C4120">
        <v>70257</v>
      </c>
      <c r="D4120" t="s">
        <v>184</v>
      </c>
      <c r="E4120" s="7">
        <v>1004</v>
      </c>
      <c r="F4120" t="s">
        <v>20</v>
      </c>
      <c r="G4120" t="s">
        <v>21</v>
      </c>
      <c r="H4120" t="str">
        <f>"1068-018"</f>
        <v>1068-018</v>
      </c>
      <c r="I4120" t="str">
        <f>"POLLUTION CONTROL SERVICES"</f>
        <v>POLLUTION CONTROL SERVICES</v>
      </c>
    </row>
    <row r="4121" spans="1:9" x14ac:dyDescent="0.25">
      <c r="A4121" s="6">
        <v>44782</v>
      </c>
      <c r="B4121" t="s">
        <v>26</v>
      </c>
      <c r="C4121">
        <v>70257</v>
      </c>
      <c r="D4121" t="s">
        <v>184</v>
      </c>
      <c r="E4121" s="7">
        <v>280</v>
      </c>
      <c r="F4121" t="s">
        <v>20</v>
      </c>
      <c r="G4121" t="s">
        <v>21</v>
      </c>
      <c r="H4121" t="str">
        <f>"1068-019"</f>
        <v>1068-019</v>
      </c>
      <c r="I4121" t="str">
        <f>"POLLUTION CONTROL SERVICES"</f>
        <v>POLLUTION CONTROL SERVICES</v>
      </c>
    </row>
    <row r="4122" spans="1:9" x14ac:dyDescent="0.25">
      <c r="A4122" s="6">
        <v>44782</v>
      </c>
      <c r="B4122" t="s">
        <v>26</v>
      </c>
      <c r="C4122">
        <v>70258</v>
      </c>
      <c r="D4122" t="s">
        <v>1264</v>
      </c>
      <c r="E4122" s="7">
        <v>840</v>
      </c>
      <c r="F4122" t="s">
        <v>20</v>
      </c>
      <c r="G4122" t="s">
        <v>21</v>
      </c>
      <c r="H4122" t="str">
        <f>"8/8/2022"</f>
        <v>8/8/2022</v>
      </c>
      <c r="I4122" t="str">
        <f>"POLLY SANDERS"</f>
        <v>POLLY SANDERS</v>
      </c>
    </row>
    <row r="4123" spans="1:9" x14ac:dyDescent="0.25">
      <c r="A4123" s="6">
        <v>44782</v>
      </c>
      <c r="B4123" t="s">
        <v>26</v>
      </c>
      <c r="C4123">
        <v>70259</v>
      </c>
      <c r="D4123" t="s">
        <v>630</v>
      </c>
      <c r="E4123" s="7">
        <v>3905.4</v>
      </c>
      <c r="F4123" t="s">
        <v>20</v>
      </c>
      <c r="G4123" t="s">
        <v>21</v>
      </c>
      <c r="H4123" t="str">
        <f>"42655"</f>
        <v>42655</v>
      </c>
      <c r="I4123" t="str">
        <f>"RG3 METER COMPANY"</f>
        <v>RG3 METER COMPANY</v>
      </c>
    </row>
    <row r="4124" spans="1:9" x14ac:dyDescent="0.25">
      <c r="A4124" s="6">
        <v>44782</v>
      </c>
      <c r="B4124" t="s">
        <v>26</v>
      </c>
      <c r="C4124">
        <v>70259</v>
      </c>
      <c r="D4124" t="s">
        <v>630</v>
      </c>
      <c r="E4124" s="7">
        <v>308</v>
      </c>
      <c r="F4124" t="s">
        <v>20</v>
      </c>
      <c r="G4124" t="s">
        <v>21</v>
      </c>
      <c r="H4124" t="str">
        <f>"42656"</f>
        <v>42656</v>
      </c>
      <c r="I4124" t="str">
        <f>"RG3 METER COMPANY"</f>
        <v>RG3 METER COMPANY</v>
      </c>
    </row>
    <row r="4125" spans="1:9" x14ac:dyDescent="0.25">
      <c r="A4125" s="6">
        <v>44782</v>
      </c>
      <c r="B4125" t="s">
        <v>26</v>
      </c>
      <c r="C4125">
        <v>70260</v>
      </c>
      <c r="D4125" t="s">
        <v>213</v>
      </c>
      <c r="E4125" s="7">
        <v>2812.48</v>
      </c>
      <c r="F4125" t="s">
        <v>20</v>
      </c>
      <c r="G4125" t="s">
        <v>21</v>
      </c>
      <c r="H4125" t="str">
        <f>"JULY 2022"</f>
        <v>JULY 2022</v>
      </c>
      <c r="I4125" t="str">
        <f>"RIVER BEND COMMUNITY DEVELOPME"</f>
        <v>RIVER BEND COMMUNITY DEVELOPME</v>
      </c>
    </row>
    <row r="4126" spans="1:9" x14ac:dyDescent="0.25">
      <c r="A4126" s="6">
        <v>44782</v>
      </c>
      <c r="B4126" t="s">
        <v>26</v>
      </c>
      <c r="C4126">
        <v>70261</v>
      </c>
      <c r="D4126" t="s">
        <v>84</v>
      </c>
      <c r="E4126" s="7">
        <v>300</v>
      </c>
      <c r="F4126" t="s">
        <v>20</v>
      </c>
      <c r="G4126" t="s">
        <v>21</v>
      </c>
      <c r="H4126" t="str">
        <f>"1960265"</f>
        <v>1960265</v>
      </c>
      <c r="I4126" t="str">
        <f>"STANTEC CONSULTING SERVICES IN"</f>
        <v>STANTEC CONSULTING SERVICES IN</v>
      </c>
    </row>
    <row r="4127" spans="1:9" x14ac:dyDescent="0.25">
      <c r="A4127" s="6">
        <v>44782</v>
      </c>
      <c r="B4127" t="s">
        <v>26</v>
      </c>
      <c r="C4127">
        <v>70261</v>
      </c>
      <c r="D4127" t="s">
        <v>84</v>
      </c>
      <c r="E4127" s="7">
        <v>300</v>
      </c>
      <c r="F4127" t="s">
        <v>20</v>
      </c>
      <c r="G4127" t="s">
        <v>21</v>
      </c>
      <c r="H4127" t="str">
        <f>"1960266"</f>
        <v>1960266</v>
      </c>
      <c r="I4127" t="str">
        <f>"STANTEC CONSULTING SERVICES IN"</f>
        <v>STANTEC CONSULTING SERVICES IN</v>
      </c>
    </row>
    <row r="4128" spans="1:9" x14ac:dyDescent="0.25">
      <c r="A4128" s="6">
        <v>44782</v>
      </c>
      <c r="B4128" t="s">
        <v>26</v>
      </c>
      <c r="C4128">
        <v>70262</v>
      </c>
      <c r="D4128" t="s">
        <v>644</v>
      </c>
      <c r="E4128" s="7">
        <v>134.54</v>
      </c>
      <c r="F4128" t="s">
        <v>20</v>
      </c>
      <c r="G4128" t="s">
        <v>21</v>
      </c>
      <c r="H4128" t="str">
        <f>"8213759798"</f>
        <v>8213759798</v>
      </c>
      <c r="I4128" t="str">
        <f t="shared" ref="I4128:I4133" si="100">"UNIFIRST CORPORATION"</f>
        <v>UNIFIRST CORPORATION</v>
      </c>
    </row>
    <row r="4129" spans="1:9" x14ac:dyDescent="0.25">
      <c r="A4129" s="6">
        <v>44782</v>
      </c>
      <c r="B4129" t="s">
        <v>26</v>
      </c>
      <c r="C4129">
        <v>70262</v>
      </c>
      <c r="D4129" t="s">
        <v>644</v>
      </c>
      <c r="E4129" s="7">
        <v>29.94</v>
      </c>
      <c r="F4129" t="s">
        <v>20</v>
      </c>
      <c r="G4129" t="s">
        <v>21</v>
      </c>
      <c r="H4129" t="str">
        <f>"8213759799"</f>
        <v>8213759799</v>
      </c>
      <c r="I4129" t="str">
        <f t="shared" si="100"/>
        <v>UNIFIRST CORPORATION</v>
      </c>
    </row>
    <row r="4130" spans="1:9" x14ac:dyDescent="0.25">
      <c r="A4130" s="6">
        <v>44782</v>
      </c>
      <c r="B4130" t="s">
        <v>26</v>
      </c>
      <c r="C4130">
        <v>70262</v>
      </c>
      <c r="D4130" t="s">
        <v>644</v>
      </c>
      <c r="E4130" s="7">
        <v>122.39</v>
      </c>
      <c r="F4130" t="s">
        <v>20</v>
      </c>
      <c r="G4130" t="s">
        <v>21</v>
      </c>
      <c r="H4130" t="str">
        <f>"8213759800"</f>
        <v>8213759800</v>
      </c>
      <c r="I4130" t="str">
        <f t="shared" si="100"/>
        <v>UNIFIRST CORPORATION</v>
      </c>
    </row>
    <row r="4131" spans="1:9" x14ac:dyDescent="0.25">
      <c r="A4131" s="6">
        <v>44782</v>
      </c>
      <c r="B4131" t="s">
        <v>26</v>
      </c>
      <c r="C4131">
        <v>70262</v>
      </c>
      <c r="D4131" t="s">
        <v>644</v>
      </c>
      <c r="E4131" s="7">
        <v>99.1</v>
      </c>
      <c r="F4131" t="s">
        <v>20</v>
      </c>
      <c r="G4131" t="s">
        <v>21</v>
      </c>
      <c r="H4131" t="str">
        <f>"8213759801"</f>
        <v>8213759801</v>
      </c>
      <c r="I4131" t="str">
        <f t="shared" si="100"/>
        <v>UNIFIRST CORPORATION</v>
      </c>
    </row>
    <row r="4132" spans="1:9" x14ac:dyDescent="0.25">
      <c r="A4132" s="6">
        <v>44782</v>
      </c>
      <c r="B4132" t="s">
        <v>26</v>
      </c>
      <c r="C4132">
        <v>70262</v>
      </c>
      <c r="D4132" t="s">
        <v>644</v>
      </c>
      <c r="E4132" s="7">
        <v>121.82</v>
      </c>
      <c r="F4132" t="s">
        <v>20</v>
      </c>
      <c r="G4132" t="s">
        <v>21</v>
      </c>
      <c r="H4132" t="str">
        <f>"8213759803"</f>
        <v>8213759803</v>
      </c>
      <c r="I4132" t="str">
        <f t="shared" si="100"/>
        <v>UNIFIRST CORPORATION</v>
      </c>
    </row>
    <row r="4133" spans="1:9" x14ac:dyDescent="0.25">
      <c r="A4133" s="6">
        <v>44782</v>
      </c>
      <c r="B4133" t="s">
        <v>26</v>
      </c>
      <c r="C4133">
        <v>70262</v>
      </c>
      <c r="D4133" t="s">
        <v>644</v>
      </c>
      <c r="E4133" s="7">
        <v>29.94</v>
      </c>
      <c r="F4133" t="s">
        <v>20</v>
      </c>
      <c r="G4133" t="s">
        <v>21</v>
      </c>
      <c r="H4133" t="str">
        <f>"8213759804"</f>
        <v>8213759804</v>
      </c>
      <c r="I4133" t="str">
        <f t="shared" si="100"/>
        <v>UNIFIRST CORPORATION</v>
      </c>
    </row>
    <row r="4134" spans="1:9" x14ac:dyDescent="0.25">
      <c r="A4134" s="6">
        <v>44782</v>
      </c>
      <c r="B4134" t="s">
        <v>26</v>
      </c>
      <c r="C4134">
        <v>70264</v>
      </c>
      <c r="D4134" t="s">
        <v>122</v>
      </c>
      <c r="E4134" s="7">
        <v>15</v>
      </c>
      <c r="F4134" t="s">
        <v>20</v>
      </c>
      <c r="G4134" t="s">
        <v>21</v>
      </c>
      <c r="H4134" t="str">
        <f>"902094"</f>
        <v>902094</v>
      </c>
      <c r="I4134" t="str">
        <f>"VILLA TIRES"</f>
        <v>VILLA TIRES</v>
      </c>
    </row>
    <row r="4135" spans="1:9" x14ac:dyDescent="0.25">
      <c r="A4135" s="6">
        <v>44782</v>
      </c>
      <c r="B4135" t="s">
        <v>26</v>
      </c>
      <c r="C4135">
        <v>70270</v>
      </c>
      <c r="D4135" t="s">
        <v>51</v>
      </c>
      <c r="E4135" s="7">
        <v>13.85</v>
      </c>
      <c r="F4135" t="s">
        <v>20</v>
      </c>
      <c r="G4135" t="s">
        <v>21</v>
      </c>
      <c r="H4135" t="str">
        <f>"CLE202208098665"</f>
        <v>CLE202208098665</v>
      </c>
      <c r="I4135" t="str">
        <f>"CLEAT ONLY DUES"</f>
        <v>CLEAT ONLY DUES</v>
      </c>
    </row>
    <row r="4136" spans="1:9" x14ac:dyDescent="0.25">
      <c r="A4136" s="6">
        <v>44782</v>
      </c>
      <c r="B4136" t="s">
        <v>26</v>
      </c>
      <c r="C4136">
        <v>70270</v>
      </c>
      <c r="D4136" t="s">
        <v>51</v>
      </c>
      <c r="E4136" s="7">
        <v>332.46</v>
      </c>
      <c r="F4136" t="s">
        <v>20</v>
      </c>
      <c r="G4136" t="s">
        <v>21</v>
      </c>
      <c r="H4136" t="str">
        <f>"PDD202208098665"</f>
        <v>PDD202208098665</v>
      </c>
      <c r="I4136" t="str">
        <f>"POLICE OFFICERS ASSOC DUES"</f>
        <v>POLICE OFFICERS ASSOC DUES</v>
      </c>
    </row>
    <row r="4137" spans="1:9" x14ac:dyDescent="0.25">
      <c r="A4137" s="6">
        <v>44782</v>
      </c>
      <c r="B4137" t="s">
        <v>26</v>
      </c>
      <c r="C4137">
        <v>70271</v>
      </c>
      <c r="D4137" t="s">
        <v>52</v>
      </c>
      <c r="E4137" s="7">
        <v>101.25</v>
      </c>
      <c r="F4137" t="s">
        <v>20</v>
      </c>
      <c r="G4137" t="s">
        <v>21</v>
      </c>
      <c r="H4137" t="str">
        <f>"CA1202208098665"</f>
        <v>CA1202208098665</v>
      </c>
      <c r="I4137" t="str">
        <f>"K RAMIREZ 001200229510060343CV"</f>
        <v>K RAMIREZ 001200229510060343CV</v>
      </c>
    </row>
    <row r="4138" spans="1:9" x14ac:dyDescent="0.25">
      <c r="A4138" s="6">
        <v>44782</v>
      </c>
      <c r="B4138" t="s">
        <v>26</v>
      </c>
      <c r="C4138">
        <v>70271</v>
      </c>
      <c r="D4138" t="s">
        <v>52</v>
      </c>
      <c r="E4138" s="7">
        <v>101.25</v>
      </c>
      <c r="F4138" t="s">
        <v>20</v>
      </c>
      <c r="G4138" t="s">
        <v>21</v>
      </c>
      <c r="H4138" t="str">
        <f>"CA2202208098665"</f>
        <v>CA2202208098665</v>
      </c>
      <c r="I4138" t="str">
        <f>"L HERNANDEZ 001016025203080354"</f>
        <v>L HERNANDEZ 001016025203080354</v>
      </c>
    </row>
    <row r="4139" spans="1:9" x14ac:dyDescent="0.25">
      <c r="A4139" s="6">
        <v>44782</v>
      </c>
      <c r="B4139" t="s">
        <v>26</v>
      </c>
      <c r="C4139">
        <v>70271</v>
      </c>
      <c r="D4139" t="s">
        <v>52</v>
      </c>
      <c r="E4139" s="7">
        <v>101.25</v>
      </c>
      <c r="F4139" t="s">
        <v>20</v>
      </c>
      <c r="G4139" t="s">
        <v>21</v>
      </c>
      <c r="H4139" t="str">
        <f>"CA3202208098665"</f>
        <v>CA3202208098665</v>
      </c>
      <c r="I4139" t="str">
        <f>"00120788612011EM5023JOLENEGARC"</f>
        <v>00120788612011EM5023JOLENEGARC</v>
      </c>
    </row>
    <row r="4140" spans="1:9" x14ac:dyDescent="0.25">
      <c r="A4140" s="6">
        <v>44782</v>
      </c>
      <c r="B4140" t="s">
        <v>26</v>
      </c>
      <c r="C4140">
        <v>70271</v>
      </c>
      <c r="D4140" t="s">
        <v>52</v>
      </c>
      <c r="E4140" s="7">
        <v>306.45999999999998</v>
      </c>
      <c r="F4140" t="s">
        <v>20</v>
      </c>
      <c r="G4140" t="s">
        <v>21</v>
      </c>
      <c r="H4140" t="str">
        <f>"CPS202208098665"</f>
        <v>CPS202208098665</v>
      </c>
      <c r="I4140" t="str">
        <f>"G MENDOZA 00123012032010EM5054"</f>
        <v>G MENDOZA 00123012032010EM5054</v>
      </c>
    </row>
    <row r="4141" spans="1:9" x14ac:dyDescent="0.25">
      <c r="A4141" s="6">
        <v>44782</v>
      </c>
      <c r="B4141" t="s">
        <v>26</v>
      </c>
      <c r="C4141">
        <v>70271</v>
      </c>
      <c r="D4141" t="s">
        <v>52</v>
      </c>
      <c r="E4141" s="7">
        <v>101.25</v>
      </c>
      <c r="F4141" t="s">
        <v>20</v>
      </c>
      <c r="G4141" t="s">
        <v>21</v>
      </c>
      <c r="H4141" t="str">
        <f>"CSA202208098665"</f>
        <v>CSA202208098665</v>
      </c>
      <c r="I4141" t="str">
        <f>"S RODRIGUEZ 001281730413050336"</f>
        <v>S RODRIGUEZ 001281730413050336</v>
      </c>
    </row>
    <row r="4142" spans="1:9" x14ac:dyDescent="0.25">
      <c r="A4142" s="6">
        <v>44782</v>
      </c>
      <c r="B4142" t="s">
        <v>26</v>
      </c>
      <c r="C4142">
        <v>70271</v>
      </c>
      <c r="D4142" t="s">
        <v>52</v>
      </c>
      <c r="E4142" s="7">
        <v>521.54</v>
      </c>
      <c r="F4142" t="s">
        <v>20</v>
      </c>
      <c r="G4142" t="s">
        <v>21</v>
      </c>
      <c r="H4142" t="str">
        <f>"CSI202208098665"</f>
        <v>CSI202208098665</v>
      </c>
      <c r="I4142" t="str">
        <f>"KTRINIDAD0014071774CVW2000777"</f>
        <v>KTRINIDAD0014071774CVW2000777</v>
      </c>
    </row>
    <row r="4143" spans="1:9" x14ac:dyDescent="0.25">
      <c r="A4143" s="6">
        <v>44782</v>
      </c>
      <c r="B4143" t="s">
        <v>26</v>
      </c>
      <c r="C4143">
        <v>70273</v>
      </c>
      <c r="D4143" t="s">
        <v>54</v>
      </c>
      <c r="E4143" s="7">
        <v>803.43</v>
      </c>
      <c r="F4143" t="s">
        <v>20</v>
      </c>
      <c r="G4143" t="s">
        <v>21</v>
      </c>
      <c r="H4143" t="str">
        <f>"BRE202208098665"</f>
        <v>BRE202208098665</v>
      </c>
      <c r="I4143" t="str">
        <f>"CASE #180-60751 457B DEDUCT"</f>
        <v>CASE #180-60751 457B DEDUCT</v>
      </c>
    </row>
    <row r="4144" spans="1:9" x14ac:dyDescent="0.25">
      <c r="A4144" s="6">
        <v>44782</v>
      </c>
      <c r="B4144" t="s">
        <v>26</v>
      </c>
      <c r="C4144">
        <v>70274</v>
      </c>
      <c r="D4144" t="s">
        <v>36</v>
      </c>
      <c r="E4144" s="7">
        <v>75</v>
      </c>
      <c r="F4144" t="s">
        <v>20</v>
      </c>
      <c r="G4144" t="s">
        <v>21</v>
      </c>
      <c r="H4144" t="str">
        <f t="shared" ref="H4144:H4149" si="101">"08/2022-MONTHLY"</f>
        <v>08/2022-MONTHLY</v>
      </c>
      <c r="I4144" t="str">
        <f>""</f>
        <v/>
      </c>
    </row>
    <row r="4145" spans="1:9" x14ac:dyDescent="0.25">
      <c r="A4145" s="6">
        <v>44782</v>
      </c>
      <c r="B4145" t="s">
        <v>26</v>
      </c>
      <c r="C4145">
        <v>70275</v>
      </c>
      <c r="D4145" t="s">
        <v>38</v>
      </c>
      <c r="E4145" s="7">
        <v>100</v>
      </c>
      <c r="F4145" t="s">
        <v>20</v>
      </c>
      <c r="G4145" t="s">
        <v>21</v>
      </c>
      <c r="H4145" t="str">
        <f t="shared" si="101"/>
        <v>08/2022-MONTHLY</v>
      </c>
      <c r="I4145" t="str">
        <f>""</f>
        <v/>
      </c>
    </row>
    <row r="4146" spans="1:9" x14ac:dyDescent="0.25">
      <c r="A4146" s="6">
        <v>44782</v>
      </c>
      <c r="B4146" t="s">
        <v>26</v>
      </c>
      <c r="C4146">
        <v>70276</v>
      </c>
      <c r="D4146" t="s">
        <v>558</v>
      </c>
      <c r="E4146" s="7">
        <v>75</v>
      </c>
      <c r="F4146" t="s">
        <v>20</v>
      </c>
      <c r="G4146" t="s">
        <v>21</v>
      </c>
      <c r="H4146" t="str">
        <f t="shared" si="101"/>
        <v>08/2022-MONTHLY</v>
      </c>
      <c r="I4146" t="str">
        <f>""</f>
        <v/>
      </c>
    </row>
    <row r="4147" spans="1:9" x14ac:dyDescent="0.25">
      <c r="A4147" s="6">
        <v>44782</v>
      </c>
      <c r="B4147" t="s">
        <v>26</v>
      </c>
      <c r="C4147">
        <v>70277</v>
      </c>
      <c r="D4147" t="s">
        <v>889</v>
      </c>
      <c r="E4147" s="7">
        <v>75</v>
      </c>
      <c r="F4147" t="s">
        <v>20</v>
      </c>
      <c r="G4147" t="s">
        <v>21</v>
      </c>
      <c r="H4147" t="str">
        <f t="shared" si="101"/>
        <v>08/2022-MONTHLY</v>
      </c>
      <c r="I4147" t="str">
        <f>""</f>
        <v/>
      </c>
    </row>
    <row r="4148" spans="1:9" x14ac:dyDescent="0.25">
      <c r="A4148" s="6">
        <v>44782</v>
      </c>
      <c r="B4148" t="s">
        <v>26</v>
      </c>
      <c r="C4148">
        <v>70278</v>
      </c>
      <c r="D4148" t="s">
        <v>1011</v>
      </c>
      <c r="E4148" s="7">
        <v>75</v>
      </c>
      <c r="F4148" t="s">
        <v>20</v>
      </c>
      <c r="G4148" t="s">
        <v>21</v>
      </c>
      <c r="H4148" t="str">
        <f t="shared" si="101"/>
        <v>08/2022-MONTHLY</v>
      </c>
      <c r="I4148" t="str">
        <f>""</f>
        <v/>
      </c>
    </row>
    <row r="4149" spans="1:9" x14ac:dyDescent="0.25">
      <c r="A4149" s="6">
        <v>44782</v>
      </c>
      <c r="B4149" t="s">
        <v>26</v>
      </c>
      <c r="C4149">
        <v>70279</v>
      </c>
      <c r="D4149" t="s">
        <v>1217</v>
      </c>
      <c r="E4149" s="7">
        <v>75</v>
      </c>
      <c r="F4149" t="s">
        <v>20</v>
      </c>
      <c r="G4149" t="s">
        <v>21</v>
      </c>
      <c r="H4149" t="str">
        <f t="shared" si="101"/>
        <v>08/2022-MONTHLY</v>
      </c>
      <c r="I4149" t="str">
        <f>""</f>
        <v/>
      </c>
    </row>
    <row r="4150" spans="1:9" x14ac:dyDescent="0.25">
      <c r="A4150" s="6">
        <v>44784</v>
      </c>
      <c r="B4150" t="s">
        <v>26</v>
      </c>
      <c r="C4150">
        <v>70280</v>
      </c>
      <c r="D4150" t="s">
        <v>92</v>
      </c>
      <c r="E4150" s="7">
        <v>-244.38</v>
      </c>
      <c r="F4150" t="s">
        <v>20</v>
      </c>
      <c r="G4150" t="s">
        <v>24</v>
      </c>
      <c r="H4150" t="str">
        <f>"RET202207138663"</f>
        <v>RET202207138663</v>
      </c>
      <c r="I4150" t="str">
        <f>"TMRS CITY OF FLORESVILLE"</f>
        <v>TMRS CITY OF FLORESVILLE</v>
      </c>
    </row>
    <row r="4151" spans="1:9" x14ac:dyDescent="0.25">
      <c r="A4151" s="6">
        <v>44784</v>
      </c>
      <c r="B4151" t="s">
        <v>26</v>
      </c>
      <c r="C4151">
        <v>70280</v>
      </c>
      <c r="D4151" t="s">
        <v>92</v>
      </c>
      <c r="E4151" s="7">
        <v>18506.330000000002</v>
      </c>
      <c r="F4151" t="s">
        <v>20</v>
      </c>
      <c r="G4151" t="s">
        <v>21</v>
      </c>
      <c r="H4151" t="str">
        <f>"RET202206288661"</f>
        <v>RET202206288661</v>
      </c>
      <c r="I4151" t="str">
        <f>"TMRS CITY OF FLORESVILLE"</f>
        <v>TMRS CITY OF FLORESVILLE</v>
      </c>
    </row>
    <row r="4152" spans="1:9" x14ac:dyDescent="0.25">
      <c r="A4152" s="6">
        <v>44784</v>
      </c>
      <c r="B4152" t="s">
        <v>26</v>
      </c>
      <c r="C4152">
        <v>70280</v>
      </c>
      <c r="D4152" t="s">
        <v>92</v>
      </c>
      <c r="E4152" s="7">
        <v>18674.73</v>
      </c>
      <c r="F4152" t="s">
        <v>20</v>
      </c>
      <c r="G4152" t="s">
        <v>21</v>
      </c>
      <c r="H4152" t="str">
        <f>"RET202207128662"</f>
        <v>RET202207128662</v>
      </c>
      <c r="I4152" t="str">
        <f>"TMRS CITY OF FLORESVILLE"</f>
        <v>TMRS CITY OF FLORESVILLE</v>
      </c>
    </row>
    <row r="4153" spans="1:9" x14ac:dyDescent="0.25">
      <c r="A4153" s="6">
        <v>44784</v>
      </c>
      <c r="B4153" t="s">
        <v>26</v>
      </c>
      <c r="C4153">
        <v>70280</v>
      </c>
      <c r="D4153" t="s">
        <v>92</v>
      </c>
      <c r="E4153" s="7">
        <v>17765.080000000002</v>
      </c>
      <c r="F4153" t="s">
        <v>20</v>
      </c>
      <c r="G4153" t="s">
        <v>21</v>
      </c>
      <c r="H4153" t="str">
        <f>"RET202207268664"</f>
        <v>RET202207268664</v>
      </c>
      <c r="I4153" t="str">
        <f>"TMRS CITY OF FLORESVILLE"</f>
        <v>TMRS CITY OF FLORESVILLE</v>
      </c>
    </row>
    <row r="4154" spans="1:9" x14ac:dyDescent="0.25">
      <c r="A4154" s="6">
        <v>44790</v>
      </c>
      <c r="B4154" t="s">
        <v>26</v>
      </c>
      <c r="C4154">
        <v>70286</v>
      </c>
      <c r="D4154" t="s">
        <v>179</v>
      </c>
      <c r="E4154" s="7">
        <v>44.16</v>
      </c>
      <c r="F4154" t="s">
        <v>20</v>
      </c>
      <c r="G4154" t="s">
        <v>21</v>
      </c>
      <c r="H4154" t="str">
        <f>"67254"</f>
        <v>67254</v>
      </c>
      <c r="I4154" t="str">
        <f>"PARKS TRUCK LAMP ASY"</f>
        <v>PARKS TRUCK LAMP ASY</v>
      </c>
    </row>
    <row r="4155" spans="1:9" x14ac:dyDescent="0.25">
      <c r="A4155" s="6">
        <v>44790</v>
      </c>
      <c r="B4155" t="s">
        <v>26</v>
      </c>
      <c r="C4155">
        <v>70287</v>
      </c>
      <c r="D4155" t="s">
        <v>195</v>
      </c>
      <c r="E4155" s="7">
        <v>2010.23</v>
      </c>
      <c r="F4155" t="s">
        <v>20</v>
      </c>
      <c r="G4155" t="s">
        <v>21</v>
      </c>
      <c r="H4155" t="str">
        <f>"INV-AIS-0005823"</f>
        <v>INV-AIS-0005823</v>
      </c>
      <c r="I4155" t="str">
        <f>"ARISTA INFORMATION SYSTEMS  IN"</f>
        <v>ARISTA INFORMATION SYSTEMS  IN</v>
      </c>
    </row>
    <row r="4156" spans="1:9" x14ac:dyDescent="0.25">
      <c r="A4156" s="6">
        <v>44790</v>
      </c>
      <c r="B4156" t="s">
        <v>26</v>
      </c>
      <c r="C4156">
        <v>70288</v>
      </c>
      <c r="D4156" t="s">
        <v>115</v>
      </c>
      <c r="E4156" s="7">
        <v>20.94</v>
      </c>
      <c r="F4156" t="s">
        <v>20</v>
      </c>
      <c r="G4156" t="s">
        <v>21</v>
      </c>
      <c r="H4156" t="str">
        <f>"3547320136"</f>
        <v>3547320136</v>
      </c>
      <c r="I4156" t="str">
        <f>"SHOP/STREET SUPPLIES"</f>
        <v>SHOP/STREET SUPPLIES</v>
      </c>
    </row>
    <row r="4157" spans="1:9" x14ac:dyDescent="0.25">
      <c r="A4157" s="6">
        <v>44790</v>
      </c>
      <c r="B4157" t="s">
        <v>26</v>
      </c>
      <c r="C4157">
        <v>70288</v>
      </c>
      <c r="D4157" t="s">
        <v>115</v>
      </c>
      <c r="E4157" s="7">
        <v>15.07</v>
      </c>
      <c r="F4157" t="s">
        <v>20</v>
      </c>
      <c r="G4157" t="s">
        <v>21</v>
      </c>
      <c r="H4157" t="str">
        <f>"3547320920"</f>
        <v>3547320920</v>
      </c>
      <c r="I4157" t="str">
        <f>"OIL FOR WATER TRUCK"</f>
        <v>OIL FOR WATER TRUCK</v>
      </c>
    </row>
    <row r="4158" spans="1:9" x14ac:dyDescent="0.25">
      <c r="A4158" s="6">
        <v>44790</v>
      </c>
      <c r="B4158" t="s">
        <v>26</v>
      </c>
      <c r="C4158">
        <v>70288</v>
      </c>
      <c r="D4158" t="s">
        <v>115</v>
      </c>
      <c r="E4158" s="7">
        <v>19.09</v>
      </c>
      <c r="F4158" t="s">
        <v>20</v>
      </c>
      <c r="G4158" t="s">
        <v>21</v>
      </c>
      <c r="H4158" t="str">
        <f>"3547321207"</f>
        <v>3547321207</v>
      </c>
      <c r="I4158" t="str">
        <f>"SHOP/STREET SUPPLIES"</f>
        <v>SHOP/STREET SUPPLIES</v>
      </c>
    </row>
    <row r="4159" spans="1:9" x14ac:dyDescent="0.25">
      <c r="A4159" s="6">
        <v>44790</v>
      </c>
      <c r="B4159" t="s">
        <v>26</v>
      </c>
      <c r="C4159">
        <v>70289</v>
      </c>
      <c r="D4159" t="s">
        <v>118</v>
      </c>
      <c r="E4159" s="7">
        <v>5550</v>
      </c>
      <c r="F4159" t="s">
        <v>20</v>
      </c>
      <c r="G4159" t="s">
        <v>21</v>
      </c>
      <c r="H4159" t="str">
        <f>"13061"</f>
        <v>13061</v>
      </c>
      <c r="I4159" t="str">
        <f>"NEW A/C FOR PD DEPT"</f>
        <v>NEW A/C FOR PD DEPT</v>
      </c>
    </row>
    <row r="4160" spans="1:9" x14ac:dyDescent="0.25">
      <c r="A4160" s="6">
        <v>44790</v>
      </c>
      <c r="B4160" t="s">
        <v>26</v>
      </c>
      <c r="C4160">
        <v>70290</v>
      </c>
      <c r="D4160" t="s">
        <v>102</v>
      </c>
      <c r="E4160" s="7">
        <v>43.43</v>
      </c>
      <c r="F4160" t="s">
        <v>20</v>
      </c>
      <c r="G4160" t="s">
        <v>21</v>
      </c>
      <c r="H4160" t="str">
        <f>"1120 D ST AUG.2022"</f>
        <v>1120 D ST AUG.2022</v>
      </c>
      <c r="I4160" t="str">
        <f>"CENTERPOINT ENERGY ENTEX"</f>
        <v>CENTERPOINT ENERGY ENTEX</v>
      </c>
    </row>
    <row r="4161" spans="1:9" x14ac:dyDescent="0.25">
      <c r="A4161" s="6">
        <v>44790</v>
      </c>
      <c r="B4161" t="s">
        <v>26</v>
      </c>
      <c r="C4161">
        <v>70290</v>
      </c>
      <c r="D4161" t="s">
        <v>102</v>
      </c>
      <c r="E4161" s="7">
        <v>46.22</v>
      </c>
      <c r="F4161" t="s">
        <v>20</v>
      </c>
      <c r="G4161" t="s">
        <v>21</v>
      </c>
      <c r="H4161" t="str">
        <f>"1200 1ST AUG.2022"</f>
        <v>1200 1ST AUG.2022</v>
      </c>
      <c r="I4161" t="str">
        <f>"CENTERPOINT ENERGY ENTEX"</f>
        <v>CENTERPOINT ENERGY ENTEX</v>
      </c>
    </row>
    <row r="4162" spans="1:9" x14ac:dyDescent="0.25">
      <c r="A4162" s="6">
        <v>44790</v>
      </c>
      <c r="B4162" t="s">
        <v>26</v>
      </c>
      <c r="C4162">
        <v>70290</v>
      </c>
      <c r="D4162" t="s">
        <v>102</v>
      </c>
      <c r="E4162" s="7">
        <v>47.01</v>
      </c>
      <c r="F4162" t="s">
        <v>20</v>
      </c>
      <c r="G4162" t="s">
        <v>21</v>
      </c>
      <c r="H4162" t="str">
        <f>"920 C ST AUG.2022"</f>
        <v>920 C ST AUG.2022</v>
      </c>
      <c r="I4162" t="str">
        <f>"CENTERPOINT ENERGY ENTEX"</f>
        <v>CENTERPOINT ENERGY ENTEX</v>
      </c>
    </row>
    <row r="4163" spans="1:9" x14ac:dyDescent="0.25">
      <c r="A4163" s="6">
        <v>44790</v>
      </c>
      <c r="B4163" t="s">
        <v>26</v>
      </c>
      <c r="C4163">
        <v>70291</v>
      </c>
      <c r="D4163" t="s">
        <v>63</v>
      </c>
      <c r="E4163" s="7">
        <v>579.25</v>
      </c>
      <c r="F4163" t="s">
        <v>20</v>
      </c>
      <c r="G4163" t="s">
        <v>21</v>
      </c>
      <c r="H4163" t="str">
        <f>"8405799972"</f>
        <v>8405799972</v>
      </c>
      <c r="I4163" t="str">
        <f>"CINTAS CORPORATION"</f>
        <v>CINTAS CORPORATION</v>
      </c>
    </row>
    <row r="4164" spans="1:9" x14ac:dyDescent="0.25">
      <c r="A4164" s="6">
        <v>44790</v>
      </c>
      <c r="B4164" t="s">
        <v>26</v>
      </c>
      <c r="C4164">
        <v>70292</v>
      </c>
      <c r="D4164" t="s">
        <v>71</v>
      </c>
      <c r="E4164" s="7">
        <v>90.43</v>
      </c>
      <c r="F4164" t="s">
        <v>20</v>
      </c>
      <c r="G4164" t="s">
        <v>21</v>
      </c>
      <c r="H4164" t="str">
        <f>"4127649367"</f>
        <v>4127649367</v>
      </c>
      <c r="I4164" t="str">
        <f t="shared" ref="I4164:I4172" si="102">"CINTAS CORPORATION #087"</f>
        <v>CINTAS CORPORATION #087</v>
      </c>
    </row>
    <row r="4165" spans="1:9" x14ac:dyDescent="0.25">
      <c r="A4165" s="6">
        <v>44790</v>
      </c>
      <c r="B4165" t="s">
        <v>26</v>
      </c>
      <c r="C4165">
        <v>70292</v>
      </c>
      <c r="D4165" t="s">
        <v>71</v>
      </c>
      <c r="E4165" s="7">
        <v>118.8</v>
      </c>
      <c r="F4165" t="s">
        <v>20</v>
      </c>
      <c r="G4165" t="s">
        <v>21</v>
      </c>
      <c r="H4165" t="str">
        <f>"4127649400"</f>
        <v>4127649400</v>
      </c>
      <c r="I4165" t="str">
        <f t="shared" si="102"/>
        <v>CINTAS CORPORATION #087</v>
      </c>
    </row>
    <row r="4166" spans="1:9" x14ac:dyDescent="0.25">
      <c r="A4166" s="6">
        <v>44790</v>
      </c>
      <c r="B4166" t="s">
        <v>26</v>
      </c>
      <c r="C4166">
        <v>70292</v>
      </c>
      <c r="D4166" t="s">
        <v>71</v>
      </c>
      <c r="E4166" s="7">
        <v>31.89</v>
      </c>
      <c r="F4166" t="s">
        <v>20</v>
      </c>
      <c r="G4166" t="s">
        <v>21</v>
      </c>
      <c r="H4166" t="str">
        <f>"4127649455"</f>
        <v>4127649455</v>
      </c>
      <c r="I4166" t="str">
        <f t="shared" si="102"/>
        <v>CINTAS CORPORATION #087</v>
      </c>
    </row>
    <row r="4167" spans="1:9" x14ac:dyDescent="0.25">
      <c r="A4167" s="6">
        <v>44790</v>
      </c>
      <c r="B4167" t="s">
        <v>26</v>
      </c>
      <c r="C4167">
        <v>70292</v>
      </c>
      <c r="D4167" t="s">
        <v>71</v>
      </c>
      <c r="E4167" s="7">
        <v>442.92</v>
      </c>
      <c r="F4167" t="s">
        <v>20</v>
      </c>
      <c r="G4167" t="s">
        <v>21</v>
      </c>
      <c r="H4167" t="str">
        <f>"4127649459"</f>
        <v>4127649459</v>
      </c>
      <c r="I4167" t="str">
        <f t="shared" si="102"/>
        <v>CINTAS CORPORATION #087</v>
      </c>
    </row>
    <row r="4168" spans="1:9" x14ac:dyDescent="0.25">
      <c r="A4168" s="6">
        <v>44790</v>
      </c>
      <c r="B4168" t="s">
        <v>26</v>
      </c>
      <c r="C4168">
        <v>70292</v>
      </c>
      <c r="D4168" t="s">
        <v>71</v>
      </c>
      <c r="E4168" s="7">
        <v>164.22</v>
      </c>
      <c r="F4168" t="s">
        <v>20</v>
      </c>
      <c r="G4168" t="s">
        <v>21</v>
      </c>
      <c r="H4168" t="str">
        <f>"4127649485"</f>
        <v>4127649485</v>
      </c>
      <c r="I4168" t="str">
        <f t="shared" si="102"/>
        <v>CINTAS CORPORATION #087</v>
      </c>
    </row>
    <row r="4169" spans="1:9" x14ac:dyDescent="0.25">
      <c r="A4169" s="6">
        <v>44790</v>
      </c>
      <c r="B4169" t="s">
        <v>26</v>
      </c>
      <c r="C4169">
        <v>70292</v>
      </c>
      <c r="D4169" t="s">
        <v>71</v>
      </c>
      <c r="E4169" s="7">
        <v>80.52</v>
      </c>
      <c r="F4169" t="s">
        <v>20</v>
      </c>
      <c r="G4169" t="s">
        <v>21</v>
      </c>
      <c r="H4169" t="str">
        <f>"4127649527"</f>
        <v>4127649527</v>
      </c>
      <c r="I4169" t="str">
        <f t="shared" si="102"/>
        <v>CINTAS CORPORATION #087</v>
      </c>
    </row>
    <row r="4170" spans="1:9" x14ac:dyDescent="0.25">
      <c r="A4170" s="6">
        <v>44790</v>
      </c>
      <c r="B4170" t="s">
        <v>26</v>
      </c>
      <c r="C4170">
        <v>70292</v>
      </c>
      <c r="D4170" t="s">
        <v>71</v>
      </c>
      <c r="E4170" s="7">
        <v>151.76</v>
      </c>
      <c r="F4170" t="s">
        <v>20</v>
      </c>
      <c r="G4170" t="s">
        <v>21</v>
      </c>
      <c r="H4170" t="str">
        <f>"4127667950"</f>
        <v>4127667950</v>
      </c>
      <c r="I4170" t="str">
        <f t="shared" si="102"/>
        <v>CINTAS CORPORATION #087</v>
      </c>
    </row>
    <row r="4171" spans="1:9" x14ac:dyDescent="0.25">
      <c r="A4171" s="6">
        <v>44790</v>
      </c>
      <c r="B4171" t="s">
        <v>26</v>
      </c>
      <c r="C4171">
        <v>70292</v>
      </c>
      <c r="D4171" t="s">
        <v>71</v>
      </c>
      <c r="E4171" s="7">
        <v>88.06</v>
      </c>
      <c r="F4171" t="s">
        <v>20</v>
      </c>
      <c r="G4171" t="s">
        <v>21</v>
      </c>
      <c r="H4171" t="str">
        <f>"4127667987"</f>
        <v>4127667987</v>
      </c>
      <c r="I4171" t="str">
        <f t="shared" si="102"/>
        <v>CINTAS CORPORATION #087</v>
      </c>
    </row>
    <row r="4172" spans="1:9" x14ac:dyDescent="0.25">
      <c r="A4172" s="6">
        <v>44790</v>
      </c>
      <c r="B4172" t="s">
        <v>26</v>
      </c>
      <c r="C4172">
        <v>70292</v>
      </c>
      <c r="D4172" t="s">
        <v>71</v>
      </c>
      <c r="E4172" s="7">
        <v>244.86</v>
      </c>
      <c r="F4172" t="s">
        <v>20</v>
      </c>
      <c r="G4172" t="s">
        <v>21</v>
      </c>
      <c r="H4172" t="str">
        <f>"4127667997"</f>
        <v>4127667997</v>
      </c>
      <c r="I4172" t="str">
        <f t="shared" si="102"/>
        <v>CINTAS CORPORATION #087</v>
      </c>
    </row>
    <row r="4173" spans="1:9" x14ac:dyDescent="0.25">
      <c r="A4173" s="6">
        <v>44790</v>
      </c>
      <c r="B4173" t="s">
        <v>26</v>
      </c>
      <c r="C4173">
        <v>70294</v>
      </c>
      <c r="D4173" t="s">
        <v>81</v>
      </c>
      <c r="E4173" s="7">
        <v>109.3</v>
      </c>
      <c r="F4173" t="s">
        <v>20</v>
      </c>
      <c r="G4173" t="s">
        <v>21</v>
      </c>
      <c r="H4173" t="str">
        <f>"R.VELIZ 8/16/2022"</f>
        <v>R.VELIZ 8/16/2022</v>
      </c>
      <c r="I4173" t="str">
        <f>"CITY OF FLORESVILLE -PETTY CAS"</f>
        <v>CITY OF FLORESVILLE -PETTY CAS</v>
      </c>
    </row>
    <row r="4174" spans="1:9" x14ac:dyDescent="0.25">
      <c r="A4174" s="6">
        <v>44790</v>
      </c>
      <c r="B4174" t="s">
        <v>26</v>
      </c>
      <c r="C4174">
        <v>70295</v>
      </c>
      <c r="D4174" t="s">
        <v>1104</v>
      </c>
      <c r="E4174" s="7">
        <v>196</v>
      </c>
      <c r="F4174" t="s">
        <v>20</v>
      </c>
      <c r="G4174" t="s">
        <v>21</v>
      </c>
      <c r="H4174" t="str">
        <f>"920 C ST AUG.2022"</f>
        <v>920 C ST AUG.2022</v>
      </c>
      <c r="I4174" t="str">
        <f>"CONNALLY MEMORIAL MEDICAL CENT"</f>
        <v>CONNALLY MEMORIAL MEDICAL CENT</v>
      </c>
    </row>
    <row r="4175" spans="1:9" x14ac:dyDescent="0.25">
      <c r="A4175" s="6">
        <v>44790</v>
      </c>
      <c r="B4175" t="s">
        <v>26</v>
      </c>
      <c r="C4175">
        <v>70296</v>
      </c>
      <c r="D4175" t="s">
        <v>1256</v>
      </c>
      <c r="E4175" s="7">
        <v>70.599999999999994</v>
      </c>
      <c r="F4175" t="s">
        <v>20</v>
      </c>
      <c r="G4175" t="s">
        <v>21</v>
      </c>
      <c r="H4175" t="str">
        <f>"8/13/2022"</f>
        <v>8/13/2022</v>
      </c>
      <c r="I4175" t="str">
        <f>"DORA B CANTU"</f>
        <v>DORA B CANTU</v>
      </c>
    </row>
    <row r="4176" spans="1:9" x14ac:dyDescent="0.25">
      <c r="A4176" s="6">
        <v>44790</v>
      </c>
      <c r="B4176" t="s">
        <v>26</v>
      </c>
      <c r="C4176">
        <v>70297</v>
      </c>
      <c r="D4176" t="s">
        <v>77</v>
      </c>
      <c r="E4176" s="7">
        <v>30</v>
      </c>
      <c r="F4176" t="s">
        <v>20</v>
      </c>
      <c r="G4176" t="s">
        <v>21</v>
      </c>
      <c r="H4176" t="str">
        <f>"DE85001481-22"</f>
        <v>DE85001481-22</v>
      </c>
      <c r="I4176" t="str">
        <f>"DPC INDUSTRIES  INC."</f>
        <v>DPC INDUSTRIES  INC.</v>
      </c>
    </row>
    <row r="4177" spans="1:9" x14ac:dyDescent="0.25">
      <c r="A4177" s="6">
        <v>44790</v>
      </c>
      <c r="B4177" t="s">
        <v>26</v>
      </c>
      <c r="C4177">
        <v>70297</v>
      </c>
      <c r="D4177" t="s">
        <v>77</v>
      </c>
      <c r="E4177" s="7">
        <v>200</v>
      </c>
      <c r="F4177" t="s">
        <v>20</v>
      </c>
      <c r="G4177" t="s">
        <v>21</v>
      </c>
      <c r="H4177" t="str">
        <f>"DE85001667-22"</f>
        <v>DE85001667-22</v>
      </c>
      <c r="I4177" t="str">
        <f>"DPC INDUSTRIES  INC."</f>
        <v>DPC INDUSTRIES  INC.</v>
      </c>
    </row>
    <row r="4178" spans="1:9" x14ac:dyDescent="0.25">
      <c r="A4178" s="6">
        <v>44790</v>
      </c>
      <c r="B4178" t="s">
        <v>26</v>
      </c>
      <c r="C4178">
        <v>70298</v>
      </c>
      <c r="D4178" t="s">
        <v>79</v>
      </c>
      <c r="E4178" s="7">
        <v>75.989999999999995</v>
      </c>
      <c r="F4178" t="s">
        <v>20</v>
      </c>
      <c r="G4178" t="s">
        <v>21</v>
      </c>
      <c r="H4178" t="str">
        <f>"7-840-86498"</f>
        <v>7-840-86498</v>
      </c>
      <c r="I4178" t="str">
        <f>"FEDEX"</f>
        <v>FEDEX</v>
      </c>
    </row>
    <row r="4179" spans="1:9" x14ac:dyDescent="0.25">
      <c r="A4179" s="6">
        <v>44790</v>
      </c>
      <c r="B4179" t="s">
        <v>26</v>
      </c>
      <c r="C4179">
        <v>70299</v>
      </c>
      <c r="D4179" t="s">
        <v>1255</v>
      </c>
      <c r="E4179" s="7">
        <v>70.599999999999994</v>
      </c>
      <c r="F4179" t="s">
        <v>20</v>
      </c>
      <c r="G4179" t="s">
        <v>21</v>
      </c>
      <c r="H4179" t="str">
        <f>"8/13/2022"</f>
        <v>8/13/2022</v>
      </c>
      <c r="I4179" t="str">
        <f>"FELIX S CANTU"</f>
        <v>FELIX S CANTU</v>
      </c>
    </row>
    <row r="4180" spans="1:9" x14ac:dyDescent="0.25">
      <c r="A4180" s="6">
        <v>44790</v>
      </c>
      <c r="B4180" t="s">
        <v>26</v>
      </c>
      <c r="C4180">
        <v>70300</v>
      </c>
      <c r="D4180" t="s">
        <v>85</v>
      </c>
      <c r="E4180" s="7">
        <v>84.75</v>
      </c>
      <c r="F4180" t="s">
        <v>20</v>
      </c>
      <c r="G4180" t="s">
        <v>21</v>
      </c>
      <c r="H4180" t="str">
        <f>"39305749 AUG.2022"</f>
        <v>39305749 AUG.2022</v>
      </c>
      <c r="I4180" t="str">
        <f>"FRONTIER"</f>
        <v>FRONTIER</v>
      </c>
    </row>
    <row r="4181" spans="1:9" x14ac:dyDescent="0.25">
      <c r="A4181" s="6">
        <v>44790</v>
      </c>
      <c r="B4181" t="s">
        <v>26</v>
      </c>
      <c r="C4181">
        <v>70300</v>
      </c>
      <c r="D4181" t="s">
        <v>85</v>
      </c>
      <c r="E4181" s="7">
        <v>64.040000000000006</v>
      </c>
      <c r="F4181" t="s">
        <v>20</v>
      </c>
      <c r="G4181" t="s">
        <v>21</v>
      </c>
      <c r="H4181" t="str">
        <f>"3939791 AUG.2022"</f>
        <v>3939791 AUG.2022</v>
      </c>
      <c r="I4181" t="str">
        <f>"FRONTIER"</f>
        <v>FRONTIER</v>
      </c>
    </row>
    <row r="4182" spans="1:9" x14ac:dyDescent="0.25">
      <c r="A4182" s="6">
        <v>44790</v>
      </c>
      <c r="B4182" t="s">
        <v>26</v>
      </c>
      <c r="C4182">
        <v>70301</v>
      </c>
      <c r="D4182" t="s">
        <v>194</v>
      </c>
      <c r="E4182" s="7">
        <v>102</v>
      </c>
      <c r="F4182" t="s">
        <v>20</v>
      </c>
      <c r="G4182" t="s">
        <v>21</v>
      </c>
      <c r="H4182" t="str">
        <f>"5287421"</f>
        <v>5287421</v>
      </c>
      <c r="I4182" t="str">
        <f>"GALLS  LLC-D.B.A. STERLING'S U"</f>
        <v>GALLS  LLC-D.B.A. STERLING'S U</v>
      </c>
    </row>
    <row r="4183" spans="1:9" x14ac:dyDescent="0.25">
      <c r="A4183" s="6">
        <v>44790</v>
      </c>
      <c r="B4183" t="s">
        <v>26</v>
      </c>
      <c r="C4183">
        <v>70302</v>
      </c>
      <c r="D4183" t="s">
        <v>125</v>
      </c>
      <c r="E4183" s="7">
        <v>360</v>
      </c>
      <c r="F4183" t="s">
        <v>20</v>
      </c>
      <c r="G4183" t="s">
        <v>21</v>
      </c>
      <c r="H4183" t="str">
        <f>"21-1050 JULY 2022"</f>
        <v>21-1050 JULY 2022</v>
      </c>
      <c r="I4183" t="str">
        <f>"INTREPID SURVEYING CORPORATION"</f>
        <v>INTREPID SURVEYING CORPORATION</v>
      </c>
    </row>
    <row r="4184" spans="1:9" x14ac:dyDescent="0.25">
      <c r="A4184" s="6">
        <v>44790</v>
      </c>
      <c r="B4184" t="s">
        <v>26</v>
      </c>
      <c r="C4184">
        <v>70303</v>
      </c>
      <c r="D4184" t="s">
        <v>454</v>
      </c>
      <c r="E4184" s="7">
        <v>70.599999999999994</v>
      </c>
      <c r="F4184" t="s">
        <v>20</v>
      </c>
      <c r="G4184" t="s">
        <v>21</v>
      </c>
      <c r="H4184" t="str">
        <f>"8/13/2022"</f>
        <v>8/13/2022</v>
      </c>
      <c r="I4184" t="str">
        <f>"IRIS VANESSA BARRERA"</f>
        <v>IRIS VANESSA BARRERA</v>
      </c>
    </row>
    <row r="4185" spans="1:9" x14ac:dyDescent="0.25">
      <c r="A4185" s="6">
        <v>44790</v>
      </c>
      <c r="B4185" t="s">
        <v>26</v>
      </c>
      <c r="C4185">
        <v>70304</v>
      </c>
      <c r="D4185" t="s">
        <v>258</v>
      </c>
      <c r="E4185" s="7">
        <v>125</v>
      </c>
      <c r="F4185" t="s">
        <v>20</v>
      </c>
      <c r="G4185" t="s">
        <v>21</v>
      </c>
      <c r="H4185" t="str">
        <f>"159118"</f>
        <v>159118</v>
      </c>
      <c r="I4185" t="str">
        <f>"HOSE FOR JOHN DEERE"</f>
        <v>HOSE FOR JOHN DEERE</v>
      </c>
    </row>
    <row r="4186" spans="1:9" x14ac:dyDescent="0.25">
      <c r="A4186" s="6">
        <v>44790</v>
      </c>
      <c r="B4186" t="s">
        <v>26</v>
      </c>
      <c r="C4186">
        <v>70305</v>
      </c>
      <c r="D4186" t="s">
        <v>328</v>
      </c>
      <c r="E4186" s="7">
        <v>1250</v>
      </c>
      <c r="F4186" t="s">
        <v>20</v>
      </c>
      <c r="G4186" t="s">
        <v>21</v>
      </c>
      <c r="H4186" t="str">
        <f>"7022259"</f>
        <v>7022259</v>
      </c>
      <c r="I4186" t="str">
        <f>"KOLOGIK"</f>
        <v>KOLOGIK</v>
      </c>
    </row>
    <row r="4187" spans="1:9" x14ac:dyDescent="0.25">
      <c r="A4187" s="6">
        <v>44790</v>
      </c>
      <c r="B4187" t="s">
        <v>26</v>
      </c>
      <c r="C4187">
        <v>70305</v>
      </c>
      <c r="D4187" t="s">
        <v>328</v>
      </c>
      <c r="E4187" s="7">
        <v>1200</v>
      </c>
      <c r="F4187" t="s">
        <v>20</v>
      </c>
      <c r="G4187" t="s">
        <v>21</v>
      </c>
      <c r="H4187" t="str">
        <f>"7022348"</f>
        <v>7022348</v>
      </c>
      <c r="I4187" t="str">
        <f>"KOLOGIK"</f>
        <v>KOLOGIK</v>
      </c>
    </row>
    <row r="4188" spans="1:9" x14ac:dyDescent="0.25">
      <c r="A4188" s="6">
        <v>44790</v>
      </c>
      <c r="B4188" t="s">
        <v>26</v>
      </c>
      <c r="C4188">
        <v>70306</v>
      </c>
      <c r="D4188" t="s">
        <v>117</v>
      </c>
      <c r="E4188" s="7">
        <v>1722.68</v>
      </c>
      <c r="F4188" t="s">
        <v>20</v>
      </c>
      <c r="G4188" t="s">
        <v>21</v>
      </c>
      <c r="H4188" t="str">
        <f>"JULY 2022"</f>
        <v>JULY 2022</v>
      </c>
      <c r="I4188" t="str">
        <f>"LINEBARGER GOGGAN BLAIR &amp; SAMP"</f>
        <v>LINEBARGER GOGGAN BLAIR &amp; SAMP</v>
      </c>
    </row>
    <row r="4189" spans="1:9" x14ac:dyDescent="0.25">
      <c r="A4189" s="6">
        <v>44790</v>
      </c>
      <c r="B4189" t="s">
        <v>26</v>
      </c>
      <c r="C4189">
        <v>70307</v>
      </c>
      <c r="D4189" t="s">
        <v>29</v>
      </c>
      <c r="E4189" s="7">
        <v>12294</v>
      </c>
      <c r="F4189" t="s">
        <v>20</v>
      </c>
      <c r="G4189" t="s">
        <v>21</v>
      </c>
      <c r="H4189" t="str">
        <f>"59050"</f>
        <v>59050</v>
      </c>
      <c r="I4189" t="str">
        <f>"M &amp; S ENGINEERING  LLC"</f>
        <v>M &amp; S ENGINEERING  LLC</v>
      </c>
    </row>
    <row r="4190" spans="1:9" x14ac:dyDescent="0.25">
      <c r="A4190" s="6">
        <v>44790</v>
      </c>
      <c r="B4190" t="s">
        <v>26</v>
      </c>
      <c r="C4190">
        <v>70307</v>
      </c>
      <c r="D4190" t="s">
        <v>29</v>
      </c>
      <c r="E4190" s="7">
        <v>14282.64</v>
      </c>
      <c r="F4190" t="s">
        <v>20</v>
      </c>
      <c r="G4190" t="s">
        <v>21</v>
      </c>
      <c r="H4190" t="str">
        <f>"59648"</f>
        <v>59648</v>
      </c>
      <c r="I4190" t="str">
        <f>"M &amp; S ENGINEERING  LLC"</f>
        <v>M &amp; S ENGINEERING  LLC</v>
      </c>
    </row>
    <row r="4191" spans="1:9" x14ac:dyDescent="0.25">
      <c r="A4191" s="6">
        <v>44790</v>
      </c>
      <c r="B4191" t="s">
        <v>26</v>
      </c>
      <c r="C4191">
        <v>70307</v>
      </c>
      <c r="D4191" t="s">
        <v>29</v>
      </c>
      <c r="E4191" s="7">
        <v>1545</v>
      </c>
      <c r="F4191" t="s">
        <v>20</v>
      </c>
      <c r="G4191" t="s">
        <v>21</v>
      </c>
      <c r="H4191" t="str">
        <f>"60459"</f>
        <v>60459</v>
      </c>
      <c r="I4191" t="str">
        <f>"M &amp; S ENGINEERING  LLC"</f>
        <v>M &amp; S ENGINEERING  LLC</v>
      </c>
    </row>
    <row r="4192" spans="1:9" x14ac:dyDescent="0.25">
      <c r="A4192" s="6">
        <v>44790</v>
      </c>
      <c r="B4192" t="s">
        <v>26</v>
      </c>
      <c r="C4192">
        <v>70308</v>
      </c>
      <c r="D4192" t="s">
        <v>345</v>
      </c>
      <c r="E4192" s="7">
        <v>374</v>
      </c>
      <c r="F4192" t="s">
        <v>20</v>
      </c>
      <c r="G4192" t="s">
        <v>21</v>
      </c>
      <c r="H4192" t="str">
        <f>"8/15/2022"</f>
        <v>8/15/2022</v>
      </c>
      <c r="I4192" t="str">
        <f>"MICHAEL ISAAC MARTINEZ"</f>
        <v>MICHAEL ISAAC MARTINEZ</v>
      </c>
    </row>
    <row r="4193" spans="1:9" x14ac:dyDescent="0.25">
      <c r="A4193" s="6">
        <v>44790</v>
      </c>
      <c r="B4193" t="s">
        <v>26</v>
      </c>
      <c r="C4193">
        <v>70309</v>
      </c>
      <c r="D4193" t="s">
        <v>1041</v>
      </c>
      <c r="E4193" s="7">
        <v>55.95</v>
      </c>
      <c r="F4193" t="s">
        <v>20</v>
      </c>
      <c r="G4193" t="s">
        <v>21</v>
      </c>
      <c r="H4193" t="str">
        <f>"662858"</f>
        <v>662858</v>
      </c>
      <c r="I4193" t="str">
        <f>"MONARCH TROPHY STUDIO"</f>
        <v>MONARCH TROPHY STUDIO</v>
      </c>
    </row>
    <row r="4194" spans="1:9" x14ac:dyDescent="0.25">
      <c r="A4194" s="6">
        <v>44790</v>
      </c>
      <c r="B4194" t="s">
        <v>26</v>
      </c>
      <c r="C4194">
        <v>70310</v>
      </c>
      <c r="D4194" t="s">
        <v>240</v>
      </c>
      <c r="E4194" s="7">
        <v>79.98</v>
      </c>
      <c r="F4194" t="s">
        <v>20</v>
      </c>
      <c r="G4194" t="s">
        <v>21</v>
      </c>
      <c r="H4194" t="str">
        <f>"0232167-IN"</f>
        <v>0232167-IN</v>
      </c>
      <c r="I4194" t="str">
        <f t="shared" ref="I4194:I4199" si="103">"NARDIS PUBLIC SAFETY"</f>
        <v>NARDIS PUBLIC SAFETY</v>
      </c>
    </row>
    <row r="4195" spans="1:9" x14ac:dyDescent="0.25">
      <c r="A4195" s="6">
        <v>44790</v>
      </c>
      <c r="B4195" t="s">
        <v>26</v>
      </c>
      <c r="C4195">
        <v>70310</v>
      </c>
      <c r="D4195" t="s">
        <v>240</v>
      </c>
      <c r="E4195" s="7">
        <v>129.91999999999999</v>
      </c>
      <c r="F4195" t="s">
        <v>20</v>
      </c>
      <c r="G4195" t="s">
        <v>21</v>
      </c>
      <c r="H4195" t="str">
        <f>"0232476-IN"</f>
        <v>0232476-IN</v>
      </c>
      <c r="I4195" t="str">
        <f t="shared" si="103"/>
        <v>NARDIS PUBLIC SAFETY</v>
      </c>
    </row>
    <row r="4196" spans="1:9" x14ac:dyDescent="0.25">
      <c r="A4196" s="6">
        <v>44790</v>
      </c>
      <c r="B4196" t="s">
        <v>26</v>
      </c>
      <c r="C4196">
        <v>70310</v>
      </c>
      <c r="D4196" t="s">
        <v>240</v>
      </c>
      <c r="E4196" s="7">
        <v>541.71</v>
      </c>
      <c r="F4196" t="s">
        <v>20</v>
      </c>
      <c r="G4196" t="s">
        <v>21</v>
      </c>
      <c r="H4196" t="str">
        <f>"0232904-IN"</f>
        <v>0232904-IN</v>
      </c>
      <c r="I4196" t="str">
        <f t="shared" si="103"/>
        <v>NARDIS PUBLIC SAFETY</v>
      </c>
    </row>
    <row r="4197" spans="1:9" x14ac:dyDescent="0.25">
      <c r="A4197" s="6">
        <v>44790</v>
      </c>
      <c r="B4197" t="s">
        <v>26</v>
      </c>
      <c r="C4197">
        <v>70310</v>
      </c>
      <c r="D4197" t="s">
        <v>240</v>
      </c>
      <c r="E4197" s="7">
        <v>79.989999999999995</v>
      </c>
      <c r="F4197" t="s">
        <v>20</v>
      </c>
      <c r="G4197" t="s">
        <v>21</v>
      </c>
      <c r="H4197" t="str">
        <f>"0233529-IN"</f>
        <v>0233529-IN</v>
      </c>
      <c r="I4197" t="str">
        <f t="shared" si="103"/>
        <v>NARDIS PUBLIC SAFETY</v>
      </c>
    </row>
    <row r="4198" spans="1:9" x14ac:dyDescent="0.25">
      <c r="A4198" s="6">
        <v>44790</v>
      </c>
      <c r="B4198" t="s">
        <v>26</v>
      </c>
      <c r="C4198">
        <v>70310</v>
      </c>
      <c r="D4198" t="s">
        <v>240</v>
      </c>
      <c r="E4198" s="7">
        <v>55.5</v>
      </c>
      <c r="F4198" t="s">
        <v>20</v>
      </c>
      <c r="G4198" t="s">
        <v>21</v>
      </c>
      <c r="H4198" t="str">
        <f>"0233953-IN"</f>
        <v>0233953-IN</v>
      </c>
      <c r="I4198" t="str">
        <f t="shared" si="103"/>
        <v>NARDIS PUBLIC SAFETY</v>
      </c>
    </row>
    <row r="4199" spans="1:9" x14ac:dyDescent="0.25">
      <c r="A4199" s="6">
        <v>44790</v>
      </c>
      <c r="B4199" t="s">
        <v>26</v>
      </c>
      <c r="C4199">
        <v>70310</v>
      </c>
      <c r="D4199" t="s">
        <v>240</v>
      </c>
      <c r="E4199" s="7">
        <v>120</v>
      </c>
      <c r="F4199" t="s">
        <v>20</v>
      </c>
      <c r="G4199" t="s">
        <v>21</v>
      </c>
      <c r="H4199" t="str">
        <f>"0233954-IN"</f>
        <v>0233954-IN</v>
      </c>
      <c r="I4199" t="str">
        <f t="shared" si="103"/>
        <v>NARDIS PUBLIC SAFETY</v>
      </c>
    </row>
    <row r="4200" spans="1:9" x14ac:dyDescent="0.25">
      <c r="A4200" s="6">
        <v>44790</v>
      </c>
      <c r="B4200" t="s">
        <v>26</v>
      </c>
      <c r="C4200">
        <v>70311</v>
      </c>
      <c r="D4200" t="s">
        <v>1176</v>
      </c>
      <c r="E4200" s="7">
        <v>56</v>
      </c>
      <c r="F4200" t="s">
        <v>20</v>
      </c>
      <c r="G4200" t="s">
        <v>21</v>
      </c>
      <c r="H4200" t="str">
        <f>"000002078253"</f>
        <v>000002078253</v>
      </c>
      <c r="I4200" t="str">
        <f>"NOVA MEDICAL CENTERS"</f>
        <v>NOVA MEDICAL CENTERS</v>
      </c>
    </row>
    <row r="4201" spans="1:9" x14ac:dyDescent="0.25">
      <c r="A4201" s="6">
        <v>44790</v>
      </c>
      <c r="B4201" t="s">
        <v>26</v>
      </c>
      <c r="C4201">
        <v>70312</v>
      </c>
      <c r="D4201" t="s">
        <v>123</v>
      </c>
      <c r="E4201" s="7">
        <v>27.39</v>
      </c>
      <c r="F4201" t="s">
        <v>20</v>
      </c>
      <c r="G4201" t="s">
        <v>21</v>
      </c>
      <c r="H4201" t="str">
        <f>"252571945001"</f>
        <v>252571945001</v>
      </c>
      <c r="I4201" t="str">
        <f>"OFFICE DEPOT  INC."</f>
        <v>OFFICE DEPOT  INC.</v>
      </c>
    </row>
    <row r="4202" spans="1:9" x14ac:dyDescent="0.25">
      <c r="A4202" s="6">
        <v>44790</v>
      </c>
      <c r="B4202" t="s">
        <v>26</v>
      </c>
      <c r="C4202">
        <v>70312</v>
      </c>
      <c r="D4202" t="s">
        <v>123</v>
      </c>
      <c r="E4202" s="7">
        <v>167.94</v>
      </c>
      <c r="F4202" t="s">
        <v>20</v>
      </c>
      <c r="G4202" t="s">
        <v>21</v>
      </c>
      <c r="H4202" t="str">
        <f>"257304729001"</f>
        <v>257304729001</v>
      </c>
      <c r="I4202" t="str">
        <f>"COPY PAPER"</f>
        <v>COPY PAPER</v>
      </c>
    </row>
    <row r="4203" spans="1:9" x14ac:dyDescent="0.25">
      <c r="A4203" s="6">
        <v>44790</v>
      </c>
      <c r="B4203" t="s">
        <v>26</v>
      </c>
      <c r="C4203">
        <v>70313</v>
      </c>
      <c r="D4203" t="s">
        <v>1152</v>
      </c>
      <c r="E4203" s="7">
        <v>601</v>
      </c>
      <c r="F4203" t="s">
        <v>20</v>
      </c>
      <c r="G4203" t="s">
        <v>21</v>
      </c>
      <c r="H4203" t="str">
        <f>"9567  08/30/22"</f>
        <v>9567  08/30/22</v>
      </c>
      <c r="I4203" t="str">
        <f>"PITNEY BOWES PURCHASE POWER"</f>
        <v>PITNEY BOWES PURCHASE POWER</v>
      </c>
    </row>
    <row r="4204" spans="1:9" x14ac:dyDescent="0.25">
      <c r="A4204" s="6">
        <v>44790</v>
      </c>
      <c r="B4204" t="s">
        <v>26</v>
      </c>
      <c r="C4204">
        <v>70314</v>
      </c>
      <c r="D4204" t="s">
        <v>528</v>
      </c>
      <c r="E4204" s="7">
        <v>216.33</v>
      </c>
      <c r="F4204" t="s">
        <v>20</v>
      </c>
      <c r="G4204" t="s">
        <v>21</v>
      </c>
      <c r="H4204" t="str">
        <f>"10893119"</f>
        <v>10893119</v>
      </c>
      <c r="I4204" t="str">
        <f>"PROSTAR SERVICES INC"</f>
        <v>PROSTAR SERVICES INC</v>
      </c>
    </row>
    <row r="4205" spans="1:9" x14ac:dyDescent="0.25">
      <c r="A4205" s="6">
        <v>44790</v>
      </c>
      <c r="B4205" t="s">
        <v>26</v>
      </c>
      <c r="C4205">
        <v>70315</v>
      </c>
      <c r="D4205" t="s">
        <v>252</v>
      </c>
      <c r="E4205" s="7">
        <v>100906.55</v>
      </c>
      <c r="F4205" t="s">
        <v>20</v>
      </c>
      <c r="G4205" t="s">
        <v>21</v>
      </c>
      <c r="H4205" t="str">
        <f>"PAY APP # 3 7/5/22"</f>
        <v>PAY APP # 3 7/5/22</v>
      </c>
      <c r="I4205" t="str">
        <f>"RAM II GENERAL CONTRACTOR INC."</f>
        <v>RAM II GENERAL CONTRACTOR INC.</v>
      </c>
    </row>
    <row r="4206" spans="1:9" x14ac:dyDescent="0.25">
      <c r="A4206" s="6">
        <v>44790</v>
      </c>
      <c r="B4206" t="s">
        <v>26</v>
      </c>
      <c r="C4206">
        <v>70315</v>
      </c>
      <c r="D4206" t="s">
        <v>252</v>
      </c>
      <c r="E4206" s="7">
        <v>100906.55</v>
      </c>
      <c r="F4206" t="s">
        <v>20</v>
      </c>
      <c r="G4206" t="s">
        <v>21</v>
      </c>
      <c r="H4206" t="str">
        <f>"PAY APP#3"</f>
        <v>PAY APP#3</v>
      </c>
      <c r="I4206" t="str">
        <f>"RAM II GENERAL CONTRACTOR INC."</f>
        <v>RAM II GENERAL CONTRACTOR INC.</v>
      </c>
    </row>
    <row r="4207" spans="1:9" x14ac:dyDescent="0.25">
      <c r="A4207" s="6">
        <v>44790</v>
      </c>
      <c r="B4207" t="s">
        <v>26</v>
      </c>
      <c r="C4207">
        <v>70316</v>
      </c>
      <c r="D4207" t="s">
        <v>1265</v>
      </c>
      <c r="E4207" s="7">
        <v>125</v>
      </c>
      <c r="F4207" t="s">
        <v>20</v>
      </c>
      <c r="G4207" t="s">
        <v>21</v>
      </c>
      <c r="H4207" t="str">
        <f>"POOL RFND 8/11/22"</f>
        <v>POOL RFND 8/11/22</v>
      </c>
      <c r="I4207" t="str">
        <f>"REFUND"</f>
        <v>REFUND</v>
      </c>
    </row>
    <row r="4208" spans="1:9" x14ac:dyDescent="0.25">
      <c r="A4208" s="6">
        <v>44790</v>
      </c>
      <c r="B4208" t="s">
        <v>26</v>
      </c>
      <c r="C4208">
        <v>70317</v>
      </c>
      <c r="D4208" t="s">
        <v>126</v>
      </c>
      <c r="E4208" s="7">
        <v>2156.9299999999998</v>
      </c>
      <c r="F4208" t="s">
        <v>20</v>
      </c>
      <c r="G4208" t="s">
        <v>21</v>
      </c>
      <c r="H4208" t="str">
        <f>"0859-003174896"</f>
        <v>0859-003174896</v>
      </c>
      <c r="I4208" t="str">
        <f>"REPUBLIC SERVICES #859"</f>
        <v>REPUBLIC SERVICES #859</v>
      </c>
    </row>
    <row r="4209" spans="1:9" x14ac:dyDescent="0.25">
      <c r="A4209" s="6">
        <v>44790</v>
      </c>
      <c r="B4209" t="s">
        <v>26</v>
      </c>
      <c r="C4209">
        <v>70317</v>
      </c>
      <c r="D4209" t="s">
        <v>126</v>
      </c>
      <c r="E4209" s="7">
        <v>94855.77</v>
      </c>
      <c r="F4209" t="s">
        <v>20</v>
      </c>
      <c r="G4209" t="s">
        <v>21</v>
      </c>
      <c r="H4209" t="str">
        <f>"0859-003180647"</f>
        <v>0859-003180647</v>
      </c>
      <c r="I4209" t="str">
        <f>"REPUBLIC SERVICES #859"</f>
        <v>REPUBLIC SERVICES #859</v>
      </c>
    </row>
    <row r="4210" spans="1:9" x14ac:dyDescent="0.25">
      <c r="A4210" s="6">
        <v>44790</v>
      </c>
      <c r="B4210" t="s">
        <v>26</v>
      </c>
      <c r="C4210">
        <v>70318</v>
      </c>
      <c r="D4210" t="s">
        <v>346</v>
      </c>
      <c r="E4210" s="7">
        <v>13750</v>
      </c>
      <c r="F4210" t="s">
        <v>20</v>
      </c>
      <c r="G4210" t="s">
        <v>21</v>
      </c>
      <c r="H4210" t="str">
        <f>"7/11-8/11/2022"</f>
        <v>7/11-8/11/2022</v>
      </c>
      <c r="I4210" t="str">
        <f>"SYLVIA RODRIGUEZ"</f>
        <v>SYLVIA RODRIGUEZ</v>
      </c>
    </row>
    <row r="4211" spans="1:9" x14ac:dyDescent="0.25">
      <c r="A4211" s="6">
        <v>44790</v>
      </c>
      <c r="B4211" t="s">
        <v>26</v>
      </c>
      <c r="C4211">
        <v>70319</v>
      </c>
      <c r="D4211" t="s">
        <v>1141</v>
      </c>
      <c r="E4211" s="7">
        <v>307.72000000000003</v>
      </c>
      <c r="F4211" t="s">
        <v>20</v>
      </c>
      <c r="G4211" t="s">
        <v>21</v>
      </c>
      <c r="H4211" t="str">
        <f>"SS1-SS12985"</f>
        <v>SS1-SS12985</v>
      </c>
      <c r="I4211" t="str">
        <f>"TEXAS LANDFILL MANAGEMENT  LLC"</f>
        <v>TEXAS LANDFILL MANAGEMENT  LLC</v>
      </c>
    </row>
    <row r="4212" spans="1:9" x14ac:dyDescent="0.25">
      <c r="A4212" s="6">
        <v>44790</v>
      </c>
      <c r="B4212" t="s">
        <v>26</v>
      </c>
      <c r="C4212">
        <v>70320</v>
      </c>
      <c r="D4212" t="s">
        <v>31</v>
      </c>
      <c r="E4212" s="7">
        <v>2320</v>
      </c>
      <c r="F4212" t="s">
        <v>20</v>
      </c>
      <c r="G4212" t="s">
        <v>21</v>
      </c>
      <c r="H4212" t="str">
        <f>"2022308"</f>
        <v>2022308</v>
      </c>
      <c r="I4212" t="str">
        <f>"THE LAW OFFICE OF TOM CALDWELL"</f>
        <v>THE LAW OFFICE OF TOM CALDWELL</v>
      </c>
    </row>
    <row r="4213" spans="1:9" x14ac:dyDescent="0.25">
      <c r="A4213" s="6">
        <v>44790</v>
      </c>
      <c r="B4213" t="s">
        <v>26</v>
      </c>
      <c r="C4213">
        <v>70321</v>
      </c>
      <c r="D4213" t="s">
        <v>75</v>
      </c>
      <c r="E4213" s="7">
        <v>330.29</v>
      </c>
      <c r="F4213" t="s">
        <v>20</v>
      </c>
      <c r="G4213" t="s">
        <v>21</v>
      </c>
      <c r="H4213" t="str">
        <f>"8184 8/23/2022"</f>
        <v>8184 8/23/2022</v>
      </c>
      <c r="I4213" t="str">
        <f>"DOLLY AND DOG FOOD"</f>
        <v>DOLLY AND DOG FOOD</v>
      </c>
    </row>
    <row r="4214" spans="1:9" x14ac:dyDescent="0.25">
      <c r="A4214" s="6">
        <v>44790</v>
      </c>
      <c r="B4214" t="s">
        <v>26</v>
      </c>
      <c r="C4214">
        <v>70322</v>
      </c>
      <c r="D4214" t="s">
        <v>644</v>
      </c>
      <c r="E4214" s="7">
        <v>132.58000000000001</v>
      </c>
      <c r="F4214" t="s">
        <v>20</v>
      </c>
      <c r="G4214" t="s">
        <v>21</v>
      </c>
      <c r="H4214" t="str">
        <f>"8213762388"</f>
        <v>8213762388</v>
      </c>
      <c r="I4214" t="str">
        <f>"UNIFIRST CORPORATION"</f>
        <v>UNIFIRST CORPORATION</v>
      </c>
    </row>
    <row r="4215" spans="1:9" x14ac:dyDescent="0.25">
      <c r="A4215" s="6">
        <v>44790</v>
      </c>
      <c r="B4215" t="s">
        <v>26</v>
      </c>
      <c r="C4215">
        <v>70322</v>
      </c>
      <c r="D4215" t="s">
        <v>644</v>
      </c>
      <c r="E4215" s="7">
        <v>29.49</v>
      </c>
      <c r="F4215" t="s">
        <v>20</v>
      </c>
      <c r="G4215" t="s">
        <v>21</v>
      </c>
      <c r="H4215" t="str">
        <f>"8213762389"</f>
        <v>8213762389</v>
      </c>
      <c r="I4215" t="str">
        <f>"UNIFIRST CORPORATION"</f>
        <v>UNIFIRST CORPORATION</v>
      </c>
    </row>
    <row r="4216" spans="1:9" x14ac:dyDescent="0.25">
      <c r="A4216" s="6">
        <v>44790</v>
      </c>
      <c r="B4216" t="s">
        <v>26</v>
      </c>
      <c r="C4216">
        <v>70322</v>
      </c>
      <c r="D4216" t="s">
        <v>644</v>
      </c>
      <c r="E4216" s="7">
        <v>120.09</v>
      </c>
      <c r="F4216" t="s">
        <v>20</v>
      </c>
      <c r="G4216" t="s">
        <v>21</v>
      </c>
      <c r="H4216" t="str">
        <f>"8213762390"</f>
        <v>8213762390</v>
      </c>
      <c r="I4216" t="str">
        <f>"UNIFIRST CORPORATION"</f>
        <v>UNIFIRST CORPORATION</v>
      </c>
    </row>
    <row r="4217" spans="1:9" x14ac:dyDescent="0.25">
      <c r="A4217" s="6">
        <v>44790</v>
      </c>
      <c r="B4217" t="s">
        <v>26</v>
      </c>
      <c r="C4217">
        <v>70322</v>
      </c>
      <c r="D4217" t="s">
        <v>644</v>
      </c>
      <c r="E4217" s="7">
        <v>115.31</v>
      </c>
      <c r="F4217" t="s">
        <v>20</v>
      </c>
      <c r="G4217" t="s">
        <v>21</v>
      </c>
      <c r="H4217" t="str">
        <f>"8213762393"</f>
        <v>8213762393</v>
      </c>
      <c r="I4217" t="str">
        <f>"UNIFIRST CORPORATION"</f>
        <v>UNIFIRST CORPORATION</v>
      </c>
    </row>
    <row r="4218" spans="1:9" x14ac:dyDescent="0.25">
      <c r="A4218" s="6">
        <v>44790</v>
      </c>
      <c r="B4218" t="s">
        <v>26</v>
      </c>
      <c r="C4218">
        <v>70322</v>
      </c>
      <c r="D4218" t="s">
        <v>644</v>
      </c>
      <c r="E4218" s="7">
        <v>29.49</v>
      </c>
      <c r="F4218" t="s">
        <v>20</v>
      </c>
      <c r="G4218" t="s">
        <v>21</v>
      </c>
      <c r="H4218" t="str">
        <f>"8213762394"</f>
        <v>8213762394</v>
      </c>
      <c r="I4218" t="str">
        <f>"UNIFIRST CORPORATION"</f>
        <v>UNIFIRST CORPORATION</v>
      </c>
    </row>
    <row r="4219" spans="1:9" x14ac:dyDescent="0.25">
      <c r="A4219" s="6">
        <v>44790</v>
      </c>
      <c r="B4219" t="s">
        <v>26</v>
      </c>
      <c r="C4219">
        <v>70323</v>
      </c>
      <c r="D4219" t="s">
        <v>122</v>
      </c>
      <c r="E4219" s="7">
        <v>60</v>
      </c>
      <c r="F4219" t="s">
        <v>20</v>
      </c>
      <c r="G4219" t="s">
        <v>21</v>
      </c>
      <c r="H4219" t="str">
        <f>"902006"</f>
        <v>902006</v>
      </c>
      <c r="I4219" t="str">
        <f>"VILLA TIRES"</f>
        <v>VILLA TIRES</v>
      </c>
    </row>
    <row r="4220" spans="1:9" x14ac:dyDescent="0.25">
      <c r="A4220" s="6">
        <v>44790</v>
      </c>
      <c r="B4220" t="s">
        <v>26</v>
      </c>
      <c r="C4220">
        <v>70323</v>
      </c>
      <c r="D4220" t="s">
        <v>122</v>
      </c>
      <c r="E4220" s="7">
        <v>20</v>
      </c>
      <c r="F4220" t="s">
        <v>20</v>
      </c>
      <c r="G4220" t="s">
        <v>21</v>
      </c>
      <c r="H4220" t="str">
        <f>"902012"</f>
        <v>902012</v>
      </c>
      <c r="I4220" t="str">
        <f>"VILLA TIRES"</f>
        <v>VILLA TIRES</v>
      </c>
    </row>
    <row r="4221" spans="1:9" x14ac:dyDescent="0.25">
      <c r="A4221" s="6">
        <v>44790</v>
      </c>
      <c r="B4221" t="s">
        <v>26</v>
      </c>
      <c r="C4221">
        <v>70323</v>
      </c>
      <c r="D4221" t="s">
        <v>122</v>
      </c>
      <c r="E4221" s="7">
        <v>10</v>
      </c>
      <c r="F4221" t="s">
        <v>20</v>
      </c>
      <c r="G4221" t="s">
        <v>21</v>
      </c>
      <c r="H4221" t="str">
        <f>"902086"</f>
        <v>902086</v>
      </c>
      <c r="I4221" t="str">
        <f>"VILLA TIRES"</f>
        <v>VILLA TIRES</v>
      </c>
    </row>
    <row r="4222" spans="1:9" x14ac:dyDescent="0.25">
      <c r="A4222" s="6">
        <v>44790</v>
      </c>
      <c r="B4222" t="s">
        <v>26</v>
      </c>
      <c r="C4222">
        <v>70324</v>
      </c>
      <c r="D4222" t="s">
        <v>186</v>
      </c>
      <c r="E4222" s="7">
        <v>9931.51</v>
      </c>
      <c r="F4222" t="s">
        <v>20</v>
      </c>
      <c r="G4222" t="s">
        <v>21</v>
      </c>
      <c r="H4222" t="str">
        <f>"4TH QRT 2022"</f>
        <v>4TH QRT 2022</v>
      </c>
      <c r="I4222" t="str">
        <f>"WILSON COUNTY APPRAISAL DISTRI"</f>
        <v>WILSON COUNTY APPRAISAL DISTRI</v>
      </c>
    </row>
    <row r="4223" spans="1:9" x14ac:dyDescent="0.25">
      <c r="A4223" s="6">
        <v>44790</v>
      </c>
      <c r="B4223" t="s">
        <v>91</v>
      </c>
      <c r="C4223">
        <v>70325</v>
      </c>
      <c r="D4223" t="s">
        <v>1264</v>
      </c>
      <c r="E4223" s="7">
        <v>532.5</v>
      </c>
      <c r="F4223" t="s">
        <v>20</v>
      </c>
      <c r="G4223" t="s">
        <v>21</v>
      </c>
      <c r="H4223" t="str">
        <f>"8/8-8/15/2022"</f>
        <v>8/8-8/15/2022</v>
      </c>
      <c r="I4223" t="str">
        <f>"POLLY SANDERS"</f>
        <v>POLLY SANDERS</v>
      </c>
    </row>
    <row r="4224" spans="1:9" x14ac:dyDescent="0.25">
      <c r="A4224" s="6">
        <v>44790</v>
      </c>
      <c r="B4224" t="s">
        <v>91</v>
      </c>
      <c r="C4224">
        <v>70325</v>
      </c>
      <c r="D4224" t="s">
        <v>1264</v>
      </c>
      <c r="E4224" s="7">
        <v>532.5</v>
      </c>
      <c r="F4224" t="s">
        <v>20</v>
      </c>
      <c r="G4224" t="s">
        <v>93</v>
      </c>
      <c r="H4224" t="str">
        <f>"CHECK"</f>
        <v>CHECK</v>
      </c>
      <c r="I4224" t="str">
        <f>""</f>
        <v/>
      </c>
    </row>
    <row r="4225" spans="1:9" x14ac:dyDescent="0.25">
      <c r="A4225" s="6">
        <v>44790</v>
      </c>
      <c r="B4225" t="s">
        <v>26</v>
      </c>
      <c r="C4225">
        <v>70326</v>
      </c>
      <c r="D4225" t="s">
        <v>1264</v>
      </c>
      <c r="E4225" s="7">
        <v>532.5</v>
      </c>
      <c r="F4225" t="s">
        <v>20</v>
      </c>
      <c r="G4225" t="s">
        <v>21</v>
      </c>
      <c r="H4225" t="str">
        <f>"8/8-8/15/2022"</f>
        <v>8/8-8/15/2022</v>
      </c>
      <c r="I4225" t="str">
        <f>"POLLY SANDERS"</f>
        <v>POLLY SANDERS</v>
      </c>
    </row>
    <row r="4226" spans="1:9" x14ac:dyDescent="0.25">
      <c r="A4226" s="6">
        <v>44790</v>
      </c>
      <c r="B4226" t="s">
        <v>26</v>
      </c>
      <c r="C4226">
        <v>70327</v>
      </c>
      <c r="D4226" t="s">
        <v>311</v>
      </c>
      <c r="E4226" s="7">
        <v>87756.9</v>
      </c>
      <c r="F4226" t="s">
        <v>20</v>
      </c>
      <c r="G4226" t="s">
        <v>21</v>
      </c>
      <c r="H4226" t="str">
        <f>"ML-000099792 9/1/2"</f>
        <v>ML-000099792 9/1/2</v>
      </c>
      <c r="I4226" t="str">
        <f>"TIB - The Independent BankersB"</f>
        <v>TIB - The Independent BankersB</v>
      </c>
    </row>
    <row r="4227" spans="1:9" x14ac:dyDescent="0.25">
      <c r="A4227" s="6">
        <v>44791</v>
      </c>
      <c r="B4227" t="s">
        <v>26</v>
      </c>
      <c r="C4227">
        <v>70328</v>
      </c>
      <c r="D4227" t="s">
        <v>266</v>
      </c>
      <c r="E4227" s="7">
        <v>433700</v>
      </c>
      <c r="F4227" t="s">
        <v>20</v>
      </c>
      <c r="G4227" t="s">
        <v>21</v>
      </c>
      <c r="H4227" t="str">
        <f>"FLOR615GOR 9/1/22"</f>
        <v>FLOR615GOR 9/1/22</v>
      </c>
      <c r="I4227" t="str">
        <f>"BOKF  NA"</f>
        <v>BOKF  NA</v>
      </c>
    </row>
    <row r="4228" spans="1:9" x14ac:dyDescent="0.25">
      <c r="A4228" s="6">
        <v>44792</v>
      </c>
      <c r="B4228" t="s">
        <v>26</v>
      </c>
      <c r="C4228">
        <v>70329</v>
      </c>
      <c r="D4228" t="s">
        <v>1163</v>
      </c>
      <c r="E4228" s="7">
        <v>431923</v>
      </c>
      <c r="F4228" t="s">
        <v>20</v>
      </c>
      <c r="G4228" t="s">
        <v>21</v>
      </c>
      <c r="H4228" t="str">
        <f>"994300095300019/22"</f>
        <v>994300095300019/22</v>
      </c>
      <c r="I4228" t="str">
        <f>"TRUIST GOVERNMENTAL FINANCE"</f>
        <v>TRUIST GOVERNMENTAL FINANCE</v>
      </c>
    </row>
    <row r="4229" spans="1:9" x14ac:dyDescent="0.25">
      <c r="A4229" s="6">
        <v>44792</v>
      </c>
      <c r="B4229" t="s">
        <v>26</v>
      </c>
      <c r="C4229">
        <v>70330</v>
      </c>
      <c r="D4229" t="s">
        <v>1163</v>
      </c>
      <c r="E4229" s="7">
        <v>9288</v>
      </c>
      <c r="F4229" t="s">
        <v>20</v>
      </c>
      <c r="G4229" t="s">
        <v>21</v>
      </c>
      <c r="H4229" t="str">
        <f>"994300446000019/22"</f>
        <v>994300446000019/22</v>
      </c>
      <c r="I4229" t="str">
        <f>"TRUIST GOVERNMENTAL FINANCE"</f>
        <v>TRUIST GOVERNMENTAL FINANCE</v>
      </c>
    </row>
    <row r="4230" spans="1:9" x14ac:dyDescent="0.25">
      <c r="A4230" s="6">
        <v>44796</v>
      </c>
      <c r="B4230" t="s">
        <v>26</v>
      </c>
      <c r="C4230">
        <v>70335</v>
      </c>
      <c r="D4230" t="s">
        <v>51</v>
      </c>
      <c r="E4230" s="7">
        <v>13.85</v>
      </c>
      <c r="F4230" t="s">
        <v>20</v>
      </c>
      <c r="G4230" t="s">
        <v>21</v>
      </c>
      <c r="H4230" t="str">
        <f>"CLE202208238667"</f>
        <v>CLE202208238667</v>
      </c>
      <c r="I4230" t="str">
        <f>"CLEAT ONLY DUES"</f>
        <v>CLEAT ONLY DUES</v>
      </c>
    </row>
    <row r="4231" spans="1:9" x14ac:dyDescent="0.25">
      <c r="A4231" s="6">
        <v>44796</v>
      </c>
      <c r="B4231" t="s">
        <v>26</v>
      </c>
      <c r="C4231">
        <v>70335</v>
      </c>
      <c r="D4231" t="s">
        <v>51</v>
      </c>
      <c r="E4231" s="7">
        <v>332.46</v>
      </c>
      <c r="F4231" t="s">
        <v>20</v>
      </c>
      <c r="G4231" t="s">
        <v>21</v>
      </c>
      <c r="H4231" t="str">
        <f>"PDD202208238667"</f>
        <v>PDD202208238667</v>
      </c>
      <c r="I4231" t="str">
        <f>"POLICE OFFICERS ASSOC DUES"</f>
        <v>POLICE OFFICERS ASSOC DUES</v>
      </c>
    </row>
    <row r="4232" spans="1:9" x14ac:dyDescent="0.25">
      <c r="A4232" s="6">
        <v>44796</v>
      </c>
      <c r="B4232" t="s">
        <v>26</v>
      </c>
      <c r="C4232">
        <v>70336</v>
      </c>
      <c r="D4232" t="s">
        <v>52</v>
      </c>
      <c r="E4232" s="7">
        <v>101.25</v>
      </c>
      <c r="F4232" t="s">
        <v>20</v>
      </c>
      <c r="G4232" t="s">
        <v>21</v>
      </c>
      <c r="H4232" t="str">
        <f>"CA1202208238667"</f>
        <v>CA1202208238667</v>
      </c>
      <c r="I4232" t="str">
        <f>"K RAMIREZ 001200229510060343CV"</f>
        <v>K RAMIREZ 001200229510060343CV</v>
      </c>
    </row>
    <row r="4233" spans="1:9" x14ac:dyDescent="0.25">
      <c r="A4233" s="6">
        <v>44796</v>
      </c>
      <c r="B4233" t="s">
        <v>26</v>
      </c>
      <c r="C4233">
        <v>70336</v>
      </c>
      <c r="D4233" t="s">
        <v>52</v>
      </c>
      <c r="E4233" s="7">
        <v>101.25</v>
      </c>
      <c r="F4233" t="s">
        <v>20</v>
      </c>
      <c r="G4233" t="s">
        <v>21</v>
      </c>
      <c r="H4233" t="str">
        <f>"CA2202208238667"</f>
        <v>CA2202208238667</v>
      </c>
      <c r="I4233" t="str">
        <f>"L HERNANDEZ 001016025203080354"</f>
        <v>L HERNANDEZ 001016025203080354</v>
      </c>
    </row>
    <row r="4234" spans="1:9" x14ac:dyDescent="0.25">
      <c r="A4234" s="6">
        <v>44796</v>
      </c>
      <c r="B4234" t="s">
        <v>26</v>
      </c>
      <c r="C4234">
        <v>70336</v>
      </c>
      <c r="D4234" t="s">
        <v>52</v>
      </c>
      <c r="E4234" s="7">
        <v>101.25</v>
      </c>
      <c r="F4234" t="s">
        <v>20</v>
      </c>
      <c r="G4234" t="s">
        <v>21</v>
      </c>
      <c r="H4234" t="str">
        <f>"CA3202208238667"</f>
        <v>CA3202208238667</v>
      </c>
      <c r="I4234" t="str">
        <f>"00120788612011EM5023JOLENEGARC"</f>
        <v>00120788612011EM5023JOLENEGARC</v>
      </c>
    </row>
    <row r="4235" spans="1:9" x14ac:dyDescent="0.25">
      <c r="A4235" s="6">
        <v>44796</v>
      </c>
      <c r="B4235" t="s">
        <v>26</v>
      </c>
      <c r="C4235">
        <v>70336</v>
      </c>
      <c r="D4235" t="s">
        <v>52</v>
      </c>
      <c r="E4235" s="7">
        <v>306.45999999999998</v>
      </c>
      <c r="F4235" t="s">
        <v>20</v>
      </c>
      <c r="G4235" t="s">
        <v>21</v>
      </c>
      <c r="H4235" t="str">
        <f>"CPS202208238667"</f>
        <v>CPS202208238667</v>
      </c>
      <c r="I4235" t="str">
        <f>"G MENDOZA 00123012032010EM5054"</f>
        <v>G MENDOZA 00123012032010EM5054</v>
      </c>
    </row>
    <row r="4236" spans="1:9" x14ac:dyDescent="0.25">
      <c r="A4236" s="6">
        <v>44796</v>
      </c>
      <c r="B4236" t="s">
        <v>26</v>
      </c>
      <c r="C4236">
        <v>70336</v>
      </c>
      <c r="D4236" t="s">
        <v>52</v>
      </c>
      <c r="E4236" s="7">
        <v>101.25</v>
      </c>
      <c r="F4236" t="s">
        <v>20</v>
      </c>
      <c r="G4236" t="s">
        <v>21</v>
      </c>
      <c r="H4236" t="str">
        <f>"CSA202208238667"</f>
        <v>CSA202208238667</v>
      </c>
      <c r="I4236" t="str">
        <f>"S RODRIGUEZ 001281730413050336"</f>
        <v>S RODRIGUEZ 001281730413050336</v>
      </c>
    </row>
    <row r="4237" spans="1:9" x14ac:dyDescent="0.25">
      <c r="A4237" s="6">
        <v>44796</v>
      </c>
      <c r="B4237" t="s">
        <v>26</v>
      </c>
      <c r="C4237">
        <v>70336</v>
      </c>
      <c r="D4237" t="s">
        <v>52</v>
      </c>
      <c r="E4237" s="7">
        <v>521.54</v>
      </c>
      <c r="F4237" t="s">
        <v>20</v>
      </c>
      <c r="G4237" t="s">
        <v>21</v>
      </c>
      <c r="H4237" t="str">
        <f>"CSI202208238667"</f>
        <v>CSI202208238667</v>
      </c>
      <c r="I4237" t="str">
        <f>"KTRINIDAD0014071774CVW2000777"</f>
        <v>KTRINIDAD0014071774CVW2000777</v>
      </c>
    </row>
    <row r="4238" spans="1:9" x14ac:dyDescent="0.25">
      <c r="A4238" s="6">
        <v>44796</v>
      </c>
      <c r="B4238" t="s">
        <v>26</v>
      </c>
      <c r="C4238">
        <v>70337</v>
      </c>
      <c r="D4238" t="s">
        <v>54</v>
      </c>
      <c r="E4238" s="7">
        <v>803.43</v>
      </c>
      <c r="F4238" t="s">
        <v>20</v>
      </c>
      <c r="G4238" t="s">
        <v>21</v>
      </c>
      <c r="H4238" t="str">
        <f>"BRE202208238667"</f>
        <v>BRE202208238667</v>
      </c>
      <c r="I4238" t="str">
        <f>"CASE #180-60751 457B DEDUCT"</f>
        <v>CASE #180-60751 457B DEDUCT</v>
      </c>
    </row>
    <row r="4239" spans="1:9" x14ac:dyDescent="0.25">
      <c r="A4239" s="6">
        <v>44796</v>
      </c>
      <c r="B4239" t="s">
        <v>26</v>
      </c>
      <c r="C4239">
        <v>70338</v>
      </c>
      <c r="D4239" t="s">
        <v>483</v>
      </c>
      <c r="E4239" s="7">
        <v>128.68</v>
      </c>
      <c r="F4239" t="s">
        <v>20</v>
      </c>
      <c r="G4239" t="s">
        <v>21</v>
      </c>
      <c r="H4239" t="str">
        <f>"5499571"</f>
        <v>5499571</v>
      </c>
      <c r="I4239" t="str">
        <f>"WILL CALL"</f>
        <v>WILL CALL</v>
      </c>
    </row>
    <row r="4240" spans="1:9" x14ac:dyDescent="0.25">
      <c r="A4240" s="6">
        <v>44796</v>
      </c>
      <c r="B4240" t="s">
        <v>26</v>
      </c>
      <c r="C4240">
        <v>70339</v>
      </c>
      <c r="D4240" t="s">
        <v>1266</v>
      </c>
      <c r="E4240" s="7">
        <v>1038</v>
      </c>
      <c r="F4240" t="s">
        <v>20</v>
      </c>
      <c r="G4240" t="s">
        <v>21</v>
      </c>
      <c r="H4240" t="str">
        <f>"691578"</f>
        <v>691578</v>
      </c>
      <c r="I4240" t="str">
        <f>"ALL ABOUT CHALLENGE COINS"</f>
        <v>ALL ABOUT CHALLENGE COINS</v>
      </c>
    </row>
    <row r="4241" spans="1:9" x14ac:dyDescent="0.25">
      <c r="A4241" s="6">
        <v>44796</v>
      </c>
      <c r="B4241" t="s">
        <v>26</v>
      </c>
      <c r="C4241">
        <v>70340</v>
      </c>
      <c r="D4241" t="s">
        <v>647</v>
      </c>
      <c r="E4241" s="7">
        <v>3429</v>
      </c>
      <c r="F4241" t="s">
        <v>20</v>
      </c>
      <c r="G4241" t="s">
        <v>21</v>
      </c>
      <c r="H4241" t="str">
        <f>"32195927"</f>
        <v>32195927</v>
      </c>
      <c r="I4241" t="str">
        <f>"DOCUMATION  INC."</f>
        <v>DOCUMATION  INC.</v>
      </c>
    </row>
    <row r="4242" spans="1:9" x14ac:dyDescent="0.25">
      <c r="A4242" s="6">
        <v>44796</v>
      </c>
      <c r="B4242" t="s">
        <v>26</v>
      </c>
      <c r="C4242">
        <v>70341</v>
      </c>
      <c r="D4242" t="s">
        <v>1256</v>
      </c>
      <c r="E4242" s="7">
        <v>319.93</v>
      </c>
      <c r="F4242" t="s">
        <v>20</v>
      </c>
      <c r="G4242" t="s">
        <v>21</v>
      </c>
      <c r="H4242" t="str">
        <f>"8/20/2022"</f>
        <v>8/20/2022</v>
      </c>
      <c r="I4242" t="str">
        <f>"DORA B CANTU"</f>
        <v>DORA B CANTU</v>
      </c>
    </row>
    <row r="4243" spans="1:9" x14ac:dyDescent="0.25">
      <c r="A4243" s="6">
        <v>44796</v>
      </c>
      <c r="B4243" t="s">
        <v>26</v>
      </c>
      <c r="C4243">
        <v>70342</v>
      </c>
      <c r="D4243" t="s">
        <v>77</v>
      </c>
      <c r="E4243" s="7">
        <v>2943.84</v>
      </c>
      <c r="F4243" t="s">
        <v>20</v>
      </c>
      <c r="G4243" t="s">
        <v>21</v>
      </c>
      <c r="H4243" t="str">
        <f>"857001582-22"</f>
        <v>857001582-22</v>
      </c>
      <c r="I4243" t="str">
        <f>"CHLORINE FOR B AND HOSPIT"</f>
        <v>CHLORINE FOR B AND HOSPIT</v>
      </c>
    </row>
    <row r="4244" spans="1:9" x14ac:dyDescent="0.25">
      <c r="A4244" s="6">
        <v>44796</v>
      </c>
      <c r="B4244" t="s">
        <v>26</v>
      </c>
      <c r="C4244">
        <v>70342</v>
      </c>
      <c r="D4244" t="s">
        <v>77</v>
      </c>
      <c r="E4244" s="7">
        <v>1471.92</v>
      </c>
      <c r="F4244" t="s">
        <v>20</v>
      </c>
      <c r="G4244" t="s">
        <v>21</v>
      </c>
      <c r="H4244" t="str">
        <f>"857001853-22"</f>
        <v>857001853-22</v>
      </c>
      <c r="I4244" t="str">
        <f>"WWTP CHLORINE"</f>
        <v>WWTP CHLORINE</v>
      </c>
    </row>
    <row r="4245" spans="1:9" x14ac:dyDescent="0.25">
      <c r="A4245" s="6">
        <v>44796</v>
      </c>
      <c r="B4245" t="s">
        <v>26</v>
      </c>
      <c r="C4245">
        <v>70343</v>
      </c>
      <c r="D4245" t="s">
        <v>79</v>
      </c>
      <c r="E4245" s="7">
        <v>9.57</v>
      </c>
      <c r="F4245" t="s">
        <v>20</v>
      </c>
      <c r="G4245" t="s">
        <v>21</v>
      </c>
      <c r="H4245" t="str">
        <f>"7-848-40543"</f>
        <v>7-848-40543</v>
      </c>
      <c r="I4245" t="str">
        <f>"FEDEX"</f>
        <v>FEDEX</v>
      </c>
    </row>
    <row r="4246" spans="1:9" x14ac:dyDescent="0.25">
      <c r="A4246" s="6">
        <v>44796</v>
      </c>
      <c r="B4246" t="s">
        <v>26</v>
      </c>
      <c r="C4246">
        <v>70344</v>
      </c>
      <c r="D4246" t="s">
        <v>1255</v>
      </c>
      <c r="E4246" s="7">
        <v>245.61</v>
      </c>
      <c r="F4246" t="s">
        <v>20</v>
      </c>
      <c r="G4246" t="s">
        <v>21</v>
      </c>
      <c r="H4246" t="str">
        <f>"8/20/2022"</f>
        <v>8/20/2022</v>
      </c>
      <c r="I4246" t="str">
        <f>"FELIX S CANTU"</f>
        <v>FELIX S CANTU</v>
      </c>
    </row>
    <row r="4247" spans="1:9" x14ac:dyDescent="0.25">
      <c r="A4247" s="6">
        <v>44796</v>
      </c>
      <c r="B4247" t="s">
        <v>26</v>
      </c>
      <c r="C4247">
        <v>70345</v>
      </c>
      <c r="D4247" t="s">
        <v>85</v>
      </c>
      <c r="E4247" s="7">
        <v>67.069999999999993</v>
      </c>
      <c r="F4247" t="s">
        <v>20</v>
      </c>
      <c r="G4247" t="s">
        <v>21</v>
      </c>
      <c r="H4247" t="str">
        <f>"2162733 AUG.2022"</f>
        <v>2162733 AUG.2022</v>
      </c>
      <c r="I4247" t="str">
        <f t="shared" ref="I4247:I4254" si="104">"FRONTIER"</f>
        <v>FRONTIER</v>
      </c>
    </row>
    <row r="4248" spans="1:9" x14ac:dyDescent="0.25">
      <c r="A4248" s="6">
        <v>44796</v>
      </c>
      <c r="B4248" t="s">
        <v>26</v>
      </c>
      <c r="C4248">
        <v>70345</v>
      </c>
      <c r="D4248" t="s">
        <v>85</v>
      </c>
      <c r="E4248" s="7">
        <v>541.88</v>
      </c>
      <c r="F4248" t="s">
        <v>20</v>
      </c>
      <c r="G4248" t="s">
        <v>21</v>
      </c>
      <c r="H4248" t="str">
        <f>"2162745 AUG.2022"</f>
        <v>2162745 AUG.2022</v>
      </c>
      <c r="I4248" t="str">
        <f t="shared" si="104"/>
        <v>FRONTIER</v>
      </c>
    </row>
    <row r="4249" spans="1:9" x14ac:dyDescent="0.25">
      <c r="A4249" s="6">
        <v>44796</v>
      </c>
      <c r="B4249" t="s">
        <v>26</v>
      </c>
      <c r="C4249">
        <v>70345</v>
      </c>
      <c r="D4249" t="s">
        <v>85</v>
      </c>
      <c r="E4249" s="7">
        <v>65.86</v>
      </c>
      <c r="F4249" t="s">
        <v>20</v>
      </c>
      <c r="G4249" t="s">
        <v>21</v>
      </c>
      <c r="H4249" t="str">
        <f>"2162755 AUG.2022"</f>
        <v>2162755 AUG.2022</v>
      </c>
      <c r="I4249" t="str">
        <f t="shared" si="104"/>
        <v>FRONTIER</v>
      </c>
    </row>
    <row r="4250" spans="1:9" x14ac:dyDescent="0.25">
      <c r="A4250" s="6">
        <v>44796</v>
      </c>
      <c r="B4250" t="s">
        <v>26</v>
      </c>
      <c r="C4250">
        <v>70345</v>
      </c>
      <c r="D4250" t="s">
        <v>85</v>
      </c>
      <c r="E4250" s="7">
        <v>74.33</v>
      </c>
      <c r="F4250" t="s">
        <v>20</v>
      </c>
      <c r="G4250" t="s">
        <v>21</v>
      </c>
      <c r="H4250" t="str">
        <f>"3932804 AUG.2022"</f>
        <v>3932804 AUG.2022</v>
      </c>
      <c r="I4250" t="str">
        <f t="shared" si="104"/>
        <v>FRONTIER</v>
      </c>
    </row>
    <row r="4251" spans="1:9" x14ac:dyDescent="0.25">
      <c r="A4251" s="6">
        <v>44796</v>
      </c>
      <c r="B4251" t="s">
        <v>26</v>
      </c>
      <c r="C4251">
        <v>70345</v>
      </c>
      <c r="D4251" t="s">
        <v>85</v>
      </c>
      <c r="E4251" s="7">
        <v>47.75</v>
      </c>
      <c r="F4251" t="s">
        <v>20</v>
      </c>
      <c r="G4251" t="s">
        <v>21</v>
      </c>
      <c r="H4251" t="str">
        <f>"3936794 AUG.2022"</f>
        <v>3936794 AUG.2022</v>
      </c>
      <c r="I4251" t="str">
        <f t="shared" si="104"/>
        <v>FRONTIER</v>
      </c>
    </row>
    <row r="4252" spans="1:9" x14ac:dyDescent="0.25">
      <c r="A4252" s="6">
        <v>44796</v>
      </c>
      <c r="B4252" t="s">
        <v>26</v>
      </c>
      <c r="C4252">
        <v>70345</v>
      </c>
      <c r="D4252" t="s">
        <v>85</v>
      </c>
      <c r="E4252" s="7">
        <v>88.72</v>
      </c>
      <c r="F4252" t="s">
        <v>20</v>
      </c>
      <c r="G4252" t="s">
        <v>21</v>
      </c>
      <c r="H4252" t="str">
        <f>"3938193 AU. 2022"</f>
        <v>3938193 AU. 2022</v>
      </c>
      <c r="I4252" t="str">
        <f t="shared" si="104"/>
        <v>FRONTIER</v>
      </c>
    </row>
    <row r="4253" spans="1:9" x14ac:dyDescent="0.25">
      <c r="A4253" s="6">
        <v>44796</v>
      </c>
      <c r="B4253" t="s">
        <v>26</v>
      </c>
      <c r="C4253">
        <v>70345</v>
      </c>
      <c r="D4253" t="s">
        <v>85</v>
      </c>
      <c r="E4253" s="7">
        <v>1909</v>
      </c>
      <c r="F4253" t="s">
        <v>20</v>
      </c>
      <c r="G4253" t="s">
        <v>21</v>
      </c>
      <c r="H4253" t="str">
        <f>"8301970025 AUG.22"</f>
        <v>8301970025 AUG.22</v>
      </c>
      <c r="I4253" t="str">
        <f t="shared" si="104"/>
        <v>FRONTIER</v>
      </c>
    </row>
    <row r="4254" spans="1:9" x14ac:dyDescent="0.25">
      <c r="A4254" s="6">
        <v>44796</v>
      </c>
      <c r="B4254" t="s">
        <v>26</v>
      </c>
      <c r="C4254">
        <v>70345</v>
      </c>
      <c r="D4254" t="s">
        <v>85</v>
      </c>
      <c r="E4254" s="7">
        <v>205.71</v>
      </c>
      <c r="F4254" t="s">
        <v>20</v>
      </c>
      <c r="G4254" t="s">
        <v>21</v>
      </c>
      <c r="H4254" t="str">
        <f>"8301970102 8/2022"</f>
        <v>8301970102 8/2022</v>
      </c>
      <c r="I4254" t="str">
        <f t="shared" si="104"/>
        <v>FRONTIER</v>
      </c>
    </row>
    <row r="4255" spans="1:9" x14ac:dyDescent="0.25">
      <c r="A4255" s="6">
        <v>44796</v>
      </c>
      <c r="B4255" t="s">
        <v>26</v>
      </c>
      <c r="C4255">
        <v>70348</v>
      </c>
      <c r="D4255" t="s">
        <v>302</v>
      </c>
      <c r="E4255" s="7">
        <v>760</v>
      </c>
      <c r="F4255" t="s">
        <v>20</v>
      </c>
      <c r="G4255" t="s">
        <v>21</v>
      </c>
      <c r="H4255" t="str">
        <f>"9402318100"</f>
        <v>9402318100</v>
      </c>
      <c r="I4255" t="str">
        <f>"CORDLESS COMBINATION KIT"</f>
        <v>CORDLESS COMBINATION KIT</v>
      </c>
    </row>
    <row r="4256" spans="1:9" x14ac:dyDescent="0.25">
      <c r="A4256" s="6">
        <v>44796</v>
      </c>
      <c r="B4256" t="s">
        <v>26</v>
      </c>
      <c r="C4256">
        <v>70349</v>
      </c>
      <c r="D4256" t="s">
        <v>454</v>
      </c>
      <c r="E4256" s="7">
        <v>70</v>
      </c>
      <c r="F4256" t="s">
        <v>20</v>
      </c>
      <c r="G4256" t="s">
        <v>21</v>
      </c>
      <c r="H4256" t="str">
        <f>"8/17/2022*"</f>
        <v>8/17/2022*</v>
      </c>
      <c r="I4256" t="str">
        <f>"IRIS VANESSA BARRERA"</f>
        <v>IRIS VANESSA BARRERA</v>
      </c>
    </row>
    <row r="4257" spans="1:9" x14ac:dyDescent="0.25">
      <c r="A4257" s="6">
        <v>44796</v>
      </c>
      <c r="B4257" t="s">
        <v>26</v>
      </c>
      <c r="C4257">
        <v>70350</v>
      </c>
      <c r="D4257" t="s">
        <v>1267</v>
      </c>
      <c r="E4257" s="7">
        <v>41448.75</v>
      </c>
      <c r="F4257" t="s">
        <v>20</v>
      </c>
      <c r="G4257" t="s">
        <v>21</v>
      </c>
      <c r="H4257" t="str">
        <f>"F13316"</f>
        <v>F13316</v>
      </c>
      <c r="I4257" t="str">
        <f>"LAKE COUNTRY CHEVROLET  INC"</f>
        <v>LAKE COUNTRY CHEVROLET  INC</v>
      </c>
    </row>
    <row r="4258" spans="1:9" x14ac:dyDescent="0.25">
      <c r="A4258" s="6">
        <v>44796</v>
      </c>
      <c r="B4258" t="s">
        <v>26</v>
      </c>
      <c r="C4258">
        <v>70351</v>
      </c>
      <c r="D4258" t="s">
        <v>1109</v>
      </c>
      <c r="E4258" s="7">
        <v>960</v>
      </c>
      <c r="F4258" t="s">
        <v>20</v>
      </c>
      <c r="G4258" t="s">
        <v>21</v>
      </c>
      <c r="H4258" t="str">
        <f>"INV-052370"</f>
        <v>INV-052370</v>
      </c>
      <c r="I4258" t="str">
        <f>"MANLEY SOLUTIONS  INC"</f>
        <v>MANLEY SOLUTIONS  INC</v>
      </c>
    </row>
    <row r="4259" spans="1:9" x14ac:dyDescent="0.25">
      <c r="A4259" s="6">
        <v>44796</v>
      </c>
      <c r="B4259" t="s">
        <v>26</v>
      </c>
      <c r="C4259">
        <v>70352</v>
      </c>
      <c r="D4259" t="s">
        <v>1257</v>
      </c>
      <c r="E4259" s="7">
        <v>172.43</v>
      </c>
      <c r="F4259" t="s">
        <v>20</v>
      </c>
      <c r="G4259" t="s">
        <v>21</v>
      </c>
      <c r="H4259" t="str">
        <f>"8/20/2022"</f>
        <v>8/20/2022</v>
      </c>
      <c r="I4259" t="str">
        <f>"MARYLOU B TORRES"</f>
        <v>MARYLOU B TORRES</v>
      </c>
    </row>
    <row r="4260" spans="1:9" x14ac:dyDescent="0.25">
      <c r="A4260" s="6">
        <v>44796</v>
      </c>
      <c r="B4260" t="s">
        <v>26</v>
      </c>
      <c r="C4260">
        <v>70353</v>
      </c>
      <c r="D4260" t="s">
        <v>345</v>
      </c>
      <c r="E4260" s="7">
        <v>445.5</v>
      </c>
      <c r="F4260" t="s">
        <v>20</v>
      </c>
      <c r="G4260" t="s">
        <v>21</v>
      </c>
      <c r="H4260" t="str">
        <f>"8/22/2022"</f>
        <v>8/22/2022</v>
      </c>
      <c r="I4260" t="str">
        <f>"MICHAEL ISAAC MARTINEZ"</f>
        <v>MICHAEL ISAAC MARTINEZ</v>
      </c>
    </row>
    <row r="4261" spans="1:9" x14ac:dyDescent="0.25">
      <c r="A4261" s="6">
        <v>44796</v>
      </c>
      <c r="B4261" t="s">
        <v>26</v>
      </c>
      <c r="C4261">
        <v>70354</v>
      </c>
      <c r="D4261" t="s">
        <v>1001</v>
      </c>
      <c r="E4261" s="7">
        <v>850</v>
      </c>
      <c r="F4261" t="s">
        <v>20</v>
      </c>
      <c r="G4261" t="s">
        <v>21</v>
      </c>
      <c r="H4261" t="str">
        <f>"1450"</f>
        <v>1450</v>
      </c>
      <c r="I4261" t="str">
        <f>"BROTHER 4230 PRINTER"</f>
        <v>BROTHER 4230 PRINTER</v>
      </c>
    </row>
    <row r="4262" spans="1:9" x14ac:dyDescent="0.25">
      <c r="A4262" s="6">
        <v>44796</v>
      </c>
      <c r="B4262" t="s">
        <v>26</v>
      </c>
      <c r="C4262">
        <v>70355</v>
      </c>
      <c r="D4262" t="s">
        <v>169</v>
      </c>
      <c r="E4262" s="7">
        <v>32.58</v>
      </c>
      <c r="F4262" t="s">
        <v>20</v>
      </c>
      <c r="G4262" t="s">
        <v>21</v>
      </c>
      <c r="H4262" t="str">
        <f>"165796"</f>
        <v>165796</v>
      </c>
      <c r="I4262" t="str">
        <f>"THE POLICE AND SHERIFFS PRESS"</f>
        <v>THE POLICE AND SHERIFFS PRESS</v>
      </c>
    </row>
    <row r="4263" spans="1:9" x14ac:dyDescent="0.25">
      <c r="A4263" s="6">
        <v>44796</v>
      </c>
      <c r="B4263" t="s">
        <v>26</v>
      </c>
      <c r="C4263">
        <v>70356</v>
      </c>
      <c r="D4263" t="s">
        <v>323</v>
      </c>
      <c r="E4263" s="7">
        <v>630</v>
      </c>
      <c r="F4263" t="s">
        <v>20</v>
      </c>
      <c r="G4263" t="s">
        <v>21</v>
      </c>
      <c r="H4263" t="str">
        <f>"120686"</f>
        <v>120686</v>
      </c>
      <c r="I4263" t="str">
        <f>"POLLOK SELF STORAGE LLC"</f>
        <v>POLLOK SELF STORAGE LLC</v>
      </c>
    </row>
    <row r="4264" spans="1:9" x14ac:dyDescent="0.25">
      <c r="A4264" s="6">
        <v>44796</v>
      </c>
      <c r="B4264" t="s">
        <v>26</v>
      </c>
      <c r="C4264">
        <v>70357</v>
      </c>
      <c r="D4264" t="s">
        <v>630</v>
      </c>
      <c r="E4264" s="7">
        <v>1692.54</v>
      </c>
      <c r="F4264" t="s">
        <v>20</v>
      </c>
      <c r="G4264" t="s">
        <v>21</v>
      </c>
      <c r="H4264" t="str">
        <f>"42806"</f>
        <v>42806</v>
      </c>
      <c r="I4264" t="str">
        <f>"FOOTBALL FIELDS"</f>
        <v>FOOTBALL FIELDS</v>
      </c>
    </row>
    <row r="4265" spans="1:9" x14ac:dyDescent="0.25">
      <c r="A4265" s="6">
        <v>44796</v>
      </c>
      <c r="B4265" t="s">
        <v>26</v>
      </c>
      <c r="C4265">
        <v>70358</v>
      </c>
      <c r="D4265" t="s">
        <v>495</v>
      </c>
      <c r="E4265" s="7">
        <v>48.85</v>
      </c>
      <c r="F4265" t="s">
        <v>20</v>
      </c>
      <c r="G4265" t="s">
        <v>21</v>
      </c>
      <c r="H4265" t="str">
        <f>"0556934-IN"</f>
        <v>0556934-IN</v>
      </c>
      <c r="I4265" t="str">
        <f>"POLICE KITS"</f>
        <v>POLICE KITS</v>
      </c>
    </row>
    <row r="4266" spans="1:9" x14ac:dyDescent="0.25">
      <c r="A4266" s="6">
        <v>44796</v>
      </c>
      <c r="B4266" t="s">
        <v>26</v>
      </c>
      <c r="C4266">
        <v>70359</v>
      </c>
      <c r="D4266" t="s">
        <v>132</v>
      </c>
      <c r="E4266" s="7">
        <v>144.27000000000001</v>
      </c>
      <c r="F4266" t="s">
        <v>20</v>
      </c>
      <c r="G4266" t="s">
        <v>21</v>
      </c>
      <c r="H4266" t="str">
        <f>"16992887 081122"</f>
        <v>16992887 081122</v>
      </c>
      <c r="I4266" t="str">
        <f>"SPARKLETTS &amp; SIERRA SPRINGS"</f>
        <v>SPARKLETTS &amp; SIERRA SPRINGS</v>
      </c>
    </row>
    <row r="4267" spans="1:9" x14ac:dyDescent="0.25">
      <c r="A4267" s="6">
        <v>44796</v>
      </c>
      <c r="B4267" t="s">
        <v>26</v>
      </c>
      <c r="C4267">
        <v>70360</v>
      </c>
      <c r="D4267" t="s">
        <v>84</v>
      </c>
      <c r="E4267" s="7">
        <v>300</v>
      </c>
      <c r="F4267" t="s">
        <v>20</v>
      </c>
      <c r="G4267" t="s">
        <v>21</v>
      </c>
      <c r="H4267" t="str">
        <f>"1941271"</f>
        <v>1941271</v>
      </c>
      <c r="I4267" t="str">
        <f>"STANTEC CONSULTING SERVICES IN"</f>
        <v>STANTEC CONSULTING SERVICES IN</v>
      </c>
    </row>
    <row r="4268" spans="1:9" x14ac:dyDescent="0.25">
      <c r="A4268" s="6">
        <v>44796</v>
      </c>
      <c r="B4268" t="s">
        <v>26</v>
      </c>
      <c r="C4268">
        <v>70361</v>
      </c>
      <c r="D4268" t="s">
        <v>1141</v>
      </c>
      <c r="E4268" s="7">
        <v>278.88</v>
      </c>
      <c r="F4268" t="s">
        <v>20</v>
      </c>
      <c r="G4268" t="s">
        <v>21</v>
      </c>
      <c r="H4268" t="str">
        <f>"SS1-SS12988"</f>
        <v>SS1-SS12988</v>
      </c>
      <c r="I4268" t="str">
        <f>"TEXAS LANDFILL MANAGEMENT  LLC"</f>
        <v>TEXAS LANDFILL MANAGEMENT  LLC</v>
      </c>
    </row>
    <row r="4269" spans="1:9" x14ac:dyDescent="0.25">
      <c r="A4269" s="6">
        <v>44796</v>
      </c>
      <c r="B4269" t="s">
        <v>26</v>
      </c>
      <c r="C4269">
        <v>70361</v>
      </c>
      <c r="D4269" t="s">
        <v>1141</v>
      </c>
      <c r="E4269" s="7">
        <v>294.56</v>
      </c>
      <c r="F4269" t="s">
        <v>20</v>
      </c>
      <c r="G4269" t="s">
        <v>21</v>
      </c>
      <c r="H4269" t="str">
        <f>"SS1-SS12998"</f>
        <v>SS1-SS12998</v>
      </c>
      <c r="I4269" t="str">
        <f>"TEXAS LANDFILL MANAGEMENT  LLC"</f>
        <v>TEXAS LANDFILL MANAGEMENT  LLC</v>
      </c>
    </row>
    <row r="4270" spans="1:9" x14ac:dyDescent="0.25">
      <c r="A4270" s="6">
        <v>44796</v>
      </c>
      <c r="B4270" t="s">
        <v>26</v>
      </c>
      <c r="C4270">
        <v>70361</v>
      </c>
      <c r="D4270" t="s">
        <v>1141</v>
      </c>
      <c r="E4270" s="7">
        <v>271.04000000000002</v>
      </c>
      <c r="F4270" t="s">
        <v>20</v>
      </c>
      <c r="G4270" t="s">
        <v>21</v>
      </c>
      <c r="H4270" t="str">
        <f>"SS1-SS13040"</f>
        <v>SS1-SS13040</v>
      </c>
      <c r="I4270" t="str">
        <f>"TEXAS LANDFILL MANAGEMENT  LLC"</f>
        <v>TEXAS LANDFILL MANAGEMENT  LLC</v>
      </c>
    </row>
    <row r="4271" spans="1:9" x14ac:dyDescent="0.25">
      <c r="A4271" s="6">
        <v>44796</v>
      </c>
      <c r="B4271" t="s">
        <v>26</v>
      </c>
      <c r="C4271">
        <v>70362</v>
      </c>
      <c r="D4271" t="s">
        <v>1217</v>
      </c>
      <c r="E4271" s="7">
        <v>243.55</v>
      </c>
      <c r="F4271" t="s">
        <v>20</v>
      </c>
      <c r="G4271" t="s">
        <v>21</v>
      </c>
      <c r="H4271" t="str">
        <f>"8/23/2022 SHIRTS"</f>
        <v>8/23/2022 SHIRTS</v>
      </c>
      <c r="I4271" t="str">
        <f>"THERESA LEE ROLLAND"</f>
        <v>THERESA LEE ROLLAND</v>
      </c>
    </row>
    <row r="4272" spans="1:9" x14ac:dyDescent="0.25">
      <c r="A4272" s="6">
        <v>44796</v>
      </c>
      <c r="B4272" t="s">
        <v>26</v>
      </c>
      <c r="C4272">
        <v>70363</v>
      </c>
      <c r="D4272" t="s">
        <v>1038</v>
      </c>
      <c r="E4272" s="7">
        <v>50</v>
      </c>
      <c r="F4272" t="s">
        <v>20</v>
      </c>
      <c r="G4272" t="s">
        <v>21</v>
      </c>
      <c r="H4272" t="str">
        <f>"DEP.RFND 8/5/22"</f>
        <v>DEP.RFND 8/5/22</v>
      </c>
      <c r="I4272" t="str">
        <f>"REFUND"</f>
        <v>REFUND</v>
      </c>
    </row>
    <row r="4273" spans="1:9" x14ac:dyDescent="0.25">
      <c r="A4273" s="6">
        <v>44796</v>
      </c>
      <c r="B4273" t="s">
        <v>26</v>
      </c>
      <c r="C4273">
        <v>70364</v>
      </c>
      <c r="D4273" t="s">
        <v>1268</v>
      </c>
      <c r="E4273" s="7">
        <v>50</v>
      </c>
      <c r="F4273" t="s">
        <v>20</v>
      </c>
      <c r="G4273" t="s">
        <v>21</v>
      </c>
      <c r="H4273" t="str">
        <f>"DEP.RFND 8/6/22"</f>
        <v>DEP.RFND 8/6/22</v>
      </c>
      <c r="I4273" t="str">
        <f>"REFUND"</f>
        <v>REFUND</v>
      </c>
    </row>
    <row r="4274" spans="1:9" x14ac:dyDescent="0.25">
      <c r="A4274" s="6">
        <v>44796</v>
      </c>
      <c r="B4274" t="s">
        <v>26</v>
      </c>
      <c r="C4274">
        <v>70365</v>
      </c>
      <c r="D4274" t="s">
        <v>1269</v>
      </c>
      <c r="E4274" s="7">
        <v>50</v>
      </c>
      <c r="F4274" t="s">
        <v>20</v>
      </c>
      <c r="G4274" t="s">
        <v>21</v>
      </c>
      <c r="H4274" t="str">
        <f>"DEPOSIT RFND 7/30"</f>
        <v>DEPOSIT RFND 7/30</v>
      </c>
      <c r="I4274" t="str">
        <f>"REFUND"</f>
        <v>REFUND</v>
      </c>
    </row>
    <row r="4275" spans="1:9" x14ac:dyDescent="0.25">
      <c r="A4275" s="6">
        <v>44796</v>
      </c>
      <c r="B4275" t="s">
        <v>26</v>
      </c>
      <c r="C4275">
        <v>70366</v>
      </c>
      <c r="D4275" t="s">
        <v>1270</v>
      </c>
      <c r="E4275" s="7">
        <v>50</v>
      </c>
      <c r="F4275" t="s">
        <v>20</v>
      </c>
      <c r="G4275" t="s">
        <v>21</v>
      </c>
      <c r="H4275" t="str">
        <f>"DPE RFND 8/13/22"</f>
        <v>DPE RFND 8/13/22</v>
      </c>
      <c r="I4275" t="str">
        <f>"REFUND"</f>
        <v>REFUND</v>
      </c>
    </row>
    <row r="4276" spans="1:9" x14ac:dyDescent="0.25">
      <c r="A4276" s="6">
        <v>44796</v>
      </c>
      <c r="B4276" t="s">
        <v>26</v>
      </c>
      <c r="C4276">
        <v>70367</v>
      </c>
      <c r="D4276" t="s">
        <v>1271</v>
      </c>
      <c r="E4276" s="7">
        <v>350</v>
      </c>
      <c r="F4276" t="s">
        <v>20</v>
      </c>
      <c r="G4276" t="s">
        <v>21</v>
      </c>
      <c r="H4276" t="str">
        <f>"DPST RFND 8/27/22"</f>
        <v>DPST RFND 8/27/22</v>
      </c>
      <c r="I4276" t="str">
        <f>"REFUND"</f>
        <v>REFUND</v>
      </c>
    </row>
    <row r="4277" spans="1:9" x14ac:dyDescent="0.25">
      <c r="A4277" s="6">
        <v>44796</v>
      </c>
      <c r="B4277" t="s">
        <v>26</v>
      </c>
      <c r="C4277">
        <v>70368</v>
      </c>
      <c r="D4277" t="s">
        <v>1272</v>
      </c>
      <c r="E4277" s="7">
        <v>600</v>
      </c>
      <c r="F4277" t="s">
        <v>20</v>
      </c>
      <c r="G4277" t="s">
        <v>21</v>
      </c>
      <c r="H4277" t="str">
        <f>"HYDRANT REFUND"</f>
        <v>HYDRANT REFUND</v>
      </c>
      <c r="I4277" t="str">
        <f>"REFUNG"</f>
        <v>REFUNG</v>
      </c>
    </row>
    <row r="4278" spans="1:9" x14ac:dyDescent="0.25">
      <c r="A4278" s="6">
        <v>44796</v>
      </c>
      <c r="B4278" t="s">
        <v>26</v>
      </c>
      <c r="C4278">
        <v>70369</v>
      </c>
      <c r="D4278" t="s">
        <v>1273</v>
      </c>
      <c r="E4278" s="7">
        <v>720</v>
      </c>
      <c r="F4278" t="s">
        <v>20</v>
      </c>
      <c r="G4278" t="s">
        <v>21</v>
      </c>
      <c r="H4278" t="str">
        <f>"8/7-8/20/2022"</f>
        <v>8/7-8/20/2022</v>
      </c>
      <c r="I4278" t="str">
        <f>"MEGAN D GARCIA"</f>
        <v>MEGAN D GARCIA</v>
      </c>
    </row>
    <row r="4279" spans="1:9" x14ac:dyDescent="0.25">
      <c r="A4279" s="6">
        <v>44797</v>
      </c>
      <c r="B4279" t="s">
        <v>26</v>
      </c>
      <c r="C4279">
        <v>70370</v>
      </c>
      <c r="D4279" t="s">
        <v>103</v>
      </c>
      <c r="E4279" s="7">
        <v>107183.64</v>
      </c>
      <c r="F4279" t="s">
        <v>20</v>
      </c>
      <c r="G4279" t="s">
        <v>21</v>
      </c>
      <c r="H4279" t="str">
        <f>"SALES TAX AUG.2022"</f>
        <v>SALES TAX AUG.2022</v>
      </c>
      <c r="I4279" t="str">
        <f>"F. E. D. C."</f>
        <v>F. E. D. C.</v>
      </c>
    </row>
    <row r="4280" spans="1:9" x14ac:dyDescent="0.25">
      <c r="A4280" s="6">
        <v>44804</v>
      </c>
      <c r="B4280" t="s">
        <v>26</v>
      </c>
      <c r="C4280">
        <v>70371</v>
      </c>
      <c r="D4280" t="s">
        <v>821</v>
      </c>
      <c r="E4280" s="7">
        <v>8845.06</v>
      </c>
      <c r="F4280" t="s">
        <v>20</v>
      </c>
      <c r="G4280" t="s">
        <v>21</v>
      </c>
      <c r="H4280" t="str">
        <f>"FRI10430"</f>
        <v>FRI10430</v>
      </c>
      <c r="I4280" t="str">
        <f>"AUSTIN ARMATURE WORKS  LP"</f>
        <v>AUSTIN ARMATURE WORKS  LP</v>
      </c>
    </row>
    <row r="4281" spans="1:9" x14ac:dyDescent="0.25">
      <c r="A4281" s="6">
        <v>44804</v>
      </c>
      <c r="B4281" t="s">
        <v>26</v>
      </c>
      <c r="C4281">
        <v>70371</v>
      </c>
      <c r="D4281" t="s">
        <v>821</v>
      </c>
      <c r="E4281" s="7">
        <v>4130</v>
      </c>
      <c r="F4281" t="s">
        <v>20</v>
      </c>
      <c r="G4281" t="s">
        <v>21</v>
      </c>
      <c r="H4281" t="str">
        <f>"NS114286"</f>
        <v>NS114286</v>
      </c>
      <c r="I4281" t="str">
        <f>"LIFT STATION #4 4D"</f>
        <v>LIFT STATION #4 4D</v>
      </c>
    </row>
    <row r="4282" spans="1:9" x14ac:dyDescent="0.25">
      <c r="A4282" s="6">
        <v>44804</v>
      </c>
      <c r="B4282" t="s">
        <v>26</v>
      </c>
      <c r="C4282">
        <v>70372</v>
      </c>
      <c r="D4282" t="s">
        <v>115</v>
      </c>
      <c r="E4282" s="7">
        <v>27.45</v>
      </c>
      <c r="F4282" t="s">
        <v>20</v>
      </c>
      <c r="G4282" t="s">
        <v>21</v>
      </c>
      <c r="H4282" t="str">
        <f>"3547325128"</f>
        <v>3547325128</v>
      </c>
      <c r="I4282" t="str">
        <f>"OIL ABS FULLER"</f>
        <v>OIL ABS FULLER</v>
      </c>
    </row>
    <row r="4283" spans="1:9" x14ac:dyDescent="0.25">
      <c r="A4283" s="6">
        <v>44804</v>
      </c>
      <c r="B4283" t="s">
        <v>26</v>
      </c>
      <c r="C4283">
        <v>70372</v>
      </c>
      <c r="D4283" t="s">
        <v>115</v>
      </c>
      <c r="E4283" s="7">
        <v>35.090000000000003</v>
      </c>
      <c r="F4283" t="s">
        <v>20</v>
      </c>
      <c r="G4283" t="s">
        <v>21</v>
      </c>
      <c r="H4283" t="str">
        <f>"3547330164"</f>
        <v>3547330164</v>
      </c>
      <c r="I4283" t="str">
        <f>"TIRE SENSOR PD UNIT 329"</f>
        <v>TIRE SENSOR PD UNIT 329</v>
      </c>
    </row>
    <row r="4284" spans="1:9" x14ac:dyDescent="0.25">
      <c r="A4284" s="6">
        <v>44804</v>
      </c>
      <c r="B4284" t="s">
        <v>26</v>
      </c>
      <c r="C4284">
        <v>70373</v>
      </c>
      <c r="D4284" t="s">
        <v>1130</v>
      </c>
      <c r="E4284" s="7">
        <v>1560.45</v>
      </c>
      <c r="F4284" t="s">
        <v>20</v>
      </c>
      <c r="G4284" t="s">
        <v>21</v>
      </c>
      <c r="H4284" t="str">
        <f>"155879"</f>
        <v>155879</v>
      </c>
      <c r="I4284" t="str">
        <f>"AZAVAR"</f>
        <v>AZAVAR</v>
      </c>
    </row>
    <row r="4285" spans="1:9" x14ac:dyDescent="0.25">
      <c r="A4285" s="6">
        <v>44804</v>
      </c>
      <c r="B4285" t="s">
        <v>26</v>
      </c>
      <c r="C4285">
        <v>70373</v>
      </c>
      <c r="D4285" t="s">
        <v>1130</v>
      </c>
      <c r="E4285" s="7">
        <v>1800</v>
      </c>
      <c r="F4285" t="s">
        <v>20</v>
      </c>
      <c r="G4285" t="s">
        <v>21</v>
      </c>
      <c r="H4285" t="str">
        <f>"155887"</f>
        <v>155887</v>
      </c>
      <c r="I4285" t="str">
        <f>"AZAVAR"</f>
        <v>AZAVAR</v>
      </c>
    </row>
    <row r="4286" spans="1:9" x14ac:dyDescent="0.25">
      <c r="A4286" s="6">
        <v>44804</v>
      </c>
      <c r="B4286" t="s">
        <v>26</v>
      </c>
      <c r="C4286">
        <v>70373</v>
      </c>
      <c r="D4286" t="s">
        <v>1130</v>
      </c>
      <c r="E4286" s="7">
        <v>448</v>
      </c>
      <c r="F4286" t="s">
        <v>20</v>
      </c>
      <c r="G4286" t="s">
        <v>21</v>
      </c>
      <c r="H4286" t="str">
        <f>"155944"</f>
        <v>155944</v>
      </c>
      <c r="I4286" t="str">
        <f>"AZAVAR"</f>
        <v>AZAVAR</v>
      </c>
    </row>
    <row r="4287" spans="1:9" x14ac:dyDescent="0.25">
      <c r="A4287" s="6">
        <v>44804</v>
      </c>
      <c r="B4287" t="s">
        <v>26</v>
      </c>
      <c r="C4287">
        <v>70374</v>
      </c>
      <c r="D4287" t="s">
        <v>1063</v>
      </c>
      <c r="E4287" s="7">
        <v>6042.19</v>
      </c>
      <c r="F4287" t="s">
        <v>20</v>
      </c>
      <c r="G4287" t="s">
        <v>21</v>
      </c>
      <c r="H4287" t="str">
        <f>"18035228"</f>
        <v>18035228</v>
      </c>
      <c r="I4287" t="str">
        <f>"BLADES GROUP  LLC"</f>
        <v>BLADES GROUP  LLC</v>
      </c>
    </row>
    <row r="4288" spans="1:9" x14ac:dyDescent="0.25">
      <c r="A4288" s="6">
        <v>44804</v>
      </c>
      <c r="B4288" t="s">
        <v>26</v>
      </c>
      <c r="C4288">
        <v>70375</v>
      </c>
      <c r="D4288" t="s">
        <v>63</v>
      </c>
      <c r="E4288" s="7">
        <v>743.26</v>
      </c>
      <c r="F4288" t="s">
        <v>20</v>
      </c>
      <c r="G4288" t="s">
        <v>21</v>
      </c>
      <c r="H4288" t="str">
        <f>"8405820979"</f>
        <v>8405820979</v>
      </c>
      <c r="I4288" t="str">
        <f>"CINTAS CORPORATION"</f>
        <v>CINTAS CORPORATION</v>
      </c>
    </row>
    <row r="4289" spans="1:9" x14ac:dyDescent="0.25">
      <c r="A4289" s="6">
        <v>44804</v>
      </c>
      <c r="B4289" t="s">
        <v>26</v>
      </c>
      <c r="C4289">
        <v>70376</v>
      </c>
      <c r="D4289" t="s">
        <v>71</v>
      </c>
      <c r="E4289" s="7">
        <v>9.3800000000000008</v>
      </c>
      <c r="F4289" t="s">
        <v>20</v>
      </c>
      <c r="G4289" t="s">
        <v>21</v>
      </c>
      <c r="H4289" t="str">
        <f>"4128303127"</f>
        <v>4128303127</v>
      </c>
      <c r="I4289" t="str">
        <f t="shared" ref="I4289:I4298" si="105">"CINTAS CORPORATION #087"</f>
        <v>CINTAS CORPORATION #087</v>
      </c>
    </row>
    <row r="4290" spans="1:9" x14ac:dyDescent="0.25">
      <c r="A4290" s="6">
        <v>44804</v>
      </c>
      <c r="B4290" t="s">
        <v>26</v>
      </c>
      <c r="C4290">
        <v>70376</v>
      </c>
      <c r="D4290" t="s">
        <v>71</v>
      </c>
      <c r="E4290" s="7">
        <v>57.72</v>
      </c>
      <c r="F4290" t="s">
        <v>20</v>
      </c>
      <c r="G4290" t="s">
        <v>21</v>
      </c>
      <c r="H4290" t="str">
        <f>"4128303193"</f>
        <v>4128303193</v>
      </c>
      <c r="I4290" t="str">
        <f t="shared" si="105"/>
        <v>CINTAS CORPORATION #087</v>
      </c>
    </row>
    <row r="4291" spans="1:9" x14ac:dyDescent="0.25">
      <c r="A4291" s="6">
        <v>44804</v>
      </c>
      <c r="B4291" t="s">
        <v>26</v>
      </c>
      <c r="C4291">
        <v>70376</v>
      </c>
      <c r="D4291" t="s">
        <v>71</v>
      </c>
      <c r="E4291" s="7">
        <v>31.89</v>
      </c>
      <c r="F4291" t="s">
        <v>20</v>
      </c>
      <c r="G4291" t="s">
        <v>21</v>
      </c>
      <c r="H4291" t="str">
        <f>"4128303208"</f>
        <v>4128303208</v>
      </c>
      <c r="I4291" t="str">
        <f t="shared" si="105"/>
        <v>CINTAS CORPORATION #087</v>
      </c>
    </row>
    <row r="4292" spans="1:9" x14ac:dyDescent="0.25">
      <c r="A4292" s="6">
        <v>44804</v>
      </c>
      <c r="B4292" t="s">
        <v>26</v>
      </c>
      <c r="C4292">
        <v>70376</v>
      </c>
      <c r="D4292" t="s">
        <v>71</v>
      </c>
      <c r="E4292" s="7">
        <v>37.1</v>
      </c>
      <c r="F4292" t="s">
        <v>20</v>
      </c>
      <c r="G4292" t="s">
        <v>21</v>
      </c>
      <c r="H4292" t="str">
        <f>"4128303230"</f>
        <v>4128303230</v>
      </c>
      <c r="I4292" t="str">
        <f t="shared" si="105"/>
        <v>CINTAS CORPORATION #087</v>
      </c>
    </row>
    <row r="4293" spans="1:9" x14ac:dyDescent="0.25">
      <c r="A4293" s="6">
        <v>44804</v>
      </c>
      <c r="B4293" t="s">
        <v>26</v>
      </c>
      <c r="C4293">
        <v>70376</v>
      </c>
      <c r="D4293" t="s">
        <v>71</v>
      </c>
      <c r="E4293" s="7">
        <v>217.34</v>
      </c>
      <c r="F4293" t="s">
        <v>20</v>
      </c>
      <c r="G4293" t="s">
        <v>21</v>
      </c>
      <c r="H4293" t="str">
        <f>"4128303263"</f>
        <v>4128303263</v>
      </c>
      <c r="I4293" t="str">
        <f t="shared" si="105"/>
        <v>CINTAS CORPORATION #087</v>
      </c>
    </row>
    <row r="4294" spans="1:9" x14ac:dyDescent="0.25">
      <c r="A4294" s="6">
        <v>44804</v>
      </c>
      <c r="B4294" t="s">
        <v>26</v>
      </c>
      <c r="C4294">
        <v>70376</v>
      </c>
      <c r="D4294" t="s">
        <v>71</v>
      </c>
      <c r="E4294" s="7">
        <v>909.86</v>
      </c>
      <c r="F4294" t="s">
        <v>20</v>
      </c>
      <c r="G4294" t="s">
        <v>21</v>
      </c>
      <c r="H4294" t="str">
        <f>"4128303396"</f>
        <v>4128303396</v>
      </c>
      <c r="I4294" t="str">
        <f t="shared" si="105"/>
        <v>CINTAS CORPORATION #087</v>
      </c>
    </row>
    <row r="4295" spans="1:9" x14ac:dyDescent="0.25">
      <c r="A4295" s="6">
        <v>44804</v>
      </c>
      <c r="B4295" t="s">
        <v>26</v>
      </c>
      <c r="C4295">
        <v>70376</v>
      </c>
      <c r="D4295" t="s">
        <v>71</v>
      </c>
      <c r="E4295" s="7">
        <v>118.8</v>
      </c>
      <c r="F4295" t="s">
        <v>20</v>
      </c>
      <c r="G4295" t="s">
        <v>21</v>
      </c>
      <c r="H4295" t="str">
        <f>"4128999738"</f>
        <v>4128999738</v>
      </c>
      <c r="I4295" t="str">
        <f t="shared" si="105"/>
        <v>CINTAS CORPORATION #087</v>
      </c>
    </row>
    <row r="4296" spans="1:9" x14ac:dyDescent="0.25">
      <c r="A4296" s="6">
        <v>44804</v>
      </c>
      <c r="B4296" t="s">
        <v>26</v>
      </c>
      <c r="C4296">
        <v>70376</v>
      </c>
      <c r="D4296" t="s">
        <v>71</v>
      </c>
      <c r="E4296" s="7">
        <v>164.22</v>
      </c>
      <c r="F4296" t="s">
        <v>20</v>
      </c>
      <c r="G4296" t="s">
        <v>21</v>
      </c>
      <c r="H4296" t="str">
        <f>"4128999776"</f>
        <v>4128999776</v>
      </c>
      <c r="I4296" t="str">
        <f t="shared" si="105"/>
        <v>CINTAS CORPORATION #087</v>
      </c>
    </row>
    <row r="4297" spans="1:9" x14ac:dyDescent="0.25">
      <c r="A4297" s="6">
        <v>44804</v>
      </c>
      <c r="B4297" t="s">
        <v>26</v>
      </c>
      <c r="C4297">
        <v>70376</v>
      </c>
      <c r="D4297" t="s">
        <v>71</v>
      </c>
      <c r="E4297" s="7">
        <v>90.43</v>
      </c>
      <c r="F4297" t="s">
        <v>20</v>
      </c>
      <c r="G4297" t="s">
        <v>21</v>
      </c>
      <c r="H4297" t="str">
        <f>"4128999802"</f>
        <v>4128999802</v>
      </c>
      <c r="I4297" t="str">
        <f t="shared" si="105"/>
        <v>CINTAS CORPORATION #087</v>
      </c>
    </row>
    <row r="4298" spans="1:9" x14ac:dyDescent="0.25">
      <c r="A4298" s="6">
        <v>44804</v>
      </c>
      <c r="B4298" t="s">
        <v>26</v>
      </c>
      <c r="C4298">
        <v>70376</v>
      </c>
      <c r="D4298" t="s">
        <v>71</v>
      </c>
      <c r="E4298" s="7">
        <v>79.28</v>
      </c>
      <c r="F4298" t="s">
        <v>20</v>
      </c>
      <c r="G4298" t="s">
        <v>21</v>
      </c>
      <c r="H4298" t="str">
        <f>"4128999880"</f>
        <v>4128999880</v>
      </c>
      <c r="I4298" t="str">
        <f t="shared" si="105"/>
        <v>CINTAS CORPORATION #087</v>
      </c>
    </row>
    <row r="4299" spans="1:9" x14ac:dyDescent="0.25">
      <c r="A4299" s="6">
        <v>44804</v>
      </c>
      <c r="B4299" t="s">
        <v>26</v>
      </c>
      <c r="C4299">
        <v>70379</v>
      </c>
      <c r="D4299" t="s">
        <v>0</v>
      </c>
      <c r="E4299" s="7">
        <v>3019.88</v>
      </c>
      <c r="F4299" t="s">
        <v>20</v>
      </c>
      <c r="G4299" t="s">
        <v>21</v>
      </c>
      <c r="H4299" t="str">
        <f>"7/10-8/10/2022"</f>
        <v>7/10-8/10/2022</v>
      </c>
      <c r="I4299" t="str">
        <f>"CITY OF FLORESVILLE"</f>
        <v>CITY OF FLORESVILLE</v>
      </c>
    </row>
    <row r="4300" spans="1:9" x14ac:dyDescent="0.25">
      <c r="A4300" s="6">
        <v>44804</v>
      </c>
      <c r="B4300" t="s">
        <v>26</v>
      </c>
      <c r="C4300">
        <v>70380</v>
      </c>
      <c r="D4300" t="s">
        <v>69</v>
      </c>
      <c r="E4300" s="7">
        <v>77.41</v>
      </c>
      <c r="F4300" t="s">
        <v>20</v>
      </c>
      <c r="G4300" t="s">
        <v>21</v>
      </c>
      <c r="H4300" t="str">
        <f>"3C19983"</f>
        <v>3C19983</v>
      </c>
      <c r="I4300" t="str">
        <f>"BELTS FOR SHREDDER"</f>
        <v>BELTS FOR SHREDDER</v>
      </c>
    </row>
    <row r="4301" spans="1:9" x14ac:dyDescent="0.25">
      <c r="A4301" s="6">
        <v>44804</v>
      </c>
      <c r="B4301" t="s">
        <v>26</v>
      </c>
      <c r="C4301">
        <v>70381</v>
      </c>
      <c r="D4301" t="s">
        <v>79</v>
      </c>
      <c r="E4301" s="7">
        <v>7.31</v>
      </c>
      <c r="F4301" t="s">
        <v>20</v>
      </c>
      <c r="G4301" t="s">
        <v>21</v>
      </c>
      <c r="H4301" t="str">
        <f>"3C19983"</f>
        <v>3C19983</v>
      </c>
      <c r="I4301" t="str">
        <f>"FEDEX"</f>
        <v>FEDEX</v>
      </c>
    </row>
    <row r="4302" spans="1:9" x14ac:dyDescent="0.25">
      <c r="A4302" s="6">
        <v>44804</v>
      </c>
      <c r="B4302" t="s">
        <v>26</v>
      </c>
      <c r="C4302">
        <v>70382</v>
      </c>
      <c r="D4302" t="s">
        <v>59</v>
      </c>
      <c r="E4302" s="7">
        <v>1882.39</v>
      </c>
      <c r="F4302" t="s">
        <v>20</v>
      </c>
      <c r="G4302" t="s">
        <v>21</v>
      </c>
      <c r="H4302" t="str">
        <f>"1169259-2"</f>
        <v>1169259-2</v>
      </c>
      <c r="I4302" t="str">
        <f>"FERGUSON WATERWORKS - MUNICIPA"</f>
        <v>FERGUSON WATERWORKS - MUNICIPA</v>
      </c>
    </row>
    <row r="4303" spans="1:9" x14ac:dyDescent="0.25">
      <c r="A4303" s="6">
        <v>44804</v>
      </c>
      <c r="B4303" t="s">
        <v>26</v>
      </c>
      <c r="C4303">
        <v>70382</v>
      </c>
      <c r="D4303" t="s">
        <v>59</v>
      </c>
      <c r="E4303" s="7">
        <v>1842.72</v>
      </c>
      <c r="F4303" t="s">
        <v>20</v>
      </c>
      <c r="G4303" t="s">
        <v>21</v>
      </c>
      <c r="H4303" t="str">
        <f>"1192613"</f>
        <v>1192613</v>
      </c>
      <c r="I4303" t="str">
        <f>"MISC ITEMS"</f>
        <v>MISC ITEMS</v>
      </c>
    </row>
    <row r="4304" spans="1:9" x14ac:dyDescent="0.25">
      <c r="A4304" s="6">
        <v>44804</v>
      </c>
      <c r="B4304" t="s">
        <v>26</v>
      </c>
      <c r="C4304">
        <v>70383</v>
      </c>
      <c r="D4304" t="s">
        <v>194</v>
      </c>
      <c r="E4304" s="7">
        <v>204.41</v>
      </c>
      <c r="F4304" t="s">
        <v>20</v>
      </c>
      <c r="G4304" t="s">
        <v>21</v>
      </c>
      <c r="H4304" t="str">
        <f>"021801447"</f>
        <v>021801447</v>
      </c>
      <c r="I4304" t="str">
        <f>"GALLS  LLC-D.B.A. STERLING'S U"</f>
        <v>GALLS  LLC-D.B.A. STERLING'S U</v>
      </c>
    </row>
    <row r="4305" spans="1:9" x14ac:dyDescent="0.25">
      <c r="A4305" s="6">
        <v>44804</v>
      </c>
      <c r="B4305" t="s">
        <v>26</v>
      </c>
      <c r="C4305">
        <v>70384</v>
      </c>
      <c r="D4305" t="s">
        <v>56</v>
      </c>
      <c r="E4305" s="7">
        <v>29.95</v>
      </c>
      <c r="F4305" t="s">
        <v>20</v>
      </c>
      <c r="G4305" t="s">
        <v>21</v>
      </c>
      <c r="H4305" t="str">
        <f>"203131"</f>
        <v>203131</v>
      </c>
      <c r="I4305" t="str">
        <f>"DOG FOOD"</f>
        <v>DOG FOOD</v>
      </c>
    </row>
    <row r="4306" spans="1:9" x14ac:dyDescent="0.25">
      <c r="A4306" s="6">
        <v>44804</v>
      </c>
      <c r="B4306" t="s">
        <v>26</v>
      </c>
      <c r="C4306">
        <v>70385</v>
      </c>
      <c r="D4306" t="s">
        <v>302</v>
      </c>
      <c r="E4306" s="7">
        <v>13.6</v>
      </c>
      <c r="F4306" t="s">
        <v>20</v>
      </c>
      <c r="G4306" t="s">
        <v>21</v>
      </c>
      <c r="H4306" t="str">
        <f>"941222128"</f>
        <v>941222128</v>
      </c>
      <c r="I4306" t="str">
        <f>"GRAINGER"</f>
        <v>GRAINGER</v>
      </c>
    </row>
    <row r="4307" spans="1:9" x14ac:dyDescent="0.25">
      <c r="A4307" s="6">
        <v>44804</v>
      </c>
      <c r="B4307" t="s">
        <v>26</v>
      </c>
      <c r="C4307">
        <v>70385</v>
      </c>
      <c r="D4307" t="s">
        <v>302</v>
      </c>
      <c r="E4307" s="7">
        <v>478.16</v>
      </c>
      <c r="F4307" t="s">
        <v>20</v>
      </c>
      <c r="G4307" t="s">
        <v>21</v>
      </c>
      <c r="H4307" t="str">
        <f>"9412795891"</f>
        <v>9412795891</v>
      </c>
      <c r="I4307" t="str">
        <f>"WWTP SUPPLIES"</f>
        <v>WWTP SUPPLIES</v>
      </c>
    </row>
    <row r="4308" spans="1:9" x14ac:dyDescent="0.25">
      <c r="A4308" s="6">
        <v>44804</v>
      </c>
      <c r="B4308" t="s">
        <v>26</v>
      </c>
      <c r="C4308">
        <v>70386</v>
      </c>
      <c r="D4308" t="s">
        <v>97</v>
      </c>
      <c r="E4308" s="7">
        <v>619.49</v>
      </c>
      <c r="F4308" t="s">
        <v>20</v>
      </c>
      <c r="G4308" t="s">
        <v>21</v>
      </c>
      <c r="H4308" t="str">
        <f>"J.EVINS COBRA 9/1"</f>
        <v>J.EVINS COBRA 9/1</v>
      </c>
      <c r="I4308" t="str">
        <f>"HEALTH CARE SERVICE CORPORATIO"</f>
        <v>HEALTH CARE SERVICE CORPORATIO</v>
      </c>
    </row>
    <row r="4309" spans="1:9" x14ac:dyDescent="0.25">
      <c r="A4309" s="6">
        <v>44804</v>
      </c>
      <c r="B4309" t="s">
        <v>26</v>
      </c>
      <c r="C4309">
        <v>70387</v>
      </c>
      <c r="D4309" t="s">
        <v>454</v>
      </c>
      <c r="E4309" s="7">
        <v>161.38</v>
      </c>
      <c r="F4309" t="s">
        <v>20</v>
      </c>
      <c r="G4309" t="s">
        <v>21</v>
      </c>
      <c r="H4309" t="str">
        <f>"8/27/2022"</f>
        <v>8/27/2022</v>
      </c>
      <c r="I4309" t="str">
        <f>"IRIS VANESSA BARRERA"</f>
        <v>IRIS VANESSA BARRERA</v>
      </c>
    </row>
    <row r="4310" spans="1:9" x14ac:dyDescent="0.25">
      <c r="A4310" s="6">
        <v>44804</v>
      </c>
      <c r="B4310" t="s">
        <v>91</v>
      </c>
      <c r="C4310">
        <v>70388</v>
      </c>
      <c r="D4310" t="s">
        <v>1274</v>
      </c>
      <c r="E4310" s="7">
        <v>400</v>
      </c>
      <c r="F4310" t="s">
        <v>20</v>
      </c>
      <c r="G4310" t="s">
        <v>21</v>
      </c>
      <c r="H4310" t="str">
        <f>"INV0171"</f>
        <v>INV0171</v>
      </c>
      <c r="I4310" t="str">
        <f>"LUX BEAUTIQUE"</f>
        <v>LUX BEAUTIQUE</v>
      </c>
    </row>
    <row r="4311" spans="1:9" x14ac:dyDescent="0.25">
      <c r="A4311" s="6">
        <v>44804</v>
      </c>
      <c r="B4311" t="s">
        <v>91</v>
      </c>
      <c r="C4311">
        <v>70388</v>
      </c>
      <c r="D4311" t="s">
        <v>1274</v>
      </c>
      <c r="E4311" s="7">
        <v>400</v>
      </c>
      <c r="F4311" t="s">
        <v>20</v>
      </c>
      <c r="G4311" t="s">
        <v>93</v>
      </c>
      <c r="H4311" t="str">
        <f>"CHECK"</f>
        <v>CHECK</v>
      </c>
      <c r="I4311" t="str">
        <f>""</f>
        <v/>
      </c>
    </row>
    <row r="4312" spans="1:9" x14ac:dyDescent="0.25">
      <c r="A4312" s="6">
        <v>44804</v>
      </c>
      <c r="B4312" t="s">
        <v>91</v>
      </c>
      <c r="C4312">
        <v>70389</v>
      </c>
      <c r="D4312" t="s">
        <v>1275</v>
      </c>
      <c r="E4312" s="7">
        <v>161.38</v>
      </c>
      <c r="F4312" t="s">
        <v>20</v>
      </c>
      <c r="G4312" t="s">
        <v>21</v>
      </c>
      <c r="H4312" t="str">
        <f>"8/27/2022"</f>
        <v>8/27/2022</v>
      </c>
      <c r="I4312" t="str">
        <f>"MARY ANN BARBOSA"</f>
        <v>MARY ANN BARBOSA</v>
      </c>
    </row>
    <row r="4313" spans="1:9" x14ac:dyDescent="0.25">
      <c r="A4313" s="6">
        <v>44804</v>
      </c>
      <c r="B4313" t="s">
        <v>91</v>
      </c>
      <c r="C4313">
        <v>70389</v>
      </c>
      <c r="D4313" t="s">
        <v>1275</v>
      </c>
      <c r="E4313" s="7">
        <v>161.38</v>
      </c>
      <c r="F4313" t="s">
        <v>20</v>
      </c>
      <c r="G4313" t="s">
        <v>93</v>
      </c>
      <c r="H4313" t="str">
        <f>"CHECK"</f>
        <v>CHECK</v>
      </c>
      <c r="I4313" t="str">
        <f>""</f>
        <v/>
      </c>
    </row>
    <row r="4314" spans="1:9" x14ac:dyDescent="0.25">
      <c r="A4314" s="6">
        <v>44804</v>
      </c>
      <c r="B4314" t="s">
        <v>26</v>
      </c>
      <c r="C4314">
        <v>70390</v>
      </c>
      <c r="D4314" t="s">
        <v>124</v>
      </c>
      <c r="E4314" s="7">
        <v>394.54</v>
      </c>
      <c r="F4314" t="s">
        <v>20</v>
      </c>
      <c r="G4314" t="s">
        <v>21</v>
      </c>
      <c r="H4314" t="str">
        <f>"11126161"</f>
        <v>11126161</v>
      </c>
      <c r="I4314" t="str">
        <f>"BEERWAREHOUSE DECK"</f>
        <v>BEERWAREHOUSE DECK</v>
      </c>
    </row>
    <row r="4315" spans="1:9" x14ac:dyDescent="0.25">
      <c r="A4315" s="6">
        <v>44804</v>
      </c>
      <c r="B4315" t="s">
        <v>26</v>
      </c>
      <c r="C4315">
        <v>70390</v>
      </c>
      <c r="D4315" t="s">
        <v>124</v>
      </c>
      <c r="E4315" s="7">
        <v>18.32</v>
      </c>
      <c r="F4315" t="s">
        <v>20</v>
      </c>
      <c r="G4315" t="s">
        <v>21</v>
      </c>
      <c r="H4315" t="str">
        <f>"11126178"</f>
        <v>11126178</v>
      </c>
      <c r="I4315" t="str">
        <f>"BEERWAREHOUSE DECK"</f>
        <v>BEERWAREHOUSE DECK</v>
      </c>
    </row>
    <row r="4316" spans="1:9" x14ac:dyDescent="0.25">
      <c r="A4316" s="6">
        <v>44804</v>
      </c>
      <c r="B4316" t="s">
        <v>26</v>
      </c>
      <c r="C4316">
        <v>70390</v>
      </c>
      <c r="D4316" t="s">
        <v>124</v>
      </c>
      <c r="E4316" s="7">
        <v>107.09</v>
      </c>
      <c r="F4316" t="s">
        <v>20</v>
      </c>
      <c r="G4316" t="s">
        <v>21</v>
      </c>
      <c r="H4316" t="str">
        <f>"11126733"</f>
        <v>11126733</v>
      </c>
      <c r="I4316" t="str">
        <f>"WWTP SUPPLIES"</f>
        <v>WWTP SUPPLIES</v>
      </c>
    </row>
    <row r="4317" spans="1:9" x14ac:dyDescent="0.25">
      <c r="A4317" s="6">
        <v>44804</v>
      </c>
      <c r="B4317" t="s">
        <v>26</v>
      </c>
      <c r="C4317">
        <v>70390</v>
      </c>
      <c r="D4317" t="s">
        <v>124</v>
      </c>
      <c r="E4317" s="7">
        <v>22.62</v>
      </c>
      <c r="F4317" t="s">
        <v>20</v>
      </c>
      <c r="G4317" t="s">
        <v>21</v>
      </c>
      <c r="H4317" t="str">
        <f>"11126853"</f>
        <v>11126853</v>
      </c>
      <c r="I4317" t="str">
        <f>"GLUE FOR BASEBOARDS"</f>
        <v>GLUE FOR BASEBOARDS</v>
      </c>
    </row>
    <row r="4318" spans="1:9" x14ac:dyDescent="0.25">
      <c r="A4318" s="6">
        <v>44804</v>
      </c>
      <c r="B4318" t="s">
        <v>26</v>
      </c>
      <c r="C4318">
        <v>70391</v>
      </c>
      <c r="D4318" t="s">
        <v>345</v>
      </c>
      <c r="E4318" s="7">
        <v>335.5</v>
      </c>
      <c r="F4318" t="s">
        <v>20</v>
      </c>
      <c r="G4318" t="s">
        <v>21</v>
      </c>
      <c r="H4318" t="str">
        <f>"8/29/2022"</f>
        <v>8/29/2022</v>
      </c>
      <c r="I4318" t="str">
        <f>"MICHAEL ISAAC MARTINEZ"</f>
        <v>MICHAEL ISAAC MARTINEZ</v>
      </c>
    </row>
    <row r="4319" spans="1:9" x14ac:dyDescent="0.25">
      <c r="A4319" s="6">
        <v>44804</v>
      </c>
      <c r="B4319" t="s">
        <v>26</v>
      </c>
      <c r="C4319">
        <v>70392</v>
      </c>
      <c r="D4319" t="s">
        <v>1041</v>
      </c>
      <c r="E4319" s="7">
        <v>390</v>
      </c>
      <c r="F4319" t="s">
        <v>20</v>
      </c>
      <c r="G4319" t="s">
        <v>21</v>
      </c>
      <c r="H4319" t="str">
        <f>"663155"</f>
        <v>663155</v>
      </c>
      <c r="I4319" t="str">
        <f>"SENIOR CITIZEN DAY 2022"</f>
        <v>SENIOR CITIZEN DAY 2022</v>
      </c>
    </row>
    <row r="4320" spans="1:9" x14ac:dyDescent="0.25">
      <c r="A4320" s="6">
        <v>44804</v>
      </c>
      <c r="B4320" t="s">
        <v>26</v>
      </c>
      <c r="C4320">
        <v>70392</v>
      </c>
      <c r="D4320" t="s">
        <v>1041</v>
      </c>
      <c r="E4320" s="7">
        <v>158.6</v>
      </c>
      <c r="F4320" t="s">
        <v>20</v>
      </c>
      <c r="G4320" t="s">
        <v>21</v>
      </c>
      <c r="H4320" t="str">
        <f>"664243"</f>
        <v>664243</v>
      </c>
      <c r="I4320" t="str">
        <f>"CHAMP BELT"</f>
        <v>CHAMP BELT</v>
      </c>
    </row>
    <row r="4321" spans="1:9" x14ac:dyDescent="0.25">
      <c r="A4321" s="6">
        <v>44804</v>
      </c>
      <c r="B4321" t="s">
        <v>26</v>
      </c>
      <c r="C4321">
        <v>70392</v>
      </c>
      <c r="D4321" t="s">
        <v>1041</v>
      </c>
      <c r="E4321" s="7">
        <v>2847</v>
      </c>
      <c r="F4321" t="s">
        <v>20</v>
      </c>
      <c r="G4321" t="s">
        <v>21</v>
      </c>
      <c r="H4321" t="str">
        <f>"664305"</f>
        <v>664305</v>
      </c>
      <c r="I4321" t="str">
        <f>"AMPHITHEATER SIGN"</f>
        <v>AMPHITHEATER SIGN</v>
      </c>
    </row>
    <row r="4322" spans="1:9" x14ac:dyDescent="0.25">
      <c r="A4322" s="6">
        <v>44804</v>
      </c>
      <c r="B4322" t="s">
        <v>26</v>
      </c>
      <c r="C4322">
        <v>70393</v>
      </c>
      <c r="D4322" t="s">
        <v>240</v>
      </c>
      <c r="E4322" s="7">
        <v>263.98</v>
      </c>
      <c r="F4322" t="s">
        <v>20</v>
      </c>
      <c r="G4322" t="s">
        <v>21</v>
      </c>
      <c r="H4322" t="str">
        <f>"0234610-IN"</f>
        <v>0234610-IN</v>
      </c>
      <c r="I4322" t="str">
        <f>"NARDIS PUBLIC SAFETY"</f>
        <v>NARDIS PUBLIC SAFETY</v>
      </c>
    </row>
    <row r="4323" spans="1:9" x14ac:dyDescent="0.25">
      <c r="A4323" s="6">
        <v>44804</v>
      </c>
      <c r="B4323" t="s">
        <v>26</v>
      </c>
      <c r="C4323">
        <v>70393</v>
      </c>
      <c r="D4323" t="s">
        <v>240</v>
      </c>
      <c r="E4323" s="7">
        <v>129.94999999999999</v>
      </c>
      <c r="F4323" t="s">
        <v>20</v>
      </c>
      <c r="G4323" t="s">
        <v>21</v>
      </c>
      <c r="H4323" t="str">
        <f>"0234611-IN"</f>
        <v>0234611-IN</v>
      </c>
      <c r="I4323" t="str">
        <f>"NARDIS PUBLIC SAFETY"</f>
        <v>NARDIS PUBLIC SAFETY</v>
      </c>
    </row>
    <row r="4324" spans="1:9" x14ac:dyDescent="0.25">
      <c r="A4324" s="6">
        <v>44804</v>
      </c>
      <c r="B4324" t="s">
        <v>91</v>
      </c>
      <c r="C4324">
        <v>70394</v>
      </c>
      <c r="D4324" t="s">
        <v>512</v>
      </c>
      <c r="E4324" s="7">
        <v>149.04</v>
      </c>
      <c r="F4324" t="s">
        <v>20</v>
      </c>
      <c r="G4324" t="s">
        <v>21</v>
      </c>
      <c r="H4324" t="str">
        <f>"112779376"</f>
        <v>112779376</v>
      </c>
      <c r="I4324" t="str">
        <f>"NATIONAL PEN CO. LLC"</f>
        <v>NATIONAL PEN CO. LLC</v>
      </c>
    </row>
    <row r="4325" spans="1:9" x14ac:dyDescent="0.25">
      <c r="A4325" s="6">
        <v>44804</v>
      </c>
      <c r="B4325" t="s">
        <v>91</v>
      </c>
      <c r="C4325">
        <v>70394</v>
      </c>
      <c r="D4325" t="s">
        <v>512</v>
      </c>
      <c r="E4325" s="7">
        <v>149.04</v>
      </c>
      <c r="F4325" t="s">
        <v>20</v>
      </c>
      <c r="G4325" t="s">
        <v>93</v>
      </c>
      <c r="H4325" t="str">
        <f>"CHECK"</f>
        <v>CHECK</v>
      </c>
      <c r="I4325" t="str">
        <f>""</f>
        <v/>
      </c>
    </row>
    <row r="4326" spans="1:9" x14ac:dyDescent="0.25">
      <c r="A4326" s="6">
        <v>44804</v>
      </c>
      <c r="B4326" t="s">
        <v>26</v>
      </c>
      <c r="C4326">
        <v>70395</v>
      </c>
      <c r="D4326" t="s">
        <v>137</v>
      </c>
      <c r="E4326" s="7">
        <v>51.95</v>
      </c>
      <c r="F4326" t="s">
        <v>20</v>
      </c>
      <c r="G4326" t="s">
        <v>21</v>
      </c>
      <c r="H4326" t="str">
        <f>"39466"</f>
        <v>39466</v>
      </c>
      <c r="I4326" t="str">
        <f>"OMNIBUS-M  INC.D.B.A."</f>
        <v>OMNIBUS-M  INC.D.B.A.</v>
      </c>
    </row>
    <row r="4327" spans="1:9" x14ac:dyDescent="0.25">
      <c r="A4327" s="6">
        <v>44804</v>
      </c>
      <c r="B4327" t="s">
        <v>26</v>
      </c>
      <c r="C4327">
        <v>70395</v>
      </c>
      <c r="D4327" t="s">
        <v>137</v>
      </c>
      <c r="E4327" s="7">
        <v>69.95</v>
      </c>
      <c r="F4327" t="s">
        <v>20</v>
      </c>
      <c r="G4327" t="s">
        <v>21</v>
      </c>
      <c r="H4327" t="str">
        <f>"39467"</f>
        <v>39467</v>
      </c>
      <c r="I4327" t="str">
        <f>"OMNIBUS-M  INC.D.B.A."</f>
        <v>OMNIBUS-M  INC.D.B.A.</v>
      </c>
    </row>
    <row r="4328" spans="1:9" x14ac:dyDescent="0.25">
      <c r="A4328" s="6">
        <v>44804</v>
      </c>
      <c r="B4328" t="s">
        <v>26</v>
      </c>
      <c r="C4328">
        <v>70396</v>
      </c>
      <c r="D4328" t="s">
        <v>184</v>
      </c>
      <c r="E4328" s="7">
        <v>364</v>
      </c>
      <c r="F4328" t="s">
        <v>20</v>
      </c>
      <c r="G4328" t="s">
        <v>21</v>
      </c>
      <c r="H4328" t="str">
        <f>"1067-270"</f>
        <v>1067-270</v>
      </c>
      <c r="I4328" t="str">
        <f>"POLLUTION CONTROL SERVICES"</f>
        <v>POLLUTION CONTROL SERVICES</v>
      </c>
    </row>
    <row r="4329" spans="1:9" x14ac:dyDescent="0.25">
      <c r="A4329" s="6">
        <v>44804</v>
      </c>
      <c r="B4329" t="s">
        <v>26</v>
      </c>
      <c r="C4329">
        <v>70396</v>
      </c>
      <c r="D4329" t="s">
        <v>184</v>
      </c>
      <c r="E4329" s="7">
        <v>828</v>
      </c>
      <c r="F4329" t="s">
        <v>20</v>
      </c>
      <c r="G4329" t="s">
        <v>21</v>
      </c>
      <c r="H4329" t="str">
        <f>"1067-271"</f>
        <v>1067-271</v>
      </c>
      <c r="I4329" t="str">
        <f>"POLLUTION CONTROL SERVICES"</f>
        <v>POLLUTION CONTROL SERVICES</v>
      </c>
    </row>
    <row r="4330" spans="1:9" x14ac:dyDescent="0.25">
      <c r="A4330" s="6">
        <v>44804</v>
      </c>
      <c r="B4330" t="s">
        <v>26</v>
      </c>
      <c r="C4330">
        <v>70396</v>
      </c>
      <c r="D4330" t="s">
        <v>184</v>
      </c>
      <c r="E4330" s="7">
        <v>828</v>
      </c>
      <c r="F4330" t="s">
        <v>20</v>
      </c>
      <c r="G4330" t="s">
        <v>21</v>
      </c>
      <c r="H4330" t="str">
        <f>"1068-301"</f>
        <v>1068-301</v>
      </c>
      <c r="I4330" t="str">
        <f>"POLLUTION CONTROL SERVICES"</f>
        <v>POLLUTION CONTROL SERVICES</v>
      </c>
    </row>
    <row r="4331" spans="1:9" x14ac:dyDescent="0.25">
      <c r="A4331" s="6">
        <v>44804</v>
      </c>
      <c r="B4331" t="s">
        <v>26</v>
      </c>
      <c r="C4331">
        <v>70396</v>
      </c>
      <c r="D4331" t="s">
        <v>184</v>
      </c>
      <c r="E4331" s="7">
        <v>1080</v>
      </c>
      <c r="F4331" t="s">
        <v>20</v>
      </c>
      <c r="G4331" t="s">
        <v>21</v>
      </c>
      <c r="H4331" t="str">
        <f>"1068-302"</f>
        <v>1068-302</v>
      </c>
      <c r="I4331" t="str">
        <f>"POLLUTION CONTROL SERVICES"</f>
        <v>POLLUTION CONTROL SERVICES</v>
      </c>
    </row>
    <row r="4332" spans="1:9" x14ac:dyDescent="0.25">
      <c r="A4332" s="6">
        <v>44804</v>
      </c>
      <c r="B4332" t="s">
        <v>26</v>
      </c>
      <c r="C4332">
        <v>70397</v>
      </c>
      <c r="D4332" t="s">
        <v>1276</v>
      </c>
      <c r="E4332" s="7">
        <v>486</v>
      </c>
      <c r="F4332" t="s">
        <v>20</v>
      </c>
      <c r="G4332" t="s">
        <v>21</v>
      </c>
      <c r="H4332" t="str">
        <f>"00004914/00471862"</f>
        <v>00004914/00471862</v>
      </c>
      <c r="I4332" t="str">
        <f>"REFUND"</f>
        <v>REFUND</v>
      </c>
    </row>
    <row r="4333" spans="1:9" x14ac:dyDescent="0.25">
      <c r="A4333" s="6">
        <v>44804</v>
      </c>
      <c r="B4333" t="s">
        <v>26</v>
      </c>
      <c r="C4333">
        <v>70398</v>
      </c>
      <c r="D4333" t="s">
        <v>510</v>
      </c>
      <c r="E4333" s="7">
        <v>806.3</v>
      </c>
      <c r="F4333" t="s">
        <v>20</v>
      </c>
      <c r="G4333" t="s">
        <v>21</v>
      </c>
      <c r="H4333" t="str">
        <f>"06995977"</f>
        <v>06995977</v>
      </c>
      <c r="I4333" t="str">
        <f>"NNO SUPPLIES"</f>
        <v>NNO SUPPLIES</v>
      </c>
    </row>
    <row r="4334" spans="1:9" x14ac:dyDescent="0.25">
      <c r="A4334" s="6">
        <v>44804</v>
      </c>
      <c r="B4334" t="s">
        <v>26</v>
      </c>
      <c r="C4334">
        <v>70399</v>
      </c>
      <c r="D4334" t="s">
        <v>630</v>
      </c>
      <c r="E4334" s="7">
        <v>101.3</v>
      </c>
      <c r="F4334" t="s">
        <v>20</v>
      </c>
      <c r="G4334" t="s">
        <v>21</v>
      </c>
      <c r="H4334" t="str">
        <f>"42852"</f>
        <v>42852</v>
      </c>
      <c r="I4334" t="str">
        <f>"RG3 METER COMPANY"</f>
        <v>RG3 METER COMPANY</v>
      </c>
    </row>
    <row r="4335" spans="1:9" x14ac:dyDescent="0.25">
      <c r="A4335" s="6">
        <v>44804</v>
      </c>
      <c r="B4335" t="s">
        <v>26</v>
      </c>
      <c r="C4335">
        <v>70399</v>
      </c>
      <c r="D4335" t="s">
        <v>630</v>
      </c>
      <c r="E4335" s="7">
        <v>1275.76</v>
      </c>
      <c r="F4335" t="s">
        <v>20</v>
      </c>
      <c r="G4335" t="s">
        <v>21</v>
      </c>
      <c r="H4335" t="str">
        <f>"42909"</f>
        <v>42909</v>
      </c>
      <c r="I4335" t="str">
        <f>"METERS FOR STOCK"</f>
        <v>METERS FOR STOCK</v>
      </c>
    </row>
    <row r="4336" spans="1:9" x14ac:dyDescent="0.25">
      <c r="A4336" s="6">
        <v>44804</v>
      </c>
      <c r="B4336" t="s">
        <v>26</v>
      </c>
      <c r="C4336">
        <v>70400</v>
      </c>
      <c r="D4336" t="s">
        <v>495</v>
      </c>
      <c r="E4336" s="7">
        <v>346.26</v>
      </c>
      <c r="F4336" t="s">
        <v>20</v>
      </c>
      <c r="G4336" t="s">
        <v>21</v>
      </c>
      <c r="H4336" t="str">
        <f>"0556391-IN"</f>
        <v>0556391-IN</v>
      </c>
      <c r="I4336" t="str">
        <f>"SIRCHIE"</f>
        <v>SIRCHIE</v>
      </c>
    </row>
    <row r="4337" spans="1:9" x14ac:dyDescent="0.25">
      <c r="A4337" s="6">
        <v>44804</v>
      </c>
      <c r="B4337" t="s">
        <v>26</v>
      </c>
      <c r="C4337">
        <v>70400</v>
      </c>
      <c r="D4337" t="s">
        <v>495</v>
      </c>
      <c r="E4337" s="7">
        <v>95.9</v>
      </c>
      <c r="F4337" t="s">
        <v>20</v>
      </c>
      <c r="G4337" t="s">
        <v>21</v>
      </c>
      <c r="H4337" t="str">
        <f>"0556393-IN"</f>
        <v>0556393-IN</v>
      </c>
      <c r="I4337" t="str">
        <f>"SIRCHIE"</f>
        <v>SIRCHIE</v>
      </c>
    </row>
    <row r="4338" spans="1:9" x14ac:dyDescent="0.25">
      <c r="A4338" s="6">
        <v>44804</v>
      </c>
      <c r="B4338" t="s">
        <v>26</v>
      </c>
      <c r="C4338">
        <v>70401</v>
      </c>
      <c r="D4338" t="s">
        <v>84</v>
      </c>
      <c r="E4338" s="7">
        <v>300</v>
      </c>
      <c r="F4338" t="s">
        <v>20</v>
      </c>
      <c r="G4338" t="s">
        <v>21</v>
      </c>
      <c r="H4338" t="str">
        <f>"1967226"</f>
        <v>1967226</v>
      </c>
      <c r="I4338" t="str">
        <f>"STANTEC CONSULTING SERVICES IN"</f>
        <v>STANTEC CONSULTING SERVICES IN</v>
      </c>
    </row>
    <row r="4339" spans="1:9" x14ac:dyDescent="0.25">
      <c r="A4339" s="6">
        <v>44804</v>
      </c>
      <c r="B4339" t="s">
        <v>26</v>
      </c>
      <c r="C4339">
        <v>70402</v>
      </c>
      <c r="D4339" t="s">
        <v>501</v>
      </c>
      <c r="E4339" s="7">
        <v>872.09</v>
      </c>
      <c r="F4339" t="s">
        <v>20</v>
      </c>
      <c r="G4339" t="s">
        <v>21</v>
      </c>
      <c r="H4339" t="str">
        <f>"312887545"</f>
        <v>312887545</v>
      </c>
      <c r="I4339" t="str">
        <f>"TRANE U.S. INC."</f>
        <v>TRANE U.S. INC.</v>
      </c>
    </row>
    <row r="4340" spans="1:9" x14ac:dyDescent="0.25">
      <c r="A4340" s="6">
        <v>44804</v>
      </c>
      <c r="B4340" t="s">
        <v>26</v>
      </c>
      <c r="C4340">
        <v>70403</v>
      </c>
      <c r="D4340" t="s">
        <v>644</v>
      </c>
      <c r="E4340" s="7">
        <v>97.27</v>
      </c>
      <c r="F4340" t="s">
        <v>20</v>
      </c>
      <c r="G4340" t="s">
        <v>21</v>
      </c>
      <c r="H4340" t="str">
        <f>"8213762391"</f>
        <v>8213762391</v>
      </c>
      <c r="I4340" t="str">
        <f t="shared" ref="I4340:I4352" si="106">"UNIFIRST CORPORATION"</f>
        <v>UNIFIRST CORPORATION</v>
      </c>
    </row>
    <row r="4341" spans="1:9" x14ac:dyDescent="0.25">
      <c r="A4341" s="6">
        <v>44804</v>
      </c>
      <c r="B4341" t="s">
        <v>26</v>
      </c>
      <c r="C4341">
        <v>70403</v>
      </c>
      <c r="D4341" t="s">
        <v>644</v>
      </c>
      <c r="E4341" s="7">
        <v>132.58000000000001</v>
      </c>
      <c r="F4341" t="s">
        <v>20</v>
      </c>
      <c r="G4341" t="s">
        <v>21</v>
      </c>
      <c r="H4341" t="str">
        <f>"8213764972"</f>
        <v>8213764972</v>
      </c>
      <c r="I4341" t="str">
        <f t="shared" si="106"/>
        <v>UNIFIRST CORPORATION</v>
      </c>
    </row>
    <row r="4342" spans="1:9" x14ac:dyDescent="0.25">
      <c r="A4342" s="6">
        <v>44804</v>
      </c>
      <c r="B4342" t="s">
        <v>26</v>
      </c>
      <c r="C4342">
        <v>70403</v>
      </c>
      <c r="D4342" t="s">
        <v>644</v>
      </c>
      <c r="E4342" s="7">
        <v>29.49</v>
      </c>
      <c r="F4342" t="s">
        <v>20</v>
      </c>
      <c r="G4342" t="s">
        <v>21</v>
      </c>
      <c r="H4342" t="str">
        <f>"8213764973"</f>
        <v>8213764973</v>
      </c>
      <c r="I4342" t="str">
        <f t="shared" si="106"/>
        <v>UNIFIRST CORPORATION</v>
      </c>
    </row>
    <row r="4343" spans="1:9" x14ac:dyDescent="0.25">
      <c r="A4343" s="6">
        <v>44804</v>
      </c>
      <c r="B4343" t="s">
        <v>26</v>
      </c>
      <c r="C4343">
        <v>70403</v>
      </c>
      <c r="D4343" t="s">
        <v>644</v>
      </c>
      <c r="E4343" s="7">
        <v>120.09</v>
      </c>
      <c r="F4343" t="s">
        <v>20</v>
      </c>
      <c r="G4343" t="s">
        <v>21</v>
      </c>
      <c r="H4343" t="str">
        <f>"8213764974"</f>
        <v>8213764974</v>
      </c>
      <c r="I4343" t="str">
        <f t="shared" si="106"/>
        <v>UNIFIRST CORPORATION</v>
      </c>
    </row>
    <row r="4344" spans="1:9" x14ac:dyDescent="0.25">
      <c r="A4344" s="6">
        <v>44804</v>
      </c>
      <c r="B4344" t="s">
        <v>26</v>
      </c>
      <c r="C4344">
        <v>70403</v>
      </c>
      <c r="D4344" t="s">
        <v>644</v>
      </c>
      <c r="E4344" s="7">
        <v>97.27</v>
      </c>
      <c r="F4344" t="s">
        <v>20</v>
      </c>
      <c r="G4344" t="s">
        <v>21</v>
      </c>
      <c r="H4344" t="str">
        <f>"8213764975"</f>
        <v>8213764975</v>
      </c>
      <c r="I4344" t="str">
        <f t="shared" si="106"/>
        <v>UNIFIRST CORPORATION</v>
      </c>
    </row>
    <row r="4345" spans="1:9" x14ac:dyDescent="0.25">
      <c r="A4345" s="6">
        <v>44804</v>
      </c>
      <c r="B4345" t="s">
        <v>26</v>
      </c>
      <c r="C4345">
        <v>70403</v>
      </c>
      <c r="D4345" t="s">
        <v>644</v>
      </c>
      <c r="E4345" s="7">
        <v>115.31</v>
      </c>
      <c r="F4345" t="s">
        <v>20</v>
      </c>
      <c r="G4345" t="s">
        <v>21</v>
      </c>
      <c r="H4345" t="str">
        <f>"8213764977"</f>
        <v>8213764977</v>
      </c>
      <c r="I4345" t="str">
        <f t="shared" si="106"/>
        <v>UNIFIRST CORPORATION</v>
      </c>
    </row>
    <row r="4346" spans="1:9" x14ac:dyDescent="0.25">
      <c r="A4346" s="6">
        <v>44804</v>
      </c>
      <c r="B4346" t="s">
        <v>26</v>
      </c>
      <c r="C4346">
        <v>70403</v>
      </c>
      <c r="D4346" t="s">
        <v>644</v>
      </c>
      <c r="E4346" s="7">
        <v>29.49</v>
      </c>
      <c r="F4346" t="s">
        <v>20</v>
      </c>
      <c r="G4346" t="s">
        <v>21</v>
      </c>
      <c r="H4346" t="str">
        <f>"8213764978"</f>
        <v>8213764978</v>
      </c>
      <c r="I4346" t="str">
        <f t="shared" si="106"/>
        <v>UNIFIRST CORPORATION</v>
      </c>
    </row>
    <row r="4347" spans="1:9" x14ac:dyDescent="0.25">
      <c r="A4347" s="6">
        <v>44804</v>
      </c>
      <c r="B4347" t="s">
        <v>26</v>
      </c>
      <c r="C4347">
        <v>70403</v>
      </c>
      <c r="D4347" t="s">
        <v>644</v>
      </c>
      <c r="E4347" s="7">
        <v>132.58000000000001</v>
      </c>
      <c r="F4347" t="s">
        <v>20</v>
      </c>
      <c r="G4347" t="s">
        <v>21</v>
      </c>
      <c r="H4347" t="str">
        <f>"8213767559"</f>
        <v>8213767559</v>
      </c>
      <c r="I4347" t="str">
        <f t="shared" si="106"/>
        <v>UNIFIRST CORPORATION</v>
      </c>
    </row>
    <row r="4348" spans="1:9" x14ac:dyDescent="0.25">
      <c r="A4348" s="6">
        <v>44804</v>
      </c>
      <c r="B4348" t="s">
        <v>26</v>
      </c>
      <c r="C4348">
        <v>70403</v>
      </c>
      <c r="D4348" t="s">
        <v>644</v>
      </c>
      <c r="E4348" s="7">
        <v>29.49</v>
      </c>
      <c r="F4348" t="s">
        <v>20</v>
      </c>
      <c r="G4348" t="s">
        <v>21</v>
      </c>
      <c r="H4348" t="str">
        <f>"8213767560"</f>
        <v>8213767560</v>
      </c>
      <c r="I4348" t="str">
        <f t="shared" si="106"/>
        <v>UNIFIRST CORPORATION</v>
      </c>
    </row>
    <row r="4349" spans="1:9" x14ac:dyDescent="0.25">
      <c r="A4349" s="6">
        <v>44804</v>
      </c>
      <c r="B4349" t="s">
        <v>26</v>
      </c>
      <c r="C4349">
        <v>70403</v>
      </c>
      <c r="D4349" t="s">
        <v>644</v>
      </c>
      <c r="E4349" s="7">
        <v>120.09</v>
      </c>
      <c r="F4349" t="s">
        <v>20</v>
      </c>
      <c r="G4349" t="s">
        <v>21</v>
      </c>
      <c r="H4349" t="str">
        <f>"8213767561"</f>
        <v>8213767561</v>
      </c>
      <c r="I4349" t="str">
        <f t="shared" si="106"/>
        <v>UNIFIRST CORPORATION</v>
      </c>
    </row>
    <row r="4350" spans="1:9" x14ac:dyDescent="0.25">
      <c r="A4350" s="6">
        <v>44804</v>
      </c>
      <c r="B4350" t="s">
        <v>26</v>
      </c>
      <c r="C4350">
        <v>70403</v>
      </c>
      <c r="D4350" t="s">
        <v>644</v>
      </c>
      <c r="E4350" s="7">
        <v>71.25</v>
      </c>
      <c r="F4350" t="s">
        <v>20</v>
      </c>
      <c r="G4350" t="s">
        <v>21</v>
      </c>
      <c r="H4350" t="str">
        <f>"8213767562"</f>
        <v>8213767562</v>
      </c>
      <c r="I4350" t="str">
        <f t="shared" si="106"/>
        <v>UNIFIRST CORPORATION</v>
      </c>
    </row>
    <row r="4351" spans="1:9" x14ac:dyDescent="0.25">
      <c r="A4351" s="6">
        <v>44804</v>
      </c>
      <c r="B4351" t="s">
        <v>26</v>
      </c>
      <c r="C4351">
        <v>70403</v>
      </c>
      <c r="D4351" t="s">
        <v>644</v>
      </c>
      <c r="E4351" s="7">
        <v>115.31</v>
      </c>
      <c r="F4351" t="s">
        <v>20</v>
      </c>
      <c r="G4351" t="s">
        <v>21</v>
      </c>
      <c r="H4351" t="str">
        <f>"8213767564"</f>
        <v>8213767564</v>
      </c>
      <c r="I4351" t="str">
        <f t="shared" si="106"/>
        <v>UNIFIRST CORPORATION</v>
      </c>
    </row>
    <row r="4352" spans="1:9" x14ac:dyDescent="0.25">
      <c r="A4352" s="6">
        <v>44804</v>
      </c>
      <c r="B4352" t="s">
        <v>26</v>
      </c>
      <c r="C4352">
        <v>70403</v>
      </c>
      <c r="D4352" t="s">
        <v>644</v>
      </c>
      <c r="E4352" s="7">
        <v>29.49</v>
      </c>
      <c r="F4352" t="s">
        <v>20</v>
      </c>
      <c r="G4352" t="s">
        <v>21</v>
      </c>
      <c r="H4352" t="str">
        <f>"8213767565"</f>
        <v>8213767565</v>
      </c>
      <c r="I4352" t="str">
        <f t="shared" si="106"/>
        <v>UNIFIRST CORPORATION</v>
      </c>
    </row>
    <row r="4353" spans="1:9" x14ac:dyDescent="0.25">
      <c r="A4353" s="6">
        <v>44804</v>
      </c>
      <c r="B4353" t="s">
        <v>26</v>
      </c>
      <c r="C4353">
        <v>70406</v>
      </c>
      <c r="D4353" t="s">
        <v>203</v>
      </c>
      <c r="E4353" s="7">
        <v>253.48</v>
      </c>
      <c r="F4353" t="s">
        <v>20</v>
      </c>
      <c r="G4353" t="s">
        <v>21</v>
      </c>
      <c r="H4353" t="str">
        <f>"074444"</f>
        <v>074444</v>
      </c>
      <c r="I4353" t="str">
        <f>"HACH DPD 1 POWDER PILLOWS"</f>
        <v>HACH DPD 1 POWDER PILLOWS</v>
      </c>
    </row>
    <row r="4354" spans="1:9" x14ac:dyDescent="0.25">
      <c r="A4354" s="6">
        <v>44804</v>
      </c>
      <c r="B4354" t="s">
        <v>26</v>
      </c>
      <c r="C4354">
        <v>70406</v>
      </c>
      <c r="D4354" t="s">
        <v>203</v>
      </c>
      <c r="E4354" s="7">
        <v>97.12</v>
      </c>
      <c r="F4354" t="s">
        <v>20</v>
      </c>
      <c r="G4354" t="s">
        <v>21</v>
      </c>
      <c r="H4354" t="str">
        <f>"076171"</f>
        <v>076171</v>
      </c>
      <c r="I4354" t="str">
        <f>"WWTP SAFETY SUPPLIES"</f>
        <v>WWTP SAFETY SUPPLIES</v>
      </c>
    </row>
    <row r="4355" spans="1:9" x14ac:dyDescent="0.25">
      <c r="A4355" s="6">
        <v>44804</v>
      </c>
      <c r="B4355" t="s">
        <v>26</v>
      </c>
      <c r="C4355">
        <v>70407</v>
      </c>
      <c r="D4355" t="s">
        <v>122</v>
      </c>
      <c r="E4355" s="7">
        <v>8</v>
      </c>
      <c r="F4355" t="s">
        <v>20</v>
      </c>
      <c r="G4355" t="s">
        <v>21</v>
      </c>
      <c r="H4355" t="str">
        <f>"902001"</f>
        <v>902001</v>
      </c>
      <c r="I4355" t="str">
        <f>"VILLA TIRES"</f>
        <v>VILLA TIRES</v>
      </c>
    </row>
    <row r="4356" spans="1:9" x14ac:dyDescent="0.25">
      <c r="A4356" s="6">
        <v>44804</v>
      </c>
      <c r="B4356" t="s">
        <v>26</v>
      </c>
      <c r="C4356">
        <v>70407</v>
      </c>
      <c r="D4356" t="s">
        <v>122</v>
      </c>
      <c r="E4356" s="7">
        <v>50</v>
      </c>
      <c r="F4356" t="s">
        <v>20</v>
      </c>
      <c r="G4356" t="s">
        <v>21</v>
      </c>
      <c r="H4356" t="str">
        <f>"902015"</f>
        <v>902015</v>
      </c>
      <c r="I4356" t="str">
        <f>"VILLA TIRES"</f>
        <v>VILLA TIRES</v>
      </c>
    </row>
    <row r="4357" spans="1:9" x14ac:dyDescent="0.25">
      <c r="A4357" s="6">
        <v>44804</v>
      </c>
      <c r="B4357" t="s">
        <v>26</v>
      </c>
      <c r="C4357">
        <v>70407</v>
      </c>
      <c r="D4357" t="s">
        <v>122</v>
      </c>
      <c r="E4357" s="7">
        <v>45</v>
      </c>
      <c r="F4357" t="s">
        <v>20</v>
      </c>
      <c r="G4357" t="s">
        <v>21</v>
      </c>
      <c r="H4357" t="str">
        <f>"902018"</f>
        <v>902018</v>
      </c>
      <c r="I4357" t="str">
        <f>"VILLA TIRES"</f>
        <v>VILLA TIRES</v>
      </c>
    </row>
    <row r="4358" spans="1:9" x14ac:dyDescent="0.25">
      <c r="A4358" s="6">
        <v>44804</v>
      </c>
      <c r="B4358" t="s">
        <v>26</v>
      </c>
      <c r="C4358">
        <v>70408</v>
      </c>
      <c r="D4358" t="s">
        <v>226</v>
      </c>
      <c r="E4358" s="7">
        <v>8360</v>
      </c>
      <c r="F4358" t="s">
        <v>20</v>
      </c>
      <c r="G4358" t="s">
        <v>21</v>
      </c>
      <c r="H4358" t="str">
        <f>"5370"</f>
        <v>5370</v>
      </c>
      <c r="I4358" t="str">
        <f>"WIATREK'S SERVICES"</f>
        <v>WIATREK'S SERVICES</v>
      </c>
    </row>
    <row r="4359" spans="1:9" x14ac:dyDescent="0.25">
      <c r="A4359" s="6">
        <v>44804</v>
      </c>
      <c r="B4359" t="s">
        <v>26</v>
      </c>
      <c r="C4359">
        <v>70409</v>
      </c>
      <c r="D4359" t="s">
        <v>1277</v>
      </c>
      <c r="E4359" s="7">
        <v>486</v>
      </c>
      <c r="F4359" t="s">
        <v>20</v>
      </c>
      <c r="G4359" t="s">
        <v>21</v>
      </c>
      <c r="H4359" t="str">
        <f>"00004915"</f>
        <v>00004915</v>
      </c>
      <c r="I4359" t="str">
        <f>"REFUND"</f>
        <v>REFUND</v>
      </c>
    </row>
    <row r="4360" spans="1:9" x14ac:dyDescent="0.25">
      <c r="A4360" s="6">
        <v>44804</v>
      </c>
      <c r="B4360" t="s">
        <v>26</v>
      </c>
      <c r="C4360">
        <v>70411</v>
      </c>
      <c r="D4360" t="s">
        <v>62</v>
      </c>
      <c r="E4360" s="7">
        <v>233.75</v>
      </c>
      <c r="F4360" t="s">
        <v>20</v>
      </c>
      <c r="G4360" t="s">
        <v>21</v>
      </c>
      <c r="H4360" t="str">
        <f>"81048"</f>
        <v>81048</v>
      </c>
      <c r="I4360" t="str">
        <f>"PROFICIENT BENEFIT SOLUTIONS"</f>
        <v>PROFICIENT BENEFIT SOLUTIONS</v>
      </c>
    </row>
    <row r="4361" spans="1:9" x14ac:dyDescent="0.25">
      <c r="A4361" s="6">
        <v>44804</v>
      </c>
      <c r="B4361" t="s">
        <v>26</v>
      </c>
      <c r="C4361">
        <v>70412</v>
      </c>
      <c r="D4361" t="s">
        <v>821</v>
      </c>
      <c r="E4361" s="7">
        <v>5372</v>
      </c>
      <c r="F4361" t="s">
        <v>20</v>
      </c>
      <c r="G4361" t="s">
        <v>21</v>
      </c>
      <c r="H4361" t="str">
        <f>"FRI10410"</f>
        <v>FRI10410</v>
      </c>
      <c r="I4361" t="str">
        <f>"AUSTIN ARMATURE WORKS  LP"</f>
        <v>AUSTIN ARMATURE WORKS  LP</v>
      </c>
    </row>
    <row r="4362" spans="1:9" x14ac:dyDescent="0.25">
      <c r="A4362" s="6">
        <v>44804</v>
      </c>
      <c r="B4362" t="s">
        <v>26</v>
      </c>
      <c r="C4362">
        <v>70412</v>
      </c>
      <c r="D4362" t="s">
        <v>821</v>
      </c>
      <c r="E4362" s="7">
        <v>552.44000000000005</v>
      </c>
      <c r="F4362" t="s">
        <v>20</v>
      </c>
      <c r="G4362" t="s">
        <v>21</v>
      </c>
      <c r="H4362" t="str">
        <f>"FRI14220"</f>
        <v>FRI14220</v>
      </c>
      <c r="I4362" t="str">
        <f>"AUSTIN ARMATURE WORKS  LP"</f>
        <v>AUSTIN ARMATURE WORKS  LP</v>
      </c>
    </row>
    <row r="4363" spans="1:9" x14ac:dyDescent="0.25">
      <c r="A4363" s="6">
        <v>44804</v>
      </c>
      <c r="B4363" t="s">
        <v>26</v>
      </c>
      <c r="C4363">
        <v>70413</v>
      </c>
      <c r="D4363" t="s">
        <v>1257</v>
      </c>
      <c r="E4363" s="7">
        <v>161.38</v>
      </c>
      <c r="F4363" t="s">
        <v>20</v>
      </c>
      <c r="G4363" t="s">
        <v>21</v>
      </c>
      <c r="H4363" t="str">
        <f>"8/27/2022"</f>
        <v>8/27/2022</v>
      </c>
      <c r="I4363" t="str">
        <f>"MARYLOU B TORRES"</f>
        <v>MARYLOU B TORRES</v>
      </c>
    </row>
    <row r="4364" spans="1:9" x14ac:dyDescent="0.25">
      <c r="A4364" s="6">
        <v>44804</v>
      </c>
      <c r="B4364" t="s">
        <v>26</v>
      </c>
      <c r="C4364">
        <v>70414</v>
      </c>
      <c r="D4364" t="s">
        <v>90</v>
      </c>
      <c r="E4364" s="7">
        <v>88.57</v>
      </c>
      <c r="F4364" t="s">
        <v>20</v>
      </c>
      <c r="G4364" t="s">
        <v>21</v>
      </c>
      <c r="H4364" t="str">
        <f>"ACA202208098665"</f>
        <v>ACA202208098665</v>
      </c>
      <c r="I4364" t="str">
        <f>"AFLAC INSURANCE"</f>
        <v>AFLAC INSURANCE</v>
      </c>
    </row>
    <row r="4365" spans="1:9" x14ac:dyDescent="0.25">
      <c r="A4365" s="6">
        <v>44804</v>
      </c>
      <c r="B4365" t="s">
        <v>26</v>
      </c>
      <c r="C4365">
        <v>70414</v>
      </c>
      <c r="D4365" t="s">
        <v>90</v>
      </c>
      <c r="E4365" s="7">
        <v>88.57</v>
      </c>
      <c r="F4365" t="s">
        <v>20</v>
      </c>
      <c r="G4365" t="s">
        <v>21</v>
      </c>
      <c r="H4365" t="str">
        <f>"ACA202208238667"</f>
        <v>ACA202208238667</v>
      </c>
      <c r="I4365" t="str">
        <f>"AFLAC INSURANCE"</f>
        <v>AFLAC INSURANCE</v>
      </c>
    </row>
    <row r="4366" spans="1:9" x14ac:dyDescent="0.25">
      <c r="A4366" s="6">
        <v>44804</v>
      </c>
      <c r="B4366" t="s">
        <v>26</v>
      </c>
      <c r="C4366">
        <v>70414</v>
      </c>
      <c r="D4366" t="s">
        <v>90</v>
      </c>
      <c r="E4366" s="7">
        <v>15.06</v>
      </c>
      <c r="F4366" t="s">
        <v>20</v>
      </c>
      <c r="G4366" t="s">
        <v>21</v>
      </c>
      <c r="H4366" t="str">
        <f>"ADR202208098665"</f>
        <v>ADR202208098665</v>
      </c>
      <c r="I4366" t="str">
        <f>"INSURANCE"</f>
        <v>INSURANCE</v>
      </c>
    </row>
    <row r="4367" spans="1:9" x14ac:dyDescent="0.25">
      <c r="A4367" s="6">
        <v>44804</v>
      </c>
      <c r="B4367" t="s">
        <v>26</v>
      </c>
      <c r="C4367">
        <v>70414</v>
      </c>
      <c r="D4367" t="s">
        <v>90</v>
      </c>
      <c r="E4367" s="7">
        <v>15.06</v>
      </c>
      <c r="F4367" t="s">
        <v>20</v>
      </c>
      <c r="G4367" t="s">
        <v>21</v>
      </c>
      <c r="H4367" t="str">
        <f>"ADR202208238667"</f>
        <v>ADR202208238667</v>
      </c>
      <c r="I4367" t="str">
        <f>"INSURANCE"</f>
        <v>INSURANCE</v>
      </c>
    </row>
    <row r="4368" spans="1:9" x14ac:dyDescent="0.25">
      <c r="A4368" s="6">
        <v>44804</v>
      </c>
      <c r="B4368" t="s">
        <v>26</v>
      </c>
      <c r="C4368">
        <v>70414</v>
      </c>
      <c r="D4368" t="s">
        <v>90</v>
      </c>
      <c r="E4368" s="7">
        <v>466.86</v>
      </c>
      <c r="F4368" t="s">
        <v>20</v>
      </c>
      <c r="G4368" t="s">
        <v>21</v>
      </c>
      <c r="H4368" t="str">
        <f>"AF1202208098665"</f>
        <v>AF1202208098665</v>
      </c>
      <c r="I4368" t="str">
        <f>"AFLAC INSURANCE"</f>
        <v>AFLAC INSURANCE</v>
      </c>
    </row>
    <row r="4369" spans="1:9" x14ac:dyDescent="0.25">
      <c r="A4369" s="6">
        <v>44804</v>
      </c>
      <c r="B4369" t="s">
        <v>26</v>
      </c>
      <c r="C4369">
        <v>70414</v>
      </c>
      <c r="D4369" t="s">
        <v>90</v>
      </c>
      <c r="E4369" s="7">
        <v>466.86</v>
      </c>
      <c r="F4369" t="s">
        <v>20</v>
      </c>
      <c r="G4369" t="s">
        <v>21</v>
      </c>
      <c r="H4369" t="str">
        <f>"AF1202208238667"</f>
        <v>AF1202208238667</v>
      </c>
      <c r="I4369" t="str">
        <f>"AFLAC INSURANCE"</f>
        <v>AFLAC INSURANCE</v>
      </c>
    </row>
    <row r="4370" spans="1:9" x14ac:dyDescent="0.25">
      <c r="A4370" s="6">
        <v>44804</v>
      </c>
      <c r="B4370" t="s">
        <v>26</v>
      </c>
      <c r="C4370">
        <v>70414</v>
      </c>
      <c r="D4370" t="s">
        <v>90</v>
      </c>
      <c r="E4370" s="7">
        <v>102.24</v>
      </c>
      <c r="F4370" t="s">
        <v>20</v>
      </c>
      <c r="G4370" t="s">
        <v>21</v>
      </c>
      <c r="H4370" t="str">
        <f>"AFS202208098665"</f>
        <v>AFS202208098665</v>
      </c>
      <c r="I4370" t="str">
        <f>"AFLAC STD"</f>
        <v>AFLAC STD</v>
      </c>
    </row>
    <row r="4371" spans="1:9" x14ac:dyDescent="0.25">
      <c r="A4371" s="6">
        <v>44804</v>
      </c>
      <c r="B4371" t="s">
        <v>26</v>
      </c>
      <c r="C4371">
        <v>70414</v>
      </c>
      <c r="D4371" t="s">
        <v>90</v>
      </c>
      <c r="E4371" s="7">
        <v>102.24</v>
      </c>
      <c r="F4371" t="s">
        <v>20</v>
      </c>
      <c r="G4371" t="s">
        <v>21</v>
      </c>
      <c r="H4371" t="str">
        <f>"AFS202208238667"</f>
        <v>AFS202208238667</v>
      </c>
      <c r="I4371" t="str">
        <f>"AFLAC STD"</f>
        <v>AFLAC STD</v>
      </c>
    </row>
    <row r="4372" spans="1:9" x14ac:dyDescent="0.25">
      <c r="A4372" s="6">
        <v>44804</v>
      </c>
      <c r="B4372" t="s">
        <v>26</v>
      </c>
      <c r="C4372">
        <v>70414</v>
      </c>
      <c r="D4372" t="s">
        <v>90</v>
      </c>
      <c r="E4372" s="7">
        <v>33.54</v>
      </c>
      <c r="F4372" t="s">
        <v>20</v>
      </c>
      <c r="G4372" t="s">
        <v>21</v>
      </c>
      <c r="H4372" t="str">
        <f>"ASP202208098665"</f>
        <v>ASP202208098665</v>
      </c>
      <c r="I4372" t="str">
        <f>"AFLAC INSURANCE"</f>
        <v>AFLAC INSURANCE</v>
      </c>
    </row>
    <row r="4373" spans="1:9" x14ac:dyDescent="0.25">
      <c r="A4373" s="6">
        <v>44804</v>
      </c>
      <c r="B4373" t="s">
        <v>26</v>
      </c>
      <c r="C4373">
        <v>70414</v>
      </c>
      <c r="D4373" t="s">
        <v>90</v>
      </c>
      <c r="E4373" s="7">
        <v>33.54</v>
      </c>
      <c r="F4373" t="s">
        <v>20</v>
      </c>
      <c r="G4373" t="s">
        <v>21</v>
      </c>
      <c r="H4373" t="str">
        <f>"ASP202208238667"</f>
        <v>ASP202208238667</v>
      </c>
      <c r="I4373" t="str">
        <f>"AFLAC INSURANCE"</f>
        <v>AFLAC INSURANCE</v>
      </c>
    </row>
    <row r="4374" spans="1:9" x14ac:dyDescent="0.25">
      <c r="A4374" s="6">
        <v>44804</v>
      </c>
      <c r="B4374" t="s">
        <v>26</v>
      </c>
      <c r="C4374">
        <v>70414</v>
      </c>
      <c r="D4374" t="s">
        <v>90</v>
      </c>
      <c r="E4374" s="7">
        <v>143.76</v>
      </c>
      <c r="F4374" t="s">
        <v>20</v>
      </c>
      <c r="G4374" t="s">
        <v>21</v>
      </c>
      <c r="H4374" t="str">
        <f>"HCO202208098665"</f>
        <v>HCO202208098665</v>
      </c>
      <c r="I4374" t="str">
        <f>"AFLAC INSURANCE"</f>
        <v>AFLAC INSURANCE</v>
      </c>
    </row>
    <row r="4375" spans="1:9" x14ac:dyDescent="0.25">
      <c r="A4375" s="6">
        <v>44804</v>
      </c>
      <c r="B4375" t="s">
        <v>26</v>
      </c>
      <c r="C4375">
        <v>70414</v>
      </c>
      <c r="D4375" t="s">
        <v>90</v>
      </c>
      <c r="E4375" s="7">
        <v>143.76</v>
      </c>
      <c r="F4375" t="s">
        <v>20</v>
      </c>
      <c r="G4375" t="s">
        <v>21</v>
      </c>
      <c r="H4375" t="str">
        <f>"HCO202208238667"</f>
        <v>HCO202208238667</v>
      </c>
      <c r="I4375" t="str">
        <f>"AFLAC INSURANCE"</f>
        <v>AFLAC INSURANCE</v>
      </c>
    </row>
    <row r="4376" spans="1:9" x14ac:dyDescent="0.25">
      <c r="A4376" s="6">
        <v>44804</v>
      </c>
      <c r="B4376" t="s">
        <v>26</v>
      </c>
      <c r="C4376">
        <v>70419</v>
      </c>
      <c r="D4376" t="s">
        <v>95</v>
      </c>
      <c r="E4376" s="7">
        <v>12.66</v>
      </c>
      <c r="F4376" t="s">
        <v>20</v>
      </c>
      <c r="G4376" t="s">
        <v>21</v>
      </c>
      <c r="H4376" t="str">
        <f>"LEA202208098665"</f>
        <v>LEA202208098665</v>
      </c>
      <c r="I4376" t="str">
        <f>"INSURANCE"</f>
        <v>INSURANCE</v>
      </c>
    </row>
    <row r="4377" spans="1:9" x14ac:dyDescent="0.25">
      <c r="A4377" s="6">
        <v>44804</v>
      </c>
      <c r="B4377" t="s">
        <v>26</v>
      </c>
      <c r="C4377">
        <v>70419</v>
      </c>
      <c r="D4377" t="s">
        <v>95</v>
      </c>
      <c r="E4377" s="7">
        <v>12.66</v>
      </c>
      <c r="F4377" t="s">
        <v>20</v>
      </c>
      <c r="G4377" t="s">
        <v>21</v>
      </c>
      <c r="H4377" t="str">
        <f>"LEA202208238667"</f>
        <v>LEA202208238667</v>
      </c>
      <c r="I4377" t="str">
        <f>"INSURANCE"</f>
        <v>INSURANCE</v>
      </c>
    </row>
    <row r="4378" spans="1:9" x14ac:dyDescent="0.25">
      <c r="A4378" s="6">
        <v>44804</v>
      </c>
      <c r="B4378" t="s">
        <v>26</v>
      </c>
      <c r="C4378">
        <v>70420</v>
      </c>
      <c r="D4378" t="s">
        <v>96</v>
      </c>
      <c r="E4378" s="7">
        <v>112.62</v>
      </c>
      <c r="F4378" t="s">
        <v>20</v>
      </c>
      <c r="G4378" t="s">
        <v>21</v>
      </c>
      <c r="H4378" t="str">
        <f>"PPL202208098665"</f>
        <v>PPL202208098665</v>
      </c>
      <c r="I4378" t="str">
        <f>"INSURANCE"</f>
        <v>INSURANCE</v>
      </c>
    </row>
    <row r="4379" spans="1:9" x14ac:dyDescent="0.25">
      <c r="A4379" s="6">
        <v>44804</v>
      </c>
      <c r="B4379" t="s">
        <v>26</v>
      </c>
      <c r="C4379">
        <v>70420</v>
      </c>
      <c r="D4379" t="s">
        <v>96</v>
      </c>
      <c r="E4379" s="7">
        <v>112.62</v>
      </c>
      <c r="F4379" t="s">
        <v>20</v>
      </c>
      <c r="G4379" t="s">
        <v>21</v>
      </c>
      <c r="H4379" t="str">
        <f>"PPL202208238667"</f>
        <v>PPL202208238667</v>
      </c>
      <c r="I4379" t="str">
        <f>"INSURANCE"</f>
        <v>INSURANCE</v>
      </c>
    </row>
    <row r="4380" spans="1:9" x14ac:dyDescent="0.25">
      <c r="A4380" s="6">
        <v>44804</v>
      </c>
      <c r="B4380" t="s">
        <v>26</v>
      </c>
      <c r="C4380">
        <v>70421</v>
      </c>
      <c r="D4380" t="s">
        <v>97</v>
      </c>
      <c r="E4380" s="7">
        <v>324.72000000000003</v>
      </c>
      <c r="F4380" t="s">
        <v>20</v>
      </c>
      <c r="G4380" t="s">
        <v>329</v>
      </c>
      <c r="H4380" t="str">
        <f>"9/1/2022"</f>
        <v>9/1/2022</v>
      </c>
      <c r="I4380" t="str">
        <f>"HEALTH CARE SERVICE CORPORATIO"</f>
        <v>HEALTH CARE SERVICE CORPORATIO</v>
      </c>
    </row>
    <row r="4381" spans="1:9" x14ac:dyDescent="0.25">
      <c r="A4381" s="6">
        <v>44804</v>
      </c>
      <c r="B4381" t="s">
        <v>26</v>
      </c>
      <c r="C4381">
        <v>70421</v>
      </c>
      <c r="D4381" t="s">
        <v>97</v>
      </c>
      <c r="E4381" s="7">
        <v>1163.81</v>
      </c>
      <c r="F4381" t="s">
        <v>20</v>
      </c>
      <c r="G4381" t="s">
        <v>21</v>
      </c>
      <c r="H4381" t="str">
        <f>"DEN202208098665"</f>
        <v>DEN202208098665</v>
      </c>
      <c r="I4381" t="str">
        <f>"DENTAL INSURANCE"</f>
        <v>DENTAL INSURANCE</v>
      </c>
    </row>
    <row r="4382" spans="1:9" x14ac:dyDescent="0.25">
      <c r="A4382" s="6">
        <v>44804</v>
      </c>
      <c r="B4382" t="s">
        <v>26</v>
      </c>
      <c r="C4382">
        <v>70421</v>
      </c>
      <c r="D4382" t="s">
        <v>97</v>
      </c>
      <c r="E4382" s="7">
        <v>1163.81</v>
      </c>
      <c r="F4382" t="s">
        <v>20</v>
      </c>
      <c r="G4382" t="s">
        <v>21</v>
      </c>
      <c r="H4382" t="str">
        <f>"DEN202208238667"</f>
        <v>DEN202208238667</v>
      </c>
      <c r="I4382" t="str">
        <f>"DENTAL INSURANCE"</f>
        <v>DENTAL INSURANCE</v>
      </c>
    </row>
    <row r="4383" spans="1:9" x14ac:dyDescent="0.25">
      <c r="A4383" s="6">
        <v>44804</v>
      </c>
      <c r="B4383" t="s">
        <v>26</v>
      </c>
      <c r="C4383">
        <v>70421</v>
      </c>
      <c r="D4383" t="s">
        <v>97</v>
      </c>
      <c r="E4383" s="7">
        <v>20090.099999999999</v>
      </c>
      <c r="F4383" t="s">
        <v>20</v>
      </c>
      <c r="G4383" t="s">
        <v>21</v>
      </c>
      <c r="H4383" t="str">
        <f>"MED202208098665"</f>
        <v>MED202208098665</v>
      </c>
      <c r="I4383" t="str">
        <f>"HEALTH &amp; DENTAL INSURANCE"</f>
        <v>HEALTH &amp; DENTAL INSURANCE</v>
      </c>
    </row>
    <row r="4384" spans="1:9" x14ac:dyDescent="0.25">
      <c r="A4384" s="6">
        <v>44804</v>
      </c>
      <c r="B4384" t="s">
        <v>26</v>
      </c>
      <c r="C4384">
        <v>70421</v>
      </c>
      <c r="D4384" t="s">
        <v>97</v>
      </c>
      <c r="E4384" s="7">
        <v>19795.740000000002</v>
      </c>
      <c r="F4384" t="s">
        <v>20</v>
      </c>
      <c r="G4384" t="s">
        <v>21</v>
      </c>
      <c r="H4384" t="str">
        <f>"MED202208238667"</f>
        <v>MED202208238667</v>
      </c>
      <c r="I4384" t="str">
        <f>"HEALTH &amp; DENTAL INSURANCE"</f>
        <v>HEALTH &amp; DENTAL INSURANCE</v>
      </c>
    </row>
    <row r="4385" spans="1:9" x14ac:dyDescent="0.25">
      <c r="A4385" s="6">
        <v>44804</v>
      </c>
      <c r="B4385" t="s">
        <v>26</v>
      </c>
      <c r="C4385">
        <v>70430</v>
      </c>
      <c r="D4385" t="s">
        <v>1278</v>
      </c>
      <c r="E4385" s="7">
        <v>50</v>
      </c>
      <c r="F4385" t="s">
        <v>20</v>
      </c>
      <c r="G4385" t="s">
        <v>21</v>
      </c>
      <c r="H4385" t="str">
        <f>"DEP.RFND 8/27/22"</f>
        <v>DEP.RFND 8/27/22</v>
      </c>
      <c r="I4385" t="str">
        <f>"REFUND"</f>
        <v>REFUND</v>
      </c>
    </row>
    <row r="4386" spans="1:9" x14ac:dyDescent="0.25">
      <c r="A4386" s="6">
        <v>44804</v>
      </c>
      <c r="B4386" t="s">
        <v>26</v>
      </c>
      <c r="C4386">
        <v>70431</v>
      </c>
      <c r="D4386" t="s">
        <v>98</v>
      </c>
      <c r="E4386" s="7">
        <v>13.09</v>
      </c>
      <c r="F4386" t="s">
        <v>20</v>
      </c>
      <c r="G4386" t="s">
        <v>329</v>
      </c>
      <c r="H4386" t="str">
        <f>"9/1/2022"</f>
        <v>9/1/2022</v>
      </c>
      <c r="I4386" t="str">
        <f>"DEARBORN LIFE INSURANCE COMPAN"</f>
        <v>DEARBORN LIFE INSURANCE COMPAN</v>
      </c>
    </row>
    <row r="4387" spans="1:9" x14ac:dyDescent="0.25">
      <c r="A4387" s="6">
        <v>44804</v>
      </c>
      <c r="B4387" t="s">
        <v>26</v>
      </c>
      <c r="C4387">
        <v>70431</v>
      </c>
      <c r="D4387" t="s">
        <v>98</v>
      </c>
      <c r="E4387" s="7">
        <v>428.31</v>
      </c>
      <c r="F4387" t="s">
        <v>20</v>
      </c>
      <c r="G4387" t="s">
        <v>21</v>
      </c>
      <c r="H4387" t="str">
        <f>"STD202208098665"</f>
        <v>STD202208098665</v>
      </c>
      <c r="I4387" t="str">
        <f>"SHORT TERM DISABILITY"</f>
        <v>SHORT TERM DISABILITY</v>
      </c>
    </row>
    <row r="4388" spans="1:9" x14ac:dyDescent="0.25">
      <c r="A4388" s="6">
        <v>44804</v>
      </c>
      <c r="B4388" t="s">
        <v>26</v>
      </c>
      <c r="C4388">
        <v>70431</v>
      </c>
      <c r="D4388" t="s">
        <v>98</v>
      </c>
      <c r="E4388" s="7">
        <v>422.29</v>
      </c>
      <c r="F4388" t="s">
        <v>20</v>
      </c>
      <c r="G4388" t="s">
        <v>21</v>
      </c>
      <c r="H4388" t="str">
        <f>"STD202208238667"</f>
        <v>STD202208238667</v>
      </c>
      <c r="I4388" t="str">
        <f>"SHORT TERM DISABILITY"</f>
        <v>SHORT TERM DISABILITY</v>
      </c>
    </row>
    <row r="4389" spans="1:9" x14ac:dyDescent="0.25">
      <c r="A4389" s="6">
        <v>44804</v>
      </c>
      <c r="B4389" t="s">
        <v>26</v>
      </c>
      <c r="C4389">
        <v>70431</v>
      </c>
      <c r="D4389" t="s">
        <v>98</v>
      </c>
      <c r="E4389" s="7">
        <v>309.72000000000003</v>
      </c>
      <c r="F4389" t="s">
        <v>20</v>
      </c>
      <c r="G4389" t="s">
        <v>21</v>
      </c>
      <c r="H4389" t="str">
        <f>"VIS202208098665"</f>
        <v>VIS202208098665</v>
      </c>
      <c r="I4389" t="str">
        <f>"VISION INSURANCE"</f>
        <v>VISION INSURANCE</v>
      </c>
    </row>
    <row r="4390" spans="1:9" x14ac:dyDescent="0.25">
      <c r="A4390" s="6">
        <v>44804</v>
      </c>
      <c r="B4390" t="s">
        <v>26</v>
      </c>
      <c r="C4390">
        <v>70431</v>
      </c>
      <c r="D4390" t="s">
        <v>98</v>
      </c>
      <c r="E4390" s="7">
        <v>309.72000000000003</v>
      </c>
      <c r="F4390" t="s">
        <v>20</v>
      </c>
      <c r="G4390" t="s">
        <v>21</v>
      </c>
      <c r="H4390" t="str">
        <f>"VIS202208238667"</f>
        <v>VIS202208238667</v>
      </c>
      <c r="I4390" t="str">
        <f>"VISION INSURANCE"</f>
        <v>VISION INSURANCE</v>
      </c>
    </row>
    <row r="4391" spans="1:9" x14ac:dyDescent="0.25">
      <c r="A4391" s="6">
        <v>44804</v>
      </c>
      <c r="B4391" t="s">
        <v>26</v>
      </c>
      <c r="C4391">
        <v>70431</v>
      </c>
      <c r="D4391" t="s">
        <v>98</v>
      </c>
      <c r="E4391" s="7">
        <v>70.02</v>
      </c>
      <c r="F4391" t="s">
        <v>20</v>
      </c>
      <c r="G4391" t="s">
        <v>21</v>
      </c>
      <c r="H4391" t="str">
        <f>"VLC202208098665"</f>
        <v>VLC202208098665</v>
      </c>
      <c r="I4391" t="str">
        <f>"CHILD LIFE INSURANCE"</f>
        <v>CHILD LIFE INSURANCE</v>
      </c>
    </row>
    <row r="4392" spans="1:9" x14ac:dyDescent="0.25">
      <c r="A4392" s="6">
        <v>44804</v>
      </c>
      <c r="B4392" t="s">
        <v>26</v>
      </c>
      <c r="C4392">
        <v>70431</v>
      </c>
      <c r="D4392" t="s">
        <v>98</v>
      </c>
      <c r="E4392" s="7">
        <v>70.02</v>
      </c>
      <c r="F4392" t="s">
        <v>20</v>
      </c>
      <c r="G4392" t="s">
        <v>21</v>
      </c>
      <c r="H4392" t="str">
        <f>"VLC202208238667"</f>
        <v>VLC202208238667</v>
      </c>
      <c r="I4392" t="str">
        <f>"CHILD LIFE INSURANCE"</f>
        <v>CHILD LIFE INSURANCE</v>
      </c>
    </row>
    <row r="4393" spans="1:9" x14ac:dyDescent="0.25">
      <c r="A4393" s="6">
        <v>44804</v>
      </c>
      <c r="B4393" t="s">
        <v>26</v>
      </c>
      <c r="C4393">
        <v>70431</v>
      </c>
      <c r="D4393" t="s">
        <v>98</v>
      </c>
      <c r="E4393" s="7">
        <v>138.22</v>
      </c>
      <c r="F4393" t="s">
        <v>20</v>
      </c>
      <c r="G4393" t="s">
        <v>21</v>
      </c>
      <c r="H4393" t="str">
        <f>"VLS202208098665"</f>
        <v>VLS202208098665</v>
      </c>
      <c r="I4393" t="str">
        <f>"SPOUSE LIFE"</f>
        <v>SPOUSE LIFE</v>
      </c>
    </row>
    <row r="4394" spans="1:9" x14ac:dyDescent="0.25">
      <c r="A4394" s="6">
        <v>44804</v>
      </c>
      <c r="B4394" t="s">
        <v>26</v>
      </c>
      <c r="C4394">
        <v>70431</v>
      </c>
      <c r="D4394" t="s">
        <v>98</v>
      </c>
      <c r="E4394" s="7">
        <v>127.69</v>
      </c>
      <c r="F4394" t="s">
        <v>20</v>
      </c>
      <c r="G4394" t="s">
        <v>21</v>
      </c>
      <c r="H4394" t="str">
        <f>"VLS202208238667"</f>
        <v>VLS202208238667</v>
      </c>
      <c r="I4394" t="str">
        <f>"SPOUSE LIFE"</f>
        <v>SPOUSE LIFE</v>
      </c>
    </row>
    <row r="4395" spans="1:9" x14ac:dyDescent="0.25">
      <c r="A4395" s="6">
        <v>44804</v>
      </c>
      <c r="B4395" t="s">
        <v>26</v>
      </c>
      <c r="C4395">
        <v>70431</v>
      </c>
      <c r="D4395" t="s">
        <v>98</v>
      </c>
      <c r="E4395" s="7">
        <v>89.09</v>
      </c>
      <c r="F4395" t="s">
        <v>20</v>
      </c>
      <c r="G4395" t="s">
        <v>21</v>
      </c>
      <c r="H4395" t="str">
        <f>"VOE202208098665"</f>
        <v>VOE202208098665</v>
      </c>
      <c r="I4395" t="str">
        <f>"EMPLOYEE LIFE"</f>
        <v>EMPLOYEE LIFE</v>
      </c>
    </row>
    <row r="4396" spans="1:9" x14ac:dyDescent="0.25">
      <c r="A4396" s="6">
        <v>44804</v>
      </c>
      <c r="B4396" t="s">
        <v>26</v>
      </c>
      <c r="C4396">
        <v>70431</v>
      </c>
      <c r="D4396" t="s">
        <v>98</v>
      </c>
      <c r="E4396" s="7">
        <v>87.58</v>
      </c>
      <c r="F4396" t="s">
        <v>20</v>
      </c>
      <c r="G4396" t="s">
        <v>21</v>
      </c>
      <c r="H4396" t="str">
        <f>"VOE202208238667"</f>
        <v>VOE202208238667</v>
      </c>
      <c r="I4396" t="str">
        <f>"EMPLOYEE LIFE"</f>
        <v>EMPLOYEE LIFE</v>
      </c>
    </row>
    <row r="4397" spans="1:9" x14ac:dyDescent="0.25">
      <c r="A4397" s="6">
        <v>44804</v>
      </c>
      <c r="B4397" t="s">
        <v>26</v>
      </c>
      <c r="C4397">
        <v>70431</v>
      </c>
      <c r="D4397" t="s">
        <v>98</v>
      </c>
      <c r="E4397" s="7">
        <v>725.17</v>
      </c>
      <c r="F4397" t="s">
        <v>20</v>
      </c>
      <c r="G4397" t="s">
        <v>21</v>
      </c>
      <c r="H4397" t="str">
        <f>"VOL202208098665"</f>
        <v>VOL202208098665</v>
      </c>
      <c r="I4397" t="str">
        <f>"LIFE"</f>
        <v>LIFE</v>
      </c>
    </row>
    <row r="4398" spans="1:9" x14ac:dyDescent="0.25">
      <c r="A4398" s="6">
        <v>44804</v>
      </c>
      <c r="B4398" t="s">
        <v>26</v>
      </c>
      <c r="C4398">
        <v>70431</v>
      </c>
      <c r="D4398" t="s">
        <v>98</v>
      </c>
      <c r="E4398" s="7">
        <v>704.11</v>
      </c>
      <c r="F4398" t="s">
        <v>20</v>
      </c>
      <c r="G4398" t="s">
        <v>21</v>
      </c>
      <c r="H4398" t="str">
        <f>"VOL202208238667"</f>
        <v>VOL202208238667</v>
      </c>
      <c r="I4398" t="str">
        <f>"LIFE"</f>
        <v>LIFE</v>
      </c>
    </row>
    <row r="4399" spans="1:9" x14ac:dyDescent="0.25">
      <c r="A4399" s="6">
        <v>44805</v>
      </c>
      <c r="B4399" t="s">
        <v>26</v>
      </c>
      <c r="C4399">
        <v>70441</v>
      </c>
      <c r="D4399" t="s">
        <v>975</v>
      </c>
      <c r="E4399" s="7">
        <v>20.100000000000001</v>
      </c>
      <c r="F4399" t="s">
        <v>20</v>
      </c>
      <c r="G4399" t="s">
        <v>21</v>
      </c>
      <c r="H4399" t="str">
        <f>"P05745"</f>
        <v>P05745</v>
      </c>
      <c r="I4399" t="str">
        <f>"2.6 OZ OIL"</f>
        <v>2.6 OZ OIL</v>
      </c>
    </row>
    <row r="4400" spans="1:9" x14ac:dyDescent="0.25">
      <c r="A4400" s="6">
        <v>44805</v>
      </c>
      <c r="B4400" t="s">
        <v>26</v>
      </c>
      <c r="C4400">
        <v>70441</v>
      </c>
      <c r="D4400" t="s">
        <v>975</v>
      </c>
      <c r="E4400" s="7">
        <v>181.3</v>
      </c>
      <c r="F4400" t="s">
        <v>20</v>
      </c>
      <c r="G4400" t="s">
        <v>21</v>
      </c>
      <c r="H4400" t="str">
        <f>"P97933*"</f>
        <v>P97933*</v>
      </c>
      <c r="I4400" t="str">
        <f>"TELLUS EQUIPMENT SOLUTIONS  LL"</f>
        <v>TELLUS EQUIPMENT SOLUTIONS  LL</v>
      </c>
    </row>
    <row r="4401" spans="1:9" x14ac:dyDescent="0.25">
      <c r="A4401" s="6">
        <v>44810</v>
      </c>
      <c r="B4401" t="s">
        <v>26</v>
      </c>
      <c r="C4401">
        <v>70446</v>
      </c>
      <c r="D4401" t="s">
        <v>51</v>
      </c>
      <c r="E4401" s="7">
        <v>13.85</v>
      </c>
      <c r="F4401" t="s">
        <v>20</v>
      </c>
      <c r="G4401" t="s">
        <v>21</v>
      </c>
      <c r="H4401" t="str">
        <f>"CLE202209068668"</f>
        <v>CLE202209068668</v>
      </c>
      <c r="I4401" t="str">
        <f>"CLEAT ONLY DUES"</f>
        <v>CLEAT ONLY DUES</v>
      </c>
    </row>
    <row r="4402" spans="1:9" x14ac:dyDescent="0.25">
      <c r="A4402" s="6">
        <v>44810</v>
      </c>
      <c r="B4402" t="s">
        <v>26</v>
      </c>
      <c r="C4402">
        <v>70446</v>
      </c>
      <c r="D4402" t="s">
        <v>51</v>
      </c>
      <c r="E4402" s="7">
        <v>332.46</v>
      </c>
      <c r="F4402" t="s">
        <v>20</v>
      </c>
      <c r="G4402" t="s">
        <v>21</v>
      </c>
      <c r="H4402" t="str">
        <f>"PDD202209068668"</f>
        <v>PDD202209068668</v>
      </c>
      <c r="I4402" t="str">
        <f>"POLICE OFFICERS ASSOC DUES"</f>
        <v>POLICE OFFICERS ASSOC DUES</v>
      </c>
    </row>
    <row r="4403" spans="1:9" x14ac:dyDescent="0.25">
      <c r="A4403" s="6">
        <v>44810</v>
      </c>
      <c r="B4403" t="s">
        <v>26</v>
      </c>
      <c r="C4403">
        <v>70447</v>
      </c>
      <c r="D4403" t="s">
        <v>52</v>
      </c>
      <c r="E4403" s="7">
        <v>101.25</v>
      </c>
      <c r="F4403" t="s">
        <v>20</v>
      </c>
      <c r="G4403" t="s">
        <v>21</v>
      </c>
      <c r="H4403" t="str">
        <f>"CA1202209068668"</f>
        <v>CA1202209068668</v>
      </c>
      <c r="I4403" t="str">
        <f>"K RAMIREZ 001200229510060343CV"</f>
        <v>K RAMIREZ 001200229510060343CV</v>
      </c>
    </row>
    <row r="4404" spans="1:9" x14ac:dyDescent="0.25">
      <c r="A4404" s="6">
        <v>44810</v>
      </c>
      <c r="B4404" t="s">
        <v>26</v>
      </c>
      <c r="C4404">
        <v>70447</v>
      </c>
      <c r="D4404" t="s">
        <v>52</v>
      </c>
      <c r="E4404" s="7">
        <v>101.25</v>
      </c>
      <c r="F4404" t="s">
        <v>20</v>
      </c>
      <c r="G4404" t="s">
        <v>21</v>
      </c>
      <c r="H4404" t="str">
        <f>"CA2202209068668"</f>
        <v>CA2202209068668</v>
      </c>
      <c r="I4404" t="str">
        <f>"L HERNANDEZ 001016025203080354"</f>
        <v>L HERNANDEZ 001016025203080354</v>
      </c>
    </row>
    <row r="4405" spans="1:9" x14ac:dyDescent="0.25">
      <c r="A4405" s="6">
        <v>44810</v>
      </c>
      <c r="B4405" t="s">
        <v>26</v>
      </c>
      <c r="C4405">
        <v>70447</v>
      </c>
      <c r="D4405" t="s">
        <v>52</v>
      </c>
      <c r="E4405" s="7">
        <v>101.25</v>
      </c>
      <c r="F4405" t="s">
        <v>20</v>
      </c>
      <c r="G4405" t="s">
        <v>21</v>
      </c>
      <c r="H4405" t="str">
        <f>"CA3202209068668"</f>
        <v>CA3202209068668</v>
      </c>
      <c r="I4405" t="str">
        <f>"00120788612011EM5023JOLENEGARC"</f>
        <v>00120788612011EM5023JOLENEGARC</v>
      </c>
    </row>
    <row r="4406" spans="1:9" x14ac:dyDescent="0.25">
      <c r="A4406" s="6">
        <v>44810</v>
      </c>
      <c r="B4406" t="s">
        <v>26</v>
      </c>
      <c r="C4406">
        <v>70447</v>
      </c>
      <c r="D4406" t="s">
        <v>52</v>
      </c>
      <c r="E4406" s="7">
        <v>306.45999999999998</v>
      </c>
      <c r="F4406" t="s">
        <v>20</v>
      </c>
      <c r="G4406" t="s">
        <v>21</v>
      </c>
      <c r="H4406" t="str">
        <f>"CPS202209068668"</f>
        <v>CPS202209068668</v>
      </c>
      <c r="I4406" t="str">
        <f>"G MENDOZA 00123012032010EM5054"</f>
        <v>G MENDOZA 00123012032010EM5054</v>
      </c>
    </row>
    <row r="4407" spans="1:9" x14ac:dyDescent="0.25">
      <c r="A4407" s="6">
        <v>44810</v>
      </c>
      <c r="B4407" t="s">
        <v>26</v>
      </c>
      <c r="C4407">
        <v>70447</v>
      </c>
      <c r="D4407" t="s">
        <v>52</v>
      </c>
      <c r="E4407" s="7">
        <v>101.25</v>
      </c>
      <c r="F4407" t="s">
        <v>20</v>
      </c>
      <c r="G4407" t="s">
        <v>21</v>
      </c>
      <c r="H4407" t="str">
        <f>"CSA202209068668"</f>
        <v>CSA202209068668</v>
      </c>
      <c r="I4407" t="str">
        <f>"S RODRIGUEZ 001281730413050336"</f>
        <v>S RODRIGUEZ 001281730413050336</v>
      </c>
    </row>
    <row r="4408" spans="1:9" x14ac:dyDescent="0.25">
      <c r="A4408" s="6">
        <v>44810</v>
      </c>
      <c r="B4408" t="s">
        <v>26</v>
      </c>
      <c r="C4408">
        <v>70447</v>
      </c>
      <c r="D4408" t="s">
        <v>52</v>
      </c>
      <c r="E4408" s="7">
        <v>521.54</v>
      </c>
      <c r="F4408" t="s">
        <v>20</v>
      </c>
      <c r="G4408" t="s">
        <v>21</v>
      </c>
      <c r="H4408" t="str">
        <f>"CSI202209068668"</f>
        <v>CSI202209068668</v>
      </c>
      <c r="I4408" t="str">
        <f>"KTRINIDAD0014071774CVW2000777"</f>
        <v>KTRINIDAD0014071774CVW2000777</v>
      </c>
    </row>
    <row r="4409" spans="1:9" x14ac:dyDescent="0.25">
      <c r="A4409" s="6">
        <v>44810</v>
      </c>
      <c r="B4409" t="s">
        <v>26</v>
      </c>
      <c r="C4409">
        <v>70449</v>
      </c>
      <c r="D4409" t="s">
        <v>54</v>
      </c>
      <c r="E4409" s="7">
        <v>803.43</v>
      </c>
      <c r="F4409" t="s">
        <v>20</v>
      </c>
      <c r="G4409" t="s">
        <v>21</v>
      </c>
      <c r="H4409" t="str">
        <f>"BRE202209068668"</f>
        <v>BRE202209068668</v>
      </c>
      <c r="I4409" t="str">
        <f>"CASE #180-60751 457B DEDUCT"</f>
        <v>CASE #180-60751 457B DEDUCT</v>
      </c>
    </row>
    <row r="4410" spans="1:9" x14ac:dyDescent="0.25">
      <c r="A4410" s="6">
        <v>44811</v>
      </c>
      <c r="B4410" t="s">
        <v>26</v>
      </c>
      <c r="C4410">
        <v>70450</v>
      </c>
      <c r="D4410" t="s">
        <v>1279</v>
      </c>
      <c r="E4410" s="7">
        <v>50</v>
      </c>
      <c r="F4410" t="s">
        <v>20</v>
      </c>
      <c r="G4410" t="s">
        <v>21</v>
      </c>
      <c r="H4410" t="str">
        <f>"DEP. RFND 8/27/222"</f>
        <v>DEP. RFND 8/27/222</v>
      </c>
      <c r="I4410" t="str">
        <f>"REFUND"</f>
        <v>REFUND</v>
      </c>
    </row>
    <row r="4411" spans="1:9" x14ac:dyDescent="0.25">
      <c r="A4411" s="6">
        <v>44811</v>
      </c>
      <c r="B4411" t="s">
        <v>26</v>
      </c>
      <c r="C4411">
        <v>70451</v>
      </c>
      <c r="D4411" t="s">
        <v>81</v>
      </c>
      <c r="E4411" s="7">
        <v>229.23</v>
      </c>
      <c r="F4411" t="s">
        <v>20</v>
      </c>
      <c r="G4411" t="s">
        <v>21</v>
      </c>
      <c r="H4411" t="str">
        <f>"A.MONTOYA 9/6/2022"</f>
        <v>A.MONTOYA 9/6/2022</v>
      </c>
      <c r="I4411" t="str">
        <f>"CITY OF FLORESVILLE -PETTY CAS"</f>
        <v>CITY OF FLORESVILLE -PETTY CAS</v>
      </c>
    </row>
    <row r="4412" spans="1:9" x14ac:dyDescent="0.25">
      <c r="A4412" s="6">
        <v>44804</v>
      </c>
      <c r="B4412" t="s">
        <v>26</v>
      </c>
      <c r="C4412">
        <v>70453</v>
      </c>
      <c r="D4412" t="s">
        <v>1136</v>
      </c>
      <c r="E4412" s="7">
        <v>400</v>
      </c>
      <c r="F4412" t="s">
        <v>20</v>
      </c>
      <c r="G4412" t="s">
        <v>21</v>
      </c>
      <c r="H4412" t="str">
        <f>"INV0171*"</f>
        <v>INV0171*</v>
      </c>
      <c r="I4412" t="str">
        <f>"B STREET WELL"</f>
        <v>B STREET WELL</v>
      </c>
    </row>
    <row r="4413" spans="1:9" x14ac:dyDescent="0.25">
      <c r="A4413" s="6">
        <v>44811</v>
      </c>
      <c r="B4413" t="s">
        <v>26</v>
      </c>
      <c r="C4413">
        <v>70454</v>
      </c>
      <c r="D4413" t="s">
        <v>483</v>
      </c>
      <c r="E4413" s="7">
        <v>39.4</v>
      </c>
      <c r="F4413" t="s">
        <v>20</v>
      </c>
      <c r="G4413" t="s">
        <v>21</v>
      </c>
      <c r="H4413" t="str">
        <f>"5499202"</f>
        <v>5499202</v>
      </c>
      <c r="I4413" t="str">
        <f>"4-STAR HOSE &amp; SUPPLY  INC"</f>
        <v>4-STAR HOSE &amp; SUPPLY  INC</v>
      </c>
    </row>
    <row r="4414" spans="1:9" x14ac:dyDescent="0.25">
      <c r="A4414" s="6">
        <v>44811</v>
      </c>
      <c r="B4414" t="s">
        <v>26</v>
      </c>
      <c r="C4414">
        <v>70455</v>
      </c>
      <c r="D4414" t="s">
        <v>1145</v>
      </c>
      <c r="E4414" s="7">
        <v>59.6</v>
      </c>
      <c r="F4414" t="s">
        <v>20</v>
      </c>
      <c r="G4414" t="s">
        <v>21</v>
      </c>
      <c r="H4414" t="str">
        <f>"8"</f>
        <v>8</v>
      </c>
      <c r="I4414" t="str">
        <f>"6S ENGINEERING  INC"</f>
        <v>6S ENGINEERING  INC</v>
      </c>
    </row>
    <row r="4415" spans="1:9" x14ac:dyDescent="0.25">
      <c r="A4415" s="6">
        <v>44811</v>
      </c>
      <c r="B4415" t="s">
        <v>26</v>
      </c>
      <c r="C4415">
        <v>70456</v>
      </c>
      <c r="D4415" t="s">
        <v>1074</v>
      </c>
      <c r="E4415" s="7">
        <v>136.37</v>
      </c>
      <c r="F4415" t="s">
        <v>20</v>
      </c>
      <c r="G4415" t="s">
        <v>21</v>
      </c>
      <c r="H4415" t="str">
        <f>"1393-LMHK-DK47"</f>
        <v>1393-LMHK-DK47</v>
      </c>
      <c r="I4415" t="str">
        <f>"AMAZON CAPITAL SERVICES"</f>
        <v>AMAZON CAPITAL SERVICES</v>
      </c>
    </row>
    <row r="4416" spans="1:9" x14ac:dyDescent="0.25">
      <c r="A4416" s="6">
        <v>44811</v>
      </c>
      <c r="B4416" t="s">
        <v>26</v>
      </c>
      <c r="C4416">
        <v>70456</v>
      </c>
      <c r="D4416" t="s">
        <v>1074</v>
      </c>
      <c r="E4416" s="7">
        <v>51.74</v>
      </c>
      <c r="F4416" t="s">
        <v>20</v>
      </c>
      <c r="G4416" t="s">
        <v>21</v>
      </c>
      <c r="H4416" t="str">
        <f>"19M1-VGNK-DTJY"</f>
        <v>19M1-VGNK-DTJY</v>
      </c>
      <c r="I4416" t="str">
        <f>"AMAZON CAPITAL SERVICES"</f>
        <v>AMAZON CAPITAL SERVICES</v>
      </c>
    </row>
    <row r="4417" spans="1:9" x14ac:dyDescent="0.25">
      <c r="A4417" s="6">
        <v>44811</v>
      </c>
      <c r="B4417" t="s">
        <v>26</v>
      </c>
      <c r="C4417">
        <v>70456</v>
      </c>
      <c r="D4417" t="s">
        <v>1074</v>
      </c>
      <c r="E4417" s="7">
        <v>8.8800000000000008</v>
      </c>
      <c r="F4417" t="s">
        <v>20</v>
      </c>
      <c r="G4417" t="s">
        <v>21</v>
      </c>
      <c r="H4417" t="str">
        <f>"1M43-RFJJ-DMQF"</f>
        <v>1M43-RFJJ-DMQF</v>
      </c>
      <c r="I4417" t="str">
        <f>"AMAZON CAPITAL SERVICES"</f>
        <v>AMAZON CAPITAL SERVICES</v>
      </c>
    </row>
    <row r="4418" spans="1:9" x14ac:dyDescent="0.25">
      <c r="A4418" s="6">
        <v>44811</v>
      </c>
      <c r="B4418" t="s">
        <v>26</v>
      </c>
      <c r="C4418">
        <v>70456</v>
      </c>
      <c r="D4418" t="s">
        <v>1074</v>
      </c>
      <c r="E4418" s="7">
        <v>53.58</v>
      </c>
      <c r="F4418" t="s">
        <v>20</v>
      </c>
      <c r="G4418" t="s">
        <v>21</v>
      </c>
      <c r="H4418" t="str">
        <f>"1PM1-VGNK-DWQF"</f>
        <v>1PM1-VGNK-DWQF</v>
      </c>
      <c r="I4418" t="str">
        <f>"AMAZON CAPITAL SERVICES"</f>
        <v>AMAZON CAPITAL SERVICES</v>
      </c>
    </row>
    <row r="4419" spans="1:9" x14ac:dyDescent="0.25">
      <c r="A4419" s="6">
        <v>44811</v>
      </c>
      <c r="B4419" t="s">
        <v>26</v>
      </c>
      <c r="C4419">
        <v>70457</v>
      </c>
      <c r="D4419" t="s">
        <v>139</v>
      </c>
      <c r="E4419" s="7">
        <v>65</v>
      </c>
      <c r="F4419" t="s">
        <v>20</v>
      </c>
      <c r="G4419" t="s">
        <v>21</v>
      </c>
      <c r="H4419" t="str">
        <f>"36907"</f>
        <v>36907</v>
      </c>
      <c r="I4419" t="str">
        <f>"ANGEL FIRE &amp; SAFETY"</f>
        <v>ANGEL FIRE &amp; SAFETY</v>
      </c>
    </row>
    <row r="4420" spans="1:9" x14ac:dyDescent="0.25">
      <c r="A4420" s="6">
        <v>44811</v>
      </c>
      <c r="B4420" t="s">
        <v>26</v>
      </c>
      <c r="C4420">
        <v>70458</v>
      </c>
      <c r="D4420" t="s">
        <v>83</v>
      </c>
      <c r="E4420" s="7">
        <v>1080</v>
      </c>
      <c r="F4420" t="s">
        <v>20</v>
      </c>
      <c r="G4420" t="s">
        <v>21</v>
      </c>
      <c r="H4420" t="str">
        <f>"2161698"</f>
        <v>2161698</v>
      </c>
      <c r="I4420" t="str">
        <f>"APPRIVER"</f>
        <v>APPRIVER</v>
      </c>
    </row>
    <row r="4421" spans="1:9" x14ac:dyDescent="0.25">
      <c r="A4421" s="6">
        <v>44811</v>
      </c>
      <c r="B4421" t="s">
        <v>26</v>
      </c>
      <c r="C4421">
        <v>70459</v>
      </c>
      <c r="D4421" t="s">
        <v>836</v>
      </c>
      <c r="E4421" s="7">
        <v>215</v>
      </c>
      <c r="F4421" t="s">
        <v>20</v>
      </c>
      <c r="G4421" t="s">
        <v>21</v>
      </c>
      <c r="H4421" t="str">
        <f>"88513"</f>
        <v>88513</v>
      </c>
      <c r="I4421" t="str">
        <f>"BARCOM TECHNOLOGY SOLUTIONS  I"</f>
        <v>BARCOM TECHNOLOGY SOLUTIONS  I</v>
      </c>
    </row>
    <row r="4422" spans="1:9" x14ac:dyDescent="0.25">
      <c r="A4422" s="6">
        <v>44811</v>
      </c>
      <c r="B4422" t="s">
        <v>26</v>
      </c>
      <c r="C4422">
        <v>70459</v>
      </c>
      <c r="D4422" t="s">
        <v>836</v>
      </c>
      <c r="E4422" s="7">
        <v>4462.3999999999996</v>
      </c>
      <c r="F4422" t="s">
        <v>20</v>
      </c>
      <c r="G4422" t="s">
        <v>21</v>
      </c>
      <c r="H4422" t="str">
        <f>"88680"</f>
        <v>88680</v>
      </c>
      <c r="I4422" t="str">
        <f>"BARCOM TECHNOLOGY SOLUTIONS  I"</f>
        <v>BARCOM TECHNOLOGY SOLUTIONS  I</v>
      </c>
    </row>
    <row r="4423" spans="1:9" x14ac:dyDescent="0.25">
      <c r="A4423" s="6">
        <v>44811</v>
      </c>
      <c r="B4423" t="s">
        <v>26</v>
      </c>
      <c r="C4423">
        <v>70459</v>
      </c>
      <c r="D4423" t="s">
        <v>836</v>
      </c>
      <c r="E4423" s="7">
        <v>1246</v>
      </c>
      <c r="F4423" t="s">
        <v>20</v>
      </c>
      <c r="G4423" t="s">
        <v>21</v>
      </c>
      <c r="H4423" t="str">
        <f>"88681"</f>
        <v>88681</v>
      </c>
      <c r="I4423" t="str">
        <f>"BARCOM TECHNOLOGY SOLUTIONS  I"</f>
        <v>BARCOM TECHNOLOGY SOLUTIONS  I</v>
      </c>
    </row>
    <row r="4424" spans="1:9" x14ac:dyDescent="0.25">
      <c r="A4424" s="6">
        <v>44811</v>
      </c>
      <c r="B4424" t="s">
        <v>26</v>
      </c>
      <c r="C4424">
        <v>70461</v>
      </c>
      <c r="D4424" t="s">
        <v>38</v>
      </c>
      <c r="E4424" s="7">
        <v>100</v>
      </c>
      <c r="F4424" t="s">
        <v>20</v>
      </c>
      <c r="G4424" t="s">
        <v>21</v>
      </c>
      <c r="H4424" t="str">
        <f>"092022-MONTHLY"</f>
        <v>092022-MONTHLY</v>
      </c>
      <c r="I4424" t="str">
        <f>""</f>
        <v/>
      </c>
    </row>
    <row r="4425" spans="1:9" x14ac:dyDescent="0.25">
      <c r="A4425" s="6">
        <v>44811</v>
      </c>
      <c r="B4425" t="s">
        <v>26</v>
      </c>
      <c r="C4425">
        <v>70462</v>
      </c>
      <c r="D4425" t="s">
        <v>71</v>
      </c>
      <c r="E4425" s="7">
        <v>31.89</v>
      </c>
      <c r="F4425" t="s">
        <v>20</v>
      </c>
      <c r="G4425" t="s">
        <v>21</v>
      </c>
      <c r="H4425" t="str">
        <f>"4129738530"</f>
        <v>4129738530</v>
      </c>
      <c r="I4425" t="str">
        <f>"CINTAS CORPORATION #087"</f>
        <v>CINTAS CORPORATION #087</v>
      </c>
    </row>
    <row r="4426" spans="1:9" x14ac:dyDescent="0.25">
      <c r="A4426" s="6">
        <v>44811</v>
      </c>
      <c r="B4426" t="s">
        <v>26</v>
      </c>
      <c r="C4426">
        <v>70462</v>
      </c>
      <c r="D4426" t="s">
        <v>71</v>
      </c>
      <c r="E4426" s="7">
        <v>9.3800000000000008</v>
      </c>
      <c r="F4426" t="s">
        <v>20</v>
      </c>
      <c r="G4426" t="s">
        <v>21</v>
      </c>
      <c r="H4426" t="str">
        <f>"4129738547"</f>
        <v>4129738547</v>
      </c>
      <c r="I4426" t="str">
        <f>"CINTAS CORPORATION #087"</f>
        <v>CINTAS CORPORATION #087</v>
      </c>
    </row>
    <row r="4427" spans="1:9" x14ac:dyDescent="0.25">
      <c r="A4427" s="6">
        <v>44811</v>
      </c>
      <c r="B4427" t="s">
        <v>26</v>
      </c>
      <c r="C4427">
        <v>70462</v>
      </c>
      <c r="D4427" t="s">
        <v>71</v>
      </c>
      <c r="E4427" s="7">
        <v>57.72</v>
      </c>
      <c r="F4427" t="s">
        <v>20</v>
      </c>
      <c r="G4427" t="s">
        <v>21</v>
      </c>
      <c r="H4427" t="str">
        <f>"4129738565"</f>
        <v>4129738565</v>
      </c>
      <c r="I4427" t="str">
        <f>"CINTAS CORPORATION #087"</f>
        <v>CINTAS CORPORATION #087</v>
      </c>
    </row>
    <row r="4428" spans="1:9" x14ac:dyDescent="0.25">
      <c r="A4428" s="6">
        <v>44811</v>
      </c>
      <c r="B4428" t="s">
        <v>26</v>
      </c>
      <c r="C4428">
        <v>70462</v>
      </c>
      <c r="D4428" t="s">
        <v>71</v>
      </c>
      <c r="E4428" s="7">
        <v>351.41</v>
      </c>
      <c r="F4428" t="s">
        <v>20</v>
      </c>
      <c r="G4428" t="s">
        <v>21</v>
      </c>
      <c r="H4428" t="str">
        <f>"4129738583"</f>
        <v>4129738583</v>
      </c>
      <c r="I4428" t="str">
        <f>"CINTAS CORPORATION #087"</f>
        <v>CINTAS CORPORATION #087</v>
      </c>
    </row>
    <row r="4429" spans="1:9" x14ac:dyDescent="0.25">
      <c r="A4429" s="6">
        <v>44811</v>
      </c>
      <c r="B4429" t="s">
        <v>26</v>
      </c>
      <c r="C4429">
        <v>70462</v>
      </c>
      <c r="D4429" t="s">
        <v>71</v>
      </c>
      <c r="E4429" s="7">
        <v>37.1</v>
      </c>
      <c r="F4429" t="s">
        <v>20</v>
      </c>
      <c r="G4429" t="s">
        <v>21</v>
      </c>
      <c r="H4429" t="str">
        <f>"4129738584"</f>
        <v>4129738584</v>
      </c>
      <c r="I4429" t="str">
        <f>"CINTAS CORPORATION #087"</f>
        <v>CINTAS CORPORATION #087</v>
      </c>
    </row>
    <row r="4430" spans="1:9" x14ac:dyDescent="0.25">
      <c r="A4430" s="6">
        <v>44811</v>
      </c>
      <c r="B4430" t="s">
        <v>26</v>
      </c>
      <c r="C4430">
        <v>70464</v>
      </c>
      <c r="D4430" t="s">
        <v>81</v>
      </c>
      <c r="E4430" s="7">
        <v>120.05</v>
      </c>
      <c r="F4430" t="s">
        <v>20</v>
      </c>
      <c r="G4430" t="s">
        <v>21</v>
      </c>
      <c r="H4430" t="str">
        <f>"A.MARTINEZ 9/6/22"</f>
        <v>A.MARTINEZ 9/6/22</v>
      </c>
      <c r="I4430" t="str">
        <f>"CITY OF FLORESVILLE -PETTY CAS"</f>
        <v>CITY OF FLORESVILLE -PETTY CAS</v>
      </c>
    </row>
    <row r="4431" spans="1:9" x14ac:dyDescent="0.25">
      <c r="A4431" s="6">
        <v>44811</v>
      </c>
      <c r="B4431" t="s">
        <v>26</v>
      </c>
      <c r="C4431">
        <v>70465</v>
      </c>
      <c r="D4431" t="s">
        <v>1113</v>
      </c>
      <c r="E4431" s="7">
        <v>2590.92</v>
      </c>
      <c r="F4431" t="s">
        <v>20</v>
      </c>
      <c r="G4431" t="s">
        <v>21</v>
      </c>
      <c r="H4431" t="str">
        <f>"281510"</f>
        <v>281510</v>
      </c>
      <c r="I4431" t="str">
        <f>"DIAMONDBACK AUTOMOTIVE ACCESSO"</f>
        <v>DIAMONDBACK AUTOMOTIVE ACCESSO</v>
      </c>
    </row>
    <row r="4432" spans="1:9" x14ac:dyDescent="0.25">
      <c r="A4432" s="6">
        <v>44811</v>
      </c>
      <c r="B4432" t="s">
        <v>26</v>
      </c>
      <c r="C4432">
        <v>70466</v>
      </c>
      <c r="D4432" t="s">
        <v>64</v>
      </c>
      <c r="E4432" s="7">
        <v>3408</v>
      </c>
      <c r="F4432" t="s">
        <v>20</v>
      </c>
      <c r="G4432" t="s">
        <v>21</v>
      </c>
      <c r="H4432" t="str">
        <f>"8975"</f>
        <v>8975</v>
      </c>
      <c r="I4432" t="str">
        <f>"DREWA DESIGNS  INC."</f>
        <v>DREWA DESIGNS  INC.</v>
      </c>
    </row>
    <row r="4433" spans="1:9" x14ac:dyDescent="0.25">
      <c r="A4433" s="6">
        <v>44811</v>
      </c>
      <c r="B4433" t="s">
        <v>26</v>
      </c>
      <c r="C4433">
        <v>70467</v>
      </c>
      <c r="D4433" t="s">
        <v>1011</v>
      </c>
      <c r="E4433" s="7">
        <v>75</v>
      </c>
      <c r="F4433" t="s">
        <v>20</v>
      </c>
      <c r="G4433" t="s">
        <v>21</v>
      </c>
      <c r="H4433" t="str">
        <f>"092022-MONTHLY"</f>
        <v>092022-MONTHLY</v>
      </c>
      <c r="I4433" t="str">
        <f>""</f>
        <v/>
      </c>
    </row>
    <row r="4434" spans="1:9" x14ac:dyDescent="0.25">
      <c r="A4434" s="6">
        <v>44811</v>
      </c>
      <c r="B4434" t="s">
        <v>26</v>
      </c>
      <c r="C4434">
        <v>70468</v>
      </c>
      <c r="D4434" t="s">
        <v>143</v>
      </c>
      <c r="E4434" s="7">
        <v>441.27</v>
      </c>
      <c r="F4434" t="s">
        <v>20</v>
      </c>
      <c r="G4434" t="s">
        <v>21</v>
      </c>
      <c r="H4434" t="str">
        <f>"9402773647"</f>
        <v>9402773647</v>
      </c>
      <c r="I4434" t="str">
        <f>"ERGON ASPHALT AND EMULSIONS  I"</f>
        <v>ERGON ASPHALT AND EMULSIONS  I</v>
      </c>
    </row>
    <row r="4435" spans="1:9" x14ac:dyDescent="0.25">
      <c r="A4435" s="6">
        <v>44811</v>
      </c>
      <c r="B4435" t="s">
        <v>26</v>
      </c>
      <c r="C4435">
        <v>70469</v>
      </c>
      <c r="D4435" t="s">
        <v>79</v>
      </c>
      <c r="E4435" s="7">
        <v>23.24</v>
      </c>
      <c r="F4435" t="s">
        <v>20</v>
      </c>
      <c r="G4435" t="s">
        <v>21</v>
      </c>
      <c r="H4435" t="str">
        <f>"7-862-50641"</f>
        <v>7-862-50641</v>
      </c>
      <c r="I4435" t="str">
        <f>"FEDEX"</f>
        <v>FEDEX</v>
      </c>
    </row>
    <row r="4436" spans="1:9" x14ac:dyDescent="0.25">
      <c r="A4436" s="6">
        <v>44811</v>
      </c>
      <c r="B4436" t="s">
        <v>26</v>
      </c>
      <c r="C4436">
        <v>70470</v>
      </c>
      <c r="D4436" t="s">
        <v>59</v>
      </c>
      <c r="E4436" s="7">
        <v>257.88</v>
      </c>
      <c r="F4436" t="s">
        <v>20</v>
      </c>
      <c r="G4436" t="s">
        <v>21</v>
      </c>
      <c r="H4436" t="str">
        <f>"1192651"</f>
        <v>1192651</v>
      </c>
      <c r="I4436" t="str">
        <f>"FERGUSON WATERWORKS - MUNICIPA"</f>
        <v>FERGUSON WATERWORKS - MUNICIPA</v>
      </c>
    </row>
    <row r="4437" spans="1:9" x14ac:dyDescent="0.25">
      <c r="A4437" s="6">
        <v>44811</v>
      </c>
      <c r="B4437" t="s">
        <v>26</v>
      </c>
      <c r="C4437">
        <v>70471</v>
      </c>
      <c r="D4437" t="s">
        <v>85</v>
      </c>
      <c r="E4437" s="7">
        <v>547.07000000000005</v>
      </c>
      <c r="F4437" t="s">
        <v>20</v>
      </c>
      <c r="G4437" t="s">
        <v>21</v>
      </c>
      <c r="H4437" t="str">
        <f>"2162691 AUG. 2022"</f>
        <v>2162691 AUG. 2022</v>
      </c>
      <c r="I4437" t="str">
        <f>"FRONTIER"</f>
        <v>FRONTIER</v>
      </c>
    </row>
    <row r="4438" spans="1:9" x14ac:dyDescent="0.25">
      <c r="A4438" s="6">
        <v>44811</v>
      </c>
      <c r="B4438" t="s">
        <v>26</v>
      </c>
      <c r="C4438">
        <v>70472</v>
      </c>
      <c r="D4438" t="s">
        <v>36</v>
      </c>
      <c r="E4438" s="7">
        <v>75</v>
      </c>
      <c r="F4438" t="s">
        <v>20</v>
      </c>
      <c r="G4438" t="s">
        <v>21</v>
      </c>
      <c r="H4438" t="str">
        <f>"092022-MONTHLY"</f>
        <v>092022-MONTHLY</v>
      </c>
      <c r="I4438" t="str">
        <f>""</f>
        <v/>
      </c>
    </row>
    <row r="4439" spans="1:9" x14ac:dyDescent="0.25">
      <c r="A4439" s="6">
        <v>44811</v>
      </c>
      <c r="B4439" t="s">
        <v>26</v>
      </c>
      <c r="C4439">
        <v>70473</v>
      </c>
      <c r="D4439" t="s">
        <v>398</v>
      </c>
      <c r="E4439" s="7">
        <v>56.5</v>
      </c>
      <c r="F4439" t="s">
        <v>20</v>
      </c>
      <c r="G4439" t="s">
        <v>21</v>
      </c>
      <c r="H4439" t="str">
        <f>"20220901"</f>
        <v>20220901</v>
      </c>
      <c r="I4439" t="str">
        <f>"INTERCEPTOR TECHNOLOGY GROUP L"</f>
        <v>INTERCEPTOR TECHNOLOGY GROUP L</v>
      </c>
    </row>
    <row r="4440" spans="1:9" x14ac:dyDescent="0.25">
      <c r="A4440" s="6">
        <v>44811</v>
      </c>
      <c r="B4440" t="s">
        <v>26</v>
      </c>
      <c r="C4440">
        <v>70474</v>
      </c>
      <c r="D4440" t="s">
        <v>454</v>
      </c>
      <c r="E4440" s="7">
        <v>82.95</v>
      </c>
      <c r="F4440" t="s">
        <v>20</v>
      </c>
      <c r="G4440" t="s">
        <v>21</v>
      </c>
      <c r="H4440" t="str">
        <f>"9/3/2022"</f>
        <v>9/3/2022</v>
      </c>
      <c r="I4440" t="str">
        <f>"IRIS VANESSA BARRERA"</f>
        <v>IRIS VANESSA BARRERA</v>
      </c>
    </row>
    <row r="4441" spans="1:9" x14ac:dyDescent="0.25">
      <c r="A4441" s="6">
        <v>44811</v>
      </c>
      <c r="B4441" t="s">
        <v>26</v>
      </c>
      <c r="C4441">
        <v>70475</v>
      </c>
      <c r="D4441" t="s">
        <v>889</v>
      </c>
      <c r="E4441" s="7">
        <v>75</v>
      </c>
      <c r="F4441" t="s">
        <v>20</v>
      </c>
      <c r="G4441" t="s">
        <v>21</v>
      </c>
      <c r="H4441" t="str">
        <f>"092022-MONTHLY"</f>
        <v>092022-MONTHLY</v>
      </c>
      <c r="I4441" t="str">
        <f>""</f>
        <v/>
      </c>
    </row>
    <row r="4442" spans="1:9" x14ac:dyDescent="0.25">
      <c r="A4442" s="6">
        <v>44811</v>
      </c>
      <c r="B4442" t="s">
        <v>91</v>
      </c>
      <c r="C4442">
        <v>70476</v>
      </c>
      <c r="D4442" t="s">
        <v>1280</v>
      </c>
      <c r="E4442" s="7">
        <v>1000</v>
      </c>
      <c r="F4442" t="s">
        <v>20</v>
      </c>
      <c r="G4442" t="s">
        <v>21</v>
      </c>
      <c r="H4442" t="str">
        <f>"CEMETARY RFND '22"</f>
        <v>CEMETARY RFND '22</v>
      </c>
      <c r="I4442" t="str">
        <f>"REFUND"</f>
        <v>REFUND</v>
      </c>
    </row>
    <row r="4443" spans="1:9" x14ac:dyDescent="0.25">
      <c r="A4443" s="6">
        <v>44811</v>
      </c>
      <c r="B4443" t="s">
        <v>91</v>
      </c>
      <c r="C4443">
        <v>70476</v>
      </c>
      <c r="D4443" t="s">
        <v>1281</v>
      </c>
      <c r="E4443" s="7">
        <v>1000</v>
      </c>
      <c r="F4443" t="s">
        <v>20</v>
      </c>
      <c r="G4443" t="s">
        <v>93</v>
      </c>
      <c r="H4443" t="str">
        <f>"CHECK"</f>
        <v>CHECK</v>
      </c>
      <c r="I4443" t="str">
        <f>""</f>
        <v/>
      </c>
    </row>
    <row r="4444" spans="1:9" x14ac:dyDescent="0.25">
      <c r="A4444" s="6">
        <v>44811</v>
      </c>
      <c r="B4444" t="s">
        <v>91</v>
      </c>
      <c r="C4444">
        <v>70477</v>
      </c>
      <c r="D4444" t="s">
        <v>1274</v>
      </c>
      <c r="E4444" s="7">
        <v>4100</v>
      </c>
      <c r="F4444" t="s">
        <v>20</v>
      </c>
      <c r="G4444" t="s">
        <v>21</v>
      </c>
      <c r="H4444" t="str">
        <f>"INV0174"</f>
        <v>INV0174</v>
      </c>
      <c r="I4444" t="str">
        <f>"LUX BEAUTIQUE"</f>
        <v>LUX BEAUTIQUE</v>
      </c>
    </row>
    <row r="4445" spans="1:9" x14ac:dyDescent="0.25">
      <c r="A4445" s="6">
        <v>44811</v>
      </c>
      <c r="B4445" t="s">
        <v>91</v>
      </c>
      <c r="C4445">
        <v>70477</v>
      </c>
      <c r="D4445" t="s">
        <v>1274</v>
      </c>
      <c r="E4445" s="7">
        <v>750</v>
      </c>
      <c r="F4445" t="s">
        <v>20</v>
      </c>
      <c r="G4445" t="s">
        <v>21</v>
      </c>
      <c r="H4445" t="str">
        <f>"INV0176"</f>
        <v>INV0176</v>
      </c>
      <c r="I4445" t="str">
        <f>"LUX BEAUTIQUE"</f>
        <v>LUX BEAUTIQUE</v>
      </c>
    </row>
    <row r="4446" spans="1:9" x14ac:dyDescent="0.25">
      <c r="A4446" s="6">
        <v>44811</v>
      </c>
      <c r="B4446" t="s">
        <v>91</v>
      </c>
      <c r="C4446">
        <v>70477</v>
      </c>
      <c r="D4446" t="s">
        <v>1274</v>
      </c>
      <c r="E4446" s="7">
        <v>4850</v>
      </c>
      <c r="F4446" t="s">
        <v>20</v>
      </c>
      <c r="G4446" t="s">
        <v>93</v>
      </c>
      <c r="H4446" t="str">
        <f>"CHECK"</f>
        <v>CHECK</v>
      </c>
      <c r="I4446" t="str">
        <f>""</f>
        <v/>
      </c>
    </row>
    <row r="4447" spans="1:9" x14ac:dyDescent="0.25">
      <c r="A4447" s="6">
        <v>44811</v>
      </c>
      <c r="B4447" t="s">
        <v>26</v>
      </c>
      <c r="C4447">
        <v>70478</v>
      </c>
      <c r="D4447" t="s">
        <v>80</v>
      </c>
      <c r="E4447" s="7">
        <v>750</v>
      </c>
      <c r="F4447" t="s">
        <v>20</v>
      </c>
      <c r="G4447" t="s">
        <v>21</v>
      </c>
      <c r="H4447" t="str">
        <f>"1648-20220901-1"</f>
        <v>1648-20220901-1</v>
      </c>
      <c r="I4447" t="str">
        <f>"LVWIFI.COM"</f>
        <v>LVWIFI.COM</v>
      </c>
    </row>
    <row r="4448" spans="1:9" x14ac:dyDescent="0.25">
      <c r="A4448" s="6">
        <v>44811</v>
      </c>
      <c r="B4448" t="s">
        <v>26</v>
      </c>
      <c r="C4448">
        <v>70478</v>
      </c>
      <c r="D4448" t="s">
        <v>80</v>
      </c>
      <c r="E4448" s="7">
        <v>750</v>
      </c>
      <c r="F4448" t="s">
        <v>20</v>
      </c>
      <c r="G4448" t="s">
        <v>21</v>
      </c>
      <c r="H4448" t="str">
        <f>"2313-20220901-1"</f>
        <v>2313-20220901-1</v>
      </c>
      <c r="I4448" t="str">
        <f>"LVWIFI.COM"</f>
        <v>LVWIFI.COM</v>
      </c>
    </row>
    <row r="4449" spans="1:9" x14ac:dyDescent="0.25">
      <c r="A4449" s="6">
        <v>44811</v>
      </c>
      <c r="B4449" t="s">
        <v>26</v>
      </c>
      <c r="C4449">
        <v>70479</v>
      </c>
      <c r="D4449" t="s">
        <v>558</v>
      </c>
      <c r="E4449" s="7">
        <v>75</v>
      </c>
      <c r="F4449" t="s">
        <v>20</v>
      </c>
      <c r="G4449" t="s">
        <v>21</v>
      </c>
      <c r="H4449" t="str">
        <f>"092022-MONTHLY"</f>
        <v>092022-MONTHLY</v>
      </c>
      <c r="I4449" t="str">
        <f>""</f>
        <v/>
      </c>
    </row>
    <row r="4450" spans="1:9" x14ac:dyDescent="0.25">
      <c r="A4450" s="6">
        <v>44811</v>
      </c>
      <c r="B4450" t="s">
        <v>26</v>
      </c>
      <c r="C4450">
        <v>70480</v>
      </c>
      <c r="D4450" t="s">
        <v>1257</v>
      </c>
      <c r="E4450" s="7">
        <v>82.95</v>
      </c>
      <c r="F4450" t="s">
        <v>20</v>
      </c>
      <c r="G4450" t="s">
        <v>21</v>
      </c>
      <c r="H4450" t="str">
        <f>"9/3/2022"</f>
        <v>9/3/2022</v>
      </c>
      <c r="I4450" t="str">
        <f>"MARYLOU B TORRES"</f>
        <v>MARYLOU B TORRES</v>
      </c>
    </row>
    <row r="4451" spans="1:9" x14ac:dyDescent="0.25">
      <c r="A4451" s="6">
        <v>44811</v>
      </c>
      <c r="B4451" t="s">
        <v>26</v>
      </c>
      <c r="C4451">
        <v>70481</v>
      </c>
      <c r="D4451" t="s">
        <v>326</v>
      </c>
      <c r="E4451" s="7">
        <v>63.6</v>
      </c>
      <c r="F4451" t="s">
        <v>20</v>
      </c>
      <c r="G4451" t="s">
        <v>21</v>
      </c>
      <c r="H4451" t="str">
        <f>"0026278155"</f>
        <v>0026278155</v>
      </c>
      <c r="I4451" t="str">
        <f>"MATHESON TRI-GAS INC"</f>
        <v>MATHESON TRI-GAS INC</v>
      </c>
    </row>
    <row r="4452" spans="1:9" x14ac:dyDescent="0.25">
      <c r="A4452" s="6">
        <v>44811</v>
      </c>
      <c r="B4452" t="s">
        <v>26</v>
      </c>
      <c r="C4452">
        <v>70482</v>
      </c>
      <c r="D4452" t="s">
        <v>345</v>
      </c>
      <c r="E4452" s="7">
        <v>357.5</v>
      </c>
      <c r="F4452" t="s">
        <v>20</v>
      </c>
      <c r="G4452" t="s">
        <v>21</v>
      </c>
      <c r="H4452" t="str">
        <f>"9/6/2022"</f>
        <v>9/6/2022</v>
      </c>
      <c r="I4452" t="str">
        <f>"MICHAEL ISAAC MARTINEZ"</f>
        <v>MICHAEL ISAAC MARTINEZ</v>
      </c>
    </row>
    <row r="4453" spans="1:9" x14ac:dyDescent="0.25">
      <c r="A4453" s="6">
        <v>44811</v>
      </c>
      <c r="B4453" t="s">
        <v>26</v>
      </c>
      <c r="C4453">
        <v>70483</v>
      </c>
      <c r="D4453" t="s">
        <v>240</v>
      </c>
      <c r="E4453" s="7">
        <v>93.49</v>
      </c>
      <c r="F4453" t="s">
        <v>20</v>
      </c>
      <c r="G4453" t="s">
        <v>21</v>
      </c>
      <c r="H4453" t="str">
        <f>"0235016-IN"</f>
        <v>0235016-IN</v>
      </c>
      <c r="I4453" t="str">
        <f>"NARDIS PUBLIC SAFETY"</f>
        <v>NARDIS PUBLIC SAFETY</v>
      </c>
    </row>
    <row r="4454" spans="1:9" x14ac:dyDescent="0.25">
      <c r="A4454" s="6">
        <v>44811</v>
      </c>
      <c r="B4454" t="s">
        <v>26</v>
      </c>
      <c r="C4454">
        <v>70484</v>
      </c>
      <c r="D4454" t="s">
        <v>1081</v>
      </c>
      <c r="E4454" s="7">
        <v>433</v>
      </c>
      <c r="F4454" t="s">
        <v>20</v>
      </c>
      <c r="G4454" t="s">
        <v>21</v>
      </c>
      <c r="H4454" t="str">
        <f>"42709"</f>
        <v>42709</v>
      </c>
      <c r="I4454" t="str">
        <f>"PINNACLE PEST DEFENSE"</f>
        <v>PINNACLE PEST DEFENSE</v>
      </c>
    </row>
    <row r="4455" spans="1:9" x14ac:dyDescent="0.25">
      <c r="A4455" s="6">
        <v>44811</v>
      </c>
      <c r="B4455" t="s">
        <v>26</v>
      </c>
      <c r="C4455">
        <v>70484</v>
      </c>
      <c r="D4455" t="s">
        <v>1081</v>
      </c>
      <c r="E4455" s="7">
        <v>350</v>
      </c>
      <c r="F4455" t="s">
        <v>20</v>
      </c>
      <c r="G4455" t="s">
        <v>21</v>
      </c>
      <c r="H4455" t="str">
        <f>"42710"</f>
        <v>42710</v>
      </c>
      <c r="I4455" t="str">
        <f>"PINNACLE PEST DEFENSE"</f>
        <v>PINNACLE PEST DEFENSE</v>
      </c>
    </row>
    <row r="4456" spans="1:9" x14ac:dyDescent="0.25">
      <c r="A4456" s="6">
        <v>44811</v>
      </c>
      <c r="B4456" t="s">
        <v>26</v>
      </c>
      <c r="C4456">
        <v>70485</v>
      </c>
      <c r="D4456" t="s">
        <v>187</v>
      </c>
      <c r="E4456" s="7">
        <v>1824.29</v>
      </c>
      <c r="F4456" t="s">
        <v>20</v>
      </c>
      <c r="G4456" t="s">
        <v>21</v>
      </c>
      <c r="H4456" t="str">
        <f>"WI017645"</f>
        <v>WI017645</v>
      </c>
      <c r="I4456" t="str">
        <f>"RIVER CITY HYDRAULICS  INC."</f>
        <v>RIVER CITY HYDRAULICS  INC.</v>
      </c>
    </row>
    <row r="4457" spans="1:9" x14ac:dyDescent="0.25">
      <c r="A4457" s="6">
        <v>44811</v>
      </c>
      <c r="B4457" t="s">
        <v>26</v>
      </c>
      <c r="C4457">
        <v>70486</v>
      </c>
      <c r="D4457" t="s">
        <v>1217</v>
      </c>
      <c r="E4457" s="7">
        <v>75</v>
      </c>
      <c r="F4457" t="s">
        <v>20</v>
      </c>
      <c r="G4457" t="s">
        <v>21</v>
      </c>
      <c r="H4457" t="str">
        <f>"092022-MONTHLY"</f>
        <v>092022-MONTHLY</v>
      </c>
      <c r="I4457" t="str">
        <f>""</f>
        <v/>
      </c>
    </row>
    <row r="4458" spans="1:9" x14ac:dyDescent="0.25">
      <c r="A4458" s="6">
        <v>44811</v>
      </c>
      <c r="B4458" t="s">
        <v>26</v>
      </c>
      <c r="C4458">
        <v>70487</v>
      </c>
      <c r="D4458" t="s">
        <v>644</v>
      </c>
      <c r="E4458" s="7">
        <v>132.58000000000001</v>
      </c>
      <c r="F4458" t="s">
        <v>20</v>
      </c>
      <c r="G4458" t="s">
        <v>21</v>
      </c>
      <c r="H4458" t="str">
        <f>"8213770160"</f>
        <v>8213770160</v>
      </c>
      <c r="I4458" t="str">
        <f t="shared" ref="I4458:I4463" si="107">"UNIFIRST CORPORATION"</f>
        <v>UNIFIRST CORPORATION</v>
      </c>
    </row>
    <row r="4459" spans="1:9" x14ac:dyDescent="0.25">
      <c r="A4459" s="6">
        <v>44811</v>
      </c>
      <c r="B4459" t="s">
        <v>26</v>
      </c>
      <c r="C4459">
        <v>70487</v>
      </c>
      <c r="D4459" t="s">
        <v>644</v>
      </c>
      <c r="E4459" s="7">
        <v>139.49</v>
      </c>
      <c r="F4459" t="s">
        <v>20</v>
      </c>
      <c r="G4459" t="s">
        <v>21</v>
      </c>
      <c r="H4459" t="str">
        <f>"8213772727"</f>
        <v>8213772727</v>
      </c>
      <c r="I4459" t="str">
        <f t="shared" si="107"/>
        <v>UNIFIRST CORPORATION</v>
      </c>
    </row>
    <row r="4460" spans="1:9" x14ac:dyDescent="0.25">
      <c r="A4460" s="6">
        <v>44811</v>
      </c>
      <c r="B4460" t="s">
        <v>26</v>
      </c>
      <c r="C4460">
        <v>70487</v>
      </c>
      <c r="D4460" t="s">
        <v>644</v>
      </c>
      <c r="E4460" s="7">
        <v>29.93</v>
      </c>
      <c r="F4460" t="s">
        <v>20</v>
      </c>
      <c r="G4460" t="s">
        <v>21</v>
      </c>
      <c r="H4460" t="str">
        <f>"8213772728"</f>
        <v>8213772728</v>
      </c>
      <c r="I4460" t="str">
        <f t="shared" si="107"/>
        <v>UNIFIRST CORPORATION</v>
      </c>
    </row>
    <row r="4461" spans="1:9" x14ac:dyDescent="0.25">
      <c r="A4461" s="6">
        <v>44811</v>
      </c>
      <c r="B4461" t="s">
        <v>26</v>
      </c>
      <c r="C4461">
        <v>70487</v>
      </c>
      <c r="D4461" t="s">
        <v>644</v>
      </c>
      <c r="E4461" s="7">
        <v>136.19</v>
      </c>
      <c r="F4461" t="s">
        <v>20</v>
      </c>
      <c r="G4461" t="s">
        <v>21</v>
      </c>
      <c r="H4461" t="str">
        <f>"8213772729"</f>
        <v>8213772729</v>
      </c>
      <c r="I4461" t="str">
        <f t="shared" si="107"/>
        <v>UNIFIRST CORPORATION</v>
      </c>
    </row>
    <row r="4462" spans="1:9" x14ac:dyDescent="0.25">
      <c r="A4462" s="6">
        <v>44811</v>
      </c>
      <c r="B4462" t="s">
        <v>26</v>
      </c>
      <c r="C4462">
        <v>70487</v>
      </c>
      <c r="D4462" t="s">
        <v>644</v>
      </c>
      <c r="E4462" s="7">
        <v>74.55</v>
      </c>
      <c r="F4462" t="s">
        <v>20</v>
      </c>
      <c r="G4462" t="s">
        <v>21</v>
      </c>
      <c r="H4462" t="str">
        <f>"8213772730"</f>
        <v>8213772730</v>
      </c>
      <c r="I4462" t="str">
        <f t="shared" si="107"/>
        <v>UNIFIRST CORPORATION</v>
      </c>
    </row>
    <row r="4463" spans="1:9" x14ac:dyDescent="0.25">
      <c r="A4463" s="6">
        <v>44811</v>
      </c>
      <c r="B4463" t="s">
        <v>26</v>
      </c>
      <c r="C4463">
        <v>70487</v>
      </c>
      <c r="D4463" t="s">
        <v>644</v>
      </c>
      <c r="E4463" s="7">
        <v>119.78</v>
      </c>
      <c r="F4463" t="s">
        <v>20</v>
      </c>
      <c r="G4463" t="s">
        <v>21</v>
      </c>
      <c r="H4463" t="str">
        <f>"8213772732"</f>
        <v>8213772732</v>
      </c>
      <c r="I4463" t="str">
        <f t="shared" si="107"/>
        <v>UNIFIRST CORPORATION</v>
      </c>
    </row>
    <row r="4464" spans="1:9" x14ac:dyDescent="0.25">
      <c r="A4464" s="6">
        <v>44811</v>
      </c>
      <c r="B4464" t="s">
        <v>26</v>
      </c>
      <c r="C4464">
        <v>70489</v>
      </c>
      <c r="D4464" t="s">
        <v>74</v>
      </c>
      <c r="E4464" s="7">
        <v>2463.4299999999998</v>
      </c>
      <c r="F4464" t="s">
        <v>20</v>
      </c>
      <c r="G4464" t="s">
        <v>21</v>
      </c>
      <c r="H4464" t="str">
        <f>"9914223161"</f>
        <v>9914223161</v>
      </c>
      <c r="I4464" t="str">
        <f>"VERIZON WIRELESS"</f>
        <v>VERIZON WIRELESS</v>
      </c>
    </row>
    <row r="4465" spans="1:9" x14ac:dyDescent="0.25">
      <c r="A4465" s="6">
        <v>44811</v>
      </c>
      <c r="B4465" t="s">
        <v>26</v>
      </c>
      <c r="C4465">
        <v>70489</v>
      </c>
      <c r="D4465" t="s">
        <v>74</v>
      </c>
      <c r="E4465" s="7">
        <v>1283.29</v>
      </c>
      <c r="F4465" t="s">
        <v>20</v>
      </c>
      <c r="G4465" t="s">
        <v>21</v>
      </c>
      <c r="H4465" t="str">
        <f>"9914223162"</f>
        <v>9914223162</v>
      </c>
      <c r="I4465" t="str">
        <f>"VERIZON WIRELESS"</f>
        <v>VERIZON WIRELESS</v>
      </c>
    </row>
    <row r="4466" spans="1:9" x14ac:dyDescent="0.25">
      <c r="A4466" s="6">
        <v>44811</v>
      </c>
      <c r="B4466" t="s">
        <v>26</v>
      </c>
      <c r="C4466">
        <v>70491</v>
      </c>
      <c r="D4466" t="s">
        <v>122</v>
      </c>
      <c r="E4466" s="7">
        <v>10</v>
      </c>
      <c r="F4466" t="s">
        <v>20</v>
      </c>
      <c r="G4466" t="s">
        <v>21</v>
      </c>
      <c r="H4466" t="str">
        <f>"902025"</f>
        <v>902025</v>
      </c>
      <c r="I4466" t="str">
        <f>"VILLA TIRES"</f>
        <v>VILLA TIRES</v>
      </c>
    </row>
    <row r="4467" spans="1:9" x14ac:dyDescent="0.25">
      <c r="A4467" s="6">
        <v>44811</v>
      </c>
      <c r="B4467" t="s">
        <v>26</v>
      </c>
      <c r="C4467">
        <v>70492</v>
      </c>
      <c r="D4467" t="s">
        <v>1282</v>
      </c>
      <c r="E4467" s="7">
        <v>125</v>
      </c>
      <c r="F4467" t="s">
        <v>20</v>
      </c>
      <c r="G4467" t="s">
        <v>21</v>
      </c>
      <c r="H4467" t="str">
        <f>"RENTAL RFND 9/21/2"</f>
        <v>RENTAL RFND 9/21/2</v>
      </c>
      <c r="I4467" t="str">
        <f>"REF"</f>
        <v>REF</v>
      </c>
    </row>
    <row r="4468" spans="1:9" x14ac:dyDescent="0.25">
      <c r="A4468" s="6">
        <v>44811</v>
      </c>
      <c r="B4468" t="s">
        <v>26</v>
      </c>
      <c r="C4468">
        <v>70493</v>
      </c>
      <c r="D4468" t="s">
        <v>56</v>
      </c>
      <c r="E4468" s="7">
        <v>29.95</v>
      </c>
      <c r="F4468" t="s">
        <v>20</v>
      </c>
      <c r="G4468" t="s">
        <v>21</v>
      </c>
      <c r="H4468" t="str">
        <f>"203401"</f>
        <v>203401</v>
      </c>
      <c r="I4468" t="str">
        <f>"DOG FOOD"</f>
        <v>DOG FOOD</v>
      </c>
    </row>
    <row r="4469" spans="1:9" x14ac:dyDescent="0.25">
      <c r="A4469" s="6">
        <v>44811</v>
      </c>
      <c r="B4469" t="s">
        <v>26</v>
      </c>
      <c r="C4469">
        <v>70494</v>
      </c>
      <c r="D4469" t="s">
        <v>533</v>
      </c>
      <c r="E4469" s="7">
        <v>360</v>
      </c>
      <c r="F4469" t="s">
        <v>20</v>
      </c>
      <c r="G4469" t="s">
        <v>21</v>
      </c>
      <c r="H4469" t="str">
        <f>"RENEWAL 9/7/22"</f>
        <v>RENEWAL 9/7/22</v>
      </c>
      <c r="I4469" t="str">
        <f>"ANDY JOSLIN DUES"</f>
        <v>ANDY JOSLIN DUES</v>
      </c>
    </row>
    <row r="4470" spans="1:9" x14ac:dyDescent="0.25">
      <c r="A4470" s="6">
        <v>44811</v>
      </c>
      <c r="B4470" t="s">
        <v>26</v>
      </c>
      <c r="C4470">
        <v>70495</v>
      </c>
      <c r="D4470" t="s">
        <v>69</v>
      </c>
      <c r="E4470" s="7">
        <v>39.65</v>
      </c>
      <c r="F4470" t="s">
        <v>20</v>
      </c>
      <c r="G4470" t="s">
        <v>21</v>
      </c>
      <c r="H4470" t="str">
        <f>"3C20192"</f>
        <v>3C20192</v>
      </c>
      <c r="I4470" t="str">
        <f>"PARKS DEPT ZERO TURN"</f>
        <v>PARKS DEPT ZERO TURN</v>
      </c>
    </row>
    <row r="4471" spans="1:9" x14ac:dyDescent="0.25">
      <c r="A4471" s="6">
        <v>44811</v>
      </c>
      <c r="B4471" t="s">
        <v>26</v>
      </c>
      <c r="C4471">
        <v>70496</v>
      </c>
      <c r="D4471" t="s">
        <v>305</v>
      </c>
      <c r="E4471" s="7">
        <v>12450</v>
      </c>
      <c r="F4471" t="s">
        <v>20</v>
      </c>
      <c r="G4471" t="s">
        <v>21</v>
      </c>
      <c r="H4471" t="str">
        <f>"8/24/2022 DEP."</f>
        <v>8/24/2022 DEP.</v>
      </c>
      <c r="I4471" t="str">
        <f>"CHLORINE BUILDING HOSP"</f>
        <v>CHLORINE BUILDING HOSP</v>
      </c>
    </row>
    <row r="4472" spans="1:9" x14ac:dyDescent="0.25">
      <c r="A4472" s="6">
        <v>44811</v>
      </c>
      <c r="B4472" t="s">
        <v>26</v>
      </c>
      <c r="C4472">
        <v>70497</v>
      </c>
      <c r="D4472" t="s">
        <v>836</v>
      </c>
      <c r="E4472" s="7">
        <v>534.4</v>
      </c>
      <c r="F4472" t="s">
        <v>20</v>
      </c>
      <c r="G4472" t="s">
        <v>21</v>
      </c>
      <c r="H4472" t="str">
        <f>"88547"</f>
        <v>88547</v>
      </c>
      <c r="I4472" t="str">
        <f>"FortiGate 60E"</f>
        <v>FortiGate 60E</v>
      </c>
    </row>
    <row r="4473" spans="1:9" x14ac:dyDescent="0.25">
      <c r="A4473" s="6">
        <v>44811</v>
      </c>
      <c r="B4473" t="s">
        <v>26</v>
      </c>
      <c r="C4473">
        <v>70498</v>
      </c>
      <c r="D4473" t="s">
        <v>1074</v>
      </c>
      <c r="E4473" s="7">
        <v>86.44</v>
      </c>
      <c r="F4473" t="s">
        <v>20</v>
      </c>
      <c r="G4473" t="s">
        <v>21</v>
      </c>
      <c r="H4473" t="str">
        <f>"1J9H-XQWF-X7RH"</f>
        <v>1J9H-XQWF-X7RH</v>
      </c>
      <c r="I4473" t="str">
        <f>"SHIRTS FOR GLORIA CANTU"</f>
        <v>SHIRTS FOR GLORIA CANTU</v>
      </c>
    </row>
    <row r="4474" spans="1:9" x14ac:dyDescent="0.25">
      <c r="A4474" s="6">
        <v>44811</v>
      </c>
      <c r="B4474" t="s">
        <v>26</v>
      </c>
      <c r="C4474">
        <v>70498</v>
      </c>
      <c r="D4474" t="s">
        <v>1074</v>
      </c>
      <c r="E4474" s="7">
        <v>29.92</v>
      </c>
      <c r="F4474" t="s">
        <v>20</v>
      </c>
      <c r="G4474" t="s">
        <v>21</v>
      </c>
      <c r="H4474" t="str">
        <f>"1PM1-VGNK-DTJY"</f>
        <v>1PM1-VGNK-DTJY</v>
      </c>
      <c r="I4474" t="str">
        <f>"LOCK BOX"</f>
        <v>LOCK BOX</v>
      </c>
    </row>
    <row r="4475" spans="1:9" x14ac:dyDescent="0.25">
      <c r="A4475" s="6">
        <v>44811</v>
      </c>
      <c r="B4475" t="s">
        <v>26</v>
      </c>
      <c r="C4475">
        <v>70498</v>
      </c>
      <c r="D4475" t="s">
        <v>1074</v>
      </c>
      <c r="E4475" s="7">
        <v>379.96</v>
      </c>
      <c r="F4475" t="s">
        <v>20</v>
      </c>
      <c r="G4475" t="s">
        <v>21</v>
      </c>
      <c r="H4475" t="str">
        <f>"1Q76-QN7N-DWQF"</f>
        <v>1Q76-QN7N-DWQF</v>
      </c>
      <c r="I4475" t="str">
        <f>"COUNCIL MEETING SUPPLIES"</f>
        <v>COUNCIL MEETING SUPPLIES</v>
      </c>
    </row>
    <row r="4476" spans="1:9" x14ac:dyDescent="0.25">
      <c r="A4476" s="6">
        <v>44811</v>
      </c>
      <c r="B4476" t="s">
        <v>26</v>
      </c>
      <c r="C4476">
        <v>70499</v>
      </c>
      <c r="D4476" t="s">
        <v>975</v>
      </c>
      <c r="E4476" s="7">
        <v>129.96</v>
      </c>
      <c r="F4476" t="s">
        <v>20</v>
      </c>
      <c r="G4476" t="s">
        <v>21</v>
      </c>
      <c r="H4476" t="str">
        <f>"P06066"</f>
        <v>P06066</v>
      </c>
      <c r="I4476" t="str">
        <f>"GRABBERS"</f>
        <v>GRABBERS</v>
      </c>
    </row>
    <row r="4477" spans="1:9" x14ac:dyDescent="0.25">
      <c r="A4477" s="6">
        <v>44812</v>
      </c>
      <c r="B4477" t="s">
        <v>26</v>
      </c>
      <c r="C4477">
        <v>70500</v>
      </c>
      <c r="D4477" t="s">
        <v>1136</v>
      </c>
      <c r="E4477" s="7">
        <v>4100</v>
      </c>
      <c r="F4477" t="s">
        <v>20</v>
      </c>
      <c r="G4477" t="s">
        <v>21</v>
      </c>
      <c r="H4477" t="str">
        <f>"INV0174"</f>
        <v>INV0174</v>
      </c>
      <c r="I4477" t="str">
        <f>"B STREET WATER WELL"</f>
        <v>B STREET WATER WELL</v>
      </c>
    </row>
    <row r="4478" spans="1:9" x14ac:dyDescent="0.25">
      <c r="A4478" s="6">
        <v>44812</v>
      </c>
      <c r="B4478" t="s">
        <v>26</v>
      </c>
      <c r="C4478">
        <v>70500</v>
      </c>
      <c r="D4478" t="s">
        <v>1136</v>
      </c>
      <c r="E4478" s="7">
        <v>750</v>
      </c>
      <c r="F4478" t="s">
        <v>20</v>
      </c>
      <c r="G4478" t="s">
        <v>21</v>
      </c>
      <c r="H4478" t="str">
        <f>"INV0176"</f>
        <v>INV0176</v>
      </c>
      <c r="I4478" t="str">
        <f>"B STREET WATER WELL"</f>
        <v>B STREET WATER WELL</v>
      </c>
    </row>
    <row r="4479" spans="1:9" x14ac:dyDescent="0.25">
      <c r="A4479" s="6">
        <v>44812</v>
      </c>
      <c r="B4479" t="s">
        <v>26</v>
      </c>
      <c r="C4479">
        <v>70501</v>
      </c>
      <c r="D4479" t="s">
        <v>739</v>
      </c>
      <c r="E4479" s="7">
        <v>1401.76</v>
      </c>
      <c r="F4479" t="s">
        <v>20</v>
      </c>
      <c r="G4479" t="s">
        <v>21</v>
      </c>
      <c r="H4479" t="str">
        <f>"5286X08272022"</f>
        <v>5286X08272022</v>
      </c>
      <c r="I4479" t="str">
        <f>"FIRSTNET/AT&amp;T MOBILITY LLC"</f>
        <v>FIRSTNET/AT&amp;T MOBILITY LLC</v>
      </c>
    </row>
    <row r="4480" spans="1:9" x14ac:dyDescent="0.25">
      <c r="A4480" s="6">
        <v>44812</v>
      </c>
      <c r="B4480" t="s">
        <v>26</v>
      </c>
      <c r="C4480">
        <v>70502</v>
      </c>
      <c r="D4480" t="s">
        <v>1180</v>
      </c>
      <c r="E4480" s="7">
        <v>3801</v>
      </c>
      <c r="F4480" t="s">
        <v>20</v>
      </c>
      <c r="G4480" t="s">
        <v>21</v>
      </c>
      <c r="H4480" t="str">
        <f>"9/8/2022 LODI"</f>
        <v>9/8/2022 LODI</v>
      </c>
      <c r="I4480" t="str">
        <f>"BUTTER BLOCKS"</f>
        <v>BUTTER BLOCKS</v>
      </c>
    </row>
    <row r="4481" spans="1:9" x14ac:dyDescent="0.25">
      <c r="A4481" s="6">
        <v>44818</v>
      </c>
      <c r="B4481" t="s">
        <v>26</v>
      </c>
      <c r="C4481">
        <v>70503</v>
      </c>
      <c r="D4481" t="s">
        <v>179</v>
      </c>
      <c r="E4481" s="7">
        <v>410</v>
      </c>
      <c r="F4481" t="s">
        <v>20</v>
      </c>
      <c r="G4481" t="s">
        <v>21</v>
      </c>
      <c r="H4481" t="str">
        <f>"272091"</f>
        <v>272091</v>
      </c>
      <c r="I4481" t="str">
        <f>"UNIT 329 REPAIR"</f>
        <v>UNIT 329 REPAIR</v>
      </c>
    </row>
    <row r="4482" spans="1:9" x14ac:dyDescent="0.25">
      <c r="A4482" s="6">
        <v>44818</v>
      </c>
      <c r="B4482" t="s">
        <v>26</v>
      </c>
      <c r="C4482">
        <v>70503</v>
      </c>
      <c r="D4482" t="s">
        <v>179</v>
      </c>
      <c r="E4482" s="7">
        <v>938.12</v>
      </c>
      <c r="F4482" t="s">
        <v>20</v>
      </c>
      <c r="G4482" t="s">
        <v>21</v>
      </c>
      <c r="H4482" t="str">
        <f>"27224"</f>
        <v>27224</v>
      </c>
      <c r="I4482" t="str">
        <f>"ANCIRA FORD-MERCURY"</f>
        <v>ANCIRA FORD-MERCURY</v>
      </c>
    </row>
    <row r="4483" spans="1:9" x14ac:dyDescent="0.25">
      <c r="A4483" s="6">
        <v>44818</v>
      </c>
      <c r="B4483" t="s">
        <v>26</v>
      </c>
      <c r="C4483">
        <v>70504</v>
      </c>
      <c r="D4483" t="s">
        <v>195</v>
      </c>
      <c r="E4483" s="7">
        <v>2001.22</v>
      </c>
      <c r="F4483" t="s">
        <v>20</v>
      </c>
      <c r="G4483" t="s">
        <v>21</v>
      </c>
      <c r="H4483" t="str">
        <f>"INV-AIS-0006002"</f>
        <v>INV-AIS-0006002</v>
      </c>
      <c r="I4483" t="str">
        <f>"ARISTA INFORMATION SYSTEMS  IN"</f>
        <v>ARISTA INFORMATION SYSTEMS  IN</v>
      </c>
    </row>
    <row r="4484" spans="1:9" x14ac:dyDescent="0.25">
      <c r="A4484" s="6">
        <v>44818</v>
      </c>
      <c r="B4484" t="s">
        <v>26</v>
      </c>
      <c r="C4484">
        <v>70505</v>
      </c>
      <c r="D4484" t="s">
        <v>189</v>
      </c>
      <c r="E4484" s="7">
        <v>2690.78</v>
      </c>
      <c r="F4484" t="s">
        <v>20</v>
      </c>
      <c r="G4484" t="s">
        <v>21</v>
      </c>
      <c r="H4484" t="str">
        <f>"SWO255173-1"</f>
        <v>SWO255173-1</v>
      </c>
      <c r="I4484" t="str">
        <f>"ASCO"</f>
        <v>ASCO</v>
      </c>
    </row>
    <row r="4485" spans="1:9" x14ac:dyDescent="0.25">
      <c r="A4485" s="6">
        <v>44818</v>
      </c>
      <c r="B4485" t="s">
        <v>26</v>
      </c>
      <c r="C4485">
        <v>70506</v>
      </c>
      <c r="D4485" t="s">
        <v>821</v>
      </c>
      <c r="E4485" s="7">
        <v>60990.45</v>
      </c>
      <c r="F4485" t="s">
        <v>20</v>
      </c>
      <c r="G4485" t="s">
        <v>21</v>
      </c>
      <c r="H4485" t="str">
        <f>"FR10171"</f>
        <v>FR10171</v>
      </c>
      <c r="I4485" t="str">
        <f>"AUSTIN ARMATURE WORKS  LP"</f>
        <v>AUSTIN ARMATURE WORKS  LP</v>
      </c>
    </row>
    <row r="4486" spans="1:9" x14ac:dyDescent="0.25">
      <c r="A4486" s="6">
        <v>44818</v>
      </c>
      <c r="B4486" t="s">
        <v>26</v>
      </c>
      <c r="C4486">
        <v>70507</v>
      </c>
      <c r="D4486" t="s">
        <v>118</v>
      </c>
      <c r="E4486" s="7">
        <v>215.5</v>
      </c>
      <c r="F4486" t="s">
        <v>20</v>
      </c>
      <c r="G4486" t="s">
        <v>21</v>
      </c>
      <c r="H4486" t="str">
        <f>"13093"</f>
        <v>13093</v>
      </c>
      <c r="I4486" t="str">
        <f>"BRYAN AIR CONDITIONING &amp; HEATI"</f>
        <v>BRYAN AIR CONDITIONING &amp; HEATI</v>
      </c>
    </row>
    <row r="4487" spans="1:9" x14ac:dyDescent="0.25">
      <c r="A4487" s="6">
        <v>44818</v>
      </c>
      <c r="B4487" t="s">
        <v>26</v>
      </c>
      <c r="C4487">
        <v>70508</v>
      </c>
      <c r="D4487" t="s">
        <v>77</v>
      </c>
      <c r="E4487" s="7">
        <v>1654.92</v>
      </c>
      <c r="F4487" t="s">
        <v>20</v>
      </c>
      <c r="G4487" t="s">
        <v>21</v>
      </c>
      <c r="H4487" t="str">
        <f>"857002110-22"</f>
        <v>857002110-22</v>
      </c>
      <c r="I4487" t="str">
        <f>"CHLORINE WWTP"</f>
        <v>CHLORINE WWTP</v>
      </c>
    </row>
    <row r="4488" spans="1:9" x14ac:dyDescent="0.25">
      <c r="A4488" s="6">
        <v>44818</v>
      </c>
      <c r="B4488" t="s">
        <v>26</v>
      </c>
      <c r="C4488">
        <v>70508</v>
      </c>
      <c r="D4488" t="s">
        <v>77</v>
      </c>
      <c r="E4488" s="7">
        <v>1288.94</v>
      </c>
      <c r="F4488" t="s">
        <v>20</v>
      </c>
      <c r="G4488" t="s">
        <v>21</v>
      </c>
      <c r="H4488" t="str">
        <f>"857002111-22"</f>
        <v>857002111-22</v>
      </c>
      <c r="I4488" t="str">
        <f>"CHLORINE B AND HOSPITAL"</f>
        <v>CHLORINE B AND HOSPITAL</v>
      </c>
    </row>
    <row r="4489" spans="1:9" x14ac:dyDescent="0.25">
      <c r="A4489" s="6">
        <v>44818</v>
      </c>
      <c r="B4489" t="s">
        <v>26</v>
      </c>
      <c r="C4489">
        <v>70508</v>
      </c>
      <c r="D4489" t="s">
        <v>77</v>
      </c>
      <c r="E4489" s="7">
        <v>1105.94</v>
      </c>
      <c r="F4489" t="s">
        <v>20</v>
      </c>
      <c r="G4489" t="s">
        <v>21</v>
      </c>
      <c r="H4489" t="str">
        <f>"857002112-22"</f>
        <v>857002112-22</v>
      </c>
      <c r="I4489" t="str">
        <f>"CHLORINE B AND HOSPITAL"</f>
        <v>CHLORINE B AND HOSPITAL</v>
      </c>
    </row>
    <row r="4490" spans="1:9" x14ac:dyDescent="0.25">
      <c r="A4490" s="6">
        <v>44818</v>
      </c>
      <c r="B4490" t="s">
        <v>26</v>
      </c>
      <c r="C4490">
        <v>70509</v>
      </c>
      <c r="D4490" t="s">
        <v>69</v>
      </c>
      <c r="E4490" s="7">
        <v>23.22</v>
      </c>
      <c r="F4490" t="s">
        <v>20</v>
      </c>
      <c r="G4490" t="s">
        <v>21</v>
      </c>
      <c r="H4490" t="str">
        <f>"3C20267"</f>
        <v>3C20267</v>
      </c>
      <c r="I4490" t="str">
        <f>"EWALD KUBOTA  INC."</f>
        <v>EWALD KUBOTA  INC.</v>
      </c>
    </row>
    <row r="4491" spans="1:9" x14ac:dyDescent="0.25">
      <c r="A4491" s="6">
        <v>44818</v>
      </c>
      <c r="B4491" t="s">
        <v>26</v>
      </c>
      <c r="C4491">
        <v>70509</v>
      </c>
      <c r="D4491" t="s">
        <v>69</v>
      </c>
      <c r="E4491" s="7">
        <v>293.94</v>
      </c>
      <c r="F4491" t="s">
        <v>20</v>
      </c>
      <c r="G4491" t="s">
        <v>21</v>
      </c>
      <c r="H4491" t="str">
        <f>"3C20415"</f>
        <v>3C20415</v>
      </c>
      <c r="I4491" t="str">
        <f>"PART FOR OLD SHREDDER"</f>
        <v>PART FOR OLD SHREDDER</v>
      </c>
    </row>
    <row r="4492" spans="1:9" x14ac:dyDescent="0.25">
      <c r="A4492" s="6">
        <v>44818</v>
      </c>
      <c r="B4492" t="s">
        <v>26</v>
      </c>
      <c r="C4492">
        <v>70509</v>
      </c>
      <c r="D4492" t="s">
        <v>69</v>
      </c>
      <c r="E4492" s="7">
        <v>92.25</v>
      </c>
      <c r="F4492" t="s">
        <v>20</v>
      </c>
      <c r="G4492" t="s">
        <v>21</v>
      </c>
      <c r="H4492" t="str">
        <f>"3C20428"</f>
        <v>3C20428</v>
      </c>
      <c r="I4492" t="str">
        <f>"SPINDLE SHAFT-ZERO TURN"</f>
        <v>SPINDLE SHAFT-ZERO TURN</v>
      </c>
    </row>
    <row r="4493" spans="1:9" x14ac:dyDescent="0.25">
      <c r="A4493" s="6">
        <v>44818</v>
      </c>
      <c r="B4493" t="s">
        <v>26</v>
      </c>
      <c r="C4493">
        <v>70510</v>
      </c>
      <c r="D4493" t="s">
        <v>79</v>
      </c>
      <c r="E4493" s="7">
        <v>7.31</v>
      </c>
      <c r="F4493" t="s">
        <v>20</v>
      </c>
      <c r="G4493" t="s">
        <v>21</v>
      </c>
      <c r="H4493" t="str">
        <f>"7-869-54545"</f>
        <v>7-869-54545</v>
      </c>
      <c r="I4493" t="str">
        <f>"FEDEX"</f>
        <v>FEDEX</v>
      </c>
    </row>
    <row r="4494" spans="1:9" x14ac:dyDescent="0.25">
      <c r="A4494" s="6">
        <v>44818</v>
      </c>
      <c r="B4494" t="s">
        <v>26</v>
      </c>
      <c r="C4494">
        <v>70511</v>
      </c>
      <c r="D4494" t="s">
        <v>59</v>
      </c>
      <c r="E4494" s="7">
        <v>305.83</v>
      </c>
      <c r="F4494" t="s">
        <v>20</v>
      </c>
      <c r="G4494" t="s">
        <v>21</v>
      </c>
      <c r="H4494" t="str">
        <f>"1192613-1"</f>
        <v>1192613-1</v>
      </c>
      <c r="I4494" t="str">
        <f>"FERGUSON WATERWORKS - MUNICIPA"</f>
        <v>FERGUSON WATERWORKS - MUNICIPA</v>
      </c>
    </row>
    <row r="4495" spans="1:9" x14ac:dyDescent="0.25">
      <c r="A4495" s="6">
        <v>44818</v>
      </c>
      <c r="B4495" t="s">
        <v>26</v>
      </c>
      <c r="C4495">
        <v>70512</v>
      </c>
      <c r="D4495" t="s">
        <v>85</v>
      </c>
      <c r="E4495" s="7">
        <v>84.75</v>
      </c>
      <c r="F4495" t="s">
        <v>20</v>
      </c>
      <c r="G4495" t="s">
        <v>21</v>
      </c>
      <c r="H4495" t="str">
        <f>"39305479 AUG.22"</f>
        <v>39305479 AUG.22</v>
      </c>
      <c r="I4495" t="str">
        <f>"FRONTIER"</f>
        <v>FRONTIER</v>
      </c>
    </row>
    <row r="4496" spans="1:9" x14ac:dyDescent="0.25">
      <c r="A4496" s="6">
        <v>44818</v>
      </c>
      <c r="B4496" t="s">
        <v>26</v>
      </c>
      <c r="C4496">
        <v>70512</v>
      </c>
      <c r="D4496" t="s">
        <v>85</v>
      </c>
      <c r="E4496" s="7">
        <v>420.1</v>
      </c>
      <c r="F4496" t="s">
        <v>20</v>
      </c>
      <c r="G4496" t="s">
        <v>21</v>
      </c>
      <c r="H4496" t="str">
        <f>"3937050 AUG.2022"</f>
        <v>3937050 AUG.2022</v>
      </c>
      <c r="I4496" t="str">
        <f>"FRONTIER"</f>
        <v>FRONTIER</v>
      </c>
    </row>
    <row r="4497" spans="1:9" x14ac:dyDescent="0.25">
      <c r="A4497" s="6">
        <v>44818</v>
      </c>
      <c r="B4497" t="s">
        <v>26</v>
      </c>
      <c r="C4497">
        <v>70513</v>
      </c>
      <c r="D4497" t="s">
        <v>1134</v>
      </c>
      <c r="E4497" s="7">
        <v>195</v>
      </c>
      <c r="F4497" t="s">
        <v>20</v>
      </c>
      <c r="G4497" t="s">
        <v>21</v>
      </c>
      <c r="H4497" t="str">
        <f>"113465"</f>
        <v>113465</v>
      </c>
      <c r="I4497" t="str">
        <f>"SHIRTS FOR EDWARD"</f>
        <v>SHIRTS FOR EDWARD</v>
      </c>
    </row>
    <row r="4498" spans="1:9" x14ac:dyDescent="0.25">
      <c r="A4498" s="6">
        <v>44818</v>
      </c>
      <c r="B4498" t="s">
        <v>26</v>
      </c>
      <c r="C4498">
        <v>70514</v>
      </c>
      <c r="D4498" t="s">
        <v>927</v>
      </c>
      <c r="E4498" s="7">
        <v>2070.37</v>
      </c>
      <c r="F4498" t="s">
        <v>20</v>
      </c>
      <c r="G4498" t="s">
        <v>21</v>
      </c>
      <c r="H4498" t="str">
        <f>"CITY0000018"</f>
        <v>CITY0000018</v>
      </c>
      <c r="I4498" t="str">
        <f>"JOELZ LAWN MOWING SERVICE"</f>
        <v>JOELZ LAWN MOWING SERVICE</v>
      </c>
    </row>
    <row r="4499" spans="1:9" x14ac:dyDescent="0.25">
      <c r="A4499" s="6">
        <v>44818</v>
      </c>
      <c r="B4499" t="s">
        <v>26</v>
      </c>
      <c r="C4499">
        <v>70515</v>
      </c>
      <c r="D4499" t="s">
        <v>1283</v>
      </c>
      <c r="E4499" s="7">
        <v>18000</v>
      </c>
      <c r="F4499" t="s">
        <v>20</v>
      </c>
      <c r="G4499" t="s">
        <v>21</v>
      </c>
      <c r="H4499" t="str">
        <f>"25107TX"</f>
        <v>25107TX</v>
      </c>
      <c r="I4499" t="str">
        <f>"HOT TAPPING SERVICE"</f>
        <v>HOT TAPPING SERVICE</v>
      </c>
    </row>
    <row r="4500" spans="1:9" x14ac:dyDescent="0.25">
      <c r="A4500" s="6">
        <v>44818</v>
      </c>
      <c r="B4500" t="s">
        <v>26</v>
      </c>
      <c r="C4500">
        <v>70516</v>
      </c>
      <c r="D4500" t="s">
        <v>107</v>
      </c>
      <c r="E4500" s="7">
        <v>26.38</v>
      </c>
      <c r="F4500" t="s">
        <v>20</v>
      </c>
      <c r="G4500" t="s">
        <v>21</v>
      </c>
      <c r="H4500" t="str">
        <f>"1166960-20220731"</f>
        <v>1166960-20220731</v>
      </c>
      <c r="I4500" t="str">
        <f>"LEXISNEXIS RISK SOLUTIONS"</f>
        <v>LEXISNEXIS RISK SOLUTIONS</v>
      </c>
    </row>
    <row r="4501" spans="1:9" x14ac:dyDescent="0.25">
      <c r="A4501" s="6">
        <v>44818</v>
      </c>
      <c r="B4501" t="s">
        <v>26</v>
      </c>
      <c r="C4501">
        <v>70517</v>
      </c>
      <c r="D4501" t="s">
        <v>1284</v>
      </c>
      <c r="E4501" s="7">
        <v>125</v>
      </c>
      <c r="F4501" t="s">
        <v>20</v>
      </c>
      <c r="G4501" t="s">
        <v>21</v>
      </c>
      <c r="H4501" t="str">
        <f>"REFUND 9/3/22 POOL"</f>
        <v>REFUND 9/3/22 POOL</v>
      </c>
      <c r="I4501" t="str">
        <f>"REFUND"</f>
        <v>REFUND</v>
      </c>
    </row>
    <row r="4502" spans="1:9" x14ac:dyDescent="0.25">
      <c r="A4502" s="6">
        <v>44818</v>
      </c>
      <c r="B4502" t="s">
        <v>26</v>
      </c>
      <c r="C4502">
        <v>70518</v>
      </c>
      <c r="D4502" t="s">
        <v>124</v>
      </c>
      <c r="E4502" s="7">
        <v>256.57</v>
      </c>
      <c r="F4502" t="s">
        <v>20</v>
      </c>
      <c r="G4502" t="s">
        <v>21</v>
      </c>
      <c r="H4502" t="str">
        <f>"11128543"</f>
        <v>11128543</v>
      </c>
      <c r="I4502" t="str">
        <f>"PAINT FOR BALLROOM"</f>
        <v>PAINT FOR BALLROOM</v>
      </c>
    </row>
    <row r="4503" spans="1:9" x14ac:dyDescent="0.25">
      <c r="A4503" s="6">
        <v>44818</v>
      </c>
      <c r="B4503" t="s">
        <v>26</v>
      </c>
      <c r="C4503">
        <v>70519</v>
      </c>
      <c r="D4503" t="s">
        <v>345</v>
      </c>
      <c r="E4503" s="7">
        <v>286</v>
      </c>
      <c r="F4503" t="s">
        <v>20</v>
      </c>
      <c r="G4503" t="s">
        <v>21</v>
      </c>
      <c r="H4503" t="str">
        <f>"09/12/2022"</f>
        <v>09/12/2022</v>
      </c>
      <c r="I4503" t="str">
        <f>"MICHAEL ISAAC MARTINEZ"</f>
        <v>MICHAEL ISAAC MARTINEZ</v>
      </c>
    </row>
    <row r="4504" spans="1:9" x14ac:dyDescent="0.25">
      <c r="A4504" s="6">
        <v>44818</v>
      </c>
      <c r="B4504" t="s">
        <v>26</v>
      </c>
      <c r="C4504">
        <v>70520</v>
      </c>
      <c r="D4504" t="s">
        <v>1176</v>
      </c>
      <c r="E4504" s="7">
        <v>241.92</v>
      </c>
      <c r="F4504" t="s">
        <v>20</v>
      </c>
      <c r="G4504" t="s">
        <v>21</v>
      </c>
      <c r="H4504" t="str">
        <f>"000002104548"</f>
        <v>000002104548</v>
      </c>
      <c r="I4504" t="str">
        <f>"NOVA MEDICAL CENTERS"</f>
        <v>NOVA MEDICAL CENTERS</v>
      </c>
    </row>
    <row r="4505" spans="1:9" x14ac:dyDescent="0.25">
      <c r="A4505" s="6">
        <v>44818</v>
      </c>
      <c r="B4505" t="s">
        <v>26</v>
      </c>
      <c r="C4505">
        <v>70521</v>
      </c>
      <c r="D4505" t="s">
        <v>123</v>
      </c>
      <c r="E4505" s="7">
        <v>955.02</v>
      </c>
      <c r="F4505" t="s">
        <v>20</v>
      </c>
      <c r="G4505" t="s">
        <v>21</v>
      </c>
      <c r="H4505" t="str">
        <f>"261155228001"</f>
        <v>261155228001</v>
      </c>
      <c r="I4505" t="str">
        <f>"OFFICE SUPPLIES"</f>
        <v>OFFICE SUPPLIES</v>
      </c>
    </row>
    <row r="4506" spans="1:9" x14ac:dyDescent="0.25">
      <c r="A4506" s="6">
        <v>44818</v>
      </c>
      <c r="B4506" t="s">
        <v>26</v>
      </c>
      <c r="C4506">
        <v>70524</v>
      </c>
      <c r="D4506" t="s">
        <v>1152</v>
      </c>
      <c r="E4506" s="7">
        <v>95.1</v>
      </c>
      <c r="F4506" t="s">
        <v>20</v>
      </c>
      <c r="G4506" t="s">
        <v>21</v>
      </c>
      <c r="H4506" t="str">
        <f>"91670"</f>
        <v>91670</v>
      </c>
      <c r="I4506" t="str">
        <f>"PITNEY BOWES PURCHASE POWER"</f>
        <v>PITNEY BOWES PURCHASE POWER</v>
      </c>
    </row>
    <row r="4507" spans="1:9" x14ac:dyDescent="0.25">
      <c r="A4507" s="6">
        <v>44818</v>
      </c>
      <c r="B4507" t="s">
        <v>26</v>
      </c>
      <c r="C4507">
        <v>70525</v>
      </c>
      <c r="D4507" t="s">
        <v>119</v>
      </c>
      <c r="E4507" s="7">
        <v>15</v>
      </c>
      <c r="F4507" t="s">
        <v>20</v>
      </c>
      <c r="G4507" t="s">
        <v>21</v>
      </c>
      <c r="H4507" t="str">
        <f>"91670"</f>
        <v>91670</v>
      </c>
      <c r="I4507" t="str">
        <f>"PRUSKI'S TIRE SHOP  L.L.C."</f>
        <v>PRUSKI'S TIRE SHOP  L.L.C.</v>
      </c>
    </row>
    <row r="4508" spans="1:9" x14ac:dyDescent="0.25">
      <c r="A4508" s="6">
        <v>44818</v>
      </c>
      <c r="B4508" t="s">
        <v>26</v>
      </c>
      <c r="C4508">
        <v>70526</v>
      </c>
      <c r="D4508" t="s">
        <v>1037</v>
      </c>
      <c r="E4508" s="7">
        <v>381.02</v>
      </c>
      <c r="F4508" t="s">
        <v>20</v>
      </c>
      <c r="G4508" t="s">
        <v>21</v>
      </c>
      <c r="H4508" t="str">
        <f>"REIMBURSTMENT 9/13"</f>
        <v>REIMBURSTMENT 9/13</v>
      </c>
      <c r="I4508" t="str">
        <f>"RALPH SUNIGA"</f>
        <v>RALPH SUNIGA</v>
      </c>
    </row>
    <row r="4509" spans="1:9" x14ac:dyDescent="0.25">
      <c r="A4509" s="6">
        <v>44818</v>
      </c>
      <c r="B4509" t="s">
        <v>26</v>
      </c>
      <c r="C4509">
        <v>70527</v>
      </c>
      <c r="D4509" t="s">
        <v>126</v>
      </c>
      <c r="E4509" s="7">
        <v>1936.88</v>
      </c>
      <c r="F4509" t="s">
        <v>20</v>
      </c>
      <c r="G4509" t="s">
        <v>21</v>
      </c>
      <c r="H4509" t="str">
        <f>"0859-003196800"</f>
        <v>0859-003196800</v>
      </c>
      <c r="I4509" t="str">
        <f>"REPUBLIC SERVICES #859"</f>
        <v>REPUBLIC SERVICES #859</v>
      </c>
    </row>
    <row r="4510" spans="1:9" x14ac:dyDescent="0.25">
      <c r="A4510" s="6">
        <v>44818</v>
      </c>
      <c r="B4510" t="s">
        <v>26</v>
      </c>
      <c r="C4510">
        <v>70527</v>
      </c>
      <c r="D4510" t="s">
        <v>126</v>
      </c>
      <c r="E4510" s="7">
        <v>95352.26</v>
      </c>
      <c r="F4510" t="s">
        <v>20</v>
      </c>
      <c r="G4510" t="s">
        <v>21</v>
      </c>
      <c r="H4510" t="str">
        <f>"0859-003201005"</f>
        <v>0859-003201005</v>
      </c>
      <c r="I4510" t="str">
        <f>"REPUBLIC SERVICES #859"</f>
        <v>REPUBLIC SERVICES #859</v>
      </c>
    </row>
    <row r="4511" spans="1:9" x14ac:dyDescent="0.25">
      <c r="A4511" s="6">
        <v>44818</v>
      </c>
      <c r="B4511" t="s">
        <v>26</v>
      </c>
      <c r="C4511">
        <v>70528</v>
      </c>
      <c r="D4511" t="s">
        <v>339</v>
      </c>
      <c r="E4511" s="7">
        <v>45</v>
      </c>
      <c r="F4511" t="s">
        <v>20</v>
      </c>
      <c r="G4511" t="s">
        <v>21</v>
      </c>
      <c r="H4511" t="str">
        <f>"837792"</f>
        <v>837792</v>
      </c>
      <c r="I4511" t="str">
        <f>"SOUTHWEST PUBLIC SAFETY"</f>
        <v>SOUTHWEST PUBLIC SAFETY</v>
      </c>
    </row>
    <row r="4512" spans="1:9" x14ac:dyDescent="0.25">
      <c r="A4512" s="6">
        <v>44818</v>
      </c>
      <c r="B4512" t="s">
        <v>26</v>
      </c>
      <c r="C4512">
        <v>70528</v>
      </c>
      <c r="D4512" t="s">
        <v>339</v>
      </c>
      <c r="E4512" s="7">
        <v>45</v>
      </c>
      <c r="F4512" t="s">
        <v>20</v>
      </c>
      <c r="G4512" t="s">
        <v>21</v>
      </c>
      <c r="H4512" t="str">
        <f>"837793"</f>
        <v>837793</v>
      </c>
      <c r="I4512" t="str">
        <f>"SOUTHWEST PUBLIC SAFETY"</f>
        <v>SOUTHWEST PUBLIC SAFETY</v>
      </c>
    </row>
    <row r="4513" spans="1:9" x14ac:dyDescent="0.25">
      <c r="A4513" s="6">
        <v>44818</v>
      </c>
      <c r="B4513" t="s">
        <v>26</v>
      </c>
      <c r="C4513">
        <v>70529</v>
      </c>
      <c r="D4513" t="s">
        <v>346</v>
      </c>
      <c r="E4513" s="7">
        <v>13750</v>
      </c>
      <c r="F4513" t="s">
        <v>20</v>
      </c>
      <c r="G4513" t="s">
        <v>21</v>
      </c>
      <c r="H4513" t="str">
        <f>"8/11-9/11/2022"</f>
        <v>8/11-9/11/2022</v>
      </c>
      <c r="I4513" t="str">
        <f>"SYLVIA RODRIGUEZ"</f>
        <v>SYLVIA RODRIGUEZ</v>
      </c>
    </row>
    <row r="4514" spans="1:9" x14ac:dyDescent="0.25">
      <c r="A4514" s="6">
        <v>44818</v>
      </c>
      <c r="B4514" t="s">
        <v>26</v>
      </c>
      <c r="C4514">
        <v>70530</v>
      </c>
      <c r="D4514" t="s">
        <v>1285</v>
      </c>
      <c r="E4514" s="7">
        <v>315</v>
      </c>
      <c r="F4514" t="s">
        <v>20</v>
      </c>
      <c r="G4514" t="s">
        <v>21</v>
      </c>
      <c r="H4514" t="str">
        <f>"ANNUAL DUES 2022"</f>
        <v>ANNUAL DUES 2022</v>
      </c>
      <c r="I4514" t="str">
        <f>"TCMA"</f>
        <v>TCMA</v>
      </c>
    </row>
    <row r="4515" spans="1:9" x14ac:dyDescent="0.25">
      <c r="A4515" s="6">
        <v>44818</v>
      </c>
      <c r="B4515" t="s">
        <v>26</v>
      </c>
      <c r="C4515">
        <v>70531</v>
      </c>
      <c r="D4515" t="s">
        <v>975</v>
      </c>
      <c r="E4515" s="7">
        <v>11035.44</v>
      </c>
      <c r="F4515" t="s">
        <v>20</v>
      </c>
      <c r="G4515" t="s">
        <v>21</v>
      </c>
      <c r="H4515" t="str">
        <f>"E07770"</f>
        <v>E07770</v>
      </c>
      <c r="I4515" t="str">
        <f>"TELLUS EQUIPMENT SOLUTIONS  LL"</f>
        <v>TELLUS EQUIPMENT SOLUTIONS  LL</v>
      </c>
    </row>
    <row r="4516" spans="1:9" x14ac:dyDescent="0.25">
      <c r="A4516" s="6">
        <v>44818</v>
      </c>
      <c r="B4516" t="s">
        <v>26</v>
      </c>
      <c r="C4516">
        <v>70531</v>
      </c>
      <c r="D4516" t="s">
        <v>975</v>
      </c>
      <c r="E4516" s="7">
        <v>454.86</v>
      </c>
      <c r="F4516" t="s">
        <v>20</v>
      </c>
      <c r="G4516" t="s">
        <v>21</v>
      </c>
      <c r="H4516" t="str">
        <f>"P06276"</f>
        <v>P06276</v>
      </c>
      <c r="I4516" t="str">
        <f>"BLADES FOR MOWERS"</f>
        <v>BLADES FOR MOWERS</v>
      </c>
    </row>
    <row r="4517" spans="1:9" x14ac:dyDescent="0.25">
      <c r="A4517" s="6">
        <v>44818</v>
      </c>
      <c r="B4517" t="s">
        <v>26</v>
      </c>
      <c r="C4517">
        <v>70531</v>
      </c>
      <c r="D4517" t="s">
        <v>975</v>
      </c>
      <c r="E4517" s="7">
        <v>59.01</v>
      </c>
      <c r="F4517" t="s">
        <v>20</v>
      </c>
      <c r="G4517" t="s">
        <v>21</v>
      </c>
      <c r="H4517" t="str">
        <f>"P06554"</f>
        <v>P06554</v>
      </c>
      <c r="I4517" t="str">
        <f>"BLADES FOR EVENT CENTER"</f>
        <v>BLADES FOR EVENT CENTER</v>
      </c>
    </row>
    <row r="4518" spans="1:9" x14ac:dyDescent="0.25">
      <c r="A4518" s="6">
        <v>44818</v>
      </c>
      <c r="B4518" t="s">
        <v>26</v>
      </c>
      <c r="C4518">
        <v>70532</v>
      </c>
      <c r="D4518" t="s">
        <v>31</v>
      </c>
      <c r="E4518" s="7">
        <v>2000</v>
      </c>
      <c r="F4518" t="s">
        <v>20</v>
      </c>
      <c r="G4518" t="s">
        <v>21</v>
      </c>
      <c r="H4518" t="str">
        <f>"2022309"</f>
        <v>2022309</v>
      </c>
      <c r="I4518" t="str">
        <f>"THE LAW OFFICE OF TOM CALDWELL"</f>
        <v>THE LAW OFFICE OF TOM CALDWELL</v>
      </c>
    </row>
    <row r="4519" spans="1:9" x14ac:dyDescent="0.25">
      <c r="A4519" s="6">
        <v>44818</v>
      </c>
      <c r="B4519" t="s">
        <v>26</v>
      </c>
      <c r="C4519">
        <v>70533</v>
      </c>
      <c r="D4519" t="s">
        <v>568</v>
      </c>
      <c r="E4519" s="7">
        <v>558.16</v>
      </c>
      <c r="F4519" t="s">
        <v>20</v>
      </c>
      <c r="G4519" t="s">
        <v>21</v>
      </c>
      <c r="H4519" t="str">
        <f>"29581818"</f>
        <v>29581818</v>
      </c>
      <c r="I4519" t="str">
        <f>"TIRES FOR UNIT 334"</f>
        <v>TIRES FOR UNIT 334</v>
      </c>
    </row>
    <row r="4520" spans="1:9" x14ac:dyDescent="0.25">
      <c r="A4520" s="6">
        <v>44818</v>
      </c>
      <c r="B4520" t="s">
        <v>26</v>
      </c>
      <c r="C4520">
        <v>70534</v>
      </c>
      <c r="D4520" t="s">
        <v>75</v>
      </c>
      <c r="E4520" s="7">
        <v>119.99</v>
      </c>
      <c r="F4520" t="s">
        <v>20</v>
      </c>
      <c r="G4520" t="s">
        <v>21</v>
      </c>
      <c r="H4520" t="str">
        <f>"100845909"</f>
        <v>100845909</v>
      </c>
      <c r="I4520" t="str">
        <f>"WEED KILLER"</f>
        <v>WEED KILLER</v>
      </c>
    </row>
    <row r="4521" spans="1:9" x14ac:dyDescent="0.25">
      <c r="A4521" s="6">
        <v>44818</v>
      </c>
      <c r="B4521" t="s">
        <v>26</v>
      </c>
      <c r="C4521">
        <v>70534</v>
      </c>
      <c r="D4521" t="s">
        <v>75</v>
      </c>
      <c r="E4521" s="7">
        <v>169.98</v>
      </c>
      <c r="F4521" t="s">
        <v>20</v>
      </c>
      <c r="G4521" t="s">
        <v>21</v>
      </c>
      <c r="H4521" t="str">
        <f>"200005061"</f>
        <v>200005061</v>
      </c>
      <c r="I4521" t="str">
        <f>"BOOTS FOR PAUL"</f>
        <v>BOOTS FOR PAUL</v>
      </c>
    </row>
    <row r="4522" spans="1:9" x14ac:dyDescent="0.25">
      <c r="A4522" s="6">
        <v>44818</v>
      </c>
      <c r="B4522" t="s">
        <v>26</v>
      </c>
      <c r="C4522">
        <v>70535</v>
      </c>
      <c r="D4522" t="s">
        <v>1030</v>
      </c>
      <c r="E4522" s="7">
        <v>18144.2</v>
      </c>
      <c r="F4522" t="s">
        <v>20</v>
      </c>
      <c r="G4522" t="s">
        <v>21</v>
      </c>
      <c r="H4522" t="str">
        <f>"PA #01 PEACH ST"</f>
        <v>PA #01 PEACH ST</v>
      </c>
      <c r="I4522" t="str">
        <f>"TRIUN  LLC"</f>
        <v>TRIUN  LLC</v>
      </c>
    </row>
    <row r="4523" spans="1:9" x14ac:dyDescent="0.25">
      <c r="A4523" s="6">
        <v>44818</v>
      </c>
      <c r="B4523" t="s">
        <v>26</v>
      </c>
      <c r="C4523">
        <v>70536</v>
      </c>
      <c r="D4523" t="s">
        <v>644</v>
      </c>
      <c r="E4523" s="7">
        <v>29.49</v>
      </c>
      <c r="F4523" t="s">
        <v>20</v>
      </c>
      <c r="G4523" t="s">
        <v>21</v>
      </c>
      <c r="H4523" t="str">
        <f>"8213775292"</f>
        <v>8213775292</v>
      </c>
      <c r="I4523" t="str">
        <f>"UNIFIRST CORPORATION"</f>
        <v>UNIFIRST CORPORATION</v>
      </c>
    </row>
    <row r="4524" spans="1:9" x14ac:dyDescent="0.25">
      <c r="A4524" s="6">
        <v>44818</v>
      </c>
      <c r="B4524" t="s">
        <v>26</v>
      </c>
      <c r="C4524">
        <v>70536</v>
      </c>
      <c r="D4524" t="s">
        <v>644</v>
      </c>
      <c r="E4524" s="7">
        <v>134.38999999999999</v>
      </c>
      <c r="F4524" t="s">
        <v>20</v>
      </c>
      <c r="G4524" t="s">
        <v>21</v>
      </c>
      <c r="H4524" t="str">
        <f>"8213775293"</f>
        <v>8213775293</v>
      </c>
      <c r="I4524" t="str">
        <f>"UNIFIRST CORPORATION"</f>
        <v>UNIFIRST CORPORATION</v>
      </c>
    </row>
    <row r="4525" spans="1:9" x14ac:dyDescent="0.25">
      <c r="A4525" s="6">
        <v>44818</v>
      </c>
      <c r="B4525" t="s">
        <v>26</v>
      </c>
      <c r="C4525">
        <v>70536</v>
      </c>
      <c r="D4525" t="s">
        <v>644</v>
      </c>
      <c r="E4525" s="7">
        <v>71.25</v>
      </c>
      <c r="F4525" t="s">
        <v>20</v>
      </c>
      <c r="G4525" t="s">
        <v>21</v>
      </c>
      <c r="H4525" t="str">
        <f>"8213775294"</f>
        <v>8213775294</v>
      </c>
      <c r="I4525" t="str">
        <f>"UNIFIRST CORPORATION"</f>
        <v>UNIFIRST CORPORATION</v>
      </c>
    </row>
    <row r="4526" spans="1:9" x14ac:dyDescent="0.25">
      <c r="A4526" s="6">
        <v>44818</v>
      </c>
      <c r="B4526" t="s">
        <v>26</v>
      </c>
      <c r="C4526">
        <v>70536</v>
      </c>
      <c r="D4526" t="s">
        <v>644</v>
      </c>
      <c r="E4526" s="7">
        <v>115.31</v>
      </c>
      <c r="F4526" t="s">
        <v>20</v>
      </c>
      <c r="G4526" t="s">
        <v>21</v>
      </c>
      <c r="H4526" t="str">
        <f>"8213775296"</f>
        <v>8213775296</v>
      </c>
      <c r="I4526" t="str">
        <f>"UNIFIRST CORPORATION"</f>
        <v>UNIFIRST CORPORATION</v>
      </c>
    </row>
    <row r="4527" spans="1:9" x14ac:dyDescent="0.25">
      <c r="A4527" s="6">
        <v>44818</v>
      </c>
      <c r="B4527" t="s">
        <v>26</v>
      </c>
      <c r="C4527">
        <v>70537</v>
      </c>
      <c r="D4527" t="s">
        <v>203</v>
      </c>
      <c r="E4527" s="7">
        <v>186.32</v>
      </c>
      <c r="F4527" t="s">
        <v>20</v>
      </c>
      <c r="G4527" t="s">
        <v>21</v>
      </c>
      <c r="H4527" t="str">
        <f>"088490"</f>
        <v>088490</v>
      </c>
      <c r="I4527" t="str">
        <f>"WWTP"</f>
        <v>WWTP</v>
      </c>
    </row>
    <row r="4528" spans="1:9" x14ac:dyDescent="0.25">
      <c r="A4528" s="6">
        <v>44818</v>
      </c>
      <c r="B4528" t="s">
        <v>26</v>
      </c>
      <c r="C4528">
        <v>70538</v>
      </c>
      <c r="D4528" t="s">
        <v>202</v>
      </c>
      <c r="E4528" s="7">
        <v>838.17</v>
      </c>
      <c r="F4528" t="s">
        <v>20</v>
      </c>
      <c r="G4528" t="s">
        <v>21</v>
      </c>
      <c r="H4528" t="str">
        <f>"62518039"</f>
        <v>62518039</v>
      </c>
      <c r="I4528" t="str">
        <f>"VULCAN CONSTRUCTION MATERIALS"</f>
        <v>VULCAN CONSTRUCTION MATERIALS</v>
      </c>
    </row>
    <row r="4529" spans="1:9" x14ac:dyDescent="0.25">
      <c r="A4529" s="6">
        <v>44818</v>
      </c>
      <c r="B4529" t="s">
        <v>26</v>
      </c>
      <c r="C4529">
        <v>70539</v>
      </c>
      <c r="D4529" t="s">
        <v>104</v>
      </c>
      <c r="E4529" s="7">
        <v>615.84</v>
      </c>
      <c r="F4529" t="s">
        <v>20</v>
      </c>
      <c r="G4529" t="s">
        <v>21</v>
      </c>
      <c r="H4529" t="str">
        <f>"36112"</f>
        <v>36112</v>
      </c>
      <c r="I4529" t="str">
        <f>"WILSON COUNTY NEWS"</f>
        <v>WILSON COUNTY NEWS</v>
      </c>
    </row>
    <row r="4530" spans="1:9" x14ac:dyDescent="0.25">
      <c r="A4530" s="6">
        <v>44818</v>
      </c>
      <c r="B4530" t="s">
        <v>26</v>
      </c>
      <c r="C4530">
        <v>70539</v>
      </c>
      <c r="D4530" t="s">
        <v>104</v>
      </c>
      <c r="E4530" s="7">
        <v>880.55</v>
      </c>
      <c r="F4530" t="s">
        <v>20</v>
      </c>
      <c r="G4530" t="s">
        <v>21</v>
      </c>
      <c r="H4530" t="str">
        <f>"36312"</f>
        <v>36312</v>
      </c>
      <c r="I4530" t="str">
        <f>"WILSON COUNTY NEWS"</f>
        <v>WILSON COUNTY NEWS</v>
      </c>
    </row>
    <row r="4531" spans="1:9" x14ac:dyDescent="0.25">
      <c r="A4531" s="6">
        <v>44818</v>
      </c>
      <c r="B4531" t="s">
        <v>26</v>
      </c>
      <c r="C4531">
        <v>70540</v>
      </c>
      <c r="D4531" t="s">
        <v>102</v>
      </c>
      <c r="E4531" s="7">
        <v>46.22</v>
      </c>
      <c r="F4531" t="s">
        <v>20</v>
      </c>
      <c r="G4531" t="s">
        <v>21</v>
      </c>
      <c r="H4531" t="str">
        <f>"1120 D ST.SEPT'22"</f>
        <v>1120 D ST.SEPT'22</v>
      </c>
      <c r="I4531" t="str">
        <f>"CENTERPOINT ENERGY ENTEX"</f>
        <v>CENTERPOINT ENERGY ENTEX</v>
      </c>
    </row>
    <row r="4532" spans="1:9" x14ac:dyDescent="0.25">
      <c r="A4532" s="6">
        <v>44818</v>
      </c>
      <c r="B4532" t="s">
        <v>26</v>
      </c>
      <c r="C4532">
        <v>70540</v>
      </c>
      <c r="D4532" t="s">
        <v>102</v>
      </c>
      <c r="E4532" s="7">
        <v>43.43</v>
      </c>
      <c r="F4532" t="s">
        <v>20</v>
      </c>
      <c r="G4532" t="s">
        <v>21</v>
      </c>
      <c r="H4532" t="str">
        <f>"1200 1ST SEPT.2022"</f>
        <v>1200 1ST SEPT.2022</v>
      </c>
      <c r="I4532" t="str">
        <f>"CENTERPOINT ENERGY ENTEX"</f>
        <v>CENTERPOINT ENERGY ENTEX</v>
      </c>
    </row>
    <row r="4533" spans="1:9" x14ac:dyDescent="0.25">
      <c r="A4533" s="6">
        <v>44818</v>
      </c>
      <c r="B4533" t="s">
        <v>26</v>
      </c>
      <c r="C4533">
        <v>70540</v>
      </c>
      <c r="D4533" t="s">
        <v>102</v>
      </c>
      <c r="E4533" s="7">
        <v>47.01</v>
      </c>
      <c r="F4533" t="s">
        <v>20</v>
      </c>
      <c r="G4533" t="s">
        <v>21</v>
      </c>
      <c r="H4533" t="str">
        <f>"920 C ST SEPT.2022"</f>
        <v>920 C ST SEPT.2022</v>
      </c>
      <c r="I4533" t="str">
        <f>"CENTERPOINT ENERGY ENTEX"</f>
        <v>CENTERPOINT ENERGY ENTEX</v>
      </c>
    </row>
    <row r="4534" spans="1:9" x14ac:dyDescent="0.25">
      <c r="A4534" s="6">
        <v>44818</v>
      </c>
      <c r="B4534" t="s">
        <v>26</v>
      </c>
      <c r="C4534">
        <v>70541</v>
      </c>
      <c r="D4534" t="s">
        <v>63</v>
      </c>
      <c r="E4534" s="7">
        <v>1114.81</v>
      </c>
      <c r="F4534" t="s">
        <v>20</v>
      </c>
      <c r="G4534" t="s">
        <v>21</v>
      </c>
      <c r="H4534" t="str">
        <f>"8405865263"</f>
        <v>8405865263</v>
      </c>
      <c r="I4534" t="str">
        <f>"CINTAS CORPORATION"</f>
        <v>CINTAS CORPORATION</v>
      </c>
    </row>
    <row r="4535" spans="1:9" x14ac:dyDescent="0.25">
      <c r="A4535" s="6">
        <v>44818</v>
      </c>
      <c r="B4535" t="s">
        <v>26</v>
      </c>
      <c r="C4535">
        <v>70542</v>
      </c>
      <c r="D4535" t="s">
        <v>71</v>
      </c>
      <c r="E4535" s="7">
        <v>442.97</v>
      </c>
      <c r="F4535" t="s">
        <v>20</v>
      </c>
      <c r="G4535" t="s">
        <v>21</v>
      </c>
      <c r="H4535" t="str">
        <f>"4128999849"</f>
        <v>4128999849</v>
      </c>
      <c r="I4535" t="str">
        <f t="shared" ref="I4535:I4550" si="108">"CINTAS CORPORATION #087"</f>
        <v>CINTAS CORPORATION #087</v>
      </c>
    </row>
    <row r="4536" spans="1:9" x14ac:dyDescent="0.25">
      <c r="A4536" s="6">
        <v>44818</v>
      </c>
      <c r="B4536" t="s">
        <v>26</v>
      </c>
      <c r="C4536">
        <v>70542</v>
      </c>
      <c r="D4536" t="s">
        <v>71</v>
      </c>
      <c r="E4536" s="7">
        <v>711.92</v>
      </c>
      <c r="F4536" t="s">
        <v>20</v>
      </c>
      <c r="G4536" t="s">
        <v>21</v>
      </c>
      <c r="H4536" t="str">
        <f>"4129738587"</f>
        <v>4129738587</v>
      </c>
      <c r="I4536" t="str">
        <f t="shared" si="108"/>
        <v>CINTAS CORPORATION #087</v>
      </c>
    </row>
    <row r="4537" spans="1:9" x14ac:dyDescent="0.25">
      <c r="A4537" s="6">
        <v>44818</v>
      </c>
      <c r="B4537" t="s">
        <v>26</v>
      </c>
      <c r="C4537">
        <v>70542</v>
      </c>
      <c r="D4537" t="s">
        <v>71</v>
      </c>
      <c r="E4537" s="7">
        <v>31.89</v>
      </c>
      <c r="F4537" t="s">
        <v>20</v>
      </c>
      <c r="G4537" t="s">
        <v>21</v>
      </c>
      <c r="H4537" t="str">
        <f>"4130470635"</f>
        <v>4130470635</v>
      </c>
      <c r="I4537" t="str">
        <f t="shared" si="108"/>
        <v>CINTAS CORPORATION #087</v>
      </c>
    </row>
    <row r="4538" spans="1:9" x14ac:dyDescent="0.25">
      <c r="A4538" s="6">
        <v>44818</v>
      </c>
      <c r="B4538" t="s">
        <v>26</v>
      </c>
      <c r="C4538">
        <v>70542</v>
      </c>
      <c r="D4538" t="s">
        <v>71</v>
      </c>
      <c r="E4538" s="7">
        <v>118.8</v>
      </c>
      <c r="F4538" t="s">
        <v>20</v>
      </c>
      <c r="G4538" t="s">
        <v>21</v>
      </c>
      <c r="H4538" t="str">
        <f>"4130470636"</f>
        <v>4130470636</v>
      </c>
      <c r="I4538" t="str">
        <f t="shared" si="108"/>
        <v>CINTAS CORPORATION #087</v>
      </c>
    </row>
    <row r="4539" spans="1:9" x14ac:dyDescent="0.25">
      <c r="A4539" s="6">
        <v>44818</v>
      </c>
      <c r="B4539" t="s">
        <v>26</v>
      </c>
      <c r="C4539">
        <v>70542</v>
      </c>
      <c r="D4539" t="s">
        <v>71</v>
      </c>
      <c r="E4539" s="7">
        <v>76.72</v>
      </c>
      <c r="F4539" t="s">
        <v>20</v>
      </c>
      <c r="G4539" t="s">
        <v>21</v>
      </c>
      <c r="H4539" t="str">
        <f>"4130470650"</f>
        <v>4130470650</v>
      </c>
      <c r="I4539" t="str">
        <f t="shared" si="108"/>
        <v>CINTAS CORPORATION #087</v>
      </c>
    </row>
    <row r="4540" spans="1:9" x14ac:dyDescent="0.25">
      <c r="A4540" s="6">
        <v>44818</v>
      </c>
      <c r="B4540" t="s">
        <v>26</v>
      </c>
      <c r="C4540">
        <v>70542</v>
      </c>
      <c r="D4540" t="s">
        <v>71</v>
      </c>
      <c r="E4540" s="7">
        <v>224.93</v>
      </c>
      <c r="F4540" t="s">
        <v>20</v>
      </c>
      <c r="G4540" t="s">
        <v>21</v>
      </c>
      <c r="H4540" t="str">
        <f>"4130470670"</f>
        <v>4130470670</v>
      </c>
      <c r="I4540" t="str">
        <f t="shared" si="108"/>
        <v>CINTAS CORPORATION #087</v>
      </c>
    </row>
    <row r="4541" spans="1:9" x14ac:dyDescent="0.25">
      <c r="A4541" s="6">
        <v>44818</v>
      </c>
      <c r="B4541" t="s">
        <v>26</v>
      </c>
      <c r="C4541">
        <v>70542</v>
      </c>
      <c r="D4541" t="s">
        <v>71</v>
      </c>
      <c r="E4541" s="7">
        <v>90.43</v>
      </c>
      <c r="F4541" t="s">
        <v>20</v>
      </c>
      <c r="G4541" t="s">
        <v>21</v>
      </c>
      <c r="H4541" t="str">
        <f>"4130470675"</f>
        <v>4130470675</v>
      </c>
      <c r="I4541" t="str">
        <f t="shared" si="108"/>
        <v>CINTAS CORPORATION #087</v>
      </c>
    </row>
    <row r="4542" spans="1:9" x14ac:dyDescent="0.25">
      <c r="A4542" s="6">
        <v>44818</v>
      </c>
      <c r="B4542" t="s">
        <v>26</v>
      </c>
      <c r="C4542">
        <v>70542</v>
      </c>
      <c r="D4542" t="s">
        <v>71</v>
      </c>
      <c r="E4542" s="7">
        <v>275.68</v>
      </c>
      <c r="F4542" t="s">
        <v>20</v>
      </c>
      <c r="G4542" t="s">
        <v>21</v>
      </c>
      <c r="H4542" t="str">
        <f>"4130470716"</f>
        <v>4130470716</v>
      </c>
      <c r="I4542" t="str">
        <f t="shared" si="108"/>
        <v>CINTAS CORPORATION #087</v>
      </c>
    </row>
    <row r="4543" spans="1:9" x14ac:dyDescent="0.25">
      <c r="A4543" s="6">
        <v>44818</v>
      </c>
      <c r="B4543" t="s">
        <v>26</v>
      </c>
      <c r="C4543">
        <v>70542</v>
      </c>
      <c r="D4543" t="s">
        <v>71</v>
      </c>
      <c r="E4543" s="7">
        <v>244.86</v>
      </c>
      <c r="F4543" t="s">
        <v>20</v>
      </c>
      <c r="G4543" t="s">
        <v>21</v>
      </c>
      <c r="H4543" t="str">
        <f>"4130477216"</f>
        <v>4130477216</v>
      </c>
      <c r="I4543" t="str">
        <f t="shared" si="108"/>
        <v>CINTAS CORPORATION #087</v>
      </c>
    </row>
    <row r="4544" spans="1:9" x14ac:dyDescent="0.25">
      <c r="A4544" s="6">
        <v>44818</v>
      </c>
      <c r="B4544" t="s">
        <v>26</v>
      </c>
      <c r="C4544">
        <v>70542</v>
      </c>
      <c r="D4544" t="s">
        <v>71</v>
      </c>
      <c r="E4544" s="7">
        <v>48.86</v>
      </c>
      <c r="F4544" t="s">
        <v>20</v>
      </c>
      <c r="G4544" t="s">
        <v>21</v>
      </c>
      <c r="H4544" t="str">
        <f>"4130477234"</f>
        <v>4130477234</v>
      </c>
      <c r="I4544" t="str">
        <f t="shared" si="108"/>
        <v>CINTAS CORPORATION #087</v>
      </c>
    </row>
    <row r="4545" spans="1:9" x14ac:dyDescent="0.25">
      <c r="A4545" s="6">
        <v>44818</v>
      </c>
      <c r="B4545" t="s">
        <v>26</v>
      </c>
      <c r="C4545">
        <v>70542</v>
      </c>
      <c r="D4545" t="s">
        <v>71</v>
      </c>
      <c r="E4545" s="7">
        <v>151.76</v>
      </c>
      <c r="F4545" t="s">
        <v>20</v>
      </c>
      <c r="G4545" t="s">
        <v>21</v>
      </c>
      <c r="H4545" t="str">
        <f>"4130477273"</f>
        <v>4130477273</v>
      </c>
      <c r="I4545" t="str">
        <f t="shared" si="108"/>
        <v>CINTAS CORPORATION #087</v>
      </c>
    </row>
    <row r="4546" spans="1:9" x14ac:dyDescent="0.25">
      <c r="A4546" s="6">
        <v>44818</v>
      </c>
      <c r="B4546" t="s">
        <v>26</v>
      </c>
      <c r="C4546">
        <v>70542</v>
      </c>
      <c r="D4546" t="s">
        <v>71</v>
      </c>
      <c r="E4546" s="7">
        <v>9.3800000000000008</v>
      </c>
      <c r="F4546" t="s">
        <v>20</v>
      </c>
      <c r="G4546" t="s">
        <v>21</v>
      </c>
      <c r="H4546" t="str">
        <f>"4131078640"</f>
        <v>4131078640</v>
      </c>
      <c r="I4546" t="str">
        <f t="shared" si="108"/>
        <v>CINTAS CORPORATION #087</v>
      </c>
    </row>
    <row r="4547" spans="1:9" x14ac:dyDescent="0.25">
      <c r="A4547" s="6">
        <v>44818</v>
      </c>
      <c r="B4547" t="s">
        <v>26</v>
      </c>
      <c r="C4547">
        <v>70542</v>
      </c>
      <c r="D4547" t="s">
        <v>71</v>
      </c>
      <c r="E4547" s="7">
        <v>278.05</v>
      </c>
      <c r="F4547" t="s">
        <v>20</v>
      </c>
      <c r="G4547" t="s">
        <v>21</v>
      </c>
      <c r="H4547" t="str">
        <f>"4131078730"</f>
        <v>4131078730</v>
      </c>
      <c r="I4547" t="str">
        <f t="shared" si="108"/>
        <v>CINTAS CORPORATION #087</v>
      </c>
    </row>
    <row r="4548" spans="1:9" x14ac:dyDescent="0.25">
      <c r="A4548" s="6">
        <v>44818</v>
      </c>
      <c r="B4548" t="s">
        <v>26</v>
      </c>
      <c r="C4548">
        <v>70542</v>
      </c>
      <c r="D4548" t="s">
        <v>71</v>
      </c>
      <c r="E4548" s="7">
        <v>57.72</v>
      </c>
      <c r="F4548" t="s">
        <v>20</v>
      </c>
      <c r="G4548" t="s">
        <v>21</v>
      </c>
      <c r="H4548" t="str">
        <f>"4131078746"</f>
        <v>4131078746</v>
      </c>
      <c r="I4548" t="str">
        <f t="shared" si="108"/>
        <v>CINTAS CORPORATION #087</v>
      </c>
    </row>
    <row r="4549" spans="1:9" x14ac:dyDescent="0.25">
      <c r="A4549" s="6">
        <v>44818</v>
      </c>
      <c r="B4549" t="s">
        <v>26</v>
      </c>
      <c r="C4549">
        <v>70542</v>
      </c>
      <c r="D4549" t="s">
        <v>71</v>
      </c>
      <c r="E4549" s="7">
        <v>31.89</v>
      </c>
      <c r="F4549" t="s">
        <v>20</v>
      </c>
      <c r="G4549" t="s">
        <v>21</v>
      </c>
      <c r="H4549" t="str">
        <f>"4131078754"</f>
        <v>4131078754</v>
      </c>
      <c r="I4549" t="str">
        <f t="shared" si="108"/>
        <v>CINTAS CORPORATION #087</v>
      </c>
    </row>
    <row r="4550" spans="1:9" x14ac:dyDescent="0.25">
      <c r="A4550" s="6">
        <v>44818</v>
      </c>
      <c r="B4550" t="s">
        <v>26</v>
      </c>
      <c r="C4550">
        <v>70542</v>
      </c>
      <c r="D4550" t="s">
        <v>71</v>
      </c>
      <c r="E4550" s="7">
        <v>37.1</v>
      </c>
      <c r="F4550" t="s">
        <v>20</v>
      </c>
      <c r="G4550" t="s">
        <v>21</v>
      </c>
      <c r="H4550" t="str">
        <f>"4131078779"</f>
        <v>4131078779</v>
      </c>
      <c r="I4550" t="str">
        <f t="shared" si="108"/>
        <v>CINTAS CORPORATION #087</v>
      </c>
    </row>
    <row r="4551" spans="1:9" x14ac:dyDescent="0.25">
      <c r="A4551" s="6">
        <v>44819</v>
      </c>
      <c r="B4551" t="s">
        <v>26</v>
      </c>
      <c r="C4551">
        <v>70547</v>
      </c>
      <c r="D4551" t="s">
        <v>1286</v>
      </c>
      <c r="E4551" s="7">
        <v>4680</v>
      </c>
      <c r="F4551" t="s">
        <v>20</v>
      </c>
      <c r="G4551" t="s">
        <v>21</v>
      </c>
      <c r="H4551" t="str">
        <f>"ESTIMATE #1049"</f>
        <v>ESTIMATE #1049</v>
      </c>
      <c r="I4551" t="str">
        <f>"SEALCOAT"</f>
        <v>SEALCOAT</v>
      </c>
    </row>
    <row r="4552" spans="1:9" x14ac:dyDescent="0.25">
      <c r="A4552" s="6">
        <v>44823</v>
      </c>
      <c r="B4552" t="s">
        <v>26</v>
      </c>
      <c r="C4552">
        <v>70548</v>
      </c>
      <c r="D4552" t="s">
        <v>1287</v>
      </c>
      <c r="E4552" s="7">
        <v>200</v>
      </c>
      <c r="F4552" t="s">
        <v>20</v>
      </c>
      <c r="G4552" t="s">
        <v>21</v>
      </c>
      <c r="H4552" t="str">
        <f>"WELL#6 PERMITS"</f>
        <v>WELL#6 PERMITS</v>
      </c>
      <c r="I4552" t="str">
        <f>"RUSSELL LABUS"</f>
        <v>RUSSELL LABUS</v>
      </c>
    </row>
    <row r="4553" spans="1:9" x14ac:dyDescent="0.25">
      <c r="A4553" s="6">
        <v>44823</v>
      </c>
      <c r="B4553" t="s">
        <v>26</v>
      </c>
      <c r="C4553">
        <v>70549</v>
      </c>
      <c r="D4553" t="s">
        <v>92</v>
      </c>
      <c r="E4553" s="7">
        <v>18264.29</v>
      </c>
      <c r="F4553" t="s">
        <v>20</v>
      </c>
      <c r="G4553" t="s">
        <v>21</v>
      </c>
      <c r="H4553" t="str">
        <f>"RET202208098665"</f>
        <v>RET202208098665</v>
      </c>
      <c r="I4553" t="str">
        <f>"TMRS CITY OF FLORESVILLE"</f>
        <v>TMRS CITY OF FLORESVILLE</v>
      </c>
    </row>
    <row r="4554" spans="1:9" x14ac:dyDescent="0.25">
      <c r="A4554" s="6">
        <v>44823</v>
      </c>
      <c r="B4554" t="s">
        <v>26</v>
      </c>
      <c r="C4554">
        <v>70549</v>
      </c>
      <c r="D4554" t="s">
        <v>92</v>
      </c>
      <c r="E4554" s="7">
        <v>17642.400000000001</v>
      </c>
      <c r="F4554" t="s">
        <v>20</v>
      </c>
      <c r="G4554" t="s">
        <v>21</v>
      </c>
      <c r="H4554" t="str">
        <f>"RET202208238667"</f>
        <v>RET202208238667</v>
      </c>
      <c r="I4554" t="str">
        <f>"TMRS CITY OF FLORESVILLE"</f>
        <v>TMRS CITY OF FLORESVILLE</v>
      </c>
    </row>
    <row r="4555" spans="1:9" x14ac:dyDescent="0.25">
      <c r="A4555" s="6">
        <v>44824</v>
      </c>
      <c r="B4555" t="s">
        <v>26</v>
      </c>
      <c r="C4555">
        <v>70558</v>
      </c>
      <c r="D4555" t="s">
        <v>51</v>
      </c>
      <c r="E4555" s="7">
        <v>13.85</v>
      </c>
      <c r="F4555" t="s">
        <v>20</v>
      </c>
      <c r="G4555" t="s">
        <v>21</v>
      </c>
      <c r="H4555" t="str">
        <f>"CLE202209208669"</f>
        <v>CLE202209208669</v>
      </c>
      <c r="I4555" t="str">
        <f>"CLEAT ONLY DUES"</f>
        <v>CLEAT ONLY DUES</v>
      </c>
    </row>
    <row r="4556" spans="1:9" x14ac:dyDescent="0.25">
      <c r="A4556" s="6">
        <v>44824</v>
      </c>
      <c r="B4556" t="s">
        <v>26</v>
      </c>
      <c r="C4556">
        <v>70558</v>
      </c>
      <c r="D4556" t="s">
        <v>51</v>
      </c>
      <c r="E4556" s="7">
        <v>332.46</v>
      </c>
      <c r="F4556" t="s">
        <v>20</v>
      </c>
      <c r="G4556" t="s">
        <v>21</v>
      </c>
      <c r="H4556" t="str">
        <f>"PDD202209208669"</f>
        <v>PDD202209208669</v>
      </c>
      <c r="I4556" t="str">
        <f>"POLICE OFFICERS ASSOC DUES"</f>
        <v>POLICE OFFICERS ASSOC DUES</v>
      </c>
    </row>
    <row r="4557" spans="1:9" x14ac:dyDescent="0.25">
      <c r="A4557" s="6">
        <v>44824</v>
      </c>
      <c r="B4557" t="s">
        <v>26</v>
      </c>
      <c r="C4557">
        <v>70559</v>
      </c>
      <c r="D4557" t="s">
        <v>52</v>
      </c>
      <c r="E4557" s="7">
        <v>101.25</v>
      </c>
      <c r="F4557" t="s">
        <v>20</v>
      </c>
      <c r="G4557" t="s">
        <v>21</v>
      </c>
      <c r="H4557" t="str">
        <f>"CA1202209208669"</f>
        <v>CA1202209208669</v>
      </c>
      <c r="I4557" t="str">
        <f>"K RAMIREZ 001200229510060343CV"</f>
        <v>K RAMIREZ 001200229510060343CV</v>
      </c>
    </row>
    <row r="4558" spans="1:9" x14ac:dyDescent="0.25">
      <c r="A4558" s="6">
        <v>44824</v>
      </c>
      <c r="B4558" t="s">
        <v>26</v>
      </c>
      <c r="C4558">
        <v>70559</v>
      </c>
      <c r="D4558" t="s">
        <v>52</v>
      </c>
      <c r="E4558" s="7">
        <v>101.25</v>
      </c>
      <c r="F4558" t="s">
        <v>20</v>
      </c>
      <c r="G4558" t="s">
        <v>21</v>
      </c>
      <c r="H4558" t="str">
        <f>"CA2202209208669"</f>
        <v>CA2202209208669</v>
      </c>
      <c r="I4558" t="str">
        <f>"L HERNANDEZ 001016025203080354"</f>
        <v>L HERNANDEZ 001016025203080354</v>
      </c>
    </row>
    <row r="4559" spans="1:9" x14ac:dyDescent="0.25">
      <c r="A4559" s="6">
        <v>44824</v>
      </c>
      <c r="B4559" t="s">
        <v>26</v>
      </c>
      <c r="C4559">
        <v>70559</v>
      </c>
      <c r="D4559" t="s">
        <v>52</v>
      </c>
      <c r="E4559" s="7">
        <v>101.25</v>
      </c>
      <c r="F4559" t="s">
        <v>20</v>
      </c>
      <c r="G4559" t="s">
        <v>21</v>
      </c>
      <c r="H4559" t="str">
        <f>"CA3202209208669"</f>
        <v>CA3202209208669</v>
      </c>
      <c r="I4559" t="str">
        <f>"00120788612011EM5023JOLENEGARC"</f>
        <v>00120788612011EM5023JOLENEGARC</v>
      </c>
    </row>
    <row r="4560" spans="1:9" x14ac:dyDescent="0.25">
      <c r="A4560" s="6">
        <v>44824</v>
      </c>
      <c r="B4560" t="s">
        <v>26</v>
      </c>
      <c r="C4560">
        <v>70559</v>
      </c>
      <c r="D4560" t="s">
        <v>52</v>
      </c>
      <c r="E4560" s="7">
        <v>306.45999999999998</v>
      </c>
      <c r="F4560" t="s">
        <v>20</v>
      </c>
      <c r="G4560" t="s">
        <v>21</v>
      </c>
      <c r="H4560" t="str">
        <f>"CPS202209208669"</f>
        <v>CPS202209208669</v>
      </c>
      <c r="I4560" t="str">
        <f>"G MENDOZA 00123012032010EM5054"</f>
        <v>G MENDOZA 00123012032010EM5054</v>
      </c>
    </row>
    <row r="4561" spans="1:9" x14ac:dyDescent="0.25">
      <c r="A4561" s="6">
        <v>44824</v>
      </c>
      <c r="B4561" t="s">
        <v>26</v>
      </c>
      <c r="C4561">
        <v>70559</v>
      </c>
      <c r="D4561" t="s">
        <v>52</v>
      </c>
      <c r="E4561" s="7">
        <v>101.25</v>
      </c>
      <c r="F4561" t="s">
        <v>20</v>
      </c>
      <c r="G4561" t="s">
        <v>21</v>
      </c>
      <c r="H4561" t="str">
        <f>"CSA202209208669"</f>
        <v>CSA202209208669</v>
      </c>
      <c r="I4561" t="str">
        <f>"S RODRIGUEZ 001281730413050336"</f>
        <v>S RODRIGUEZ 001281730413050336</v>
      </c>
    </row>
    <row r="4562" spans="1:9" x14ac:dyDescent="0.25">
      <c r="A4562" s="6">
        <v>44824</v>
      </c>
      <c r="B4562" t="s">
        <v>26</v>
      </c>
      <c r="C4562">
        <v>70559</v>
      </c>
      <c r="D4562" t="s">
        <v>52</v>
      </c>
      <c r="E4562" s="7">
        <v>521.54</v>
      </c>
      <c r="F4562" t="s">
        <v>20</v>
      </c>
      <c r="G4562" t="s">
        <v>21</v>
      </c>
      <c r="H4562" t="str">
        <f>"CSI202209208669"</f>
        <v>CSI202209208669</v>
      </c>
      <c r="I4562" t="str">
        <f>"KTRINIDAD0014071774CVW2000777"</f>
        <v>KTRINIDAD0014071774CVW2000777</v>
      </c>
    </row>
    <row r="4563" spans="1:9" x14ac:dyDescent="0.25">
      <c r="A4563" s="6">
        <v>44824</v>
      </c>
      <c r="B4563" t="s">
        <v>26</v>
      </c>
      <c r="C4563">
        <v>70561</v>
      </c>
      <c r="D4563" t="s">
        <v>54</v>
      </c>
      <c r="E4563" s="7">
        <v>803.43</v>
      </c>
      <c r="F4563" t="s">
        <v>20</v>
      </c>
      <c r="G4563" t="s">
        <v>21</v>
      </c>
      <c r="H4563" t="str">
        <f>"BRE202209208669"</f>
        <v>BRE202209208669</v>
      </c>
      <c r="I4563" t="str">
        <f>"CASE #180-60751 457B DEDUCT"</f>
        <v>CASE #180-60751 457B DEDUCT</v>
      </c>
    </row>
    <row r="4564" spans="1:9" x14ac:dyDescent="0.25">
      <c r="A4564" s="6">
        <v>44824</v>
      </c>
      <c r="B4564" t="s">
        <v>26</v>
      </c>
      <c r="C4564">
        <v>70562</v>
      </c>
      <c r="D4564" t="s">
        <v>1238</v>
      </c>
      <c r="E4564" s="7">
        <v>102</v>
      </c>
      <c r="F4564" t="s">
        <v>20</v>
      </c>
      <c r="G4564" t="s">
        <v>21</v>
      </c>
      <c r="H4564" t="str">
        <f>"09/17/2022"</f>
        <v>09/17/2022</v>
      </c>
      <c r="I4564" t="str">
        <f>"ANNABELLA N. CANTU"</f>
        <v>ANNABELLA N. CANTU</v>
      </c>
    </row>
    <row r="4565" spans="1:9" x14ac:dyDescent="0.25">
      <c r="A4565" s="6">
        <v>44824</v>
      </c>
      <c r="B4565" t="s">
        <v>26</v>
      </c>
      <c r="C4565">
        <v>70563</v>
      </c>
      <c r="D4565" t="s">
        <v>821</v>
      </c>
      <c r="E4565" s="7">
        <v>6066.79</v>
      </c>
      <c r="F4565" t="s">
        <v>20</v>
      </c>
      <c r="G4565" t="s">
        <v>21</v>
      </c>
      <c r="H4565" t="str">
        <f>"NS14577"</f>
        <v>NS14577</v>
      </c>
      <c r="I4565" t="str">
        <f>"BARMESA PUMP"</f>
        <v>BARMESA PUMP</v>
      </c>
    </row>
    <row r="4566" spans="1:9" x14ac:dyDescent="0.25">
      <c r="A4566" s="6">
        <v>44824</v>
      </c>
      <c r="B4566" t="s">
        <v>26</v>
      </c>
      <c r="C4566">
        <v>70564</v>
      </c>
      <c r="D4566" t="s">
        <v>115</v>
      </c>
      <c r="E4566" s="7">
        <v>32.29</v>
      </c>
      <c r="F4566" t="s">
        <v>20</v>
      </c>
      <c r="G4566" t="s">
        <v>21</v>
      </c>
      <c r="H4566" t="str">
        <f>"3547348388"</f>
        <v>3547348388</v>
      </c>
      <c r="I4566" t="str">
        <f>"WATER - METER TRUCK REPAI"</f>
        <v>WATER - METER TRUCK REPAI</v>
      </c>
    </row>
    <row r="4567" spans="1:9" x14ac:dyDescent="0.25">
      <c r="A4567" s="6">
        <v>44824</v>
      </c>
      <c r="B4567" t="s">
        <v>26</v>
      </c>
      <c r="C4567">
        <v>70565</v>
      </c>
      <c r="D4567" t="s">
        <v>118</v>
      </c>
      <c r="E4567" s="7">
        <v>822</v>
      </c>
      <c r="F4567" t="s">
        <v>20</v>
      </c>
      <c r="G4567" t="s">
        <v>21</v>
      </c>
      <c r="H4567" t="str">
        <f>"12995"</f>
        <v>12995</v>
      </c>
      <c r="I4567" t="str">
        <f>"BRYAN AIR CONDITIONING &amp; HEATI"</f>
        <v>BRYAN AIR CONDITIONING &amp; HEATI</v>
      </c>
    </row>
    <row r="4568" spans="1:9" x14ac:dyDescent="0.25">
      <c r="A4568" s="6">
        <v>44824</v>
      </c>
      <c r="B4568" t="s">
        <v>26</v>
      </c>
      <c r="C4568">
        <v>70566</v>
      </c>
      <c r="D4568" t="s">
        <v>1288</v>
      </c>
      <c r="E4568" s="7">
        <v>300</v>
      </c>
      <c r="F4568" t="s">
        <v>20</v>
      </c>
      <c r="G4568" t="s">
        <v>21</v>
      </c>
      <c r="H4568" t="str">
        <f>"SPONSORSHIP 9/22"</f>
        <v>SPONSORSHIP 9/22</v>
      </c>
      <c r="I4568" t="str">
        <f>"SPONSER FOR EVENT"</f>
        <v>SPONSER FOR EVENT</v>
      </c>
    </row>
    <row r="4569" spans="1:9" x14ac:dyDescent="0.25">
      <c r="A4569" s="6">
        <v>44824</v>
      </c>
      <c r="B4569" t="s">
        <v>26</v>
      </c>
      <c r="C4569">
        <v>70567</v>
      </c>
      <c r="D4569" t="s">
        <v>71</v>
      </c>
      <c r="E4569" s="7">
        <v>521.39</v>
      </c>
      <c r="F4569" t="s">
        <v>20</v>
      </c>
      <c r="G4569" t="s">
        <v>21</v>
      </c>
      <c r="H4569" t="str">
        <f>"4131079045"</f>
        <v>4131079045</v>
      </c>
      <c r="I4569" t="str">
        <f>"CINTAS CORPORATION #087"</f>
        <v>CINTAS CORPORATION #087</v>
      </c>
    </row>
    <row r="4570" spans="1:9" x14ac:dyDescent="0.25">
      <c r="A4570" s="6">
        <v>44824</v>
      </c>
      <c r="B4570" t="s">
        <v>26</v>
      </c>
      <c r="C4570">
        <v>70568</v>
      </c>
      <c r="D4570" t="s">
        <v>1289</v>
      </c>
      <c r="E4570" s="7">
        <v>90</v>
      </c>
      <c r="F4570" t="s">
        <v>20</v>
      </c>
      <c r="G4570" t="s">
        <v>21</v>
      </c>
      <c r="H4570" t="str">
        <f>"FALL MEETING 9/23"</f>
        <v>FALL MEETING 9/23</v>
      </c>
      <c r="I4570" t="str">
        <f>"CITY OF FREDERICKSBURG"</f>
        <v>CITY OF FREDERICKSBURG</v>
      </c>
    </row>
    <row r="4571" spans="1:9" x14ac:dyDescent="0.25">
      <c r="A4571" s="6">
        <v>44824</v>
      </c>
      <c r="B4571" t="s">
        <v>26</v>
      </c>
      <c r="C4571">
        <v>70569</v>
      </c>
      <c r="D4571" t="s">
        <v>647</v>
      </c>
      <c r="E4571" s="7">
        <v>3500.01</v>
      </c>
      <c r="F4571" t="s">
        <v>20</v>
      </c>
      <c r="G4571" t="s">
        <v>21</v>
      </c>
      <c r="H4571" t="str">
        <f>"32385043"</f>
        <v>32385043</v>
      </c>
      <c r="I4571" t="str">
        <f>"DOCUMATION  INC."</f>
        <v>DOCUMATION  INC.</v>
      </c>
    </row>
    <row r="4572" spans="1:9" x14ac:dyDescent="0.25">
      <c r="A4572" s="6">
        <v>44824</v>
      </c>
      <c r="B4572" t="s">
        <v>26</v>
      </c>
      <c r="C4572">
        <v>70571</v>
      </c>
      <c r="D4572" t="s">
        <v>69</v>
      </c>
      <c r="E4572" s="7">
        <v>69.41</v>
      </c>
      <c r="F4572" t="s">
        <v>20</v>
      </c>
      <c r="G4572" t="s">
        <v>21</v>
      </c>
      <c r="H4572" t="str">
        <f>"3C20763"</f>
        <v>3C20763</v>
      </c>
      <c r="I4572" t="str">
        <f>"BEARINGS OLD SHREDDER"</f>
        <v>BEARINGS OLD SHREDDER</v>
      </c>
    </row>
    <row r="4573" spans="1:9" x14ac:dyDescent="0.25">
      <c r="A4573" s="6">
        <v>44824</v>
      </c>
      <c r="B4573" t="s">
        <v>26</v>
      </c>
      <c r="C4573">
        <v>70572</v>
      </c>
      <c r="D4573" t="s">
        <v>103</v>
      </c>
      <c r="E4573" s="7">
        <v>94633.81</v>
      </c>
      <c r="F4573" t="s">
        <v>20</v>
      </c>
      <c r="G4573" t="s">
        <v>21</v>
      </c>
      <c r="H4573" t="str">
        <f>"SALES TAX SEPT.'22"</f>
        <v>SALES TAX SEPT.'22</v>
      </c>
      <c r="I4573" t="str">
        <f>"F. E. D. C."</f>
        <v>F. E. D. C.</v>
      </c>
    </row>
    <row r="4574" spans="1:9" x14ac:dyDescent="0.25">
      <c r="A4574" s="6">
        <v>44824</v>
      </c>
      <c r="B4574" t="s">
        <v>26</v>
      </c>
      <c r="C4574">
        <v>70573</v>
      </c>
      <c r="D4574" t="s">
        <v>59</v>
      </c>
      <c r="E4574" s="7">
        <v>15</v>
      </c>
      <c r="F4574" t="s">
        <v>20</v>
      </c>
      <c r="G4574" t="s">
        <v>21</v>
      </c>
      <c r="H4574" t="str">
        <f>"1192613-2"</f>
        <v>1192613-2</v>
      </c>
      <c r="I4574" t="str">
        <f>"FERGUSON WATERWORKS - MUNICIPA"</f>
        <v>FERGUSON WATERWORKS - MUNICIPA</v>
      </c>
    </row>
    <row r="4575" spans="1:9" x14ac:dyDescent="0.25">
      <c r="A4575" s="6">
        <v>44824</v>
      </c>
      <c r="B4575" t="s">
        <v>26</v>
      </c>
      <c r="C4575">
        <v>70573</v>
      </c>
      <c r="D4575" t="s">
        <v>59</v>
      </c>
      <c r="E4575" s="7">
        <v>3403.45</v>
      </c>
      <c r="F4575" t="s">
        <v>20</v>
      </c>
      <c r="G4575" t="s">
        <v>21</v>
      </c>
      <c r="H4575" t="str">
        <f>"1196336"</f>
        <v>1196336</v>
      </c>
      <c r="I4575" t="str">
        <f>"FERGUSON WATERWORKS - MUNICIPA"</f>
        <v>FERGUSON WATERWORKS - MUNICIPA</v>
      </c>
    </row>
    <row r="4576" spans="1:9" x14ac:dyDescent="0.25">
      <c r="A4576" s="6">
        <v>44824</v>
      </c>
      <c r="B4576" t="s">
        <v>26</v>
      </c>
      <c r="C4576">
        <v>70573</v>
      </c>
      <c r="D4576" t="s">
        <v>59</v>
      </c>
      <c r="E4576" s="7">
        <v>1418.09</v>
      </c>
      <c r="F4576" t="s">
        <v>20</v>
      </c>
      <c r="G4576" t="s">
        <v>21</v>
      </c>
      <c r="H4576" t="str">
        <f>"1196337"</f>
        <v>1196337</v>
      </c>
      <c r="I4576" t="str">
        <f>"FERGUSON WATERWORKS - MUNICIPA"</f>
        <v>FERGUSON WATERWORKS - MUNICIPA</v>
      </c>
    </row>
    <row r="4577" spans="1:9" x14ac:dyDescent="0.25">
      <c r="A4577" s="6">
        <v>44824</v>
      </c>
      <c r="B4577" t="s">
        <v>26</v>
      </c>
      <c r="C4577">
        <v>70573</v>
      </c>
      <c r="D4577" t="s">
        <v>59</v>
      </c>
      <c r="E4577" s="7">
        <v>292</v>
      </c>
      <c r="F4577" t="s">
        <v>20</v>
      </c>
      <c r="G4577" t="s">
        <v>21</v>
      </c>
      <c r="H4577" t="str">
        <f>"1196344"</f>
        <v>1196344</v>
      </c>
      <c r="I4577" t="str">
        <f>"FERGUSON WATERWORKS - MUNICIPA"</f>
        <v>FERGUSON WATERWORKS - MUNICIPA</v>
      </c>
    </row>
    <row r="4578" spans="1:9" x14ac:dyDescent="0.25">
      <c r="A4578" s="6">
        <v>44824</v>
      </c>
      <c r="B4578" t="s">
        <v>26</v>
      </c>
      <c r="C4578">
        <v>70574</v>
      </c>
      <c r="D4578" t="s">
        <v>609</v>
      </c>
      <c r="E4578" s="7">
        <v>781.37</v>
      </c>
      <c r="F4578" t="s">
        <v>20</v>
      </c>
      <c r="G4578" t="s">
        <v>21</v>
      </c>
      <c r="H4578" t="str">
        <f>"32653261"</f>
        <v>32653261</v>
      </c>
      <c r="I4578" t="str">
        <f>"OIL FOR SHOP"</f>
        <v>OIL FOR SHOP</v>
      </c>
    </row>
    <row r="4579" spans="1:9" x14ac:dyDescent="0.25">
      <c r="A4579" s="6">
        <v>44824</v>
      </c>
      <c r="B4579" t="s">
        <v>26</v>
      </c>
      <c r="C4579">
        <v>70575</v>
      </c>
      <c r="D4579" t="s">
        <v>1290</v>
      </c>
      <c r="E4579" s="7">
        <v>102</v>
      </c>
      <c r="F4579" t="s">
        <v>20</v>
      </c>
      <c r="G4579" t="s">
        <v>21</v>
      </c>
      <c r="H4579" t="str">
        <f>"9/17/2022"</f>
        <v>9/17/2022</v>
      </c>
      <c r="I4579" t="str">
        <f>"JANELLA MENDEZ"</f>
        <v>JANELLA MENDEZ</v>
      </c>
    </row>
    <row r="4580" spans="1:9" x14ac:dyDescent="0.25">
      <c r="A4580" s="6">
        <v>44824</v>
      </c>
      <c r="B4580" t="s">
        <v>26</v>
      </c>
      <c r="C4580">
        <v>70576</v>
      </c>
      <c r="D4580" t="s">
        <v>646</v>
      </c>
      <c r="E4580" s="7">
        <v>9830</v>
      </c>
      <c r="F4580" t="s">
        <v>20</v>
      </c>
      <c r="G4580" t="s">
        <v>21</v>
      </c>
      <c r="H4580" t="str">
        <f>"0121829"</f>
        <v>0121829</v>
      </c>
      <c r="I4580" t="str">
        <f>"METAL CARPORT WWTP"</f>
        <v>METAL CARPORT WWTP</v>
      </c>
    </row>
    <row r="4581" spans="1:9" x14ac:dyDescent="0.25">
      <c r="A4581" s="6">
        <v>44824</v>
      </c>
      <c r="B4581" t="s">
        <v>91</v>
      </c>
      <c r="C4581">
        <v>70577</v>
      </c>
      <c r="D4581" t="s">
        <v>328</v>
      </c>
      <c r="E4581" s="7">
        <v>1375</v>
      </c>
      <c r="F4581" t="s">
        <v>20</v>
      </c>
      <c r="G4581" t="s">
        <v>21</v>
      </c>
      <c r="H4581" t="str">
        <f>"7022411"</f>
        <v>7022411</v>
      </c>
      <c r="I4581" t="str">
        <f>"KOLOGIK"</f>
        <v>KOLOGIK</v>
      </c>
    </row>
    <row r="4582" spans="1:9" x14ac:dyDescent="0.25">
      <c r="A4582" s="6">
        <v>44824</v>
      </c>
      <c r="B4582" t="s">
        <v>91</v>
      </c>
      <c r="C4582">
        <v>70577</v>
      </c>
      <c r="D4582" t="s">
        <v>328</v>
      </c>
      <c r="E4582" s="7">
        <v>1375</v>
      </c>
      <c r="F4582" t="s">
        <v>20</v>
      </c>
      <c r="G4582" t="s">
        <v>93</v>
      </c>
      <c r="H4582" t="str">
        <f>"CHECK"</f>
        <v>CHECK</v>
      </c>
      <c r="I4582" t="str">
        <f>""</f>
        <v/>
      </c>
    </row>
    <row r="4583" spans="1:9" x14ac:dyDescent="0.25">
      <c r="A4583" s="6">
        <v>44824</v>
      </c>
      <c r="B4583" t="s">
        <v>26</v>
      </c>
      <c r="C4583">
        <v>70578</v>
      </c>
      <c r="D4583" t="s">
        <v>1148</v>
      </c>
      <c r="E4583" s="7">
        <v>54992.56</v>
      </c>
      <c r="F4583" t="s">
        <v>20</v>
      </c>
      <c r="G4583" t="s">
        <v>21</v>
      </c>
      <c r="H4583" t="str">
        <f>"80721-9-2022"</f>
        <v>80721-9-2022</v>
      </c>
      <c r="I4583" t="str">
        <f>"KS STATEBANK GOVERNMENT FINANC"</f>
        <v>KS STATEBANK GOVERNMENT FINANC</v>
      </c>
    </row>
    <row r="4584" spans="1:9" x14ac:dyDescent="0.25">
      <c r="A4584" s="6">
        <v>44824</v>
      </c>
      <c r="B4584" t="s">
        <v>26</v>
      </c>
      <c r="C4584">
        <v>70579</v>
      </c>
      <c r="D4584" t="s">
        <v>1280</v>
      </c>
      <c r="E4584" s="7">
        <v>850</v>
      </c>
      <c r="F4584" t="s">
        <v>20</v>
      </c>
      <c r="G4584" t="s">
        <v>21</v>
      </c>
      <c r="H4584" t="str">
        <f>"REFUND REISSUE"</f>
        <v>REFUND REISSUE</v>
      </c>
      <c r="I4584" t="str">
        <f>"REFUND"</f>
        <v>REFUND</v>
      </c>
    </row>
    <row r="4585" spans="1:9" x14ac:dyDescent="0.25">
      <c r="A4585" s="6">
        <v>44824</v>
      </c>
      <c r="B4585" t="s">
        <v>26</v>
      </c>
      <c r="C4585">
        <v>70580</v>
      </c>
      <c r="D4585" t="s">
        <v>1178</v>
      </c>
      <c r="E4585" s="7">
        <v>114</v>
      </c>
      <c r="F4585" t="s">
        <v>20</v>
      </c>
      <c r="G4585" t="s">
        <v>21</v>
      </c>
      <c r="H4585" t="str">
        <f>"09/17/2022"</f>
        <v>09/17/2022</v>
      </c>
      <c r="I4585" t="str">
        <f>"MARY D. GARCIA"</f>
        <v>MARY D. GARCIA</v>
      </c>
    </row>
    <row r="4586" spans="1:9" x14ac:dyDescent="0.25">
      <c r="A4586" s="6">
        <v>44824</v>
      </c>
      <c r="B4586" t="s">
        <v>26</v>
      </c>
      <c r="C4586">
        <v>70581</v>
      </c>
      <c r="D4586" t="s">
        <v>1291</v>
      </c>
      <c r="E4586" s="7">
        <v>114</v>
      </c>
      <c r="F4586" t="s">
        <v>20</v>
      </c>
      <c r="G4586" t="s">
        <v>21</v>
      </c>
      <c r="H4586" t="str">
        <f>"9/17/2022"</f>
        <v>9/17/2022</v>
      </c>
      <c r="I4586" t="str">
        <f>"PATRICIA MARTINEZ"</f>
        <v>PATRICIA MARTINEZ</v>
      </c>
    </row>
    <row r="4587" spans="1:9" x14ac:dyDescent="0.25">
      <c r="A4587" s="6">
        <v>44824</v>
      </c>
      <c r="B4587" t="s">
        <v>26</v>
      </c>
      <c r="C4587">
        <v>70582</v>
      </c>
      <c r="D4587" t="s">
        <v>1081</v>
      </c>
      <c r="E4587" s="7">
        <v>858</v>
      </c>
      <c r="F4587" t="s">
        <v>20</v>
      </c>
      <c r="G4587" t="s">
        <v>21</v>
      </c>
      <c r="H4587" t="str">
        <f>"43709"</f>
        <v>43709</v>
      </c>
      <c r="I4587" t="str">
        <f>"PINNACLE PEST DEFENSE"</f>
        <v>PINNACLE PEST DEFENSE</v>
      </c>
    </row>
    <row r="4588" spans="1:9" x14ac:dyDescent="0.25">
      <c r="A4588" s="6">
        <v>44824</v>
      </c>
      <c r="B4588" t="s">
        <v>26</v>
      </c>
      <c r="C4588">
        <v>70583</v>
      </c>
      <c r="D4588" t="s">
        <v>323</v>
      </c>
      <c r="E4588" s="7">
        <v>650</v>
      </c>
      <c r="F4588" t="s">
        <v>20</v>
      </c>
      <c r="G4588" t="s">
        <v>21</v>
      </c>
      <c r="H4588" t="str">
        <f>"12355"</f>
        <v>12355</v>
      </c>
      <c r="I4588" t="str">
        <f>"POLLOK SELF STORAGE LLC"</f>
        <v>POLLOK SELF STORAGE LLC</v>
      </c>
    </row>
    <row r="4589" spans="1:9" x14ac:dyDescent="0.25">
      <c r="A4589" s="6">
        <v>44824</v>
      </c>
      <c r="B4589" t="s">
        <v>26</v>
      </c>
      <c r="C4589">
        <v>70584</v>
      </c>
      <c r="D4589" t="s">
        <v>184</v>
      </c>
      <c r="E4589" s="7">
        <v>280</v>
      </c>
      <c r="F4589" t="s">
        <v>20</v>
      </c>
      <c r="G4589" t="s">
        <v>21</v>
      </c>
      <c r="H4589" t="str">
        <f>"1068-665"</f>
        <v>1068-665</v>
      </c>
      <c r="I4589" t="str">
        <f>"POLLUTION CONTROL SERVICES"</f>
        <v>POLLUTION CONTROL SERVICES</v>
      </c>
    </row>
    <row r="4590" spans="1:9" x14ac:dyDescent="0.25">
      <c r="A4590" s="6">
        <v>44824</v>
      </c>
      <c r="B4590" t="s">
        <v>26</v>
      </c>
      <c r="C4590">
        <v>70584</v>
      </c>
      <c r="D4590" t="s">
        <v>184</v>
      </c>
      <c r="E4590" s="7">
        <v>1004</v>
      </c>
      <c r="F4590" t="s">
        <v>20</v>
      </c>
      <c r="G4590" t="s">
        <v>21</v>
      </c>
      <c r="H4590" t="str">
        <f>"1068-666"</f>
        <v>1068-666</v>
      </c>
      <c r="I4590" t="str">
        <f>"POLLUTION CONTROL SERVICES"</f>
        <v>POLLUTION CONTROL SERVICES</v>
      </c>
    </row>
    <row r="4591" spans="1:9" x14ac:dyDescent="0.25">
      <c r="A4591" s="6">
        <v>44824</v>
      </c>
      <c r="B4591" t="s">
        <v>26</v>
      </c>
      <c r="C4591">
        <v>70585</v>
      </c>
      <c r="D4591" t="s">
        <v>62</v>
      </c>
      <c r="E4591" s="7">
        <v>233.75</v>
      </c>
      <c r="F4591" t="s">
        <v>20</v>
      </c>
      <c r="G4591" t="s">
        <v>21</v>
      </c>
      <c r="H4591" t="str">
        <f>"PBS1504"</f>
        <v>PBS1504</v>
      </c>
      <c r="I4591" t="str">
        <f>"PROFICIENT BENEFIT SOLUTIONS"</f>
        <v>PROFICIENT BENEFIT SOLUTIONS</v>
      </c>
    </row>
    <row r="4592" spans="1:9" x14ac:dyDescent="0.25">
      <c r="A4592" s="6">
        <v>44824</v>
      </c>
      <c r="B4592" t="s">
        <v>26</v>
      </c>
      <c r="C4592">
        <v>70586</v>
      </c>
      <c r="D4592" t="s">
        <v>1204</v>
      </c>
      <c r="E4592" s="7">
        <v>114</v>
      </c>
      <c r="F4592" t="s">
        <v>20</v>
      </c>
      <c r="G4592" t="s">
        <v>21</v>
      </c>
      <c r="H4592" t="str">
        <f>"09/17/2022"</f>
        <v>09/17/2022</v>
      </c>
      <c r="I4592" t="str">
        <f>"REBECCA VALDEZ"</f>
        <v>REBECCA VALDEZ</v>
      </c>
    </row>
    <row r="4593" spans="1:9" x14ac:dyDescent="0.25">
      <c r="A4593" s="6">
        <v>44824</v>
      </c>
      <c r="B4593" t="s">
        <v>26</v>
      </c>
      <c r="C4593">
        <v>70587</v>
      </c>
      <c r="D4593" t="s">
        <v>1179</v>
      </c>
      <c r="E4593" s="7">
        <v>138</v>
      </c>
      <c r="F4593" t="s">
        <v>20</v>
      </c>
      <c r="G4593" t="s">
        <v>21</v>
      </c>
      <c r="H4593" t="str">
        <f>"9/17/2022"</f>
        <v>9/17/2022</v>
      </c>
      <c r="I4593" t="str">
        <f>"SALOME MARTINEZ ESPARZA"</f>
        <v>SALOME MARTINEZ ESPARZA</v>
      </c>
    </row>
    <row r="4594" spans="1:9" x14ac:dyDescent="0.25">
      <c r="A4594" s="6">
        <v>44824</v>
      </c>
      <c r="B4594" t="s">
        <v>26</v>
      </c>
      <c r="C4594">
        <v>70588</v>
      </c>
      <c r="D4594" t="s">
        <v>1133</v>
      </c>
      <c r="E4594" s="7">
        <v>2308</v>
      </c>
      <c r="F4594" t="s">
        <v>20</v>
      </c>
      <c r="G4594" t="s">
        <v>21</v>
      </c>
      <c r="H4594" t="str">
        <f>"78337060  REISSUE"</f>
        <v>78337060  REISSUE</v>
      </c>
      <c r="I4594" t="str">
        <f>"Shafer- Anderson Holdings  LLC"</f>
        <v>Shafer- Anderson Holdings  LLC</v>
      </c>
    </row>
    <row r="4595" spans="1:9" x14ac:dyDescent="0.25">
      <c r="A4595" s="6">
        <v>44824</v>
      </c>
      <c r="B4595" t="s">
        <v>26</v>
      </c>
      <c r="C4595">
        <v>70589</v>
      </c>
      <c r="D4595" t="s">
        <v>132</v>
      </c>
      <c r="E4595" s="7">
        <v>155.72</v>
      </c>
      <c r="F4595" t="s">
        <v>20</v>
      </c>
      <c r="G4595" t="s">
        <v>21</v>
      </c>
      <c r="H4595" t="str">
        <f>"16992887 090822"</f>
        <v>16992887 090822</v>
      </c>
      <c r="I4595" t="str">
        <f>"SPARKLETTS &amp; SIERRA SPRINGS"</f>
        <v>SPARKLETTS &amp; SIERRA SPRINGS</v>
      </c>
    </row>
    <row r="4596" spans="1:9" x14ac:dyDescent="0.25">
      <c r="A4596" s="6">
        <v>44824</v>
      </c>
      <c r="B4596" t="s">
        <v>26</v>
      </c>
      <c r="C4596">
        <v>70590</v>
      </c>
      <c r="D4596" t="s">
        <v>122</v>
      </c>
      <c r="E4596" s="7">
        <v>10</v>
      </c>
      <c r="F4596" t="s">
        <v>20</v>
      </c>
      <c r="G4596" t="s">
        <v>21</v>
      </c>
      <c r="H4596" t="str">
        <f>"902027"</f>
        <v>902027</v>
      </c>
      <c r="I4596" t="str">
        <f>"VILLA TIRES"</f>
        <v>VILLA TIRES</v>
      </c>
    </row>
    <row r="4597" spans="1:9" x14ac:dyDescent="0.25">
      <c r="A4597" s="6">
        <v>44824</v>
      </c>
      <c r="B4597" t="s">
        <v>26</v>
      </c>
      <c r="C4597">
        <v>70590</v>
      </c>
      <c r="D4597" t="s">
        <v>122</v>
      </c>
      <c r="E4597" s="7">
        <v>10</v>
      </c>
      <c r="F4597" t="s">
        <v>20</v>
      </c>
      <c r="G4597" t="s">
        <v>21</v>
      </c>
      <c r="H4597" t="str">
        <f>"902030"</f>
        <v>902030</v>
      </c>
      <c r="I4597" t="str">
        <f>"VILLA TIRES"</f>
        <v>VILLA TIRES</v>
      </c>
    </row>
    <row r="4598" spans="1:9" x14ac:dyDescent="0.25">
      <c r="A4598" s="6">
        <v>44824</v>
      </c>
      <c r="B4598" t="s">
        <v>26</v>
      </c>
      <c r="C4598">
        <v>70590</v>
      </c>
      <c r="D4598" t="s">
        <v>122</v>
      </c>
      <c r="E4598" s="7">
        <v>15</v>
      </c>
      <c r="F4598" t="s">
        <v>20</v>
      </c>
      <c r="G4598" t="s">
        <v>21</v>
      </c>
      <c r="H4598" t="str">
        <f>"902034"</f>
        <v>902034</v>
      </c>
      <c r="I4598" t="str">
        <f>"VILLA TIRES"</f>
        <v>VILLA TIRES</v>
      </c>
    </row>
    <row r="4599" spans="1:9" x14ac:dyDescent="0.25">
      <c r="A4599" s="6">
        <v>44824</v>
      </c>
      <c r="B4599" t="s">
        <v>26</v>
      </c>
      <c r="C4599">
        <v>70591</v>
      </c>
      <c r="D4599" t="s">
        <v>1292</v>
      </c>
      <c r="E4599" s="7">
        <v>50</v>
      </c>
      <c r="F4599" t="s">
        <v>20</v>
      </c>
      <c r="G4599" t="s">
        <v>21</v>
      </c>
      <c r="H4599" t="str">
        <f>"DEP RNFND SM 8/27"</f>
        <v>DEP RNFND SM 8/27</v>
      </c>
      <c r="I4599" t="str">
        <f>"REFUND"</f>
        <v>REFUND</v>
      </c>
    </row>
    <row r="4600" spans="1:9" x14ac:dyDescent="0.25">
      <c r="A4600" s="6">
        <v>44824</v>
      </c>
      <c r="B4600" t="s">
        <v>91</v>
      </c>
      <c r="C4600">
        <v>70592</v>
      </c>
      <c r="D4600" t="s">
        <v>816</v>
      </c>
      <c r="E4600" s="7">
        <v>1425</v>
      </c>
      <c r="F4600" t="s">
        <v>20</v>
      </c>
      <c r="G4600" t="s">
        <v>21</v>
      </c>
      <c r="H4600" t="str">
        <f>"8/21-9/17/2022"</f>
        <v>8/21-9/17/2022</v>
      </c>
      <c r="I4600" t="str">
        <f>"MEGAN K ANDERSON"</f>
        <v>MEGAN K ANDERSON</v>
      </c>
    </row>
    <row r="4601" spans="1:9" x14ac:dyDescent="0.25">
      <c r="A4601" s="6">
        <v>44824</v>
      </c>
      <c r="B4601" t="s">
        <v>91</v>
      </c>
      <c r="C4601">
        <v>70592</v>
      </c>
      <c r="D4601" t="s">
        <v>816</v>
      </c>
      <c r="E4601" s="7">
        <v>1425</v>
      </c>
      <c r="F4601" t="s">
        <v>20</v>
      </c>
      <c r="G4601" t="s">
        <v>93</v>
      </c>
      <c r="H4601" t="str">
        <f>"CHECK"</f>
        <v>CHECK</v>
      </c>
      <c r="I4601" t="str">
        <f>""</f>
        <v/>
      </c>
    </row>
    <row r="4602" spans="1:9" x14ac:dyDescent="0.25">
      <c r="A4602" s="6">
        <v>44824</v>
      </c>
      <c r="B4602" t="s">
        <v>26</v>
      </c>
      <c r="C4602">
        <v>70593</v>
      </c>
      <c r="D4602" t="s">
        <v>1293</v>
      </c>
      <c r="E4602" s="7">
        <v>50</v>
      </c>
      <c r="F4602" t="s">
        <v>20</v>
      </c>
      <c r="G4602" t="s">
        <v>21</v>
      </c>
      <c r="H4602" t="str">
        <f>"DEP RFND SM 9/3/22"</f>
        <v>DEP RFND SM 9/3/22</v>
      </c>
      <c r="I4602" t="str">
        <f>"REFUND"</f>
        <v>REFUND</v>
      </c>
    </row>
    <row r="4603" spans="1:9" x14ac:dyDescent="0.25">
      <c r="A4603" s="6">
        <v>44824</v>
      </c>
      <c r="B4603" t="s">
        <v>26</v>
      </c>
      <c r="C4603">
        <v>70594</v>
      </c>
      <c r="D4603" t="s">
        <v>1273</v>
      </c>
      <c r="E4603" s="7">
        <v>1425</v>
      </c>
      <c r="F4603" t="s">
        <v>20</v>
      </c>
      <c r="G4603" t="s">
        <v>21</v>
      </c>
      <c r="H4603" t="str">
        <f>"8/21-9/17/2022"</f>
        <v>8/21-9/17/2022</v>
      </c>
      <c r="I4603" t="str">
        <f>"MEGAN D GARCIA"</f>
        <v>MEGAN D GARCIA</v>
      </c>
    </row>
    <row r="4604" spans="1:9" x14ac:dyDescent="0.25">
      <c r="A4604" s="6">
        <v>44824</v>
      </c>
      <c r="B4604" t="s">
        <v>26</v>
      </c>
      <c r="C4604">
        <v>70595</v>
      </c>
      <c r="D4604" t="s">
        <v>305</v>
      </c>
      <c r="E4604" s="7">
        <v>16400</v>
      </c>
      <c r="F4604" t="s">
        <v>20</v>
      </c>
      <c r="G4604" t="s">
        <v>21</v>
      </c>
      <c r="H4604" t="str">
        <f>"6346"</f>
        <v>6346</v>
      </c>
      <c r="I4604" t="str">
        <f>"PLAZAWELL-UPGRADE"</f>
        <v>PLAZAWELL-UPGRADE</v>
      </c>
    </row>
    <row r="4605" spans="1:9" x14ac:dyDescent="0.25">
      <c r="A4605" s="6">
        <v>44824</v>
      </c>
      <c r="B4605" t="s">
        <v>26</v>
      </c>
      <c r="C4605">
        <v>70595</v>
      </c>
      <c r="D4605" t="s">
        <v>305</v>
      </c>
      <c r="E4605" s="7">
        <v>16400</v>
      </c>
      <c r="F4605" t="s">
        <v>20</v>
      </c>
      <c r="G4605" t="s">
        <v>21</v>
      </c>
      <c r="H4605" t="str">
        <f>"6347"</f>
        <v>6347</v>
      </c>
      <c r="I4605" t="str">
        <f>"HOSPITAL UPGRADE"</f>
        <v>HOSPITAL UPGRADE</v>
      </c>
    </row>
    <row r="4606" spans="1:9" x14ac:dyDescent="0.25">
      <c r="A4606" s="6">
        <v>44824</v>
      </c>
      <c r="B4606" t="s">
        <v>26</v>
      </c>
      <c r="C4606">
        <v>70596</v>
      </c>
      <c r="D4606" t="s">
        <v>1136</v>
      </c>
      <c r="E4606" s="7">
        <v>950</v>
      </c>
      <c r="F4606" t="s">
        <v>20</v>
      </c>
      <c r="G4606" t="s">
        <v>21</v>
      </c>
      <c r="H4606" t="str">
        <f>"EST 0070"</f>
        <v>EST 0070</v>
      </c>
      <c r="I4606" t="str">
        <f>"B STREET WATERWELL"</f>
        <v>B STREET WATERWELL</v>
      </c>
    </row>
    <row r="4607" spans="1:9" x14ac:dyDescent="0.25">
      <c r="A4607" s="6">
        <v>44825</v>
      </c>
      <c r="B4607" t="s">
        <v>26</v>
      </c>
      <c r="C4607">
        <v>70597</v>
      </c>
      <c r="D4607" t="s">
        <v>1294</v>
      </c>
      <c r="E4607" s="7">
        <v>50</v>
      </c>
      <c r="F4607" t="s">
        <v>20</v>
      </c>
      <c r="G4607" t="s">
        <v>21</v>
      </c>
      <c r="H4607" t="str">
        <f>"DEP. RFND 05/5/22"</f>
        <v>DEP. RFND 05/5/22</v>
      </c>
      <c r="I4607" t="str">
        <f>"REFUND"</f>
        <v>REFUND</v>
      </c>
    </row>
    <row r="4608" spans="1:9" x14ac:dyDescent="0.25">
      <c r="A4608" s="6">
        <v>44825</v>
      </c>
      <c r="B4608" t="s">
        <v>26</v>
      </c>
      <c r="C4608">
        <v>70598</v>
      </c>
      <c r="D4608" t="s">
        <v>77</v>
      </c>
      <c r="E4608" s="7">
        <v>30</v>
      </c>
      <c r="F4608" t="s">
        <v>20</v>
      </c>
      <c r="G4608" t="s">
        <v>21</v>
      </c>
      <c r="H4608" t="str">
        <f>"DE85001723-22"</f>
        <v>DE85001723-22</v>
      </c>
      <c r="I4608" t="str">
        <f>"DPC INDUSTRIES  INC."</f>
        <v>DPC INDUSTRIES  INC.</v>
      </c>
    </row>
    <row r="4609" spans="1:9" x14ac:dyDescent="0.25">
      <c r="A4609" s="6">
        <v>44825</v>
      </c>
      <c r="B4609" t="s">
        <v>26</v>
      </c>
      <c r="C4609">
        <v>70598</v>
      </c>
      <c r="D4609" t="s">
        <v>77</v>
      </c>
      <c r="E4609" s="7">
        <v>200</v>
      </c>
      <c r="F4609" t="s">
        <v>20</v>
      </c>
      <c r="G4609" t="s">
        <v>21</v>
      </c>
      <c r="H4609" t="str">
        <f>"DE85001909-22"</f>
        <v>DE85001909-22</v>
      </c>
      <c r="I4609" t="str">
        <f>"DPC INDUSTRIES  INC."</f>
        <v>DPC INDUSTRIES  INC.</v>
      </c>
    </row>
    <row r="4610" spans="1:9" x14ac:dyDescent="0.25">
      <c r="A4610" s="6">
        <v>44825</v>
      </c>
      <c r="B4610" t="s">
        <v>26</v>
      </c>
      <c r="C4610">
        <v>70599</v>
      </c>
      <c r="D4610" t="s">
        <v>345</v>
      </c>
      <c r="E4610" s="7">
        <v>352</v>
      </c>
      <c r="F4610" t="s">
        <v>20</v>
      </c>
      <c r="G4610" t="s">
        <v>21</v>
      </c>
      <c r="H4610" t="str">
        <f>"9/19/2022"</f>
        <v>9/19/2022</v>
      </c>
      <c r="I4610" t="str">
        <f>"MICHAEL ISAAC MARTINEZ"</f>
        <v>MICHAEL ISAAC MARTINEZ</v>
      </c>
    </row>
    <row r="4611" spans="1:9" x14ac:dyDescent="0.25">
      <c r="A4611" s="6">
        <v>44825</v>
      </c>
      <c r="B4611" t="s">
        <v>26</v>
      </c>
      <c r="C4611">
        <v>70600</v>
      </c>
      <c r="D4611" t="s">
        <v>1295</v>
      </c>
      <c r="E4611" s="7">
        <v>50</v>
      </c>
      <c r="F4611" t="s">
        <v>20</v>
      </c>
      <c r="G4611" t="s">
        <v>21</v>
      </c>
      <c r="H4611" t="str">
        <f>"DEP. RFND 10/8/21"</f>
        <v>DEP. RFND 10/8/21</v>
      </c>
      <c r="I4611" t="str">
        <f>"REFUND"</f>
        <v>REFUND</v>
      </c>
    </row>
    <row r="4612" spans="1:9" x14ac:dyDescent="0.25">
      <c r="A4612" s="6">
        <v>44825</v>
      </c>
      <c r="B4612" t="s">
        <v>26</v>
      </c>
      <c r="C4612">
        <v>70601</v>
      </c>
      <c r="D4612" t="s">
        <v>1296</v>
      </c>
      <c r="E4612" s="7">
        <v>50</v>
      </c>
      <c r="F4612" t="s">
        <v>20</v>
      </c>
      <c r="G4612" t="s">
        <v>21</v>
      </c>
      <c r="H4612" t="str">
        <f>"DEP. RFND 4/10/21"</f>
        <v>DEP. RFND 4/10/21</v>
      </c>
      <c r="I4612" t="str">
        <f>"REFUND"</f>
        <v>REFUND</v>
      </c>
    </row>
    <row r="4613" spans="1:9" x14ac:dyDescent="0.25">
      <c r="A4613" s="6">
        <v>44825</v>
      </c>
      <c r="B4613" t="s">
        <v>26</v>
      </c>
      <c r="C4613">
        <v>70602</v>
      </c>
      <c r="D4613" t="s">
        <v>1297</v>
      </c>
      <c r="E4613" s="7">
        <v>50</v>
      </c>
      <c r="F4613" t="s">
        <v>20</v>
      </c>
      <c r="G4613" t="s">
        <v>21</v>
      </c>
      <c r="H4613" t="str">
        <f>"DEP. RFND 5/16-17"</f>
        <v>DEP. RFND 5/16-17</v>
      </c>
      <c r="I4613" t="str">
        <f>"R"</f>
        <v>R</v>
      </c>
    </row>
    <row r="4614" spans="1:9" x14ac:dyDescent="0.25">
      <c r="A4614" s="6">
        <v>44825</v>
      </c>
      <c r="B4614" t="s">
        <v>26</v>
      </c>
      <c r="C4614">
        <v>70603</v>
      </c>
      <c r="D4614" t="s">
        <v>1298</v>
      </c>
      <c r="E4614" s="7">
        <v>50</v>
      </c>
      <c r="F4614" t="s">
        <v>20</v>
      </c>
      <c r="G4614" t="s">
        <v>21</v>
      </c>
      <c r="H4614" t="str">
        <f>"DEP. RFND 5/29/22"</f>
        <v>DEP. RFND 5/29/22</v>
      </c>
      <c r="I4614" t="str">
        <f>"REFUND"</f>
        <v>REFUND</v>
      </c>
    </row>
    <row r="4615" spans="1:9" x14ac:dyDescent="0.25">
      <c r="A4615" s="6">
        <v>44825</v>
      </c>
      <c r="B4615" t="s">
        <v>26</v>
      </c>
      <c r="C4615">
        <v>70604</v>
      </c>
      <c r="D4615" t="s">
        <v>1299</v>
      </c>
      <c r="E4615" s="7">
        <v>50</v>
      </c>
      <c r="F4615" t="s">
        <v>20</v>
      </c>
      <c r="G4615" t="s">
        <v>21</v>
      </c>
      <c r="H4615" t="str">
        <f>"DEP. RFND 8/21/21"</f>
        <v>DEP. RFND 8/21/21</v>
      </c>
      <c r="I4615" t="str">
        <f>"REFUND"</f>
        <v>REFUND</v>
      </c>
    </row>
    <row r="4616" spans="1:9" x14ac:dyDescent="0.25">
      <c r="A4616" s="6">
        <v>44825</v>
      </c>
      <c r="B4616" t="s">
        <v>26</v>
      </c>
      <c r="C4616">
        <v>70605</v>
      </c>
      <c r="D4616" t="s">
        <v>61</v>
      </c>
      <c r="E4616" s="7">
        <v>1497.21</v>
      </c>
      <c r="F4616" t="s">
        <v>20</v>
      </c>
      <c r="G4616" t="s">
        <v>21</v>
      </c>
      <c r="H4616" t="str">
        <f>"025-387498"</f>
        <v>025-387498</v>
      </c>
      <c r="I4616" t="str">
        <f>"TYLER TECHNOLOGIES  INC."</f>
        <v>TYLER TECHNOLOGIES  INC.</v>
      </c>
    </row>
    <row r="4617" spans="1:9" x14ac:dyDescent="0.25">
      <c r="A4617" s="6">
        <v>44825</v>
      </c>
      <c r="B4617" t="s">
        <v>26</v>
      </c>
      <c r="C4617">
        <v>70605</v>
      </c>
      <c r="D4617" t="s">
        <v>61</v>
      </c>
      <c r="E4617" s="7">
        <v>7703.68</v>
      </c>
      <c r="F4617" t="s">
        <v>20</v>
      </c>
      <c r="G4617" t="s">
        <v>21</v>
      </c>
      <c r="H4617" t="str">
        <f>"025-387499"</f>
        <v>025-387499</v>
      </c>
      <c r="I4617" t="str">
        <f>"TYLER TECHNOLOGIES  INC."</f>
        <v>TYLER TECHNOLOGIES  INC.</v>
      </c>
    </row>
    <row r="4618" spans="1:9" x14ac:dyDescent="0.25">
      <c r="A4618" s="6">
        <v>44825</v>
      </c>
      <c r="B4618" t="s">
        <v>26</v>
      </c>
      <c r="C4618">
        <v>70606</v>
      </c>
      <c r="D4618" t="s">
        <v>1300</v>
      </c>
      <c r="E4618" s="7">
        <v>125</v>
      </c>
      <c r="F4618" t="s">
        <v>20</v>
      </c>
      <c r="G4618" t="s">
        <v>21</v>
      </c>
      <c r="H4618" t="str">
        <f>"POOL PARTY RFND"</f>
        <v>POOL PARTY RFND</v>
      </c>
      <c r="I4618" t="str">
        <f>"REFUND"</f>
        <v>REFUND</v>
      </c>
    </row>
    <row r="4619" spans="1:9" x14ac:dyDescent="0.25">
      <c r="A4619" s="6">
        <v>44832</v>
      </c>
      <c r="B4619" t="s">
        <v>26</v>
      </c>
      <c r="C4619">
        <v>70607</v>
      </c>
      <c r="D4619" t="s">
        <v>179</v>
      </c>
      <c r="E4619" s="7">
        <v>1954.6</v>
      </c>
      <c r="F4619" t="s">
        <v>20</v>
      </c>
      <c r="G4619" t="s">
        <v>21</v>
      </c>
      <c r="H4619" t="str">
        <f>"265789"</f>
        <v>265789</v>
      </c>
      <c r="I4619" t="str">
        <f>"ANCIRA FORD-MERCURY"</f>
        <v>ANCIRA FORD-MERCURY</v>
      </c>
    </row>
    <row r="4620" spans="1:9" x14ac:dyDescent="0.25">
      <c r="A4620" s="6">
        <v>44832</v>
      </c>
      <c r="B4620" t="s">
        <v>26</v>
      </c>
      <c r="C4620">
        <v>70608</v>
      </c>
      <c r="D4620" t="s">
        <v>304</v>
      </c>
      <c r="E4620" s="7">
        <v>81.25</v>
      </c>
      <c r="F4620" t="s">
        <v>20</v>
      </c>
      <c r="G4620" t="s">
        <v>21</v>
      </c>
      <c r="H4620" t="str">
        <f>"100005955295"</f>
        <v>100005955295</v>
      </c>
      <c r="I4620" t="str">
        <f>"ASCAP"</f>
        <v>ASCAP</v>
      </c>
    </row>
    <row r="4621" spans="1:9" x14ac:dyDescent="0.25">
      <c r="A4621" s="6">
        <v>44832</v>
      </c>
      <c r="B4621" t="s">
        <v>26</v>
      </c>
      <c r="C4621">
        <v>70608</v>
      </c>
      <c r="D4621" t="s">
        <v>304</v>
      </c>
      <c r="E4621" s="7">
        <v>308.75</v>
      </c>
      <c r="F4621" t="s">
        <v>20</v>
      </c>
      <c r="G4621" t="s">
        <v>21</v>
      </c>
      <c r="H4621" t="str">
        <f>"100005955296"</f>
        <v>100005955296</v>
      </c>
      <c r="I4621" t="str">
        <f>"ASCAP"</f>
        <v>ASCAP</v>
      </c>
    </row>
    <row r="4622" spans="1:9" x14ac:dyDescent="0.25">
      <c r="A4622" s="6">
        <v>44832</v>
      </c>
      <c r="B4622" t="s">
        <v>26</v>
      </c>
      <c r="C4622">
        <v>70608</v>
      </c>
      <c r="D4622" t="s">
        <v>304</v>
      </c>
      <c r="E4622" s="7">
        <v>18.21</v>
      </c>
      <c r="F4622" t="s">
        <v>20</v>
      </c>
      <c r="G4622" t="s">
        <v>21</v>
      </c>
      <c r="H4622" t="str">
        <f>"192000386397"</f>
        <v>192000386397</v>
      </c>
      <c r="I4622" t="str">
        <f>"ASCAP"</f>
        <v>ASCAP</v>
      </c>
    </row>
    <row r="4623" spans="1:9" x14ac:dyDescent="0.25">
      <c r="A4623" s="6">
        <v>44832</v>
      </c>
      <c r="B4623" t="s">
        <v>91</v>
      </c>
      <c r="C4623">
        <v>70609</v>
      </c>
      <c r="D4623" t="s">
        <v>533</v>
      </c>
      <c r="E4623" s="7">
        <v>375</v>
      </c>
      <c r="F4623" t="s">
        <v>20</v>
      </c>
      <c r="G4623" t="s">
        <v>21</v>
      </c>
      <c r="H4623" t="str">
        <f>"MEMBERSHIP RENEWAL"</f>
        <v>MEMBERSHIP RENEWAL</v>
      </c>
      <c r="I4623" t="str">
        <f>"ASSOCIATION OF HISPANIC MUNICI"</f>
        <v>ASSOCIATION OF HISPANIC MUNICI</v>
      </c>
    </row>
    <row r="4624" spans="1:9" x14ac:dyDescent="0.25">
      <c r="A4624" s="6">
        <v>44832</v>
      </c>
      <c r="B4624" t="s">
        <v>91</v>
      </c>
      <c r="C4624">
        <v>70609</v>
      </c>
      <c r="D4624" t="s">
        <v>533</v>
      </c>
      <c r="E4624" s="7">
        <v>375</v>
      </c>
      <c r="F4624" t="s">
        <v>20</v>
      </c>
      <c r="G4624" t="s">
        <v>93</v>
      </c>
      <c r="H4624" t="str">
        <f>"CHECK"</f>
        <v>CHECK</v>
      </c>
      <c r="I4624" t="str">
        <f>""</f>
        <v/>
      </c>
    </row>
    <row r="4625" spans="1:9" x14ac:dyDescent="0.25">
      <c r="A4625" s="6">
        <v>44832</v>
      </c>
      <c r="B4625" t="s">
        <v>26</v>
      </c>
      <c r="C4625">
        <v>70610</v>
      </c>
      <c r="D4625" t="s">
        <v>821</v>
      </c>
      <c r="E4625" s="7">
        <v>1246.67</v>
      </c>
      <c r="F4625" t="s">
        <v>20</v>
      </c>
      <c r="G4625" t="s">
        <v>21</v>
      </c>
      <c r="H4625" t="str">
        <f>"SRI8109"</f>
        <v>SRI8109</v>
      </c>
      <c r="I4625" t="str">
        <f>"CORD DAMAGED"</f>
        <v>CORD DAMAGED</v>
      </c>
    </row>
    <row r="4626" spans="1:9" x14ac:dyDescent="0.25">
      <c r="A4626" s="6">
        <v>44832</v>
      </c>
      <c r="B4626" t="s">
        <v>26</v>
      </c>
      <c r="C4626">
        <v>70611</v>
      </c>
      <c r="D4626" t="s">
        <v>949</v>
      </c>
      <c r="E4626" s="7">
        <v>75</v>
      </c>
      <c r="F4626" t="s">
        <v>20</v>
      </c>
      <c r="G4626" t="s">
        <v>21</v>
      </c>
      <c r="H4626" t="str">
        <f>"20660"</f>
        <v>20660</v>
      </c>
      <c r="I4626" t="str">
        <f>"AUTO GRAPHICS &amp; SIGN CO.  LLC"</f>
        <v>AUTO GRAPHICS &amp; SIGN CO.  LLC</v>
      </c>
    </row>
    <row r="4627" spans="1:9" x14ac:dyDescent="0.25">
      <c r="A4627" s="6">
        <v>44832</v>
      </c>
      <c r="B4627" t="s">
        <v>26</v>
      </c>
      <c r="C4627">
        <v>70612</v>
      </c>
      <c r="D4627" t="s">
        <v>115</v>
      </c>
      <c r="E4627" s="7">
        <v>37.99</v>
      </c>
      <c r="F4627" t="s">
        <v>20</v>
      </c>
      <c r="G4627" t="s">
        <v>21</v>
      </c>
      <c r="H4627" t="str">
        <f>"3547353971"</f>
        <v>3547353971</v>
      </c>
      <c r="I4627" t="str">
        <f>"BRAKES"</f>
        <v>BRAKES</v>
      </c>
    </row>
    <row r="4628" spans="1:9" x14ac:dyDescent="0.25">
      <c r="A4628" s="6">
        <v>44832</v>
      </c>
      <c r="B4628" t="s">
        <v>26</v>
      </c>
      <c r="C4628">
        <v>70613</v>
      </c>
      <c r="D4628" t="s">
        <v>1301</v>
      </c>
      <c r="E4628" s="7">
        <v>15000</v>
      </c>
      <c r="F4628" t="s">
        <v>20</v>
      </c>
      <c r="G4628" t="s">
        <v>21</v>
      </c>
      <c r="H4628" t="str">
        <f>"0001- CITY"</f>
        <v>0001- CITY</v>
      </c>
      <c r="I4628" t="str">
        <f>"BAKKE DEVELOPMENT CORPORATION"</f>
        <v>BAKKE DEVELOPMENT CORPORATION</v>
      </c>
    </row>
    <row r="4629" spans="1:9" x14ac:dyDescent="0.25">
      <c r="A4629" s="6">
        <v>44832</v>
      </c>
      <c r="B4629" t="s">
        <v>26</v>
      </c>
      <c r="C4629">
        <v>70614</v>
      </c>
      <c r="D4629" t="s">
        <v>1302</v>
      </c>
      <c r="E4629" s="7">
        <v>50</v>
      </c>
      <c r="F4629" t="s">
        <v>20</v>
      </c>
      <c r="G4629" t="s">
        <v>21</v>
      </c>
      <c r="H4629" t="str">
        <f>"DEP.RFND 7/16/2022"</f>
        <v>DEP.RFND 7/16/2022</v>
      </c>
      <c r="I4629" t="str">
        <f>"REFUND"</f>
        <v>REFUND</v>
      </c>
    </row>
    <row r="4630" spans="1:9" x14ac:dyDescent="0.25">
      <c r="A4630" s="6">
        <v>44832</v>
      </c>
      <c r="B4630" t="s">
        <v>26</v>
      </c>
      <c r="C4630">
        <v>70615</v>
      </c>
      <c r="D4630" t="s">
        <v>71</v>
      </c>
      <c r="E4630" s="7">
        <v>31.89</v>
      </c>
      <c r="F4630" t="s">
        <v>20</v>
      </c>
      <c r="G4630" t="s">
        <v>21</v>
      </c>
      <c r="H4630" t="str">
        <f>"4131793217"</f>
        <v>4131793217</v>
      </c>
      <c r="I4630" t="str">
        <f>"CINTAS CORPORATION #087"</f>
        <v>CINTAS CORPORATION #087</v>
      </c>
    </row>
    <row r="4631" spans="1:9" x14ac:dyDescent="0.25">
      <c r="A4631" s="6">
        <v>44832</v>
      </c>
      <c r="B4631" t="s">
        <v>26</v>
      </c>
      <c r="C4631">
        <v>70615</v>
      </c>
      <c r="D4631" t="s">
        <v>71</v>
      </c>
      <c r="E4631" s="7">
        <v>118.8</v>
      </c>
      <c r="F4631" t="s">
        <v>20</v>
      </c>
      <c r="G4631" t="s">
        <v>21</v>
      </c>
      <c r="H4631" t="str">
        <f>"4131793239"</f>
        <v>4131793239</v>
      </c>
      <c r="I4631" t="str">
        <f>"CINTAS CORPORATION #087"</f>
        <v>CINTAS CORPORATION #087</v>
      </c>
    </row>
    <row r="4632" spans="1:9" x14ac:dyDescent="0.25">
      <c r="A4632" s="6">
        <v>44832</v>
      </c>
      <c r="B4632" t="s">
        <v>26</v>
      </c>
      <c r="C4632">
        <v>70615</v>
      </c>
      <c r="D4632" t="s">
        <v>71</v>
      </c>
      <c r="E4632" s="7">
        <v>90.43</v>
      </c>
      <c r="F4632" t="s">
        <v>20</v>
      </c>
      <c r="G4632" t="s">
        <v>21</v>
      </c>
      <c r="H4632" t="str">
        <f>"4131793242"</f>
        <v>4131793242</v>
      </c>
      <c r="I4632" t="str">
        <f>"CINTAS CORPORATION #087"</f>
        <v>CINTAS CORPORATION #087</v>
      </c>
    </row>
    <row r="4633" spans="1:9" x14ac:dyDescent="0.25">
      <c r="A4633" s="6">
        <v>44832</v>
      </c>
      <c r="B4633" t="s">
        <v>26</v>
      </c>
      <c r="C4633">
        <v>70615</v>
      </c>
      <c r="D4633" t="s">
        <v>71</v>
      </c>
      <c r="E4633" s="7">
        <v>164.22</v>
      </c>
      <c r="F4633" t="s">
        <v>20</v>
      </c>
      <c r="G4633" t="s">
        <v>21</v>
      </c>
      <c r="H4633" t="str">
        <f>"4131793282"</f>
        <v>4131793282</v>
      </c>
      <c r="I4633" t="str">
        <f>"CINTAS CORPORATION #087"</f>
        <v>CINTAS CORPORATION #087</v>
      </c>
    </row>
    <row r="4634" spans="1:9" x14ac:dyDescent="0.25">
      <c r="A4634" s="6">
        <v>44832</v>
      </c>
      <c r="B4634" t="s">
        <v>26</v>
      </c>
      <c r="C4634">
        <v>70615</v>
      </c>
      <c r="D4634" t="s">
        <v>71</v>
      </c>
      <c r="E4634" s="7">
        <v>321.32</v>
      </c>
      <c r="F4634" t="s">
        <v>20</v>
      </c>
      <c r="G4634" t="s">
        <v>21</v>
      </c>
      <c r="H4634" t="str">
        <f>"4131793303"</f>
        <v>4131793303</v>
      </c>
      <c r="I4634" t="str">
        <f>"CINTAS CORPORATION #087"</f>
        <v>CINTAS CORPORATION #087</v>
      </c>
    </row>
    <row r="4635" spans="1:9" x14ac:dyDescent="0.25">
      <c r="A4635" s="6">
        <v>44832</v>
      </c>
      <c r="B4635" t="s">
        <v>26</v>
      </c>
      <c r="C4635">
        <v>70617</v>
      </c>
      <c r="D4635" t="s">
        <v>1104</v>
      </c>
      <c r="E4635" s="7">
        <v>85</v>
      </c>
      <c r="F4635" t="s">
        <v>20</v>
      </c>
      <c r="G4635" t="s">
        <v>21</v>
      </c>
      <c r="H4635" t="str">
        <f>"9/5/2022"</f>
        <v>9/5/2022</v>
      </c>
      <c r="I4635" t="str">
        <f>"CONNALLY MEMORIAL MEDICAL CENT"</f>
        <v>CONNALLY MEMORIAL MEDICAL CENT</v>
      </c>
    </row>
    <row r="4636" spans="1:9" x14ac:dyDescent="0.25">
      <c r="A4636" s="6">
        <v>44832</v>
      </c>
      <c r="B4636" t="s">
        <v>26</v>
      </c>
      <c r="C4636">
        <v>70618</v>
      </c>
      <c r="D4636" t="s">
        <v>1303</v>
      </c>
      <c r="E4636" s="7">
        <v>75</v>
      </c>
      <c r="F4636" t="s">
        <v>20</v>
      </c>
      <c r="G4636" t="s">
        <v>21</v>
      </c>
      <c r="H4636" t="str">
        <f>"ANNUAL REG.CONV."</f>
        <v>ANNUAL REG.CONV.</v>
      </c>
      <c r="I4636" t="str">
        <f>"EAGLE PASS WATER WORKS SYSTEM"</f>
        <v>EAGLE PASS WATER WORKS SYSTEM</v>
      </c>
    </row>
    <row r="4637" spans="1:9" x14ac:dyDescent="0.25">
      <c r="A4637" s="6">
        <v>44832</v>
      </c>
      <c r="B4637" t="s">
        <v>26</v>
      </c>
      <c r="C4637">
        <v>70619</v>
      </c>
      <c r="D4637" t="s">
        <v>69</v>
      </c>
      <c r="E4637" s="7">
        <v>28.79</v>
      </c>
      <c r="F4637" t="s">
        <v>20</v>
      </c>
      <c r="G4637" t="s">
        <v>21</v>
      </c>
      <c r="H4637" t="str">
        <f>"3C21059"</f>
        <v>3C21059</v>
      </c>
      <c r="I4637" t="str">
        <f>"BULK"</f>
        <v>BULK</v>
      </c>
    </row>
    <row r="4638" spans="1:9" x14ac:dyDescent="0.25">
      <c r="A4638" s="6">
        <v>44832</v>
      </c>
      <c r="B4638" t="s">
        <v>26</v>
      </c>
      <c r="C4638">
        <v>70620</v>
      </c>
      <c r="D4638" t="s">
        <v>79</v>
      </c>
      <c r="E4638" s="7">
        <v>37.880000000000003</v>
      </c>
      <c r="F4638" t="s">
        <v>20</v>
      </c>
      <c r="G4638" t="s">
        <v>21</v>
      </c>
      <c r="H4638" t="str">
        <f>"7-883-60888"</f>
        <v>7-883-60888</v>
      </c>
      <c r="I4638" t="str">
        <f>"FEDEX"</f>
        <v>FEDEX</v>
      </c>
    </row>
    <row r="4639" spans="1:9" x14ac:dyDescent="0.25">
      <c r="A4639" s="6">
        <v>44832</v>
      </c>
      <c r="B4639" t="s">
        <v>26</v>
      </c>
      <c r="C4639">
        <v>70620</v>
      </c>
      <c r="D4639" t="s">
        <v>79</v>
      </c>
      <c r="E4639" s="7">
        <v>66.44</v>
      </c>
      <c r="F4639" t="s">
        <v>20</v>
      </c>
      <c r="G4639" t="s">
        <v>21</v>
      </c>
      <c r="H4639" t="str">
        <f>"7-891-70095"</f>
        <v>7-891-70095</v>
      </c>
      <c r="I4639" t="str">
        <f>"FEDEX"</f>
        <v>FEDEX</v>
      </c>
    </row>
    <row r="4640" spans="1:9" x14ac:dyDescent="0.25">
      <c r="A4640" s="6">
        <v>44832</v>
      </c>
      <c r="B4640" t="s">
        <v>26</v>
      </c>
      <c r="C4640">
        <v>70621</v>
      </c>
      <c r="D4640" t="s">
        <v>1046</v>
      </c>
      <c r="E4640" s="7">
        <v>2973.21</v>
      </c>
      <c r="F4640" t="s">
        <v>20</v>
      </c>
      <c r="G4640" t="s">
        <v>21</v>
      </c>
      <c r="H4640" t="str">
        <f>"1852"</f>
        <v>1852</v>
      </c>
      <c r="I4640" t="str">
        <f>"WWTP"</f>
        <v>WWTP</v>
      </c>
    </row>
    <row r="4641" spans="1:9" x14ac:dyDescent="0.25">
      <c r="A4641" s="6">
        <v>44832</v>
      </c>
      <c r="B4641" t="s">
        <v>26</v>
      </c>
      <c r="C4641">
        <v>70622</v>
      </c>
      <c r="D4641" t="s">
        <v>59</v>
      </c>
      <c r="E4641" s="7">
        <v>2312.8000000000002</v>
      </c>
      <c r="F4641" t="s">
        <v>20</v>
      </c>
      <c r="G4641" t="s">
        <v>21</v>
      </c>
      <c r="H4641" t="str">
        <f>"1192650"</f>
        <v>1192650</v>
      </c>
      <c r="I4641" t="str">
        <f>"FERGUSON WATERWORKS - MUNICIPA"</f>
        <v>FERGUSON WATERWORKS - MUNICIPA</v>
      </c>
    </row>
    <row r="4642" spans="1:9" x14ac:dyDescent="0.25">
      <c r="A4642" s="6">
        <v>44832</v>
      </c>
      <c r="B4642" t="s">
        <v>26</v>
      </c>
      <c r="C4642">
        <v>70622</v>
      </c>
      <c r="D4642" t="s">
        <v>59</v>
      </c>
      <c r="E4642" s="7">
        <v>292</v>
      </c>
      <c r="F4642" t="s">
        <v>20</v>
      </c>
      <c r="G4642" t="s">
        <v>21</v>
      </c>
      <c r="H4642" t="str">
        <f>"1196487"</f>
        <v>1196487</v>
      </c>
      <c r="I4642" t="str">
        <f>"FERGUSON WATERWORKS - MUNICIPA"</f>
        <v>FERGUSON WATERWORKS - MUNICIPA</v>
      </c>
    </row>
    <row r="4643" spans="1:9" x14ac:dyDescent="0.25">
      <c r="A4643" s="6">
        <v>44832</v>
      </c>
      <c r="B4643" t="s">
        <v>26</v>
      </c>
      <c r="C4643">
        <v>70623</v>
      </c>
      <c r="D4643" t="s">
        <v>85</v>
      </c>
      <c r="E4643" s="7">
        <v>544.54</v>
      </c>
      <c r="F4643" t="s">
        <v>20</v>
      </c>
      <c r="G4643" t="s">
        <v>21</v>
      </c>
      <c r="H4643" t="str">
        <f>"2162745 9/22"</f>
        <v>2162745 9/22</v>
      </c>
      <c r="I4643" t="str">
        <f>"FRONTIER"</f>
        <v>FRONTIER</v>
      </c>
    </row>
    <row r="4644" spans="1:9" x14ac:dyDescent="0.25">
      <c r="A4644" s="6">
        <v>44832</v>
      </c>
      <c r="B4644" t="s">
        <v>26</v>
      </c>
      <c r="C4644">
        <v>70624</v>
      </c>
      <c r="D4644" t="s">
        <v>312</v>
      </c>
      <c r="E4644" s="7">
        <v>201</v>
      </c>
      <c r="F4644" t="s">
        <v>20</v>
      </c>
      <c r="G4644" t="s">
        <v>21</v>
      </c>
      <c r="H4644" t="str">
        <f>"22-1417"</f>
        <v>22-1417</v>
      </c>
      <c r="I4644" t="str">
        <f>"FULLER'S ALAMO SAFE AND LOCK"</f>
        <v>FULLER'S ALAMO SAFE AND LOCK</v>
      </c>
    </row>
    <row r="4645" spans="1:9" x14ac:dyDescent="0.25">
      <c r="A4645" s="6">
        <v>44832</v>
      </c>
      <c r="B4645" t="s">
        <v>26</v>
      </c>
      <c r="C4645">
        <v>70624</v>
      </c>
      <c r="D4645" t="s">
        <v>312</v>
      </c>
      <c r="E4645" s="7">
        <v>1865.8</v>
      </c>
      <c r="F4645" t="s">
        <v>20</v>
      </c>
      <c r="G4645" t="s">
        <v>21</v>
      </c>
      <c r="H4645" t="str">
        <f>"22-441"</f>
        <v>22-441</v>
      </c>
      <c r="I4645" t="str">
        <f>"FULLER'S ALAMO SAFE AND LOCK"</f>
        <v>FULLER'S ALAMO SAFE AND LOCK</v>
      </c>
    </row>
    <row r="4646" spans="1:9" x14ac:dyDescent="0.25">
      <c r="A4646" s="6">
        <v>44832</v>
      </c>
      <c r="B4646" t="s">
        <v>26</v>
      </c>
      <c r="C4646">
        <v>70625</v>
      </c>
      <c r="D4646" t="s">
        <v>314</v>
      </c>
      <c r="E4646" s="7">
        <v>1350.56</v>
      </c>
      <c r="F4646" t="s">
        <v>20</v>
      </c>
      <c r="G4646" t="s">
        <v>21</v>
      </c>
      <c r="H4646" t="str">
        <f>"INV-000256"</f>
        <v>INV-000256</v>
      </c>
      <c r="I4646" t="str">
        <f>"RIBBON FOR RIBBON CUTTING"</f>
        <v>RIBBON FOR RIBBON CUTTING</v>
      </c>
    </row>
    <row r="4647" spans="1:9" x14ac:dyDescent="0.25">
      <c r="A4647" s="6">
        <v>44832</v>
      </c>
      <c r="B4647" t="s">
        <v>26</v>
      </c>
      <c r="C4647">
        <v>70626</v>
      </c>
      <c r="D4647" t="s">
        <v>282</v>
      </c>
      <c r="E4647" s="7">
        <v>7150</v>
      </c>
      <c r="F4647" t="s">
        <v>20</v>
      </c>
      <c r="G4647" t="s">
        <v>21</v>
      </c>
      <c r="H4647" t="str">
        <f>"4796"</f>
        <v>4796</v>
      </c>
      <c r="I4647" t="str">
        <f>"LANGFORD COMMUNITY MANAGEMENT"</f>
        <v>LANGFORD COMMUNITY MANAGEMENT</v>
      </c>
    </row>
    <row r="4648" spans="1:9" x14ac:dyDescent="0.25">
      <c r="A4648" s="6">
        <v>44832</v>
      </c>
      <c r="B4648" t="s">
        <v>26</v>
      </c>
      <c r="C4648">
        <v>70627</v>
      </c>
      <c r="D4648" t="s">
        <v>117</v>
      </c>
      <c r="E4648" s="7">
        <v>2833.41</v>
      </c>
      <c r="F4648" t="s">
        <v>20</v>
      </c>
      <c r="G4648" t="s">
        <v>21</v>
      </c>
      <c r="H4648" t="str">
        <f>"AUGUST 2022"</f>
        <v>AUGUST 2022</v>
      </c>
      <c r="I4648" t="str">
        <f>"LINEBARGER GOGGAN BLAIR &amp; SAMP"</f>
        <v>LINEBARGER GOGGAN BLAIR &amp; SAMP</v>
      </c>
    </row>
    <row r="4649" spans="1:9" x14ac:dyDescent="0.25">
      <c r="A4649" s="6">
        <v>44832</v>
      </c>
      <c r="B4649" t="s">
        <v>26</v>
      </c>
      <c r="C4649">
        <v>70628</v>
      </c>
      <c r="D4649" t="s">
        <v>1304</v>
      </c>
      <c r="E4649" s="7">
        <v>875</v>
      </c>
      <c r="F4649" t="s">
        <v>20</v>
      </c>
      <c r="G4649" t="s">
        <v>21</v>
      </c>
      <c r="H4649" t="str">
        <f>"3327"</f>
        <v>3327</v>
      </c>
      <c r="I4649" t="str">
        <f>"SERVICES AT WWTP"</f>
        <v>SERVICES AT WWTP</v>
      </c>
    </row>
    <row r="4650" spans="1:9" x14ac:dyDescent="0.25">
      <c r="A4650" s="6">
        <v>44832</v>
      </c>
      <c r="B4650" t="s">
        <v>26</v>
      </c>
      <c r="C4650">
        <v>70629</v>
      </c>
      <c r="D4650" t="s">
        <v>105</v>
      </c>
      <c r="E4650" s="7">
        <v>7</v>
      </c>
      <c r="F4650" t="s">
        <v>20</v>
      </c>
      <c r="G4650" t="s">
        <v>21</v>
      </c>
      <c r="H4650" t="str">
        <f>"432272"</f>
        <v>432272</v>
      </c>
      <c r="I4650" t="str">
        <f>"INSPECTIONS FOR PD UNITS"</f>
        <v>INSPECTIONS FOR PD UNITS</v>
      </c>
    </row>
    <row r="4651" spans="1:9" x14ac:dyDescent="0.25">
      <c r="A4651" s="6">
        <v>44832</v>
      </c>
      <c r="B4651" t="s">
        <v>26</v>
      </c>
      <c r="C4651">
        <v>70630</v>
      </c>
      <c r="D4651" t="s">
        <v>345</v>
      </c>
      <c r="E4651" s="7">
        <v>368.5</v>
      </c>
      <c r="F4651" t="s">
        <v>20</v>
      </c>
      <c r="G4651" t="s">
        <v>21</v>
      </c>
      <c r="H4651" t="str">
        <f>"9/26/2022"</f>
        <v>9/26/2022</v>
      </c>
      <c r="I4651" t="str">
        <f>"MICHAEL ISAAC MARTINEZ"</f>
        <v>MICHAEL ISAAC MARTINEZ</v>
      </c>
    </row>
    <row r="4652" spans="1:9" x14ac:dyDescent="0.25">
      <c r="A4652" s="6">
        <v>44832</v>
      </c>
      <c r="B4652" t="s">
        <v>26</v>
      </c>
      <c r="C4652">
        <v>70631</v>
      </c>
      <c r="D4652" t="s">
        <v>123</v>
      </c>
      <c r="E4652" s="7">
        <v>88.06</v>
      </c>
      <c r="F4652" t="s">
        <v>20</v>
      </c>
      <c r="G4652" t="s">
        <v>21</v>
      </c>
      <c r="H4652" t="str">
        <f>"265482019001"</f>
        <v>265482019001</v>
      </c>
      <c r="I4652" t="str">
        <f>"OFFICE SUPPLIES"</f>
        <v>OFFICE SUPPLIES</v>
      </c>
    </row>
    <row r="4653" spans="1:9" x14ac:dyDescent="0.25">
      <c r="A4653" s="6">
        <v>44832</v>
      </c>
      <c r="B4653" t="s">
        <v>26</v>
      </c>
      <c r="C4653">
        <v>70631</v>
      </c>
      <c r="D4653" t="s">
        <v>123</v>
      </c>
      <c r="E4653" s="7">
        <v>98.39</v>
      </c>
      <c r="F4653" t="s">
        <v>20</v>
      </c>
      <c r="G4653" t="s">
        <v>21</v>
      </c>
      <c r="H4653" t="str">
        <f>"265482842001"</f>
        <v>265482842001</v>
      </c>
      <c r="I4653" t="str">
        <f>"OFFICE SUPPLIES"</f>
        <v>OFFICE SUPPLIES</v>
      </c>
    </row>
    <row r="4654" spans="1:9" x14ac:dyDescent="0.25">
      <c r="A4654" s="6">
        <v>44832</v>
      </c>
      <c r="B4654" t="s">
        <v>26</v>
      </c>
      <c r="C4654">
        <v>70631</v>
      </c>
      <c r="D4654" t="s">
        <v>123</v>
      </c>
      <c r="E4654" s="7">
        <v>45.99</v>
      </c>
      <c r="F4654" t="s">
        <v>20</v>
      </c>
      <c r="G4654" t="s">
        <v>21</v>
      </c>
      <c r="H4654" t="str">
        <f>"265482846001"</f>
        <v>265482846001</v>
      </c>
      <c r="I4654" t="str">
        <f>"OFFICE SUPPLIES"</f>
        <v>OFFICE SUPPLIES</v>
      </c>
    </row>
    <row r="4655" spans="1:9" x14ac:dyDescent="0.25">
      <c r="A4655" s="6">
        <v>44832</v>
      </c>
      <c r="B4655" t="s">
        <v>26</v>
      </c>
      <c r="C4655">
        <v>70632</v>
      </c>
      <c r="D4655" t="s">
        <v>137</v>
      </c>
      <c r="E4655" s="7">
        <v>51.95</v>
      </c>
      <c r="F4655" t="s">
        <v>20</v>
      </c>
      <c r="G4655" t="s">
        <v>21</v>
      </c>
      <c r="H4655" t="str">
        <f>"40390"</f>
        <v>40390</v>
      </c>
      <c r="I4655" t="str">
        <f>"OMNIBUS-M  INC.D.B.A."</f>
        <v>OMNIBUS-M  INC.D.B.A.</v>
      </c>
    </row>
    <row r="4656" spans="1:9" x14ac:dyDescent="0.25">
      <c r="A4656" s="6">
        <v>44832</v>
      </c>
      <c r="B4656" t="s">
        <v>26</v>
      </c>
      <c r="C4656">
        <v>70632</v>
      </c>
      <c r="D4656" t="s">
        <v>137</v>
      </c>
      <c r="E4656" s="7">
        <v>69.95</v>
      </c>
      <c r="F4656" t="s">
        <v>20</v>
      </c>
      <c r="G4656" t="s">
        <v>21</v>
      </c>
      <c r="H4656" t="str">
        <f>"40391"</f>
        <v>40391</v>
      </c>
      <c r="I4656" t="str">
        <f>"OMNIBUS-M  INC.D.B.A."</f>
        <v>OMNIBUS-M  INC.D.B.A.</v>
      </c>
    </row>
    <row r="4657" spans="1:9" x14ac:dyDescent="0.25">
      <c r="A4657" s="6">
        <v>44832</v>
      </c>
      <c r="B4657" t="s">
        <v>26</v>
      </c>
      <c r="C4657">
        <v>70633</v>
      </c>
      <c r="D4657" t="s">
        <v>1081</v>
      </c>
      <c r="E4657" s="7">
        <v>858</v>
      </c>
      <c r="F4657" t="s">
        <v>20</v>
      </c>
      <c r="G4657" t="s">
        <v>21</v>
      </c>
      <c r="H4657" t="str">
        <f>"44268"</f>
        <v>44268</v>
      </c>
      <c r="I4657" t="str">
        <f>"PINNACLE PEST DEFENSE"</f>
        <v>PINNACLE PEST DEFENSE</v>
      </c>
    </row>
    <row r="4658" spans="1:9" x14ac:dyDescent="0.25">
      <c r="A4658" s="6">
        <v>44832</v>
      </c>
      <c r="B4658" t="s">
        <v>26</v>
      </c>
      <c r="C4658">
        <v>70634</v>
      </c>
      <c r="D4658" t="s">
        <v>248</v>
      </c>
      <c r="E4658" s="7">
        <v>246.54</v>
      </c>
      <c r="F4658" t="s">
        <v>20</v>
      </c>
      <c r="G4658" t="s">
        <v>21</v>
      </c>
      <c r="H4658" t="str">
        <f>"1021486007"</f>
        <v>1021486007</v>
      </c>
      <c r="I4658" t="str">
        <f>"PITNEY BOWES"</f>
        <v>PITNEY BOWES</v>
      </c>
    </row>
    <row r="4659" spans="1:9" x14ac:dyDescent="0.25">
      <c r="A4659" s="6">
        <v>44832</v>
      </c>
      <c r="B4659" t="s">
        <v>26</v>
      </c>
      <c r="C4659">
        <v>70634</v>
      </c>
      <c r="D4659" t="s">
        <v>248</v>
      </c>
      <c r="E4659" s="7">
        <v>180</v>
      </c>
      <c r="F4659" t="s">
        <v>20</v>
      </c>
      <c r="G4659" t="s">
        <v>21</v>
      </c>
      <c r="H4659" t="str">
        <f>"1021495352"</f>
        <v>1021495352</v>
      </c>
      <c r="I4659" t="str">
        <f>"PITNEY BOWES"</f>
        <v>PITNEY BOWES</v>
      </c>
    </row>
    <row r="4660" spans="1:9" x14ac:dyDescent="0.25">
      <c r="A4660" s="6">
        <v>44832</v>
      </c>
      <c r="B4660" t="s">
        <v>26</v>
      </c>
      <c r="C4660">
        <v>70635</v>
      </c>
      <c r="D4660" t="s">
        <v>528</v>
      </c>
      <c r="E4660" s="7">
        <v>305.73</v>
      </c>
      <c r="F4660" t="s">
        <v>20</v>
      </c>
      <c r="G4660" t="s">
        <v>21</v>
      </c>
      <c r="H4660" t="str">
        <f>"10911619"</f>
        <v>10911619</v>
      </c>
      <c r="I4660" t="str">
        <f>"PROSTAR SERVICES INC"</f>
        <v>PROSTAR SERVICES INC</v>
      </c>
    </row>
    <row r="4661" spans="1:9" x14ac:dyDescent="0.25">
      <c r="A4661" s="6">
        <v>44832</v>
      </c>
      <c r="B4661" t="s">
        <v>26</v>
      </c>
      <c r="C4661">
        <v>70636</v>
      </c>
      <c r="D4661" t="s">
        <v>119</v>
      </c>
      <c r="E4661" s="7">
        <v>773.1</v>
      </c>
      <c r="F4661" t="s">
        <v>20</v>
      </c>
      <c r="G4661" t="s">
        <v>21</v>
      </c>
      <c r="H4661" t="str">
        <f>"92318"</f>
        <v>92318</v>
      </c>
      <c r="I4661" t="str">
        <f>"PRUSKI'S TIRE SHOP  L.L.C."</f>
        <v>PRUSKI'S TIRE SHOP  L.L.C.</v>
      </c>
    </row>
    <row r="4662" spans="1:9" x14ac:dyDescent="0.25">
      <c r="A4662" s="6">
        <v>44832</v>
      </c>
      <c r="B4662" t="s">
        <v>26</v>
      </c>
      <c r="C4662">
        <v>70637</v>
      </c>
      <c r="D4662" t="s">
        <v>131</v>
      </c>
      <c r="E4662" s="7">
        <v>92.99</v>
      </c>
      <c r="F4662" t="s">
        <v>20</v>
      </c>
      <c r="G4662" t="s">
        <v>21</v>
      </c>
      <c r="H4662" t="str">
        <f>"070882"</f>
        <v>070882</v>
      </c>
      <c r="I4662" t="str">
        <f>"GEAR OIL"</f>
        <v>GEAR OIL</v>
      </c>
    </row>
    <row r="4663" spans="1:9" x14ac:dyDescent="0.25">
      <c r="A4663" s="6">
        <v>44832</v>
      </c>
      <c r="B4663" t="s">
        <v>26</v>
      </c>
      <c r="C4663">
        <v>70638</v>
      </c>
      <c r="D4663" t="s">
        <v>975</v>
      </c>
      <c r="E4663" s="7">
        <v>127.1</v>
      </c>
      <c r="F4663" t="s">
        <v>20</v>
      </c>
      <c r="G4663" t="s">
        <v>21</v>
      </c>
      <c r="H4663" t="str">
        <f>"P94298"</f>
        <v>P94298</v>
      </c>
      <c r="I4663" t="str">
        <f>"PART FOR SHREDDER"</f>
        <v>PART FOR SHREDDER</v>
      </c>
    </row>
    <row r="4664" spans="1:9" x14ac:dyDescent="0.25">
      <c r="A4664" s="6">
        <v>44832</v>
      </c>
      <c r="B4664" t="s">
        <v>26</v>
      </c>
      <c r="C4664">
        <v>70639</v>
      </c>
      <c r="D4664" t="s">
        <v>644</v>
      </c>
      <c r="E4664" s="7">
        <v>120.09</v>
      </c>
      <c r="F4664" t="s">
        <v>20</v>
      </c>
      <c r="G4664" t="s">
        <v>21</v>
      </c>
      <c r="H4664" t="str">
        <f>"8213754536"</f>
        <v>8213754536</v>
      </c>
      <c r="I4664" t="str">
        <f t="shared" ref="I4664:I4670" si="109">"UNIFIRST CORPORATION"</f>
        <v>UNIFIRST CORPORATION</v>
      </c>
    </row>
    <row r="4665" spans="1:9" x14ac:dyDescent="0.25">
      <c r="A4665" s="6">
        <v>44832</v>
      </c>
      <c r="B4665" t="s">
        <v>26</v>
      </c>
      <c r="C4665">
        <v>70639</v>
      </c>
      <c r="D4665" t="s">
        <v>644</v>
      </c>
      <c r="E4665" s="7">
        <v>132.58000000000001</v>
      </c>
      <c r="F4665" t="s">
        <v>20</v>
      </c>
      <c r="G4665" t="s">
        <v>21</v>
      </c>
      <c r="H4665" t="str">
        <f>"8213777898"</f>
        <v>8213777898</v>
      </c>
      <c r="I4665" t="str">
        <f t="shared" si="109"/>
        <v>UNIFIRST CORPORATION</v>
      </c>
    </row>
    <row r="4666" spans="1:9" x14ac:dyDescent="0.25">
      <c r="A4666" s="6">
        <v>44832</v>
      </c>
      <c r="B4666" t="s">
        <v>26</v>
      </c>
      <c r="C4666">
        <v>70639</v>
      </c>
      <c r="D4666" t="s">
        <v>644</v>
      </c>
      <c r="E4666" s="7">
        <v>29.49</v>
      </c>
      <c r="F4666" t="s">
        <v>20</v>
      </c>
      <c r="G4666" t="s">
        <v>21</v>
      </c>
      <c r="H4666" t="str">
        <f>"8213777899"</f>
        <v>8213777899</v>
      </c>
      <c r="I4666" t="str">
        <f t="shared" si="109"/>
        <v>UNIFIRST CORPORATION</v>
      </c>
    </row>
    <row r="4667" spans="1:9" x14ac:dyDescent="0.25">
      <c r="A4667" s="6">
        <v>44832</v>
      </c>
      <c r="B4667" t="s">
        <v>26</v>
      </c>
      <c r="C4667">
        <v>70639</v>
      </c>
      <c r="D4667" t="s">
        <v>644</v>
      </c>
      <c r="E4667" s="7">
        <v>134.38999999999999</v>
      </c>
      <c r="F4667" t="s">
        <v>20</v>
      </c>
      <c r="G4667" t="s">
        <v>21</v>
      </c>
      <c r="H4667" t="str">
        <f>"8213777900"</f>
        <v>8213777900</v>
      </c>
      <c r="I4667" t="str">
        <f t="shared" si="109"/>
        <v>UNIFIRST CORPORATION</v>
      </c>
    </row>
    <row r="4668" spans="1:9" x14ac:dyDescent="0.25">
      <c r="A4668" s="6">
        <v>44832</v>
      </c>
      <c r="B4668" t="s">
        <v>26</v>
      </c>
      <c r="C4668">
        <v>70639</v>
      </c>
      <c r="D4668" t="s">
        <v>644</v>
      </c>
      <c r="E4668" s="7">
        <v>71.25</v>
      </c>
      <c r="F4668" t="s">
        <v>20</v>
      </c>
      <c r="G4668" t="s">
        <v>21</v>
      </c>
      <c r="H4668" t="str">
        <f>"8213777901"</f>
        <v>8213777901</v>
      </c>
      <c r="I4668" t="str">
        <f t="shared" si="109"/>
        <v>UNIFIRST CORPORATION</v>
      </c>
    </row>
    <row r="4669" spans="1:9" x14ac:dyDescent="0.25">
      <c r="A4669" s="6">
        <v>44832</v>
      </c>
      <c r="B4669" t="s">
        <v>26</v>
      </c>
      <c r="C4669">
        <v>70639</v>
      </c>
      <c r="D4669" t="s">
        <v>644</v>
      </c>
      <c r="E4669" s="7">
        <v>115.31</v>
      </c>
      <c r="F4669" t="s">
        <v>20</v>
      </c>
      <c r="G4669" t="s">
        <v>21</v>
      </c>
      <c r="H4669" t="str">
        <f>"8213777903"</f>
        <v>8213777903</v>
      </c>
      <c r="I4669" t="str">
        <f t="shared" si="109"/>
        <v>UNIFIRST CORPORATION</v>
      </c>
    </row>
    <row r="4670" spans="1:9" x14ac:dyDescent="0.25">
      <c r="A4670" s="6">
        <v>44832</v>
      </c>
      <c r="B4670" t="s">
        <v>26</v>
      </c>
      <c r="C4670">
        <v>70639</v>
      </c>
      <c r="D4670" t="s">
        <v>644</v>
      </c>
      <c r="E4670" s="7">
        <v>20.36</v>
      </c>
      <c r="F4670" t="s">
        <v>20</v>
      </c>
      <c r="G4670" t="s">
        <v>21</v>
      </c>
      <c r="H4670" t="str">
        <f>"8213777904"</f>
        <v>8213777904</v>
      </c>
      <c r="I4670" t="str">
        <f t="shared" si="109"/>
        <v>UNIFIRST CORPORATION</v>
      </c>
    </row>
    <row r="4671" spans="1:9" x14ac:dyDescent="0.25">
      <c r="A4671" s="6">
        <v>44832</v>
      </c>
      <c r="B4671" t="s">
        <v>26</v>
      </c>
      <c r="C4671">
        <v>70641</v>
      </c>
      <c r="D4671" t="s">
        <v>122</v>
      </c>
      <c r="E4671" s="7">
        <v>566</v>
      </c>
      <c r="F4671" t="s">
        <v>20</v>
      </c>
      <c r="G4671" t="s">
        <v>21</v>
      </c>
      <c r="H4671" t="str">
        <f>"018451"</f>
        <v>018451</v>
      </c>
      <c r="I4671" t="str">
        <f>"MACK TRUCK"</f>
        <v>MACK TRUCK</v>
      </c>
    </row>
    <row r="4672" spans="1:9" x14ac:dyDescent="0.25">
      <c r="A4672" s="6">
        <v>44832</v>
      </c>
      <c r="B4672" t="s">
        <v>26</v>
      </c>
      <c r="C4672">
        <v>70641</v>
      </c>
      <c r="D4672" t="s">
        <v>122</v>
      </c>
      <c r="E4672" s="7">
        <v>15</v>
      </c>
      <c r="F4672" t="s">
        <v>20</v>
      </c>
      <c r="G4672" t="s">
        <v>21</v>
      </c>
      <c r="H4672" t="str">
        <f>"902044"</f>
        <v>902044</v>
      </c>
      <c r="I4672" t="str">
        <f>"VILLA TIRES"</f>
        <v>VILLA TIRES</v>
      </c>
    </row>
    <row r="4673" spans="1:9" x14ac:dyDescent="0.25">
      <c r="A4673" s="6">
        <v>44832</v>
      </c>
      <c r="B4673" t="s">
        <v>26</v>
      </c>
      <c r="C4673">
        <v>70641</v>
      </c>
      <c r="D4673" t="s">
        <v>122</v>
      </c>
      <c r="E4673" s="7">
        <v>10</v>
      </c>
      <c r="F4673" t="s">
        <v>20</v>
      </c>
      <c r="G4673" t="s">
        <v>21</v>
      </c>
      <c r="H4673" t="str">
        <f>"902046"</f>
        <v>902046</v>
      </c>
      <c r="I4673" t="str">
        <f>"VILLA TIRES"</f>
        <v>VILLA TIRES</v>
      </c>
    </row>
    <row r="4674" spans="1:9" x14ac:dyDescent="0.25">
      <c r="A4674" s="6">
        <v>44832</v>
      </c>
      <c r="B4674" t="s">
        <v>26</v>
      </c>
      <c r="C4674">
        <v>70641</v>
      </c>
      <c r="D4674" t="s">
        <v>122</v>
      </c>
      <c r="E4674" s="7">
        <v>15</v>
      </c>
      <c r="F4674" t="s">
        <v>20</v>
      </c>
      <c r="G4674" t="s">
        <v>21</v>
      </c>
      <c r="H4674" t="str">
        <f>"902099"</f>
        <v>902099</v>
      </c>
      <c r="I4674" t="str">
        <f>"VILLA TIRES"</f>
        <v>VILLA TIRES</v>
      </c>
    </row>
    <row r="4675" spans="1:9" x14ac:dyDescent="0.25">
      <c r="A4675" s="6">
        <v>44832</v>
      </c>
      <c r="B4675" t="s">
        <v>26</v>
      </c>
      <c r="C4675">
        <v>70642</v>
      </c>
      <c r="D4675" t="s">
        <v>226</v>
      </c>
      <c r="E4675" s="7">
        <v>2500</v>
      </c>
      <c r="F4675" t="s">
        <v>20</v>
      </c>
      <c r="G4675" t="s">
        <v>21</v>
      </c>
      <c r="H4675" t="str">
        <f>"5379"</f>
        <v>5379</v>
      </c>
      <c r="I4675" t="str">
        <f>"WIATREK'S SERVICES"</f>
        <v>WIATREK'S SERVICES</v>
      </c>
    </row>
    <row r="4676" spans="1:9" x14ac:dyDescent="0.25">
      <c r="A4676" s="6">
        <v>44832</v>
      </c>
      <c r="B4676" t="s">
        <v>26</v>
      </c>
      <c r="C4676">
        <v>70643</v>
      </c>
      <c r="D4676" t="s">
        <v>104</v>
      </c>
      <c r="E4676" s="7">
        <v>150</v>
      </c>
      <c r="F4676" t="s">
        <v>20</v>
      </c>
      <c r="G4676" t="s">
        <v>21</v>
      </c>
      <c r="H4676" t="str">
        <f>"30378"</f>
        <v>30378</v>
      </c>
      <c r="I4676" t="str">
        <f>"WILSON COUNTY NEWS"</f>
        <v>WILSON COUNTY NEWS</v>
      </c>
    </row>
    <row r="4677" spans="1:9" x14ac:dyDescent="0.25">
      <c r="A4677" s="6">
        <v>44832</v>
      </c>
      <c r="B4677" t="s">
        <v>26</v>
      </c>
      <c r="C4677">
        <v>70643</v>
      </c>
      <c r="D4677" t="s">
        <v>104</v>
      </c>
      <c r="E4677" s="7">
        <v>1800</v>
      </c>
      <c r="F4677" t="s">
        <v>20</v>
      </c>
      <c r="G4677" t="s">
        <v>21</v>
      </c>
      <c r="H4677" t="str">
        <f>"33421"</f>
        <v>33421</v>
      </c>
      <c r="I4677" t="str">
        <f>"WILSON COUNTY NEWS"</f>
        <v>WILSON COUNTY NEWS</v>
      </c>
    </row>
    <row r="4678" spans="1:9" x14ac:dyDescent="0.25">
      <c r="A4678" s="6">
        <v>44832</v>
      </c>
      <c r="B4678" t="s">
        <v>26</v>
      </c>
      <c r="C4678">
        <v>70644</v>
      </c>
      <c r="D4678" t="s">
        <v>107</v>
      </c>
      <c r="E4678" s="7">
        <v>212.13</v>
      </c>
      <c r="F4678" t="s">
        <v>20</v>
      </c>
      <c r="G4678" t="s">
        <v>21</v>
      </c>
      <c r="H4678" t="str">
        <f>"1166960-20220831"</f>
        <v>1166960-20220831</v>
      </c>
      <c r="I4678" t="str">
        <f>"LEXISNEXIS RISK SOLUTIONS"</f>
        <v>LEXISNEXIS RISK SOLUTIONS</v>
      </c>
    </row>
    <row r="4679" spans="1:9" x14ac:dyDescent="0.25">
      <c r="A4679" s="6">
        <v>44832</v>
      </c>
      <c r="B4679" t="s">
        <v>26</v>
      </c>
      <c r="C4679">
        <v>70645</v>
      </c>
      <c r="D4679" t="s">
        <v>1305</v>
      </c>
      <c r="E4679" s="7">
        <v>50</v>
      </c>
      <c r="F4679" t="s">
        <v>20</v>
      </c>
      <c r="G4679" t="s">
        <v>21</v>
      </c>
      <c r="H4679" t="str">
        <f>"DEP.RFND 9/10/22"</f>
        <v>DEP.RFND 9/10/22</v>
      </c>
      <c r="I4679" t="str">
        <f>"REFUND"</f>
        <v>REFUND</v>
      </c>
    </row>
    <row r="4680" spans="1:9" x14ac:dyDescent="0.25">
      <c r="A4680" s="6">
        <v>44832</v>
      </c>
      <c r="B4680" t="s">
        <v>26</v>
      </c>
      <c r="C4680">
        <v>70646</v>
      </c>
      <c r="D4680" t="s">
        <v>215</v>
      </c>
      <c r="E4680" s="7">
        <v>2512.9</v>
      </c>
      <c r="F4680" t="s">
        <v>20</v>
      </c>
      <c r="G4680" t="s">
        <v>21</v>
      </c>
      <c r="H4680" t="str">
        <f>"OP0000026969"</f>
        <v>OP0000026969</v>
      </c>
      <c r="I4680" t="str">
        <f>"ODESSA PUMPS &amp; EQUIPMENT"</f>
        <v>ODESSA PUMPS &amp; EQUIPMENT</v>
      </c>
    </row>
    <row r="4681" spans="1:9" x14ac:dyDescent="0.25">
      <c r="A4681" s="6">
        <v>44832</v>
      </c>
      <c r="B4681" t="s">
        <v>26</v>
      </c>
      <c r="C4681">
        <v>70647</v>
      </c>
      <c r="D4681" t="s">
        <v>1013</v>
      </c>
      <c r="E4681" s="7">
        <v>12850</v>
      </c>
      <c r="F4681" t="s">
        <v>20</v>
      </c>
      <c r="G4681" t="s">
        <v>21</v>
      </c>
      <c r="H4681" t="str">
        <f>"222"</f>
        <v>222</v>
      </c>
      <c r="I4681" t="str">
        <f>"RAIL ROAD ST SWELL PROJEC"</f>
        <v>RAIL ROAD ST SWELL PROJEC</v>
      </c>
    </row>
    <row r="4682" spans="1:9" x14ac:dyDescent="0.25">
      <c r="A4682" s="6">
        <v>44832</v>
      </c>
      <c r="B4682" t="s">
        <v>26</v>
      </c>
      <c r="C4682">
        <v>70648</v>
      </c>
      <c r="D4682" t="s">
        <v>1306</v>
      </c>
      <c r="E4682" s="7">
        <v>166644</v>
      </c>
      <c r="F4682" t="s">
        <v>20</v>
      </c>
      <c r="G4682" t="s">
        <v>21</v>
      </c>
      <c r="H4682" t="str">
        <f>"PAY APP#1 EST."</f>
        <v>PAY APP#1 EST.</v>
      </c>
      <c r="I4682" t="str">
        <f>"KING SOLUTION SERVICES  LLC"</f>
        <v>KING SOLUTION SERVICES  LLC</v>
      </c>
    </row>
    <row r="4683" spans="1:9" x14ac:dyDescent="0.25">
      <c r="A4683" s="6">
        <v>44832</v>
      </c>
      <c r="B4683" t="s">
        <v>26</v>
      </c>
      <c r="C4683">
        <v>70649</v>
      </c>
      <c r="D4683" t="s">
        <v>1112</v>
      </c>
      <c r="E4683" s="7">
        <v>50</v>
      </c>
      <c r="F4683" t="s">
        <v>20</v>
      </c>
      <c r="G4683" t="s">
        <v>21</v>
      </c>
      <c r="H4683" t="str">
        <f>"DEP.RFND 9/24/22"</f>
        <v>DEP.RFND 9/24/22</v>
      </c>
      <c r="I4683" t="str">
        <f>"REFUND"</f>
        <v>REFUND</v>
      </c>
    </row>
    <row r="4684" spans="1:9" x14ac:dyDescent="0.25">
      <c r="A4684" s="6">
        <v>44832</v>
      </c>
      <c r="B4684" t="s">
        <v>26</v>
      </c>
      <c r="C4684">
        <v>70650</v>
      </c>
      <c r="D4684" t="s">
        <v>532</v>
      </c>
      <c r="E4684" s="7">
        <v>160</v>
      </c>
      <c r="F4684" t="s">
        <v>20</v>
      </c>
      <c r="G4684" t="s">
        <v>21</v>
      </c>
      <c r="H4684" t="str">
        <f>"'23 MBSHP RENEWAL"</f>
        <v>'23 MBSHP RENEWAL</v>
      </c>
      <c r="I4684" t="str">
        <f>"GOVERNMENT FINANCE OFFICERS AS"</f>
        <v>GOVERNMENT FINANCE OFFICERS AS</v>
      </c>
    </row>
    <row r="4685" spans="1:9" x14ac:dyDescent="0.25">
      <c r="A4685" s="6">
        <v>44832</v>
      </c>
      <c r="B4685" t="s">
        <v>26</v>
      </c>
      <c r="C4685">
        <v>70651</v>
      </c>
      <c r="D4685" t="s">
        <v>560</v>
      </c>
      <c r="E4685" s="7">
        <v>1743.54</v>
      </c>
      <c r="F4685" t="s">
        <v>20</v>
      </c>
      <c r="G4685" t="s">
        <v>21</v>
      </c>
      <c r="H4685" t="str">
        <f>"WS01626"</f>
        <v>WS01626</v>
      </c>
      <c r="I4685" t="str">
        <f>"KINLOCH EQUIPMENT &amp; SUPPLY  IN"</f>
        <v>KINLOCH EQUIPMENT &amp; SUPPLY  IN</v>
      </c>
    </row>
    <row r="4686" spans="1:9" x14ac:dyDescent="0.25">
      <c r="A4686" s="6">
        <v>44832</v>
      </c>
      <c r="B4686" t="s">
        <v>26</v>
      </c>
      <c r="C4686">
        <v>70652</v>
      </c>
      <c r="D4686" t="s">
        <v>71</v>
      </c>
      <c r="E4686" s="7">
        <v>57.72</v>
      </c>
      <c r="F4686" t="s">
        <v>20</v>
      </c>
      <c r="G4686" t="s">
        <v>21</v>
      </c>
      <c r="H4686" t="str">
        <f>"4132441026"</f>
        <v>4132441026</v>
      </c>
      <c r="I4686" t="str">
        <f>"CINTAS CORPORATION #087"</f>
        <v>CINTAS CORPORATION #087</v>
      </c>
    </row>
    <row r="4687" spans="1:9" x14ac:dyDescent="0.25">
      <c r="A4687" s="6">
        <v>44832</v>
      </c>
      <c r="B4687" t="s">
        <v>26</v>
      </c>
      <c r="C4687">
        <v>70652</v>
      </c>
      <c r="D4687" t="s">
        <v>71</v>
      </c>
      <c r="E4687" s="7">
        <v>37.1</v>
      </c>
      <c r="F4687" t="s">
        <v>20</v>
      </c>
      <c r="G4687" t="s">
        <v>21</v>
      </c>
      <c r="H4687" t="str">
        <f>"4132441051"</f>
        <v>4132441051</v>
      </c>
      <c r="I4687" t="str">
        <f>"CINTAS CORPORATION #087"</f>
        <v>CINTAS CORPORATION #087</v>
      </c>
    </row>
    <row r="4688" spans="1:9" x14ac:dyDescent="0.25">
      <c r="A4688" s="6">
        <v>44832</v>
      </c>
      <c r="B4688" t="s">
        <v>26</v>
      </c>
      <c r="C4688">
        <v>70652</v>
      </c>
      <c r="D4688" t="s">
        <v>71</v>
      </c>
      <c r="E4688" s="7">
        <v>9.3800000000000008</v>
      </c>
      <c r="F4688" t="s">
        <v>20</v>
      </c>
      <c r="G4688" t="s">
        <v>21</v>
      </c>
      <c r="H4688" t="str">
        <f>"4132441053"</f>
        <v>4132441053</v>
      </c>
      <c r="I4688" t="str">
        <f>"CINTAS CORPORATION #087"</f>
        <v>CINTAS CORPORATION #087</v>
      </c>
    </row>
    <row r="4689" spans="1:9" x14ac:dyDescent="0.25">
      <c r="A4689" s="6">
        <v>44832</v>
      </c>
      <c r="B4689" t="s">
        <v>26</v>
      </c>
      <c r="C4689">
        <v>70652</v>
      </c>
      <c r="D4689" t="s">
        <v>71</v>
      </c>
      <c r="E4689" s="7">
        <v>164.22</v>
      </c>
      <c r="F4689" t="s">
        <v>20</v>
      </c>
      <c r="G4689" t="s">
        <v>21</v>
      </c>
      <c r="H4689" t="str">
        <f>"4132441094"</f>
        <v>4132441094</v>
      </c>
      <c r="I4689" t="str">
        <f>"CINTAS CORPORATION #087"</f>
        <v>CINTAS CORPORATION #087</v>
      </c>
    </row>
    <row r="4690" spans="1:9" x14ac:dyDescent="0.25">
      <c r="A4690" s="6">
        <v>44832</v>
      </c>
      <c r="B4690" t="s">
        <v>26</v>
      </c>
      <c r="C4690">
        <v>70652</v>
      </c>
      <c r="D4690" t="s">
        <v>71</v>
      </c>
      <c r="E4690" s="7">
        <v>31.89</v>
      </c>
      <c r="F4690" t="s">
        <v>20</v>
      </c>
      <c r="G4690" t="s">
        <v>21</v>
      </c>
      <c r="H4690" t="str">
        <f>"4132441102"</f>
        <v>4132441102</v>
      </c>
      <c r="I4690" t="str">
        <f>"CINTAS CORPORATION #087"</f>
        <v>CINTAS CORPORATION #087</v>
      </c>
    </row>
    <row r="4691" spans="1:9" x14ac:dyDescent="0.25">
      <c r="A4691" s="6">
        <v>44832</v>
      </c>
      <c r="B4691" t="s">
        <v>26</v>
      </c>
      <c r="C4691">
        <v>70654</v>
      </c>
      <c r="D4691" t="s">
        <v>661</v>
      </c>
      <c r="E4691" s="7">
        <v>579.25</v>
      </c>
      <c r="F4691" t="s">
        <v>20</v>
      </c>
      <c r="G4691" t="s">
        <v>21</v>
      </c>
      <c r="H4691" t="str">
        <f>"8405799972"</f>
        <v>8405799972</v>
      </c>
      <c r="I4691" t="str">
        <f>"CINTAS FAS LOCKBOX 631025"</f>
        <v>CINTAS FAS LOCKBOX 631025</v>
      </c>
    </row>
    <row r="4692" spans="1:9" x14ac:dyDescent="0.25">
      <c r="A4692" s="6">
        <v>44832</v>
      </c>
      <c r="B4692" t="s">
        <v>26</v>
      </c>
      <c r="C4692">
        <v>70654</v>
      </c>
      <c r="D4692" t="s">
        <v>661</v>
      </c>
      <c r="E4692" s="7">
        <v>743.26</v>
      </c>
      <c r="F4692" t="s">
        <v>20</v>
      </c>
      <c r="G4692" t="s">
        <v>21</v>
      </c>
      <c r="H4692" t="str">
        <f>"8405820979"</f>
        <v>8405820979</v>
      </c>
      <c r="I4692" t="str">
        <f>"CINTAS FAS LOCKBOX 631025"</f>
        <v>CINTAS FAS LOCKBOX 631025</v>
      </c>
    </row>
    <row r="4693" spans="1:9" x14ac:dyDescent="0.25">
      <c r="A4693" s="6">
        <v>44832</v>
      </c>
      <c r="B4693" t="s">
        <v>26</v>
      </c>
      <c r="C4693">
        <v>70655</v>
      </c>
      <c r="D4693" t="s">
        <v>644</v>
      </c>
      <c r="E4693" s="7">
        <v>140.51</v>
      </c>
      <c r="F4693" t="s">
        <v>20</v>
      </c>
      <c r="G4693" t="s">
        <v>21</v>
      </c>
      <c r="H4693" t="str">
        <f>"8213780533"</f>
        <v>8213780533</v>
      </c>
      <c r="I4693" t="str">
        <f t="shared" ref="I4693:I4698" si="110">"UNIFIRST CORPORATION"</f>
        <v>UNIFIRST CORPORATION</v>
      </c>
    </row>
    <row r="4694" spans="1:9" x14ac:dyDescent="0.25">
      <c r="A4694" s="6">
        <v>44832</v>
      </c>
      <c r="B4694" t="s">
        <v>26</v>
      </c>
      <c r="C4694">
        <v>70655</v>
      </c>
      <c r="D4694" t="s">
        <v>644</v>
      </c>
      <c r="E4694" s="7">
        <v>29.49</v>
      </c>
      <c r="F4694" t="s">
        <v>20</v>
      </c>
      <c r="G4694" t="s">
        <v>21</v>
      </c>
      <c r="H4694" t="str">
        <f>"8213780534"</f>
        <v>8213780534</v>
      </c>
      <c r="I4694" t="str">
        <f t="shared" si="110"/>
        <v>UNIFIRST CORPORATION</v>
      </c>
    </row>
    <row r="4695" spans="1:9" x14ac:dyDescent="0.25">
      <c r="A4695" s="6">
        <v>44832</v>
      </c>
      <c r="B4695" t="s">
        <v>26</v>
      </c>
      <c r="C4695">
        <v>70655</v>
      </c>
      <c r="D4695" t="s">
        <v>644</v>
      </c>
      <c r="E4695" s="7">
        <v>134.38999999999999</v>
      </c>
      <c r="F4695" t="s">
        <v>20</v>
      </c>
      <c r="G4695" t="s">
        <v>21</v>
      </c>
      <c r="H4695" t="str">
        <f>"8213780535"</f>
        <v>8213780535</v>
      </c>
      <c r="I4695" t="str">
        <f t="shared" si="110"/>
        <v>UNIFIRST CORPORATION</v>
      </c>
    </row>
    <row r="4696" spans="1:9" x14ac:dyDescent="0.25">
      <c r="A4696" s="6">
        <v>44832</v>
      </c>
      <c r="B4696" t="s">
        <v>26</v>
      </c>
      <c r="C4696">
        <v>70655</v>
      </c>
      <c r="D4696" t="s">
        <v>644</v>
      </c>
      <c r="E4696" s="7">
        <v>71.25</v>
      </c>
      <c r="F4696" t="s">
        <v>20</v>
      </c>
      <c r="G4696" t="s">
        <v>21</v>
      </c>
      <c r="H4696" t="str">
        <f>"8213780536"</f>
        <v>8213780536</v>
      </c>
      <c r="I4696" t="str">
        <f t="shared" si="110"/>
        <v>UNIFIRST CORPORATION</v>
      </c>
    </row>
    <row r="4697" spans="1:9" x14ac:dyDescent="0.25">
      <c r="A4697" s="6">
        <v>44832</v>
      </c>
      <c r="B4697" t="s">
        <v>26</v>
      </c>
      <c r="C4697">
        <v>70655</v>
      </c>
      <c r="D4697" t="s">
        <v>644</v>
      </c>
      <c r="E4697" s="7">
        <v>125.06</v>
      </c>
      <c r="F4697" t="s">
        <v>20</v>
      </c>
      <c r="G4697" t="s">
        <v>21</v>
      </c>
      <c r="H4697" t="str">
        <f>"8213780538"</f>
        <v>8213780538</v>
      </c>
      <c r="I4697" t="str">
        <f t="shared" si="110"/>
        <v>UNIFIRST CORPORATION</v>
      </c>
    </row>
    <row r="4698" spans="1:9" x14ac:dyDescent="0.25">
      <c r="A4698" s="6">
        <v>44832</v>
      </c>
      <c r="B4698" t="s">
        <v>26</v>
      </c>
      <c r="C4698">
        <v>70655</v>
      </c>
      <c r="D4698" t="s">
        <v>644</v>
      </c>
      <c r="E4698" s="7">
        <v>29.49</v>
      </c>
      <c r="F4698" t="s">
        <v>20</v>
      </c>
      <c r="G4698" t="s">
        <v>21</v>
      </c>
      <c r="H4698" t="str">
        <f>"8213780539"</f>
        <v>8213780539</v>
      </c>
      <c r="I4698" t="str">
        <f t="shared" si="110"/>
        <v>UNIFIRST CORPORATION</v>
      </c>
    </row>
    <row r="4699" spans="1:9" x14ac:dyDescent="0.25">
      <c r="A4699" s="6">
        <v>44832</v>
      </c>
      <c r="B4699" t="s">
        <v>26</v>
      </c>
      <c r="C4699">
        <v>70657</v>
      </c>
      <c r="D4699" t="s">
        <v>675</v>
      </c>
      <c r="E4699" s="7">
        <v>308</v>
      </c>
      <c r="F4699" t="s">
        <v>20</v>
      </c>
      <c r="G4699" t="s">
        <v>21</v>
      </c>
      <c r="H4699" t="str">
        <f>"10430"</f>
        <v>10430</v>
      </c>
      <c r="I4699" t="str">
        <f>"RED ROSE PLUMBING  INC."</f>
        <v>RED ROSE PLUMBING  INC.</v>
      </c>
    </row>
    <row r="4700" spans="1:9" x14ac:dyDescent="0.25">
      <c r="A4700" s="6">
        <v>44832</v>
      </c>
      <c r="B4700" t="s">
        <v>26</v>
      </c>
      <c r="C4700">
        <v>70658</v>
      </c>
      <c r="D4700" t="s">
        <v>1074</v>
      </c>
      <c r="E4700" s="7">
        <v>78.92</v>
      </c>
      <c r="F4700" t="s">
        <v>20</v>
      </c>
      <c r="G4700" t="s">
        <v>21</v>
      </c>
      <c r="H4700" t="str">
        <f>"1FY1-XXWV-F9RW"</f>
        <v>1FY1-XXWV-F9RW</v>
      </c>
      <c r="I4700" t="str">
        <f>"POPCORN FOR EVENT CENTER"</f>
        <v>POPCORN FOR EVENT CENTER</v>
      </c>
    </row>
    <row r="4701" spans="1:9" x14ac:dyDescent="0.25">
      <c r="A4701" s="6">
        <v>44832</v>
      </c>
      <c r="B4701" t="s">
        <v>26</v>
      </c>
      <c r="C4701">
        <v>70658</v>
      </c>
      <c r="D4701" t="s">
        <v>1074</v>
      </c>
      <c r="E4701" s="7">
        <v>28.99</v>
      </c>
      <c r="F4701" t="s">
        <v>20</v>
      </c>
      <c r="G4701" t="s">
        <v>21</v>
      </c>
      <c r="H4701" t="str">
        <f>"1G4R-7NY6-DJ36"</f>
        <v>1G4R-7NY6-DJ36</v>
      </c>
      <c r="I4701" t="str">
        <f>"FOIL FOR EVENT CENTER"</f>
        <v>FOIL FOR EVENT CENTER</v>
      </c>
    </row>
    <row r="4702" spans="1:9" x14ac:dyDescent="0.25">
      <c r="A4702" s="6">
        <v>44832</v>
      </c>
      <c r="B4702" t="s">
        <v>26</v>
      </c>
      <c r="C4702">
        <v>70658</v>
      </c>
      <c r="D4702" t="s">
        <v>1074</v>
      </c>
      <c r="E4702" s="7">
        <v>113.19</v>
      </c>
      <c r="F4702" t="s">
        <v>20</v>
      </c>
      <c r="G4702" t="s">
        <v>21</v>
      </c>
      <c r="H4702" t="str">
        <f>"1HTP-1LT4-FYKG"</f>
        <v>1HTP-1LT4-FYKG</v>
      </c>
      <c r="I4702" t="str">
        <f>"AMAZON CAPITAL SERVICES"</f>
        <v>AMAZON CAPITAL SERVICES</v>
      </c>
    </row>
    <row r="4703" spans="1:9" x14ac:dyDescent="0.25">
      <c r="A4703" s="6">
        <v>44832</v>
      </c>
      <c r="B4703" t="s">
        <v>26</v>
      </c>
      <c r="C4703">
        <v>70658</v>
      </c>
      <c r="D4703" t="s">
        <v>1074</v>
      </c>
      <c r="E4703" s="7">
        <v>27.62</v>
      </c>
      <c r="F4703" t="s">
        <v>20</v>
      </c>
      <c r="G4703" t="s">
        <v>21</v>
      </c>
      <c r="H4703" t="str">
        <f>"1Q9F-G4W6-FTXJ"</f>
        <v>1Q9F-G4W6-FTXJ</v>
      </c>
      <c r="I4703" t="str">
        <f>"AMAZON CAPITAL SERVICES"</f>
        <v>AMAZON CAPITAL SERVICES</v>
      </c>
    </row>
    <row r="4704" spans="1:9" x14ac:dyDescent="0.25">
      <c r="A4704" s="6">
        <v>44832</v>
      </c>
      <c r="B4704" t="s">
        <v>26</v>
      </c>
      <c r="C4704">
        <v>70658</v>
      </c>
      <c r="D4704" t="s">
        <v>1074</v>
      </c>
      <c r="E4704" s="7">
        <v>121.98</v>
      </c>
      <c r="F4704" t="s">
        <v>20</v>
      </c>
      <c r="G4704" t="s">
        <v>21</v>
      </c>
      <c r="H4704" t="str">
        <f>"1RCY-GY3Y-FMW1"</f>
        <v>1RCY-GY3Y-FMW1</v>
      </c>
      <c r="I4704" t="str">
        <f>"AMAZON CAPITAL SERVICES"</f>
        <v>AMAZON CAPITAL SERVICES</v>
      </c>
    </row>
    <row r="4705" spans="1:9" x14ac:dyDescent="0.25">
      <c r="A4705" s="6">
        <v>44832</v>
      </c>
      <c r="B4705" t="s">
        <v>26</v>
      </c>
      <c r="C4705">
        <v>70659</v>
      </c>
      <c r="D4705" t="s">
        <v>1307</v>
      </c>
      <c r="E4705" s="7">
        <v>4499</v>
      </c>
      <c r="F4705" t="s">
        <v>20</v>
      </c>
      <c r="G4705" t="s">
        <v>21</v>
      </c>
      <c r="H4705" t="str">
        <f>"12856826-33"</f>
        <v>12856826-33</v>
      </c>
      <c r="I4705" t="str">
        <f>"STANLEY STEEMER"</f>
        <v>STANLEY STEEMER</v>
      </c>
    </row>
    <row r="4706" spans="1:9" x14ac:dyDescent="0.25">
      <c r="A4706" s="6">
        <v>44832</v>
      </c>
      <c r="B4706" t="s">
        <v>26</v>
      </c>
      <c r="C4706">
        <v>70660</v>
      </c>
      <c r="D4706" t="s">
        <v>1308</v>
      </c>
      <c r="E4706" s="7">
        <v>7300</v>
      </c>
      <c r="F4706" t="s">
        <v>20</v>
      </c>
      <c r="G4706" t="s">
        <v>21</v>
      </c>
      <c r="H4706" t="str">
        <f>"CFM0002147"</f>
        <v>CFM0002147</v>
      </c>
      <c r="I4706" t="str">
        <f>"NATIONAL BENEFIT SERVICES  LLC"</f>
        <v>NATIONAL BENEFIT SERVICES  LLC</v>
      </c>
    </row>
    <row r="4707" spans="1:9" x14ac:dyDescent="0.25">
      <c r="A4707" s="6">
        <v>44833</v>
      </c>
      <c r="B4707" t="s">
        <v>26</v>
      </c>
      <c r="C4707">
        <v>70661</v>
      </c>
      <c r="D4707" t="s">
        <v>1273</v>
      </c>
      <c r="E4707" s="7">
        <v>720</v>
      </c>
      <c r="F4707" t="s">
        <v>20</v>
      </c>
      <c r="G4707" t="s">
        <v>21</v>
      </c>
      <c r="H4707" t="str">
        <f>"9/18-9/30/2022"</f>
        <v>9/18-9/30/2022</v>
      </c>
      <c r="I4707" t="str">
        <f>"MEGAN D GARCIA"</f>
        <v>MEGAN D GARCIA</v>
      </c>
    </row>
    <row r="4708" spans="1:9" x14ac:dyDescent="0.25">
      <c r="A4708" s="6">
        <v>44833</v>
      </c>
      <c r="B4708" t="s">
        <v>26</v>
      </c>
      <c r="C4708">
        <v>70662</v>
      </c>
      <c r="D4708" t="s">
        <v>1306</v>
      </c>
      <c r="E4708" s="7">
        <v>72981</v>
      </c>
      <c r="F4708" t="s">
        <v>20</v>
      </c>
      <c r="G4708" t="s">
        <v>21</v>
      </c>
      <c r="H4708" t="str">
        <f>"PAY APP #2"</f>
        <v>PAY APP #2</v>
      </c>
      <c r="I4708" t="str">
        <f>"KING SOLUTION SERVICES  LLC"</f>
        <v>KING SOLUTION SERVICES  LLC</v>
      </c>
    </row>
    <row r="4709" spans="1:9" x14ac:dyDescent="0.25">
      <c r="A4709" s="6">
        <v>44561</v>
      </c>
      <c r="B4709" t="s">
        <v>13</v>
      </c>
      <c r="C4709">
        <v>68474</v>
      </c>
      <c r="D4709" t="s">
        <v>14</v>
      </c>
      <c r="E4709" s="7">
        <v>1714</v>
      </c>
      <c r="F4709" t="s">
        <v>15</v>
      </c>
      <c r="G4709" t="s">
        <v>15</v>
      </c>
      <c r="H4709" t="s">
        <v>15</v>
      </c>
      <c r="I4709" s="6" t="s">
        <v>15</v>
      </c>
    </row>
    <row r="4710" spans="1:9" x14ac:dyDescent="0.25">
      <c r="A4710" s="6">
        <v>44561</v>
      </c>
      <c r="B4710" t="s">
        <v>13</v>
      </c>
      <c r="C4710">
        <v>68475</v>
      </c>
      <c r="D4710" t="s">
        <v>14</v>
      </c>
      <c r="E4710" s="7">
        <v>1072.94</v>
      </c>
      <c r="F4710" t="s">
        <v>15</v>
      </c>
      <c r="G4710" t="s">
        <v>15</v>
      </c>
      <c r="H4710" t="s">
        <v>15</v>
      </c>
      <c r="I4710" s="6" t="s">
        <v>15</v>
      </c>
    </row>
    <row r="4711" spans="1:9" x14ac:dyDescent="0.25">
      <c r="A4711" s="6">
        <v>44561</v>
      </c>
      <c r="B4711" t="s">
        <v>13</v>
      </c>
      <c r="C4711">
        <v>68476</v>
      </c>
      <c r="D4711" t="s">
        <v>14</v>
      </c>
      <c r="E4711" s="7">
        <v>1412.25</v>
      </c>
      <c r="F4711" t="s">
        <v>15</v>
      </c>
      <c r="G4711" t="s">
        <v>15</v>
      </c>
      <c r="H4711" t="s">
        <v>15</v>
      </c>
      <c r="I4711" s="6" t="s">
        <v>15</v>
      </c>
    </row>
    <row r="4712" spans="1:9" x14ac:dyDescent="0.25">
      <c r="A4712" s="6">
        <v>44561</v>
      </c>
      <c r="B4712" t="s">
        <v>13</v>
      </c>
      <c r="C4712">
        <v>68477</v>
      </c>
      <c r="D4712" t="s">
        <v>14</v>
      </c>
      <c r="E4712" s="7">
        <v>1157.3</v>
      </c>
      <c r="F4712" t="s">
        <v>15</v>
      </c>
      <c r="G4712" t="s">
        <v>15</v>
      </c>
      <c r="H4712" t="s">
        <v>15</v>
      </c>
      <c r="I4712" s="6" t="s">
        <v>15</v>
      </c>
    </row>
    <row r="4713" spans="1:9" x14ac:dyDescent="0.25">
      <c r="A4713" s="6">
        <v>44575</v>
      </c>
      <c r="B4713" t="s">
        <v>13</v>
      </c>
      <c r="C4713">
        <v>68544</v>
      </c>
      <c r="D4713" t="s">
        <v>14</v>
      </c>
      <c r="E4713" s="7">
        <v>2204.71</v>
      </c>
      <c r="F4713" t="s">
        <v>15</v>
      </c>
      <c r="G4713" t="s">
        <v>15</v>
      </c>
      <c r="H4713" t="s">
        <v>15</v>
      </c>
      <c r="I4713" s="6" t="s">
        <v>15</v>
      </c>
    </row>
    <row r="4714" spans="1:9" x14ac:dyDescent="0.25">
      <c r="A4714" s="6">
        <v>44575</v>
      </c>
      <c r="B4714" t="s">
        <v>13</v>
      </c>
      <c r="C4714">
        <v>68545</v>
      </c>
      <c r="D4714" t="s">
        <v>14</v>
      </c>
      <c r="E4714" s="7">
        <v>1113.4000000000001</v>
      </c>
      <c r="F4714" t="s">
        <v>15</v>
      </c>
      <c r="G4714" t="s">
        <v>15</v>
      </c>
      <c r="H4714" t="s">
        <v>15</v>
      </c>
      <c r="I4714" s="6" t="s">
        <v>15</v>
      </c>
    </row>
    <row r="4715" spans="1:9" x14ac:dyDescent="0.25">
      <c r="A4715" s="6">
        <v>44575</v>
      </c>
      <c r="B4715" t="s">
        <v>13</v>
      </c>
      <c r="C4715">
        <v>68546</v>
      </c>
      <c r="D4715" t="s">
        <v>14</v>
      </c>
      <c r="E4715" s="7">
        <v>1152.1500000000001</v>
      </c>
      <c r="F4715" t="s">
        <v>15</v>
      </c>
      <c r="G4715" t="s">
        <v>15</v>
      </c>
      <c r="H4715" t="s">
        <v>15</v>
      </c>
      <c r="I4715" s="6" t="s">
        <v>15</v>
      </c>
    </row>
    <row r="4716" spans="1:9" x14ac:dyDescent="0.25">
      <c r="A4716" s="6">
        <v>44575</v>
      </c>
      <c r="B4716" t="s">
        <v>13</v>
      </c>
      <c r="C4716">
        <v>68547</v>
      </c>
      <c r="D4716" t="s">
        <v>14</v>
      </c>
      <c r="E4716" s="7">
        <v>682.63</v>
      </c>
      <c r="F4716" t="s">
        <v>15</v>
      </c>
      <c r="G4716" t="s">
        <v>15</v>
      </c>
      <c r="H4716" t="s">
        <v>15</v>
      </c>
      <c r="I4716" s="6" t="s">
        <v>15</v>
      </c>
    </row>
    <row r="4717" spans="1:9" x14ac:dyDescent="0.25">
      <c r="A4717" s="6">
        <v>44589</v>
      </c>
      <c r="B4717" t="s">
        <v>13</v>
      </c>
      <c r="C4717">
        <v>68652</v>
      </c>
      <c r="D4717" t="s">
        <v>14</v>
      </c>
      <c r="E4717" s="7">
        <v>1748.09</v>
      </c>
      <c r="F4717" t="s">
        <v>15</v>
      </c>
      <c r="G4717" t="s">
        <v>15</v>
      </c>
      <c r="H4717" t="s">
        <v>15</v>
      </c>
      <c r="I4717" s="6" t="s">
        <v>15</v>
      </c>
    </row>
    <row r="4718" spans="1:9" x14ac:dyDescent="0.25">
      <c r="A4718" s="6">
        <v>44589</v>
      </c>
      <c r="B4718" t="s">
        <v>13</v>
      </c>
      <c r="C4718">
        <v>68653</v>
      </c>
      <c r="D4718" t="s">
        <v>14</v>
      </c>
      <c r="E4718" s="7">
        <v>1244.82</v>
      </c>
      <c r="F4718" t="s">
        <v>15</v>
      </c>
      <c r="G4718" t="s">
        <v>15</v>
      </c>
      <c r="H4718" t="s">
        <v>15</v>
      </c>
      <c r="I4718" s="6" t="s">
        <v>15</v>
      </c>
    </row>
    <row r="4719" spans="1:9" x14ac:dyDescent="0.25">
      <c r="A4719" s="6">
        <v>44589</v>
      </c>
      <c r="B4719" t="s">
        <v>13</v>
      </c>
      <c r="C4719">
        <v>68654</v>
      </c>
      <c r="D4719" t="s">
        <v>14</v>
      </c>
      <c r="E4719" s="7">
        <v>1328.78</v>
      </c>
      <c r="F4719" t="s">
        <v>15</v>
      </c>
      <c r="G4719" t="s">
        <v>15</v>
      </c>
      <c r="H4719" t="s">
        <v>15</v>
      </c>
      <c r="I4719" s="6" t="s">
        <v>15</v>
      </c>
    </row>
    <row r="4720" spans="1:9" x14ac:dyDescent="0.25">
      <c r="A4720" s="6">
        <v>44589</v>
      </c>
      <c r="B4720" t="s">
        <v>13</v>
      </c>
      <c r="C4720">
        <v>68655</v>
      </c>
      <c r="D4720" t="s">
        <v>14</v>
      </c>
      <c r="E4720" s="7">
        <v>1095.79</v>
      </c>
      <c r="F4720" t="s">
        <v>15</v>
      </c>
      <c r="G4720" t="s">
        <v>15</v>
      </c>
      <c r="H4720" t="s">
        <v>15</v>
      </c>
      <c r="I4720" s="6" t="s">
        <v>15</v>
      </c>
    </row>
    <row r="4721" spans="1:9" x14ac:dyDescent="0.25">
      <c r="A4721" s="6">
        <v>44600</v>
      </c>
      <c r="B4721" t="s">
        <v>13</v>
      </c>
      <c r="C4721">
        <v>68788</v>
      </c>
      <c r="D4721" t="s">
        <v>14</v>
      </c>
      <c r="E4721" s="7">
        <v>1702.43</v>
      </c>
      <c r="F4721" t="s">
        <v>15</v>
      </c>
      <c r="G4721" t="s">
        <v>15</v>
      </c>
      <c r="H4721" t="s">
        <v>15</v>
      </c>
      <c r="I4721" s="6" t="s">
        <v>15</v>
      </c>
    </row>
    <row r="4722" spans="1:9" x14ac:dyDescent="0.25">
      <c r="A4722" s="6">
        <v>44600</v>
      </c>
      <c r="B4722" t="s">
        <v>13</v>
      </c>
      <c r="C4722">
        <v>68789</v>
      </c>
      <c r="D4722" t="s">
        <v>14</v>
      </c>
      <c r="E4722" s="7">
        <v>1213.54</v>
      </c>
      <c r="F4722" t="s">
        <v>15</v>
      </c>
      <c r="G4722" t="s">
        <v>15</v>
      </c>
      <c r="H4722" t="s">
        <v>15</v>
      </c>
      <c r="I4722" s="6" t="s">
        <v>15</v>
      </c>
    </row>
    <row r="4723" spans="1:9" x14ac:dyDescent="0.25">
      <c r="A4723" s="6">
        <v>44600</v>
      </c>
      <c r="B4723" t="s">
        <v>13</v>
      </c>
      <c r="C4723">
        <v>68790</v>
      </c>
      <c r="D4723" t="s">
        <v>14</v>
      </c>
      <c r="E4723" s="7">
        <v>1141.1199999999999</v>
      </c>
      <c r="F4723" t="s">
        <v>15</v>
      </c>
      <c r="G4723" t="s">
        <v>15</v>
      </c>
      <c r="H4723" t="s">
        <v>15</v>
      </c>
      <c r="I4723" s="6" t="s">
        <v>15</v>
      </c>
    </row>
    <row r="4724" spans="1:9" x14ac:dyDescent="0.25">
      <c r="A4724" s="6">
        <v>44600</v>
      </c>
      <c r="B4724" t="s">
        <v>13</v>
      </c>
      <c r="C4724">
        <v>68791</v>
      </c>
      <c r="D4724" t="s">
        <v>14</v>
      </c>
      <c r="E4724" s="7">
        <v>856.93</v>
      </c>
      <c r="F4724" t="s">
        <v>15</v>
      </c>
      <c r="G4724" t="s">
        <v>15</v>
      </c>
      <c r="H4724" t="s">
        <v>15</v>
      </c>
      <c r="I4724" s="6" t="s">
        <v>15</v>
      </c>
    </row>
    <row r="4725" spans="1:9" x14ac:dyDescent="0.25">
      <c r="A4725" s="6">
        <v>44617</v>
      </c>
      <c r="B4725" t="s">
        <v>13</v>
      </c>
      <c r="C4725">
        <v>68881</v>
      </c>
      <c r="D4725" t="s">
        <v>14</v>
      </c>
      <c r="E4725" s="7">
        <v>1676.62</v>
      </c>
      <c r="F4725" t="s">
        <v>15</v>
      </c>
      <c r="G4725" t="s">
        <v>15</v>
      </c>
      <c r="H4725" t="s">
        <v>15</v>
      </c>
      <c r="I4725" s="6" t="s">
        <v>15</v>
      </c>
    </row>
    <row r="4726" spans="1:9" x14ac:dyDescent="0.25">
      <c r="A4726" s="6">
        <v>44617</v>
      </c>
      <c r="B4726" t="s">
        <v>13</v>
      </c>
      <c r="C4726">
        <v>68882</v>
      </c>
      <c r="D4726" t="s">
        <v>14</v>
      </c>
      <c r="E4726" s="7">
        <v>1125.92</v>
      </c>
      <c r="F4726" t="s">
        <v>15</v>
      </c>
      <c r="G4726" t="s">
        <v>15</v>
      </c>
      <c r="H4726" t="s">
        <v>15</v>
      </c>
      <c r="I4726" s="6" t="s">
        <v>15</v>
      </c>
    </row>
    <row r="4727" spans="1:9" x14ac:dyDescent="0.25">
      <c r="A4727" s="6">
        <v>44617</v>
      </c>
      <c r="B4727" t="s">
        <v>13</v>
      </c>
      <c r="C4727">
        <v>68883</v>
      </c>
      <c r="D4727" t="s">
        <v>14</v>
      </c>
      <c r="E4727" s="7">
        <v>1243.04</v>
      </c>
      <c r="F4727" t="s">
        <v>15</v>
      </c>
      <c r="G4727" t="s">
        <v>15</v>
      </c>
      <c r="H4727" t="s">
        <v>15</v>
      </c>
      <c r="I4727" s="6" t="s">
        <v>15</v>
      </c>
    </row>
    <row r="4728" spans="1:9" x14ac:dyDescent="0.25">
      <c r="A4728" s="6">
        <v>44617</v>
      </c>
      <c r="B4728" t="s">
        <v>13</v>
      </c>
      <c r="C4728">
        <v>68884</v>
      </c>
      <c r="D4728" t="s">
        <v>14</v>
      </c>
      <c r="E4728" s="7">
        <v>939.25</v>
      </c>
      <c r="F4728" t="s">
        <v>15</v>
      </c>
      <c r="G4728" t="s">
        <v>15</v>
      </c>
      <c r="H4728" t="s">
        <v>15</v>
      </c>
      <c r="I4728" s="6" t="s">
        <v>15</v>
      </c>
    </row>
    <row r="4729" spans="1:9" x14ac:dyDescent="0.25">
      <c r="A4729" s="6">
        <v>44631</v>
      </c>
      <c r="B4729" t="s">
        <v>13</v>
      </c>
      <c r="C4729">
        <v>68990</v>
      </c>
      <c r="D4729" t="s">
        <v>14</v>
      </c>
      <c r="E4729" s="7">
        <v>1814.61</v>
      </c>
      <c r="F4729" t="s">
        <v>15</v>
      </c>
      <c r="G4729" t="s">
        <v>15</v>
      </c>
      <c r="H4729" t="s">
        <v>15</v>
      </c>
      <c r="I4729" s="6" t="s">
        <v>15</v>
      </c>
    </row>
    <row r="4730" spans="1:9" x14ac:dyDescent="0.25">
      <c r="A4730" s="6">
        <v>44631</v>
      </c>
      <c r="B4730" t="s">
        <v>13</v>
      </c>
      <c r="C4730">
        <v>68991</v>
      </c>
      <c r="D4730" t="s">
        <v>14</v>
      </c>
      <c r="E4730" s="7">
        <v>1132.17</v>
      </c>
      <c r="F4730" t="s">
        <v>15</v>
      </c>
      <c r="G4730" t="s">
        <v>15</v>
      </c>
      <c r="H4730" t="s">
        <v>15</v>
      </c>
      <c r="I4730" s="6" t="s">
        <v>15</v>
      </c>
    </row>
    <row r="4731" spans="1:9" x14ac:dyDescent="0.25">
      <c r="A4731" s="6">
        <v>44631</v>
      </c>
      <c r="B4731" t="s">
        <v>13</v>
      </c>
      <c r="C4731">
        <v>68992</v>
      </c>
      <c r="D4731" t="s">
        <v>14</v>
      </c>
      <c r="E4731" s="7">
        <v>1130.0899999999999</v>
      </c>
      <c r="F4731" t="s">
        <v>15</v>
      </c>
      <c r="G4731" t="s">
        <v>15</v>
      </c>
      <c r="H4731" t="s">
        <v>15</v>
      </c>
      <c r="I4731" s="6" t="s">
        <v>15</v>
      </c>
    </row>
    <row r="4732" spans="1:9" x14ac:dyDescent="0.25">
      <c r="A4732" s="6">
        <v>44631</v>
      </c>
      <c r="B4732" t="s">
        <v>13</v>
      </c>
      <c r="C4732">
        <v>68993</v>
      </c>
      <c r="D4732" t="s">
        <v>14</v>
      </c>
      <c r="E4732" s="7">
        <v>660.68</v>
      </c>
      <c r="F4732" t="s">
        <v>15</v>
      </c>
      <c r="G4732" t="s">
        <v>15</v>
      </c>
      <c r="H4732" t="s">
        <v>15</v>
      </c>
      <c r="I4732" s="6" t="s">
        <v>15</v>
      </c>
    </row>
    <row r="4733" spans="1:9" x14ac:dyDescent="0.25">
      <c r="A4733" s="6">
        <v>44636</v>
      </c>
      <c r="B4733" t="s">
        <v>13</v>
      </c>
      <c r="C4733">
        <v>69058</v>
      </c>
      <c r="D4733" t="s">
        <v>14</v>
      </c>
      <c r="E4733" s="7">
        <v>1087.31</v>
      </c>
      <c r="F4733" t="s">
        <v>15</v>
      </c>
      <c r="G4733" t="s">
        <v>15</v>
      </c>
      <c r="H4733" t="s">
        <v>15</v>
      </c>
      <c r="I4733" s="6" t="s">
        <v>15</v>
      </c>
    </row>
    <row r="4734" spans="1:9" x14ac:dyDescent="0.25">
      <c r="A4734" s="6">
        <v>44645</v>
      </c>
      <c r="B4734" t="s">
        <v>13</v>
      </c>
      <c r="C4734">
        <v>69081</v>
      </c>
      <c r="D4734" t="s">
        <v>14</v>
      </c>
      <c r="E4734" s="7">
        <v>1651.79</v>
      </c>
      <c r="F4734" t="s">
        <v>15</v>
      </c>
      <c r="G4734" t="s">
        <v>15</v>
      </c>
      <c r="H4734" t="s">
        <v>15</v>
      </c>
      <c r="I4734" s="6" t="s">
        <v>15</v>
      </c>
    </row>
    <row r="4735" spans="1:9" x14ac:dyDescent="0.25">
      <c r="A4735" s="6">
        <v>44645</v>
      </c>
      <c r="B4735" t="s">
        <v>13</v>
      </c>
      <c r="C4735">
        <v>69082</v>
      </c>
      <c r="D4735" t="s">
        <v>14</v>
      </c>
      <c r="E4735" s="7">
        <v>1078.29</v>
      </c>
      <c r="F4735" t="s">
        <v>15</v>
      </c>
      <c r="G4735" t="s">
        <v>15</v>
      </c>
      <c r="H4735" t="s">
        <v>15</v>
      </c>
      <c r="I4735" s="6" t="s">
        <v>15</v>
      </c>
    </row>
    <row r="4736" spans="1:9" x14ac:dyDescent="0.25">
      <c r="A4736" s="6">
        <v>44645</v>
      </c>
      <c r="B4736" t="s">
        <v>13</v>
      </c>
      <c r="C4736">
        <v>69083</v>
      </c>
      <c r="D4736" t="s">
        <v>14</v>
      </c>
      <c r="E4736" s="7">
        <v>1255.19</v>
      </c>
      <c r="F4736" t="s">
        <v>15</v>
      </c>
      <c r="G4736" t="s">
        <v>15</v>
      </c>
      <c r="H4736" t="s">
        <v>15</v>
      </c>
      <c r="I4736" s="6" t="s">
        <v>15</v>
      </c>
    </row>
    <row r="4737" spans="1:9" x14ac:dyDescent="0.25">
      <c r="A4737" s="6">
        <v>44645</v>
      </c>
      <c r="B4737" t="s">
        <v>13</v>
      </c>
      <c r="C4737">
        <v>69084</v>
      </c>
      <c r="D4737" t="s">
        <v>14</v>
      </c>
      <c r="E4737" s="7">
        <v>670.05</v>
      </c>
      <c r="F4737" t="s">
        <v>15</v>
      </c>
      <c r="G4737" t="s">
        <v>15</v>
      </c>
      <c r="H4737" t="s">
        <v>15</v>
      </c>
      <c r="I4737" s="6" t="s">
        <v>15</v>
      </c>
    </row>
    <row r="4738" spans="1:9" x14ac:dyDescent="0.25">
      <c r="A4738" s="6">
        <v>44659</v>
      </c>
      <c r="B4738" t="s">
        <v>13</v>
      </c>
      <c r="C4738">
        <v>69197</v>
      </c>
      <c r="D4738" t="s">
        <v>14</v>
      </c>
      <c r="E4738" s="7">
        <v>1999.73</v>
      </c>
      <c r="F4738" t="s">
        <v>15</v>
      </c>
      <c r="G4738" t="s">
        <v>15</v>
      </c>
      <c r="H4738" t="s">
        <v>15</v>
      </c>
      <c r="I4738" s="6" t="s">
        <v>15</v>
      </c>
    </row>
    <row r="4739" spans="1:9" x14ac:dyDescent="0.25">
      <c r="A4739" s="6">
        <v>44659</v>
      </c>
      <c r="B4739" t="s">
        <v>13</v>
      </c>
      <c r="C4739">
        <v>69198</v>
      </c>
      <c r="D4739" t="s">
        <v>14</v>
      </c>
      <c r="E4739" s="7">
        <v>1307.4000000000001</v>
      </c>
      <c r="F4739" t="s">
        <v>15</v>
      </c>
      <c r="G4739" t="s">
        <v>15</v>
      </c>
      <c r="H4739" t="s">
        <v>15</v>
      </c>
      <c r="I4739" s="6" t="s">
        <v>15</v>
      </c>
    </row>
    <row r="4740" spans="1:9" x14ac:dyDescent="0.25">
      <c r="A4740" s="6">
        <v>44659</v>
      </c>
      <c r="B4740" t="s">
        <v>13</v>
      </c>
      <c r="C4740">
        <v>69199</v>
      </c>
      <c r="D4740" t="s">
        <v>14</v>
      </c>
      <c r="E4740" s="7">
        <v>1183.07</v>
      </c>
      <c r="F4740" t="s">
        <v>15</v>
      </c>
      <c r="G4740" t="s">
        <v>15</v>
      </c>
      <c r="H4740" t="s">
        <v>15</v>
      </c>
      <c r="I4740" s="6" t="s">
        <v>15</v>
      </c>
    </row>
    <row r="4741" spans="1:9" x14ac:dyDescent="0.25">
      <c r="A4741" s="6">
        <v>44659</v>
      </c>
      <c r="B4741" t="s">
        <v>13</v>
      </c>
      <c r="C4741">
        <v>69200</v>
      </c>
      <c r="D4741" t="s">
        <v>14</v>
      </c>
      <c r="E4741" s="7">
        <v>900.53</v>
      </c>
      <c r="F4741" t="s">
        <v>15</v>
      </c>
      <c r="G4741" t="s">
        <v>15</v>
      </c>
      <c r="H4741" t="s">
        <v>15</v>
      </c>
      <c r="I4741" s="6" t="s">
        <v>15</v>
      </c>
    </row>
    <row r="4742" spans="1:9" x14ac:dyDescent="0.25">
      <c r="A4742" s="6">
        <v>44673</v>
      </c>
      <c r="B4742" t="s">
        <v>13</v>
      </c>
      <c r="C4742">
        <v>69286</v>
      </c>
      <c r="D4742" t="s">
        <v>14</v>
      </c>
      <c r="E4742" s="7">
        <v>1688.52</v>
      </c>
      <c r="F4742" t="s">
        <v>15</v>
      </c>
      <c r="G4742" t="s">
        <v>15</v>
      </c>
      <c r="H4742" t="s">
        <v>15</v>
      </c>
      <c r="I4742" s="6" t="s">
        <v>15</v>
      </c>
    </row>
    <row r="4743" spans="1:9" x14ac:dyDescent="0.25">
      <c r="A4743" s="6">
        <v>44673</v>
      </c>
      <c r="B4743" t="s">
        <v>13</v>
      </c>
      <c r="C4743">
        <v>69287</v>
      </c>
      <c r="D4743" t="s">
        <v>14</v>
      </c>
      <c r="E4743" s="7">
        <v>1188.49</v>
      </c>
      <c r="F4743" t="s">
        <v>15</v>
      </c>
      <c r="G4743" t="s">
        <v>15</v>
      </c>
      <c r="H4743" t="s">
        <v>15</v>
      </c>
      <c r="I4743" s="6" t="s">
        <v>15</v>
      </c>
    </row>
    <row r="4744" spans="1:9" x14ac:dyDescent="0.25">
      <c r="A4744" s="6">
        <v>44673</v>
      </c>
      <c r="B4744" t="s">
        <v>13</v>
      </c>
      <c r="C4744">
        <v>69288</v>
      </c>
      <c r="D4744" t="s">
        <v>14</v>
      </c>
      <c r="E4744" s="7">
        <v>1340.55</v>
      </c>
      <c r="F4744" t="s">
        <v>15</v>
      </c>
      <c r="G4744" t="s">
        <v>15</v>
      </c>
      <c r="H4744" t="s">
        <v>15</v>
      </c>
      <c r="I4744" s="6" t="s">
        <v>15</v>
      </c>
    </row>
    <row r="4745" spans="1:9" x14ac:dyDescent="0.25">
      <c r="A4745" s="6">
        <v>44673</v>
      </c>
      <c r="B4745" t="s">
        <v>13</v>
      </c>
      <c r="C4745">
        <v>69289</v>
      </c>
      <c r="D4745" t="s">
        <v>14</v>
      </c>
      <c r="E4745" s="7">
        <v>747.19</v>
      </c>
      <c r="F4745" t="s">
        <v>15</v>
      </c>
      <c r="G4745" t="s">
        <v>15</v>
      </c>
      <c r="H4745" t="s">
        <v>15</v>
      </c>
      <c r="I4745" s="6" t="s">
        <v>15</v>
      </c>
    </row>
    <row r="4746" spans="1:9" x14ac:dyDescent="0.25">
      <c r="A4746" s="6">
        <v>44687</v>
      </c>
      <c r="B4746" t="s">
        <v>13</v>
      </c>
      <c r="C4746">
        <v>69371</v>
      </c>
      <c r="D4746" t="s">
        <v>14</v>
      </c>
      <c r="E4746" s="7">
        <v>1829</v>
      </c>
      <c r="F4746" t="s">
        <v>15</v>
      </c>
      <c r="G4746" t="s">
        <v>15</v>
      </c>
      <c r="H4746" t="s">
        <v>15</v>
      </c>
      <c r="I4746" s="6" t="s">
        <v>15</v>
      </c>
    </row>
    <row r="4747" spans="1:9" x14ac:dyDescent="0.25">
      <c r="A4747" s="6">
        <v>44687</v>
      </c>
      <c r="B4747" t="s">
        <v>13</v>
      </c>
      <c r="C4747">
        <v>69372</v>
      </c>
      <c r="D4747" t="s">
        <v>14</v>
      </c>
      <c r="E4747" s="7">
        <v>1044.53</v>
      </c>
      <c r="F4747" t="s">
        <v>15</v>
      </c>
      <c r="G4747" t="s">
        <v>15</v>
      </c>
      <c r="H4747" t="s">
        <v>15</v>
      </c>
      <c r="I4747" s="6" t="s">
        <v>15</v>
      </c>
    </row>
    <row r="4748" spans="1:9" x14ac:dyDescent="0.25">
      <c r="A4748" s="6">
        <v>44687</v>
      </c>
      <c r="B4748" t="s">
        <v>13</v>
      </c>
      <c r="C4748">
        <v>69373</v>
      </c>
      <c r="D4748" t="s">
        <v>14</v>
      </c>
      <c r="E4748" s="7">
        <v>1150.95</v>
      </c>
      <c r="F4748" t="s">
        <v>15</v>
      </c>
      <c r="G4748" t="s">
        <v>15</v>
      </c>
      <c r="H4748" t="s">
        <v>15</v>
      </c>
      <c r="I4748" s="6" t="s">
        <v>15</v>
      </c>
    </row>
    <row r="4749" spans="1:9" x14ac:dyDescent="0.25">
      <c r="A4749" s="6">
        <v>44687</v>
      </c>
      <c r="B4749" t="s">
        <v>13</v>
      </c>
      <c r="C4749">
        <v>69374</v>
      </c>
      <c r="D4749" t="s">
        <v>14</v>
      </c>
      <c r="E4749" s="7">
        <v>1224.19</v>
      </c>
      <c r="F4749" t="s">
        <v>15</v>
      </c>
      <c r="G4749" t="s">
        <v>15</v>
      </c>
      <c r="H4749" t="s">
        <v>15</v>
      </c>
      <c r="I4749" s="6" t="s">
        <v>15</v>
      </c>
    </row>
    <row r="4750" spans="1:9" x14ac:dyDescent="0.25">
      <c r="A4750" s="6">
        <v>44687</v>
      </c>
      <c r="B4750" t="s">
        <v>13</v>
      </c>
      <c r="C4750">
        <v>69375</v>
      </c>
      <c r="D4750" t="s">
        <v>14</v>
      </c>
      <c r="E4750" s="7">
        <v>1181.5899999999999</v>
      </c>
      <c r="F4750" t="s">
        <v>15</v>
      </c>
      <c r="G4750" t="s">
        <v>15</v>
      </c>
      <c r="H4750" t="s">
        <v>15</v>
      </c>
      <c r="I4750" s="6" t="s">
        <v>15</v>
      </c>
    </row>
    <row r="4751" spans="1:9" x14ac:dyDescent="0.25">
      <c r="A4751" s="6">
        <v>44687</v>
      </c>
      <c r="B4751" t="s">
        <v>13</v>
      </c>
      <c r="C4751">
        <v>69376</v>
      </c>
      <c r="D4751" t="s">
        <v>14</v>
      </c>
      <c r="E4751" s="7">
        <v>727.82</v>
      </c>
      <c r="F4751" t="s">
        <v>15</v>
      </c>
      <c r="G4751" t="s">
        <v>15</v>
      </c>
      <c r="H4751" t="s">
        <v>15</v>
      </c>
      <c r="I4751" s="6" t="s">
        <v>15</v>
      </c>
    </row>
    <row r="4752" spans="1:9" x14ac:dyDescent="0.25">
      <c r="A4752" s="6">
        <v>44701</v>
      </c>
      <c r="B4752" t="s">
        <v>13</v>
      </c>
      <c r="C4752">
        <v>69559</v>
      </c>
      <c r="D4752" t="s">
        <v>14</v>
      </c>
      <c r="E4752" s="7">
        <v>1628.97</v>
      </c>
      <c r="F4752" t="s">
        <v>15</v>
      </c>
      <c r="G4752" t="s">
        <v>15</v>
      </c>
      <c r="H4752" t="s">
        <v>15</v>
      </c>
      <c r="I4752" s="6" t="s">
        <v>15</v>
      </c>
    </row>
    <row r="4753" spans="1:9" x14ac:dyDescent="0.25">
      <c r="A4753" s="6">
        <v>44701</v>
      </c>
      <c r="B4753" t="s">
        <v>13</v>
      </c>
      <c r="C4753">
        <v>69560</v>
      </c>
      <c r="D4753" t="s">
        <v>14</v>
      </c>
      <c r="E4753" s="7">
        <v>1307.4000000000001</v>
      </c>
      <c r="F4753" t="s">
        <v>15</v>
      </c>
      <c r="G4753" t="s">
        <v>15</v>
      </c>
      <c r="H4753" t="s">
        <v>15</v>
      </c>
      <c r="I4753" s="6" t="s">
        <v>15</v>
      </c>
    </row>
    <row r="4754" spans="1:9" x14ac:dyDescent="0.25">
      <c r="A4754" s="6">
        <v>44701</v>
      </c>
      <c r="B4754" t="s">
        <v>13</v>
      </c>
      <c r="C4754">
        <v>69561</v>
      </c>
      <c r="D4754" t="s">
        <v>14</v>
      </c>
      <c r="E4754" s="7">
        <v>1365.58</v>
      </c>
      <c r="F4754" t="s">
        <v>15</v>
      </c>
      <c r="G4754" t="s">
        <v>15</v>
      </c>
      <c r="H4754" t="s">
        <v>15</v>
      </c>
      <c r="I4754" s="6" t="s">
        <v>15</v>
      </c>
    </row>
    <row r="4755" spans="1:9" x14ac:dyDescent="0.25">
      <c r="A4755" s="6">
        <v>44701</v>
      </c>
      <c r="B4755" t="s">
        <v>13</v>
      </c>
      <c r="C4755">
        <v>69562</v>
      </c>
      <c r="D4755" t="s">
        <v>14</v>
      </c>
      <c r="E4755" s="7">
        <v>993.48</v>
      </c>
      <c r="F4755" t="s">
        <v>15</v>
      </c>
      <c r="G4755" t="s">
        <v>15</v>
      </c>
      <c r="H4755" t="s">
        <v>15</v>
      </c>
      <c r="I4755" s="6" t="s">
        <v>15</v>
      </c>
    </row>
    <row r="4756" spans="1:9" x14ac:dyDescent="0.25">
      <c r="A4756" s="6">
        <v>44715</v>
      </c>
      <c r="B4756" t="s">
        <v>13</v>
      </c>
      <c r="C4756">
        <v>69629</v>
      </c>
      <c r="D4756" t="s">
        <v>14</v>
      </c>
      <c r="E4756" s="7">
        <v>1926.76</v>
      </c>
      <c r="F4756" t="s">
        <v>15</v>
      </c>
      <c r="G4756" t="s">
        <v>15</v>
      </c>
      <c r="H4756" t="s">
        <v>15</v>
      </c>
      <c r="I4756" s="6" t="s">
        <v>15</v>
      </c>
    </row>
    <row r="4757" spans="1:9" x14ac:dyDescent="0.25">
      <c r="A4757" s="6">
        <v>44715</v>
      </c>
      <c r="B4757" t="s">
        <v>13</v>
      </c>
      <c r="C4757">
        <v>69630</v>
      </c>
      <c r="D4757" t="s">
        <v>14</v>
      </c>
      <c r="E4757" s="7">
        <v>1202.27</v>
      </c>
      <c r="F4757" t="s">
        <v>15</v>
      </c>
      <c r="G4757" t="s">
        <v>15</v>
      </c>
      <c r="H4757" t="s">
        <v>15</v>
      </c>
      <c r="I4757" s="6" t="s">
        <v>15</v>
      </c>
    </row>
    <row r="4758" spans="1:9" x14ac:dyDescent="0.25">
      <c r="A4758" s="6">
        <v>44715</v>
      </c>
      <c r="B4758" t="s">
        <v>13</v>
      </c>
      <c r="C4758">
        <v>69631</v>
      </c>
      <c r="D4758" t="s">
        <v>14</v>
      </c>
      <c r="E4758" s="7">
        <v>1156.57</v>
      </c>
      <c r="F4758" t="s">
        <v>15</v>
      </c>
      <c r="G4758" t="s">
        <v>15</v>
      </c>
      <c r="H4758" t="s">
        <v>15</v>
      </c>
      <c r="I4758" s="6" t="s">
        <v>15</v>
      </c>
    </row>
    <row r="4759" spans="1:9" x14ac:dyDescent="0.25">
      <c r="A4759" s="6">
        <v>44715</v>
      </c>
      <c r="B4759" t="s">
        <v>13</v>
      </c>
      <c r="C4759">
        <v>69632</v>
      </c>
      <c r="D4759" t="s">
        <v>14</v>
      </c>
      <c r="E4759" s="7">
        <v>1069.97</v>
      </c>
      <c r="F4759" t="s">
        <v>15</v>
      </c>
      <c r="G4759" t="s">
        <v>15</v>
      </c>
      <c r="H4759" t="s">
        <v>15</v>
      </c>
      <c r="I4759" s="6" t="s">
        <v>15</v>
      </c>
    </row>
    <row r="4760" spans="1:9" x14ac:dyDescent="0.25">
      <c r="A4760" s="6">
        <v>44715</v>
      </c>
      <c r="B4760" t="s">
        <v>13</v>
      </c>
      <c r="C4760">
        <v>69633</v>
      </c>
      <c r="D4760" t="s">
        <v>14</v>
      </c>
      <c r="E4760" s="7">
        <v>200.33</v>
      </c>
      <c r="F4760" t="s">
        <v>15</v>
      </c>
      <c r="G4760" t="s">
        <v>15</v>
      </c>
      <c r="H4760" t="s">
        <v>15</v>
      </c>
      <c r="I4760" s="6" t="s">
        <v>15</v>
      </c>
    </row>
    <row r="4761" spans="1:9" x14ac:dyDescent="0.25">
      <c r="A4761" s="6">
        <v>44729</v>
      </c>
      <c r="B4761" t="s">
        <v>13</v>
      </c>
      <c r="C4761">
        <v>69772</v>
      </c>
      <c r="D4761" t="s">
        <v>14</v>
      </c>
      <c r="E4761" s="7">
        <v>1855.47</v>
      </c>
      <c r="F4761" t="s">
        <v>15</v>
      </c>
      <c r="G4761" t="s">
        <v>15</v>
      </c>
      <c r="H4761" t="s">
        <v>15</v>
      </c>
      <c r="I4761" s="6" t="s">
        <v>15</v>
      </c>
    </row>
    <row r="4762" spans="1:9" x14ac:dyDescent="0.25">
      <c r="A4762" s="6">
        <v>44729</v>
      </c>
      <c r="B4762" t="s">
        <v>13</v>
      </c>
      <c r="C4762">
        <v>69773</v>
      </c>
      <c r="D4762" t="s">
        <v>14</v>
      </c>
      <c r="E4762" s="7">
        <v>1448.83</v>
      </c>
      <c r="F4762" t="s">
        <v>15</v>
      </c>
      <c r="G4762" t="s">
        <v>15</v>
      </c>
      <c r="H4762" t="s">
        <v>15</v>
      </c>
      <c r="I4762" s="6" t="s">
        <v>15</v>
      </c>
    </row>
    <row r="4763" spans="1:9" x14ac:dyDescent="0.25">
      <c r="A4763" s="6">
        <v>44729</v>
      </c>
      <c r="B4763" t="s">
        <v>13</v>
      </c>
      <c r="C4763">
        <v>69774</v>
      </c>
      <c r="D4763" t="s">
        <v>14</v>
      </c>
      <c r="E4763" s="7">
        <v>1620.47</v>
      </c>
      <c r="F4763" t="s">
        <v>15</v>
      </c>
      <c r="G4763" t="s">
        <v>15</v>
      </c>
      <c r="H4763" t="s">
        <v>15</v>
      </c>
      <c r="I4763" s="6" t="s">
        <v>15</v>
      </c>
    </row>
    <row r="4764" spans="1:9" x14ac:dyDescent="0.25">
      <c r="A4764" s="6">
        <v>44729</v>
      </c>
      <c r="B4764" t="s">
        <v>13</v>
      </c>
      <c r="C4764">
        <v>69775</v>
      </c>
      <c r="D4764" t="s">
        <v>14</v>
      </c>
      <c r="E4764" s="7">
        <v>837.9</v>
      </c>
      <c r="F4764" t="s">
        <v>15</v>
      </c>
      <c r="G4764" t="s">
        <v>15</v>
      </c>
      <c r="H4764" t="s">
        <v>15</v>
      </c>
      <c r="I4764" s="6" t="s">
        <v>15</v>
      </c>
    </row>
    <row r="4765" spans="1:9" x14ac:dyDescent="0.25">
      <c r="A4765" s="6">
        <v>44729</v>
      </c>
      <c r="B4765" t="s">
        <v>13</v>
      </c>
      <c r="C4765">
        <v>69776</v>
      </c>
      <c r="D4765" t="s">
        <v>14</v>
      </c>
      <c r="E4765" s="7">
        <v>428.22</v>
      </c>
      <c r="F4765" t="s">
        <v>15</v>
      </c>
      <c r="G4765" t="s">
        <v>15</v>
      </c>
      <c r="H4765" t="s">
        <v>15</v>
      </c>
      <c r="I4765" s="6" t="s">
        <v>15</v>
      </c>
    </row>
    <row r="4766" spans="1:9" x14ac:dyDescent="0.25">
      <c r="A4766" s="6">
        <v>44729</v>
      </c>
      <c r="B4766" t="s">
        <v>13</v>
      </c>
      <c r="C4766">
        <v>69777</v>
      </c>
      <c r="D4766" t="s">
        <v>14</v>
      </c>
      <c r="E4766" s="7">
        <v>526.25</v>
      </c>
      <c r="F4766" t="s">
        <v>15</v>
      </c>
      <c r="G4766" t="s">
        <v>15</v>
      </c>
      <c r="H4766" t="s">
        <v>15</v>
      </c>
      <c r="I4766" s="6" t="s">
        <v>15</v>
      </c>
    </row>
    <row r="4767" spans="1:9" x14ac:dyDescent="0.25">
      <c r="A4767" s="6">
        <v>44743</v>
      </c>
      <c r="B4767" t="s">
        <v>13</v>
      </c>
      <c r="C4767">
        <v>69848</v>
      </c>
      <c r="D4767" t="s">
        <v>14</v>
      </c>
      <c r="E4767" s="7">
        <v>1862.76</v>
      </c>
      <c r="F4767" t="s">
        <v>15</v>
      </c>
      <c r="G4767" t="s">
        <v>15</v>
      </c>
      <c r="H4767" t="s">
        <v>15</v>
      </c>
      <c r="I4767" s="6" t="s">
        <v>15</v>
      </c>
    </row>
    <row r="4768" spans="1:9" x14ac:dyDescent="0.25">
      <c r="A4768" s="6">
        <v>44743</v>
      </c>
      <c r="B4768" t="s">
        <v>13</v>
      </c>
      <c r="C4768">
        <v>69849</v>
      </c>
      <c r="D4768" t="s">
        <v>14</v>
      </c>
      <c r="E4768" s="7">
        <v>1339.78</v>
      </c>
      <c r="F4768" t="s">
        <v>15</v>
      </c>
      <c r="G4768" t="s">
        <v>15</v>
      </c>
      <c r="H4768" t="s">
        <v>15</v>
      </c>
      <c r="I4768" s="6" t="s">
        <v>15</v>
      </c>
    </row>
    <row r="4769" spans="1:9" x14ac:dyDescent="0.25">
      <c r="A4769" s="6">
        <v>44743</v>
      </c>
      <c r="B4769" t="s">
        <v>13</v>
      </c>
      <c r="C4769">
        <v>69850</v>
      </c>
      <c r="D4769" t="s">
        <v>14</v>
      </c>
      <c r="E4769" s="7">
        <v>1274.3699999999999</v>
      </c>
      <c r="F4769" t="s">
        <v>15</v>
      </c>
      <c r="G4769" t="s">
        <v>15</v>
      </c>
      <c r="H4769" t="s">
        <v>15</v>
      </c>
      <c r="I4769" s="6" t="s">
        <v>15</v>
      </c>
    </row>
    <row r="4770" spans="1:9" x14ac:dyDescent="0.25">
      <c r="A4770" s="6">
        <v>44743</v>
      </c>
      <c r="B4770" t="s">
        <v>13</v>
      </c>
      <c r="C4770">
        <v>69851</v>
      </c>
      <c r="D4770" t="s">
        <v>14</v>
      </c>
      <c r="E4770" s="7">
        <v>1088.7</v>
      </c>
      <c r="F4770" t="s">
        <v>15</v>
      </c>
      <c r="G4770" t="s">
        <v>15</v>
      </c>
      <c r="H4770" t="s">
        <v>15</v>
      </c>
      <c r="I4770" s="6" t="s">
        <v>15</v>
      </c>
    </row>
    <row r="4771" spans="1:9" x14ac:dyDescent="0.25">
      <c r="A4771" s="6">
        <v>44743</v>
      </c>
      <c r="B4771" t="s">
        <v>13</v>
      </c>
      <c r="C4771">
        <v>69852</v>
      </c>
      <c r="D4771" t="s">
        <v>14</v>
      </c>
      <c r="E4771" s="7">
        <v>377.58</v>
      </c>
      <c r="F4771" t="s">
        <v>15</v>
      </c>
      <c r="G4771" t="s">
        <v>15</v>
      </c>
      <c r="H4771" t="s">
        <v>15</v>
      </c>
      <c r="I4771" s="6" t="s">
        <v>15</v>
      </c>
    </row>
    <row r="4772" spans="1:9" x14ac:dyDescent="0.25">
      <c r="A4772" s="6">
        <v>44743</v>
      </c>
      <c r="B4772" t="s">
        <v>13</v>
      </c>
      <c r="C4772">
        <v>69853</v>
      </c>
      <c r="D4772" t="s">
        <v>14</v>
      </c>
      <c r="E4772" s="7">
        <v>538.61</v>
      </c>
      <c r="F4772" t="s">
        <v>15</v>
      </c>
      <c r="G4772" t="s">
        <v>15</v>
      </c>
      <c r="H4772" t="s">
        <v>15</v>
      </c>
      <c r="I4772" s="6" t="s">
        <v>15</v>
      </c>
    </row>
    <row r="4773" spans="1:9" x14ac:dyDescent="0.25">
      <c r="A4773" s="6">
        <v>44757</v>
      </c>
      <c r="B4773" t="s">
        <v>13</v>
      </c>
      <c r="C4773">
        <v>69998</v>
      </c>
      <c r="D4773" t="s">
        <v>14</v>
      </c>
      <c r="E4773" s="7">
        <v>1713.69</v>
      </c>
      <c r="F4773" t="s">
        <v>15</v>
      </c>
      <c r="G4773" t="s">
        <v>15</v>
      </c>
      <c r="H4773" t="s">
        <v>15</v>
      </c>
      <c r="I4773" s="6" t="s">
        <v>15</v>
      </c>
    </row>
    <row r="4774" spans="1:9" x14ac:dyDescent="0.25">
      <c r="A4774" s="6">
        <v>44757</v>
      </c>
      <c r="B4774" t="s">
        <v>13</v>
      </c>
      <c r="C4774">
        <v>69999</v>
      </c>
      <c r="D4774" t="s">
        <v>14</v>
      </c>
      <c r="E4774" s="7">
        <v>1411.38</v>
      </c>
      <c r="F4774" t="s">
        <v>15</v>
      </c>
      <c r="G4774" t="s">
        <v>15</v>
      </c>
      <c r="H4774" t="s">
        <v>15</v>
      </c>
      <c r="I4774" s="6" t="s">
        <v>15</v>
      </c>
    </row>
    <row r="4775" spans="1:9" x14ac:dyDescent="0.25">
      <c r="A4775" s="6">
        <v>44757</v>
      </c>
      <c r="B4775" t="s">
        <v>13</v>
      </c>
      <c r="C4775">
        <v>70000</v>
      </c>
      <c r="D4775" t="s">
        <v>14</v>
      </c>
      <c r="E4775" s="7">
        <v>1518.74</v>
      </c>
      <c r="F4775" t="s">
        <v>15</v>
      </c>
      <c r="G4775" t="s">
        <v>15</v>
      </c>
      <c r="H4775" t="s">
        <v>15</v>
      </c>
      <c r="I4775" s="6" t="s">
        <v>15</v>
      </c>
    </row>
    <row r="4776" spans="1:9" x14ac:dyDescent="0.25">
      <c r="A4776" s="6">
        <v>44757</v>
      </c>
      <c r="B4776" t="s">
        <v>13</v>
      </c>
      <c r="C4776">
        <v>70001</v>
      </c>
      <c r="D4776" t="s">
        <v>14</v>
      </c>
      <c r="E4776" s="7">
        <v>1143.26</v>
      </c>
      <c r="F4776" t="s">
        <v>15</v>
      </c>
      <c r="G4776" t="s">
        <v>15</v>
      </c>
      <c r="H4776" t="s">
        <v>15</v>
      </c>
      <c r="I4776" s="6" t="s">
        <v>15</v>
      </c>
    </row>
    <row r="4777" spans="1:9" x14ac:dyDescent="0.25">
      <c r="A4777" s="6">
        <v>44757</v>
      </c>
      <c r="B4777" t="s">
        <v>13</v>
      </c>
      <c r="C4777">
        <v>70002</v>
      </c>
      <c r="D4777" t="s">
        <v>14</v>
      </c>
      <c r="E4777" s="7">
        <v>352.26</v>
      </c>
      <c r="F4777" t="s">
        <v>15</v>
      </c>
      <c r="G4777" t="s">
        <v>15</v>
      </c>
      <c r="H4777" t="s">
        <v>15</v>
      </c>
      <c r="I4777" s="6" t="s">
        <v>15</v>
      </c>
    </row>
    <row r="4778" spans="1:9" x14ac:dyDescent="0.25">
      <c r="A4778" s="6">
        <v>44757</v>
      </c>
      <c r="B4778" t="s">
        <v>13</v>
      </c>
      <c r="C4778">
        <v>70003</v>
      </c>
      <c r="D4778" t="s">
        <v>14</v>
      </c>
      <c r="E4778" s="7">
        <v>1267.3499999999999</v>
      </c>
      <c r="F4778" t="s">
        <v>15</v>
      </c>
      <c r="G4778" t="s">
        <v>15</v>
      </c>
      <c r="H4778" t="s">
        <v>15</v>
      </c>
      <c r="I4778" s="6" t="s">
        <v>15</v>
      </c>
    </row>
    <row r="4779" spans="1:9" x14ac:dyDescent="0.25">
      <c r="A4779" s="6">
        <v>44771</v>
      </c>
      <c r="B4779" t="s">
        <v>13</v>
      </c>
      <c r="C4779">
        <v>70142</v>
      </c>
      <c r="D4779" t="s">
        <v>14</v>
      </c>
      <c r="E4779" s="7">
        <v>1949.69</v>
      </c>
      <c r="F4779" t="s">
        <v>15</v>
      </c>
      <c r="G4779" t="s">
        <v>15</v>
      </c>
      <c r="H4779" t="s">
        <v>15</v>
      </c>
      <c r="I4779" s="6" t="s">
        <v>15</v>
      </c>
    </row>
    <row r="4780" spans="1:9" x14ac:dyDescent="0.25">
      <c r="A4780" s="6">
        <v>44771</v>
      </c>
      <c r="B4780" t="s">
        <v>13</v>
      </c>
      <c r="C4780">
        <v>70143</v>
      </c>
      <c r="D4780" t="s">
        <v>14</v>
      </c>
      <c r="E4780" s="7">
        <v>1292.18</v>
      </c>
      <c r="F4780" t="s">
        <v>15</v>
      </c>
      <c r="G4780" t="s">
        <v>15</v>
      </c>
      <c r="H4780" t="s">
        <v>15</v>
      </c>
      <c r="I4780" s="6" t="s">
        <v>15</v>
      </c>
    </row>
    <row r="4781" spans="1:9" x14ac:dyDescent="0.25">
      <c r="A4781" s="6">
        <v>44771</v>
      </c>
      <c r="B4781" t="s">
        <v>13</v>
      </c>
      <c r="C4781">
        <v>70144</v>
      </c>
      <c r="D4781" t="s">
        <v>14</v>
      </c>
      <c r="E4781" s="7">
        <v>1379.33</v>
      </c>
      <c r="F4781" t="s">
        <v>15</v>
      </c>
      <c r="G4781" t="s">
        <v>15</v>
      </c>
      <c r="H4781" t="s">
        <v>15</v>
      </c>
      <c r="I4781" s="6" t="s">
        <v>15</v>
      </c>
    </row>
    <row r="4782" spans="1:9" x14ac:dyDescent="0.25">
      <c r="A4782" s="6">
        <v>44771</v>
      </c>
      <c r="B4782" t="s">
        <v>13</v>
      </c>
      <c r="C4782">
        <v>70145</v>
      </c>
      <c r="D4782" t="s">
        <v>14</v>
      </c>
      <c r="E4782" s="7">
        <v>1251.72</v>
      </c>
      <c r="F4782" t="s">
        <v>15</v>
      </c>
      <c r="G4782" t="s">
        <v>15</v>
      </c>
      <c r="H4782" t="s">
        <v>15</v>
      </c>
      <c r="I4782" s="6" t="s">
        <v>15</v>
      </c>
    </row>
    <row r="4783" spans="1:9" x14ac:dyDescent="0.25">
      <c r="A4783" s="6">
        <v>44771</v>
      </c>
      <c r="B4783" t="s">
        <v>13</v>
      </c>
      <c r="C4783">
        <v>70146</v>
      </c>
      <c r="D4783" t="s">
        <v>14</v>
      </c>
      <c r="E4783" s="7">
        <v>411.34</v>
      </c>
      <c r="F4783" t="s">
        <v>15</v>
      </c>
      <c r="G4783" t="s">
        <v>15</v>
      </c>
      <c r="H4783" t="s">
        <v>15</v>
      </c>
      <c r="I4783" s="6" t="s">
        <v>15</v>
      </c>
    </row>
    <row r="4784" spans="1:9" x14ac:dyDescent="0.25">
      <c r="A4784" s="6">
        <v>44771</v>
      </c>
      <c r="B4784" t="s">
        <v>13</v>
      </c>
      <c r="C4784">
        <v>70147</v>
      </c>
      <c r="D4784" t="s">
        <v>14</v>
      </c>
      <c r="E4784" s="7">
        <v>8948.43</v>
      </c>
      <c r="F4784" t="s">
        <v>15</v>
      </c>
      <c r="G4784" t="s">
        <v>15</v>
      </c>
      <c r="H4784" t="s">
        <v>15</v>
      </c>
      <c r="I4784" s="6" t="s">
        <v>15</v>
      </c>
    </row>
    <row r="4785" spans="1:9" x14ac:dyDescent="0.25">
      <c r="A4785" s="6">
        <v>44785</v>
      </c>
      <c r="B4785" t="s">
        <v>13</v>
      </c>
      <c r="C4785">
        <v>70265</v>
      </c>
      <c r="D4785" t="s">
        <v>14</v>
      </c>
      <c r="E4785" s="7">
        <v>1755.38</v>
      </c>
      <c r="F4785" t="s">
        <v>15</v>
      </c>
      <c r="G4785" t="s">
        <v>15</v>
      </c>
      <c r="H4785" t="s">
        <v>15</v>
      </c>
      <c r="I4785" s="6" t="s">
        <v>15</v>
      </c>
    </row>
    <row r="4786" spans="1:9" x14ac:dyDescent="0.25">
      <c r="A4786" s="6">
        <v>44785</v>
      </c>
      <c r="B4786" t="s">
        <v>13</v>
      </c>
      <c r="C4786">
        <v>70266</v>
      </c>
      <c r="D4786" t="s">
        <v>14</v>
      </c>
      <c r="E4786" s="7">
        <v>1317.43</v>
      </c>
      <c r="F4786" t="s">
        <v>15</v>
      </c>
      <c r="G4786" t="s">
        <v>15</v>
      </c>
      <c r="H4786" t="s">
        <v>15</v>
      </c>
      <c r="I4786" s="6" t="s">
        <v>15</v>
      </c>
    </row>
    <row r="4787" spans="1:9" x14ac:dyDescent="0.25">
      <c r="A4787" s="6">
        <v>44785</v>
      </c>
      <c r="B4787" t="s">
        <v>13</v>
      </c>
      <c r="C4787">
        <v>70267</v>
      </c>
      <c r="D4787" t="s">
        <v>14</v>
      </c>
      <c r="E4787" s="7">
        <v>1296.3800000000001</v>
      </c>
      <c r="F4787" t="s">
        <v>15</v>
      </c>
      <c r="G4787" t="s">
        <v>15</v>
      </c>
      <c r="H4787" t="s">
        <v>15</v>
      </c>
      <c r="I4787" s="6" t="s">
        <v>15</v>
      </c>
    </row>
    <row r="4788" spans="1:9" x14ac:dyDescent="0.25">
      <c r="A4788" s="6">
        <v>44785</v>
      </c>
      <c r="B4788" t="s">
        <v>13</v>
      </c>
      <c r="C4788">
        <v>70268</v>
      </c>
      <c r="D4788" t="s">
        <v>14</v>
      </c>
      <c r="E4788" s="7">
        <v>980.25</v>
      </c>
      <c r="F4788" t="s">
        <v>15</v>
      </c>
      <c r="G4788" t="s">
        <v>15</v>
      </c>
      <c r="H4788" t="s">
        <v>15</v>
      </c>
      <c r="I4788" s="6" t="s">
        <v>15</v>
      </c>
    </row>
    <row r="4789" spans="1:9" x14ac:dyDescent="0.25">
      <c r="A4789" s="6">
        <v>44785</v>
      </c>
      <c r="B4789" t="s">
        <v>13</v>
      </c>
      <c r="C4789">
        <v>70269</v>
      </c>
      <c r="D4789" t="s">
        <v>14</v>
      </c>
      <c r="E4789" s="7">
        <v>56.8</v>
      </c>
      <c r="F4789" t="s">
        <v>15</v>
      </c>
      <c r="G4789" t="s">
        <v>15</v>
      </c>
      <c r="H4789" t="s">
        <v>15</v>
      </c>
      <c r="I4789" s="6" t="s">
        <v>15</v>
      </c>
    </row>
    <row r="4790" spans="1:9" x14ac:dyDescent="0.25">
      <c r="A4790" s="6">
        <v>44799</v>
      </c>
      <c r="B4790" t="s">
        <v>13</v>
      </c>
      <c r="C4790">
        <v>70331</v>
      </c>
      <c r="D4790" t="s">
        <v>14</v>
      </c>
      <c r="E4790" s="7">
        <v>1846.06</v>
      </c>
      <c r="F4790" t="s">
        <v>15</v>
      </c>
      <c r="G4790" t="s">
        <v>15</v>
      </c>
      <c r="H4790" t="s">
        <v>15</v>
      </c>
      <c r="I4790" s="6" t="s">
        <v>15</v>
      </c>
    </row>
    <row r="4791" spans="1:9" x14ac:dyDescent="0.25">
      <c r="A4791" s="6">
        <v>44799</v>
      </c>
      <c r="B4791" t="s">
        <v>13</v>
      </c>
      <c r="C4791">
        <v>70332</v>
      </c>
      <c r="D4791" t="s">
        <v>14</v>
      </c>
      <c r="E4791" s="7">
        <v>1232.3699999999999</v>
      </c>
      <c r="F4791" t="s">
        <v>15</v>
      </c>
      <c r="G4791" t="s">
        <v>15</v>
      </c>
      <c r="H4791" t="s">
        <v>15</v>
      </c>
      <c r="I4791" s="6" t="s">
        <v>15</v>
      </c>
    </row>
    <row r="4792" spans="1:9" x14ac:dyDescent="0.25">
      <c r="A4792" s="6">
        <v>44799</v>
      </c>
      <c r="B4792" t="s">
        <v>13</v>
      </c>
      <c r="C4792">
        <v>70333</v>
      </c>
      <c r="D4792" t="s">
        <v>14</v>
      </c>
      <c r="E4792" s="7">
        <v>1244.21</v>
      </c>
      <c r="F4792" t="s">
        <v>15</v>
      </c>
      <c r="G4792" t="s">
        <v>15</v>
      </c>
      <c r="H4792" t="s">
        <v>15</v>
      </c>
      <c r="I4792" s="6" t="s">
        <v>15</v>
      </c>
    </row>
    <row r="4793" spans="1:9" x14ac:dyDescent="0.25">
      <c r="A4793" s="6">
        <v>44799</v>
      </c>
      <c r="B4793" t="s">
        <v>13</v>
      </c>
      <c r="C4793">
        <v>70334</v>
      </c>
      <c r="D4793" t="s">
        <v>14</v>
      </c>
      <c r="E4793" s="7">
        <v>719.27</v>
      </c>
      <c r="F4793" t="s">
        <v>15</v>
      </c>
      <c r="G4793" t="s">
        <v>15</v>
      </c>
      <c r="H4793" t="s">
        <v>15</v>
      </c>
      <c r="I4793" s="6" t="s">
        <v>15</v>
      </c>
    </row>
    <row r="4794" spans="1:9" x14ac:dyDescent="0.25">
      <c r="A4794" s="6">
        <v>44813</v>
      </c>
      <c r="B4794" t="s">
        <v>13</v>
      </c>
      <c r="C4794">
        <v>70442</v>
      </c>
      <c r="D4794" t="s">
        <v>14</v>
      </c>
      <c r="E4794" s="7">
        <v>1679.29</v>
      </c>
      <c r="F4794" t="s">
        <v>15</v>
      </c>
      <c r="G4794" t="s">
        <v>15</v>
      </c>
      <c r="H4794" t="s">
        <v>15</v>
      </c>
      <c r="I4794" s="6" t="s">
        <v>15</v>
      </c>
    </row>
    <row r="4795" spans="1:9" x14ac:dyDescent="0.25">
      <c r="A4795" s="6">
        <v>44813</v>
      </c>
      <c r="B4795" t="s">
        <v>13</v>
      </c>
      <c r="C4795">
        <v>70443</v>
      </c>
      <c r="D4795" t="s">
        <v>14</v>
      </c>
      <c r="E4795" s="7">
        <v>1339.45</v>
      </c>
      <c r="F4795" t="s">
        <v>15</v>
      </c>
      <c r="G4795" t="s">
        <v>15</v>
      </c>
      <c r="H4795" t="s">
        <v>15</v>
      </c>
      <c r="I4795" s="6" t="s">
        <v>15</v>
      </c>
    </row>
    <row r="4796" spans="1:9" x14ac:dyDescent="0.25">
      <c r="A4796" s="6">
        <v>44813</v>
      </c>
      <c r="B4796" t="s">
        <v>13</v>
      </c>
      <c r="C4796">
        <v>70444</v>
      </c>
      <c r="D4796" t="s">
        <v>14</v>
      </c>
      <c r="E4796" s="7">
        <v>1349.19</v>
      </c>
      <c r="F4796" t="s">
        <v>15</v>
      </c>
      <c r="G4796" t="s">
        <v>15</v>
      </c>
      <c r="H4796" t="s">
        <v>15</v>
      </c>
      <c r="I4796" s="6" t="s">
        <v>15</v>
      </c>
    </row>
    <row r="4797" spans="1:9" x14ac:dyDescent="0.25">
      <c r="A4797" s="6">
        <v>44813</v>
      </c>
      <c r="B4797" t="s">
        <v>13</v>
      </c>
      <c r="C4797">
        <v>70445</v>
      </c>
      <c r="D4797" t="s">
        <v>14</v>
      </c>
      <c r="E4797" s="7">
        <v>980.25</v>
      </c>
      <c r="F4797" t="s">
        <v>15</v>
      </c>
      <c r="G4797" t="s">
        <v>15</v>
      </c>
      <c r="H4797" t="s">
        <v>15</v>
      </c>
      <c r="I4797" s="6" t="s">
        <v>15</v>
      </c>
    </row>
    <row r="4798" spans="1:9" x14ac:dyDescent="0.25">
      <c r="A4798" s="6">
        <v>44827</v>
      </c>
      <c r="B4798" t="s">
        <v>13</v>
      </c>
      <c r="C4798">
        <v>70553</v>
      </c>
      <c r="D4798" t="s">
        <v>14</v>
      </c>
      <c r="E4798" s="7">
        <v>2179.65</v>
      </c>
      <c r="F4798" t="s">
        <v>15</v>
      </c>
      <c r="G4798" t="s">
        <v>15</v>
      </c>
      <c r="H4798" t="s">
        <v>15</v>
      </c>
      <c r="I4798" s="6" t="s">
        <v>15</v>
      </c>
    </row>
    <row r="4799" spans="1:9" x14ac:dyDescent="0.25">
      <c r="A4799" s="6">
        <v>44827</v>
      </c>
      <c r="B4799" t="s">
        <v>13</v>
      </c>
      <c r="C4799">
        <v>70554</v>
      </c>
      <c r="D4799" t="s">
        <v>14</v>
      </c>
      <c r="E4799" s="7">
        <v>1266.19</v>
      </c>
      <c r="F4799" t="s">
        <v>15</v>
      </c>
      <c r="G4799" t="s">
        <v>15</v>
      </c>
      <c r="H4799" t="s">
        <v>15</v>
      </c>
      <c r="I4799" s="6" t="s">
        <v>15</v>
      </c>
    </row>
    <row r="4800" spans="1:9" x14ac:dyDescent="0.25">
      <c r="A4800" s="6">
        <v>44827</v>
      </c>
      <c r="B4800" t="s">
        <v>13</v>
      </c>
      <c r="C4800">
        <v>70555</v>
      </c>
      <c r="D4800" t="s">
        <v>14</v>
      </c>
      <c r="E4800" s="7">
        <v>1241.77</v>
      </c>
      <c r="F4800" t="s">
        <v>15</v>
      </c>
      <c r="G4800" t="s">
        <v>15</v>
      </c>
      <c r="H4800" t="s">
        <v>15</v>
      </c>
      <c r="I4800" s="6" t="s">
        <v>15</v>
      </c>
    </row>
    <row r="4801" spans="1:9" x14ac:dyDescent="0.25">
      <c r="A4801" s="6">
        <v>44827</v>
      </c>
      <c r="B4801" t="s">
        <v>13</v>
      </c>
      <c r="C4801">
        <v>70556</v>
      </c>
      <c r="D4801" t="s">
        <v>14</v>
      </c>
      <c r="E4801" s="7">
        <v>968.39</v>
      </c>
      <c r="F4801" t="s">
        <v>15</v>
      </c>
      <c r="G4801" t="s">
        <v>15</v>
      </c>
      <c r="H4801" t="s">
        <v>15</v>
      </c>
      <c r="I4801" s="6" t="s">
        <v>15</v>
      </c>
    </row>
    <row r="4802" spans="1:9" x14ac:dyDescent="0.25">
      <c r="A4802" s="6">
        <v>44827</v>
      </c>
      <c r="B4802" t="s">
        <v>13</v>
      </c>
      <c r="C4802">
        <v>70557</v>
      </c>
      <c r="D4802" t="s">
        <v>14</v>
      </c>
      <c r="E4802" s="7">
        <v>1166.3599999999999</v>
      </c>
      <c r="F4802" t="s">
        <v>15</v>
      </c>
      <c r="G4802" t="s">
        <v>15</v>
      </c>
      <c r="H4802" t="s">
        <v>15</v>
      </c>
      <c r="I4802" s="6" t="s">
        <v>15</v>
      </c>
    </row>
    <row r="4803" spans="1:9" x14ac:dyDescent="0.25">
      <c r="A4803" s="6">
        <v>44560</v>
      </c>
      <c r="B4803" t="s">
        <v>16</v>
      </c>
      <c r="D4803" t="s">
        <v>17</v>
      </c>
      <c r="E4803" s="7">
        <v>88406.98</v>
      </c>
      <c r="F4803" t="s">
        <v>15</v>
      </c>
      <c r="G4803" t="s">
        <v>15</v>
      </c>
      <c r="H4803" t="s">
        <v>15</v>
      </c>
      <c r="I4803" s="6" t="s">
        <v>15</v>
      </c>
    </row>
    <row r="4804" spans="1:9" x14ac:dyDescent="0.25">
      <c r="A4804" s="6">
        <v>44574</v>
      </c>
      <c r="B4804" t="s">
        <v>16</v>
      </c>
      <c r="D4804" t="s">
        <v>17</v>
      </c>
      <c r="E4804" s="7">
        <v>86352.21</v>
      </c>
      <c r="F4804" t="s">
        <v>15</v>
      </c>
      <c r="G4804" t="s">
        <v>15</v>
      </c>
      <c r="H4804" t="s">
        <v>15</v>
      </c>
      <c r="I4804" s="6" t="s">
        <v>15</v>
      </c>
    </row>
    <row r="4805" spans="1:9" x14ac:dyDescent="0.25">
      <c r="A4805" s="6">
        <v>44588</v>
      </c>
      <c r="B4805" t="s">
        <v>16</v>
      </c>
      <c r="D4805" t="s">
        <v>17</v>
      </c>
      <c r="E4805" s="7">
        <v>82846.61</v>
      </c>
      <c r="F4805" t="s">
        <v>15</v>
      </c>
      <c r="G4805" t="s">
        <v>15</v>
      </c>
      <c r="H4805" t="s">
        <v>15</v>
      </c>
      <c r="I4805" s="6" t="s">
        <v>15</v>
      </c>
    </row>
    <row r="4806" spans="1:9" x14ac:dyDescent="0.25">
      <c r="A4806" s="6">
        <v>44600</v>
      </c>
      <c r="B4806" t="s">
        <v>16</v>
      </c>
      <c r="D4806" t="s">
        <v>17</v>
      </c>
      <c r="E4806" s="7">
        <v>84050.12</v>
      </c>
      <c r="F4806" t="s">
        <v>15</v>
      </c>
      <c r="G4806" t="s">
        <v>15</v>
      </c>
      <c r="H4806" t="s">
        <v>15</v>
      </c>
      <c r="I4806" s="6" t="s">
        <v>15</v>
      </c>
    </row>
    <row r="4807" spans="1:9" x14ac:dyDescent="0.25">
      <c r="A4807" s="6">
        <v>44616</v>
      </c>
      <c r="B4807" t="s">
        <v>16</v>
      </c>
      <c r="D4807" t="s">
        <v>17</v>
      </c>
      <c r="E4807" s="7">
        <v>85453.99</v>
      </c>
      <c r="F4807" t="s">
        <v>15</v>
      </c>
      <c r="G4807" t="s">
        <v>15</v>
      </c>
      <c r="H4807" t="s">
        <v>15</v>
      </c>
      <c r="I4807" s="6" t="s">
        <v>15</v>
      </c>
    </row>
    <row r="4808" spans="1:9" x14ac:dyDescent="0.25">
      <c r="A4808" s="6">
        <v>44630</v>
      </c>
      <c r="B4808" t="s">
        <v>16</v>
      </c>
      <c r="D4808" t="s">
        <v>17</v>
      </c>
      <c r="E4808" s="7">
        <v>87912.14</v>
      </c>
      <c r="F4808" t="s">
        <v>15</v>
      </c>
      <c r="G4808" t="s">
        <v>15</v>
      </c>
      <c r="H4808" t="s">
        <v>15</v>
      </c>
      <c r="I4808" s="6" t="s">
        <v>15</v>
      </c>
    </row>
    <row r="4809" spans="1:9" x14ac:dyDescent="0.25">
      <c r="A4809" s="6">
        <v>44631</v>
      </c>
      <c r="B4809" t="s">
        <v>16</v>
      </c>
      <c r="D4809" t="s">
        <v>17</v>
      </c>
      <c r="E4809" s="7">
        <v>329.83</v>
      </c>
      <c r="F4809" t="s">
        <v>15</v>
      </c>
      <c r="G4809" t="s">
        <v>15</v>
      </c>
      <c r="H4809" t="s">
        <v>15</v>
      </c>
      <c r="I4809" s="6" t="s">
        <v>15</v>
      </c>
    </row>
    <row r="4810" spans="1:9" x14ac:dyDescent="0.25">
      <c r="A4810" s="6">
        <v>44631</v>
      </c>
      <c r="B4810" t="s">
        <v>1309</v>
      </c>
      <c r="D4810" t="s">
        <v>17</v>
      </c>
      <c r="E4810" s="7">
        <v>2000.75</v>
      </c>
      <c r="F4810" t="s">
        <v>15</v>
      </c>
      <c r="G4810" t="s">
        <v>15</v>
      </c>
      <c r="H4810" t="s">
        <v>15</v>
      </c>
      <c r="I4810" s="6" t="s">
        <v>15</v>
      </c>
    </row>
    <row r="4811" spans="1:9" x14ac:dyDescent="0.25">
      <c r="A4811" s="6">
        <v>44644</v>
      </c>
      <c r="B4811" t="s">
        <v>16</v>
      </c>
      <c r="D4811" t="s">
        <v>17</v>
      </c>
      <c r="E4811" s="7">
        <v>85717.15</v>
      </c>
      <c r="F4811" t="s">
        <v>15</v>
      </c>
      <c r="G4811" t="s">
        <v>15</v>
      </c>
      <c r="H4811" t="s">
        <v>15</v>
      </c>
      <c r="I4811" s="6" t="s">
        <v>15</v>
      </c>
    </row>
    <row r="4812" spans="1:9" x14ac:dyDescent="0.25">
      <c r="A4812" s="6">
        <v>44649</v>
      </c>
      <c r="B4812" t="s">
        <v>16</v>
      </c>
      <c r="D4812" t="s">
        <v>17</v>
      </c>
      <c r="E4812" s="7">
        <v>566.92999999999995</v>
      </c>
      <c r="F4812" t="s">
        <v>15</v>
      </c>
      <c r="G4812" t="s">
        <v>15</v>
      </c>
      <c r="H4812" t="s">
        <v>15</v>
      </c>
      <c r="I4812" s="6" t="s">
        <v>15</v>
      </c>
    </row>
    <row r="4813" spans="1:9" x14ac:dyDescent="0.25">
      <c r="A4813" s="6">
        <v>44658</v>
      </c>
      <c r="B4813" t="s">
        <v>16</v>
      </c>
      <c r="D4813" t="s">
        <v>17</v>
      </c>
      <c r="E4813" s="7">
        <v>85568.62</v>
      </c>
      <c r="F4813" t="s">
        <v>15</v>
      </c>
      <c r="G4813" t="s">
        <v>15</v>
      </c>
      <c r="H4813" t="s">
        <v>15</v>
      </c>
      <c r="I4813" s="6" t="s">
        <v>15</v>
      </c>
    </row>
    <row r="4814" spans="1:9" x14ac:dyDescent="0.25">
      <c r="A4814" s="6">
        <v>44659</v>
      </c>
      <c r="B4814" t="s">
        <v>16</v>
      </c>
      <c r="D4814" t="s">
        <v>17</v>
      </c>
      <c r="E4814" s="7">
        <v>443.28</v>
      </c>
      <c r="F4814" t="s">
        <v>15</v>
      </c>
      <c r="G4814" t="s">
        <v>15</v>
      </c>
      <c r="H4814" t="s">
        <v>15</v>
      </c>
      <c r="I4814" s="6" t="s">
        <v>15</v>
      </c>
    </row>
    <row r="4815" spans="1:9" x14ac:dyDescent="0.25">
      <c r="A4815" s="6">
        <v>44672</v>
      </c>
      <c r="B4815" t="s">
        <v>16</v>
      </c>
      <c r="D4815" t="s">
        <v>17</v>
      </c>
      <c r="E4815" s="7">
        <v>86418.84</v>
      </c>
      <c r="F4815" t="s">
        <v>15</v>
      </c>
      <c r="G4815" t="s">
        <v>15</v>
      </c>
      <c r="H4815" t="s">
        <v>15</v>
      </c>
      <c r="I4815" s="6" t="s">
        <v>15</v>
      </c>
    </row>
    <row r="4816" spans="1:9" x14ac:dyDescent="0.25">
      <c r="A4816" s="6">
        <v>44676</v>
      </c>
      <c r="B4816" t="s">
        <v>16</v>
      </c>
      <c r="D4816" t="s">
        <v>17</v>
      </c>
      <c r="E4816" s="7">
        <v>110.82</v>
      </c>
      <c r="F4816" t="s">
        <v>15</v>
      </c>
      <c r="G4816" t="s">
        <v>15</v>
      </c>
      <c r="H4816" t="s">
        <v>15</v>
      </c>
      <c r="I4816" s="6" t="s">
        <v>15</v>
      </c>
    </row>
    <row r="4817" spans="1:9" x14ac:dyDescent="0.25">
      <c r="A4817" s="6">
        <v>44686</v>
      </c>
      <c r="B4817" t="s">
        <v>16</v>
      </c>
      <c r="D4817" t="s">
        <v>17</v>
      </c>
      <c r="E4817" s="7">
        <v>81335.899999999994</v>
      </c>
      <c r="F4817" t="s">
        <v>15</v>
      </c>
      <c r="G4817" t="s">
        <v>15</v>
      </c>
      <c r="H4817" t="s">
        <v>15</v>
      </c>
      <c r="I4817" s="6" t="s">
        <v>15</v>
      </c>
    </row>
    <row r="4818" spans="1:9" x14ac:dyDescent="0.25">
      <c r="A4818" s="6">
        <v>44686</v>
      </c>
      <c r="B4818" t="s">
        <v>1309</v>
      </c>
      <c r="D4818" t="s">
        <v>17</v>
      </c>
      <c r="E4818" s="7">
        <v>1253.48</v>
      </c>
      <c r="F4818" t="s">
        <v>15</v>
      </c>
      <c r="G4818" t="s">
        <v>15</v>
      </c>
      <c r="H4818" t="s">
        <v>15</v>
      </c>
      <c r="I4818" s="6" t="s">
        <v>15</v>
      </c>
    </row>
    <row r="4819" spans="1:9" x14ac:dyDescent="0.25">
      <c r="A4819" s="6">
        <v>44700</v>
      </c>
      <c r="B4819" t="s">
        <v>16</v>
      </c>
      <c r="D4819" t="s">
        <v>17</v>
      </c>
      <c r="E4819" s="7">
        <v>82775.990000000005</v>
      </c>
      <c r="F4819" t="s">
        <v>15</v>
      </c>
      <c r="G4819" t="s">
        <v>15</v>
      </c>
      <c r="H4819" t="s">
        <v>15</v>
      </c>
      <c r="I4819" s="6" t="s">
        <v>15</v>
      </c>
    </row>
    <row r="4820" spans="1:9" x14ac:dyDescent="0.25">
      <c r="A4820" s="6">
        <v>44714</v>
      </c>
      <c r="B4820" t="s">
        <v>16</v>
      </c>
      <c r="D4820" t="s">
        <v>17</v>
      </c>
      <c r="E4820" s="7">
        <v>85557.65</v>
      </c>
      <c r="F4820" t="s">
        <v>15</v>
      </c>
      <c r="G4820" t="s">
        <v>15</v>
      </c>
      <c r="H4820" t="s">
        <v>15</v>
      </c>
      <c r="I4820" s="6" t="s">
        <v>15</v>
      </c>
    </row>
    <row r="4821" spans="1:9" x14ac:dyDescent="0.25">
      <c r="A4821" s="6">
        <v>44714</v>
      </c>
      <c r="B4821" t="s">
        <v>1310</v>
      </c>
      <c r="D4821" t="s">
        <v>14</v>
      </c>
      <c r="E4821" s="7">
        <v>1069.8699999999999</v>
      </c>
      <c r="F4821" t="s">
        <v>15</v>
      </c>
      <c r="G4821" t="s">
        <v>15</v>
      </c>
      <c r="H4821" t="s">
        <v>15</v>
      </c>
      <c r="I4821" s="6" t="s">
        <v>15</v>
      </c>
    </row>
    <row r="4822" spans="1:9" x14ac:dyDescent="0.25">
      <c r="A4822" s="6">
        <v>44715</v>
      </c>
      <c r="B4822" t="s">
        <v>16</v>
      </c>
      <c r="D4822" t="s">
        <v>17</v>
      </c>
      <c r="E4822" s="7">
        <v>1069.8699999999999</v>
      </c>
      <c r="F4822" t="s">
        <v>15</v>
      </c>
      <c r="G4822" t="s">
        <v>15</v>
      </c>
      <c r="H4822" t="s">
        <v>15</v>
      </c>
      <c r="I4822" s="6" t="s">
        <v>15</v>
      </c>
    </row>
    <row r="4823" spans="1:9" x14ac:dyDescent="0.25">
      <c r="A4823" s="6">
        <v>44728</v>
      </c>
      <c r="B4823" t="s">
        <v>16</v>
      </c>
      <c r="D4823" t="s">
        <v>17</v>
      </c>
      <c r="E4823" s="7">
        <v>95110.93</v>
      </c>
      <c r="F4823" t="s">
        <v>15</v>
      </c>
      <c r="G4823" t="s">
        <v>15</v>
      </c>
      <c r="H4823" t="s">
        <v>15</v>
      </c>
      <c r="I4823" s="6" t="s">
        <v>15</v>
      </c>
    </row>
    <row r="4824" spans="1:9" x14ac:dyDescent="0.25">
      <c r="A4824" s="6">
        <v>44742</v>
      </c>
      <c r="B4824" t="s">
        <v>16</v>
      </c>
      <c r="D4824" t="s">
        <v>17</v>
      </c>
      <c r="E4824" s="7">
        <v>96577.87</v>
      </c>
      <c r="F4824" t="s">
        <v>15</v>
      </c>
      <c r="G4824" t="s">
        <v>15</v>
      </c>
      <c r="H4824" t="s">
        <v>15</v>
      </c>
      <c r="I4824" s="6" t="s">
        <v>15</v>
      </c>
    </row>
    <row r="4825" spans="1:9" x14ac:dyDescent="0.25">
      <c r="A4825" s="6">
        <v>44757</v>
      </c>
      <c r="B4825" t="s">
        <v>16</v>
      </c>
      <c r="D4825" t="s">
        <v>17</v>
      </c>
      <c r="E4825" s="7">
        <v>97363.58</v>
      </c>
      <c r="F4825" t="s">
        <v>15</v>
      </c>
      <c r="G4825" t="s">
        <v>15</v>
      </c>
      <c r="H4825" t="s">
        <v>15</v>
      </c>
      <c r="I4825" s="6" t="s">
        <v>15</v>
      </c>
    </row>
    <row r="4826" spans="1:9" x14ac:dyDescent="0.25">
      <c r="A4826" s="6">
        <v>44771</v>
      </c>
      <c r="B4826" t="s">
        <v>16</v>
      </c>
      <c r="D4826" t="s">
        <v>17</v>
      </c>
      <c r="E4826" s="7">
        <v>100166.3</v>
      </c>
      <c r="F4826" t="s">
        <v>15</v>
      </c>
      <c r="G4826" t="s">
        <v>15</v>
      </c>
      <c r="H4826" t="s">
        <v>15</v>
      </c>
      <c r="I4826" s="6" t="s">
        <v>15</v>
      </c>
    </row>
    <row r="4827" spans="1:9" x14ac:dyDescent="0.25">
      <c r="A4827" s="6">
        <v>44785</v>
      </c>
      <c r="B4827" t="s">
        <v>16</v>
      </c>
      <c r="D4827" t="s">
        <v>17</v>
      </c>
      <c r="E4827" s="7">
        <v>96688.65</v>
      </c>
      <c r="F4827" t="s">
        <v>15</v>
      </c>
      <c r="G4827" t="s">
        <v>15</v>
      </c>
      <c r="H4827" t="s">
        <v>15</v>
      </c>
      <c r="I4827" s="6" t="s">
        <v>15</v>
      </c>
    </row>
    <row r="4828" spans="1:9" x14ac:dyDescent="0.25">
      <c r="A4828" s="6">
        <v>44785</v>
      </c>
      <c r="B4828" t="s">
        <v>1310</v>
      </c>
      <c r="D4828" t="s">
        <v>17</v>
      </c>
      <c r="E4828" s="7">
        <v>3519.79</v>
      </c>
      <c r="F4828" t="s">
        <v>15</v>
      </c>
      <c r="G4828" t="s">
        <v>15</v>
      </c>
      <c r="H4828" t="s">
        <v>15</v>
      </c>
      <c r="I4828" s="6" t="s">
        <v>15</v>
      </c>
    </row>
    <row r="4829" spans="1:9" x14ac:dyDescent="0.25">
      <c r="A4829" s="6">
        <v>44799</v>
      </c>
      <c r="B4829" t="s">
        <v>16</v>
      </c>
      <c r="D4829" t="s">
        <v>17</v>
      </c>
      <c r="E4829" s="7">
        <v>91151.57</v>
      </c>
      <c r="F4829" t="s">
        <v>15</v>
      </c>
      <c r="G4829" t="s">
        <v>15</v>
      </c>
      <c r="H4829" t="s">
        <v>15</v>
      </c>
      <c r="I4829" s="6" t="s">
        <v>15</v>
      </c>
    </row>
    <row r="4830" spans="1:9" x14ac:dyDescent="0.25">
      <c r="A4830" s="6">
        <v>44810</v>
      </c>
      <c r="B4830" t="s">
        <v>16</v>
      </c>
      <c r="D4830" t="s">
        <v>17</v>
      </c>
      <c r="E4830" s="7">
        <v>88842.12</v>
      </c>
      <c r="F4830" t="s">
        <v>15</v>
      </c>
      <c r="G4830" t="s">
        <v>15</v>
      </c>
      <c r="H4830" t="s">
        <v>15</v>
      </c>
      <c r="I4830" s="6" t="s">
        <v>15</v>
      </c>
    </row>
    <row r="4831" spans="1:9" x14ac:dyDescent="0.25">
      <c r="A4831" s="6">
        <v>44827</v>
      </c>
      <c r="B4831" t="s">
        <v>16</v>
      </c>
      <c r="D4831" t="s">
        <v>17</v>
      </c>
      <c r="E4831" s="7">
        <v>89545.2</v>
      </c>
      <c r="F4831" t="s">
        <v>15</v>
      </c>
      <c r="G4831" t="s">
        <v>15</v>
      </c>
      <c r="H4831" t="s">
        <v>15</v>
      </c>
      <c r="I4831" s="6" t="s">
        <v>15</v>
      </c>
    </row>
  </sheetData>
  <autoFilter ref="A4:I4831" xr:uid="{75581FAB-DD7E-4A1F-A68B-C57B7C3AE57E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DBFBF-84A1-4660-9E1A-F4D26B89FEE8}">
  <dimension ref="A1:J215"/>
  <sheetViews>
    <sheetView tabSelected="1" workbookViewId="0"/>
  </sheetViews>
  <sheetFormatPr defaultRowHeight="15" x14ac:dyDescent="0.25"/>
  <cols>
    <col min="1" max="1" width="19.42578125" bestFit="1" customWidth="1"/>
    <col min="2" max="2" width="10.7109375" bestFit="1" customWidth="1"/>
    <col min="3" max="3" width="9" bestFit="1" customWidth="1"/>
    <col min="4" max="4" width="26.140625" bestFit="1" customWidth="1"/>
    <col min="5" max="5" width="14" customWidth="1"/>
    <col min="6" max="6" width="10.140625" bestFit="1" customWidth="1"/>
    <col min="7" max="7" width="12.140625" bestFit="1" customWidth="1"/>
    <col min="8" max="8" width="9.7109375" bestFit="1" customWidth="1"/>
    <col min="9" max="9" width="12" bestFit="1" customWidth="1"/>
    <col min="10" max="10" width="10.7109375" bestFit="1" customWidth="1"/>
  </cols>
  <sheetData>
    <row r="1" spans="1:10" x14ac:dyDescent="0.25">
      <c r="A1" s="1" t="s">
        <v>0</v>
      </c>
      <c r="B1" s="1"/>
      <c r="H1" s="2" t="s">
        <v>1</v>
      </c>
      <c r="I1" s="3">
        <v>44835</v>
      </c>
    </row>
    <row r="2" spans="1:10" x14ac:dyDescent="0.25">
      <c r="A2" s="1" t="s">
        <v>2</v>
      </c>
      <c r="B2" s="1"/>
      <c r="H2" s="2" t="s">
        <v>3</v>
      </c>
      <c r="I2" s="3">
        <v>45138</v>
      </c>
    </row>
    <row r="4" spans="1:10" ht="15.75" thickBot="1" x14ac:dyDescent="0.3">
      <c r="A4" s="4" t="s">
        <v>4</v>
      </c>
      <c r="B4" s="4" t="s">
        <v>5</v>
      </c>
      <c r="C4" s="5" t="s">
        <v>6</v>
      </c>
      <c r="D4" s="4" t="s">
        <v>7</v>
      </c>
      <c r="E4" s="5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10" x14ac:dyDescent="0.25">
      <c r="A5" s="6">
        <v>44839</v>
      </c>
      <c r="B5" t="s">
        <v>16</v>
      </c>
      <c r="D5" s="7" t="s">
        <v>17</v>
      </c>
      <c r="E5" s="7">
        <v>87554.98</v>
      </c>
      <c r="F5" t="s">
        <v>15</v>
      </c>
      <c r="G5" t="s">
        <v>15</v>
      </c>
      <c r="H5" t="s">
        <v>15</v>
      </c>
      <c r="I5" t="s">
        <v>15</v>
      </c>
    </row>
    <row r="6" spans="1:10" x14ac:dyDescent="0.25">
      <c r="A6" s="6">
        <v>44839</v>
      </c>
      <c r="B6" t="s">
        <v>16</v>
      </c>
      <c r="D6" s="7" t="s">
        <v>17</v>
      </c>
      <c r="E6" s="7">
        <v>3361.19</v>
      </c>
      <c r="F6" t="s">
        <v>15</v>
      </c>
      <c r="G6" t="s">
        <v>15</v>
      </c>
      <c r="H6" t="s">
        <v>15</v>
      </c>
      <c r="I6" t="s">
        <v>15</v>
      </c>
    </row>
    <row r="7" spans="1:10" x14ac:dyDescent="0.25">
      <c r="A7" s="6">
        <v>44854</v>
      </c>
      <c r="B7" t="s">
        <v>16</v>
      </c>
      <c r="D7" s="7" t="s">
        <v>17</v>
      </c>
      <c r="E7" s="7">
        <v>94341.81</v>
      </c>
      <c r="F7" t="s">
        <v>15</v>
      </c>
      <c r="G7" t="s">
        <v>15</v>
      </c>
      <c r="H7" t="s">
        <v>15</v>
      </c>
      <c r="I7" t="s">
        <v>15</v>
      </c>
    </row>
    <row r="8" spans="1:10" x14ac:dyDescent="0.25">
      <c r="A8" s="6">
        <v>44868</v>
      </c>
      <c r="B8" t="s">
        <v>16</v>
      </c>
      <c r="D8" s="7" t="s">
        <v>17</v>
      </c>
      <c r="E8" s="7">
        <v>87537.47</v>
      </c>
      <c r="F8" t="s">
        <v>15</v>
      </c>
      <c r="G8" t="s">
        <v>15</v>
      </c>
      <c r="H8" t="s">
        <v>15</v>
      </c>
      <c r="I8" t="s">
        <v>15</v>
      </c>
    </row>
    <row r="9" spans="1:10" x14ac:dyDescent="0.25">
      <c r="A9" s="6">
        <v>44883</v>
      </c>
      <c r="B9" t="s">
        <v>16</v>
      </c>
      <c r="D9" s="7" t="s">
        <v>17</v>
      </c>
      <c r="E9" s="7">
        <v>91026.95</v>
      </c>
      <c r="F9" t="s">
        <v>15</v>
      </c>
      <c r="G9" t="s">
        <v>15</v>
      </c>
      <c r="H9" t="s">
        <v>15</v>
      </c>
      <c r="I9" t="s">
        <v>15</v>
      </c>
    </row>
    <row r="10" spans="1:10" x14ac:dyDescent="0.25">
      <c r="A10" s="6">
        <v>44896</v>
      </c>
      <c r="B10" t="s">
        <v>16</v>
      </c>
      <c r="D10" s="7" t="s">
        <v>17</v>
      </c>
      <c r="E10" s="7">
        <v>95371.11</v>
      </c>
      <c r="F10" t="s">
        <v>15</v>
      </c>
      <c r="G10" t="s">
        <v>15</v>
      </c>
      <c r="H10" t="s">
        <v>15</v>
      </c>
      <c r="I10" t="s">
        <v>15</v>
      </c>
    </row>
    <row r="11" spans="1:10" x14ac:dyDescent="0.25">
      <c r="A11" s="6">
        <v>44900</v>
      </c>
      <c r="B11" t="s">
        <v>16</v>
      </c>
      <c r="D11" s="7" t="s">
        <v>17</v>
      </c>
      <c r="E11" s="7">
        <v>213.11</v>
      </c>
      <c r="F11" t="s">
        <v>15</v>
      </c>
      <c r="G11" t="s">
        <v>15</v>
      </c>
      <c r="H11" t="s">
        <v>15</v>
      </c>
      <c r="I11" t="s">
        <v>15</v>
      </c>
    </row>
    <row r="12" spans="1:10" x14ac:dyDescent="0.25">
      <c r="A12" s="6">
        <v>44911</v>
      </c>
      <c r="B12" t="s">
        <v>16</v>
      </c>
      <c r="D12" s="7" t="s">
        <v>17</v>
      </c>
      <c r="E12" s="7">
        <v>94098.64</v>
      </c>
      <c r="F12" t="s">
        <v>15</v>
      </c>
      <c r="G12" t="s">
        <v>15</v>
      </c>
      <c r="H12" t="s">
        <v>15</v>
      </c>
      <c r="I12" t="s">
        <v>15</v>
      </c>
    </row>
    <row r="13" spans="1:10" x14ac:dyDescent="0.25">
      <c r="A13" s="6">
        <v>44924</v>
      </c>
      <c r="B13" t="s">
        <v>16</v>
      </c>
      <c r="D13" s="7" t="s">
        <v>17</v>
      </c>
      <c r="E13" s="7">
        <v>101109.26</v>
      </c>
      <c r="F13" t="s">
        <v>15</v>
      </c>
      <c r="G13" t="s">
        <v>15</v>
      </c>
      <c r="H13" t="s">
        <v>15</v>
      </c>
      <c r="I13" t="s">
        <v>15</v>
      </c>
    </row>
    <row r="14" spans="1:10" x14ac:dyDescent="0.25">
      <c r="A14" s="6">
        <v>44939</v>
      </c>
      <c r="B14" t="s">
        <v>16</v>
      </c>
      <c r="D14" s="7" t="s">
        <v>17</v>
      </c>
      <c r="E14" s="7">
        <v>101234.55</v>
      </c>
      <c r="F14" t="s">
        <v>15</v>
      </c>
      <c r="G14" t="s">
        <v>15</v>
      </c>
      <c r="H14" t="s">
        <v>15</v>
      </c>
      <c r="I14" t="s">
        <v>15</v>
      </c>
    </row>
    <row r="15" spans="1:10" x14ac:dyDescent="0.25">
      <c r="A15" s="6">
        <v>44953</v>
      </c>
      <c r="B15" t="s">
        <v>16</v>
      </c>
      <c r="D15" s="7" t="s">
        <v>17</v>
      </c>
      <c r="E15" s="7">
        <v>97224.89</v>
      </c>
      <c r="F15" t="s">
        <v>15</v>
      </c>
      <c r="G15" t="s">
        <v>15</v>
      </c>
      <c r="H15" t="s">
        <v>15</v>
      </c>
      <c r="I15" t="s">
        <v>15</v>
      </c>
      <c r="J15" s="6"/>
    </row>
    <row r="16" spans="1:10" x14ac:dyDescent="0.25">
      <c r="A16" s="6">
        <v>44967</v>
      </c>
      <c r="B16" t="s">
        <v>16</v>
      </c>
      <c r="D16" s="7" t="s">
        <v>17</v>
      </c>
      <c r="E16" s="7">
        <v>94727.44</v>
      </c>
      <c r="F16" t="s">
        <v>15</v>
      </c>
      <c r="G16" t="s">
        <v>15</v>
      </c>
      <c r="H16" t="s">
        <v>15</v>
      </c>
      <c r="I16" t="s">
        <v>15</v>
      </c>
      <c r="J16" s="6"/>
    </row>
    <row r="17" spans="1:10" x14ac:dyDescent="0.25">
      <c r="A17" s="6">
        <v>44981</v>
      </c>
      <c r="B17" t="s">
        <v>16</v>
      </c>
      <c r="D17" s="7" t="s">
        <v>17</v>
      </c>
      <c r="E17" s="7">
        <v>93495.56</v>
      </c>
      <c r="F17" t="s">
        <v>15</v>
      </c>
      <c r="G17" t="s">
        <v>15</v>
      </c>
      <c r="H17" t="s">
        <v>15</v>
      </c>
      <c r="I17" t="s">
        <v>15</v>
      </c>
      <c r="J17" s="6"/>
    </row>
    <row r="18" spans="1:10" x14ac:dyDescent="0.25">
      <c r="A18" s="6">
        <v>44994</v>
      </c>
      <c r="B18" t="s">
        <v>16</v>
      </c>
      <c r="D18" s="7" t="s">
        <v>17</v>
      </c>
      <c r="E18" s="7">
        <v>1811.05</v>
      </c>
      <c r="F18" t="s">
        <v>15</v>
      </c>
      <c r="G18" t="s">
        <v>15</v>
      </c>
      <c r="H18" t="s">
        <v>15</v>
      </c>
      <c r="I18" t="s">
        <v>15</v>
      </c>
      <c r="J18" s="6"/>
    </row>
    <row r="19" spans="1:10" x14ac:dyDescent="0.25">
      <c r="A19" s="6">
        <v>44995</v>
      </c>
      <c r="B19" t="s">
        <v>16</v>
      </c>
      <c r="D19" s="7" t="s">
        <v>17</v>
      </c>
      <c r="E19" s="7">
        <v>98365.05</v>
      </c>
      <c r="F19" t="s">
        <v>15</v>
      </c>
      <c r="G19" t="s">
        <v>15</v>
      </c>
      <c r="H19" t="s">
        <v>15</v>
      </c>
      <c r="I19" t="s">
        <v>15</v>
      </c>
      <c r="J19" s="6"/>
    </row>
    <row r="20" spans="1:10" x14ac:dyDescent="0.25">
      <c r="A20" s="6">
        <v>45008</v>
      </c>
      <c r="B20" t="s">
        <v>16</v>
      </c>
      <c r="D20" t="s">
        <v>14</v>
      </c>
      <c r="E20" s="7">
        <v>15028.21</v>
      </c>
      <c r="F20" t="s">
        <v>15</v>
      </c>
      <c r="G20" t="s">
        <v>15</v>
      </c>
      <c r="H20" t="s">
        <v>15</v>
      </c>
      <c r="I20" t="s">
        <v>15</v>
      </c>
      <c r="J20" s="6"/>
    </row>
    <row r="21" spans="1:10" x14ac:dyDescent="0.25">
      <c r="A21" s="6">
        <v>45008</v>
      </c>
      <c r="B21" t="s">
        <v>16</v>
      </c>
      <c r="D21" t="s">
        <v>14</v>
      </c>
      <c r="E21" s="7">
        <v>556.89</v>
      </c>
      <c r="F21" t="s">
        <v>15</v>
      </c>
      <c r="G21" t="s">
        <v>15</v>
      </c>
      <c r="H21" t="s">
        <v>15</v>
      </c>
      <c r="I21" t="s">
        <v>15</v>
      </c>
      <c r="J21" s="6"/>
    </row>
    <row r="22" spans="1:10" x14ac:dyDescent="0.25">
      <c r="A22" s="6">
        <v>45009</v>
      </c>
      <c r="B22" t="s">
        <v>16</v>
      </c>
      <c r="D22" s="7" t="s">
        <v>17</v>
      </c>
      <c r="E22" s="7">
        <v>90434.61</v>
      </c>
      <c r="F22" t="s">
        <v>15</v>
      </c>
      <c r="G22" t="s">
        <v>15</v>
      </c>
      <c r="H22" t="s">
        <v>15</v>
      </c>
      <c r="I22" t="s">
        <v>15</v>
      </c>
      <c r="J22" s="6"/>
    </row>
    <row r="23" spans="1:10" x14ac:dyDescent="0.25">
      <c r="A23" s="6">
        <v>45009</v>
      </c>
      <c r="B23" t="s">
        <v>16</v>
      </c>
      <c r="D23" t="s">
        <v>14</v>
      </c>
      <c r="E23" s="7">
        <v>1991.9</v>
      </c>
      <c r="F23" t="s">
        <v>15</v>
      </c>
      <c r="G23" t="s">
        <v>15</v>
      </c>
      <c r="H23" t="s">
        <v>15</v>
      </c>
      <c r="I23" t="s">
        <v>15</v>
      </c>
      <c r="J23" s="6"/>
    </row>
    <row r="24" spans="1:10" x14ac:dyDescent="0.25">
      <c r="A24" s="6">
        <v>45036</v>
      </c>
      <c r="B24" t="s">
        <v>16</v>
      </c>
      <c r="D24" s="7" t="s">
        <v>17</v>
      </c>
      <c r="E24" s="7">
        <v>89323.31</v>
      </c>
      <c r="F24" t="s">
        <v>15</v>
      </c>
      <c r="G24" t="s">
        <v>15</v>
      </c>
      <c r="H24" t="s">
        <v>15</v>
      </c>
      <c r="I24" t="s">
        <v>15</v>
      </c>
      <c r="J24" s="6"/>
    </row>
    <row r="25" spans="1:10" x14ac:dyDescent="0.25">
      <c r="A25" s="6">
        <v>45036</v>
      </c>
      <c r="B25" t="s">
        <v>16</v>
      </c>
      <c r="D25" s="7" t="s">
        <v>17</v>
      </c>
      <c r="E25" s="7">
        <v>471.64</v>
      </c>
      <c r="F25" t="s">
        <v>15</v>
      </c>
      <c r="G25" t="s">
        <v>15</v>
      </c>
      <c r="H25" t="s">
        <v>15</v>
      </c>
      <c r="I25" t="s">
        <v>15</v>
      </c>
      <c r="J25" s="6"/>
    </row>
    <row r="26" spans="1:10" x14ac:dyDescent="0.25">
      <c r="A26" s="6">
        <v>45050</v>
      </c>
      <c r="B26" t="s">
        <v>16</v>
      </c>
      <c r="D26" s="7" t="s">
        <v>17</v>
      </c>
      <c r="E26" s="7">
        <v>88761.36</v>
      </c>
      <c r="F26" t="s">
        <v>15</v>
      </c>
      <c r="G26" t="s">
        <v>15</v>
      </c>
      <c r="H26" t="s">
        <v>15</v>
      </c>
      <c r="I26" t="s">
        <v>15</v>
      </c>
      <c r="J26" s="6"/>
    </row>
    <row r="27" spans="1:10" x14ac:dyDescent="0.25">
      <c r="A27" s="6">
        <v>45050</v>
      </c>
      <c r="B27" t="s">
        <v>16</v>
      </c>
      <c r="D27" s="7" t="s">
        <v>17</v>
      </c>
      <c r="E27" s="7">
        <v>1894.94</v>
      </c>
      <c r="F27" t="s">
        <v>15</v>
      </c>
      <c r="G27" t="s">
        <v>15</v>
      </c>
      <c r="H27" t="s">
        <v>15</v>
      </c>
      <c r="I27" t="s">
        <v>15</v>
      </c>
      <c r="J27" s="6"/>
    </row>
    <row r="28" spans="1:10" x14ac:dyDescent="0.25">
      <c r="A28" s="6">
        <v>45065</v>
      </c>
      <c r="B28" t="s">
        <v>16</v>
      </c>
      <c r="D28" s="7" t="s">
        <v>17</v>
      </c>
      <c r="E28" s="7">
        <v>91858.21</v>
      </c>
      <c r="F28" t="s">
        <v>15</v>
      </c>
      <c r="G28" t="s">
        <v>15</v>
      </c>
      <c r="H28" t="s">
        <v>15</v>
      </c>
      <c r="I28" t="s">
        <v>15</v>
      </c>
      <c r="J28" s="6"/>
    </row>
    <row r="29" spans="1:10" x14ac:dyDescent="0.25">
      <c r="A29" s="6">
        <v>45078</v>
      </c>
      <c r="B29" t="s">
        <v>16</v>
      </c>
      <c r="D29" s="7" t="s">
        <v>17</v>
      </c>
      <c r="E29" s="7">
        <v>1976.37</v>
      </c>
      <c r="F29" t="s">
        <v>15</v>
      </c>
      <c r="G29" t="s">
        <v>15</v>
      </c>
      <c r="H29" t="s">
        <v>15</v>
      </c>
      <c r="I29" t="s">
        <v>15</v>
      </c>
      <c r="J29" s="6"/>
    </row>
    <row r="30" spans="1:10" x14ac:dyDescent="0.25">
      <c r="A30" s="6">
        <v>45079</v>
      </c>
      <c r="B30" t="s">
        <v>16</v>
      </c>
      <c r="D30" s="7" t="s">
        <v>17</v>
      </c>
      <c r="E30" s="7">
        <v>92443.839999999997</v>
      </c>
      <c r="F30" t="s">
        <v>15</v>
      </c>
      <c r="G30" t="s">
        <v>15</v>
      </c>
      <c r="H30" t="s">
        <v>15</v>
      </c>
      <c r="I30" t="s">
        <v>15</v>
      </c>
      <c r="J30" s="6"/>
    </row>
    <row r="31" spans="1:10" x14ac:dyDescent="0.25">
      <c r="A31" s="6">
        <v>45093</v>
      </c>
      <c r="B31" t="s">
        <v>16</v>
      </c>
      <c r="D31" s="7" t="s">
        <v>17</v>
      </c>
      <c r="E31" s="7">
        <v>97987.59</v>
      </c>
      <c r="F31" t="s">
        <v>15</v>
      </c>
      <c r="G31" t="s">
        <v>15</v>
      </c>
      <c r="H31" t="s">
        <v>15</v>
      </c>
      <c r="I31" t="s">
        <v>15</v>
      </c>
    </row>
    <row r="32" spans="1:10" x14ac:dyDescent="0.25">
      <c r="A32" s="6">
        <v>45099</v>
      </c>
      <c r="B32" t="s">
        <v>16</v>
      </c>
      <c r="D32" s="7" t="s">
        <v>17</v>
      </c>
      <c r="E32" s="7">
        <v>238.78</v>
      </c>
      <c r="F32" t="s">
        <v>15</v>
      </c>
      <c r="G32" t="s">
        <v>15</v>
      </c>
      <c r="H32" t="s">
        <v>15</v>
      </c>
      <c r="I32" t="s">
        <v>15</v>
      </c>
      <c r="J32" s="6"/>
    </row>
    <row r="33" spans="1:10" x14ac:dyDescent="0.25">
      <c r="A33" s="6">
        <v>45107</v>
      </c>
      <c r="B33" t="s">
        <v>16</v>
      </c>
      <c r="D33" s="7" t="s">
        <v>17</v>
      </c>
      <c r="E33" s="7">
        <v>108460.37</v>
      </c>
      <c r="F33" t="s">
        <v>15</v>
      </c>
      <c r="G33" t="s">
        <v>15</v>
      </c>
      <c r="H33" t="s">
        <v>15</v>
      </c>
      <c r="I33" t="s">
        <v>15</v>
      </c>
    </row>
    <row r="34" spans="1:10" x14ac:dyDescent="0.25">
      <c r="A34" s="6">
        <v>45121</v>
      </c>
      <c r="B34" t="s">
        <v>16</v>
      </c>
      <c r="D34" s="7" t="s">
        <v>17</v>
      </c>
      <c r="E34" s="7">
        <v>102488.68</v>
      </c>
      <c r="F34" t="s">
        <v>15</v>
      </c>
      <c r="G34" t="s">
        <v>15</v>
      </c>
      <c r="H34" t="s">
        <v>15</v>
      </c>
      <c r="I34" t="s">
        <v>15</v>
      </c>
      <c r="J34" s="6"/>
    </row>
    <row r="35" spans="1:10" x14ac:dyDescent="0.25">
      <c r="A35" s="6">
        <v>45133</v>
      </c>
      <c r="B35" t="s">
        <v>16</v>
      </c>
      <c r="D35" s="7" t="s">
        <v>17</v>
      </c>
      <c r="E35" s="7">
        <v>3246.75</v>
      </c>
      <c r="F35" t="s">
        <v>15</v>
      </c>
      <c r="G35" t="s">
        <v>15</v>
      </c>
      <c r="H35" t="s">
        <v>15</v>
      </c>
      <c r="I35" t="s">
        <v>15</v>
      </c>
      <c r="J35" s="6"/>
    </row>
    <row r="36" spans="1:10" x14ac:dyDescent="0.25">
      <c r="A36" s="6">
        <v>45135</v>
      </c>
      <c r="B36" t="s">
        <v>16</v>
      </c>
      <c r="D36" s="7" t="s">
        <v>17</v>
      </c>
      <c r="E36" s="7">
        <v>102818.52</v>
      </c>
      <c r="F36" t="s">
        <v>15</v>
      </c>
      <c r="G36" t="s">
        <v>15</v>
      </c>
      <c r="H36" t="s">
        <v>15</v>
      </c>
      <c r="I36" t="s">
        <v>15</v>
      </c>
      <c r="J36" s="6"/>
    </row>
    <row r="37" spans="1:10" x14ac:dyDescent="0.25">
      <c r="A37" s="6">
        <v>44839</v>
      </c>
      <c r="B37" t="s">
        <v>13</v>
      </c>
      <c r="C37">
        <v>70713</v>
      </c>
      <c r="D37" t="s">
        <v>14</v>
      </c>
      <c r="E37" s="9">
        <v>1810.01</v>
      </c>
      <c r="F37" t="s">
        <v>15</v>
      </c>
      <c r="G37" t="s">
        <v>15</v>
      </c>
      <c r="H37" t="s">
        <v>15</v>
      </c>
      <c r="I37" t="s">
        <v>15</v>
      </c>
      <c r="J37" s="6"/>
    </row>
    <row r="38" spans="1:10" x14ac:dyDescent="0.25">
      <c r="A38" s="6">
        <v>44839</v>
      </c>
      <c r="B38" t="s">
        <v>13</v>
      </c>
      <c r="C38">
        <v>70714</v>
      </c>
      <c r="D38" t="s">
        <v>14</v>
      </c>
      <c r="E38" s="9">
        <v>1233.3599999999999</v>
      </c>
      <c r="F38" t="s">
        <v>15</v>
      </c>
      <c r="G38" t="s">
        <v>15</v>
      </c>
      <c r="H38" t="s">
        <v>15</v>
      </c>
      <c r="I38" t="s">
        <v>15</v>
      </c>
      <c r="J38" s="6"/>
    </row>
    <row r="39" spans="1:10" x14ac:dyDescent="0.25">
      <c r="A39" s="6">
        <v>44839</v>
      </c>
      <c r="B39" t="s">
        <v>13</v>
      </c>
      <c r="C39">
        <v>70715</v>
      </c>
      <c r="D39" t="s">
        <v>14</v>
      </c>
      <c r="E39" s="9">
        <v>1356.96</v>
      </c>
      <c r="F39" t="s">
        <v>15</v>
      </c>
      <c r="G39" t="s">
        <v>15</v>
      </c>
      <c r="H39" t="s">
        <v>15</v>
      </c>
      <c r="I39" t="s">
        <v>15</v>
      </c>
      <c r="J39" s="6"/>
    </row>
    <row r="40" spans="1:10" x14ac:dyDescent="0.25">
      <c r="A40" s="6">
        <v>44839</v>
      </c>
      <c r="B40" t="s">
        <v>13</v>
      </c>
      <c r="C40">
        <v>70716</v>
      </c>
      <c r="D40" t="s">
        <v>14</v>
      </c>
      <c r="E40" s="9">
        <v>1103.5999999999999</v>
      </c>
      <c r="F40" t="s">
        <v>15</v>
      </c>
      <c r="G40" t="s">
        <v>15</v>
      </c>
      <c r="H40" t="s">
        <v>15</v>
      </c>
      <c r="I40" t="s">
        <v>15</v>
      </c>
      <c r="J40" s="6"/>
    </row>
    <row r="41" spans="1:10" x14ac:dyDescent="0.25">
      <c r="A41" s="6">
        <v>44839</v>
      </c>
      <c r="B41" t="s">
        <v>13</v>
      </c>
      <c r="C41">
        <v>70717</v>
      </c>
      <c r="D41" t="s">
        <v>14</v>
      </c>
      <c r="E41" s="9">
        <v>1360.32</v>
      </c>
      <c r="F41" t="s">
        <v>15</v>
      </c>
      <c r="G41" t="s">
        <v>15</v>
      </c>
      <c r="H41" t="s">
        <v>15</v>
      </c>
      <c r="I41" t="s">
        <v>15</v>
      </c>
      <c r="J41" s="6"/>
    </row>
    <row r="42" spans="1:10" x14ac:dyDescent="0.25">
      <c r="A42" s="6">
        <v>44855</v>
      </c>
      <c r="B42" t="s">
        <v>13</v>
      </c>
      <c r="C42">
        <v>70802</v>
      </c>
      <c r="D42" t="s">
        <v>14</v>
      </c>
      <c r="E42" s="9">
        <v>1779.37</v>
      </c>
      <c r="F42" t="s">
        <v>15</v>
      </c>
      <c r="G42" t="s">
        <v>15</v>
      </c>
      <c r="H42" t="s">
        <v>15</v>
      </c>
      <c r="I42" t="s">
        <v>15</v>
      </c>
      <c r="J42" s="6"/>
    </row>
    <row r="43" spans="1:10" x14ac:dyDescent="0.25">
      <c r="A43" s="6">
        <v>44855</v>
      </c>
      <c r="B43" t="s">
        <v>13</v>
      </c>
      <c r="C43">
        <v>70803</v>
      </c>
      <c r="D43" t="s">
        <v>14</v>
      </c>
      <c r="E43" s="9">
        <v>1246.69</v>
      </c>
      <c r="F43" t="s">
        <v>15</v>
      </c>
      <c r="G43" t="s">
        <v>15</v>
      </c>
      <c r="H43" t="s">
        <v>15</v>
      </c>
      <c r="I43" t="s">
        <v>15</v>
      </c>
      <c r="J43" s="6"/>
    </row>
    <row r="44" spans="1:10" x14ac:dyDescent="0.25">
      <c r="A44" s="6">
        <v>44855</v>
      </c>
      <c r="B44" t="s">
        <v>13</v>
      </c>
      <c r="C44">
        <v>70804</v>
      </c>
      <c r="D44" t="s">
        <v>14</v>
      </c>
      <c r="E44" s="9">
        <v>1194.77</v>
      </c>
      <c r="F44" t="s">
        <v>15</v>
      </c>
      <c r="G44" t="s">
        <v>15</v>
      </c>
      <c r="H44" t="s">
        <v>15</v>
      </c>
      <c r="I44" t="s">
        <v>15</v>
      </c>
      <c r="J44" s="6"/>
    </row>
    <row r="45" spans="1:10" x14ac:dyDescent="0.25">
      <c r="A45" s="6">
        <v>44855</v>
      </c>
      <c r="B45" t="s">
        <v>13</v>
      </c>
      <c r="C45">
        <v>70805</v>
      </c>
      <c r="D45" t="s">
        <v>14</v>
      </c>
      <c r="E45" s="9">
        <v>666.18</v>
      </c>
      <c r="F45" t="s">
        <v>15</v>
      </c>
      <c r="G45" t="s">
        <v>15</v>
      </c>
      <c r="H45" t="s">
        <v>15</v>
      </c>
      <c r="I45" t="s">
        <v>15</v>
      </c>
      <c r="J45" s="6"/>
    </row>
    <row r="46" spans="1:10" x14ac:dyDescent="0.25">
      <c r="A46" s="6">
        <v>44855</v>
      </c>
      <c r="B46" t="s">
        <v>13</v>
      </c>
      <c r="C46">
        <v>70806</v>
      </c>
      <c r="D46" t="s">
        <v>14</v>
      </c>
      <c r="E46" s="9">
        <v>1345.18</v>
      </c>
      <c r="F46" t="s">
        <v>15</v>
      </c>
      <c r="G46" t="s">
        <v>15</v>
      </c>
      <c r="H46" t="s">
        <v>15</v>
      </c>
      <c r="I46" t="s">
        <v>15</v>
      </c>
      <c r="J46" s="6"/>
    </row>
    <row r="47" spans="1:10" x14ac:dyDescent="0.25">
      <c r="A47" s="6">
        <v>44869</v>
      </c>
      <c r="B47" t="s">
        <v>13</v>
      </c>
      <c r="C47">
        <v>70895</v>
      </c>
      <c r="D47" t="s">
        <v>14</v>
      </c>
      <c r="E47" s="9">
        <v>1756.62</v>
      </c>
      <c r="F47" t="s">
        <v>15</v>
      </c>
      <c r="G47" t="s">
        <v>15</v>
      </c>
      <c r="H47" t="s">
        <v>15</v>
      </c>
      <c r="I47" t="s">
        <v>15</v>
      </c>
      <c r="J47" s="6"/>
    </row>
    <row r="48" spans="1:10" x14ac:dyDescent="0.25">
      <c r="A48" s="6">
        <v>44869</v>
      </c>
      <c r="B48" t="s">
        <v>13</v>
      </c>
      <c r="C48">
        <v>70896</v>
      </c>
      <c r="D48" t="s">
        <v>14</v>
      </c>
      <c r="E48" s="9">
        <v>1460.37</v>
      </c>
      <c r="F48" t="s">
        <v>15</v>
      </c>
      <c r="G48" t="s">
        <v>15</v>
      </c>
      <c r="H48" t="s">
        <v>15</v>
      </c>
      <c r="I48" t="s">
        <v>15</v>
      </c>
      <c r="J48" s="6"/>
    </row>
    <row r="49" spans="1:10" x14ac:dyDescent="0.25">
      <c r="A49" s="6">
        <v>44869</v>
      </c>
      <c r="B49" t="s">
        <v>13</v>
      </c>
      <c r="C49">
        <v>70897</v>
      </c>
      <c r="D49" t="s">
        <v>14</v>
      </c>
      <c r="E49" s="9">
        <v>1343.13</v>
      </c>
      <c r="F49" t="s">
        <v>15</v>
      </c>
      <c r="G49" t="s">
        <v>15</v>
      </c>
      <c r="H49" t="s">
        <v>15</v>
      </c>
      <c r="I49" t="s">
        <v>15</v>
      </c>
      <c r="J49" s="6"/>
    </row>
    <row r="50" spans="1:10" x14ac:dyDescent="0.25">
      <c r="A50" s="6">
        <v>44869</v>
      </c>
      <c r="B50" t="s">
        <v>13</v>
      </c>
      <c r="C50">
        <v>70898</v>
      </c>
      <c r="D50" t="s">
        <v>14</v>
      </c>
      <c r="E50" s="9">
        <v>1170.5</v>
      </c>
      <c r="F50" t="s">
        <v>15</v>
      </c>
      <c r="G50" t="s">
        <v>15</v>
      </c>
      <c r="H50" t="s">
        <v>15</v>
      </c>
      <c r="I50" t="s">
        <v>15</v>
      </c>
      <c r="J50" s="6"/>
    </row>
    <row r="51" spans="1:10" x14ac:dyDescent="0.25">
      <c r="A51" s="6">
        <v>44869</v>
      </c>
      <c r="B51" t="s">
        <v>13</v>
      </c>
      <c r="C51">
        <v>70899</v>
      </c>
      <c r="D51" t="s">
        <v>14</v>
      </c>
      <c r="E51" s="9">
        <v>1304.45</v>
      </c>
      <c r="F51" t="s">
        <v>15</v>
      </c>
      <c r="G51" t="s">
        <v>15</v>
      </c>
      <c r="H51" t="s">
        <v>15</v>
      </c>
      <c r="I51" t="s">
        <v>15</v>
      </c>
      <c r="J51" s="6"/>
    </row>
    <row r="52" spans="1:10" x14ac:dyDescent="0.25">
      <c r="A52" s="6">
        <v>44883</v>
      </c>
      <c r="B52" t="s">
        <v>13</v>
      </c>
      <c r="C52">
        <v>71025</v>
      </c>
      <c r="D52" t="s">
        <v>14</v>
      </c>
      <c r="E52" s="9">
        <v>2090.19</v>
      </c>
      <c r="F52" t="s">
        <v>15</v>
      </c>
      <c r="G52" t="s">
        <v>15</v>
      </c>
      <c r="H52" t="s">
        <v>15</v>
      </c>
      <c r="I52" t="s">
        <v>15</v>
      </c>
      <c r="J52" s="6"/>
    </row>
    <row r="53" spans="1:10" x14ac:dyDescent="0.25">
      <c r="A53" s="6">
        <v>44883</v>
      </c>
      <c r="B53" t="s">
        <v>13</v>
      </c>
      <c r="C53">
        <v>71026</v>
      </c>
      <c r="D53" t="s">
        <v>14</v>
      </c>
      <c r="E53" s="9">
        <v>1532.83</v>
      </c>
      <c r="F53" t="s">
        <v>15</v>
      </c>
      <c r="G53" t="s">
        <v>15</v>
      </c>
      <c r="H53" t="s">
        <v>15</v>
      </c>
      <c r="I53" t="s">
        <v>15</v>
      </c>
      <c r="J53" s="6"/>
    </row>
    <row r="54" spans="1:10" x14ac:dyDescent="0.25">
      <c r="A54" s="6">
        <v>44883</v>
      </c>
      <c r="B54" t="s">
        <v>13</v>
      </c>
      <c r="C54">
        <v>71027</v>
      </c>
      <c r="D54" t="s">
        <v>14</v>
      </c>
      <c r="E54" s="9">
        <v>1249.78</v>
      </c>
      <c r="F54" t="s">
        <v>15</v>
      </c>
      <c r="G54" t="s">
        <v>15</v>
      </c>
      <c r="H54" t="s">
        <v>15</v>
      </c>
      <c r="I54" t="s">
        <v>15</v>
      </c>
      <c r="J54" s="6"/>
    </row>
    <row r="55" spans="1:10" x14ac:dyDescent="0.25">
      <c r="A55" s="6">
        <v>44883</v>
      </c>
      <c r="B55" t="s">
        <v>13</v>
      </c>
      <c r="C55">
        <v>71028</v>
      </c>
      <c r="D55" t="s">
        <v>14</v>
      </c>
      <c r="E55">
        <v>997.58</v>
      </c>
      <c r="F55" t="s">
        <v>15</v>
      </c>
      <c r="G55" t="s">
        <v>15</v>
      </c>
      <c r="H55" t="s">
        <v>15</v>
      </c>
      <c r="I55" t="s">
        <v>15</v>
      </c>
      <c r="J55" s="6"/>
    </row>
    <row r="56" spans="1:10" x14ac:dyDescent="0.25">
      <c r="A56" s="6">
        <v>44883</v>
      </c>
      <c r="B56" t="s">
        <v>13</v>
      </c>
      <c r="C56">
        <v>71029</v>
      </c>
      <c r="D56" t="s">
        <v>14</v>
      </c>
      <c r="E56" s="9">
        <v>1401.71</v>
      </c>
      <c r="F56" t="s">
        <v>15</v>
      </c>
      <c r="G56" t="s">
        <v>15</v>
      </c>
      <c r="H56" t="s">
        <v>15</v>
      </c>
      <c r="I56" t="s">
        <v>15</v>
      </c>
      <c r="J56" s="6"/>
    </row>
    <row r="57" spans="1:10" x14ac:dyDescent="0.25">
      <c r="A57" s="6">
        <v>44882</v>
      </c>
      <c r="B57" t="s">
        <v>13</v>
      </c>
      <c r="C57">
        <v>71073</v>
      </c>
      <c r="D57" t="s">
        <v>14</v>
      </c>
      <c r="E57" s="9">
        <v>1779.69</v>
      </c>
      <c r="F57" t="s">
        <v>15</v>
      </c>
      <c r="G57" t="s">
        <v>15</v>
      </c>
      <c r="H57" t="s">
        <v>15</v>
      </c>
      <c r="I57" t="s">
        <v>15</v>
      </c>
      <c r="J57" s="6"/>
    </row>
    <row r="58" spans="1:10" x14ac:dyDescent="0.25">
      <c r="A58" s="6">
        <v>44882</v>
      </c>
      <c r="B58" t="s">
        <v>13</v>
      </c>
      <c r="C58">
        <v>71074</v>
      </c>
      <c r="D58" t="s">
        <v>14</v>
      </c>
      <c r="E58" s="9">
        <v>1612.38</v>
      </c>
      <c r="F58" t="s">
        <v>15</v>
      </c>
      <c r="G58" t="s">
        <v>15</v>
      </c>
      <c r="H58" t="s">
        <v>15</v>
      </c>
      <c r="I58" t="s">
        <v>15</v>
      </c>
      <c r="J58" s="6"/>
    </row>
    <row r="59" spans="1:10" x14ac:dyDescent="0.25">
      <c r="A59" s="6">
        <v>44897</v>
      </c>
      <c r="B59" t="s">
        <v>13</v>
      </c>
      <c r="C59">
        <v>71095</v>
      </c>
      <c r="D59" t="s">
        <v>14</v>
      </c>
      <c r="E59" s="9">
        <v>1835.23</v>
      </c>
      <c r="F59" t="s">
        <v>15</v>
      </c>
      <c r="G59" t="s">
        <v>15</v>
      </c>
      <c r="H59" t="s">
        <v>15</v>
      </c>
      <c r="I59" t="s">
        <v>15</v>
      </c>
      <c r="J59" s="6"/>
    </row>
    <row r="60" spans="1:10" x14ac:dyDescent="0.25">
      <c r="A60" s="6">
        <v>44897</v>
      </c>
      <c r="B60" t="s">
        <v>13</v>
      </c>
      <c r="C60">
        <v>71096</v>
      </c>
      <c r="D60" t="s">
        <v>14</v>
      </c>
      <c r="E60" s="9">
        <v>1306.5</v>
      </c>
      <c r="F60" t="s">
        <v>15</v>
      </c>
      <c r="G60" t="s">
        <v>15</v>
      </c>
      <c r="H60" t="s">
        <v>15</v>
      </c>
      <c r="I60" t="s">
        <v>15</v>
      </c>
      <c r="J60" s="6"/>
    </row>
    <row r="61" spans="1:10" x14ac:dyDescent="0.25">
      <c r="A61" s="6">
        <v>44897</v>
      </c>
      <c r="B61" t="s">
        <v>13</v>
      </c>
      <c r="C61">
        <v>71097</v>
      </c>
      <c r="D61" t="s">
        <v>14</v>
      </c>
      <c r="E61" s="9">
        <v>1387.89</v>
      </c>
      <c r="F61" t="s">
        <v>15</v>
      </c>
      <c r="G61" t="s">
        <v>15</v>
      </c>
      <c r="H61" t="s">
        <v>15</v>
      </c>
      <c r="I61" t="s">
        <v>15</v>
      </c>
      <c r="J61" s="6"/>
    </row>
    <row r="62" spans="1:10" x14ac:dyDescent="0.25">
      <c r="A62" s="6">
        <v>44897</v>
      </c>
      <c r="B62" t="s">
        <v>13</v>
      </c>
      <c r="C62">
        <v>71098</v>
      </c>
      <c r="D62" t="s">
        <v>14</v>
      </c>
      <c r="E62">
        <v>892.05</v>
      </c>
      <c r="F62" t="s">
        <v>15</v>
      </c>
      <c r="G62" t="s">
        <v>15</v>
      </c>
      <c r="H62" t="s">
        <v>15</v>
      </c>
      <c r="I62" t="s">
        <v>15</v>
      </c>
      <c r="J62" s="6"/>
    </row>
    <row r="63" spans="1:10" x14ac:dyDescent="0.25">
      <c r="A63" s="6">
        <v>44897</v>
      </c>
      <c r="B63" t="s">
        <v>13</v>
      </c>
      <c r="C63">
        <v>71099</v>
      </c>
      <c r="D63" t="s">
        <v>14</v>
      </c>
      <c r="E63" s="9">
        <v>1249.8900000000001</v>
      </c>
      <c r="F63" t="s">
        <v>15</v>
      </c>
      <c r="G63" t="s">
        <v>15</v>
      </c>
      <c r="H63" t="s">
        <v>15</v>
      </c>
      <c r="I63" t="s">
        <v>15</v>
      </c>
      <c r="J63" s="6"/>
    </row>
    <row r="64" spans="1:10" x14ac:dyDescent="0.25">
      <c r="A64" s="6">
        <v>44910</v>
      </c>
      <c r="B64" t="s">
        <v>13</v>
      </c>
      <c r="C64">
        <v>71236</v>
      </c>
      <c r="D64" t="s">
        <v>14</v>
      </c>
      <c r="E64" s="9">
        <v>1000.22</v>
      </c>
      <c r="F64" t="s">
        <v>15</v>
      </c>
      <c r="G64" t="s">
        <v>15</v>
      </c>
      <c r="H64" t="s">
        <v>15</v>
      </c>
      <c r="I64" t="s">
        <v>15</v>
      </c>
      <c r="J64" s="6"/>
    </row>
    <row r="65" spans="1:10" x14ac:dyDescent="0.25">
      <c r="A65" s="6">
        <v>44910</v>
      </c>
      <c r="B65" t="s">
        <v>13</v>
      </c>
      <c r="C65">
        <v>71237</v>
      </c>
      <c r="D65" t="s">
        <v>14</v>
      </c>
      <c r="E65" s="9">
        <v>1000.22</v>
      </c>
      <c r="F65" t="s">
        <v>15</v>
      </c>
      <c r="G65" t="s">
        <v>15</v>
      </c>
      <c r="H65" t="s">
        <v>15</v>
      </c>
      <c r="I65" t="s">
        <v>15</v>
      </c>
      <c r="J65" s="6"/>
    </row>
    <row r="66" spans="1:10" x14ac:dyDescent="0.25">
      <c r="A66" s="6">
        <v>44910</v>
      </c>
      <c r="B66" t="s">
        <v>13</v>
      </c>
      <c r="C66">
        <v>71238</v>
      </c>
      <c r="D66" t="s">
        <v>14</v>
      </c>
      <c r="E66" s="9">
        <v>1000.22</v>
      </c>
      <c r="F66" t="s">
        <v>15</v>
      </c>
      <c r="G66" t="s">
        <v>15</v>
      </c>
      <c r="H66" t="s">
        <v>15</v>
      </c>
      <c r="I66" t="s">
        <v>15</v>
      </c>
      <c r="J66" s="6"/>
    </row>
    <row r="67" spans="1:10" x14ac:dyDescent="0.25">
      <c r="A67" s="6">
        <v>44910</v>
      </c>
      <c r="B67" t="s">
        <v>13</v>
      </c>
      <c r="C67">
        <v>71239</v>
      </c>
      <c r="D67" t="s">
        <v>14</v>
      </c>
      <c r="E67" s="9">
        <v>1000.22</v>
      </c>
      <c r="F67" t="s">
        <v>15</v>
      </c>
      <c r="G67" t="s">
        <v>15</v>
      </c>
      <c r="H67" t="s">
        <v>15</v>
      </c>
      <c r="I67" t="s">
        <v>15</v>
      </c>
      <c r="J67" s="6"/>
    </row>
    <row r="68" spans="1:10" x14ac:dyDescent="0.25">
      <c r="A68" s="6">
        <v>44910</v>
      </c>
      <c r="B68" t="s">
        <v>13</v>
      </c>
      <c r="C68">
        <v>71240</v>
      </c>
      <c r="D68" t="s">
        <v>14</v>
      </c>
      <c r="E68" s="9">
        <v>1000.22</v>
      </c>
      <c r="F68" t="s">
        <v>15</v>
      </c>
      <c r="G68" t="s">
        <v>15</v>
      </c>
      <c r="H68" t="s">
        <v>15</v>
      </c>
      <c r="I68" t="s">
        <v>15</v>
      </c>
      <c r="J68" s="6"/>
    </row>
    <row r="69" spans="1:10" x14ac:dyDescent="0.25">
      <c r="A69" s="6">
        <v>44910</v>
      </c>
      <c r="B69" t="s">
        <v>13</v>
      </c>
      <c r="C69">
        <v>71241</v>
      </c>
      <c r="D69" t="s">
        <v>14</v>
      </c>
      <c r="E69" s="9">
        <v>1000.22</v>
      </c>
      <c r="F69" t="s">
        <v>15</v>
      </c>
      <c r="G69" t="s">
        <v>15</v>
      </c>
      <c r="H69" t="s">
        <v>15</v>
      </c>
      <c r="I69" t="s">
        <v>15</v>
      </c>
      <c r="J69" s="6"/>
    </row>
    <row r="70" spans="1:10" x14ac:dyDescent="0.25">
      <c r="A70" s="6">
        <v>44910</v>
      </c>
      <c r="B70" t="s">
        <v>13</v>
      </c>
      <c r="C70">
        <v>71242</v>
      </c>
      <c r="D70" t="s">
        <v>14</v>
      </c>
      <c r="E70" s="9">
        <v>1000.22</v>
      </c>
      <c r="F70" t="s">
        <v>15</v>
      </c>
      <c r="G70" t="s">
        <v>15</v>
      </c>
      <c r="H70" t="s">
        <v>15</v>
      </c>
      <c r="I70" t="s">
        <v>15</v>
      </c>
      <c r="J70" s="6"/>
    </row>
    <row r="71" spans="1:10" x14ac:dyDescent="0.25">
      <c r="A71" s="6">
        <v>44910</v>
      </c>
      <c r="B71" t="s">
        <v>13</v>
      </c>
      <c r="C71">
        <v>71243</v>
      </c>
      <c r="D71" t="s">
        <v>14</v>
      </c>
      <c r="E71" s="9">
        <v>1000.22</v>
      </c>
      <c r="F71" t="s">
        <v>15</v>
      </c>
      <c r="G71" t="s">
        <v>15</v>
      </c>
      <c r="H71" t="s">
        <v>15</v>
      </c>
      <c r="I71" t="s">
        <v>15</v>
      </c>
      <c r="J71" s="6"/>
    </row>
    <row r="72" spans="1:10" x14ac:dyDescent="0.25">
      <c r="A72" s="6">
        <v>44910</v>
      </c>
      <c r="B72" t="s">
        <v>13</v>
      </c>
      <c r="C72">
        <v>71244</v>
      </c>
      <c r="D72" t="s">
        <v>14</v>
      </c>
      <c r="E72" s="9">
        <v>1000.22</v>
      </c>
      <c r="F72" t="s">
        <v>15</v>
      </c>
      <c r="G72" t="s">
        <v>15</v>
      </c>
      <c r="H72" t="s">
        <v>15</v>
      </c>
      <c r="I72" t="s">
        <v>15</v>
      </c>
      <c r="J72" s="6"/>
    </row>
    <row r="73" spans="1:10" x14ac:dyDescent="0.25">
      <c r="A73" s="6">
        <v>44910</v>
      </c>
      <c r="B73" t="s">
        <v>13</v>
      </c>
      <c r="C73">
        <v>71245</v>
      </c>
      <c r="D73" t="s">
        <v>14</v>
      </c>
      <c r="E73" s="9">
        <v>1000.22</v>
      </c>
      <c r="F73" t="s">
        <v>15</v>
      </c>
      <c r="G73" t="s">
        <v>15</v>
      </c>
      <c r="H73" t="s">
        <v>15</v>
      </c>
      <c r="I73" t="s">
        <v>15</v>
      </c>
      <c r="J73" s="6"/>
    </row>
    <row r="74" spans="1:10" x14ac:dyDescent="0.25">
      <c r="A74" s="6">
        <v>44910</v>
      </c>
      <c r="B74" t="s">
        <v>13</v>
      </c>
      <c r="C74">
        <v>71246</v>
      </c>
      <c r="D74" t="s">
        <v>14</v>
      </c>
      <c r="E74" s="9">
        <v>1000.22</v>
      </c>
      <c r="F74" t="s">
        <v>15</v>
      </c>
      <c r="G74" t="s">
        <v>15</v>
      </c>
      <c r="H74" t="s">
        <v>15</v>
      </c>
      <c r="I74" t="s">
        <v>15</v>
      </c>
      <c r="J74" s="6"/>
    </row>
    <row r="75" spans="1:10" x14ac:dyDescent="0.25">
      <c r="A75" s="6">
        <v>44910</v>
      </c>
      <c r="B75" t="s">
        <v>13</v>
      </c>
      <c r="C75">
        <v>71247</v>
      </c>
      <c r="D75" t="s">
        <v>14</v>
      </c>
      <c r="E75" s="9">
        <v>1000.22</v>
      </c>
      <c r="F75" t="s">
        <v>15</v>
      </c>
      <c r="G75" t="s">
        <v>15</v>
      </c>
      <c r="H75" t="s">
        <v>15</v>
      </c>
      <c r="I75" t="s">
        <v>15</v>
      </c>
      <c r="J75" s="6"/>
    </row>
    <row r="76" spans="1:10" x14ac:dyDescent="0.25">
      <c r="A76" s="6">
        <v>44910</v>
      </c>
      <c r="B76" t="s">
        <v>13</v>
      </c>
      <c r="C76">
        <v>71248</v>
      </c>
      <c r="D76" t="s">
        <v>14</v>
      </c>
      <c r="E76" s="9">
        <v>1000.22</v>
      </c>
      <c r="F76" t="s">
        <v>15</v>
      </c>
      <c r="G76" t="s">
        <v>15</v>
      </c>
      <c r="H76" t="s">
        <v>15</v>
      </c>
      <c r="I76" t="s">
        <v>15</v>
      </c>
      <c r="J76" s="6"/>
    </row>
    <row r="77" spans="1:10" x14ac:dyDescent="0.25">
      <c r="A77" s="6">
        <v>44910</v>
      </c>
      <c r="B77" t="s">
        <v>13</v>
      </c>
      <c r="C77">
        <v>71249</v>
      </c>
      <c r="D77" t="s">
        <v>14</v>
      </c>
      <c r="E77" s="9">
        <v>1000.22</v>
      </c>
      <c r="F77" t="s">
        <v>15</v>
      </c>
      <c r="G77" t="s">
        <v>15</v>
      </c>
      <c r="H77" t="s">
        <v>15</v>
      </c>
      <c r="I77" t="s">
        <v>15</v>
      </c>
      <c r="J77" s="6"/>
    </row>
    <row r="78" spans="1:10" x14ac:dyDescent="0.25">
      <c r="A78" s="6">
        <v>44910</v>
      </c>
      <c r="B78" t="s">
        <v>13</v>
      </c>
      <c r="C78">
        <v>71250</v>
      </c>
      <c r="D78" t="s">
        <v>14</v>
      </c>
      <c r="E78" s="9">
        <v>1000.22</v>
      </c>
      <c r="F78" t="s">
        <v>15</v>
      </c>
      <c r="G78" t="s">
        <v>15</v>
      </c>
      <c r="H78" t="s">
        <v>15</v>
      </c>
      <c r="I78" t="s">
        <v>15</v>
      </c>
      <c r="J78" s="6"/>
    </row>
    <row r="79" spans="1:10" x14ac:dyDescent="0.25">
      <c r="A79" s="6">
        <v>44910</v>
      </c>
      <c r="B79" t="s">
        <v>13</v>
      </c>
      <c r="C79">
        <v>71251</v>
      </c>
      <c r="D79" t="s">
        <v>14</v>
      </c>
      <c r="E79" s="9">
        <v>1000.22</v>
      </c>
      <c r="F79" t="s">
        <v>15</v>
      </c>
      <c r="G79" t="s">
        <v>15</v>
      </c>
      <c r="H79" t="s">
        <v>15</v>
      </c>
      <c r="I79" t="s">
        <v>15</v>
      </c>
      <c r="J79" s="6"/>
    </row>
    <row r="80" spans="1:10" x14ac:dyDescent="0.25">
      <c r="A80" s="6">
        <v>44910</v>
      </c>
      <c r="B80" t="s">
        <v>13</v>
      </c>
      <c r="C80">
        <v>71252</v>
      </c>
      <c r="D80" t="s">
        <v>14</v>
      </c>
      <c r="E80" s="9">
        <v>1000.22</v>
      </c>
      <c r="F80" t="s">
        <v>15</v>
      </c>
      <c r="G80" t="s">
        <v>15</v>
      </c>
      <c r="H80" t="s">
        <v>15</v>
      </c>
      <c r="I80" t="s">
        <v>15</v>
      </c>
      <c r="J80" s="6"/>
    </row>
    <row r="81" spans="1:10" x14ac:dyDescent="0.25">
      <c r="A81" s="6">
        <v>44910</v>
      </c>
      <c r="B81" t="s">
        <v>13</v>
      </c>
      <c r="C81">
        <v>71253</v>
      </c>
      <c r="D81" t="s">
        <v>14</v>
      </c>
      <c r="E81" s="9">
        <v>1000.22</v>
      </c>
      <c r="F81" t="s">
        <v>15</v>
      </c>
      <c r="G81" t="s">
        <v>15</v>
      </c>
      <c r="H81" t="s">
        <v>15</v>
      </c>
      <c r="I81" t="s">
        <v>15</v>
      </c>
      <c r="J81" s="6"/>
    </row>
    <row r="82" spans="1:10" x14ac:dyDescent="0.25">
      <c r="A82" s="6">
        <v>44910</v>
      </c>
      <c r="B82" t="s">
        <v>13</v>
      </c>
      <c r="C82">
        <v>71254</v>
      </c>
      <c r="D82" t="s">
        <v>14</v>
      </c>
      <c r="E82" s="9">
        <v>1000.22</v>
      </c>
      <c r="F82" t="s">
        <v>15</v>
      </c>
      <c r="G82" t="s">
        <v>15</v>
      </c>
      <c r="H82" t="s">
        <v>15</v>
      </c>
      <c r="I82" t="s">
        <v>15</v>
      </c>
      <c r="J82" s="6"/>
    </row>
    <row r="83" spans="1:10" x14ac:dyDescent="0.25">
      <c r="A83" s="6">
        <v>44910</v>
      </c>
      <c r="B83" t="s">
        <v>13</v>
      </c>
      <c r="C83">
        <v>71255</v>
      </c>
      <c r="D83" t="s">
        <v>14</v>
      </c>
      <c r="E83" s="9">
        <v>1000.22</v>
      </c>
      <c r="F83" t="s">
        <v>15</v>
      </c>
      <c r="G83" t="s">
        <v>15</v>
      </c>
      <c r="H83" t="s">
        <v>15</v>
      </c>
      <c r="I83" t="s">
        <v>15</v>
      </c>
      <c r="J83" s="6"/>
    </row>
    <row r="84" spans="1:10" x14ac:dyDescent="0.25">
      <c r="A84" s="6">
        <v>44910</v>
      </c>
      <c r="B84" t="s">
        <v>13</v>
      </c>
      <c r="C84">
        <v>71256</v>
      </c>
      <c r="D84" t="s">
        <v>14</v>
      </c>
      <c r="E84" s="9">
        <v>1000.22</v>
      </c>
      <c r="F84" t="s">
        <v>15</v>
      </c>
      <c r="G84" t="s">
        <v>15</v>
      </c>
      <c r="H84" t="s">
        <v>15</v>
      </c>
      <c r="I84" t="s">
        <v>15</v>
      </c>
      <c r="J84" s="6"/>
    </row>
    <row r="85" spans="1:10" x14ac:dyDescent="0.25">
      <c r="A85" s="6">
        <v>44910</v>
      </c>
      <c r="B85" t="s">
        <v>13</v>
      </c>
      <c r="C85">
        <v>71257</v>
      </c>
      <c r="D85" t="s">
        <v>14</v>
      </c>
      <c r="E85">
        <v>500.83</v>
      </c>
      <c r="F85" t="s">
        <v>15</v>
      </c>
      <c r="G85" t="s">
        <v>15</v>
      </c>
      <c r="H85" t="s">
        <v>15</v>
      </c>
      <c r="I85" t="s">
        <v>15</v>
      </c>
      <c r="J85" s="6"/>
    </row>
    <row r="86" spans="1:10" x14ac:dyDescent="0.25">
      <c r="A86" s="6">
        <v>44910</v>
      </c>
      <c r="B86" t="s">
        <v>13</v>
      </c>
      <c r="C86">
        <v>71258</v>
      </c>
      <c r="D86" t="s">
        <v>14</v>
      </c>
      <c r="E86" s="9">
        <v>1000.22</v>
      </c>
      <c r="F86" t="s">
        <v>15</v>
      </c>
      <c r="G86" t="s">
        <v>15</v>
      </c>
      <c r="H86" t="s">
        <v>15</v>
      </c>
      <c r="I86" t="s">
        <v>15</v>
      </c>
      <c r="J86" s="6"/>
    </row>
    <row r="87" spans="1:10" x14ac:dyDescent="0.25">
      <c r="A87" s="6">
        <v>44910</v>
      </c>
      <c r="B87" t="s">
        <v>13</v>
      </c>
      <c r="C87">
        <v>71259</v>
      </c>
      <c r="D87" t="s">
        <v>14</v>
      </c>
      <c r="E87" s="9">
        <v>1000.22</v>
      </c>
      <c r="F87" t="s">
        <v>15</v>
      </c>
      <c r="G87" t="s">
        <v>15</v>
      </c>
      <c r="H87" t="s">
        <v>15</v>
      </c>
      <c r="I87" t="s">
        <v>15</v>
      </c>
      <c r="J87" s="6"/>
    </row>
    <row r="88" spans="1:10" x14ac:dyDescent="0.25">
      <c r="A88" s="6">
        <v>44910</v>
      </c>
      <c r="B88" t="s">
        <v>13</v>
      </c>
      <c r="C88">
        <v>71260</v>
      </c>
      <c r="D88" t="s">
        <v>14</v>
      </c>
      <c r="E88" s="9">
        <v>1000.22</v>
      </c>
      <c r="F88" t="s">
        <v>15</v>
      </c>
      <c r="G88" t="s">
        <v>15</v>
      </c>
      <c r="H88" t="s">
        <v>15</v>
      </c>
      <c r="I88" t="s">
        <v>15</v>
      </c>
      <c r="J88" s="6"/>
    </row>
    <row r="89" spans="1:10" x14ac:dyDescent="0.25">
      <c r="A89" s="6">
        <v>44910</v>
      </c>
      <c r="B89" t="s">
        <v>13</v>
      </c>
      <c r="C89">
        <v>71261</v>
      </c>
      <c r="D89" t="s">
        <v>14</v>
      </c>
      <c r="E89" s="9">
        <v>1000.22</v>
      </c>
      <c r="F89" t="s">
        <v>15</v>
      </c>
      <c r="G89" t="s">
        <v>15</v>
      </c>
      <c r="H89" t="s">
        <v>15</v>
      </c>
      <c r="I89" t="s">
        <v>15</v>
      </c>
      <c r="J89" s="6"/>
    </row>
    <row r="90" spans="1:10" x14ac:dyDescent="0.25">
      <c r="A90" s="6">
        <v>44910</v>
      </c>
      <c r="B90" t="s">
        <v>13</v>
      </c>
      <c r="C90">
        <v>71262</v>
      </c>
      <c r="D90" t="s">
        <v>14</v>
      </c>
      <c r="E90" s="9">
        <v>1000.22</v>
      </c>
      <c r="F90" t="s">
        <v>15</v>
      </c>
      <c r="G90" t="s">
        <v>15</v>
      </c>
      <c r="H90" t="s">
        <v>15</v>
      </c>
      <c r="I90" t="s">
        <v>15</v>
      </c>
      <c r="J90" s="6"/>
    </row>
    <row r="91" spans="1:10" x14ac:dyDescent="0.25">
      <c r="A91" s="6">
        <v>44910</v>
      </c>
      <c r="B91" t="s">
        <v>13</v>
      </c>
      <c r="C91">
        <v>71263</v>
      </c>
      <c r="D91" t="s">
        <v>14</v>
      </c>
      <c r="E91" s="9">
        <v>1000.22</v>
      </c>
      <c r="F91" t="s">
        <v>15</v>
      </c>
      <c r="G91" t="s">
        <v>15</v>
      </c>
      <c r="H91" t="s">
        <v>15</v>
      </c>
      <c r="I91" t="s">
        <v>15</v>
      </c>
      <c r="J91" s="6"/>
    </row>
    <row r="92" spans="1:10" x14ac:dyDescent="0.25">
      <c r="A92" s="6">
        <v>44910</v>
      </c>
      <c r="B92" t="s">
        <v>13</v>
      </c>
      <c r="C92">
        <v>71264</v>
      </c>
      <c r="D92" t="s">
        <v>14</v>
      </c>
      <c r="E92" s="9">
        <v>1000.22</v>
      </c>
      <c r="F92" t="s">
        <v>15</v>
      </c>
      <c r="G92" t="s">
        <v>15</v>
      </c>
      <c r="H92" t="s">
        <v>15</v>
      </c>
      <c r="I92" t="s">
        <v>15</v>
      </c>
      <c r="J92" s="6"/>
    </row>
    <row r="93" spans="1:10" x14ac:dyDescent="0.25">
      <c r="A93" s="6">
        <v>44910</v>
      </c>
      <c r="B93" t="s">
        <v>13</v>
      </c>
      <c r="C93">
        <v>71265</v>
      </c>
      <c r="D93" t="s">
        <v>14</v>
      </c>
      <c r="E93" s="9">
        <v>1000.22</v>
      </c>
      <c r="F93" t="s">
        <v>15</v>
      </c>
      <c r="G93" t="s">
        <v>15</v>
      </c>
      <c r="H93" t="s">
        <v>15</v>
      </c>
      <c r="I93" t="s">
        <v>15</v>
      </c>
      <c r="J93" s="6"/>
    </row>
    <row r="94" spans="1:10" x14ac:dyDescent="0.25">
      <c r="A94" s="6">
        <v>44910</v>
      </c>
      <c r="B94" t="s">
        <v>13</v>
      </c>
      <c r="C94">
        <v>71266</v>
      </c>
      <c r="D94" t="s">
        <v>14</v>
      </c>
      <c r="E94" s="9">
        <v>1000.22</v>
      </c>
      <c r="F94" t="s">
        <v>15</v>
      </c>
      <c r="G94" t="s">
        <v>15</v>
      </c>
      <c r="H94" t="s">
        <v>15</v>
      </c>
      <c r="I94" t="s">
        <v>15</v>
      </c>
      <c r="J94" s="6"/>
    </row>
    <row r="95" spans="1:10" x14ac:dyDescent="0.25">
      <c r="A95" s="6">
        <v>44910</v>
      </c>
      <c r="B95" t="s">
        <v>13</v>
      </c>
      <c r="C95">
        <v>71267</v>
      </c>
      <c r="D95" t="s">
        <v>14</v>
      </c>
      <c r="E95" s="9">
        <v>1000.22</v>
      </c>
      <c r="F95" t="s">
        <v>15</v>
      </c>
      <c r="G95" t="s">
        <v>15</v>
      </c>
      <c r="H95" t="s">
        <v>15</v>
      </c>
      <c r="I95" t="s">
        <v>15</v>
      </c>
      <c r="J95" s="6"/>
    </row>
    <row r="96" spans="1:10" x14ac:dyDescent="0.25">
      <c r="A96" s="6">
        <v>44910</v>
      </c>
      <c r="B96" t="s">
        <v>13</v>
      </c>
      <c r="C96">
        <v>71268</v>
      </c>
      <c r="D96" t="s">
        <v>14</v>
      </c>
      <c r="E96" s="9">
        <v>1000.22</v>
      </c>
      <c r="F96" t="s">
        <v>15</v>
      </c>
      <c r="G96" t="s">
        <v>15</v>
      </c>
      <c r="H96" t="s">
        <v>15</v>
      </c>
      <c r="I96" t="s">
        <v>15</v>
      </c>
      <c r="J96" s="6"/>
    </row>
    <row r="97" spans="1:10" x14ac:dyDescent="0.25">
      <c r="A97" s="6">
        <v>44910</v>
      </c>
      <c r="B97" t="s">
        <v>13</v>
      </c>
      <c r="C97">
        <v>71269</v>
      </c>
      <c r="D97" t="s">
        <v>14</v>
      </c>
      <c r="E97" s="9">
        <v>1000.22</v>
      </c>
      <c r="F97" t="s">
        <v>15</v>
      </c>
      <c r="G97" t="s">
        <v>15</v>
      </c>
      <c r="H97" t="s">
        <v>15</v>
      </c>
      <c r="I97" t="s">
        <v>15</v>
      </c>
      <c r="J97" s="6"/>
    </row>
    <row r="98" spans="1:10" x14ac:dyDescent="0.25">
      <c r="A98" s="6">
        <v>44910</v>
      </c>
      <c r="B98" t="s">
        <v>13</v>
      </c>
      <c r="C98">
        <v>71270</v>
      </c>
      <c r="D98" t="s">
        <v>14</v>
      </c>
      <c r="E98" s="9">
        <v>1000.22</v>
      </c>
      <c r="F98" t="s">
        <v>15</v>
      </c>
      <c r="G98" t="s">
        <v>15</v>
      </c>
      <c r="H98" t="s">
        <v>15</v>
      </c>
      <c r="I98" t="s">
        <v>15</v>
      </c>
      <c r="J98" s="6"/>
    </row>
    <row r="99" spans="1:10" x14ac:dyDescent="0.25">
      <c r="A99" s="6">
        <v>44910</v>
      </c>
      <c r="B99" t="s">
        <v>13</v>
      </c>
      <c r="C99">
        <v>71271</v>
      </c>
      <c r="D99" t="s">
        <v>14</v>
      </c>
      <c r="E99">
        <v>500.1</v>
      </c>
      <c r="F99" t="s">
        <v>15</v>
      </c>
      <c r="G99" t="s">
        <v>15</v>
      </c>
      <c r="H99" t="s">
        <v>15</v>
      </c>
      <c r="I99" t="s">
        <v>15</v>
      </c>
      <c r="J99" s="6"/>
    </row>
    <row r="100" spans="1:10" x14ac:dyDescent="0.25">
      <c r="A100" s="6">
        <v>44910</v>
      </c>
      <c r="B100" t="s">
        <v>13</v>
      </c>
      <c r="C100">
        <v>71272</v>
      </c>
      <c r="D100" t="s">
        <v>14</v>
      </c>
      <c r="E100" s="9">
        <v>1000.22</v>
      </c>
      <c r="F100" t="s">
        <v>15</v>
      </c>
      <c r="G100" t="s">
        <v>15</v>
      </c>
      <c r="H100" t="s">
        <v>15</v>
      </c>
      <c r="I100" t="s">
        <v>15</v>
      </c>
      <c r="J100" s="6"/>
    </row>
    <row r="101" spans="1:10" x14ac:dyDescent="0.25">
      <c r="A101" s="6">
        <v>44910</v>
      </c>
      <c r="B101" t="s">
        <v>13</v>
      </c>
      <c r="C101">
        <v>71273</v>
      </c>
      <c r="D101" t="s">
        <v>14</v>
      </c>
      <c r="E101" s="9">
        <v>1000.22</v>
      </c>
      <c r="F101" t="s">
        <v>15</v>
      </c>
      <c r="G101" t="s">
        <v>15</v>
      </c>
      <c r="H101" t="s">
        <v>15</v>
      </c>
      <c r="I101" t="s">
        <v>15</v>
      </c>
      <c r="J101" s="6"/>
    </row>
    <row r="102" spans="1:10" x14ac:dyDescent="0.25">
      <c r="A102" s="6">
        <v>44910</v>
      </c>
      <c r="B102" t="s">
        <v>13</v>
      </c>
      <c r="C102">
        <v>71274</v>
      </c>
      <c r="D102" t="s">
        <v>14</v>
      </c>
      <c r="E102" s="9">
        <v>1000.22</v>
      </c>
      <c r="F102" t="s">
        <v>15</v>
      </c>
      <c r="G102" t="s">
        <v>15</v>
      </c>
      <c r="H102" t="s">
        <v>15</v>
      </c>
      <c r="I102" t="s">
        <v>15</v>
      </c>
      <c r="J102" s="6"/>
    </row>
    <row r="103" spans="1:10" x14ac:dyDescent="0.25">
      <c r="A103" s="6">
        <v>44910</v>
      </c>
      <c r="B103" t="s">
        <v>13</v>
      </c>
      <c r="C103">
        <v>71275</v>
      </c>
      <c r="D103" t="s">
        <v>14</v>
      </c>
      <c r="E103" s="9">
        <v>1000.22</v>
      </c>
      <c r="F103" t="s">
        <v>15</v>
      </c>
      <c r="G103" t="s">
        <v>15</v>
      </c>
      <c r="H103" t="s">
        <v>15</v>
      </c>
      <c r="I103" t="s">
        <v>15</v>
      </c>
      <c r="J103" s="6"/>
    </row>
    <row r="104" spans="1:10" x14ac:dyDescent="0.25">
      <c r="A104" s="6">
        <v>44910</v>
      </c>
      <c r="B104" t="s">
        <v>13</v>
      </c>
      <c r="C104">
        <v>71276</v>
      </c>
      <c r="D104" t="s">
        <v>14</v>
      </c>
      <c r="E104" s="9">
        <v>1000.22</v>
      </c>
      <c r="F104" t="s">
        <v>15</v>
      </c>
      <c r="G104" t="s">
        <v>15</v>
      </c>
      <c r="H104" t="s">
        <v>15</v>
      </c>
      <c r="I104" t="s">
        <v>15</v>
      </c>
      <c r="J104" s="6"/>
    </row>
    <row r="105" spans="1:10" x14ac:dyDescent="0.25">
      <c r="A105" s="6">
        <v>44910</v>
      </c>
      <c r="B105" t="s">
        <v>13</v>
      </c>
      <c r="C105">
        <v>71277</v>
      </c>
      <c r="D105" t="s">
        <v>14</v>
      </c>
      <c r="E105" s="9">
        <v>1000.22</v>
      </c>
      <c r="F105" t="s">
        <v>15</v>
      </c>
      <c r="G105" t="s">
        <v>15</v>
      </c>
      <c r="H105" t="s">
        <v>15</v>
      </c>
      <c r="I105" t="s">
        <v>15</v>
      </c>
      <c r="J105" s="6"/>
    </row>
    <row r="106" spans="1:10" x14ac:dyDescent="0.25">
      <c r="A106" s="6">
        <v>44910</v>
      </c>
      <c r="B106" t="s">
        <v>13</v>
      </c>
      <c r="C106">
        <v>71278</v>
      </c>
      <c r="D106" t="s">
        <v>14</v>
      </c>
      <c r="E106" s="9">
        <v>1000.22</v>
      </c>
      <c r="F106" t="s">
        <v>15</v>
      </c>
      <c r="G106" t="s">
        <v>15</v>
      </c>
      <c r="H106" t="s">
        <v>15</v>
      </c>
      <c r="I106" t="s">
        <v>15</v>
      </c>
      <c r="J106" s="6"/>
    </row>
    <row r="107" spans="1:10" x14ac:dyDescent="0.25">
      <c r="A107" s="6">
        <v>44910</v>
      </c>
      <c r="B107" t="s">
        <v>13</v>
      </c>
      <c r="C107">
        <v>71279</v>
      </c>
      <c r="D107" t="s">
        <v>14</v>
      </c>
      <c r="E107" s="9">
        <v>1000.22</v>
      </c>
      <c r="F107" t="s">
        <v>15</v>
      </c>
      <c r="G107" t="s">
        <v>15</v>
      </c>
      <c r="H107" t="s">
        <v>15</v>
      </c>
      <c r="I107" t="s">
        <v>15</v>
      </c>
      <c r="J107" s="6"/>
    </row>
    <row r="108" spans="1:10" x14ac:dyDescent="0.25">
      <c r="A108" s="6">
        <v>44910</v>
      </c>
      <c r="B108" t="s">
        <v>13</v>
      </c>
      <c r="C108">
        <v>71280</v>
      </c>
      <c r="D108" t="s">
        <v>14</v>
      </c>
      <c r="E108" s="9">
        <v>1000.22</v>
      </c>
      <c r="F108" t="s">
        <v>15</v>
      </c>
      <c r="G108" t="s">
        <v>15</v>
      </c>
      <c r="H108" t="s">
        <v>15</v>
      </c>
      <c r="I108" t="s">
        <v>15</v>
      </c>
      <c r="J108" s="6"/>
    </row>
    <row r="109" spans="1:10" x14ac:dyDescent="0.25">
      <c r="A109" s="6">
        <v>44910</v>
      </c>
      <c r="B109" t="s">
        <v>13</v>
      </c>
      <c r="C109">
        <v>71281</v>
      </c>
      <c r="D109" t="s">
        <v>14</v>
      </c>
      <c r="E109" s="9">
        <v>1000.22</v>
      </c>
      <c r="F109" t="s">
        <v>15</v>
      </c>
      <c r="G109" t="s">
        <v>15</v>
      </c>
      <c r="H109" t="s">
        <v>15</v>
      </c>
      <c r="I109" t="s">
        <v>15</v>
      </c>
      <c r="J109" s="6"/>
    </row>
    <row r="110" spans="1:10" x14ac:dyDescent="0.25">
      <c r="A110" s="6">
        <v>44910</v>
      </c>
      <c r="B110" t="s">
        <v>13</v>
      </c>
      <c r="C110">
        <v>71282</v>
      </c>
      <c r="D110" t="s">
        <v>14</v>
      </c>
      <c r="E110">
        <v>500.1</v>
      </c>
      <c r="F110" t="s">
        <v>15</v>
      </c>
      <c r="G110" t="s">
        <v>15</v>
      </c>
      <c r="H110" t="s">
        <v>15</v>
      </c>
      <c r="I110" t="s">
        <v>15</v>
      </c>
      <c r="J110" s="6"/>
    </row>
    <row r="111" spans="1:10" x14ac:dyDescent="0.25">
      <c r="A111" s="6">
        <v>44910</v>
      </c>
      <c r="B111" t="s">
        <v>13</v>
      </c>
      <c r="C111">
        <v>71283</v>
      </c>
      <c r="D111" t="s">
        <v>14</v>
      </c>
      <c r="E111" s="9">
        <v>1000.22</v>
      </c>
      <c r="F111" t="s">
        <v>15</v>
      </c>
      <c r="G111" t="s">
        <v>15</v>
      </c>
      <c r="H111" t="s">
        <v>15</v>
      </c>
      <c r="I111" t="s">
        <v>15</v>
      </c>
      <c r="J111" s="6"/>
    </row>
    <row r="112" spans="1:10" x14ac:dyDescent="0.25">
      <c r="A112" s="6">
        <v>44910</v>
      </c>
      <c r="B112" t="s">
        <v>13</v>
      </c>
      <c r="C112">
        <v>71284</v>
      </c>
      <c r="D112" t="s">
        <v>14</v>
      </c>
      <c r="E112">
        <v>500.1</v>
      </c>
      <c r="F112" t="s">
        <v>15</v>
      </c>
      <c r="G112" t="s">
        <v>15</v>
      </c>
      <c r="H112" t="s">
        <v>15</v>
      </c>
      <c r="I112" t="s">
        <v>15</v>
      </c>
      <c r="J112" s="6"/>
    </row>
    <row r="113" spans="1:10" x14ac:dyDescent="0.25">
      <c r="A113" s="6">
        <v>44910</v>
      </c>
      <c r="B113" t="s">
        <v>13</v>
      </c>
      <c r="C113">
        <v>71285</v>
      </c>
      <c r="D113" t="s">
        <v>14</v>
      </c>
      <c r="E113" s="9">
        <v>1000.22</v>
      </c>
      <c r="F113" t="s">
        <v>15</v>
      </c>
      <c r="G113" t="s">
        <v>15</v>
      </c>
      <c r="H113" t="s">
        <v>15</v>
      </c>
      <c r="I113" t="s">
        <v>15</v>
      </c>
      <c r="J113" s="6"/>
    </row>
    <row r="114" spans="1:10" x14ac:dyDescent="0.25">
      <c r="A114" s="6">
        <v>44910</v>
      </c>
      <c r="B114" t="s">
        <v>13</v>
      </c>
      <c r="C114">
        <v>71286</v>
      </c>
      <c r="D114" t="s">
        <v>14</v>
      </c>
      <c r="E114" s="9">
        <v>1000.22</v>
      </c>
      <c r="F114" t="s">
        <v>15</v>
      </c>
      <c r="G114" t="s">
        <v>15</v>
      </c>
      <c r="H114" t="s">
        <v>15</v>
      </c>
      <c r="I114" t="s">
        <v>15</v>
      </c>
      <c r="J114" s="6"/>
    </row>
    <row r="115" spans="1:10" x14ac:dyDescent="0.25">
      <c r="A115" s="6">
        <v>44910</v>
      </c>
      <c r="B115" t="s">
        <v>13</v>
      </c>
      <c r="C115">
        <v>71287</v>
      </c>
      <c r="D115" t="s">
        <v>14</v>
      </c>
      <c r="E115" s="9">
        <v>1000.22</v>
      </c>
      <c r="F115" t="s">
        <v>15</v>
      </c>
      <c r="G115" t="s">
        <v>15</v>
      </c>
      <c r="H115" t="s">
        <v>15</v>
      </c>
      <c r="I115" t="s">
        <v>15</v>
      </c>
      <c r="J115" s="6"/>
    </row>
    <row r="116" spans="1:10" x14ac:dyDescent="0.25">
      <c r="A116" s="6">
        <v>44910</v>
      </c>
      <c r="B116" t="s">
        <v>13</v>
      </c>
      <c r="C116">
        <v>71288</v>
      </c>
      <c r="D116" t="s">
        <v>14</v>
      </c>
      <c r="E116" s="9">
        <v>1000.22</v>
      </c>
      <c r="F116" t="s">
        <v>15</v>
      </c>
      <c r="G116" t="s">
        <v>15</v>
      </c>
      <c r="H116" t="s">
        <v>15</v>
      </c>
      <c r="I116" t="s">
        <v>15</v>
      </c>
      <c r="J116" s="6"/>
    </row>
    <row r="117" spans="1:10" x14ac:dyDescent="0.25">
      <c r="A117" s="6">
        <v>44910</v>
      </c>
      <c r="B117" t="s">
        <v>13</v>
      </c>
      <c r="C117">
        <v>71289</v>
      </c>
      <c r="D117" t="s">
        <v>14</v>
      </c>
      <c r="E117" s="9">
        <v>1000.22</v>
      </c>
      <c r="F117" t="s">
        <v>15</v>
      </c>
      <c r="G117" t="s">
        <v>15</v>
      </c>
      <c r="H117" t="s">
        <v>15</v>
      </c>
      <c r="I117" t="s">
        <v>15</v>
      </c>
      <c r="J117" s="6"/>
    </row>
    <row r="118" spans="1:10" x14ac:dyDescent="0.25">
      <c r="A118" s="6">
        <v>44910</v>
      </c>
      <c r="B118" t="s">
        <v>13</v>
      </c>
      <c r="C118">
        <v>71290</v>
      </c>
      <c r="D118" t="s">
        <v>14</v>
      </c>
      <c r="E118" s="9">
        <v>1000.22</v>
      </c>
      <c r="F118" t="s">
        <v>15</v>
      </c>
      <c r="G118" t="s">
        <v>15</v>
      </c>
      <c r="H118" t="s">
        <v>15</v>
      </c>
      <c r="I118" t="s">
        <v>15</v>
      </c>
      <c r="J118" s="6"/>
    </row>
    <row r="119" spans="1:10" x14ac:dyDescent="0.25">
      <c r="A119" s="6">
        <v>44910</v>
      </c>
      <c r="B119" t="s">
        <v>13</v>
      </c>
      <c r="C119">
        <v>71291</v>
      </c>
      <c r="D119" t="s">
        <v>14</v>
      </c>
      <c r="E119" s="9">
        <v>1000.22</v>
      </c>
      <c r="F119" t="s">
        <v>15</v>
      </c>
      <c r="G119" t="s">
        <v>15</v>
      </c>
      <c r="H119" t="s">
        <v>15</v>
      </c>
      <c r="I119" t="s">
        <v>15</v>
      </c>
      <c r="J119" s="6"/>
    </row>
    <row r="120" spans="1:10" x14ac:dyDescent="0.25">
      <c r="A120" s="6">
        <v>44910</v>
      </c>
      <c r="B120" t="s">
        <v>13</v>
      </c>
      <c r="C120">
        <v>71292</v>
      </c>
      <c r="D120" t="s">
        <v>14</v>
      </c>
      <c r="E120">
        <v>500.83</v>
      </c>
      <c r="F120" t="s">
        <v>15</v>
      </c>
      <c r="G120" t="s">
        <v>15</v>
      </c>
      <c r="H120" t="s">
        <v>15</v>
      </c>
      <c r="I120" t="s">
        <v>15</v>
      </c>
      <c r="J120" s="6"/>
    </row>
    <row r="121" spans="1:10" x14ac:dyDescent="0.25">
      <c r="A121" s="6">
        <v>44910</v>
      </c>
      <c r="B121" t="s">
        <v>13</v>
      </c>
      <c r="C121">
        <v>71293</v>
      </c>
      <c r="D121" t="s">
        <v>14</v>
      </c>
      <c r="E121" s="9">
        <v>1000.22</v>
      </c>
      <c r="F121" t="s">
        <v>15</v>
      </c>
      <c r="G121" t="s">
        <v>15</v>
      </c>
      <c r="H121" t="s">
        <v>15</v>
      </c>
      <c r="I121" t="s">
        <v>15</v>
      </c>
      <c r="J121" s="6"/>
    </row>
    <row r="122" spans="1:10" x14ac:dyDescent="0.25">
      <c r="A122" s="6">
        <v>44910</v>
      </c>
      <c r="B122" t="s">
        <v>13</v>
      </c>
      <c r="C122">
        <v>71294</v>
      </c>
      <c r="D122" t="s">
        <v>14</v>
      </c>
      <c r="E122" s="9">
        <v>1000.22</v>
      </c>
      <c r="F122" t="s">
        <v>15</v>
      </c>
      <c r="G122" t="s">
        <v>15</v>
      </c>
      <c r="H122" t="s">
        <v>15</v>
      </c>
      <c r="I122" t="s">
        <v>15</v>
      </c>
      <c r="J122" s="6"/>
    </row>
    <row r="123" spans="1:10" x14ac:dyDescent="0.25">
      <c r="A123" s="6">
        <v>44910</v>
      </c>
      <c r="B123" t="s">
        <v>13</v>
      </c>
      <c r="C123">
        <v>71295</v>
      </c>
      <c r="D123" t="s">
        <v>14</v>
      </c>
      <c r="E123">
        <v>500.1</v>
      </c>
      <c r="F123" t="s">
        <v>15</v>
      </c>
      <c r="G123" t="s">
        <v>15</v>
      </c>
      <c r="H123" t="s">
        <v>15</v>
      </c>
      <c r="I123" t="s">
        <v>15</v>
      </c>
      <c r="J123" s="6"/>
    </row>
    <row r="124" spans="1:10" x14ac:dyDescent="0.25">
      <c r="A124" s="6">
        <v>44910</v>
      </c>
      <c r="B124" t="s">
        <v>13</v>
      </c>
      <c r="C124">
        <v>71296</v>
      </c>
      <c r="D124" t="s">
        <v>14</v>
      </c>
      <c r="E124" s="9">
        <v>1000.22</v>
      </c>
      <c r="F124" t="s">
        <v>15</v>
      </c>
      <c r="G124" t="s">
        <v>15</v>
      </c>
      <c r="H124" t="s">
        <v>15</v>
      </c>
      <c r="I124" t="s">
        <v>15</v>
      </c>
      <c r="J124" s="6"/>
    </row>
    <row r="125" spans="1:10" x14ac:dyDescent="0.25">
      <c r="A125" s="6">
        <v>44910</v>
      </c>
      <c r="B125" t="s">
        <v>13</v>
      </c>
      <c r="C125">
        <v>71297</v>
      </c>
      <c r="D125" t="s">
        <v>14</v>
      </c>
      <c r="E125" s="9">
        <v>1000.22</v>
      </c>
      <c r="F125" t="s">
        <v>15</v>
      </c>
      <c r="G125" t="s">
        <v>15</v>
      </c>
      <c r="H125" t="s">
        <v>15</v>
      </c>
      <c r="I125" t="s">
        <v>15</v>
      </c>
      <c r="J125" s="6"/>
    </row>
    <row r="126" spans="1:10" x14ac:dyDescent="0.25">
      <c r="A126" s="6">
        <v>44911</v>
      </c>
      <c r="B126" t="s">
        <v>13</v>
      </c>
      <c r="C126">
        <v>71326</v>
      </c>
      <c r="D126" t="s">
        <v>14</v>
      </c>
      <c r="E126" s="9">
        <v>2033.6</v>
      </c>
      <c r="F126" t="s">
        <v>15</v>
      </c>
      <c r="G126" t="s">
        <v>15</v>
      </c>
      <c r="H126" t="s">
        <v>15</v>
      </c>
      <c r="I126" t="s">
        <v>15</v>
      </c>
      <c r="J126" s="6"/>
    </row>
    <row r="127" spans="1:10" x14ac:dyDescent="0.25">
      <c r="A127" s="6">
        <v>44911</v>
      </c>
      <c r="B127" t="s">
        <v>13</v>
      </c>
      <c r="C127">
        <v>71327</v>
      </c>
      <c r="D127" t="s">
        <v>14</v>
      </c>
      <c r="E127" s="9">
        <v>1574.98</v>
      </c>
      <c r="F127" t="s">
        <v>15</v>
      </c>
      <c r="G127" t="s">
        <v>15</v>
      </c>
      <c r="H127" t="s">
        <v>15</v>
      </c>
      <c r="I127" t="s">
        <v>15</v>
      </c>
      <c r="J127" s="6"/>
    </row>
    <row r="128" spans="1:10" x14ac:dyDescent="0.25">
      <c r="A128" s="6">
        <v>44911</v>
      </c>
      <c r="B128" t="s">
        <v>13</v>
      </c>
      <c r="C128">
        <v>71328</v>
      </c>
      <c r="D128" t="s">
        <v>14</v>
      </c>
      <c r="E128" s="9">
        <v>1273.1199999999999</v>
      </c>
      <c r="F128" t="s">
        <v>15</v>
      </c>
      <c r="G128" t="s">
        <v>15</v>
      </c>
      <c r="H128" t="s">
        <v>15</v>
      </c>
      <c r="I128" t="s">
        <v>15</v>
      </c>
      <c r="J128" s="6"/>
    </row>
    <row r="129" spans="1:10" x14ac:dyDescent="0.25">
      <c r="A129" s="6">
        <v>44911</v>
      </c>
      <c r="B129" t="s">
        <v>13</v>
      </c>
      <c r="C129">
        <v>71329</v>
      </c>
      <c r="D129" t="s">
        <v>14</v>
      </c>
      <c r="E129" s="9">
        <v>1026.1199999999999</v>
      </c>
      <c r="F129" t="s">
        <v>15</v>
      </c>
      <c r="G129" t="s">
        <v>15</v>
      </c>
      <c r="H129" t="s">
        <v>15</v>
      </c>
      <c r="I129" t="s">
        <v>15</v>
      </c>
      <c r="J129" s="6"/>
    </row>
    <row r="130" spans="1:10" x14ac:dyDescent="0.25">
      <c r="A130" s="6">
        <v>44911</v>
      </c>
      <c r="B130" t="s">
        <v>13</v>
      </c>
      <c r="C130">
        <v>71330</v>
      </c>
      <c r="D130" t="s">
        <v>14</v>
      </c>
      <c r="E130" s="9">
        <v>1416.85</v>
      </c>
      <c r="F130" t="s">
        <v>15</v>
      </c>
      <c r="G130" t="s">
        <v>15</v>
      </c>
      <c r="H130" t="s">
        <v>15</v>
      </c>
      <c r="I130" t="s">
        <v>15</v>
      </c>
      <c r="J130" s="6"/>
    </row>
    <row r="131" spans="1:10" x14ac:dyDescent="0.25">
      <c r="A131" s="6">
        <v>44924</v>
      </c>
      <c r="B131" t="s">
        <v>13</v>
      </c>
      <c r="C131">
        <v>71430</v>
      </c>
      <c r="D131" t="s">
        <v>14</v>
      </c>
      <c r="E131" s="9">
        <v>1680.76</v>
      </c>
      <c r="F131" t="s">
        <v>15</v>
      </c>
      <c r="G131" t="s">
        <v>15</v>
      </c>
      <c r="H131" t="s">
        <v>15</v>
      </c>
      <c r="I131" t="s">
        <v>15</v>
      </c>
      <c r="J131" s="6"/>
    </row>
    <row r="132" spans="1:10" x14ac:dyDescent="0.25">
      <c r="A132" s="6">
        <v>44924</v>
      </c>
      <c r="B132" t="s">
        <v>13</v>
      </c>
      <c r="C132">
        <v>71431</v>
      </c>
      <c r="D132" t="s">
        <v>14</v>
      </c>
      <c r="E132" s="9">
        <v>1568.83</v>
      </c>
      <c r="F132" t="s">
        <v>15</v>
      </c>
      <c r="G132" t="s">
        <v>15</v>
      </c>
      <c r="H132" t="s">
        <v>15</v>
      </c>
      <c r="I132" t="s">
        <v>15</v>
      </c>
      <c r="J132" s="6"/>
    </row>
    <row r="133" spans="1:10" x14ac:dyDescent="0.25">
      <c r="A133" s="6">
        <v>44924</v>
      </c>
      <c r="B133" t="s">
        <v>13</v>
      </c>
      <c r="C133">
        <v>71432</v>
      </c>
      <c r="D133" t="s">
        <v>14</v>
      </c>
      <c r="E133" s="9">
        <v>1290.8499999999999</v>
      </c>
      <c r="F133" t="s">
        <v>15</v>
      </c>
      <c r="G133" t="s">
        <v>15</v>
      </c>
      <c r="H133" t="s">
        <v>15</v>
      </c>
      <c r="I133" t="s">
        <v>15</v>
      </c>
      <c r="J133" s="6"/>
    </row>
    <row r="134" spans="1:10" x14ac:dyDescent="0.25">
      <c r="A134" s="6">
        <v>44924</v>
      </c>
      <c r="B134" t="s">
        <v>13</v>
      </c>
      <c r="C134">
        <v>71433</v>
      </c>
      <c r="D134" t="s">
        <v>14</v>
      </c>
      <c r="E134" s="9">
        <v>1382.89</v>
      </c>
      <c r="F134" t="s">
        <v>15</v>
      </c>
      <c r="G134" t="s">
        <v>15</v>
      </c>
      <c r="H134" t="s">
        <v>15</v>
      </c>
      <c r="I134" t="s">
        <v>15</v>
      </c>
      <c r="J134" s="6"/>
    </row>
    <row r="135" spans="1:10" x14ac:dyDescent="0.25">
      <c r="A135" s="6">
        <v>44924</v>
      </c>
      <c r="B135" t="s">
        <v>13</v>
      </c>
      <c r="C135">
        <v>71434</v>
      </c>
      <c r="D135" t="s">
        <v>14</v>
      </c>
      <c r="E135" s="9">
        <v>1264.1199999999999</v>
      </c>
      <c r="F135" t="s">
        <v>15</v>
      </c>
      <c r="G135" t="s">
        <v>15</v>
      </c>
      <c r="H135" t="s">
        <v>15</v>
      </c>
      <c r="I135" t="s">
        <v>15</v>
      </c>
      <c r="J135" s="6"/>
    </row>
    <row r="136" spans="1:10" x14ac:dyDescent="0.25">
      <c r="A136" s="6">
        <v>44939</v>
      </c>
      <c r="B136" t="s">
        <v>13</v>
      </c>
      <c r="C136">
        <v>71522</v>
      </c>
      <c r="D136" t="s">
        <v>14</v>
      </c>
      <c r="E136" s="9">
        <v>1581.34</v>
      </c>
      <c r="F136" t="s">
        <v>15</v>
      </c>
      <c r="G136" t="s">
        <v>15</v>
      </c>
      <c r="H136" t="s">
        <v>15</v>
      </c>
      <c r="I136" t="s">
        <v>15</v>
      </c>
      <c r="J136" s="6"/>
    </row>
    <row r="137" spans="1:10" x14ac:dyDescent="0.25">
      <c r="A137" s="6">
        <v>44939</v>
      </c>
      <c r="B137" t="s">
        <v>13</v>
      </c>
      <c r="C137">
        <v>71523</v>
      </c>
      <c r="D137" t="s">
        <v>14</v>
      </c>
      <c r="E137" s="9">
        <v>1577.52</v>
      </c>
      <c r="F137" t="s">
        <v>15</v>
      </c>
      <c r="G137" t="s">
        <v>15</v>
      </c>
      <c r="H137" t="s">
        <v>15</v>
      </c>
      <c r="I137" t="s">
        <v>15</v>
      </c>
      <c r="J137" s="6"/>
    </row>
    <row r="138" spans="1:10" x14ac:dyDescent="0.25">
      <c r="A138" s="6">
        <v>44939</v>
      </c>
      <c r="B138" t="s">
        <v>13</v>
      </c>
      <c r="C138">
        <v>71524</v>
      </c>
      <c r="D138" t="s">
        <v>14</v>
      </c>
      <c r="E138" s="9">
        <v>1413.37</v>
      </c>
      <c r="F138" t="s">
        <v>15</v>
      </c>
      <c r="G138" t="s">
        <v>15</v>
      </c>
      <c r="H138" t="s">
        <v>15</v>
      </c>
      <c r="I138" t="s">
        <v>15</v>
      </c>
      <c r="J138" s="6"/>
    </row>
    <row r="139" spans="1:10" x14ac:dyDescent="0.25">
      <c r="A139" s="6">
        <v>44939</v>
      </c>
      <c r="B139" t="s">
        <v>13</v>
      </c>
      <c r="C139">
        <v>71525</v>
      </c>
      <c r="D139" t="s">
        <v>14</v>
      </c>
      <c r="E139">
        <v>901.17</v>
      </c>
      <c r="F139" t="s">
        <v>15</v>
      </c>
      <c r="G139" t="s">
        <v>15</v>
      </c>
      <c r="H139" t="s">
        <v>15</v>
      </c>
      <c r="I139" t="s">
        <v>15</v>
      </c>
      <c r="J139" s="6"/>
    </row>
    <row r="140" spans="1:10" x14ac:dyDescent="0.25">
      <c r="A140" s="6">
        <v>44939</v>
      </c>
      <c r="B140" t="s">
        <v>13</v>
      </c>
      <c r="C140">
        <v>71526</v>
      </c>
      <c r="D140" t="s">
        <v>14</v>
      </c>
      <c r="E140" s="9">
        <v>1263.17</v>
      </c>
      <c r="F140" t="s">
        <v>15</v>
      </c>
      <c r="G140" t="s">
        <v>15</v>
      </c>
      <c r="H140" t="s">
        <v>15</v>
      </c>
      <c r="I140" t="s">
        <v>15</v>
      </c>
      <c r="J140" s="6"/>
    </row>
    <row r="141" spans="1:10" x14ac:dyDescent="0.25">
      <c r="A141" s="6">
        <v>44953</v>
      </c>
      <c r="B141" t="s">
        <v>13</v>
      </c>
      <c r="C141">
        <v>71683</v>
      </c>
      <c r="D141" t="s">
        <v>14</v>
      </c>
      <c r="E141" s="9">
        <v>2101.29</v>
      </c>
      <c r="F141" t="s">
        <v>15</v>
      </c>
      <c r="G141" t="s">
        <v>15</v>
      </c>
      <c r="H141" t="s">
        <v>15</v>
      </c>
      <c r="I141" t="s">
        <v>15</v>
      </c>
      <c r="J141" s="6"/>
    </row>
    <row r="142" spans="1:10" x14ac:dyDescent="0.25">
      <c r="A142" s="6">
        <v>44953</v>
      </c>
      <c r="B142" t="s">
        <v>13</v>
      </c>
      <c r="C142">
        <v>71684</v>
      </c>
      <c r="D142" t="s">
        <v>14</v>
      </c>
      <c r="E142" s="9">
        <v>1793.72</v>
      </c>
      <c r="F142" t="s">
        <v>15</v>
      </c>
      <c r="G142" t="s">
        <v>15</v>
      </c>
      <c r="H142" t="s">
        <v>15</v>
      </c>
      <c r="I142" t="s">
        <v>15</v>
      </c>
      <c r="J142" s="6"/>
    </row>
    <row r="143" spans="1:10" x14ac:dyDescent="0.25">
      <c r="A143" s="6">
        <v>44953</v>
      </c>
      <c r="B143" t="s">
        <v>13</v>
      </c>
      <c r="C143">
        <v>71685</v>
      </c>
      <c r="D143" t="s">
        <v>14</v>
      </c>
      <c r="E143" s="9">
        <v>1224.05</v>
      </c>
      <c r="F143" t="s">
        <v>15</v>
      </c>
      <c r="G143" t="s">
        <v>15</v>
      </c>
      <c r="H143" t="s">
        <v>15</v>
      </c>
      <c r="I143" t="s">
        <v>15</v>
      </c>
      <c r="J143" s="6"/>
    </row>
    <row r="144" spans="1:10" x14ac:dyDescent="0.25">
      <c r="A144" s="6">
        <v>44953</v>
      </c>
      <c r="B144" t="s">
        <v>13</v>
      </c>
      <c r="C144">
        <v>71686</v>
      </c>
      <c r="D144" t="s">
        <v>14</v>
      </c>
      <c r="E144">
        <v>875.12</v>
      </c>
      <c r="F144" t="s">
        <v>15</v>
      </c>
      <c r="G144" t="s">
        <v>15</v>
      </c>
      <c r="H144" t="s">
        <v>15</v>
      </c>
      <c r="I144" t="s">
        <v>15</v>
      </c>
      <c r="J144" s="6"/>
    </row>
    <row r="145" spans="1:10" x14ac:dyDescent="0.25">
      <c r="A145" s="6">
        <v>44953</v>
      </c>
      <c r="B145" t="s">
        <v>13</v>
      </c>
      <c r="C145">
        <v>71687</v>
      </c>
      <c r="D145" t="s">
        <v>14</v>
      </c>
      <c r="E145" s="9">
        <v>1212.8900000000001</v>
      </c>
      <c r="F145" t="s">
        <v>15</v>
      </c>
      <c r="G145" t="s">
        <v>15</v>
      </c>
      <c r="H145" t="s">
        <v>15</v>
      </c>
      <c r="I145" t="s">
        <v>15</v>
      </c>
      <c r="J145" s="6"/>
    </row>
    <row r="146" spans="1:10" x14ac:dyDescent="0.25">
      <c r="A146" s="6">
        <v>44967</v>
      </c>
      <c r="B146" t="s">
        <v>13</v>
      </c>
      <c r="C146">
        <v>71802</v>
      </c>
      <c r="D146" t="s">
        <v>14</v>
      </c>
      <c r="E146" s="9">
        <v>1920.53</v>
      </c>
      <c r="F146" t="s">
        <v>15</v>
      </c>
      <c r="G146" t="s">
        <v>15</v>
      </c>
      <c r="H146" t="s">
        <v>15</v>
      </c>
      <c r="I146" t="s">
        <v>15</v>
      </c>
      <c r="J146" s="6"/>
    </row>
    <row r="147" spans="1:10" x14ac:dyDescent="0.25">
      <c r="A147" s="6">
        <v>44967</v>
      </c>
      <c r="B147" t="s">
        <v>13</v>
      </c>
      <c r="C147">
        <v>71803</v>
      </c>
      <c r="D147" t="s">
        <v>14</v>
      </c>
      <c r="E147" s="9">
        <v>1323.76</v>
      </c>
      <c r="F147" t="s">
        <v>15</v>
      </c>
      <c r="G147" t="s">
        <v>15</v>
      </c>
      <c r="H147" t="s">
        <v>15</v>
      </c>
      <c r="I147" t="s">
        <v>15</v>
      </c>
      <c r="J147" s="6"/>
    </row>
    <row r="148" spans="1:10" x14ac:dyDescent="0.25">
      <c r="A148" s="6">
        <v>44967</v>
      </c>
      <c r="B148" t="s">
        <v>13</v>
      </c>
      <c r="C148">
        <v>71804</v>
      </c>
      <c r="D148" t="s">
        <v>14</v>
      </c>
      <c r="E148" s="9">
        <v>1275.82</v>
      </c>
      <c r="F148" t="s">
        <v>15</v>
      </c>
      <c r="G148" t="s">
        <v>15</v>
      </c>
      <c r="H148" t="s">
        <v>15</v>
      </c>
      <c r="I148" t="s">
        <v>15</v>
      </c>
      <c r="J148" s="6"/>
    </row>
    <row r="149" spans="1:10" x14ac:dyDescent="0.25">
      <c r="A149" s="6">
        <v>44967</v>
      </c>
      <c r="B149" t="s">
        <v>13</v>
      </c>
      <c r="C149">
        <v>71805</v>
      </c>
      <c r="D149" t="s">
        <v>14</v>
      </c>
      <c r="E149" s="9">
        <v>1046.7</v>
      </c>
      <c r="F149" t="s">
        <v>15</v>
      </c>
      <c r="G149" t="s">
        <v>15</v>
      </c>
      <c r="H149" t="s">
        <v>15</v>
      </c>
      <c r="I149" t="s">
        <v>15</v>
      </c>
      <c r="J149" s="6"/>
    </row>
    <row r="150" spans="1:10" x14ac:dyDescent="0.25">
      <c r="A150" s="6">
        <v>44967</v>
      </c>
      <c r="B150" t="s">
        <v>13</v>
      </c>
      <c r="C150">
        <v>71806</v>
      </c>
      <c r="D150" t="s">
        <v>14</v>
      </c>
      <c r="E150" s="9">
        <v>1250.48</v>
      </c>
      <c r="F150" t="s">
        <v>15</v>
      </c>
      <c r="G150" t="s">
        <v>15</v>
      </c>
      <c r="H150" t="s">
        <v>15</v>
      </c>
      <c r="I150" t="s">
        <v>15</v>
      </c>
      <c r="J150" s="6"/>
    </row>
    <row r="151" spans="1:10" x14ac:dyDescent="0.25">
      <c r="A151" s="6">
        <v>44981</v>
      </c>
      <c r="B151" t="s">
        <v>13</v>
      </c>
      <c r="C151">
        <v>71858</v>
      </c>
      <c r="D151" t="s">
        <v>14</v>
      </c>
      <c r="E151" s="9">
        <v>2072.84</v>
      </c>
      <c r="F151" t="s">
        <v>15</v>
      </c>
      <c r="G151" t="s">
        <v>15</v>
      </c>
      <c r="H151" t="s">
        <v>15</v>
      </c>
      <c r="I151" t="s">
        <v>15</v>
      </c>
      <c r="J151" s="6"/>
    </row>
    <row r="152" spans="1:10" x14ac:dyDescent="0.25">
      <c r="A152" s="6">
        <v>44981</v>
      </c>
      <c r="B152" t="s">
        <v>13</v>
      </c>
      <c r="C152">
        <v>71859</v>
      </c>
      <c r="D152" t="s">
        <v>14</v>
      </c>
      <c r="E152" s="9">
        <v>1102.22</v>
      </c>
      <c r="F152" t="s">
        <v>15</v>
      </c>
      <c r="G152" t="s">
        <v>15</v>
      </c>
      <c r="H152" t="s">
        <v>15</v>
      </c>
      <c r="I152" t="s">
        <v>15</v>
      </c>
      <c r="J152" s="6"/>
    </row>
    <row r="153" spans="1:10" x14ac:dyDescent="0.25">
      <c r="A153" s="6">
        <v>44981</v>
      </c>
      <c r="B153" t="s">
        <v>13</v>
      </c>
      <c r="C153">
        <v>71860</v>
      </c>
      <c r="D153" t="s">
        <v>14</v>
      </c>
      <c r="E153" s="9">
        <v>1474.89</v>
      </c>
      <c r="F153" t="s">
        <v>15</v>
      </c>
      <c r="G153" t="s">
        <v>15</v>
      </c>
      <c r="H153" t="s">
        <v>15</v>
      </c>
      <c r="I153" t="s">
        <v>15</v>
      </c>
      <c r="J153" s="6"/>
    </row>
    <row r="154" spans="1:10" x14ac:dyDescent="0.25">
      <c r="A154" s="6">
        <v>44981</v>
      </c>
      <c r="B154" t="s">
        <v>13</v>
      </c>
      <c r="C154">
        <v>71861</v>
      </c>
      <c r="D154" t="s">
        <v>14</v>
      </c>
      <c r="E154" s="9">
        <v>1351.62</v>
      </c>
      <c r="F154" t="s">
        <v>15</v>
      </c>
      <c r="G154" t="s">
        <v>15</v>
      </c>
      <c r="H154" t="s">
        <v>15</v>
      </c>
      <c r="I154" t="s">
        <v>15</v>
      </c>
      <c r="J154" s="6"/>
    </row>
    <row r="155" spans="1:10" x14ac:dyDescent="0.25">
      <c r="A155" s="6">
        <v>44981</v>
      </c>
      <c r="B155" t="s">
        <v>13</v>
      </c>
      <c r="C155">
        <v>71862</v>
      </c>
      <c r="D155" t="s">
        <v>14</v>
      </c>
      <c r="E155">
        <v>894.79</v>
      </c>
      <c r="F155" t="s">
        <v>15</v>
      </c>
      <c r="G155" t="s">
        <v>15</v>
      </c>
      <c r="H155" t="s">
        <v>15</v>
      </c>
      <c r="I155" t="s">
        <v>15</v>
      </c>
      <c r="J155" s="6"/>
    </row>
    <row r="156" spans="1:10" x14ac:dyDescent="0.25">
      <c r="A156" s="6">
        <v>44981</v>
      </c>
      <c r="B156" t="s">
        <v>13</v>
      </c>
      <c r="C156">
        <v>71863</v>
      </c>
      <c r="D156" t="s">
        <v>14</v>
      </c>
      <c r="E156" s="9">
        <v>1299.76</v>
      </c>
      <c r="F156" t="s">
        <v>15</v>
      </c>
      <c r="G156" t="s">
        <v>15</v>
      </c>
      <c r="H156" t="s">
        <v>15</v>
      </c>
      <c r="I156" t="s">
        <v>15</v>
      </c>
      <c r="J156" s="6"/>
    </row>
    <row r="157" spans="1:10" x14ac:dyDescent="0.25">
      <c r="A157" s="6">
        <v>44984</v>
      </c>
      <c r="B157" t="s">
        <v>13</v>
      </c>
      <c r="C157">
        <v>71920</v>
      </c>
      <c r="D157" t="s">
        <v>14</v>
      </c>
      <c r="E157">
        <v>824.75</v>
      </c>
      <c r="F157" t="s">
        <v>15</v>
      </c>
      <c r="G157" t="s">
        <v>15</v>
      </c>
      <c r="H157" t="s">
        <v>15</v>
      </c>
      <c r="I157" t="s">
        <v>15</v>
      </c>
      <c r="J157" s="6"/>
    </row>
    <row r="158" spans="1:10" x14ac:dyDescent="0.25">
      <c r="A158" s="6">
        <v>44984</v>
      </c>
      <c r="B158" t="s">
        <v>13</v>
      </c>
      <c r="C158">
        <v>71921</v>
      </c>
      <c r="D158" t="s">
        <v>14</v>
      </c>
      <c r="E158" s="9">
        <v>1107.76</v>
      </c>
      <c r="F158" t="s">
        <v>15</v>
      </c>
      <c r="G158" t="s">
        <v>15</v>
      </c>
      <c r="H158" t="s">
        <v>15</v>
      </c>
      <c r="I158" t="s">
        <v>15</v>
      </c>
      <c r="J158" s="6"/>
    </row>
    <row r="159" spans="1:10" x14ac:dyDescent="0.25">
      <c r="A159" s="6">
        <v>44995</v>
      </c>
      <c r="B159" t="s">
        <v>13</v>
      </c>
      <c r="C159">
        <v>71964</v>
      </c>
      <c r="D159" t="s">
        <v>14</v>
      </c>
      <c r="E159" s="9">
        <v>1848.62</v>
      </c>
      <c r="F159" t="s">
        <v>15</v>
      </c>
      <c r="G159" t="s">
        <v>15</v>
      </c>
      <c r="H159" t="s">
        <v>15</v>
      </c>
      <c r="I159" t="s">
        <v>15</v>
      </c>
      <c r="J159" s="6"/>
    </row>
    <row r="160" spans="1:10" x14ac:dyDescent="0.25">
      <c r="A160" s="6">
        <v>44995</v>
      </c>
      <c r="B160" t="s">
        <v>13</v>
      </c>
      <c r="C160">
        <v>71965</v>
      </c>
      <c r="D160" t="s">
        <v>14</v>
      </c>
      <c r="E160" s="9">
        <v>1218.04</v>
      </c>
      <c r="F160" t="s">
        <v>15</v>
      </c>
      <c r="G160" t="s">
        <v>15</v>
      </c>
      <c r="H160" t="s">
        <v>15</v>
      </c>
      <c r="I160" t="s">
        <v>15</v>
      </c>
      <c r="J160" s="6"/>
    </row>
    <row r="161" spans="1:10" x14ac:dyDescent="0.25">
      <c r="A161" s="6">
        <v>44995</v>
      </c>
      <c r="B161" t="s">
        <v>13</v>
      </c>
      <c r="C161">
        <v>71966</v>
      </c>
      <c r="D161" t="s">
        <v>14</v>
      </c>
      <c r="E161" s="9">
        <v>1309.72</v>
      </c>
      <c r="F161" t="s">
        <v>15</v>
      </c>
      <c r="G161" t="s">
        <v>15</v>
      </c>
      <c r="H161" t="s">
        <v>15</v>
      </c>
      <c r="I161" t="s">
        <v>15</v>
      </c>
      <c r="J161" s="6"/>
    </row>
    <row r="162" spans="1:10" x14ac:dyDescent="0.25">
      <c r="A162" s="6">
        <v>44995</v>
      </c>
      <c r="B162" t="s">
        <v>13</v>
      </c>
      <c r="C162">
        <v>71967</v>
      </c>
      <c r="D162" t="s">
        <v>14</v>
      </c>
      <c r="E162" s="9">
        <v>1314.69</v>
      </c>
      <c r="F162" t="s">
        <v>15</v>
      </c>
      <c r="G162" t="s">
        <v>15</v>
      </c>
      <c r="H162" t="s">
        <v>15</v>
      </c>
      <c r="I162" t="s">
        <v>15</v>
      </c>
      <c r="J162" s="6"/>
    </row>
    <row r="163" spans="1:10" x14ac:dyDescent="0.25">
      <c r="A163" s="6">
        <v>44995</v>
      </c>
      <c r="B163" t="s">
        <v>13</v>
      </c>
      <c r="C163">
        <v>71968</v>
      </c>
      <c r="D163" t="s">
        <v>14</v>
      </c>
      <c r="E163">
        <v>973.01</v>
      </c>
      <c r="F163" t="s">
        <v>15</v>
      </c>
      <c r="G163" t="s">
        <v>15</v>
      </c>
      <c r="H163" t="s">
        <v>15</v>
      </c>
      <c r="I163" t="s">
        <v>15</v>
      </c>
      <c r="J163" s="6"/>
    </row>
    <row r="164" spans="1:10" x14ac:dyDescent="0.25">
      <c r="A164" s="6">
        <v>45009</v>
      </c>
      <c r="B164" t="s">
        <v>13</v>
      </c>
      <c r="C164">
        <v>72096</v>
      </c>
      <c r="D164" t="s">
        <v>14</v>
      </c>
      <c r="E164" s="9">
        <v>1723.94</v>
      </c>
      <c r="F164" t="s">
        <v>15</v>
      </c>
      <c r="G164" t="s">
        <v>15</v>
      </c>
      <c r="H164" t="s">
        <v>15</v>
      </c>
      <c r="I164" t="s">
        <v>15</v>
      </c>
      <c r="J164" s="6"/>
    </row>
    <row r="165" spans="1:10" x14ac:dyDescent="0.25">
      <c r="A165" s="6">
        <v>45009</v>
      </c>
      <c r="B165" t="s">
        <v>13</v>
      </c>
      <c r="C165">
        <v>72097</v>
      </c>
      <c r="D165" t="s">
        <v>14</v>
      </c>
      <c r="E165" s="9">
        <v>1387.65</v>
      </c>
      <c r="F165" t="s">
        <v>15</v>
      </c>
      <c r="G165" t="s">
        <v>15</v>
      </c>
      <c r="H165" t="s">
        <v>15</v>
      </c>
      <c r="I165" t="s">
        <v>15</v>
      </c>
      <c r="J165" s="6"/>
    </row>
    <row r="166" spans="1:10" x14ac:dyDescent="0.25">
      <c r="A166" s="6">
        <v>45009</v>
      </c>
      <c r="B166" t="s">
        <v>13</v>
      </c>
      <c r="C166">
        <v>72098</v>
      </c>
      <c r="D166" t="s">
        <v>14</v>
      </c>
      <c r="E166" s="9">
        <v>1263.22</v>
      </c>
      <c r="F166" t="s">
        <v>15</v>
      </c>
      <c r="G166" t="s">
        <v>15</v>
      </c>
      <c r="H166" t="s">
        <v>15</v>
      </c>
      <c r="I166" t="s">
        <v>15</v>
      </c>
      <c r="J166" s="6"/>
    </row>
    <row r="167" spans="1:10" x14ac:dyDescent="0.25">
      <c r="A167" s="6">
        <v>45009</v>
      </c>
      <c r="B167" t="s">
        <v>13</v>
      </c>
      <c r="C167">
        <v>72099</v>
      </c>
      <c r="D167" t="s">
        <v>14</v>
      </c>
      <c r="E167">
        <v>737.35</v>
      </c>
      <c r="F167" t="s">
        <v>15</v>
      </c>
      <c r="G167" t="s">
        <v>15</v>
      </c>
      <c r="H167" t="s">
        <v>15</v>
      </c>
      <c r="I167" t="s">
        <v>15</v>
      </c>
      <c r="J167" s="6"/>
    </row>
    <row r="168" spans="1:10" x14ac:dyDescent="0.25">
      <c r="A168" s="6">
        <v>45009</v>
      </c>
      <c r="B168" t="s">
        <v>13</v>
      </c>
      <c r="C168">
        <v>72100</v>
      </c>
      <c r="D168" t="s">
        <v>14</v>
      </c>
      <c r="E168">
        <v>976.19</v>
      </c>
      <c r="F168" t="s">
        <v>15</v>
      </c>
      <c r="G168" t="s">
        <v>15</v>
      </c>
      <c r="H168" t="s">
        <v>15</v>
      </c>
      <c r="I168" t="s">
        <v>15</v>
      </c>
      <c r="J168" s="6"/>
    </row>
    <row r="169" spans="1:10" x14ac:dyDescent="0.25">
      <c r="A169" s="6">
        <v>45008</v>
      </c>
      <c r="B169" t="s">
        <v>13</v>
      </c>
      <c r="C169">
        <v>72139</v>
      </c>
      <c r="D169" t="s">
        <v>14</v>
      </c>
      <c r="E169" s="9">
        <v>1081.0999999999999</v>
      </c>
      <c r="F169" t="s">
        <v>15</v>
      </c>
      <c r="G169" t="s">
        <v>15</v>
      </c>
      <c r="H169" t="s">
        <v>15</v>
      </c>
      <c r="I169" t="s">
        <v>15</v>
      </c>
    </row>
    <row r="170" spans="1:10" x14ac:dyDescent="0.25">
      <c r="A170" s="6">
        <v>45008</v>
      </c>
      <c r="B170" t="s">
        <v>13</v>
      </c>
      <c r="C170">
        <v>72140</v>
      </c>
      <c r="D170" t="s">
        <v>14</v>
      </c>
      <c r="E170" s="9">
        <v>15028.21</v>
      </c>
      <c r="F170" t="s">
        <v>15</v>
      </c>
      <c r="G170" t="s">
        <v>15</v>
      </c>
      <c r="H170" t="s">
        <v>15</v>
      </c>
      <c r="I170" t="s">
        <v>15</v>
      </c>
      <c r="J170" s="6"/>
    </row>
    <row r="171" spans="1:10" x14ac:dyDescent="0.25">
      <c r="A171" s="6">
        <v>45008</v>
      </c>
      <c r="B171" t="s">
        <v>13</v>
      </c>
      <c r="C171">
        <v>72141</v>
      </c>
      <c r="D171" t="s">
        <v>14</v>
      </c>
      <c r="E171">
        <v>556.89</v>
      </c>
      <c r="F171" t="s">
        <v>15</v>
      </c>
      <c r="G171" t="s">
        <v>15</v>
      </c>
      <c r="H171" t="s">
        <v>15</v>
      </c>
      <c r="I171" t="s">
        <v>15</v>
      </c>
    </row>
    <row r="172" spans="1:10" x14ac:dyDescent="0.25">
      <c r="A172" s="6">
        <v>45008</v>
      </c>
      <c r="B172" t="s">
        <v>13</v>
      </c>
      <c r="C172">
        <v>72142</v>
      </c>
      <c r="D172" t="s">
        <v>14</v>
      </c>
      <c r="E172">
        <v>819</v>
      </c>
      <c r="F172" t="s">
        <v>15</v>
      </c>
      <c r="G172" t="s">
        <v>15</v>
      </c>
      <c r="H172" t="s">
        <v>15</v>
      </c>
      <c r="I172" t="s">
        <v>15</v>
      </c>
      <c r="J172" s="6"/>
    </row>
    <row r="173" spans="1:10" x14ac:dyDescent="0.25">
      <c r="A173" s="6">
        <v>45008</v>
      </c>
      <c r="B173" t="s">
        <v>13</v>
      </c>
      <c r="C173">
        <v>72143</v>
      </c>
      <c r="D173" t="s">
        <v>14</v>
      </c>
      <c r="E173" s="9">
        <v>14839.55</v>
      </c>
      <c r="F173" t="s">
        <v>15</v>
      </c>
      <c r="G173" t="s">
        <v>15</v>
      </c>
      <c r="H173" t="s">
        <v>15</v>
      </c>
      <c r="I173" t="s">
        <v>15</v>
      </c>
      <c r="J173" s="6"/>
    </row>
    <row r="174" spans="1:10" x14ac:dyDescent="0.25">
      <c r="A174" s="6">
        <v>45037</v>
      </c>
      <c r="B174" t="s">
        <v>13</v>
      </c>
      <c r="C174">
        <v>72349</v>
      </c>
      <c r="D174" t="s">
        <v>14</v>
      </c>
      <c r="E174" s="9">
        <v>1762.93</v>
      </c>
      <c r="F174" t="s">
        <v>15</v>
      </c>
      <c r="G174" t="s">
        <v>15</v>
      </c>
      <c r="H174" t="s">
        <v>15</v>
      </c>
      <c r="I174" t="s">
        <v>15</v>
      </c>
      <c r="J174" s="6"/>
    </row>
    <row r="175" spans="1:10" x14ac:dyDescent="0.25">
      <c r="A175" s="6">
        <v>45037</v>
      </c>
      <c r="B175" t="s">
        <v>13</v>
      </c>
      <c r="C175">
        <v>72350</v>
      </c>
      <c r="D175" t="s">
        <v>14</v>
      </c>
      <c r="E175" s="9">
        <v>1422.33</v>
      </c>
      <c r="F175" t="s">
        <v>15</v>
      </c>
      <c r="G175" t="s">
        <v>15</v>
      </c>
      <c r="H175" t="s">
        <v>15</v>
      </c>
      <c r="I175" t="s">
        <v>15</v>
      </c>
      <c r="J175" s="6"/>
    </row>
    <row r="176" spans="1:10" x14ac:dyDescent="0.25">
      <c r="A176" s="6">
        <v>45037</v>
      </c>
      <c r="B176" t="s">
        <v>13</v>
      </c>
      <c r="C176">
        <v>72351</v>
      </c>
      <c r="D176" t="s">
        <v>14</v>
      </c>
      <c r="E176" s="9">
        <v>1188.6500000000001</v>
      </c>
      <c r="F176" t="s">
        <v>15</v>
      </c>
      <c r="G176" t="s">
        <v>15</v>
      </c>
      <c r="H176" t="s">
        <v>15</v>
      </c>
      <c r="I176" t="s">
        <v>15</v>
      </c>
      <c r="J176" s="6"/>
    </row>
    <row r="177" spans="1:10" x14ac:dyDescent="0.25">
      <c r="A177" s="6">
        <v>45037</v>
      </c>
      <c r="B177" t="s">
        <v>13</v>
      </c>
      <c r="C177">
        <v>72352</v>
      </c>
      <c r="D177" t="s">
        <v>14</v>
      </c>
      <c r="E177" s="9">
        <v>1112.8499999999999</v>
      </c>
      <c r="F177" t="s">
        <v>15</v>
      </c>
      <c r="G177" t="s">
        <v>15</v>
      </c>
      <c r="H177" t="s">
        <v>15</v>
      </c>
      <c r="I177" t="s">
        <v>15</v>
      </c>
      <c r="J177" s="6"/>
    </row>
    <row r="178" spans="1:10" x14ac:dyDescent="0.25">
      <c r="A178" s="6">
        <v>45051</v>
      </c>
      <c r="B178" t="s">
        <v>13</v>
      </c>
      <c r="C178">
        <v>72460</v>
      </c>
      <c r="D178" t="s">
        <v>14</v>
      </c>
      <c r="E178" s="9">
        <v>1902.51</v>
      </c>
      <c r="F178" t="s">
        <v>15</v>
      </c>
      <c r="G178" t="s">
        <v>15</v>
      </c>
      <c r="H178" t="s">
        <v>15</v>
      </c>
      <c r="I178" t="s">
        <v>15</v>
      </c>
      <c r="J178" s="6"/>
    </row>
    <row r="179" spans="1:10" x14ac:dyDescent="0.25">
      <c r="A179" s="6">
        <v>45051</v>
      </c>
      <c r="B179" t="s">
        <v>13</v>
      </c>
      <c r="C179">
        <v>72461</v>
      </c>
      <c r="D179" t="s">
        <v>14</v>
      </c>
      <c r="E179" s="9">
        <v>1386.17</v>
      </c>
      <c r="F179" t="s">
        <v>15</v>
      </c>
      <c r="G179" t="s">
        <v>15</v>
      </c>
      <c r="H179" t="s">
        <v>15</v>
      </c>
      <c r="I179" t="s">
        <v>15</v>
      </c>
      <c r="J179" s="6"/>
    </row>
    <row r="180" spans="1:10" x14ac:dyDescent="0.25">
      <c r="A180" s="6">
        <v>45051</v>
      </c>
      <c r="B180" t="s">
        <v>13</v>
      </c>
      <c r="C180">
        <v>72462</v>
      </c>
      <c r="D180" t="s">
        <v>14</v>
      </c>
      <c r="E180" s="9">
        <v>1322.72</v>
      </c>
      <c r="F180" t="s">
        <v>15</v>
      </c>
      <c r="G180" t="s">
        <v>15</v>
      </c>
      <c r="H180" t="s">
        <v>15</v>
      </c>
      <c r="I180" t="s">
        <v>15</v>
      </c>
      <c r="J180" s="6"/>
    </row>
    <row r="181" spans="1:10" x14ac:dyDescent="0.25">
      <c r="A181" s="6">
        <v>45051</v>
      </c>
      <c r="B181" t="s">
        <v>13</v>
      </c>
      <c r="C181">
        <v>72463</v>
      </c>
      <c r="D181" t="s">
        <v>14</v>
      </c>
      <c r="E181" s="9">
        <v>1120.31</v>
      </c>
      <c r="F181" t="s">
        <v>15</v>
      </c>
      <c r="G181" t="s">
        <v>15</v>
      </c>
      <c r="H181" t="s">
        <v>15</v>
      </c>
      <c r="I181" t="s">
        <v>15</v>
      </c>
      <c r="J181" s="6"/>
    </row>
    <row r="182" spans="1:10" x14ac:dyDescent="0.25">
      <c r="A182" s="6">
        <v>45065</v>
      </c>
      <c r="B182" t="s">
        <v>13</v>
      </c>
      <c r="C182">
        <v>72612</v>
      </c>
      <c r="D182" t="s">
        <v>14</v>
      </c>
      <c r="E182" s="9">
        <v>1765.95</v>
      </c>
      <c r="F182" t="s">
        <v>15</v>
      </c>
      <c r="G182" t="s">
        <v>15</v>
      </c>
      <c r="H182" t="s">
        <v>15</v>
      </c>
      <c r="I182" t="s">
        <v>15</v>
      </c>
      <c r="J182" s="6"/>
    </row>
    <row r="183" spans="1:10" x14ac:dyDescent="0.25">
      <c r="A183" s="6">
        <v>45065</v>
      </c>
      <c r="B183" t="s">
        <v>13</v>
      </c>
      <c r="C183">
        <v>72613</v>
      </c>
      <c r="D183" t="s">
        <v>14</v>
      </c>
      <c r="E183" s="9">
        <v>1482.59</v>
      </c>
      <c r="F183" t="s">
        <v>15</v>
      </c>
      <c r="G183" t="s">
        <v>15</v>
      </c>
      <c r="H183" t="s">
        <v>15</v>
      </c>
      <c r="I183" t="s">
        <v>15</v>
      </c>
      <c r="J183" s="6"/>
    </row>
    <row r="184" spans="1:10" x14ac:dyDescent="0.25">
      <c r="A184" s="6">
        <v>45065</v>
      </c>
      <c r="B184" t="s">
        <v>13</v>
      </c>
      <c r="C184">
        <v>72614</v>
      </c>
      <c r="D184" t="s">
        <v>14</v>
      </c>
      <c r="E184" s="9">
        <v>1171.6500000000001</v>
      </c>
      <c r="F184" t="s">
        <v>15</v>
      </c>
      <c r="G184" t="s">
        <v>15</v>
      </c>
      <c r="H184" t="s">
        <v>15</v>
      </c>
      <c r="I184" t="s">
        <v>15</v>
      </c>
      <c r="J184" s="6"/>
    </row>
    <row r="185" spans="1:10" x14ac:dyDescent="0.25">
      <c r="A185" s="6">
        <v>45065</v>
      </c>
      <c r="B185" t="s">
        <v>13</v>
      </c>
      <c r="C185">
        <v>72615</v>
      </c>
      <c r="D185" t="s">
        <v>14</v>
      </c>
      <c r="E185" s="9">
        <v>1401.56</v>
      </c>
      <c r="F185" t="s">
        <v>15</v>
      </c>
      <c r="G185" t="s">
        <v>15</v>
      </c>
      <c r="H185" t="s">
        <v>15</v>
      </c>
      <c r="I185" t="s">
        <v>15</v>
      </c>
      <c r="J185" s="6"/>
    </row>
    <row r="186" spans="1:10" x14ac:dyDescent="0.25">
      <c r="A186" s="6">
        <v>45079</v>
      </c>
      <c r="B186" t="s">
        <v>13</v>
      </c>
      <c r="C186">
        <v>72721</v>
      </c>
      <c r="D186" t="s">
        <v>14</v>
      </c>
      <c r="E186" s="9">
        <v>2159.9699999999998</v>
      </c>
      <c r="F186" t="s">
        <v>15</v>
      </c>
      <c r="G186" t="s">
        <v>15</v>
      </c>
      <c r="H186" t="s">
        <v>15</v>
      </c>
      <c r="I186" t="s">
        <v>15</v>
      </c>
      <c r="J186" s="6"/>
    </row>
    <row r="187" spans="1:10" x14ac:dyDescent="0.25">
      <c r="A187" s="6">
        <v>45079</v>
      </c>
      <c r="B187" t="s">
        <v>13</v>
      </c>
      <c r="C187">
        <v>72722</v>
      </c>
      <c r="D187" t="s">
        <v>14</v>
      </c>
      <c r="E187" s="9">
        <v>1494.56</v>
      </c>
      <c r="F187" t="s">
        <v>15</v>
      </c>
      <c r="G187" t="s">
        <v>15</v>
      </c>
      <c r="H187" t="s">
        <v>15</v>
      </c>
      <c r="I187" t="s">
        <v>15</v>
      </c>
      <c r="J187" s="6"/>
    </row>
    <row r="188" spans="1:10" x14ac:dyDescent="0.25">
      <c r="A188" s="6">
        <v>45079</v>
      </c>
      <c r="B188" t="s">
        <v>13</v>
      </c>
      <c r="C188">
        <v>72723</v>
      </c>
      <c r="D188" t="s">
        <v>14</v>
      </c>
      <c r="E188" s="9">
        <v>1494.97</v>
      </c>
      <c r="F188" t="s">
        <v>15</v>
      </c>
      <c r="G188" t="s">
        <v>15</v>
      </c>
      <c r="H188" t="s">
        <v>15</v>
      </c>
      <c r="I188" t="s">
        <v>15</v>
      </c>
      <c r="J188" s="6"/>
    </row>
    <row r="189" spans="1:10" x14ac:dyDescent="0.25">
      <c r="A189" s="6">
        <v>45079</v>
      </c>
      <c r="B189" t="s">
        <v>13</v>
      </c>
      <c r="C189">
        <v>72724</v>
      </c>
      <c r="D189" t="s">
        <v>14</v>
      </c>
      <c r="E189">
        <v>843.07</v>
      </c>
      <c r="F189" t="s">
        <v>15</v>
      </c>
      <c r="G189" t="s">
        <v>15</v>
      </c>
      <c r="H189" t="s">
        <v>15</v>
      </c>
      <c r="I189" t="s">
        <v>15</v>
      </c>
      <c r="J189" s="6"/>
    </row>
    <row r="190" spans="1:10" x14ac:dyDescent="0.25">
      <c r="A190" s="6">
        <v>45079</v>
      </c>
      <c r="B190" t="s">
        <v>13</v>
      </c>
      <c r="C190">
        <v>72789</v>
      </c>
      <c r="D190" t="s">
        <v>14</v>
      </c>
      <c r="E190">
        <v>287.37</v>
      </c>
      <c r="F190" t="s">
        <v>15</v>
      </c>
      <c r="G190" t="s">
        <v>15</v>
      </c>
      <c r="H190" t="s">
        <v>15</v>
      </c>
      <c r="I190" t="s">
        <v>15</v>
      </c>
      <c r="J190" s="6"/>
    </row>
    <row r="191" spans="1:10" x14ac:dyDescent="0.25">
      <c r="A191" s="6">
        <v>45093</v>
      </c>
      <c r="B191" t="s">
        <v>13</v>
      </c>
      <c r="C191">
        <v>72856</v>
      </c>
      <c r="D191" t="s">
        <v>14</v>
      </c>
      <c r="E191" s="9">
        <v>1982.56</v>
      </c>
      <c r="F191" t="s">
        <v>15</v>
      </c>
      <c r="G191" t="s">
        <v>15</v>
      </c>
      <c r="H191" t="s">
        <v>15</v>
      </c>
      <c r="I191" t="s">
        <v>15</v>
      </c>
      <c r="J191" s="6"/>
    </row>
    <row r="192" spans="1:10" x14ac:dyDescent="0.25">
      <c r="A192" s="6">
        <v>45093</v>
      </c>
      <c r="B192" t="s">
        <v>13</v>
      </c>
      <c r="C192">
        <v>72857</v>
      </c>
      <c r="D192" t="s">
        <v>14</v>
      </c>
      <c r="E192" s="9">
        <v>1384.54</v>
      </c>
      <c r="F192" t="s">
        <v>15</v>
      </c>
      <c r="G192" t="s">
        <v>15</v>
      </c>
      <c r="H192" t="s">
        <v>15</v>
      </c>
      <c r="I192" t="s">
        <v>15</v>
      </c>
      <c r="J192" s="6"/>
    </row>
    <row r="193" spans="1:10" x14ac:dyDescent="0.25">
      <c r="A193" s="6">
        <v>45093</v>
      </c>
      <c r="B193" t="s">
        <v>13</v>
      </c>
      <c r="C193">
        <v>72858</v>
      </c>
      <c r="D193" t="s">
        <v>14</v>
      </c>
      <c r="E193" s="9">
        <v>1325.35</v>
      </c>
      <c r="F193" t="s">
        <v>15</v>
      </c>
      <c r="G193" t="s">
        <v>15</v>
      </c>
      <c r="H193" t="s">
        <v>15</v>
      </c>
      <c r="I193" t="s">
        <v>15</v>
      </c>
      <c r="J193" s="6"/>
    </row>
    <row r="194" spans="1:10" x14ac:dyDescent="0.25">
      <c r="A194" s="6">
        <v>45093</v>
      </c>
      <c r="B194" t="s">
        <v>13</v>
      </c>
      <c r="C194">
        <v>72859</v>
      </c>
      <c r="D194" t="s">
        <v>14</v>
      </c>
      <c r="E194">
        <v>806.27</v>
      </c>
      <c r="F194" t="s">
        <v>15</v>
      </c>
      <c r="G194" t="s">
        <v>15</v>
      </c>
      <c r="H194" t="s">
        <v>15</v>
      </c>
      <c r="I194" t="s">
        <v>15</v>
      </c>
      <c r="J194" s="6"/>
    </row>
    <row r="195" spans="1:10" x14ac:dyDescent="0.25">
      <c r="A195" s="6">
        <v>45093</v>
      </c>
      <c r="B195" t="s">
        <v>13</v>
      </c>
      <c r="C195">
        <v>72860</v>
      </c>
      <c r="D195" t="s">
        <v>14</v>
      </c>
      <c r="E195">
        <v>143.25</v>
      </c>
      <c r="F195" t="s">
        <v>15</v>
      </c>
      <c r="G195" t="s">
        <v>15</v>
      </c>
      <c r="H195" t="s">
        <v>15</v>
      </c>
      <c r="I195" t="s">
        <v>15</v>
      </c>
      <c r="J195" s="6"/>
    </row>
    <row r="196" spans="1:10" x14ac:dyDescent="0.25">
      <c r="A196" s="6">
        <v>45093</v>
      </c>
      <c r="B196" t="s">
        <v>13</v>
      </c>
      <c r="C196">
        <v>72861</v>
      </c>
      <c r="D196" t="s">
        <v>14</v>
      </c>
      <c r="E196">
        <v>320.93</v>
      </c>
      <c r="F196" t="s">
        <v>15</v>
      </c>
      <c r="G196" t="s">
        <v>15</v>
      </c>
      <c r="H196" t="s">
        <v>15</v>
      </c>
      <c r="I196" t="s">
        <v>15</v>
      </c>
      <c r="J196" s="6"/>
    </row>
    <row r="197" spans="1:10" x14ac:dyDescent="0.25">
      <c r="A197" s="6">
        <v>45107</v>
      </c>
      <c r="B197" t="s">
        <v>13</v>
      </c>
      <c r="C197">
        <v>72976</v>
      </c>
      <c r="D197" t="s">
        <v>14</v>
      </c>
      <c r="E197" s="9">
        <v>2063.89</v>
      </c>
      <c r="F197" t="s">
        <v>15</v>
      </c>
      <c r="G197" t="s">
        <v>15</v>
      </c>
      <c r="H197" t="s">
        <v>15</v>
      </c>
      <c r="I197" t="s">
        <v>15</v>
      </c>
    </row>
    <row r="198" spans="1:10" x14ac:dyDescent="0.25">
      <c r="A198" s="6">
        <v>45107</v>
      </c>
      <c r="B198" t="s">
        <v>13</v>
      </c>
      <c r="C198">
        <v>72977</v>
      </c>
      <c r="D198" t="s">
        <v>14</v>
      </c>
      <c r="E198" s="9">
        <v>1303.6500000000001</v>
      </c>
      <c r="F198" t="s">
        <v>15</v>
      </c>
      <c r="G198" t="s">
        <v>15</v>
      </c>
      <c r="H198" t="s">
        <v>15</v>
      </c>
      <c r="I198" t="s">
        <v>15</v>
      </c>
    </row>
    <row r="199" spans="1:10" x14ac:dyDescent="0.25">
      <c r="A199" s="6">
        <v>45107</v>
      </c>
      <c r="B199" t="s">
        <v>13</v>
      </c>
      <c r="C199">
        <v>72978</v>
      </c>
      <c r="D199" t="s">
        <v>14</v>
      </c>
      <c r="E199" s="9">
        <v>1534.57</v>
      </c>
      <c r="F199" t="s">
        <v>15</v>
      </c>
      <c r="G199" t="s">
        <v>15</v>
      </c>
      <c r="H199" t="s">
        <v>15</v>
      </c>
      <c r="I199" t="s">
        <v>15</v>
      </c>
      <c r="J199" s="6"/>
    </row>
    <row r="200" spans="1:10" x14ac:dyDescent="0.25">
      <c r="A200" s="6">
        <v>45107</v>
      </c>
      <c r="B200" t="s">
        <v>13</v>
      </c>
      <c r="C200">
        <v>72979</v>
      </c>
      <c r="D200" t="s">
        <v>14</v>
      </c>
      <c r="E200" s="9">
        <v>1363.94</v>
      </c>
      <c r="F200" t="s">
        <v>15</v>
      </c>
      <c r="G200" t="s">
        <v>15</v>
      </c>
      <c r="H200" t="s">
        <v>15</v>
      </c>
      <c r="I200" t="s">
        <v>15</v>
      </c>
      <c r="J200" s="6"/>
    </row>
    <row r="201" spans="1:10" x14ac:dyDescent="0.25">
      <c r="A201" s="6">
        <v>45107</v>
      </c>
      <c r="B201" t="s">
        <v>13</v>
      </c>
      <c r="C201">
        <v>72980</v>
      </c>
      <c r="D201" t="s">
        <v>14</v>
      </c>
      <c r="E201">
        <v>431.13</v>
      </c>
      <c r="F201" t="s">
        <v>15</v>
      </c>
      <c r="G201" t="s">
        <v>15</v>
      </c>
      <c r="H201" t="s">
        <v>15</v>
      </c>
      <c r="I201" t="s">
        <v>15</v>
      </c>
      <c r="J201" s="6"/>
    </row>
    <row r="202" spans="1:10" x14ac:dyDescent="0.25">
      <c r="A202" s="6">
        <v>45107</v>
      </c>
      <c r="B202" t="s">
        <v>13</v>
      </c>
      <c r="C202">
        <v>72981</v>
      </c>
      <c r="D202" t="s">
        <v>14</v>
      </c>
      <c r="E202">
        <v>559.15</v>
      </c>
      <c r="F202" t="s">
        <v>15</v>
      </c>
      <c r="G202" t="s">
        <v>15</v>
      </c>
      <c r="H202" t="s">
        <v>15</v>
      </c>
      <c r="I202" t="s">
        <v>15</v>
      </c>
    </row>
    <row r="203" spans="1:10" x14ac:dyDescent="0.25">
      <c r="A203" s="6">
        <v>45121</v>
      </c>
      <c r="B203" t="s">
        <v>13</v>
      </c>
      <c r="C203">
        <v>73085</v>
      </c>
      <c r="D203" t="s">
        <v>14</v>
      </c>
      <c r="E203" s="9">
        <v>2127.33</v>
      </c>
      <c r="F203" t="s">
        <v>15</v>
      </c>
      <c r="G203" t="s">
        <v>15</v>
      </c>
      <c r="H203" t="s">
        <v>15</v>
      </c>
      <c r="I203" t="s">
        <v>15</v>
      </c>
    </row>
    <row r="204" spans="1:10" x14ac:dyDescent="0.25">
      <c r="A204" s="6">
        <v>45121</v>
      </c>
      <c r="B204" t="s">
        <v>13</v>
      </c>
      <c r="C204">
        <v>73086</v>
      </c>
      <c r="D204" t="s">
        <v>14</v>
      </c>
      <c r="E204" s="9">
        <v>1860.86</v>
      </c>
      <c r="F204" t="s">
        <v>15</v>
      </c>
      <c r="G204" t="s">
        <v>15</v>
      </c>
      <c r="H204" t="s">
        <v>15</v>
      </c>
      <c r="I204" t="s">
        <v>15</v>
      </c>
    </row>
    <row r="205" spans="1:10" x14ac:dyDescent="0.25">
      <c r="A205" s="6">
        <v>45121</v>
      </c>
      <c r="B205" t="s">
        <v>13</v>
      </c>
      <c r="C205">
        <v>73087</v>
      </c>
      <c r="D205" t="s">
        <v>14</v>
      </c>
      <c r="E205" s="9">
        <v>1273.3399999999999</v>
      </c>
      <c r="F205" t="s">
        <v>15</v>
      </c>
      <c r="G205" t="s">
        <v>15</v>
      </c>
      <c r="H205" t="s">
        <v>15</v>
      </c>
      <c r="I205" t="s">
        <v>15</v>
      </c>
    </row>
    <row r="206" spans="1:10" x14ac:dyDescent="0.25">
      <c r="A206" s="6">
        <v>45121</v>
      </c>
      <c r="B206" t="s">
        <v>13</v>
      </c>
      <c r="C206">
        <v>73088</v>
      </c>
      <c r="D206" t="s">
        <v>14</v>
      </c>
      <c r="E206" s="9">
        <v>1157.5999999999999</v>
      </c>
      <c r="F206" t="s">
        <v>15</v>
      </c>
      <c r="G206" t="s">
        <v>15</v>
      </c>
      <c r="H206" t="s">
        <v>15</v>
      </c>
      <c r="I206" t="s">
        <v>15</v>
      </c>
    </row>
    <row r="207" spans="1:10" x14ac:dyDescent="0.25">
      <c r="A207" s="6">
        <v>45121</v>
      </c>
      <c r="B207" t="s">
        <v>13</v>
      </c>
      <c r="C207">
        <v>73089</v>
      </c>
      <c r="D207" t="s">
        <v>14</v>
      </c>
      <c r="E207">
        <v>327.2</v>
      </c>
      <c r="F207" t="s">
        <v>15</v>
      </c>
      <c r="G207" t="s">
        <v>15</v>
      </c>
      <c r="H207" t="s">
        <v>15</v>
      </c>
      <c r="I207" t="s">
        <v>15</v>
      </c>
    </row>
    <row r="208" spans="1:10" x14ac:dyDescent="0.25">
      <c r="A208" s="6">
        <v>45121</v>
      </c>
      <c r="B208" t="s">
        <v>13</v>
      </c>
      <c r="C208">
        <v>73090</v>
      </c>
      <c r="D208" t="s">
        <v>14</v>
      </c>
      <c r="E208">
        <v>468.83</v>
      </c>
      <c r="F208" t="s">
        <v>15</v>
      </c>
      <c r="G208" t="s">
        <v>15</v>
      </c>
      <c r="H208" t="s">
        <v>15</v>
      </c>
      <c r="I208" t="s">
        <v>15</v>
      </c>
    </row>
    <row r="209" spans="1:9" x14ac:dyDescent="0.25">
      <c r="A209" s="6">
        <v>45135</v>
      </c>
      <c r="B209" t="s">
        <v>13</v>
      </c>
      <c r="C209">
        <v>73291</v>
      </c>
      <c r="D209" t="s">
        <v>14</v>
      </c>
      <c r="E209" s="9">
        <v>2237.52</v>
      </c>
      <c r="F209" t="s">
        <v>15</v>
      </c>
      <c r="G209" t="s">
        <v>15</v>
      </c>
      <c r="H209" t="s">
        <v>15</v>
      </c>
      <c r="I209" t="s">
        <v>15</v>
      </c>
    </row>
    <row r="210" spans="1:9" x14ac:dyDescent="0.25">
      <c r="A210" s="6">
        <v>45135</v>
      </c>
      <c r="B210" t="s">
        <v>13</v>
      </c>
      <c r="C210">
        <v>73292</v>
      </c>
      <c r="D210" t="s">
        <v>14</v>
      </c>
      <c r="E210" s="9">
        <v>1302.48</v>
      </c>
      <c r="F210" t="s">
        <v>15</v>
      </c>
      <c r="G210" t="s">
        <v>15</v>
      </c>
      <c r="H210" t="s">
        <v>15</v>
      </c>
      <c r="I210" t="s">
        <v>15</v>
      </c>
    </row>
    <row r="211" spans="1:9" x14ac:dyDescent="0.25">
      <c r="A211" s="6">
        <v>45135</v>
      </c>
      <c r="B211" t="s">
        <v>13</v>
      </c>
      <c r="C211">
        <v>73293</v>
      </c>
      <c r="D211" t="s">
        <v>14</v>
      </c>
      <c r="E211" s="9">
        <v>2067.9499999999998</v>
      </c>
      <c r="F211" t="s">
        <v>15</v>
      </c>
      <c r="G211" t="s">
        <v>15</v>
      </c>
      <c r="H211" t="s">
        <v>15</v>
      </c>
      <c r="I211" t="s">
        <v>15</v>
      </c>
    </row>
    <row r="212" spans="1:9" x14ac:dyDescent="0.25">
      <c r="A212" s="6">
        <v>45135</v>
      </c>
      <c r="B212" t="s">
        <v>13</v>
      </c>
      <c r="C212">
        <v>73294</v>
      </c>
      <c r="D212" t="s">
        <v>14</v>
      </c>
      <c r="E212" s="9">
        <v>1382.55</v>
      </c>
      <c r="F212" t="s">
        <v>15</v>
      </c>
      <c r="G212" t="s">
        <v>15</v>
      </c>
      <c r="H212" t="s">
        <v>15</v>
      </c>
      <c r="I212" t="s">
        <v>15</v>
      </c>
    </row>
    <row r="213" spans="1:9" x14ac:dyDescent="0.25">
      <c r="A213" s="6">
        <v>45135</v>
      </c>
      <c r="B213" t="s">
        <v>13</v>
      </c>
      <c r="C213">
        <v>73295</v>
      </c>
      <c r="D213" t="s">
        <v>14</v>
      </c>
      <c r="E213" s="9">
        <v>1283.5999999999999</v>
      </c>
      <c r="F213" t="s">
        <v>15</v>
      </c>
      <c r="G213" t="s">
        <v>15</v>
      </c>
      <c r="H213" t="s">
        <v>15</v>
      </c>
      <c r="I213" t="s">
        <v>15</v>
      </c>
    </row>
    <row r="214" spans="1:9" x14ac:dyDescent="0.25">
      <c r="A214" s="6">
        <v>45135</v>
      </c>
      <c r="B214" t="s">
        <v>13</v>
      </c>
      <c r="C214">
        <v>73296</v>
      </c>
      <c r="D214" t="s">
        <v>14</v>
      </c>
      <c r="E214">
        <v>510.63</v>
      </c>
      <c r="F214" t="s">
        <v>15</v>
      </c>
      <c r="G214" t="s">
        <v>15</v>
      </c>
      <c r="H214" t="s">
        <v>15</v>
      </c>
      <c r="I214" t="s">
        <v>15</v>
      </c>
    </row>
    <row r="215" spans="1:9" x14ac:dyDescent="0.25">
      <c r="A215" s="6">
        <v>45135</v>
      </c>
      <c r="B215" t="s">
        <v>13</v>
      </c>
      <c r="C215">
        <v>73297</v>
      </c>
      <c r="D215" t="s">
        <v>14</v>
      </c>
      <c r="E215">
        <v>357.41</v>
      </c>
      <c r="F215" t="s">
        <v>15</v>
      </c>
      <c r="G215" t="s">
        <v>15</v>
      </c>
      <c r="H215" t="s">
        <v>15</v>
      </c>
      <c r="I215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FY2018</vt:lpstr>
      <vt:lpstr>FY2019</vt:lpstr>
      <vt:lpstr>FY2020</vt:lpstr>
      <vt:lpstr>FY2021</vt:lpstr>
      <vt:lpstr>FY2022</vt:lpstr>
      <vt:lpstr>FY2023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Cynthia Sturm</dc:creator>
  <cp:lastModifiedBy>Cynthia Sturm</cp:lastModifiedBy>
  <dcterms:created xsi:type="dcterms:W3CDTF">2023-08-16T15:42:08Z</dcterms:created>
  <dcterms:modified xsi:type="dcterms:W3CDTF">2023-08-16T22:11:26Z</dcterms:modified>
</cp:coreProperties>
</file>